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5.xml" ContentType="application/vnd.openxmlformats-officedocument.spreadsheetml.comments+xml"/>
  <Override PartName="/xl/worksheets/sheet16.xml" ContentType="application/vnd.openxmlformats-officedocument.spreadsheetml.worksheet+xml"/>
  <Override PartName="/xl/comments/comment6.xml" ContentType="application/vnd.openxmlformats-officedocument.spreadsheetml.comments+xml"/>
  <Override PartName="/xl/worksheets/sheet17.xml" ContentType="application/vnd.openxmlformats-officedocument.spreadsheetml.worksheet+xml"/>
  <Override PartName="/xl/comments/comment7.xml" ContentType="application/vnd.openxmlformats-officedocument.spreadsheetml.comments+xml"/>
  <Override PartName="/xl/worksheets/sheet18.xml" ContentType="application/vnd.openxmlformats-officedocument.spreadsheetml.worksheet+xml"/>
  <Override PartName="/xl/comments/comment8.xml" ContentType="application/vnd.openxmlformats-officedocument.spreadsheetml.comments+xml"/>
  <Override PartName="/xl/worksheets/sheet19.xml" ContentType="application/vnd.openxmlformats-officedocument.spreadsheetml.worksheet+xml"/>
  <Override PartName="/xl/comments/comment9.xml" ContentType="application/vnd.openxmlformats-officedocument.spreadsheetml.comments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comments/comment11.xml" ContentType="application/vnd.openxmlformats-officedocument.spreadsheetml.comments+xml"/>
  <Override PartName="/xl/worksheets/sheet22.xml" ContentType="application/vnd.openxmlformats-officedocument.spreadsheetml.worksheet+xml"/>
  <Override PartName="/xl/comments/comment12.xml" ContentType="application/vnd.openxmlformats-officedocument.spreadsheetml.comments+xml"/>
  <Override PartName="/xl/worksheets/sheet23.xml" ContentType="application/vnd.openxmlformats-officedocument.spreadsheetml.worksheet+xml"/>
  <Override PartName="/xl/comments/comment13.xml" ContentType="application/vnd.openxmlformats-officedocument.spreadsheetml.comments+xml"/>
  <Override PartName="/xl/worksheets/sheet24.xml" ContentType="application/vnd.openxmlformats-officedocument.spreadsheetml.worksheet+xml"/>
  <Override PartName="/xl/comments/comment14.xml" ContentType="application/vnd.openxmlformats-officedocument.spreadsheetml.comments+xml"/>
  <Override PartName="/xl/worksheets/sheet25.xml" ContentType="application/vnd.openxmlformats-officedocument.spreadsheetml.worksheet+xml"/>
  <Override PartName="/xl/comments/comment15.xml" ContentType="application/vnd.openxmlformats-officedocument.spreadsheetml.comments+xml"/>
  <Override PartName="/xl/worksheets/sheet26.xml" ContentType="application/vnd.openxmlformats-officedocument.spreadsheetml.worksheet+xml"/>
  <Override PartName="/xl/comments/comment16.xml" ContentType="application/vnd.openxmlformats-officedocument.spreadsheetml.comments+xml"/>
  <Override PartName="/xl/worksheets/sheet27.xml" ContentType="application/vnd.openxmlformats-officedocument.spreadsheetml.worksheet+xml"/>
  <Override PartName="/xl/comments/comment17.xml" ContentType="application/vnd.openxmlformats-officedocument.spreadsheetml.comments+xml"/>
  <Override PartName="/xl/worksheets/sheet28.xml" ContentType="application/vnd.openxmlformats-officedocument.spreadsheetml.worksheet+xml"/>
  <Override PartName="/xl/comments/comment18.xml" ContentType="application/vnd.openxmlformats-officedocument.spreadsheetml.comments+xml"/>
  <Override PartName="/xl/worksheets/sheet29.xml" ContentType="application/vnd.openxmlformats-officedocument.spreadsheetml.worksheet+xml"/>
  <Override PartName="/xl/comments/comment19.xml" ContentType="application/vnd.openxmlformats-officedocument.spreadsheetml.comments+xml"/>
  <Override PartName="/xl/worksheets/sheet30.xml" ContentType="application/vnd.openxmlformats-officedocument.spreadsheetml.worksheet+xml"/>
  <Override PartName="/xl/comments/comment20.xml" ContentType="application/vnd.openxmlformats-officedocument.spreadsheetml.comments+xml"/>
  <Override PartName="/xl/worksheets/sheet31.xml" ContentType="application/vnd.openxmlformats-officedocument.spreadsheetml.worksheet+xml"/>
  <Override PartName="/xl/comments/comment21.xml" ContentType="application/vnd.openxmlformats-officedocument.spreadsheetml.comments+xml"/>
  <Override PartName="/xl/worksheets/sheet32.xml" ContentType="application/vnd.openxmlformats-officedocument.spreadsheetml.worksheet+xml"/>
  <Override PartName="/xl/comments/comment22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3.xml" ContentType="application/vnd.openxmlformats-officedocument.spreadsheetml.comments+xml"/>
  <Override PartName="/xl/worksheets/sheet35.xml" ContentType="application/vnd.openxmlformats-officedocument.spreadsheetml.worksheet+xml"/>
  <Override PartName="/xl/comments/comment24.xml" ContentType="application/vnd.openxmlformats-officedocument.spreadsheetml.comments+xml"/>
  <Override PartName="/xl/worksheets/sheet36.xml" ContentType="application/vnd.openxmlformats-officedocument.spreadsheetml.worksheet+xml"/>
  <Override PartName="/xl/comments/comment25.xml" ContentType="application/vnd.openxmlformats-officedocument.spreadsheetml.comments+xml"/>
  <Override PartName="/xl/worksheets/sheet37.xml" ContentType="application/vnd.openxmlformats-officedocument.spreadsheetml.worksheet+xml"/>
  <Override PartName="/xl/comments/comment26.xml" ContentType="application/vnd.openxmlformats-officedocument.spreadsheetml.comments+xml"/>
  <Override PartName="/xl/worksheets/sheet38.xml" ContentType="application/vnd.openxmlformats-officedocument.spreadsheetml.worksheet+xml"/>
  <Override PartName="/xl/comments/comment27.xml" ContentType="application/vnd.openxmlformats-officedocument.spreadsheetml.comments+xml"/>
  <Override PartName="/xl/worksheets/sheet39.xml" ContentType="application/vnd.openxmlformats-officedocument.spreadsheetml.worksheet+xml"/>
  <Override PartName="/xl/comments/comment28.xml" ContentType="application/vnd.openxmlformats-officedocument.spreadsheetml.comments+xml"/>
  <Override PartName="/xl/worksheets/sheet40.xml" ContentType="application/vnd.openxmlformats-officedocument.spreadsheetml.worksheet+xml"/>
  <Override PartName="/xl/comments/comment29.xml" ContentType="application/vnd.openxmlformats-officedocument.spreadsheetml.comments+xml"/>
  <Override PartName="/xl/worksheets/sheet41.xml" ContentType="application/vnd.openxmlformats-officedocument.spreadsheetml.worksheet+xml"/>
  <Override PartName="/xl/comments/comment30.xml" ContentType="application/vnd.openxmlformats-officedocument.spreadsheetml.comments+xml"/>
  <Override PartName="/xl/worksheets/sheet42.xml" ContentType="application/vnd.openxmlformats-officedocument.spreadsheetml.worksheet+xml"/>
  <Override PartName="/xl/comments/comment31.xml" ContentType="application/vnd.openxmlformats-officedocument.spreadsheetml.comments+xml"/>
  <Override PartName="/xl/worksheets/sheet43.xml" ContentType="application/vnd.openxmlformats-officedocument.spreadsheetml.worksheet+xml"/>
  <Override PartName="/xl/comments/comment32.xml" ContentType="application/vnd.openxmlformats-officedocument.spreadsheetml.comments+xml"/>
  <Override PartName="/xl/worksheets/sheet44.xml" ContentType="application/vnd.openxmlformats-officedocument.spreadsheetml.worksheet+xml"/>
  <Override PartName="/xl/comments/comment33.xml" ContentType="application/vnd.openxmlformats-officedocument.spreadsheetml.comments+xml"/>
  <Override PartName="/xl/worksheets/sheet45.xml" ContentType="application/vnd.openxmlformats-officedocument.spreadsheetml.worksheet+xml"/>
  <Override PartName="/xl/comments/comment34.xml" ContentType="application/vnd.openxmlformats-officedocument.spreadsheetml.comments+xml"/>
  <Override PartName="/xl/worksheets/sheet46.xml" ContentType="application/vnd.openxmlformats-officedocument.spreadsheetml.worksheet+xml"/>
  <Override PartName="/xl/comments/comment35.xml" ContentType="application/vnd.openxmlformats-officedocument.spreadsheetml.comments+xml"/>
  <Override PartName="/xl/worksheets/sheet47.xml" ContentType="application/vnd.openxmlformats-officedocument.spreadsheetml.worksheet+xml"/>
  <Override PartName="/xl/comments/comment36.xml" ContentType="application/vnd.openxmlformats-officedocument.spreadsheetml.comments+xml"/>
  <Override PartName="/xl/worksheets/sheet48.xml" ContentType="application/vnd.openxmlformats-officedocument.spreadsheetml.worksheet+xml"/>
  <Override PartName="/xl/comments/comment37.xml" ContentType="application/vnd.openxmlformats-officedocument.spreadsheetml.comments+xml"/>
  <Override PartName="/xl/worksheets/sheet49.xml" ContentType="application/vnd.openxmlformats-officedocument.spreadsheetml.worksheet+xml"/>
  <Override PartName="/xl/comments/comment38.xml" ContentType="application/vnd.openxmlformats-officedocument.spreadsheetml.comments+xml"/>
  <Override PartName="/xl/worksheets/sheet50.xml" ContentType="application/vnd.openxmlformats-officedocument.spreadsheetml.worksheet+xml"/>
  <Override PartName="/xl/comments/comment39.xml" ContentType="application/vnd.openxmlformats-officedocument.spreadsheetml.comments+xml"/>
  <Override PartName="/xl/worksheets/sheet51.xml" ContentType="application/vnd.openxmlformats-officedocument.spreadsheetml.worksheet+xml"/>
  <Override PartName="/xl/comments/comment40.xml" ContentType="application/vnd.openxmlformats-officedocument.spreadsheetml.comments+xml"/>
  <Override PartName="/xl/worksheets/sheet52.xml" ContentType="application/vnd.openxmlformats-officedocument.spreadsheetml.worksheet+xml"/>
  <Override PartName="/xl/comments/comment41.xml" ContentType="application/vnd.openxmlformats-officedocument.spreadsheetml.comments+xml"/>
  <Override PartName="/xl/worksheets/sheet53.xml" ContentType="application/vnd.openxmlformats-officedocument.spreadsheetml.worksheet+xml"/>
  <Override PartName="/xl/comments/comment4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EST. METÁLICA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5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000"/>
    <numFmt numFmtId="169" formatCode="0.0%"/>
    <numFmt numFmtId="170" formatCode="mmm/yy"/>
    <numFmt numFmtId="171" formatCode="0.0%;[Red]-0.0%;&quot;-&quot;"/>
    <numFmt numFmtId="172" formatCode="mm/yyyy"/>
    <numFmt numFmtId="173" formatCode="&quot;R$&quot; #,##0"/>
    <numFmt numFmtId="174" formatCode="yyyy-mm-dd h:mm:ss"/>
    <numFmt numFmtId="175" formatCode="0.0"/>
    <numFmt numFmtId="176" formatCode="0.000000"/>
    <numFmt numFmtId="177" formatCode="&quot;R$&quot; #,##0;[Red]-&quot;R$&quot; #,##0;&quot;-&quot;"/>
    <numFmt numFmtId="178" formatCode="&quot;R$&quot; #,##0.00;[Red]-&quot;R$&quot; #,##0.00;&quot;-&quot;"/>
  </numFmts>
  <fonts count="2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8" fillId="4" borderId="0" applyAlignment="1" pivotButton="0" quotePrefix="0" xfId="0">
      <alignment vertical="center"/>
    </xf>
    <xf numFmtId="0" fontId="0" fillId="4" borderId="0" pivotButton="0" quotePrefix="0" xfId="0"/>
    <xf numFmtId="0" fontId="9" fillId="4" borderId="0" applyAlignment="1" pivotButton="0" quotePrefix="0" xfId="0">
      <alignment vertical="top"/>
    </xf>
    <xf numFmtId="0" fontId="14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7" fontId="15" fillId="6" borderId="7" applyAlignment="1" pivotButton="0" quotePrefix="0" xfId="0">
      <alignment horizontal="left" vertical="center" indent="1"/>
    </xf>
    <xf numFmtId="169" fontId="15" fillId="6" borderId="7" applyAlignment="1" pivotButton="0" quotePrefix="0" xfId="0">
      <alignment horizontal="left" vertical="center" indent="1"/>
    </xf>
    <xf numFmtId="0" fontId="15" fillId="6" borderId="7" applyAlignment="1" pivotButton="0" quotePrefix="0" xfId="0">
      <alignment horizontal="left" vertical="center" indent="1"/>
    </xf>
    <xf numFmtId="0" fontId="16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5" fillId="7" borderId="11" applyAlignment="1" pivotButton="0" quotePrefix="0" xfId="0">
      <alignment horizontal="center"/>
    </xf>
    <xf numFmtId="178" fontId="2" fillId="7" borderId="11" pivotButton="0" quotePrefix="0" xfId="0"/>
    <xf numFmtId="10" fontId="2" fillId="7" borderId="11" pivotButton="0" quotePrefix="0" xfId="0"/>
    <xf numFmtId="1" fontId="25" fillId="8" borderId="11" applyAlignment="1" pivotButton="0" quotePrefix="0" xfId="0">
      <alignment horizontal="center"/>
    </xf>
    <xf numFmtId="178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8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0" fillId="0" borderId="0" pivotButton="0" quotePrefix="0" xfId="0"/>
    <xf numFmtId="0" fontId="23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9" fontId="2" fillId="7" borderId="11" pivotButton="0" quotePrefix="0" xfId="0"/>
    <xf numFmtId="0" fontId="2" fillId="8" borderId="11" applyAlignment="1" pivotButton="0" quotePrefix="0" xfId="0">
      <alignment indent="1"/>
    </xf>
    <xf numFmtId="169" fontId="2" fillId="8" borderId="11" pivotButton="0" quotePrefix="0" xfId="0"/>
    <xf numFmtId="0" fontId="7" fillId="4" borderId="0" applyAlignment="1" pivotButton="0" quotePrefix="0" xfId="0">
      <alignment indent="1"/>
    </xf>
    <xf numFmtId="169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0" fontId="5" fillId="0" borderId="1" pivotButton="0" quotePrefix="0" xfId="0"/>
    <xf numFmtId="169" fontId="5" fillId="0" borderId="1" pivotButton="0" quotePrefix="0" xfId="0"/>
    <xf numFmtId="168" fontId="4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0" fontId="9" fillId="4" borderId="0" pivotButton="0" quotePrefix="0" xfId="0"/>
    <xf numFmtId="0" fontId="10" fillId="0" borderId="0" applyAlignment="1" pivotButton="0" quotePrefix="0" xfId="0">
      <alignment horizontal="right"/>
    </xf>
    <xf numFmtId="1" fontId="11" fillId="2" borderId="1" pivotButton="0" quotePrefix="0" xfId="0"/>
    <xf numFmtId="172" fontId="12" fillId="2" borderId="1" pivotButton="0" quotePrefix="0" xfId="0"/>
    <xf numFmtId="167" fontId="13" fillId="0" borderId="0" applyAlignment="1" pivotButton="0" quotePrefix="0" xfId="0">
      <alignment horizontal="left"/>
    </xf>
    <xf numFmtId="173" fontId="15" fillId="6" borderId="7" applyAlignment="1" pivotButton="0" quotePrefix="0" xfId="0">
      <alignment horizontal="left" vertical="center" indent="1"/>
    </xf>
    <xf numFmtId="4" fontId="15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9" fontId="2" fillId="7" borderId="11" applyAlignment="1" pivotButton="0" quotePrefix="0" xfId="0">
      <alignment horizontal="right" vertical="top"/>
    </xf>
    <xf numFmtId="169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19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9" fontId="2" fillId="8" borderId="11" applyAlignment="1" pivotButton="0" quotePrefix="0" xfId="0">
      <alignment horizontal="right" vertical="top"/>
    </xf>
    <xf numFmtId="169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19" fillId="8" borderId="11" applyAlignment="1" pivotButton="0" quotePrefix="0" xfId="0">
      <alignment vertical="top" wrapText="1"/>
    </xf>
    <xf numFmtId="0" fontId="13" fillId="9" borderId="11" applyAlignment="1" pivotButton="0" quotePrefix="0" xfId="0">
      <alignment horizontal="left" vertical="top"/>
    </xf>
    <xf numFmtId="0" fontId="13" fillId="9" borderId="11" applyAlignment="1" pivotButton="0" quotePrefix="0" xfId="0">
      <alignment vertical="top" wrapText="1"/>
    </xf>
    <xf numFmtId="169" fontId="13" fillId="9" borderId="11" applyAlignment="1" pivotButton="0" quotePrefix="0" xfId="0">
      <alignment horizontal="right" vertical="top"/>
    </xf>
    <xf numFmtId="164" fontId="13" fillId="9" borderId="11" applyAlignment="1" pivotButton="0" quotePrefix="0" xfId="0">
      <alignment horizontal="right" vertical="top"/>
    </xf>
    <xf numFmtId="0" fontId="13" fillId="9" borderId="11" pivotButton="0" quotePrefix="0" xfId="0"/>
    <xf numFmtId="164" fontId="7" fillId="4" borderId="0" applyAlignment="1" pivotButton="0" quotePrefix="0" xfId="0">
      <alignment horizontal="right"/>
    </xf>
    <xf numFmtId="169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9" fontId="2" fillId="0" borderId="11" applyAlignment="1" pivotButton="0" quotePrefix="0" xfId="0">
      <alignment horizontal="right"/>
    </xf>
    <xf numFmtId="170" fontId="7" fillId="4" borderId="0" applyAlignment="1" pivotButton="0" quotePrefix="0" xfId="0">
      <alignment horizontal="center" vertical="center" wrapText="1"/>
    </xf>
    <xf numFmtId="165" fontId="3" fillId="0" borderId="1" pivotButton="0" quotePrefix="0" xfId="0"/>
    <xf numFmtId="171" fontId="2" fillId="0" borderId="1" pivotButton="0" quotePrefix="0" xfId="0"/>
    <xf numFmtId="0" fontId="21" fillId="0" borderId="0" pivotButton="0" quotePrefix="0" xfId="0"/>
    <xf numFmtId="170" fontId="5" fillId="0" borderId="1" pivotButton="0" quotePrefix="0" xfId="0"/>
    <xf numFmtId="10" fontId="4" fillId="0" borderId="1" pivotButton="0" quotePrefix="0" xfId="0"/>
    <xf numFmtId="172" fontId="4" fillId="0" borderId="1" pivotButton="0" quotePrefix="0" xfId="0"/>
    <xf numFmtId="10" fontId="2" fillId="0" borderId="0" pivotButton="0" quotePrefix="0" xfId="0"/>
    <xf numFmtId="0" fontId="22" fillId="0" borderId="0" pivotButton="0" quotePrefix="0" xfId="0"/>
    <xf numFmtId="172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2" fontId="5" fillId="0" borderId="1" pivotButton="0" quotePrefix="0" xfId="0"/>
    <xf numFmtId="1" fontId="22" fillId="0" borderId="0" pivotButton="0" quotePrefix="0" xfId="0"/>
    <xf numFmtId="170" fontId="7" fillId="4" borderId="1" pivotButton="0" quotePrefix="0" xfId="0"/>
    <xf numFmtId="175" fontId="2" fillId="0" borderId="1" pivotButton="0" quotePrefix="0" xfId="0"/>
    <xf numFmtId="176" fontId="2" fillId="0" borderId="0" pivotButton="0" quotePrefix="0" xfId="0"/>
    <xf numFmtId="165" fontId="2" fillId="0" borderId="0" pivotButton="0" quotePrefix="0" xfId="0"/>
    <xf numFmtId="165" fontId="3" fillId="5" borderId="1" pivotButton="0" quotePrefix="0" xfId="0"/>
    <xf numFmtId="170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70" fontId="2" fillId="0" borderId="1" pivotButton="0" quotePrefix="0" xfId="0"/>
    <xf numFmtId="164" fontId="4" fillId="2" borderId="1" pivotButton="0" quotePrefix="0" xfId="0"/>
    <xf numFmtId="169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1" fontId="3" fillId="5" borderId="1" pivotButton="0" quotePrefix="0" xfId="0"/>
    <xf numFmtId="4" fontId="3" fillId="0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G10" authorId="0" shapeId="0">
      <text>
        <t>Valor em INCC do orçamento, copiado da aba VALOR POR PL da planilha original da obra (nas obras novas: orçamento em R$ ÷ INCC base).</t>
      </text>
    </comment>
    <comment ref="H10" authorId="0" shapeId="0">
      <text>
        <t>Meta da distribuição em INCC (= coluna G, orçamento ÷ INCC base). A soma do fluxo em INCC de cada PL é igual a este valor. Taxa de administração 'somente incorrido': meta = incorrido em INCC.</t>
      </text>
    </comment>
    <comment ref="L10" authorId="0" shapeId="0">
      <text>
        <t>Calculada: incorrido em R$ + (meta em INCC − incorrido em INCC) × INCC do corte. O controle da obra é em INCC: a distribuição de cada PL soma a coluna H.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  <comment ref="S10" authorId="0" shapeId="0">
      <text>
        <t>Reorçamento (projeção) da PL: meta em INCC = INCC do orçamento × fator. Fator = projeção ÷ orçamento, os dois na mesma base de reajuste (planilha de medição financeira, aba ANÁLISE IEC: coluna W ÷ coluna H). Vazio = 1 (sem reorçamento).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  <comment ref="D43" authorId="0" shapeId="0">
      <text>
        <t>Premissa do cenário: execução física = avanço financeiro do fim do ano + 0.7 p.p. (executa antes de pagar). Não vem do Prevision.</t>
      </text>
    </comment>
    <comment ref="D45" authorId="0" shapeId="0">
      <text>
        <t>Premissa do cenário: execução física = avanço financeiro do fim do ano + 0.7 p.p. (executa antes de pagar). Não vem do Prevision.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BZ4" authorId="0" shapeId="0">
      <text>
        <t>Realizado até o 1º mês do horizonte (coluna D, 'Acu até'), convertido em INCC pelo índice de CADA mês em que foi pago (aba INCC-FGV). É o valor usado na linha 'Acu até' das abas de disciplina.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2.xml" Id="comments" /><Relationship Type="http://schemas.openxmlformats.org/officeDocument/2006/relationships/vmlDrawing" Target="/xl/drawings/commentsDrawing4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(META EM INCC − INCORRIDO EM INCC) é distribuído nos meses futuros e convertido em R$ pelo INCC do corte; a linha DIFERENÇA fica zerada.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fechado. A meta de cada PL é em INCC (coluna H); a projeção em R$ (coluna L) é calculada.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 ajustado")&amp;"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'VALOR POR PL'!L50</f>
        <v/>
      </c>
      <c r="D6" s="13">
        <f>SUMPRODUCT(('MODELO PARA BI'!$H$1:$CA$1&lt;='VALOR POR PL'!$P$5)*'MODELO PARA BI'!$H$63:$CA$63)</f>
        <v/>
      </c>
      <c r="E6" s="14">
        <f>IF(B6=0,0,D6/B6)</f>
        <v/>
      </c>
      <c r="F6" s="13">
        <f>SUMPRODUCT((YEAR('MODELO PARA BI'!$H$1:$CA$1)='RETRATO 2027'!$D$5)*'MODELO PARA BI'!$H$63:$CA$63)</f>
        <v/>
      </c>
      <c r="H6" s="13">
        <f>SUM('MODELO PARA BI'!$H$63:$CA$63)-D6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orçamento em INCC convertido (R$)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BI'!$H$63:$CA$63)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BI'!$H$63:$CA$63)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BI'!$H$63:$CA$63)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BI'!$H$63:$CA$63)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BI'!$H$63:$CA$63)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BI'!$H$63:$CA$63)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BI'!$H$63:$CA$63)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BI'!$H$63:$CA$63)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BI'!$H$63:$CA$63)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BI'!$H$63:$CA$63)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BI'!$H$63:$CA$63)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BI'!$H$63:$CA$63)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BI'!$H$63:$CA$63)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BI'!$H$63:$CA$63)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S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  <col width="12" customWidth="1" min="19" max="19"/>
  </cols>
  <sheetData>
    <row r="3">
      <c r="B3" s="45" t="inlineStr">
        <is>
          <t>ORÇAMENTO MAIO/25 - ED JARDIM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/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/>
      <c r="H6" s="47" t="n">
        <v>1178.3886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IFERROR(INDEX('"INCC-FGV"'!$B$2:$B$800,MATCH(P5,'"INCC-FGV"'!$A$2:$A$800,0)),IFERROR(INDEX('"INCC-FGV"'!$B$2:$B$800,MATCH(P5,'"INCC-FGV"'!$A$2:$A$800,1)),"FALTA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PREVISION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ED JARDIM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(orçamento)</t>
        </is>
      </c>
      <c r="H10" s="58" t="inlineStr">
        <is>
          <t>META EM INCC
(soma da
distribuição)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  <c r="R10" s="58" t="inlineStr">
        <is>
          <t>CURVA PREVISTA
DE OUTRO PL
(cód. Prevision)</t>
        </is>
      </c>
      <c r="S10" s="58" t="inlineStr">
        <is>
          <t>FATOR DA
PROJEÇÃO
(reorçamento)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2720799.48</v>
      </c>
      <c r="G11" s="53" t="n">
        <v>2308.91531</v>
      </c>
      <c r="H11" s="49">
        <f>G11*IF(S11="",1,S11)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60">
        <f>'PROJETO'!$J$7</f>
        <v/>
      </c>
      <c r="M11" s="49">
        <f>L11-K11</f>
        <v/>
      </c>
      <c r="N11" s="51">
        <f>IF(D11="","",IF('PROJETO'!$K$8&gt;'PROJETO'!$K$6+0.01,"⚠ Incorrido acima da meta em INCC",IF(AND('PROJETO'!$K$18&gt;1,'PROJETO'!$K$17=0),"⚠ Saldo sem curva (preencha a coluna H da aba)",IF(ABS('PROJETO'!$D$80)&gt;0.01,"⚠ Verificar","OK"))))</f>
        <v/>
      </c>
      <c r="O11" s="61">
        <f>'PROJETO'!$K$16</f>
        <v/>
      </c>
      <c r="P11" s="62">
        <f>'PROJETO'!$K$14</f>
        <v/>
      </c>
      <c r="Q11" s="59" t="inlineStr">
        <is>
          <t>01</t>
        </is>
      </c>
      <c r="R11" s="59" t="n"/>
      <c r="S11" s="63" t="n">
        <v>0.98527105</v>
      </c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122200</v>
      </c>
      <c r="G12" s="53" t="n">
        <v>103.700935</v>
      </c>
      <c r="H12" s="49">
        <f>G12*IF(S12="",1,S12)</f>
        <v/>
      </c>
      <c r="I12" s="59" t="inlineStr">
        <is>
          <t>INDIRETO</t>
        </is>
      </c>
      <c r="J12" s="59" t="inlineStr">
        <is>
          <t>SEGURO DE OBRA</t>
        </is>
      </c>
      <c r="K12" s="49">
        <f>IF(ISNUMBER($P$7),G12*$P$7,0)</f>
        <v/>
      </c>
      <c r="L12" s="60">
        <f>'SEGUROS'!$J$7</f>
        <v/>
      </c>
      <c r="M12" s="49">
        <f>L12-K12</f>
        <v/>
      </c>
      <c r="N12" s="51">
        <f>IF(D12="","",IF('SEGUROS'!$K$8&gt;'SEGUROS'!$K$6+0.01,"⚠ Incorrido acima da meta em INCC",IF(AND('SEGUROS'!$K$18&gt;1,'SEGUROS'!$K$17=0),"⚠ Saldo sem curva (preencha a coluna H da aba)",IF(ABS('SEGUROS'!$D$80)&gt;0.01,"⚠ Verificar","OK"))))</f>
        <v/>
      </c>
      <c r="O12" s="61">
        <f>'SEGUROS'!$K$16</f>
        <v/>
      </c>
      <c r="P12" s="62">
        <f>'SEGUROS'!$K$14</f>
        <v/>
      </c>
      <c r="Q12" s="59" t="inlineStr">
        <is>
          <t>02</t>
        </is>
      </c>
      <c r="R12" s="59" t="n"/>
      <c r="S12" s="63" t="n">
        <v>0.92468838</v>
      </c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53" t="n">
        <v>127.292474</v>
      </c>
      <c r="H13" s="49">
        <f>G13*IF(S13="",1,S13)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60">
        <f>'TAX. DIVERSAS'!$J$7</f>
        <v/>
      </c>
      <c r="M13" s="49">
        <f>L13-K13</f>
        <v/>
      </c>
      <c r="N13" s="51">
        <f>IF(D13="","",IF('TAX. DIVERSAS'!$K$8&gt;'TAX. DIVERSAS'!$K$6+0.01,"⚠ Incorrido acima da meta em INCC",IF(AND('TAX. DIVERSAS'!$K$18&gt;1,'TAX. DIVERSAS'!$K$17=0),"⚠ Saldo sem curva (preencha a coluna H da aba)",IF(ABS('TAX. DIVERSAS'!$D$80)&gt;0.01,"⚠ Verificar","OK"))))</f>
        <v/>
      </c>
      <c r="O13" s="61">
        <f>'TAX. DIVERSAS'!$K$16</f>
        <v/>
      </c>
      <c r="P13" s="62">
        <f>'TAX. DIVERSAS'!$K$14</f>
        <v/>
      </c>
      <c r="Q13" s="59" t="inlineStr">
        <is>
          <t>03</t>
        </is>
      </c>
      <c r="R13" s="59" t="n"/>
      <c r="S13" s="63" t="n"/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995153.99</v>
      </c>
      <c r="G14" s="53" t="n">
        <v>844.504092</v>
      </c>
      <c r="H14" s="49">
        <f>G14*IF(S14="",1,S14)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60">
        <f>'BARRACÃO DE OBRA'!$J$7</f>
        <v/>
      </c>
      <c r="M14" s="49">
        <f>L14-K14</f>
        <v/>
      </c>
      <c r="N14" s="51">
        <f>IF(D14="","",IF('BARRACÃO DE OBRA'!$K$8&gt;'BARRACÃO DE OBRA'!$K$6+0.01,"⚠ Incorrido acima da meta em INCC",IF(AND('BARRACÃO DE OBRA'!$K$18&gt;1,'BARRACÃO DE OBRA'!$K$17=0),"⚠ Saldo sem curva (preencha a coluna H da aba)",IF(ABS('BARRACÃO DE OBRA'!$D$80)&gt;0.01,"⚠ Verificar","OK"))))</f>
        <v/>
      </c>
      <c r="O14" s="61">
        <f>'BARRACÃO DE OBRA'!$K$16</f>
        <v/>
      </c>
      <c r="P14" s="62">
        <f>'BARRACÃO DE OBRA'!$K$14</f>
        <v/>
      </c>
      <c r="Q14" s="59" t="inlineStr">
        <is>
          <t>04</t>
        </is>
      </c>
      <c r="R14" s="59" t="n"/>
      <c r="S14" s="63" t="n">
        <v>1.14967706</v>
      </c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53" t="n">
        <v>42.430825</v>
      </c>
      <c r="H15" s="49">
        <f>G15*IF(S15="",1,S15)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60">
        <f>'LIG. PROVISÓRIAS'!$J$7</f>
        <v/>
      </c>
      <c r="M15" s="49">
        <f>L15-K15</f>
        <v/>
      </c>
      <c r="N15" s="51">
        <f>IF(D15="","",IF('LIG. PROVISÓRIAS'!$K$8&gt;'LIG. PROVISÓRIAS'!$K$6+0.01,"⚠ Incorrido acima da meta em INCC",IF(AND('LIG. PROVISÓRIAS'!$K$18&gt;1,'LIG. PROVISÓRIAS'!$K$17=0),"⚠ Saldo sem curva (preencha a coluna H da aba)",IF(ABS('LIG. PROVISÓRIAS'!$D$80)&gt;0.01,"⚠ Verificar","OK"))))</f>
        <v/>
      </c>
      <c r="O15" s="61">
        <f>'LIG. PROVISÓRIAS'!$K$16</f>
        <v/>
      </c>
      <c r="P15" s="62">
        <f>'LIG. PROVISÓRIAS'!$K$14</f>
        <v/>
      </c>
      <c r="Q15" s="59" t="inlineStr">
        <is>
          <t>05</t>
        </is>
      </c>
      <c r="R15" s="59" t="n"/>
      <c r="S15" s="63" t="n"/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385000</v>
      </c>
      <c r="G16" s="53" t="n">
        <v>326.717349</v>
      </c>
      <c r="H16" s="49">
        <f>G16*IF(S16="",1,S16)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60">
        <f>'CONSUMOS'!$J$7</f>
        <v/>
      </c>
      <c r="M16" s="49">
        <f>L16-K16</f>
        <v/>
      </c>
      <c r="N16" s="51">
        <f>IF(D16="","",IF('CONSUMOS'!$K$8&gt;'CONSUMOS'!$K$6+0.01,"⚠ Incorrido acima da meta em INCC",IF(AND('CONSUMOS'!$K$18&gt;1,'CONSUMOS'!$K$17=0),"⚠ Saldo sem curva (preencha a coluna H da aba)",IF(ABS('CONSUMOS'!$D$80)&gt;0.01,"⚠ Verificar","OK"))))</f>
        <v/>
      </c>
      <c r="O16" s="61">
        <f>'CONSUMOS'!$K$16</f>
        <v/>
      </c>
      <c r="P16" s="62">
        <f>'CONSUMOS'!$K$14</f>
        <v/>
      </c>
      <c r="Q16" s="59" t="inlineStr">
        <is>
          <t>06</t>
        </is>
      </c>
      <c r="R16" s="59" t="n"/>
      <c r="S16" s="63" t="n">
        <v>1.37539931</v>
      </c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131000</v>
      </c>
      <c r="G17" s="53" t="n">
        <v>111.16876</v>
      </c>
      <c r="H17" s="49">
        <f>G17*IF(S17="",1,S17)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60">
        <f>'DIVERSOS'!$J$7</f>
        <v/>
      </c>
      <c r="M17" s="49">
        <f>L17-K17</f>
        <v/>
      </c>
      <c r="N17" s="51">
        <f>IF(D17="","",IF('DIVERSOS'!$K$8&gt;'DIVERSOS'!$K$6+0.01,"⚠ Incorrido acima da meta em INCC",IF(AND('DIVERSOS'!$K$18&gt;1,'DIVERSOS'!$K$17=0),"⚠ Saldo sem curva (preencha a coluna H da aba)",IF(ABS('DIVERSOS'!$D$80)&gt;0.01,"⚠ Verificar","OK"))))</f>
        <v/>
      </c>
      <c r="O17" s="61">
        <f>'DIVERSOS'!$K$16</f>
        <v/>
      </c>
      <c r="P17" s="62">
        <f>'DIVERSOS'!$K$14</f>
        <v/>
      </c>
      <c r="Q17" s="59" t="inlineStr">
        <is>
          <t>07</t>
        </is>
      </c>
      <c r="R17" s="59" t="n"/>
      <c r="S17" s="63" t="n">
        <v>1.91291433</v>
      </c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742720</v>
      </c>
      <c r="G18" s="53" t="n">
        <v>630.284441</v>
      </c>
      <c r="H18" s="49">
        <f>G18*IF(S18="",1,S18)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60">
        <f>'TRANSPORTES'!$J$7</f>
        <v/>
      </c>
      <c r="M18" s="49">
        <f>L18-K18</f>
        <v/>
      </c>
      <c r="N18" s="51">
        <f>IF(D18="","",IF('TRANSPORTES'!$K$8&gt;'TRANSPORTES'!$K$6+0.01,"⚠ Incorrido acima da meta em INCC",IF(AND('TRANSPORTES'!$K$18&gt;1,'TRANSPORTES'!$K$17=0),"⚠ Saldo sem curva (preencha a coluna H da aba)",IF(ABS('TRANSPORTES'!$D$80)&gt;0.01,"⚠ Verificar","OK"))))</f>
        <v/>
      </c>
      <c r="O18" s="61">
        <f>'TRANSPORTES'!$K$16</f>
        <v/>
      </c>
      <c r="P18" s="62">
        <f>'TRANSPORTES'!$K$14</f>
        <v/>
      </c>
      <c r="Q18" s="59" t="inlineStr">
        <is>
          <t>08</t>
        </is>
      </c>
      <c r="R18" s="59" t="n"/>
      <c r="S18" s="63" t="n">
        <v>0.99358932</v>
      </c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805441.86</v>
      </c>
      <c r="G19" s="53" t="n">
        <v>683.511246</v>
      </c>
      <c r="H19" s="49">
        <f>G19*IF(S19="",1,S19)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60">
        <f>'CONSULTORIAS'!$J$7</f>
        <v/>
      </c>
      <c r="M19" s="49">
        <f>L19-K19</f>
        <v/>
      </c>
      <c r="N19" s="51">
        <f>IF(D19="","",IF('CONSULTORIAS'!$K$8&gt;'CONSULTORIAS'!$K$6+0.01,"⚠ Incorrido acima da meta em INCC",IF(AND('CONSULTORIAS'!$K$18&gt;1,'CONSULTORIAS'!$K$17=0),"⚠ Saldo sem curva (preencha a coluna H da aba)",IF(ABS('CONSULTORIAS'!$D$80)&gt;0.01,"⚠ Verificar","OK"))))</f>
        <v/>
      </c>
      <c r="O19" s="61">
        <f>'CONSULTORIAS'!$K$16</f>
        <v/>
      </c>
      <c r="P19" s="62">
        <f>'CONSULTORIAS'!$K$14</f>
        <v/>
      </c>
      <c r="Q19" s="59" t="inlineStr">
        <is>
          <t>09</t>
        </is>
      </c>
      <c r="R19" s="59" t="n"/>
      <c r="S19" s="63" t="n">
        <v>1.05101587</v>
      </c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14511646.08</v>
      </c>
      <c r="G20" s="53" t="n">
        <v>12314.822187</v>
      </c>
      <c r="H20" s="49">
        <f>G20*IF(S20="",1,S20)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60">
        <f>'MDO'!$J$7</f>
        <v/>
      </c>
      <c r="M20" s="49">
        <f>L20-K20</f>
        <v/>
      </c>
      <c r="N20" s="51">
        <f>IF(D20="","",IF('MDO'!$K$8&gt;'MDO'!$K$6+0.01,"⚠ Incorrido acima da meta em INCC",IF(AND('MDO'!$K$18&gt;1,'MDO'!$K$17=0),"⚠ Saldo sem curva (preencha a coluna H da aba)",IF(ABS('MDO'!$D$80)&gt;0.01,"⚠ Verificar","OK"))))</f>
        <v/>
      </c>
      <c r="O20" s="61">
        <f>'MDO'!$K$16</f>
        <v/>
      </c>
      <c r="P20" s="62">
        <f>'MDO'!$K$14</f>
        <v/>
      </c>
      <c r="Q20" s="59" t="inlineStr">
        <is>
          <t>10</t>
        </is>
      </c>
      <c r="R20" s="59" t="n"/>
      <c r="S20" s="63" t="n">
        <v>1.07173555</v>
      </c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4368148.8</v>
      </c>
      <c r="G21" s="53" t="n">
        <v>3706.883114</v>
      </c>
      <c r="H21" s="49">
        <f>G21*IF(S21="",1,S21)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60">
        <f>'EQUIP E FER'!$J$7</f>
        <v/>
      </c>
      <c r="M21" s="49">
        <f>L21-K21</f>
        <v/>
      </c>
      <c r="N21" s="51">
        <f>IF(D21="","",IF('EQUIP E FER'!$K$8&gt;'EQUIP E FER'!$K$6+0.01,"⚠ Incorrido acima da meta em INCC",IF(AND('EQUIP E FER'!$K$18&gt;1,'EQUIP E FER'!$K$17=0),"⚠ Saldo sem curva (preencha a coluna H da aba)",IF(ABS('EQUIP E FER'!$D$80)&gt;0.01,"⚠ Verificar","OK"))))</f>
        <v/>
      </c>
      <c r="O21" s="61">
        <f>'EQUIP E FER'!$K$16</f>
        <v/>
      </c>
      <c r="P21" s="62">
        <f>'EQUIP E FER'!$K$14</f>
        <v/>
      </c>
      <c r="Q21" s="59" t="inlineStr">
        <is>
          <t>11</t>
        </is>
      </c>
      <c r="R21" s="59" t="n"/>
      <c r="S21" s="63" t="n"/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595242.6800000001</v>
      </c>
      <c r="G22" s="53" t="n">
        <v>505.132755</v>
      </c>
      <c r="H22" s="49">
        <f>G22*IF(S22="",1,S22)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60">
        <f>'SERV. INICIAIS'!$J$7</f>
        <v/>
      </c>
      <c r="M22" s="49">
        <f>L22-K22</f>
        <v/>
      </c>
      <c r="N22" s="51">
        <f>IF(D22="","",IF('SERV. INICIAIS'!$K$8&gt;'SERV. INICIAIS'!$K$6+0.01,"⚠ Incorrido acima da meta em INCC",IF(AND('SERV. INICIAIS'!$K$18&gt;1,'SERV. INICIAIS'!$K$17=0),"⚠ Saldo sem curva (preencha a coluna H da aba)",IF(ABS('SERV. INICIAIS'!$D$80)&gt;0.01,"⚠ Verificar","OK"))))</f>
        <v/>
      </c>
      <c r="O22" s="61">
        <f>'SERV. INICIAIS'!$K$16</f>
        <v/>
      </c>
      <c r="P22" s="62">
        <f>'SERV. INICIAIS'!$K$14</f>
        <v/>
      </c>
      <c r="Q22" s="59" t="inlineStr">
        <is>
          <t>12</t>
        </is>
      </c>
      <c r="R22" s="59" t="n"/>
      <c r="S22" s="63" t="n">
        <v>0.94977267</v>
      </c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1384152.81</v>
      </c>
      <c r="G23" s="53" t="n">
        <v>1174.614899</v>
      </c>
      <c r="H23" s="49">
        <f>G23*IF(S23="",1,S23)</f>
        <v/>
      </c>
      <c r="I23" s="59" t="inlineStr">
        <is>
          <t>DIRETO</t>
        </is>
      </c>
      <c r="J23" s="59" t="inlineStr">
        <is>
          <t>CONTENÇÕES</t>
        </is>
      </c>
      <c r="K23" s="49">
        <f>IF(ISNUMBER($P$7),G23*$P$7,0)</f>
        <v/>
      </c>
      <c r="L23" s="60">
        <f>'CONTENÇÃO'!$J$7</f>
        <v/>
      </c>
      <c r="M23" s="49">
        <f>L23-K23</f>
        <v/>
      </c>
      <c r="N23" s="51">
        <f>IF(D23="","",IF('CONTENÇÃO'!$K$8&gt;'CONTENÇÃO'!$K$6+0.01,"⚠ Incorrido acima da meta em INCC",IF(AND('CONTENÇÃO'!$K$18&gt;1,'CONTENÇÃO'!$K$17=0),"⚠ Saldo sem curva (preencha a coluna H da aba)",IF(ABS('CONTENÇÃO'!$D$80)&gt;0.01,"⚠ Verificar","OK"))))</f>
        <v/>
      </c>
      <c r="O23" s="61">
        <f>'CONTENÇÃO'!$K$16</f>
        <v/>
      </c>
      <c r="P23" s="62">
        <f>'CONTENÇÃO'!$K$14</f>
        <v/>
      </c>
      <c r="Q23" s="59" t="inlineStr">
        <is>
          <t>13</t>
        </is>
      </c>
      <c r="R23" s="59" t="n"/>
      <c r="S23" s="63" t="n">
        <v>0.86030236</v>
      </c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2940699.35</v>
      </c>
      <c r="G24" s="53" t="n">
        <v>2495.525964</v>
      </c>
      <c r="H24" s="49">
        <f>G24*IF(S24="",1,S24)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60">
        <f>'TERRAPLENAGEM'!$J$7</f>
        <v/>
      </c>
      <c r="M24" s="49">
        <f>L24-K24</f>
        <v/>
      </c>
      <c r="N24" s="51">
        <f>IF(D24="","",IF('TERRAPLENAGEM'!$K$8&gt;'TERRAPLENAGEM'!$K$6+0.01,"⚠ Incorrido acima da meta em INCC",IF(AND('TERRAPLENAGEM'!$K$18&gt;1,'TERRAPLENAGEM'!$K$17=0),"⚠ Saldo sem curva (preencha a coluna H da aba)",IF(ABS('TERRAPLENAGEM'!$D$80)&gt;0.01,"⚠ Verificar","OK"))))</f>
        <v/>
      </c>
      <c r="O24" s="61">
        <f>'TERRAPLENAGEM'!$K$16</f>
        <v/>
      </c>
      <c r="P24" s="62">
        <f>'TERRAPLENAGEM'!$K$14</f>
        <v/>
      </c>
      <c r="Q24" s="59" t="inlineStr">
        <is>
          <t>14</t>
        </is>
      </c>
      <c r="R24" s="59" t="n"/>
      <c r="S24" s="63" t="n">
        <v>0.8078573100000001</v>
      </c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5345899.12</v>
      </c>
      <c r="G25" s="53" t="n">
        <v>4536.618156</v>
      </c>
      <c r="H25" s="49">
        <f>G25*IF(S25="",1,S25)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60">
        <f>'FUND. PROF'!$J$7</f>
        <v/>
      </c>
      <c r="M25" s="49">
        <f>L25-K25</f>
        <v/>
      </c>
      <c r="N25" s="51">
        <f>IF(D25="","",IF('FUND. PROF'!$K$8&gt;'FUND. PROF'!$K$6+0.01,"⚠ Incorrido acima da meta em INCC",IF(AND('FUND. PROF'!$K$18&gt;1,'FUND. PROF'!$K$17=0),"⚠ Saldo sem curva (preencha a coluna H da aba)",IF(ABS('FUND. PROF'!$D$80)&gt;0.01,"⚠ Verificar","OK"))))</f>
        <v/>
      </c>
      <c r="O25" s="61">
        <f>'FUND. PROF'!$K$16</f>
        <v/>
      </c>
      <c r="P25" s="62">
        <f>'FUND. PROF'!$K$14</f>
        <v/>
      </c>
      <c r="Q25" s="59" t="inlineStr">
        <is>
          <t>15</t>
        </is>
      </c>
      <c r="R25" s="59" t="n"/>
      <c r="S25" s="63" t="n">
        <v>0.7564801799999999</v>
      </c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4052793.15</v>
      </c>
      <c r="G26" s="53" t="n">
        <v>3439.267102</v>
      </c>
      <c r="H26" s="49">
        <f>G26*IF(S26="",1,S26)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60">
        <f>'FUND. SUP'!$J$7</f>
        <v/>
      </c>
      <c r="M26" s="49">
        <f>L26-K26</f>
        <v/>
      </c>
      <c r="N26" s="51">
        <f>IF(D26="","",IF('FUND. SUP'!$K$8&gt;'FUND. SUP'!$K$6+0.01,"⚠ Incorrido acima da meta em INCC",IF(AND('FUND. SUP'!$K$18&gt;1,'FUND. SUP'!$K$17=0),"⚠ Saldo sem curva (preencha a coluna H da aba)",IF(ABS('FUND. SUP'!$D$80)&gt;0.01,"⚠ Verificar","OK"))))</f>
        <v/>
      </c>
      <c r="O26" s="61">
        <f>'FUND. SUP'!$K$16</f>
        <v/>
      </c>
      <c r="P26" s="62">
        <f>'FUND. SUP'!$K$14</f>
        <v/>
      </c>
      <c r="Q26" s="59" t="inlineStr">
        <is>
          <t>16</t>
        </is>
      </c>
      <c r="R26" s="59" t="n"/>
      <c r="S26" s="63" t="n">
        <v>0.79334164</v>
      </c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20273268.87</v>
      </c>
      <c r="G27" s="53" t="n">
        <v>17204.230308</v>
      </c>
      <c r="H27" s="49">
        <f>G27*IF(S27="",1,S27)</f>
        <v/>
      </c>
      <c r="I27" s="59" t="inlineStr">
        <is>
          <t>DIRETO</t>
        </is>
      </c>
      <c r="J27" s="59" t="inlineStr">
        <is>
          <t>ESTRUTURA EM CONCRETO</t>
        </is>
      </c>
      <c r="K27" s="49">
        <f>IF(ISNUMBER($P$7),G27*$P$7,0)</f>
        <v/>
      </c>
      <c r="L27" s="60">
        <f>'ESTRUTURA'!$J$7</f>
        <v/>
      </c>
      <c r="M27" s="49">
        <f>L27-K27</f>
        <v/>
      </c>
      <c r="N27" s="51">
        <f>IF(D27="","",IF('ESTRUTURA'!$K$8&gt;'ESTRUTURA'!$K$6+0.01,"⚠ Incorrido acima da meta em INCC",IF(AND('ESTRUTURA'!$K$18&gt;1,'ESTRUTURA'!$K$17=0),"⚠ Saldo sem curva (preencha a coluna H da aba)",IF(ABS('ESTRUTURA'!$D$80)&gt;0.01,"⚠ Verificar","OK"))))</f>
        <v/>
      </c>
      <c r="O27" s="61">
        <f>'ESTRUTURA'!$K$16</f>
        <v/>
      </c>
      <c r="P27" s="62">
        <f>'ESTRUTURA'!$K$14</f>
        <v/>
      </c>
      <c r="Q27" s="59" t="inlineStr">
        <is>
          <t>17</t>
        </is>
      </c>
      <c r="R27" s="59" t="n"/>
      <c r="S27" s="63" t="n">
        <v>0.97528193</v>
      </c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3009694.16</v>
      </c>
      <c r="G28" s="53" t="n">
        <v>2554.076099</v>
      </c>
      <c r="H28" s="49">
        <f>G28*IF(S28="",1,S28)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60">
        <f>'ALVENARIA'!$J$7</f>
        <v/>
      </c>
      <c r="M28" s="49">
        <f>L28-K28</f>
        <v/>
      </c>
      <c r="N28" s="51">
        <f>IF(D28="","",IF('ALVENARIA'!$K$8&gt;'ALVENARIA'!$K$6+0.01,"⚠ Incorrido acima da meta em INCC",IF(AND('ALVENARIA'!$K$18&gt;1,'ALVENARIA'!$K$17=0),"⚠ Saldo sem curva (preencha a coluna H da aba)",IF(ABS('ALVENARIA'!$D$80)&gt;0.01,"⚠ Verificar","OK"))))</f>
        <v/>
      </c>
      <c r="O28" s="61">
        <f>'ALVENARIA'!$K$16</f>
        <v/>
      </c>
      <c r="P28" s="62">
        <f>'ALVENARIA'!$K$14</f>
        <v/>
      </c>
      <c r="Q28" s="59" t="inlineStr">
        <is>
          <t>19</t>
        </is>
      </c>
      <c r="R28" s="59" t="n"/>
      <c r="S28" s="63" t="n">
        <v>1.10361789</v>
      </c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3799651.26</v>
      </c>
      <c r="G29" s="53" t="n">
        <v>3224.446723</v>
      </c>
      <c r="H29" s="49">
        <f>G29*IF(S29="",1,S29)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60">
        <f>'IMPERMEABILIZAÇÃO'!$J$7</f>
        <v/>
      </c>
      <c r="M29" s="49">
        <f>L29-K29</f>
        <v/>
      </c>
      <c r="N29" s="51">
        <f>IF(D29="","",IF('IMPERMEABILIZAÇÃO'!$K$8&gt;'IMPERMEABILIZAÇÃO'!$K$6+0.01,"⚠ Incorrido acima da meta em INCC",IF(AND('IMPERMEABILIZAÇÃO'!$K$18&gt;1,'IMPERMEABILIZAÇÃO'!$K$17=0),"⚠ Saldo sem curva (preencha a coluna H da aba)",IF(ABS('IMPERMEABILIZAÇÃO'!$D$80)&gt;0.01,"⚠ Verificar","OK"))))</f>
        <v/>
      </c>
      <c r="O29" s="61">
        <f>'IMPERMEABILIZAÇÃO'!$K$16</f>
        <v/>
      </c>
      <c r="P29" s="62">
        <f>'IMPERMEABILIZAÇÃO'!$K$14</f>
        <v/>
      </c>
      <c r="Q29" s="59" t="inlineStr">
        <is>
          <t>20</t>
        </is>
      </c>
      <c r="R29" s="59" t="n"/>
      <c r="S29" s="63" t="n">
        <v>0.79244915</v>
      </c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8532606.85</v>
      </c>
      <c r="G30" s="53" t="n">
        <v>7240.910891</v>
      </c>
      <c r="H30" s="49">
        <f>G30*IF(S30="",1,S30)</f>
        <v/>
      </c>
      <c r="I30" s="59" t="inlineStr">
        <is>
          <t>DIRETO</t>
        </is>
      </c>
      <c r="J30" s="59" t="inlineStr">
        <is>
          <t>INSTALAÇÕES ELÉTRICAS</t>
        </is>
      </c>
      <c r="K30" s="49">
        <f>IF(ISNUMBER($P$7),G30*$P$7,0)</f>
        <v/>
      </c>
      <c r="L30" s="60">
        <f>'INST. ELÉTRICA'!$J$7</f>
        <v/>
      </c>
      <c r="M30" s="49">
        <f>L30-K30</f>
        <v/>
      </c>
      <c r="N30" s="51">
        <f>IF(D30="","",IF('INST. ELÉTRICA'!$K$8&gt;'INST. ELÉTRICA'!$K$6+0.01,"⚠ Incorrido acima da meta em INCC",IF(AND('INST. ELÉTRICA'!$K$18&gt;1,'INST. ELÉTRICA'!$K$17=0),"⚠ Saldo sem curva (preencha a coluna H da aba)",IF(ABS('INST. ELÉTRICA'!$D$80)&gt;0.01,"⚠ Verificar","OK"))))</f>
        <v/>
      </c>
      <c r="O30" s="61">
        <f>'INST. ELÉTRICA'!$K$16</f>
        <v/>
      </c>
      <c r="P30" s="62">
        <f>'INST. ELÉTRICA'!$K$14</f>
        <v/>
      </c>
      <c r="Q30" s="59" t="inlineStr">
        <is>
          <t>21</t>
        </is>
      </c>
      <c r="R30" s="59" t="n"/>
      <c r="S30" s="63" t="n">
        <v>1.00144773</v>
      </c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5180198.4</v>
      </c>
      <c r="G31" s="53" t="n">
        <v>4396.001794</v>
      </c>
      <c r="H31" s="49">
        <f>G31*IF(S31="",1,S31)</f>
        <v/>
      </c>
      <c r="I31" s="59" t="inlineStr">
        <is>
          <t>DIRETO</t>
        </is>
      </c>
      <c r="J31" s="59" t="inlineStr">
        <is>
          <t>INSTALAÇÕES HIDRÁULICAS</t>
        </is>
      </c>
      <c r="K31" s="49">
        <f>IF(ISNUMBER($P$7),G31*$P$7,0)</f>
        <v/>
      </c>
      <c r="L31" s="60">
        <f>'INST. HIDRO'!$J$7</f>
        <v/>
      </c>
      <c r="M31" s="49">
        <f>L31-K31</f>
        <v/>
      </c>
      <c r="N31" s="51">
        <f>IF(D31="","",IF('INST. HIDRO'!$K$8&gt;'INST. HIDRO'!$K$6+0.01,"⚠ Incorrido acima da meta em INCC",IF(AND('INST. HIDRO'!$K$18&gt;1,'INST. HIDRO'!$K$17=0),"⚠ Saldo sem curva (preencha a coluna H da aba)",IF(ABS('INST. HIDRO'!$D$80)&gt;0.01,"⚠ Verificar","OK"))))</f>
        <v/>
      </c>
      <c r="O31" s="61">
        <f>'INST. HIDRO'!$K$16</f>
        <v/>
      </c>
      <c r="P31" s="62">
        <f>'INST. HIDRO'!$K$14</f>
        <v/>
      </c>
      <c r="Q31" s="59" t="inlineStr">
        <is>
          <t>22</t>
        </is>
      </c>
      <c r="R31" s="59" t="inlineStr">
        <is>
          <t>21</t>
        </is>
      </c>
      <c r="S31" s="63" t="n">
        <v>0.9918169100000001</v>
      </c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647524.8</v>
      </c>
      <c r="G32" s="53" t="n">
        <v>549.500224</v>
      </c>
      <c r="H32" s="49">
        <f>G32*IF(S32="",1,S32)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60">
        <f>'INST. INC'!$J$7</f>
        <v/>
      </c>
      <c r="M32" s="49">
        <f>L32-K32</f>
        <v/>
      </c>
      <c r="N32" s="51">
        <f>IF(D32="","",IF('INST. INC'!$K$8&gt;'INST. INC'!$K$6+0.01,"⚠ Incorrido acima da meta em INCC",IF(AND('INST. INC'!$K$18&gt;1,'INST. INC'!$K$17=0),"⚠ Saldo sem curva (preencha a coluna H da aba)",IF(ABS('INST. INC'!$D$80)&gt;0.01,"⚠ Verificar","OK"))))</f>
        <v/>
      </c>
      <c r="O32" s="61">
        <f>'INST. INC'!$K$16</f>
        <v/>
      </c>
      <c r="P32" s="62">
        <f>'INST. INC'!$K$14</f>
        <v/>
      </c>
      <c r="Q32" s="59" t="inlineStr">
        <is>
          <t>23</t>
        </is>
      </c>
      <c r="R32" s="59" t="n"/>
      <c r="S32" s="63" t="n">
        <v>1.0975986</v>
      </c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5085820.25</v>
      </c>
      <c r="G33" s="53" t="n">
        <v>4315.910939</v>
      </c>
      <c r="H33" s="49">
        <f>G33*IF(S33="",1,S33)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60">
        <f>'INST. ESP'!$J$7</f>
        <v/>
      </c>
      <c r="M33" s="49">
        <f>L33-K33</f>
        <v/>
      </c>
      <c r="N33" s="51">
        <f>IF(D33="","",IF('INST. ESP'!$K$8&gt;'INST. ESP'!$K$6+0.01,"⚠ Incorrido acima da meta em INCC",IF(AND('INST. ESP'!$K$18&gt;1,'INST. ESP'!$K$17=0),"⚠ Saldo sem curva (preencha a coluna H da aba)",IF(ABS('INST. ESP'!$D$80)&gt;0.01,"⚠ Verificar","OK"))))</f>
        <v/>
      </c>
      <c r="O33" s="61">
        <f>'INST. ESP'!$K$16</f>
        <v/>
      </c>
      <c r="P33" s="62">
        <f>'INST. ESP'!$K$14</f>
        <v/>
      </c>
      <c r="Q33" s="59" t="inlineStr">
        <is>
          <t>24</t>
        </is>
      </c>
      <c r="R33" s="59" t="n"/>
      <c r="S33" s="63" t="n"/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2639985.62</v>
      </c>
      <c r="G34" s="53" t="n">
        <v>2240.335333</v>
      </c>
      <c r="H34" s="49">
        <f>G34*IF(S34="",1,S34)</f>
        <v/>
      </c>
      <c r="I34" s="59" t="inlineStr">
        <is>
          <t>DIRETO</t>
        </is>
      </c>
      <c r="J34" s="59" t="inlineStr">
        <is>
          <t>ELEVADORES</t>
        </is>
      </c>
      <c r="K34" s="49">
        <f>IF(ISNUMBER($P$7),G34*$P$7,0)</f>
        <v/>
      </c>
      <c r="L34" s="60">
        <f>'ELEVADORES '!$J$7</f>
        <v/>
      </c>
      <c r="M34" s="49">
        <f>L34-K34</f>
        <v/>
      </c>
      <c r="N34" s="51">
        <f>IF(D34="","",IF('ELEVADORES '!$K$8&gt;'ELEVADORES '!$K$6+0.01,"⚠ Incorrido acima da meta em INCC",IF(AND('ELEVADORES '!$K$18&gt;1,'ELEVADORES '!$K$17=0),"⚠ Saldo sem curva (preencha a coluna H da aba)",IF(ABS('ELEVADORES '!$D$80)&gt;0.01,"⚠ Verificar","OK"))))</f>
        <v/>
      </c>
      <c r="O34" s="61">
        <f>'ELEVADORES '!$K$16</f>
        <v/>
      </c>
      <c r="P34" s="62">
        <f>'ELEVADORES '!$K$14</f>
        <v/>
      </c>
      <c r="Q34" s="59" t="inlineStr">
        <is>
          <t>25</t>
        </is>
      </c>
      <c r="R34" s="59" t="n"/>
      <c r="S34" s="63" t="n">
        <v>0.83615249</v>
      </c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12959647.29</v>
      </c>
      <c r="G35" s="53" t="n">
        <v>10997.770422</v>
      </c>
      <c r="H35" s="49">
        <f>G35*IF(S35="",1,S35)</f>
        <v/>
      </c>
      <c r="I35" s="59" t="inlineStr">
        <is>
          <t>DIRETO</t>
        </is>
      </c>
      <c r="J35" s="59" t="inlineStr">
        <is>
          <t>ESQUADRIAS</t>
        </is>
      </c>
      <c r="K35" s="49">
        <f>IF(ISNUMBER($P$7),G35*$P$7,0)</f>
        <v/>
      </c>
      <c r="L35" s="60">
        <f>'ESQUADRIAS'!$J$7</f>
        <v/>
      </c>
      <c r="M35" s="49">
        <f>L35-K35</f>
        <v/>
      </c>
      <c r="N35" s="51">
        <f>IF(D35="","",IF('ESQUADRIAS'!$K$8&gt;'ESQUADRIAS'!$K$6+0.01,"⚠ Incorrido acima da meta em INCC",IF(AND('ESQUADRIAS'!$K$18&gt;1,'ESQUADRIAS'!$K$17=0),"⚠ Saldo sem curva (preencha a coluna H da aba)",IF(ABS('ESQUADRIAS'!$D$80)&gt;0.01,"⚠ Verificar","OK"))))</f>
        <v/>
      </c>
      <c r="O35" s="61">
        <f>'ESQUADRIAS'!$K$16</f>
        <v/>
      </c>
      <c r="P35" s="62">
        <f>'ESQUADRIAS'!$K$14</f>
        <v/>
      </c>
      <c r="Q35" s="59" t="inlineStr">
        <is>
          <t>26</t>
        </is>
      </c>
      <c r="R35" s="59" t="n"/>
      <c r="S35" s="63" t="n"/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445157.53</v>
      </c>
      <c r="G36" s="53" t="n">
        <v>377.768024</v>
      </c>
      <c r="H36" s="49">
        <f>G36*IF(S36="",1,S36)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60">
        <f>'SERRALHERIA'!$J$7</f>
        <v/>
      </c>
      <c r="M36" s="49">
        <f>L36-K36</f>
        <v/>
      </c>
      <c r="N36" s="51">
        <f>IF(D36="","",IF('SERRALHERIA'!$K$8&gt;'SERRALHERIA'!$K$6+0.01,"⚠ Incorrido acima da meta em INCC",IF(AND('SERRALHERIA'!$K$18&gt;1,'SERRALHERIA'!$K$17=0),"⚠ Saldo sem curva (preencha a coluna H da aba)",IF(ABS('SERRALHERIA'!$D$80)&gt;0.01,"⚠ Verificar","OK"))))</f>
        <v/>
      </c>
      <c r="O36" s="61">
        <f>'SERRALHERIA'!$K$16</f>
        <v/>
      </c>
      <c r="P36" s="62">
        <f>'SERRALHERIA'!$K$14</f>
        <v/>
      </c>
      <c r="Q36" s="59" t="inlineStr">
        <is>
          <t>27</t>
        </is>
      </c>
      <c r="R36" s="59" t="n"/>
      <c r="S36" s="63" t="n"/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1728851.77</v>
      </c>
      <c r="G37" s="53" t="n">
        <v>1467.132128</v>
      </c>
      <c r="H37" s="49">
        <f>G37*IF(S37="",1,S37)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60">
        <f>'MARCENARIA'!$J$7</f>
        <v/>
      </c>
      <c r="M37" s="49">
        <f>L37-K37</f>
        <v/>
      </c>
      <c r="N37" s="51">
        <f>IF(D37="","",IF('MARCENARIA'!$K$8&gt;'MARCENARIA'!$K$6+0.01,"⚠ Incorrido acima da meta em INCC",IF(AND('MARCENARIA'!$K$18&gt;1,'MARCENARIA'!$K$17=0),"⚠ Saldo sem curva (preencha a coluna H da aba)",IF(ABS('MARCENARIA'!$D$80)&gt;0.01,"⚠ Verificar","OK"))))</f>
        <v/>
      </c>
      <c r="O37" s="61">
        <f>'MARCENARIA'!$K$16</f>
        <v/>
      </c>
      <c r="P37" s="62">
        <f>'MARCENARIA'!$K$14</f>
        <v/>
      </c>
      <c r="Q37" s="59" t="inlineStr">
        <is>
          <t>28</t>
        </is>
      </c>
      <c r="R37" s="59" t="n"/>
      <c r="S37" s="63" t="n"/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1122595.5</v>
      </c>
      <c r="G38" s="53" t="n">
        <v>952.653053</v>
      </c>
      <c r="H38" s="49">
        <f>G38*IF(S38="",1,S38)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60">
        <f>'REV. PISOS'!$J$7</f>
        <v/>
      </c>
      <c r="M38" s="49">
        <f>L38-K38</f>
        <v/>
      </c>
      <c r="N38" s="51">
        <f>IF(D38="","",IF('REV. PISOS'!$K$8&gt;'REV. PISOS'!$K$6+0.01,"⚠ Incorrido acima da meta em INCC",IF(AND('REV. PISOS'!$K$18&gt;1,'REV. PISOS'!$K$17=0),"⚠ Saldo sem curva (preencha a coluna H da aba)",IF(ABS('REV. PISOS'!$D$80)&gt;0.01,"⚠ Verificar","OK"))))</f>
        <v/>
      </c>
      <c r="O38" s="61">
        <f>'REV. PISOS'!$K$16</f>
        <v/>
      </c>
      <c r="P38" s="62">
        <f>'REV. PISOS'!$K$14</f>
        <v/>
      </c>
      <c r="Q38" s="59" t="inlineStr">
        <is>
          <t>29</t>
        </is>
      </c>
      <c r="R38" s="59" t="n"/>
      <c r="S38" s="63" t="n"/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2524242.57</v>
      </c>
      <c r="G39" s="53" t="n">
        <v>2142.113877</v>
      </c>
      <c r="H39" s="49">
        <f>G39*IF(S39="",1,S39)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60">
        <f>'REV. PAREDE'!$J$7</f>
        <v/>
      </c>
      <c r="M39" s="49">
        <f>L39-K39</f>
        <v/>
      </c>
      <c r="N39" s="51">
        <f>IF(D39="","",IF('REV. PAREDE'!$K$8&gt;'REV. PAREDE'!$K$6+0.01,"⚠ Incorrido acima da meta em INCC",IF(AND('REV. PAREDE'!$K$18&gt;1,'REV. PAREDE'!$K$17=0),"⚠ Saldo sem curva (preencha a coluna H da aba)",IF(ABS('REV. PAREDE'!$D$80)&gt;0.01,"⚠ Verificar","OK"))))</f>
        <v/>
      </c>
      <c r="O39" s="61">
        <f>'REV. PAREDE'!$K$16</f>
        <v/>
      </c>
      <c r="P39" s="62">
        <f>'REV. PAREDE'!$K$14</f>
        <v/>
      </c>
      <c r="Q39" s="59" t="inlineStr">
        <is>
          <t>30</t>
        </is>
      </c>
      <c r="R39" s="59" t="n"/>
      <c r="S39" s="63" t="n"/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17569932.69</v>
      </c>
      <c r="G40" s="53" t="n">
        <v>14910.134644</v>
      </c>
      <c r="H40" s="49">
        <f>G40*IF(S40="",1,S40)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60">
        <f>'REV. ACAB'!$J$7</f>
        <v/>
      </c>
      <c r="M40" s="49">
        <f>L40-K40</f>
        <v/>
      </c>
      <c r="N40" s="51">
        <f>IF(D40="","",IF('REV. ACAB'!$K$8&gt;'REV. ACAB'!$K$6+0.01,"⚠ Incorrido acima da meta em INCC",IF(AND('REV. ACAB'!$K$18&gt;1,'REV. ACAB'!$K$17=0),"⚠ Saldo sem curva (preencha a coluna H da aba)",IF(ABS('REV. ACAB'!$D$80)&gt;0.01,"⚠ Verificar","OK"))))</f>
        <v/>
      </c>
      <c r="O40" s="61">
        <f>'REV. ACAB'!$K$16</f>
        <v/>
      </c>
      <c r="P40" s="62">
        <f>'REV. ACAB'!$K$14</f>
        <v/>
      </c>
      <c r="Q40" s="59" t="inlineStr">
        <is>
          <t>31</t>
        </is>
      </c>
      <c r="R40" s="59" t="n"/>
      <c r="S40" s="63" t="n"/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ESTRUTURA METÁLICA</t>
        </is>
      </c>
      <c r="E41" s="48">
        <f>IF($F$50=0,0,F41/$F$50)</f>
        <v/>
      </c>
      <c r="F41" s="53" t="n">
        <v>195186</v>
      </c>
      <c r="G41" s="53" t="n">
        <v>165.638059</v>
      </c>
      <c r="H41" s="49">
        <f>G41*IF(S41="",1,S41)</f>
        <v/>
      </c>
      <c r="I41" s="59" t="inlineStr">
        <is>
          <t>DIRETO</t>
        </is>
      </c>
      <c r="J41" s="59" t="inlineStr">
        <is>
          <t>ESTRUTURA METÁLICA</t>
        </is>
      </c>
      <c r="K41" s="49">
        <f>IF(ISNUMBER($P$7),G41*$P$7,0)</f>
        <v/>
      </c>
      <c r="L41" s="60">
        <f>'EST. METÁLICA'!$J$7</f>
        <v/>
      </c>
      <c r="M41" s="49">
        <f>L41-K41</f>
        <v/>
      </c>
      <c r="N41" s="51">
        <f>IF(D41="","",IF('EST. METÁLICA'!$K$8&gt;'EST. METÁLICA'!$K$6+0.01,"⚠ Incorrido acima da meta em INCC",IF(AND('EST. METÁLICA'!$K$18&gt;1,'EST. METÁLICA'!$K$17=0),"⚠ Saldo sem curva (preencha a coluna H da aba)",IF(ABS('EST. METÁLICA'!$D$80)&gt;0.01,"⚠ Verificar","OK"))))</f>
        <v/>
      </c>
      <c r="O41" s="61">
        <f>'EST. METÁLICA'!$K$16</f>
        <v/>
      </c>
      <c r="P41" s="62">
        <f>'EST. METÁLICA'!$K$14</f>
        <v/>
      </c>
      <c r="Q41" s="59" t="inlineStr">
        <is>
          <t>18</t>
        </is>
      </c>
      <c r="R41" s="59" t="n"/>
      <c r="S41" s="63" t="n"/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  FACHADA</t>
        </is>
      </c>
      <c r="E42" s="48">
        <f>IF($F$50=0,0,F42/$F$50)</f>
        <v/>
      </c>
      <c r="F42" s="53" t="n">
        <v>7404956.91</v>
      </c>
      <c r="G42" s="53" t="n">
        <v>6283.968554</v>
      </c>
      <c r="H42" s="49">
        <f>G42*IF(S42="",1,S42)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60">
        <f>'REV. FACHADA'!$J$7</f>
        <v/>
      </c>
      <c r="M42" s="49">
        <f>L42-K42</f>
        <v/>
      </c>
      <c r="N42" s="51">
        <f>IF(D42="","",IF('REV. FACHADA'!$K$8&gt;'REV. FACHADA'!$K$6+0.01,"⚠ Incorrido acima da meta em INCC",IF(AND('REV. FACHADA'!$K$18&gt;1,'REV. FACHADA'!$K$17=0),"⚠ Saldo sem curva (preencha a coluna H da aba)",IF(ABS('REV. FACHADA'!$D$80)&gt;0.01,"⚠ Verificar","OK"))))</f>
        <v/>
      </c>
      <c r="O42" s="61">
        <f>'REV. FACHADA'!$K$16</f>
        <v/>
      </c>
      <c r="P42" s="62">
        <f>'REV. FACHADA'!$K$14</f>
        <v/>
      </c>
      <c r="Q42" s="59" t="inlineStr">
        <is>
          <t>32</t>
        </is>
      </c>
      <c r="R42" s="59" t="n"/>
      <c r="S42" s="63" t="n"/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2024194.97</v>
      </c>
      <c r="G43" s="53" t="n">
        <v>1717.765235</v>
      </c>
      <c r="H43" s="49">
        <f>G43*IF(S43="",1,S43)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60">
        <f>'FORRO'!$J$7</f>
        <v/>
      </c>
      <c r="M43" s="49">
        <f>L43-K43</f>
        <v/>
      </c>
      <c r="N43" s="51">
        <f>IF(D43="","",IF('FORRO'!$K$8&gt;'FORRO'!$K$6+0.01,"⚠ Incorrido acima da meta em INCC",IF(AND('FORRO'!$K$18&gt;1,'FORRO'!$K$17=0),"⚠ Saldo sem curva (preencha a coluna H da aba)",IF(ABS('FORRO'!$D$80)&gt;0.01,"⚠ Verificar","OK"))))</f>
        <v/>
      </c>
      <c r="O43" s="61">
        <f>'FORRO'!$K$16</f>
        <v/>
      </c>
      <c r="P43" s="62">
        <f>'FORRO'!$K$14</f>
        <v/>
      </c>
      <c r="Q43" s="59" t="inlineStr">
        <is>
          <t>33</t>
        </is>
      </c>
      <c r="R43" s="59" t="n"/>
      <c r="S43" s="63" t="n"/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1131097.39</v>
      </c>
      <c r="G44" s="53" t="n">
        <v>959.867899</v>
      </c>
      <c r="H44" s="49">
        <f>G44*IF(S44="",1,S44)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60">
        <f>'LOUÇAS'!$J$7</f>
        <v/>
      </c>
      <c r="M44" s="49">
        <f>L44-K44</f>
        <v/>
      </c>
      <c r="N44" s="51">
        <f>IF(D44="","",IF('LOUÇAS'!$K$8&gt;'LOUÇAS'!$K$6+0.01,"⚠ Incorrido acima da meta em INCC",IF(AND('LOUÇAS'!$K$18&gt;1,'LOUÇAS'!$K$17=0),"⚠ Saldo sem curva (preencha a coluna H da aba)",IF(ABS('LOUÇAS'!$D$80)&gt;0.01,"⚠ Verificar","OK"))))</f>
        <v/>
      </c>
      <c r="O44" s="61">
        <f>'LOUÇAS'!$K$16</f>
        <v/>
      </c>
      <c r="P44" s="62">
        <f>'LOUÇAS'!$K$14</f>
        <v/>
      </c>
      <c r="Q44" s="59" t="inlineStr">
        <is>
          <t>34</t>
        </is>
      </c>
      <c r="R44" s="59" t="n"/>
      <c r="S44" s="63" t="n"/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2190870.85</v>
      </c>
      <c r="G45" s="53" t="n">
        <v>1859.209137</v>
      </c>
      <c r="H45" s="49">
        <f>G45*IF(S45="",1,S45)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60">
        <f>'PINTURA'!$J$7</f>
        <v/>
      </c>
      <c r="M45" s="49">
        <f>L45-K45</f>
        <v/>
      </c>
      <c r="N45" s="51">
        <f>IF(D45="","",IF('PINTURA'!$K$8&gt;'PINTURA'!$K$6+0.01,"⚠ Incorrido acima da meta em INCC",IF(AND('PINTURA'!$K$18&gt;1,'PINTURA'!$K$17=0),"⚠ Saldo sem curva (preencha a coluna H da aba)",IF(ABS('PINTURA'!$D$80)&gt;0.01,"⚠ Verificar","OK"))))</f>
        <v/>
      </c>
      <c r="O45" s="61">
        <f>'PINTURA'!$K$16</f>
        <v/>
      </c>
      <c r="P45" s="62">
        <f>'PINTURA'!$K$14</f>
        <v/>
      </c>
      <c r="Q45" s="59" t="inlineStr">
        <is>
          <t>35</t>
        </is>
      </c>
      <c r="R45" s="59" t="n"/>
      <c r="S45" s="63" t="n"/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JARDINEIRAS E PAISAGISMO</t>
        </is>
      </c>
      <c r="E46" s="48">
        <f>IF($F$50=0,0,F46/$F$50)</f>
        <v/>
      </c>
      <c r="F46" s="53" t="n">
        <v>2411990.63</v>
      </c>
      <c r="G46" s="53" t="n">
        <v>2046.85503</v>
      </c>
      <c r="H46" s="49">
        <f>G46*IF(S46="",1,S46)</f>
        <v/>
      </c>
      <c r="I46" s="59" t="inlineStr">
        <is>
          <t>DIRETO</t>
        </is>
      </c>
      <c r="J46" s="59" t="inlineStr">
        <is>
          <t>JARDINEIRAS E PAISAGISMO</t>
        </is>
      </c>
      <c r="K46" s="49">
        <f>IF(ISNUMBER($P$7),G46*$P$7,0)</f>
        <v/>
      </c>
      <c r="L46" s="60">
        <f>'PAISAGISMO'!$J$7</f>
        <v/>
      </c>
      <c r="M46" s="49">
        <f>L46-K46</f>
        <v/>
      </c>
      <c r="N46" s="51">
        <f>IF(D46="","",IF('PAISAGISMO'!$K$8&gt;'PAISAGISMO'!$K$6+0.01,"⚠ Incorrido acima da meta em INCC",IF(AND('PAISAGISMO'!$K$18&gt;1,'PAISAGISMO'!$K$17=0),"⚠ Saldo sem curva (preencha a coluna H da aba)",IF(ABS('PAISAGISMO'!$D$80)&gt;0.01,"⚠ Verificar","OK"))))</f>
        <v/>
      </c>
      <c r="O46" s="61">
        <f>'PAISAGISMO'!$K$16</f>
        <v/>
      </c>
      <c r="P46" s="62">
        <f>'PAISAGISMO'!$K$14</f>
        <v/>
      </c>
      <c r="Q46" s="59" t="inlineStr">
        <is>
          <t>36</t>
        </is>
      </c>
      <c r="R46" s="59" t="n"/>
      <c r="S46" s="63" t="n"/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729722.03</v>
      </c>
      <c r="G47" s="53" t="n">
        <v>619.25415</v>
      </c>
      <c r="H47" s="49">
        <f>G47*IF(S47="",1,S47)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60">
        <f>'LIMPEZA'!$J$7</f>
        <v/>
      </c>
      <c r="M47" s="49">
        <f>L47-K47</f>
        <v/>
      </c>
      <c r="N47" s="51">
        <f>IF(D47="","",IF('LIMPEZA'!$K$8&gt;'LIMPEZA'!$K$6+0.01,"⚠ Incorrido acima da meta em INCC",IF(AND('LIMPEZA'!$K$18&gt;1,'LIMPEZA'!$K$17=0),"⚠ Saldo sem curva (preencha a coluna H da aba)",IF(ABS('LIMPEZA'!$D$80)&gt;0.01,"⚠ Verificar","OK"))))</f>
        <v/>
      </c>
      <c r="O47" s="61">
        <f>'LIMPEZA'!$K$16</f>
        <v/>
      </c>
      <c r="P47" s="62">
        <f>'LIMPEZA'!$K$14</f>
        <v/>
      </c>
      <c r="Q47" s="59" t="inlineStr">
        <is>
          <t>37</t>
        </is>
      </c>
      <c r="R47" s="59" t="n"/>
      <c r="S47" s="63" t="n"/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2075142.69</v>
      </c>
      <c r="G48" s="53" t="n">
        <v>1748</v>
      </c>
      <c r="H48" s="60">
        <f>'TAX. ADM'!$K$8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0">
        <f>'TAX. ADM'!$J$7</f>
        <v/>
      </c>
      <c r="M48" s="49">
        <f>L48-K48</f>
        <v/>
      </c>
      <c r="N48" s="51">
        <f>IF(D48="","",IF('TAX. ADM'!$K$8&gt;'TAX. ADM'!$K$6+0.01,"⚠ Incorrido acima da meta em INCC",IF(AND('TAX. ADM'!$K$18&gt;1,'TAX. ADM'!$K$17=0),"⚠ Saldo sem curva (preencha a coluna H da aba)",IF(ABS('TAX. ADM'!$D$80)&gt;0.01,"⚠ Verificar","OK"))))</f>
        <v/>
      </c>
      <c r="O48" s="61">
        <f>'TAX. ADM'!$K$16</f>
        <v/>
      </c>
      <c r="P48" s="62">
        <f>'TAX. ADM'!$K$14</f>
        <v/>
      </c>
      <c r="Q48" s="59" t="inlineStr">
        <is>
          <t>00</t>
        </is>
      </c>
      <c r="R48" s="59" t="n"/>
      <c r="S48" s="63" t="n"/>
    </row>
    <row r="49">
      <c r="D49" s="46" t="inlineStr">
        <is>
          <t>TOTAIS (sem taxa de adm.)</t>
        </is>
      </c>
      <c r="E49" s="64">
        <f>SUM(E11:E47)</f>
        <v/>
      </c>
      <c r="F49" s="65">
        <f>SUM(F11:F47)</f>
        <v/>
      </c>
      <c r="G49" s="65">
        <f>SUM(G11:G47)</f>
        <v/>
      </c>
      <c r="H49" s="65">
        <f>SUM(H11:H47)</f>
        <v/>
      </c>
      <c r="K49" s="65">
        <f>SUM(K11:K47)</f>
        <v/>
      </c>
      <c r="L49" s="65">
        <f>SUM(L11:L47)</f>
        <v/>
      </c>
      <c r="M49" s="65">
        <f>SUM(M11:M47)</f>
        <v/>
      </c>
    </row>
    <row r="50">
      <c r="D50" s="46" t="inlineStr">
        <is>
          <t>TOTAL COM TAXA DE ADMINISTRAÇÃO</t>
        </is>
      </c>
      <c r="E50" s="64">
        <f>SUM(E11:E48)</f>
        <v/>
      </c>
      <c r="F50" s="65">
        <f>SUM(F11:F48)</f>
        <v/>
      </c>
      <c r="G50" s="65">
        <f>SUM(G11:G48)</f>
        <v/>
      </c>
      <c r="H50" s="65">
        <f>SUM(H11:H48)</f>
        <v/>
      </c>
      <c r="K50" s="65">
        <f>SUM(K11:K48)</f>
        <v/>
      </c>
      <c r="L50" s="65">
        <f>SUM(L11:L48)</f>
        <v/>
      </c>
      <c r="M50" s="65">
        <f>SUM(M11:M48)</f>
        <v/>
      </c>
    </row>
    <row r="53">
      <c r="D53" s="66" t="inlineStr">
        <is>
          <t>CONFERÊNCIA GERAL</t>
        </is>
      </c>
      <c r="E53" s="66" t="inlineStr">
        <is>
          <t>RESULTADO</t>
        </is>
      </c>
      <c r="F53" s="66" t="inlineStr">
        <is>
          <t>STATUS</t>
        </is>
      </c>
      <c r="G53" s="67" t="n"/>
      <c r="H53" s="68" t="n"/>
    </row>
    <row r="54">
      <c r="D54" s="51" t="inlineStr">
        <is>
          <t>Disciplinas com pendência (coluna N)</t>
        </is>
      </c>
      <c r="E54" s="69">
        <f>COUNTIF(N11:N48,"⚠*")</f>
        <v/>
      </c>
      <c r="F54" s="51">
        <f>IF(E54=0,"OK","⚠ Veja a coluna N")</f>
        <v/>
      </c>
      <c r="G54" s="67" t="n"/>
      <c r="H54" s="68" t="n"/>
    </row>
    <row r="55">
      <c r="D55" s="51" t="inlineStr">
        <is>
          <t>Grupos do ERP sem correspondência</t>
        </is>
      </c>
      <c r="E55" s="70">
        <f>'DADOS HISTORICOS'!C2</f>
        <v/>
      </c>
      <c r="F55" s="51">
        <f>IF(E55=0,"OK","⚠ Veja nomes em vermelho em DADOS BRUTOS")</f>
        <v/>
      </c>
      <c r="G55" s="67" t="n"/>
      <c r="H55" s="68" t="n"/>
    </row>
    <row r="56">
      <c r="D56" s="51" t="inlineStr">
        <is>
          <t>Valores do ERP fora do horizonte (R$)</t>
        </is>
      </c>
      <c r="E56" s="71">
        <f>'DADOS HISTORICOS'!BX44</f>
        <v/>
      </c>
      <c r="F56" s="51">
        <f>IF(ABS(E56)&lt;1,"OK","⚠ Aumente o horizonte ou revise datas")</f>
        <v/>
      </c>
      <c r="G56" s="67" t="n"/>
      <c r="H56" s="68" t="n"/>
    </row>
    <row r="57">
      <c r="D57" s="51" t="inlineStr">
        <is>
          <t>INCC do mês de corte</t>
        </is>
      </c>
      <c r="E57" s="72">
        <f>IF(ISNUMBER(P7),P7,0)</f>
        <v/>
      </c>
      <c r="F57" s="51">
        <f>IF(COUNTIF('"INCC-FGV"'!$A$2:$A$800,P5)&gt;0,"OK",IF(E57&gt;0,"⚠ INCC do mês de corte não cadastrado: usando o último índice disponível","⚠ Inclua o índice na aba INCC-FGV"))</f>
        <v/>
      </c>
      <c r="G57" s="67" t="n"/>
      <c r="H57" s="68" t="n"/>
    </row>
    <row r="58">
      <c r="D58" s="51" t="inlineStr">
        <is>
          <t>Meses realizados sem INCC</t>
        </is>
      </c>
      <c r="E58" s="70">
        <f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/>
      </c>
      <c r="F58" s="51">
        <f>IF(E58=0,"OK","⚠ Complete a aba INCC-FGV (há mês com desembolso sem índice)")</f>
        <v/>
      </c>
      <c r="G58" s="67" t="n"/>
      <c r="H58" s="68" t="n"/>
    </row>
    <row r="59">
      <c r="D59" s="51" t="inlineStr">
        <is>
          <t>Fluxo total − meta total (INCC)</t>
        </is>
      </c>
      <c r="E59" s="56">
        <f>'MODELO PARA BI'!E61-H50</f>
        <v/>
      </c>
      <c r="F59" s="51">
        <f>IF(H50=0,"⚠ Preencha o orçamento (coluna F)",IF(ABS(E59)&lt;0.01,"OK","⚠ Distribuição em INCC diferente da meta"))</f>
        <v/>
      </c>
      <c r="G59" s="67" t="n"/>
      <c r="H59" s="68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3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 ajustado")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4" t="inlineStr">
        <is>
          <t>ANO DO RETRATO →</t>
        </is>
      </c>
      <c r="D5" s="75" t="n">
        <v>2027</v>
      </c>
      <c r="E5" s="74" t="inlineStr">
        <is>
          <t>INCC →</t>
        </is>
      </c>
      <c r="F5" s="76">
        <f>'VALOR POR PL'!$P$5</f>
        <v/>
      </c>
      <c r="G5" s="56">
        <f>IFERROR(INDEX('"INCC-FGV"'!$B$2:$B$800,MATCH(DATE(YEAR(F5),MONTH(F5),1),'"INCC-FGV"'!$A$2:$A$800,0)),IFERROR(INDEX('"INCC-FGV"'!$B$2:$B$800,MATCH(DATE(YEAR(F5),MONTH(F5),1),'"INCC-FGV"'!$A$2:$A$800,1)),"FALTA INCC"))</f>
        <v/>
      </c>
      <c r="J5" s="74" t="inlineStr">
        <is>
          <t>SITUAÇÃO EM →</t>
        </is>
      </c>
      <c r="K5" s="77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78">
        <f>F53</f>
        <v/>
      </c>
      <c r="D8" s="79">
        <f>G53</f>
        <v/>
      </c>
      <c r="F8" s="78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80">
        <f t="array" ref="K8">INDEX(C12:C50,MATCH(MAX(IF(LEN(B12:B50)=2,F12:F50)),IF(LEN(B12:B50)=2,F12:F50),0))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 t="array" ref="K9">"R$ "&amp;TEXT(MAX(IF(LEN(B12:B50)=2,F12:F50))/1000000,"0.0")&amp;" mi no ano"</f>
        <v/>
      </c>
    </row>
    <row r="11" ht="44" customHeight="1">
      <c r="B11" s="81" t="inlineStr">
        <is>
          <t>Cód.</t>
        </is>
      </c>
      <c r="C11" s="81" t="inlineStr">
        <is>
          <t>PL / serviço</t>
        </is>
      </c>
      <c r="D11" s="82" t="inlineStr">
        <is>
          <t>Execução física
fim do ano
(Prevision)</t>
        </is>
      </c>
      <c r="E11" s="82" t="inlineStr">
        <is>
          <t>Execução física
no corte
(Prevision)</t>
        </is>
      </c>
      <c r="F11" s="82" t="inlineStr">
        <is>
          <t>Desembolso
no ano
R$ nominal</t>
        </is>
      </c>
      <c r="G11" s="82" t="inlineStr">
        <is>
          <t>Desembolso
no ano
INCC</t>
        </is>
      </c>
      <c r="H11" s="82" t="inlineStr">
        <is>
          <t>Desembolso no ano
R$ do INCC
selecionado</t>
        </is>
      </c>
      <c r="I11" s="82" t="inlineStr">
        <is>
          <t>% do
ano</t>
        </is>
      </c>
      <c r="J11" s="82" t="inlineStr">
        <is>
          <t>Avanço
financeiro
fim do ano</t>
        </is>
      </c>
      <c r="K11" s="81">
        <f>"Situação em 31/12/"&amp;D5&amp;" (cronograma de atividades do Prevision)"</f>
        <v/>
      </c>
      <c r="L11" s="81" t="inlineStr">
        <is>
          <t>Anotação do modelo anterior / justificativa</t>
        </is>
      </c>
    </row>
    <row r="12" ht="16.2" customHeight="1">
      <c r="B12" s="83">
        <f>'VALOR POR PL'!C11</f>
        <v/>
      </c>
      <c r="C12" s="84">
        <f>'VALOR POR PL'!D11</f>
        <v/>
      </c>
      <c r="D12" s="85">
        <f>IF(OR('VALOR POR PL'!I11&lt;&gt;"DIRETO",'CP RESUMO'!$C$5=""),"",IFERROR(INDEX('CP RESUMO'!$D$5:$BW$5,MATCH(DATE($D$5,12,1),'CP RESUMO'!$D$4:$BW$4,0))/100,""))</f>
        <v/>
      </c>
      <c r="E12" s="86">
        <f>IF('VALOR POR PL'!I11&lt;&gt;"DIRETO","",'PROJETO'!$K$14)</f>
        <v/>
      </c>
      <c r="F12" s="87">
        <f>SUMPRODUCT((YEAR('PROJETO'!$B$5:$B$76)=$D$5)*('PROJETO'!$C$5:$C$76+'PROJETO'!$D$5:$D$76))</f>
        <v/>
      </c>
      <c r="G12" s="87">
        <f>SUMPRODUCT((YEAR('MODELO PARA BI'!$H$1:$CA$1)=$D$5)*'MODELO PARA BI'!$H$34:$CA$34)</f>
        <v/>
      </c>
      <c r="H12" s="87">
        <f>IF(ISNUMBER($G$5),G12*$G$5,0)</f>
        <v/>
      </c>
      <c r="I12" s="85">
        <f>IF($F$53=0,0,F12/$F$53)</f>
        <v/>
      </c>
      <c r="J12" s="85">
        <f>IF('VALOR POR PL'!L11=0,0,SUMPRODUCT(('PROJETO'!$B$5:$B$76&lt;=DATE($D$5,12,1))*('PROJETO'!$C$5:$C$76+'PROJETO'!$D$5:$D$76))/'VALOR POR PL'!L11)</f>
        <v/>
      </c>
      <c r="K12" s="88">
        <f t="array" ref="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",TRUE,IF(('CRONOGRAMA ATIVIDADES'!$S$5:$S$304=B12)*('CRONOGRAMA ATIVIDADES'!$AA$5:$AA$304&lt;&gt;""),'CRONOGRAMA ATIVIDADES'!$AA$5:$AA$304,"")))))</f>
        <v/>
      </c>
      <c r="L12" s="89" t="n"/>
      <c r="M12" s="90">
        <f>'VALOR POR PL'!L11</f>
        <v/>
      </c>
      <c r="N12" s="90">
        <f>IF('VALOR POR PL'!I11="DIRETO",'VALOR POR PL'!L11,0)</f>
        <v/>
      </c>
    </row>
    <row r="13" ht="16.2" customHeight="1">
      <c r="B13" s="91">
        <f>'VALOR POR PL'!C12</f>
        <v/>
      </c>
      <c r="C13" s="92">
        <f>'VALOR POR PL'!D12</f>
        <v/>
      </c>
      <c r="D13" s="93">
        <f>IF(OR('VALOR POR PL'!I12&lt;&gt;"DIRETO",'CP RESUMO'!$C$6=""),"",IFERROR(INDEX('CP RESUMO'!$D$6:$BW$6,MATCH(DATE($D$5,12,1),'CP RESUMO'!$D$4:$BW$4,0))/100,""))</f>
        <v/>
      </c>
      <c r="E13" s="94">
        <f>IF('VALOR POR PL'!I12&lt;&gt;"DIRETO","",'SEGUROS'!$K$14)</f>
        <v/>
      </c>
      <c r="F13" s="95">
        <f>SUMPRODUCT((YEAR('SEGUROS'!$B$5:$B$76)=$D$5)*('SEGUROS'!$C$5:$C$76+'SEGUROS'!$D$5:$D$76))</f>
        <v/>
      </c>
      <c r="G13" s="95">
        <f>SUMPRODUCT((YEAR('MODELO PARA BI'!$H$1:$CA$1)=$D$5)*'MODELO PARA BI'!$H$45:$CA$45)</f>
        <v/>
      </c>
      <c r="H13" s="95">
        <f>IF(ISNUMBER($G$5),G13*$G$5,0)</f>
        <v/>
      </c>
      <c r="I13" s="93">
        <f>IF($F$53=0,0,F13/$F$53)</f>
        <v/>
      </c>
      <c r="J13" s="93">
        <f>IF('VALOR POR PL'!L12=0,0,SUMPRODUCT(('SEGUROS'!$B$5:$B$76&lt;=DATE($D$5,12,1))*('SEGUROS'!$C$5:$C$76+'SEGUROS'!$D$5:$D$76))/'VALOR POR PL'!L12)</f>
        <v/>
      </c>
      <c r="K13" s="96">
        <f t="array" ref="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",TRUE,IF(('CRONOGRAMA ATIVIDADES'!$S$5:$S$304=B13)*('CRONOGRAMA ATIVIDADES'!$AA$5:$AA$304&lt;&gt;""),'CRONOGRAMA ATIVIDADES'!$AA$5:$AA$304,"")))))</f>
        <v/>
      </c>
      <c r="L13" s="97" t="n"/>
      <c r="M13" s="90">
        <f>'VALOR POR PL'!L12</f>
        <v/>
      </c>
      <c r="N13" s="90">
        <f>IF('VALOR POR PL'!I12="DIRETO",'VALOR POR PL'!L12,0)</f>
        <v/>
      </c>
    </row>
    <row r="14" ht="16.2" customHeight="1">
      <c r="B14" s="83">
        <f>'VALOR POR PL'!C13</f>
        <v/>
      </c>
      <c r="C14" s="84">
        <f>'VALOR POR PL'!D13</f>
        <v/>
      </c>
      <c r="D14" s="85">
        <f>IF(OR('VALOR POR PL'!I13&lt;&gt;"DIRETO",'CP RESUMO'!$C$7=""),"",IFERROR(INDEX('CP RESUMO'!$D$7:$BW$7,MATCH(DATE($D$5,12,1),'CP RESUMO'!$D$4:$BW$4,0))/100,""))</f>
        <v/>
      </c>
      <c r="E14" s="86">
        <f>IF('VALOR POR PL'!I13&lt;&gt;"DIRETO","",'TAX. DIVERSAS'!$K$14)</f>
        <v/>
      </c>
      <c r="F14" s="87">
        <f>SUMPRODUCT((YEAR('TAX. DIVERSAS'!$B$5:$B$76)=$D$5)*('TAX. DIVERSAS'!$C$5:$C$76+'TAX. DIVERSAS'!$D$5:$D$76))</f>
        <v/>
      </c>
      <c r="G14" s="87">
        <f>SUMPRODUCT((YEAR('MODELO PARA BI'!$H$1:$CA$1)=$D$5)*'MODELO PARA BI'!$H$53:$CA$53)</f>
        <v/>
      </c>
      <c r="H14" s="87">
        <f>IF(ISNUMBER($G$5),G14*$G$5,0)</f>
        <v/>
      </c>
      <c r="I14" s="85">
        <f>IF($F$53=0,0,F14/$F$53)</f>
        <v/>
      </c>
      <c r="J14" s="85">
        <f>IF('VALOR POR PL'!L13=0,0,SUMPRODUCT(('TAX. DIVERSAS'!$B$5:$B$76&lt;=DATE($D$5,12,1))*('TAX. DIVERSAS'!$C$5:$C$76+'TAX. DIVERSAS'!$D$5:$D$76))/'VALOR POR PL'!L13)</f>
        <v/>
      </c>
      <c r="K14" s="88">
        <f t="array" ref="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",TRUE,IF(('CRONOGRAMA ATIVIDADES'!$S$5:$S$304=B14)*('CRONOGRAMA ATIVIDADES'!$AA$5:$AA$304&lt;&gt;""),'CRONOGRAMA ATIVIDADES'!$AA$5:$AA$304,"")))))</f>
        <v/>
      </c>
      <c r="L14" s="89" t="n"/>
      <c r="M14" s="90">
        <f>'VALOR POR PL'!L13</f>
        <v/>
      </c>
      <c r="N14" s="90">
        <f>IF('VALOR POR PL'!I13="DIRETO",'VALOR POR PL'!L13,0)</f>
        <v/>
      </c>
    </row>
    <row r="15" ht="16.2" customHeight="1">
      <c r="B15" s="91">
        <f>'VALOR POR PL'!C14</f>
        <v/>
      </c>
      <c r="C15" s="92">
        <f>'VALOR POR PL'!D14</f>
        <v/>
      </c>
      <c r="D15" s="93">
        <f>IF(OR('VALOR POR PL'!I14&lt;&gt;"DIRETO",'CP RESUMO'!$C$8=""),"",IFERROR(INDEX('CP RESUMO'!$D$8:$BW$8,MATCH(DATE($D$5,12,1),'CP RESUMO'!$D$4:$BW$4,0))/100,""))</f>
        <v/>
      </c>
      <c r="E15" s="94">
        <f>IF('VALOR POR PL'!I14&lt;&gt;"DIRETO","",'BARRACÃO DE OBRA'!$K$14)</f>
        <v/>
      </c>
      <c r="F15" s="95">
        <f>SUMPRODUCT((YEAR('BARRACÃO DE OBRA'!$B$5:$B$76)=$D$5)*('BARRACÃO DE OBRA'!$C$5:$C$76+'BARRACÃO DE OBRA'!$D$5:$D$76))</f>
        <v/>
      </c>
      <c r="G15" s="95">
        <f>SUMPRODUCT((YEAR('MODELO PARA BI'!$H$1:$CA$1)=$D$5)*'MODELO PARA BI'!$H$3:$CA$3)</f>
        <v/>
      </c>
      <c r="H15" s="95">
        <f>IF(ISNUMBER($G$5),G15*$G$5,0)</f>
        <v/>
      </c>
      <c r="I15" s="93">
        <f>IF($F$53=0,0,F15/$F$53)</f>
        <v/>
      </c>
      <c r="J15" s="93">
        <f>IF('VALOR POR PL'!L14=0,0,SUMPRODUCT(('BARRACÃO DE OBRA'!$B$5:$B$76&lt;=DATE($D$5,12,1))*('BARRACÃO DE OBRA'!$C$5:$C$76+'BARRACÃO DE OBRA'!$D$5:$D$76))/'VALOR POR PL'!L14)</f>
        <v/>
      </c>
      <c r="K15" s="96">
        <f t="array" ref="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",TRUE,IF(('CRONOGRAMA ATIVIDADES'!$S$5:$S$304=B15)*('CRONOGRAMA ATIVIDADES'!$AA$5:$AA$304&lt;&gt;""),'CRONOGRAMA ATIVIDADES'!$AA$5:$AA$304,"")))))</f>
        <v/>
      </c>
      <c r="L15" s="97" t="n"/>
      <c r="M15" s="90">
        <f>'VALOR POR PL'!L14</f>
        <v/>
      </c>
      <c r="N15" s="90">
        <f>IF('VALOR POR PL'!I14="DIRETO",'VALOR POR PL'!L14,0)</f>
        <v/>
      </c>
    </row>
    <row r="16" ht="29.4" customHeight="1">
      <c r="B16" s="83">
        <f>'VALOR POR PL'!C15</f>
        <v/>
      </c>
      <c r="C16" s="84">
        <f>'VALOR POR PL'!D15</f>
        <v/>
      </c>
      <c r="D16" s="85">
        <f>IF(OR('VALOR POR PL'!I15&lt;&gt;"DIRETO",'CP RESUMO'!$C$9=""),"",IFERROR(INDEX('CP RESUMO'!$D$9:$BW$9,MATCH(DATE($D$5,12,1),'CP RESUMO'!$D$4:$BW$4,0))/100,""))</f>
        <v/>
      </c>
      <c r="E16" s="86">
        <f>IF('VALOR POR PL'!I15&lt;&gt;"DIRETO","",'LIG. PROVISÓRIAS'!$K$14)</f>
        <v/>
      </c>
      <c r="F16" s="87">
        <f>SUMPRODUCT((YEAR('LIG. PROVISÓRIAS'!$B$5:$B$76)=$D$5)*('LIG. PROVISÓRIAS'!$C$5:$C$76+'LIG. PROVISÓRIAS'!$D$5:$D$76))</f>
        <v/>
      </c>
      <c r="G16" s="87">
        <f>SUMPRODUCT((YEAR('MODELO PARA BI'!$H$1:$CA$1)=$D$5)*'MODELO PARA BI'!$H$25:$CA$25)</f>
        <v/>
      </c>
      <c r="H16" s="87">
        <f>IF(ISNUMBER($G$5),G16*$G$5,0)</f>
        <v/>
      </c>
      <c r="I16" s="85">
        <f>IF($F$53=0,0,F16/$F$53)</f>
        <v/>
      </c>
      <c r="J16" s="85">
        <f>IF('VALOR POR PL'!L15=0,0,SUMPRODUCT(('LIG. PROVISÓRIAS'!$B$5:$B$76&lt;=DATE($D$5,12,1))*('LIG. PROVISÓRIAS'!$C$5:$C$76+'LIG. PROVISÓRIAS'!$D$5:$D$76))/'VALOR POR PL'!L15)</f>
        <v/>
      </c>
      <c r="K16" s="88">
        <f t="array" ref="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",TRUE,IF(('CRONOGRAMA ATIVIDADES'!$S$5:$S$304=B16)*('CRONOGRAMA ATIVIDADES'!$AA$5:$AA$304&lt;&gt;""),'CRONOGRAMA ATIVIDADES'!$AA$5:$AA$304,"")))))</f>
        <v/>
      </c>
      <c r="L16" s="89" t="n"/>
      <c r="M16" s="90">
        <f>'VALOR POR PL'!L15</f>
        <v/>
      </c>
      <c r="N16" s="90">
        <f>IF('VALOR POR PL'!I15="DIRETO",'VALOR POR PL'!L15,0)</f>
        <v/>
      </c>
    </row>
    <row r="17" ht="16.2" customHeight="1">
      <c r="B17" s="91">
        <f>'VALOR POR PL'!C16</f>
        <v/>
      </c>
      <c r="C17" s="92">
        <f>'VALOR POR PL'!D16</f>
        <v/>
      </c>
      <c r="D17" s="93">
        <f>IF(OR('VALOR POR PL'!I16&lt;&gt;"DIRETO",'CP RESUMO'!$C$10=""),"",IFERROR(INDEX('CP RESUMO'!$D$10:$BW$10,MATCH(DATE($D$5,12,1),'CP RESUMO'!$D$4:$BW$4,0))/100,""))</f>
        <v/>
      </c>
      <c r="E17" s="94">
        <f>IF('VALOR POR PL'!I16&lt;&gt;"DIRETO","",'CONSUMOS'!$K$14)</f>
        <v/>
      </c>
      <c r="F17" s="95">
        <f>SUMPRODUCT((YEAR('CONSUMOS'!$B$5:$B$76)=$D$5)*('CONSUMOS'!$C$5:$C$76+'CONSUMOS'!$D$5:$D$76))</f>
        <v/>
      </c>
      <c r="G17" s="95">
        <f>SUMPRODUCT((YEAR('MODELO PARA BI'!$H$1:$CA$1)=$D$5)*'MODELO PARA BI'!$H$5:$CA$5)</f>
        <v/>
      </c>
      <c r="H17" s="95">
        <f>IF(ISNUMBER($G$5),G17*$G$5,0)</f>
        <v/>
      </c>
      <c r="I17" s="93">
        <f>IF($F$53=0,0,F17/$F$53)</f>
        <v/>
      </c>
      <c r="J17" s="93">
        <f>IF('VALOR POR PL'!L16=0,0,SUMPRODUCT(('CONSUMOS'!$B$5:$B$76&lt;=DATE($D$5,12,1))*('CONSUMOS'!$C$5:$C$76+'CONSUMOS'!$D$5:$D$76))/'VALOR POR PL'!L16)</f>
        <v/>
      </c>
      <c r="K17" s="96">
        <f t="array" ref="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",TRUE,IF(('CRONOGRAMA ATIVIDADES'!$S$5:$S$304=B17)*('CRONOGRAMA ATIVIDADES'!$AA$5:$AA$304&lt;&gt;""),'CRONOGRAMA ATIVIDADES'!$AA$5:$AA$304,"")))))</f>
        <v/>
      </c>
      <c r="L17" s="97" t="n"/>
      <c r="M17" s="90">
        <f>'VALOR POR PL'!L16</f>
        <v/>
      </c>
      <c r="N17" s="90">
        <f>IF('VALOR POR PL'!I16="DIRETO",'VALOR POR PL'!L16,0)</f>
        <v/>
      </c>
    </row>
    <row r="18" ht="16.2" customHeight="1">
      <c r="B18" s="83">
        <f>'VALOR POR PL'!C17</f>
        <v/>
      </c>
      <c r="C18" s="84">
        <f>'VALOR POR PL'!D17</f>
        <v/>
      </c>
      <c r="D18" s="85">
        <f>IF(OR('VALOR POR PL'!I17&lt;&gt;"DIRETO",'CP RESUMO'!$C$11=""),"",IFERROR(INDEX('CP RESUMO'!$D$11:$BW$11,MATCH(DATE($D$5,12,1),'CP RESUMO'!$D$4:$BW$4,0))/100,""))</f>
        <v/>
      </c>
      <c r="E18" s="86">
        <f>IF('VALOR POR PL'!I17&lt;&gt;"DIRETO","",'DIVERSOS'!$K$14)</f>
        <v/>
      </c>
      <c r="F18" s="87">
        <f>SUMPRODUCT((YEAR('DIVERSOS'!$B$5:$B$76)=$D$5)*('DIVERSOS'!$C$5:$C$76+'DIVERSOS'!$D$5:$D$76))</f>
        <v/>
      </c>
      <c r="G18" s="87">
        <f>SUMPRODUCT((YEAR('MODELO PARA BI'!$H$1:$CA$1)=$D$5)*'MODELO PARA BI'!$H$9:$CA$9)</f>
        <v/>
      </c>
      <c r="H18" s="87">
        <f>IF(ISNUMBER($G$5),G18*$G$5,0)</f>
        <v/>
      </c>
      <c r="I18" s="85">
        <f>IF($F$53=0,0,F18/$F$53)</f>
        <v/>
      </c>
      <c r="J18" s="85">
        <f>IF('VALOR POR PL'!L17=0,0,SUMPRODUCT(('DIVERSOS'!$B$5:$B$76&lt;=DATE($D$5,12,1))*('DIVERSOS'!$C$5:$C$76+'DIVERSOS'!$D$5:$D$76))/'VALOR POR PL'!L17)</f>
        <v/>
      </c>
      <c r="K18" s="88">
        <f t="array" ref="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",TRUE,IF(('CRONOGRAMA ATIVIDADES'!$S$5:$S$304=B18)*('CRONOGRAMA ATIVIDADES'!$AA$5:$AA$304&lt;&gt;""),'CRONOGRAMA ATIVIDADES'!$AA$5:$AA$304,"")))))</f>
        <v/>
      </c>
      <c r="L18" s="89" t="n"/>
      <c r="M18" s="90">
        <f>'VALOR POR PL'!L17</f>
        <v/>
      </c>
      <c r="N18" s="90">
        <f>IF('VALOR POR PL'!I17="DIRETO",'VALOR POR PL'!L17,0)</f>
        <v/>
      </c>
    </row>
    <row r="19" ht="16.2" customHeight="1">
      <c r="B19" s="91">
        <f>'VALOR POR PL'!C18</f>
        <v/>
      </c>
      <c r="C19" s="92">
        <f>'VALOR POR PL'!D18</f>
        <v/>
      </c>
      <c r="D19" s="93">
        <f>IF(OR('VALOR POR PL'!I18&lt;&gt;"DIRETO",'CP RESUMO'!$C$12=""),"",IFERROR(INDEX('CP RESUMO'!$D$12:$BW$12,MATCH(DATE($D$5,12,1),'CP RESUMO'!$D$4:$BW$4,0))/100,""))</f>
        <v/>
      </c>
      <c r="E19" s="94">
        <f>IF('VALOR POR PL'!I18&lt;&gt;"DIRETO","",'TRANSPORTES'!$K$14)</f>
        <v/>
      </c>
      <c r="F19" s="95">
        <f>SUMPRODUCT((YEAR('TRANSPORTES'!$B$5:$B$76)=$D$5)*('TRANSPORTES'!$C$5:$C$76+'TRANSPORTES'!$D$5:$D$76))</f>
        <v/>
      </c>
      <c r="G19" s="95">
        <f>SUMPRODUCT((YEAR('MODELO PARA BI'!$H$1:$CA$1)=$D$5)*'MODELO PARA BI'!$H$50:$CA$50)</f>
        <v/>
      </c>
      <c r="H19" s="95">
        <f>IF(ISNUMBER($G$5),G19*$G$5,0)</f>
        <v/>
      </c>
      <c r="I19" s="93">
        <f>IF($F$53=0,0,F19/$F$53)</f>
        <v/>
      </c>
      <c r="J19" s="93">
        <f>IF('VALOR POR PL'!L18=0,0,SUMPRODUCT(('TRANSPORTES'!$B$5:$B$76&lt;=DATE($D$5,12,1))*('TRANSPORTES'!$C$5:$C$76+'TRANSPORTES'!$D$5:$D$76))/'VALOR POR PL'!L18)</f>
        <v/>
      </c>
      <c r="K19" s="96">
        <f t="array" ref="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",TRUE,IF(('CRONOGRAMA ATIVIDADES'!$S$5:$S$304=B19)*('CRONOGRAMA ATIVIDADES'!$AA$5:$AA$304&lt;&gt;""),'CRONOGRAMA ATIVIDADES'!$AA$5:$AA$304,"")))))</f>
        <v/>
      </c>
      <c r="L19" s="97" t="n"/>
      <c r="M19" s="90">
        <f>'VALOR POR PL'!L18</f>
        <v/>
      </c>
      <c r="N19" s="90">
        <f>IF('VALOR POR PL'!I18="DIRETO",'VALOR POR PL'!L18,0)</f>
        <v/>
      </c>
    </row>
    <row r="20" ht="16.2" customHeight="1">
      <c r="B20" s="83">
        <f>'VALOR POR PL'!C19</f>
        <v/>
      </c>
      <c r="C20" s="84">
        <f>'VALOR POR PL'!D19</f>
        <v/>
      </c>
      <c r="D20" s="85">
        <f>IF(OR('VALOR POR PL'!I19&lt;&gt;"DIRETO",'CP RESUMO'!$C$13=""),"",IFERROR(INDEX('CP RESUMO'!$D$13:$BW$13,MATCH(DATE($D$5,12,1),'CP RESUMO'!$D$4:$BW$4,0))/100,""))</f>
        <v/>
      </c>
      <c r="E20" s="86">
        <f>IF('VALOR POR PL'!I19&lt;&gt;"DIRETO","",'CONSULTORIAS'!$K$14)</f>
        <v/>
      </c>
      <c r="F20" s="87">
        <f>SUMPRODUCT((YEAR('CONSULTORIAS'!$B$5:$B$76)=$D$5)*('CONSULTORIAS'!$C$5:$C$76+'CONSULTORIAS'!$D$5:$D$76))</f>
        <v/>
      </c>
      <c r="G20" s="87">
        <f>SUMPRODUCT((YEAR('MODELO PARA BI'!$H$1:$CA$1)=$D$5)*'MODELO PARA BI'!$H$4:$CA$4)</f>
        <v/>
      </c>
      <c r="H20" s="87">
        <f>IF(ISNUMBER($G$5),G20*$G$5,0)</f>
        <v/>
      </c>
      <c r="I20" s="85">
        <f>IF($F$53=0,0,F20/$F$53)</f>
        <v/>
      </c>
      <c r="J20" s="85">
        <f>IF('VALOR POR PL'!L19=0,0,SUMPRODUCT(('CONSULTORIAS'!$B$5:$B$76&lt;=DATE($D$5,12,1))*('CONSULTORIAS'!$C$5:$C$76+'CONSULTORIAS'!$D$5:$D$76))/'VALOR POR PL'!L19)</f>
        <v/>
      </c>
      <c r="K20" s="88">
        <f t="array" ref="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",TRUE,IF(('CRONOGRAMA ATIVIDADES'!$S$5:$S$304=B20)*('CRONOGRAMA ATIVIDADES'!$AA$5:$AA$304&lt;&gt;""),'CRONOGRAMA ATIVIDADES'!$AA$5:$AA$304,"")))))</f>
        <v/>
      </c>
      <c r="L20" s="89" t="n"/>
      <c r="M20" s="90">
        <f>'VALOR POR PL'!L19</f>
        <v/>
      </c>
      <c r="N20" s="90">
        <f>IF('VALOR POR PL'!I19="DIRETO",'VALOR POR PL'!L19,0)</f>
        <v/>
      </c>
    </row>
    <row r="21" ht="16.2" customHeight="1">
      <c r="B21" s="91">
        <f>'VALOR POR PL'!C20</f>
        <v/>
      </c>
      <c r="C21" s="92">
        <f>'VALOR POR PL'!D20</f>
        <v/>
      </c>
      <c r="D21" s="93">
        <f>IF(OR('VALOR POR PL'!I20&lt;&gt;"DIRETO",'CP RESUMO'!$C$14=""),"",IFERROR(INDEX('CP RESUMO'!$D$14:$BW$14,MATCH(DATE($D$5,12,1),'CP RESUMO'!$D$4:$BW$4,0))/100,""))</f>
        <v/>
      </c>
      <c r="E21" s="94">
        <f>IF('VALOR POR PL'!I20&lt;&gt;"DIRETO","",'MDO'!$K$14)</f>
        <v/>
      </c>
      <c r="F21" s="95">
        <f>SUMPRODUCT((YEAR('MDO'!$B$5:$B$76)=$D$5)*('MDO'!$C$5:$C$76+'MDO'!$D$5:$D$76))</f>
        <v/>
      </c>
      <c r="G21" s="95">
        <f>SUMPRODUCT((YEAR('MODELO PARA BI'!$H$1:$CA$1)=$D$5)*'MODELO PARA BI'!$H$28:$CA$28)</f>
        <v/>
      </c>
      <c r="H21" s="95">
        <f>IF(ISNUMBER($G$5),G21*$G$5,0)</f>
        <v/>
      </c>
      <c r="I21" s="93">
        <f>IF($F$53=0,0,F21/$F$53)</f>
        <v/>
      </c>
      <c r="J21" s="93">
        <f>IF('VALOR POR PL'!L20=0,0,SUMPRODUCT(('MDO'!$B$5:$B$76&lt;=DATE($D$5,12,1))*('MDO'!$C$5:$C$76+'MDO'!$D$5:$D$76))/'VALOR POR PL'!L20)</f>
        <v/>
      </c>
      <c r="K21" s="96">
        <f t="array" ref="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",TRUE,IF(('CRONOGRAMA ATIVIDADES'!$S$5:$S$304=B21)*('CRONOGRAMA ATIVIDADES'!$AA$5:$AA$304&lt;&gt;""),'CRONOGRAMA ATIVIDADES'!$AA$5:$AA$304,"")))))</f>
        <v/>
      </c>
      <c r="L21" s="97" t="n"/>
      <c r="M21" s="90">
        <f>'VALOR POR PL'!L20</f>
        <v/>
      </c>
      <c r="N21" s="90">
        <f>IF('VALOR POR PL'!I20="DIRETO",'VALOR POR PL'!L20,0)</f>
        <v/>
      </c>
    </row>
    <row r="22" ht="16.2" customHeight="1">
      <c r="B22" s="83">
        <f>'VALOR POR PL'!C21</f>
        <v/>
      </c>
      <c r="C22" s="84">
        <f>'VALOR POR PL'!D21</f>
        <v/>
      </c>
      <c r="D22" s="85">
        <f>IF(OR('VALOR POR PL'!I21&lt;&gt;"DIRETO",'CP RESUMO'!$C$15=""),"",IFERROR(INDEX('CP RESUMO'!$D$15:$BW$15,MATCH(DATE($D$5,12,1),'CP RESUMO'!$D$4:$BW$4,0))/100,""))</f>
        <v/>
      </c>
      <c r="E22" s="86">
        <f>IF('VALOR POR PL'!I21&lt;&gt;"DIRETO","",'EQUIP E FER'!$K$14)</f>
        <v/>
      </c>
      <c r="F22" s="87">
        <f>SUMPRODUCT((YEAR('EQUIP E FER'!$B$5:$B$76)=$D$5)*('EQUIP E FER'!$C$5:$C$76+'EQUIP E FER'!$D$5:$D$76))</f>
        <v/>
      </c>
      <c r="G22" s="87">
        <f>SUMPRODUCT((YEAR('MODELO PARA BI'!$H$1:$CA$1)=$D$5)*'MODELO PARA BI'!$H$12:$CA$12)</f>
        <v/>
      </c>
      <c r="H22" s="87">
        <f>IF(ISNUMBER($G$5),G22*$G$5,0)</f>
        <v/>
      </c>
      <c r="I22" s="85">
        <f>IF($F$53=0,0,F22/$F$53)</f>
        <v/>
      </c>
      <c r="J22" s="85">
        <f>IF('VALOR POR PL'!L21=0,0,SUMPRODUCT(('EQUIP E FER'!$B$5:$B$76&lt;=DATE($D$5,12,1))*('EQUIP E FER'!$C$5:$C$76+'EQUIP E FER'!$D$5:$D$76))/'VALOR POR PL'!L21)</f>
        <v/>
      </c>
      <c r="K22" s="88">
        <f t="array" ref="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",TRUE,IF(('CRONOGRAMA ATIVIDADES'!$S$5:$S$304=B22)*('CRONOGRAMA ATIVIDADES'!$AA$5:$AA$304&lt;&gt;""),'CRONOGRAMA ATIVIDADES'!$AA$5:$AA$304,"")))))</f>
        <v/>
      </c>
      <c r="L22" s="89" t="n"/>
      <c r="M22" s="90">
        <f>'VALOR POR PL'!L21</f>
        <v/>
      </c>
      <c r="N22" s="90">
        <f>IF('VALOR POR PL'!I21="DIRETO",'VALOR POR PL'!L21,0)</f>
        <v/>
      </c>
    </row>
    <row r="23" ht="16.2" customHeight="1">
      <c r="B23" s="98" t="inlineStr">
        <is>
          <t>01 a 11</t>
        </is>
      </c>
      <c r="C23" s="99" t="inlineStr">
        <is>
          <t>INDIRETOS</t>
        </is>
      </c>
      <c r="D23" s="100">
        <f>IFERROR(SUMPRODUCT(D12:D22,N12:N22)/SUMPRODUCT(ISNUMBER(D12:D22)*N12:N22),"")</f>
        <v/>
      </c>
      <c r="E23" s="100">
        <f>IFERROR(SUMPRODUCT(E12:E22,N12:N22)/SUMPRODUCT(ISNUMBER(E12:E22)*N12:N22),"")</f>
        <v/>
      </c>
      <c r="F23" s="101">
        <f>SUM(F12:F22)</f>
        <v/>
      </c>
      <c r="G23" s="101">
        <f>SUM(G12:G22)</f>
        <v/>
      </c>
      <c r="H23" s="101">
        <f>SUM(H12:H22)</f>
        <v/>
      </c>
      <c r="I23" s="100">
        <f>IF($F$53=0,0,F23/$F$53)</f>
        <v/>
      </c>
      <c r="J23" s="100">
        <f>IFERROR(SUMPRODUCT(J12:J22,M12:M22)/SUM(M12:M22),0)</f>
        <v/>
      </c>
      <c r="K23" s="102" t="n"/>
      <c r="L23" s="102" t="n"/>
      <c r="M23">
        <f>SUM(M12:M22)</f>
        <v/>
      </c>
      <c r="N23">
        <f>SUM(N12:N22)</f>
        <v/>
      </c>
    </row>
    <row r="24" ht="16.2" customHeight="1">
      <c r="B24" s="83">
        <f>'VALOR POR PL'!C22</f>
        <v/>
      </c>
      <c r="C24" s="84">
        <f>'VALOR POR PL'!D22</f>
        <v/>
      </c>
      <c r="D24" s="85">
        <f>IF(OR('VALOR POR PL'!I22&lt;&gt;"DIRETO",'CP RESUMO'!$C$16=""),"",IFERROR(INDEX('CP RESUMO'!$D$16:$BW$16,MATCH(DATE($D$5,12,1),'CP RESUMO'!$D$4:$BW$4,0))/100,""))</f>
        <v/>
      </c>
      <c r="E24" s="86">
        <f>IF('VALOR POR PL'!I22&lt;&gt;"DIRETO","",'SERV. INICIAIS'!$K$14)</f>
        <v/>
      </c>
      <c r="F24" s="87">
        <f>SUMPRODUCT((YEAR('SERV. INICIAIS'!$B$5:$B$76)=$D$5)*('SERV. INICIAIS'!$C$5:$C$76+'SERV. INICIAIS'!$D$5:$D$76))</f>
        <v/>
      </c>
      <c r="G24" s="87">
        <f>SUMPRODUCT((YEAR('MODELO PARA BI'!$H$1:$CA$1)=$D$5)*'MODELO PARA BI'!$H$55:$CA$55)</f>
        <v/>
      </c>
      <c r="H24" s="87">
        <f>IF(ISNUMBER($G$5),G24*$G$5,0)</f>
        <v/>
      </c>
      <c r="I24" s="85">
        <f>IF($F$53=0,0,F24/$F$53)</f>
        <v/>
      </c>
      <c r="J24" s="85">
        <f>IF('VALOR POR PL'!L22=0,0,SUMPRODUCT(('SERV. INICIAIS'!$B$5:$B$76&lt;=DATE($D$5,12,1))*('SERV. INICIAIS'!$C$5:$C$76+'SERV. INICIAIS'!$D$5:$D$76))/'VALOR POR PL'!L22)</f>
        <v/>
      </c>
      <c r="K24" s="88">
        <f t="array" ref="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",TRUE,IF(('CRONOGRAMA ATIVIDADES'!$S$5:$S$304=B24)*('CRONOGRAMA ATIVIDADES'!$AA$5:$AA$304&lt;&gt;""),'CRONOGRAMA ATIVIDADES'!$AA$5:$AA$304,"")))))</f>
        <v/>
      </c>
      <c r="L24" s="89" t="n"/>
      <c r="M24" s="90">
        <f>'VALOR POR PL'!L22</f>
        <v/>
      </c>
      <c r="N24" s="90">
        <f>IF('VALOR POR PL'!I22="DIRETO",'VALOR POR PL'!L22,0)</f>
        <v/>
      </c>
    </row>
    <row r="25" ht="16.2" customHeight="1">
      <c r="B25" s="91">
        <f>'VALOR POR PL'!C23</f>
        <v/>
      </c>
      <c r="C25" s="92">
        <f>'VALOR POR PL'!D23</f>
        <v/>
      </c>
      <c r="D25" s="93">
        <f>IF(OR('VALOR POR PL'!I23&lt;&gt;"DIRETO",'CP RESUMO'!$C$17=""),"",IFERROR(INDEX('CP RESUMO'!$D$17:$BW$17,MATCH(DATE($D$5,12,1),'CP RESUMO'!$D$4:$BW$4,0))/100,""))</f>
        <v/>
      </c>
      <c r="E25" s="94">
        <f>IF('VALOR POR PL'!I23&lt;&gt;"DIRETO","",'CONTENÇÃO'!$K$14)</f>
        <v/>
      </c>
      <c r="F25" s="95">
        <f>SUMPRODUCT((YEAR('CONTENÇÃO'!$B$5:$B$76)=$D$5)*('CONTENÇÃO'!$C$5:$C$76+'CONTENÇÃO'!$D$5:$D$76))</f>
        <v/>
      </c>
      <c r="G25" s="95">
        <f>SUMPRODUCT((YEAR('MODELO PARA BI'!$H$1:$CA$1)=$D$5)*'MODELO PARA BI'!$H$6:$CA$6)</f>
        <v/>
      </c>
      <c r="H25" s="95">
        <f>IF(ISNUMBER($G$5),G25*$G$5,0)</f>
        <v/>
      </c>
      <c r="I25" s="93">
        <f>IF($F$53=0,0,F25/$F$53)</f>
        <v/>
      </c>
      <c r="J25" s="93">
        <f>IF('VALOR POR PL'!L23=0,0,SUMPRODUCT(('CONTENÇÃO'!$B$5:$B$76&lt;=DATE($D$5,12,1))*('CONTENÇÃO'!$C$5:$C$76+'CONTENÇÃO'!$D$5:$D$76))/'VALOR POR PL'!L23)</f>
        <v/>
      </c>
      <c r="K25" s="96">
        <f t="array" ref="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",TRUE,IF(('CRONOGRAMA ATIVIDADES'!$S$5:$S$304=B25)*('CRONOGRAMA ATIVIDADES'!$AA$5:$AA$304&lt;&gt;""),'CRONOGRAMA ATIVIDADES'!$AA$5:$AA$304,"")))))</f>
        <v/>
      </c>
      <c r="L25" s="97" t="n"/>
      <c r="M25" s="90">
        <f>'VALOR POR PL'!L23</f>
        <v/>
      </c>
      <c r="N25" s="90">
        <f>IF('VALOR POR PL'!I23="DIRETO",'VALOR POR PL'!L23,0)</f>
        <v/>
      </c>
    </row>
    <row r="26" ht="16.2" customHeight="1">
      <c r="B26" s="83">
        <f>'VALOR POR PL'!C24</f>
        <v/>
      </c>
      <c r="C26" s="84">
        <f>'VALOR POR PL'!D24</f>
        <v/>
      </c>
      <c r="D26" s="85">
        <f>IF(OR('VALOR POR PL'!I24&lt;&gt;"DIRETO",'CP RESUMO'!$C$18=""),"",IFERROR(INDEX('CP RESUMO'!$D$18:$BW$18,MATCH(DATE($D$5,12,1),'CP RESUMO'!$D$4:$BW$4,0))/100,""))</f>
        <v/>
      </c>
      <c r="E26" s="86">
        <f>IF('VALOR POR PL'!I24&lt;&gt;"DIRETO","",'TERRAPLENAGEM'!$K$14)</f>
        <v/>
      </c>
      <c r="F26" s="87">
        <f>SUMPRODUCT((YEAR('TERRAPLENAGEM'!$B$5:$B$76)=$D$5)*('TERRAPLENAGEM'!$C$5:$C$76+'TERRAPLENAGEM'!$D$5:$D$76))</f>
        <v/>
      </c>
      <c r="G26" s="87">
        <f>SUMPRODUCT((YEAR('MODELO PARA BI'!$H$1:$CA$1)=$D$5)*'MODELO PARA BI'!$H$48:$CA$48)</f>
        <v/>
      </c>
      <c r="H26" s="87">
        <f>IF(ISNUMBER($G$5),G26*$G$5,0)</f>
        <v/>
      </c>
      <c r="I26" s="85">
        <f>IF($F$53=0,0,F26/$F$53)</f>
        <v/>
      </c>
      <c r="J26" s="85">
        <f>IF('VALOR POR PL'!L24=0,0,SUMPRODUCT(('TERRAPLENAGEM'!$B$5:$B$76&lt;=DATE($D$5,12,1))*('TERRAPLENAGEM'!$C$5:$C$76+'TERRAPLENAGEM'!$D$5:$D$76))/'VALOR POR PL'!L24)</f>
        <v/>
      </c>
      <c r="K26" s="88">
        <f t="array" ref="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",TRUE,IF(('CRONOGRAMA ATIVIDADES'!$S$5:$S$304=B26)*('CRONOGRAMA ATIVIDADES'!$AA$5:$AA$304&lt;&gt;""),'CRONOGRAMA ATIVIDADES'!$AA$5:$AA$304,"")))))</f>
        <v/>
      </c>
      <c r="L26" s="89" t="n"/>
      <c r="M26" s="90">
        <f>'VALOR POR PL'!L24</f>
        <v/>
      </c>
      <c r="N26" s="90">
        <f>IF('VALOR POR PL'!I24="DIRETO",'VALOR POR PL'!L24,0)</f>
        <v/>
      </c>
    </row>
    <row r="27" ht="16.2" customHeight="1">
      <c r="B27" s="91">
        <f>'VALOR POR PL'!C25</f>
        <v/>
      </c>
      <c r="C27" s="92">
        <f>'VALOR POR PL'!D25</f>
        <v/>
      </c>
      <c r="D27" s="93">
        <f>IF(OR('VALOR POR PL'!I25&lt;&gt;"DIRETO",'CP RESUMO'!$C$19=""),"",IFERROR(INDEX('CP RESUMO'!$D$19:$BW$19,MATCH(DATE($D$5,12,1),'CP RESUMO'!$D$4:$BW$4,0))/100,""))</f>
        <v/>
      </c>
      <c r="E27" s="94">
        <f>IF('VALOR POR PL'!I25&lt;&gt;"DIRETO","",'FUND. PROF'!$K$14)</f>
        <v/>
      </c>
      <c r="F27" s="95">
        <f>SUMPRODUCT((YEAR('FUND. PROF'!$B$5:$B$76)=$D$5)*('FUND. PROF'!$C$5:$C$76+'FUND. PROF'!$D$5:$D$76))</f>
        <v/>
      </c>
      <c r="G27" s="95">
        <f>SUMPRODUCT((YEAR('MODELO PARA BI'!$H$1:$CA$1)=$D$5)*'MODELO PARA BI'!$H$17:$CA$17)</f>
        <v/>
      </c>
      <c r="H27" s="95">
        <f>IF(ISNUMBER($G$5),G27*$G$5,0)</f>
        <v/>
      </c>
      <c r="I27" s="93">
        <f>IF($F$53=0,0,F27/$F$53)</f>
        <v/>
      </c>
      <c r="J27" s="93">
        <f>IF('VALOR POR PL'!L25=0,0,SUMPRODUCT(('FUND. PROF'!$B$5:$B$76&lt;=DATE($D$5,12,1))*('FUND. PROF'!$C$5:$C$76+'FUND. PROF'!$D$5:$D$76))/'VALOR POR PL'!L25)</f>
        <v/>
      </c>
      <c r="K27" s="96">
        <f t="array" ref="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",TRUE,IF(('CRONOGRAMA ATIVIDADES'!$S$5:$S$304=B27)*('CRONOGRAMA ATIVIDADES'!$AA$5:$AA$304&lt;&gt;""),'CRONOGRAMA ATIVIDADES'!$AA$5:$AA$304,"")))))</f>
        <v/>
      </c>
      <c r="L27" s="97" t="n"/>
      <c r="M27" s="90">
        <f>'VALOR POR PL'!L25</f>
        <v/>
      </c>
      <c r="N27" s="90">
        <f>IF('VALOR POR PL'!I25="DIRETO",'VALOR POR PL'!L25,0)</f>
        <v/>
      </c>
    </row>
    <row r="28" ht="16.2" customHeight="1">
      <c r="B28" s="83">
        <f>'VALOR POR PL'!C26</f>
        <v/>
      </c>
      <c r="C28" s="84">
        <f>'VALOR POR PL'!D26</f>
        <v/>
      </c>
      <c r="D28" s="85">
        <f>IF(OR('VALOR POR PL'!I26&lt;&gt;"DIRETO",'CP RESUMO'!$C$20=""),"",IFERROR(INDEX('CP RESUMO'!$D$20:$BW$20,MATCH(DATE($D$5,12,1),'CP RESUMO'!$D$4:$BW$4,0))/100,""))</f>
        <v/>
      </c>
      <c r="E28" s="86">
        <f>IF('VALOR POR PL'!I26&lt;&gt;"DIRETO","",'FUND. SUP'!$K$14)</f>
        <v/>
      </c>
      <c r="F28" s="87">
        <f>SUMPRODUCT((YEAR('FUND. SUP'!$B$5:$B$76)=$D$5)*('FUND. SUP'!$C$5:$C$76+'FUND. SUP'!$D$5:$D$76))</f>
        <v/>
      </c>
      <c r="G28" s="87">
        <f>SUMPRODUCT((YEAR('MODELO PARA BI'!$H$1:$CA$1)=$D$5)*'MODELO PARA BI'!$H$18:$CA$18)</f>
        <v/>
      </c>
      <c r="H28" s="87">
        <f>IF(ISNUMBER($G$5),G28*$G$5,0)</f>
        <v/>
      </c>
      <c r="I28" s="85">
        <f>IF($F$53=0,0,F28/$F$53)</f>
        <v/>
      </c>
      <c r="J28" s="85">
        <f>IF('VALOR POR PL'!L26=0,0,SUMPRODUCT(('FUND. SUP'!$B$5:$B$76&lt;=DATE($D$5,12,1))*('FUND. SUP'!$C$5:$C$76+'FUND. SUP'!$D$5:$D$76))/'VALOR POR PL'!L26)</f>
        <v/>
      </c>
      <c r="K28" s="88">
        <f t="array" ref="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",TRUE,IF(('CRONOGRAMA ATIVIDADES'!$S$5:$S$304=B28)*('CRONOGRAMA ATIVIDADES'!$AA$5:$AA$304&lt;&gt;""),'CRONOGRAMA ATIVIDADES'!$AA$5:$AA$304,"")))))</f>
        <v/>
      </c>
      <c r="L28" s="89" t="n"/>
      <c r="M28" s="90">
        <f>'VALOR POR PL'!L26</f>
        <v/>
      </c>
      <c r="N28" s="90">
        <f>IF('VALOR POR PL'!I26="DIRETO",'VALOR POR PL'!L26,0)</f>
        <v/>
      </c>
    </row>
    <row r="29" ht="29.4" customHeight="1">
      <c r="B29" s="98" t="inlineStr">
        <is>
          <t>12 a 16</t>
        </is>
      </c>
      <c r="C29" s="99" t="inlineStr">
        <is>
          <t>SERVIÇOS INICIAIS, CONTENÇÃO, TERRAPLENAGEM E FUNDAÇÕES</t>
        </is>
      </c>
      <c r="D29" s="100">
        <f>IFERROR(SUMPRODUCT(D24:D28,N24:N28)/SUMPRODUCT(ISNUMBER(D24:D28)*N24:N28),"")</f>
        <v/>
      </c>
      <c r="E29" s="100">
        <f>IFERROR(SUMPRODUCT(E24:E28,N24:N28)/SUMPRODUCT(ISNUMBER(E24:E28)*N24:N28),"")</f>
        <v/>
      </c>
      <c r="F29" s="101">
        <f>SUM(F24:F28)</f>
        <v/>
      </c>
      <c r="G29" s="101">
        <f>SUM(G24:G28)</f>
        <v/>
      </c>
      <c r="H29" s="101">
        <f>SUM(H24:H28)</f>
        <v/>
      </c>
      <c r="I29" s="100">
        <f>IF($F$53=0,0,F29/$F$53)</f>
        <v/>
      </c>
      <c r="J29" s="100">
        <f>IFERROR(SUMPRODUCT(J24:J28,M24:M28)/SUM(M24:M28),0)</f>
        <v/>
      </c>
      <c r="K29" s="102" t="n"/>
      <c r="L29" s="102" t="n"/>
      <c r="M29">
        <f>SUM(M24:M28)</f>
        <v/>
      </c>
      <c r="N29">
        <f>SUM(N24:N28)</f>
        <v/>
      </c>
    </row>
    <row r="30" ht="16.2" customHeight="1">
      <c r="B30" s="83">
        <f>'VALOR POR PL'!C27</f>
        <v/>
      </c>
      <c r="C30" s="84">
        <f>'VALOR POR PL'!D27</f>
        <v/>
      </c>
      <c r="D30" s="85">
        <f>IF(OR('VALOR POR PL'!I27&lt;&gt;"DIRETO",'CP RESUMO'!$C$21=""),"",IFERROR(INDEX('CP RESUMO'!$D$21:$BW$21,MATCH(DATE($D$5,12,1),'CP RESUMO'!$D$4:$BW$4,0))/100,""))</f>
        <v/>
      </c>
      <c r="E30" s="86">
        <f>IF('VALOR POR PL'!I27&lt;&gt;"DIRETO","",'ESTRUTURA'!$K$14)</f>
        <v/>
      </c>
      <c r="F30" s="87">
        <f>SUMPRODUCT((YEAR('ESTRUTURA'!$B$5:$B$76)=$D$5)*('ESTRUTURA'!$C$5:$C$76+'ESTRUTURA'!$D$5:$D$76))</f>
        <v/>
      </c>
      <c r="G30" s="87">
        <f>SUMPRODUCT((YEAR('MODELO PARA BI'!$H$1:$CA$1)=$D$5)*'MODELO PARA BI'!$H$15:$CA$15)</f>
        <v/>
      </c>
      <c r="H30" s="87">
        <f>IF(ISNUMBER($G$5),G30*$G$5,0)</f>
        <v/>
      </c>
      <c r="I30" s="85">
        <f>IF($F$53=0,0,F30/$F$53)</f>
        <v/>
      </c>
      <c r="J30" s="85">
        <f>IF('VALOR POR PL'!L27=0,0,SUMPRODUCT(('ESTRUTURA'!$B$5:$B$76&lt;=DATE($D$5,12,1))*('ESTRUTURA'!$C$5:$C$76+'ESTRUTURA'!$D$5:$D$76))/'VALOR POR PL'!L27)</f>
        <v/>
      </c>
      <c r="K30" s="88">
        <f t="array" ref="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",TRUE,IF(('CRONOGRAMA ATIVIDADES'!$S$5:$S$304=B30)*('CRONOGRAMA ATIVIDADES'!$AA$5:$AA$304&lt;&gt;""),'CRONOGRAMA ATIVIDADES'!$AA$5:$AA$304,"")))))</f>
        <v/>
      </c>
      <c r="L30" s="89" t="n"/>
      <c r="M30" s="90">
        <f>'VALOR POR PL'!L27</f>
        <v/>
      </c>
      <c r="N30" s="90">
        <f>IF('VALOR POR PL'!I27="DIRETO",'VALOR POR PL'!L27,0)</f>
        <v/>
      </c>
    </row>
    <row r="31" ht="29.4" customHeight="1">
      <c r="B31" s="91">
        <f>'VALOR POR PL'!C28</f>
        <v/>
      </c>
      <c r="C31" s="92">
        <f>'VALOR POR PL'!D28</f>
        <v/>
      </c>
      <c r="D31" s="93">
        <f>IF(OR('VALOR POR PL'!I28&lt;&gt;"DIRETO",'CP RESUMO'!$C$22=""),"",IFERROR(INDEX('CP RESUMO'!$D$22:$BW$22,MATCH(DATE($D$5,12,1),'CP RESUMO'!$D$4:$BW$4,0))/100,""))</f>
        <v/>
      </c>
      <c r="E31" s="94">
        <f>IF('VALOR POR PL'!I28&lt;&gt;"DIRETO","",'ALVENARIA'!$K$14)</f>
        <v/>
      </c>
      <c r="F31" s="95">
        <f>SUMPRODUCT((YEAR('ALVENARIA'!$B$5:$B$76)=$D$5)*('ALVENARIA'!$C$5:$C$76+'ALVENARIA'!$D$5:$D$76))</f>
        <v/>
      </c>
      <c r="G31" s="95">
        <f>SUMPRODUCT((YEAR('MODELO PARA BI'!$H$1:$CA$1)=$D$5)*'MODELO PARA BI'!$H$2:$CA$2)</f>
        <v/>
      </c>
      <c r="H31" s="95">
        <f>IF(ISNUMBER($G$5),G31*$G$5,0)</f>
        <v/>
      </c>
      <c r="I31" s="93">
        <f>IF($F$53=0,0,F31/$F$53)</f>
        <v/>
      </c>
      <c r="J31" s="93">
        <f>IF('VALOR POR PL'!L28=0,0,SUMPRODUCT(('ALVENARIA'!$B$5:$B$76&lt;=DATE($D$5,12,1))*('ALVENARIA'!$C$5:$C$76+'ALVENARIA'!$D$5:$D$76))/'VALOR POR PL'!L28)</f>
        <v/>
      </c>
      <c r="K31" s="96">
        <f t="array" ref="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",TRUE,IF(('CRONOGRAMA ATIVIDADES'!$S$5:$S$304=B31)*('CRONOGRAMA ATIVIDADES'!$AA$5:$AA$304&lt;&gt;""),'CRONOGRAMA ATIVIDADES'!$AA$5:$AA$304,"")))))</f>
        <v/>
      </c>
      <c r="L31" s="97" t="n"/>
      <c r="M31" s="90">
        <f>'VALOR POR PL'!L28</f>
        <v/>
      </c>
      <c r="N31" s="90">
        <f>IF('VALOR POR PL'!I28="DIRETO",'VALOR POR PL'!L28,0)</f>
        <v/>
      </c>
    </row>
    <row r="32" ht="42.59999999999999" customHeight="1">
      <c r="B32" s="83">
        <f>'VALOR POR PL'!C29</f>
        <v/>
      </c>
      <c r="C32" s="84">
        <f>'VALOR POR PL'!D29</f>
        <v/>
      </c>
      <c r="D32" s="85">
        <f>IF(OR('VALOR POR PL'!I29&lt;&gt;"DIRETO",'CP RESUMO'!$C$23=""),"",IFERROR(INDEX('CP RESUMO'!$D$23:$BW$23,MATCH(DATE($D$5,12,1),'CP RESUMO'!$D$4:$BW$4,0))/100,""))</f>
        <v/>
      </c>
      <c r="E32" s="86">
        <f>IF('VALOR POR PL'!I29&lt;&gt;"DIRETO","",'IMPERMEABILIZAÇÃO'!$K$14)</f>
        <v/>
      </c>
      <c r="F32" s="87">
        <f>SUMPRODUCT((YEAR('IMPERMEABILIZAÇÃO'!$B$5:$B$76)=$D$5)*('IMPERMEABILIZAÇÃO'!$C$5:$C$76+'IMPERMEABILIZAÇÃO'!$D$5:$D$76))</f>
        <v/>
      </c>
      <c r="G32" s="87">
        <f>SUMPRODUCT((YEAR('MODELO PARA BI'!$H$1:$CA$1)=$D$5)*'MODELO PARA BI'!$H$19:$CA$19)</f>
        <v/>
      </c>
      <c r="H32" s="87">
        <f>IF(ISNUMBER($G$5),G32*$G$5,0)</f>
        <v/>
      </c>
      <c r="I32" s="85">
        <f>IF($F$53=0,0,F32/$F$53)</f>
        <v/>
      </c>
      <c r="J32" s="85">
        <f>IF('VALOR POR PL'!L29=0,0,SUMPRODUCT(('IMPERMEABILIZAÇÃO'!$B$5:$B$76&lt;=DATE($D$5,12,1))*('IMPERMEABILIZAÇÃO'!$C$5:$C$76+'IMPERMEABILIZAÇÃO'!$D$5:$D$76))/'VALOR POR PL'!L29)</f>
        <v/>
      </c>
      <c r="K32" s="88">
        <f t="array" ref="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",TRUE,IF(('CRONOGRAMA ATIVIDADES'!$S$5:$S$304=B32)*('CRONOGRAMA ATIVIDADES'!$AA$5:$AA$304&lt;&gt;""),'CRONOGRAMA ATIVIDADES'!$AA$5:$AA$304,"")))))</f>
        <v/>
      </c>
      <c r="L32" s="89" t="n"/>
      <c r="M32" s="90">
        <f>'VALOR POR PL'!L29</f>
        <v/>
      </c>
      <c r="N32" s="90">
        <f>IF('VALOR POR PL'!I29="DIRETO",'VALOR POR PL'!L29,0)</f>
        <v/>
      </c>
    </row>
    <row r="33" ht="69" customHeight="1">
      <c r="B33" s="91">
        <f>'VALOR POR PL'!C30</f>
        <v/>
      </c>
      <c r="C33" s="92">
        <f>'VALOR POR PL'!D30</f>
        <v/>
      </c>
      <c r="D33" s="93">
        <f>IF(OR('VALOR POR PL'!I30&lt;&gt;"DIRETO",'CP RESUMO'!$C$24=""),"",IFERROR(INDEX('CP RESUMO'!$D$24:$BW$24,MATCH(DATE($D$5,12,1),'CP RESUMO'!$D$4:$BW$4,0))/100,""))</f>
        <v/>
      </c>
      <c r="E33" s="94">
        <f>IF('VALOR POR PL'!I30&lt;&gt;"DIRETO","",'INST. ELÉTRICA'!$K$14)</f>
        <v/>
      </c>
      <c r="F33" s="95">
        <f>SUMPRODUCT((YEAR('INST. ELÉTRICA'!$B$5:$B$76)=$D$5)*('INST. ELÉTRICA'!$C$5:$C$76+'INST. ELÉTRICA'!$D$5:$D$76))</f>
        <v/>
      </c>
      <c r="G33" s="95">
        <f>SUMPRODUCT((YEAR('MODELO PARA BI'!$H$1:$CA$1)=$D$5)*'MODELO PARA BI'!$H$21:$CA$21)</f>
        <v/>
      </c>
      <c r="H33" s="95">
        <f>IF(ISNUMBER($G$5),G33*$G$5,0)</f>
        <v/>
      </c>
      <c r="I33" s="93">
        <f>IF($F$53=0,0,F33/$F$53)</f>
        <v/>
      </c>
      <c r="J33" s="93">
        <f>IF('VALOR POR PL'!L30=0,0,SUMPRODUCT(('INST. ELÉTRICA'!$B$5:$B$76&lt;=DATE($D$5,12,1))*('INST. ELÉTRICA'!$C$5:$C$76+'INST. ELÉTRICA'!$D$5:$D$76))/'VALOR POR PL'!L30)</f>
        <v/>
      </c>
      <c r="K33" s="96">
        <f t="array" ref="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",TRUE,IF(('CRONOGRAMA ATIVIDADES'!$S$5:$S$304=B33)*('CRONOGRAMA ATIVIDADES'!$AA$5:$AA$304&lt;&gt;""),'CRONOGRAMA ATIVIDADES'!$AA$5:$AA$304,"")))))</f>
        <v/>
      </c>
      <c r="L33" s="97" t="n"/>
      <c r="M33" s="90">
        <f>'VALOR POR PL'!L30</f>
        <v/>
      </c>
      <c r="N33" s="90">
        <f>IF('VALOR POR PL'!I30="DIRETO",'VALOR POR PL'!L30,0)</f>
        <v/>
      </c>
    </row>
    <row r="34" ht="29.4" customHeight="1">
      <c r="B34" s="83">
        <f>'VALOR POR PL'!C31</f>
        <v/>
      </c>
      <c r="C34" s="84">
        <f>'VALOR POR PL'!D31</f>
        <v/>
      </c>
      <c r="D34" s="85">
        <f>IF(OR('VALOR POR PL'!I31&lt;&gt;"DIRETO",'CP RESUMO'!$C$25=""),"",IFERROR(INDEX('CP RESUMO'!$D$25:$BW$25,MATCH(DATE($D$5,12,1),'CP RESUMO'!$D$4:$BW$4,0))/100,""))</f>
        <v/>
      </c>
      <c r="E34" s="86">
        <f>IF('VALOR POR PL'!I31&lt;&gt;"DIRETO","",'INST. HIDRO'!$K$14)</f>
        <v/>
      </c>
      <c r="F34" s="87">
        <f>SUMPRODUCT((YEAR('INST. HIDRO'!$B$5:$B$76)=$D$5)*('INST. HIDRO'!$C$5:$C$76+'INST. HIDRO'!$D$5:$D$76))</f>
        <v/>
      </c>
      <c r="G34" s="87">
        <f>SUMPRODUCT((YEAR('MODELO PARA BI'!$H$1:$CA$1)=$D$5)*'MODELO PARA BI'!$H$23:$CA$23)</f>
        <v/>
      </c>
      <c r="H34" s="87">
        <f>IF(ISNUMBER($G$5),G34*$G$5,0)</f>
        <v/>
      </c>
      <c r="I34" s="85">
        <f>IF($F$53=0,0,F34/$F$53)</f>
        <v/>
      </c>
      <c r="J34" s="85">
        <f>IF('VALOR POR PL'!L31=0,0,SUMPRODUCT(('INST. HIDRO'!$B$5:$B$76&lt;=DATE($D$5,12,1))*('INST. HIDRO'!$C$5:$C$76+'INST. HIDRO'!$D$5:$D$76))/'VALOR POR PL'!L31)</f>
        <v/>
      </c>
      <c r="K34" s="88">
        <f t="array" ref="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",TRUE,IF(('CRONOGRAMA ATIVIDADES'!$S$5:$S$304=B34)*('CRONOGRAMA ATIVIDADES'!$AA$5:$AA$304&lt;&gt;""),'CRONOGRAMA ATIVIDADES'!$AA$5:$AA$304,"")))))</f>
        <v/>
      </c>
      <c r="L34" s="89" t="n"/>
      <c r="M34" s="90">
        <f>'VALOR POR PL'!L31</f>
        <v/>
      </c>
      <c r="N34" s="90">
        <f>IF('VALOR POR PL'!I31="DIRETO",'VALOR POR PL'!L31,0)</f>
        <v/>
      </c>
    </row>
    <row r="35" ht="16.2" customHeight="1">
      <c r="B35" s="91">
        <f>'VALOR POR PL'!C32</f>
        <v/>
      </c>
      <c r="C35" s="92">
        <f>'VALOR POR PL'!D32</f>
        <v/>
      </c>
      <c r="D35" s="93">
        <f>IF(OR('VALOR POR PL'!I32&lt;&gt;"DIRETO",'CP RESUMO'!$C$26=""),"",IFERROR(INDEX('CP RESUMO'!$D$26:$BW$26,MATCH(DATE($D$5,12,1),'CP RESUMO'!$D$4:$BW$4,0))/100,""))</f>
        <v/>
      </c>
      <c r="E35" s="94">
        <f>IF('VALOR POR PL'!I32&lt;&gt;"DIRETO","",'INST. INC'!$K$14)</f>
        <v/>
      </c>
      <c r="F35" s="95">
        <f>SUMPRODUCT((YEAR('INST. INC'!$B$5:$B$76)=$D$5)*('INST. INC'!$C$5:$C$76+'INST. INC'!$D$5:$D$76))</f>
        <v/>
      </c>
      <c r="G35" s="95">
        <f>SUMPRODUCT((YEAR('MODELO PARA BI'!$H$1:$CA$1)=$D$5)*'MODELO PARA BI'!$H$20:$CA$20)</f>
        <v/>
      </c>
      <c r="H35" s="95">
        <f>IF(ISNUMBER($G$5),G35*$G$5,0)</f>
        <v/>
      </c>
      <c r="I35" s="93">
        <f>IF($F$53=0,0,F35/$F$53)</f>
        <v/>
      </c>
      <c r="J35" s="93">
        <f>IF('VALOR POR PL'!L32=0,0,SUMPRODUCT(('INST. INC'!$B$5:$B$76&lt;=DATE($D$5,12,1))*('INST. INC'!$C$5:$C$76+'INST. INC'!$D$5:$D$76))/'VALOR POR PL'!L32)</f>
        <v/>
      </c>
      <c r="K35" s="96">
        <f t="array" ref="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",TRUE,IF(('CRONOGRAMA ATIVIDADES'!$S$5:$S$304=B35)*('CRONOGRAMA ATIVIDADES'!$AA$5:$AA$304&lt;&gt;""),'CRONOGRAMA ATIVIDADES'!$AA$5:$AA$304,"")))))</f>
        <v/>
      </c>
      <c r="L35" s="97" t="n"/>
      <c r="M35" s="90">
        <f>'VALOR POR PL'!L32</f>
        <v/>
      </c>
      <c r="N35" s="90">
        <f>IF('VALOR POR PL'!I32="DIRETO",'VALOR POR PL'!L32,0)</f>
        <v/>
      </c>
    </row>
    <row r="36" ht="29.4" customHeight="1">
      <c r="B36" s="83">
        <f>'VALOR POR PL'!C33</f>
        <v/>
      </c>
      <c r="C36" s="84">
        <f>'VALOR POR PL'!D33</f>
        <v/>
      </c>
      <c r="D36" s="85">
        <f>IF(OR('VALOR POR PL'!I33&lt;&gt;"DIRETO",'CP RESUMO'!$C$27=""),"",IFERROR(INDEX('CP RESUMO'!$D$27:$BW$27,MATCH(DATE($D$5,12,1),'CP RESUMO'!$D$4:$BW$4,0))/100,""))</f>
        <v/>
      </c>
      <c r="E36" s="86">
        <f>IF('VALOR POR PL'!I33&lt;&gt;"DIRETO","",'INST. ESP'!$K$14)</f>
        <v/>
      </c>
      <c r="F36" s="87">
        <f>SUMPRODUCT((YEAR('INST. ESP'!$B$5:$B$76)=$D$5)*('INST. ESP'!$C$5:$C$76+'INST. ESP'!$D$5:$D$76))</f>
        <v/>
      </c>
      <c r="G36" s="87">
        <f>SUMPRODUCT((YEAR('MODELO PARA BI'!$H$1:$CA$1)=$D$5)*'MODELO PARA BI'!$H$22:$CA$22)</f>
        <v/>
      </c>
      <c r="H36" s="87">
        <f>IF(ISNUMBER($G$5),G36*$G$5,0)</f>
        <v/>
      </c>
      <c r="I36" s="85">
        <f>IF($F$53=0,0,F36/$F$53)</f>
        <v/>
      </c>
      <c r="J36" s="85">
        <f>IF('VALOR POR PL'!L33=0,0,SUMPRODUCT(('INST. ESP'!$B$5:$B$76&lt;=DATE($D$5,12,1))*('INST. ESP'!$C$5:$C$76+'INST. ESP'!$D$5:$D$76))/'VALOR POR PL'!L33)</f>
        <v/>
      </c>
      <c r="K36" s="88">
        <f t="array" ref="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",TRUE,IF(('CRONOGRAMA ATIVIDADES'!$S$5:$S$304=B36)*('CRONOGRAMA ATIVIDADES'!$AA$5:$AA$304&lt;&gt;""),'CRONOGRAMA ATIVIDADES'!$AA$5:$AA$304,"")))))</f>
        <v/>
      </c>
      <c r="L36" s="89" t="n"/>
      <c r="M36" s="90">
        <f>'VALOR POR PL'!L33</f>
        <v/>
      </c>
      <c r="N36" s="90">
        <f>IF('VALOR POR PL'!I33="DIRETO",'VALOR POR PL'!L33,0)</f>
        <v/>
      </c>
    </row>
    <row r="37" ht="29.4" customHeight="1">
      <c r="B37" s="91">
        <f>'VALOR POR PL'!C34</f>
        <v/>
      </c>
      <c r="C37" s="92">
        <f>'VALOR POR PL'!D34</f>
        <v/>
      </c>
      <c r="D37" s="93">
        <f>IF(OR('VALOR POR PL'!I34&lt;&gt;"DIRETO",'CP RESUMO'!$C$28=""),"",IFERROR(INDEX('CP RESUMO'!$D$28:$BW$28,MATCH(DATE($D$5,12,1),'CP RESUMO'!$D$4:$BW$4,0))/100,""))</f>
        <v/>
      </c>
      <c r="E37" s="94">
        <f>IF('VALOR POR PL'!I34&lt;&gt;"DIRETO","",'ELEVADORES '!$K$14)</f>
        <v/>
      </c>
      <c r="F37" s="95">
        <f>SUMPRODUCT((YEAR('ELEVADORES '!$B$5:$B$76)=$D$5)*('ELEVADORES '!$C$5:$C$76+'ELEVADORES '!$D$5:$D$76))</f>
        <v/>
      </c>
      <c r="G37" s="95">
        <f>SUMPRODUCT((YEAR('MODELO PARA BI'!$H$1:$CA$1)=$D$5)*'MODELO PARA BI'!$H$10:$CA$10)</f>
        <v/>
      </c>
      <c r="H37" s="95">
        <f>IF(ISNUMBER($G$5),G37*$G$5,0)</f>
        <v/>
      </c>
      <c r="I37" s="93">
        <f>IF($F$53=0,0,F37/$F$53)</f>
        <v/>
      </c>
      <c r="J37" s="93">
        <f>IF('VALOR POR PL'!L34=0,0,SUMPRODUCT(('ELEVADORES '!$B$5:$B$76&lt;=DATE($D$5,12,1))*('ELEVADORES '!$C$5:$C$76+'ELEVADORES '!$D$5:$D$76))/'VALOR POR PL'!L34)</f>
        <v/>
      </c>
      <c r="K37" s="96">
        <f t="array" ref="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",TRUE,IF(('CRONOGRAMA ATIVIDADES'!$S$5:$S$304=B37)*('CRONOGRAMA ATIVIDADES'!$AA$5:$AA$304&lt;&gt;""),'CRONOGRAMA ATIVIDADES'!$AA$5:$AA$304,"")))))</f>
        <v/>
      </c>
      <c r="L37" s="97" t="n"/>
      <c r="M37" s="90">
        <f>'VALOR POR PL'!L34</f>
        <v/>
      </c>
      <c r="N37" s="90">
        <f>IF('VALOR POR PL'!I34="DIRETO",'VALOR POR PL'!L34,0)</f>
        <v/>
      </c>
    </row>
    <row r="38" ht="29.4" customHeight="1">
      <c r="B38" s="83">
        <f>'VALOR POR PL'!C35</f>
        <v/>
      </c>
      <c r="C38" s="84">
        <f>'VALOR POR PL'!D35</f>
        <v/>
      </c>
      <c r="D38" s="85">
        <f>IF(OR('VALOR POR PL'!I35&lt;&gt;"DIRETO",'CP RESUMO'!$C$29=""),"",IFERROR(INDEX('CP RESUMO'!$D$29:$BW$29,MATCH(DATE($D$5,12,1),'CP RESUMO'!$D$4:$BW$4,0))/100,""))</f>
        <v/>
      </c>
      <c r="E38" s="86">
        <f>IF('VALOR POR PL'!I35&lt;&gt;"DIRETO","",'ESQUADRIAS'!$K$14)</f>
        <v/>
      </c>
      <c r="F38" s="87">
        <f>SUMPRODUCT((YEAR('ESQUADRIAS'!$B$5:$B$76)=$D$5)*('ESQUADRIAS'!$C$5:$C$76+'ESQUADRIAS'!$D$5:$D$76))</f>
        <v/>
      </c>
      <c r="G38" s="87">
        <f>SUMPRODUCT((YEAR('MODELO PARA BI'!$H$1:$CA$1)=$D$5)*'MODELO PARA BI'!$H$13:$CA$13)</f>
        <v/>
      </c>
      <c r="H38" s="87">
        <f>IF(ISNUMBER($G$5),G38*$G$5,0)</f>
        <v/>
      </c>
      <c r="I38" s="85">
        <f>IF($F$53=0,0,F38/$F$53)</f>
        <v/>
      </c>
      <c r="J38" s="85">
        <f>IF('VALOR POR PL'!L35=0,0,SUMPRODUCT(('ESQUADRIAS'!$B$5:$B$76&lt;=DATE($D$5,12,1))*('ESQUADRIAS'!$C$5:$C$76+'ESQUADRIAS'!$D$5:$D$76))/'VALOR POR PL'!L35)</f>
        <v/>
      </c>
      <c r="K38" s="88">
        <f t="array" ref="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",TRUE,IF(('CRONOGRAMA ATIVIDADES'!$S$5:$S$304=B38)*('CRONOGRAMA ATIVIDADES'!$AA$5:$AA$304&lt;&gt;""),'CRONOGRAMA ATIVIDADES'!$AA$5:$AA$304,"")))))</f>
        <v/>
      </c>
      <c r="L38" s="89" t="n"/>
      <c r="M38" s="90">
        <f>'VALOR POR PL'!L35</f>
        <v/>
      </c>
      <c r="N38" s="90">
        <f>IF('VALOR POR PL'!I35="DIRETO",'VALOR POR PL'!L35,0)</f>
        <v/>
      </c>
    </row>
    <row r="39" ht="16.2" customHeight="1">
      <c r="B39" s="91">
        <f>'VALOR POR PL'!C36</f>
        <v/>
      </c>
      <c r="C39" s="92">
        <f>'VALOR POR PL'!D36</f>
        <v/>
      </c>
      <c r="D39" s="93">
        <f>IF(OR('VALOR POR PL'!I36&lt;&gt;"DIRETO",'CP RESUMO'!$C$30=""),"",IFERROR(INDEX('CP RESUMO'!$D$30:$BW$30,MATCH(DATE($D$5,12,1),'CP RESUMO'!$D$4:$BW$4,0))/100,""))</f>
        <v/>
      </c>
      <c r="E39" s="94">
        <f>IF('VALOR POR PL'!I36&lt;&gt;"DIRETO","",'SERRALHERIA'!$K$14)</f>
        <v/>
      </c>
      <c r="F39" s="95">
        <f>SUMPRODUCT((YEAR('SERRALHERIA'!$B$5:$B$76)=$D$5)*('SERRALHERIA'!$C$5:$C$76+'SERRALHERIA'!$D$5:$D$76))</f>
        <v/>
      </c>
      <c r="G39" s="95">
        <f>SUMPRODUCT((YEAR('MODELO PARA BI'!$H$1:$CA$1)=$D$5)*'MODELO PARA BI'!$H$46:$CA$46)</f>
        <v/>
      </c>
      <c r="H39" s="95">
        <f>IF(ISNUMBER($G$5),G39*$G$5,0)</f>
        <v/>
      </c>
      <c r="I39" s="93">
        <f>IF($F$53=0,0,F39/$F$53)</f>
        <v/>
      </c>
      <c r="J39" s="93">
        <f>IF('VALOR POR PL'!L36=0,0,SUMPRODUCT(('SERRALHERIA'!$B$5:$B$76&lt;=DATE($D$5,12,1))*('SERRALHERIA'!$C$5:$C$76+'SERRALHERIA'!$D$5:$D$76))/'VALOR POR PL'!L36)</f>
        <v/>
      </c>
      <c r="K39" s="96">
        <f t="array" ref="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",TRUE,IF(('CRONOGRAMA ATIVIDADES'!$S$5:$S$304=B39)*('CRONOGRAMA ATIVIDADES'!$AA$5:$AA$304&lt;&gt;""),'CRONOGRAMA ATIVIDADES'!$AA$5:$AA$304,"")))))</f>
        <v/>
      </c>
      <c r="L39" s="97" t="n"/>
      <c r="M39" s="90">
        <f>'VALOR POR PL'!L36</f>
        <v/>
      </c>
      <c r="N39" s="90">
        <f>IF('VALOR POR PL'!I36="DIRETO",'VALOR POR PL'!L36,0)</f>
        <v/>
      </c>
    </row>
    <row r="40" ht="16.2" customHeight="1">
      <c r="B40" s="83">
        <f>'VALOR POR PL'!C37</f>
        <v/>
      </c>
      <c r="C40" s="84">
        <f>'VALOR POR PL'!D37</f>
        <v/>
      </c>
      <c r="D40" s="85">
        <f>IF(OR('VALOR POR PL'!I37&lt;&gt;"DIRETO",'CP RESUMO'!$C$31=""),"",IFERROR(INDEX('CP RESUMO'!$D$31:$BW$31,MATCH(DATE($D$5,12,1),'CP RESUMO'!$D$4:$BW$4,0))/100,""))</f>
        <v/>
      </c>
      <c r="E40" s="86">
        <f>IF('VALOR POR PL'!I37&lt;&gt;"DIRETO","",'MARCENARIA'!$K$14)</f>
        <v/>
      </c>
      <c r="F40" s="87">
        <f>SUMPRODUCT((YEAR('MARCENARIA'!$B$5:$B$76)=$D$5)*('MARCENARIA'!$C$5:$C$76+'MARCENARIA'!$D$5:$D$76))</f>
        <v/>
      </c>
      <c r="G40" s="87">
        <f>SUMPRODUCT((YEAR('MODELO PARA BI'!$H$1:$CA$1)=$D$5)*'MODELO PARA BI'!$H$29:$CA$29)</f>
        <v/>
      </c>
      <c r="H40" s="87">
        <f>IF(ISNUMBER($G$5),G40*$G$5,0)</f>
        <v/>
      </c>
      <c r="I40" s="85">
        <f>IF($F$53=0,0,F40/$F$53)</f>
        <v/>
      </c>
      <c r="J40" s="85">
        <f>IF('VALOR POR PL'!L37=0,0,SUMPRODUCT(('MARCENARIA'!$B$5:$B$76&lt;=DATE($D$5,12,1))*('MARCENARIA'!$C$5:$C$76+'MARCENARIA'!$D$5:$D$76))/'VALOR POR PL'!L37)</f>
        <v/>
      </c>
      <c r="K40" s="88">
        <f t="array" ref="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",TRUE,IF(('CRONOGRAMA ATIVIDADES'!$S$5:$S$304=B40)*('CRONOGRAMA ATIVIDADES'!$AA$5:$AA$304&lt;&gt;""),'CRONOGRAMA ATIVIDADES'!$AA$5:$AA$304,"")))))</f>
        <v/>
      </c>
      <c r="L40" s="89" t="n"/>
      <c r="M40" s="90">
        <f>'VALOR POR PL'!L37</f>
        <v/>
      </c>
      <c r="N40" s="90">
        <f>IF('VALOR POR PL'!I37="DIRETO",'VALOR POR PL'!L37,0)</f>
        <v/>
      </c>
    </row>
    <row r="41" ht="16.2" customHeight="1">
      <c r="B41" s="91">
        <f>'VALOR POR PL'!C38</f>
        <v/>
      </c>
      <c r="C41" s="92">
        <f>'VALOR POR PL'!D38</f>
        <v/>
      </c>
      <c r="D41" s="93">
        <f>IF(OR('VALOR POR PL'!I38&lt;&gt;"DIRETO",'CP RESUMO'!$C$32=""),"",IFERROR(INDEX('CP RESUMO'!$D$32:$BW$32,MATCH(DATE($D$5,12,1),'CP RESUMO'!$D$4:$BW$4,0))/100,""))</f>
        <v/>
      </c>
      <c r="E41" s="94">
        <f>IF('VALOR POR PL'!I38&lt;&gt;"DIRETO","",'REV. PISOS'!$K$14)</f>
        <v/>
      </c>
      <c r="F41" s="95">
        <f>SUMPRODUCT((YEAR('REV. PISOS'!$B$5:$B$76)=$D$5)*('REV. PISOS'!$C$5:$C$76+'REV. PISOS'!$D$5:$D$76))</f>
        <v/>
      </c>
      <c r="G41" s="95">
        <f>SUMPRODUCT((YEAR('MODELO PARA BI'!$H$1:$CA$1)=$D$5)*'MODELO PARA BI'!$H$37:$CA$37)</f>
        <v/>
      </c>
      <c r="H41" s="95">
        <f>IF(ISNUMBER($G$5),G41*$G$5,0)</f>
        <v/>
      </c>
      <c r="I41" s="93">
        <f>IF($F$53=0,0,F41/$F$53)</f>
        <v/>
      </c>
      <c r="J41" s="93">
        <f>IF('VALOR POR PL'!L38=0,0,SUMPRODUCT(('REV. PISOS'!$B$5:$B$76&lt;=DATE($D$5,12,1))*('REV. PISOS'!$C$5:$C$76+'REV. PISOS'!$D$5:$D$76))/'VALOR POR PL'!L38)</f>
        <v/>
      </c>
      <c r="K41" s="96">
        <f t="array" ref="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",TRUE,IF(('CRONOGRAMA ATIVIDADES'!$S$5:$S$304=B41)*('CRONOGRAMA ATIVIDADES'!$AA$5:$AA$304&lt;&gt;""),'CRONOGRAMA ATIVIDADES'!$AA$5:$AA$304,"")))))</f>
        <v/>
      </c>
      <c r="L41" s="97" t="n"/>
      <c r="M41" s="90">
        <f>'VALOR POR PL'!L38</f>
        <v/>
      </c>
      <c r="N41" s="90">
        <f>IF('VALOR POR PL'!I38="DIRETO",'VALOR POR PL'!L38,0)</f>
        <v/>
      </c>
    </row>
    <row r="42" ht="29.4" customHeight="1">
      <c r="B42" s="83">
        <f>'VALOR POR PL'!C39</f>
        <v/>
      </c>
      <c r="C42" s="84">
        <f>'VALOR POR PL'!D39</f>
        <v/>
      </c>
      <c r="D42" s="85">
        <f>IF(OR('VALOR POR PL'!I39&lt;&gt;"DIRETO",'CP RESUMO'!$C$33=""),"",IFERROR(INDEX('CP RESUMO'!$D$33:$BW$33,MATCH(DATE($D$5,12,1),'CP RESUMO'!$D$4:$BW$4,0))/100,""))</f>
        <v/>
      </c>
      <c r="E42" s="86">
        <f>IF('VALOR POR PL'!I39&lt;&gt;"DIRETO","",'REV. PAREDE'!$K$14)</f>
        <v/>
      </c>
      <c r="F42" s="87">
        <f>SUMPRODUCT((YEAR('REV. PAREDE'!$B$5:$B$76)=$D$5)*('REV. PAREDE'!$C$5:$C$76+'REV. PAREDE'!$D$5:$D$76))</f>
        <v/>
      </c>
      <c r="G42" s="87">
        <f>SUMPRODUCT((YEAR('MODELO PARA BI'!$H$1:$CA$1)=$D$5)*'MODELO PARA BI'!$H$38:$CA$38)</f>
        <v/>
      </c>
      <c r="H42" s="87">
        <f>IF(ISNUMBER($G$5),G42*$G$5,0)</f>
        <v/>
      </c>
      <c r="I42" s="85">
        <f>IF($F$53=0,0,F42/$F$53)</f>
        <v/>
      </c>
      <c r="J42" s="85">
        <f>IF('VALOR POR PL'!L39=0,0,SUMPRODUCT(('REV. PAREDE'!$B$5:$B$76&lt;=DATE($D$5,12,1))*('REV. PAREDE'!$C$5:$C$76+'REV. PAREDE'!$D$5:$D$76))/'VALOR POR PL'!L39)</f>
        <v/>
      </c>
      <c r="K42" s="88">
        <f t="array" ref="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",TRUE,IF(('CRONOGRAMA ATIVIDADES'!$S$5:$S$304=B42)*('CRONOGRAMA ATIVIDADES'!$AA$5:$AA$304&lt;&gt;""),'CRONOGRAMA ATIVIDADES'!$AA$5:$AA$304,"")))))</f>
        <v/>
      </c>
      <c r="L42" s="89" t="n"/>
      <c r="M42" s="90">
        <f>'VALOR POR PL'!L39</f>
        <v/>
      </c>
      <c r="N42" s="90">
        <f>IF('VALOR POR PL'!I39="DIRETO",'VALOR POR PL'!L39,0)</f>
        <v/>
      </c>
    </row>
    <row r="43" ht="55.8" customHeight="1">
      <c r="B43" s="91">
        <f>'VALOR POR PL'!C40</f>
        <v/>
      </c>
      <c r="C43" s="92">
        <f>'VALOR POR PL'!D40</f>
        <v/>
      </c>
      <c r="D43" s="93">
        <f>MIN(1,J43+0.007)</f>
        <v/>
      </c>
      <c r="E43" s="94">
        <f>IF('VALOR POR PL'!I40&lt;&gt;"DIRETO","",'REV. ACAB'!$K$14)</f>
        <v/>
      </c>
      <c r="F43" s="95">
        <f>SUMPRODUCT((YEAR('REV. ACAB'!$B$5:$B$76)=$D$5)*('REV. ACAB'!$C$5:$C$76+'REV. ACAB'!$D$5:$D$76))</f>
        <v/>
      </c>
      <c r="G43" s="95">
        <f>SUMPRODUCT((YEAR('MODELO PARA BI'!$H$1:$CA$1)=$D$5)*'MODELO PARA BI'!$H$36:$CA$36)</f>
        <v/>
      </c>
      <c r="H43" s="95">
        <f>IF(ISNUMBER($G$5),G43*$G$5,0)</f>
        <v/>
      </c>
      <c r="I43" s="93">
        <f>IF($F$53=0,0,F43/$F$53)</f>
        <v/>
      </c>
      <c r="J43" s="93">
        <f>IF('VALOR POR PL'!L40=0,0,SUMPRODUCT(('REV. ACAB'!$B$5:$B$76&lt;=DATE($D$5,12,1))*('REV. ACAB'!$C$5:$C$76+'REV. ACAB'!$D$5:$D$76))/'VALOR POR PL'!L40)</f>
        <v/>
      </c>
      <c r="K43" s="96" t="inlineStr">
        <is>
          <t>Pavimentos executados em 2027: Pilotis (parcial), 700, 900, 1000, 1200 e 1800 (liberados para finalizar); 1600, 1700, 1900, 2000 e 2500 (em negociação). O restante a partir de 2028.</t>
        </is>
      </c>
      <c r="L43" s="97" t="n"/>
      <c r="M43" s="90">
        <f>'VALOR POR PL'!L40</f>
        <v/>
      </c>
      <c r="N43" s="90">
        <f>IF('VALOR POR PL'!I40="DIRETO",'VALOR POR PL'!L40,0)</f>
        <v/>
      </c>
    </row>
    <row r="44" ht="16.2" customHeight="1">
      <c r="B44" s="83">
        <f>'VALOR POR PL'!C41</f>
        <v/>
      </c>
      <c r="C44" s="84">
        <f>'VALOR POR PL'!D41</f>
        <v/>
      </c>
      <c r="D44" s="85">
        <f>IF(OR('VALOR POR PL'!I41&lt;&gt;"DIRETO",'CP RESUMO'!$C$35=""),"",IFERROR(INDEX('CP RESUMO'!$D$35:$BW$35,MATCH(DATE($D$5,12,1),'CP RESUMO'!$D$4:$BW$4,0))/100,""))</f>
        <v/>
      </c>
      <c r="E44" s="86">
        <f>IF('VALOR POR PL'!I41&lt;&gt;"DIRETO","",'EST. METÁLICA'!$K$14)</f>
        <v/>
      </c>
      <c r="F44" s="87">
        <f>SUMPRODUCT((YEAR('EST. METÁLICA'!$B$5:$B$76)=$D$5)*('EST. METÁLICA'!$C$5:$C$76+'EST. METÁLICA'!$D$5:$D$76))</f>
        <v/>
      </c>
      <c r="G44" s="87">
        <f>SUMPRODUCT((YEAR('MODELO PARA BI'!$H$1:$CA$1)=$D$5)*'MODELO PARA BI'!$H$32:$CA$32)</f>
        <v/>
      </c>
      <c r="H44" s="87">
        <f>IF(ISNUMBER($G$5),G44*$G$5,0)</f>
        <v/>
      </c>
      <c r="I44" s="85">
        <f>IF($F$53=0,0,F44/$F$53)</f>
        <v/>
      </c>
      <c r="J44" s="85">
        <f>IF('VALOR POR PL'!L41=0,0,SUMPRODUCT(('EST. METÁLICA'!$B$5:$B$76&lt;=DATE($D$5,12,1))*('EST. METÁLICA'!$C$5:$C$76+'EST. METÁLICA'!$D$5:$D$76))/'VALOR POR PL'!L41)</f>
        <v/>
      </c>
      <c r="K44" s="88">
        <f t="array" ref="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",TRUE,IF(('CRONOGRAMA ATIVIDADES'!$S$5:$S$304=B44)*('CRONOGRAMA ATIVIDADES'!$AA$5:$AA$304&lt;&gt;""),'CRONOGRAMA ATIVIDADES'!$AA$5:$AA$304,"")))))</f>
        <v/>
      </c>
      <c r="L44" s="89" t="n"/>
      <c r="M44" s="90">
        <f>'VALOR POR PL'!L41</f>
        <v/>
      </c>
      <c r="N44" s="90">
        <f>IF('VALOR POR PL'!I41="DIRETO",'VALOR POR PL'!L41,0)</f>
        <v/>
      </c>
    </row>
    <row r="45" ht="69" customHeight="1">
      <c r="B45" s="91">
        <f>'VALOR POR PL'!C42</f>
        <v/>
      </c>
      <c r="C45" s="92">
        <f>'VALOR POR PL'!D42</f>
        <v/>
      </c>
      <c r="D45" s="93">
        <f>MIN(1,J45+0.007)</f>
        <v/>
      </c>
      <c r="E45" s="94">
        <f>IF('VALOR POR PL'!I42&lt;&gt;"DIRETO","",'REV. FACHADA'!$K$14)</f>
        <v/>
      </c>
      <c r="F45" s="95">
        <f>SUMPRODUCT((YEAR('REV. FACHADA'!$B$5:$B$76)=$D$5)*('REV. FACHADA'!$C$5:$C$76+'REV. FACHADA'!$D$5:$D$76))</f>
        <v/>
      </c>
      <c r="G45" s="95">
        <f>SUMPRODUCT((YEAR('MODELO PARA BI'!$H$1:$CA$1)=$D$5)*'MODELO PARA BI'!$H$39:$CA$39)</f>
        <v/>
      </c>
      <c r="H45" s="95">
        <f>IF(ISNUMBER($G$5),G45*$G$5,0)</f>
        <v/>
      </c>
      <c r="I45" s="93">
        <f>IF($F$53=0,0,F45/$F$53)</f>
        <v/>
      </c>
      <c r="J45" s="93">
        <f>IF('VALOR POR PL'!L42=0,0,SUMPRODUCT(('REV. FACHADA'!$B$5:$B$76&lt;=DATE($D$5,12,1))*('REV. FACHADA'!$C$5:$C$76+'REV. FACHADA'!$D$5:$D$76))/'VALOR POR PL'!L42)</f>
        <v/>
      </c>
      <c r="K45" s="96">
        <f t="array" ref="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",TRUE,IF(('CRONOGRAMA ATIVIDADES'!$S$5:$S$304=B45)*('CRONOGRAMA ATIVIDADES'!$AA$5:$AA$304&lt;&gt;""),'CRONOGRAMA ATIVIDADES'!$AA$5:$AA$304,"")))))</f>
        <v/>
      </c>
      <c r="L45" s="97" t="n"/>
      <c r="M45" s="90">
        <f>'VALOR POR PL'!L42</f>
        <v/>
      </c>
      <c r="N45" s="90">
        <f>IF('VALOR POR PL'!I42="DIRETO",'VALOR POR PL'!L42,0)</f>
        <v/>
      </c>
    </row>
    <row r="46" ht="29.4" customHeight="1">
      <c r="B46" s="83">
        <f>'VALOR POR PL'!C43</f>
        <v/>
      </c>
      <c r="C46" s="84">
        <f>'VALOR POR PL'!D43</f>
        <v/>
      </c>
      <c r="D46" s="85">
        <f>IF(OR('VALOR POR PL'!I43&lt;&gt;"DIRETO",'CP RESUMO'!$C$37=""),"",IFERROR(INDEX('CP RESUMO'!$D$37:$BW$37,MATCH(DATE($D$5,12,1),'CP RESUMO'!$D$4:$BW$4,0))/100,""))</f>
        <v/>
      </c>
      <c r="E46" s="86">
        <f>IF('VALOR POR PL'!I43&lt;&gt;"DIRETO","",'FORRO'!$K$14)</f>
        <v/>
      </c>
      <c r="F46" s="87">
        <f>SUMPRODUCT((YEAR('FORRO'!$B$5:$B$76)=$D$5)*('FORRO'!$C$5:$C$76+'FORRO'!$D$5:$D$76))</f>
        <v/>
      </c>
      <c r="G46" s="87">
        <f>SUMPRODUCT((YEAR('MODELO PARA BI'!$H$1:$CA$1)=$D$5)*'MODELO PARA BI'!$H$16:$CA$16)</f>
        <v/>
      </c>
      <c r="H46" s="87">
        <f>IF(ISNUMBER($G$5),G46*$G$5,0)</f>
        <v/>
      </c>
      <c r="I46" s="85">
        <f>IF($F$53=0,0,F46/$F$53)</f>
        <v/>
      </c>
      <c r="J46" s="85">
        <f>IF('VALOR POR PL'!L43=0,0,SUMPRODUCT(('FORRO'!$B$5:$B$76&lt;=DATE($D$5,12,1))*('FORRO'!$C$5:$C$76+'FORRO'!$D$5:$D$76))/'VALOR POR PL'!L43)</f>
        <v/>
      </c>
      <c r="K46" s="88">
        <f t="array" ref="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",TRUE,IF(('CRONOGRAMA ATIVIDADES'!$S$5:$S$304=B46)*('CRONOGRAMA ATIVIDADES'!$AA$5:$AA$304&lt;&gt;""),'CRONOGRAMA ATIVIDADES'!$AA$5:$AA$304,"")))))</f>
        <v/>
      </c>
      <c r="L46" s="89" t="n"/>
      <c r="M46" s="90">
        <f>'VALOR POR PL'!L43</f>
        <v/>
      </c>
      <c r="N46" s="90">
        <f>IF('VALOR POR PL'!I43="DIRETO",'VALOR POR PL'!L43,0)</f>
        <v/>
      </c>
    </row>
    <row r="47" ht="16.2" customHeight="1">
      <c r="B47" s="91">
        <f>'VALOR POR PL'!C44</f>
        <v/>
      </c>
      <c r="C47" s="92">
        <f>'VALOR POR PL'!D44</f>
        <v/>
      </c>
      <c r="D47" s="93">
        <f>IF(OR('VALOR POR PL'!I44&lt;&gt;"DIRETO",'CP RESUMO'!$C$38=""),"",IFERROR(INDEX('CP RESUMO'!$D$38:$BW$38,MATCH(DATE($D$5,12,1),'CP RESUMO'!$D$4:$BW$4,0))/100,""))</f>
        <v/>
      </c>
      <c r="E47" s="94">
        <f>IF('VALOR POR PL'!I44&lt;&gt;"DIRETO","",'LOUÇAS'!$K$14)</f>
        <v/>
      </c>
      <c r="F47" s="95">
        <f>SUMPRODUCT((YEAR('LOUÇAS'!$B$5:$B$76)=$D$5)*('LOUÇAS'!$C$5:$C$76+'LOUÇAS'!$D$5:$D$76))</f>
        <v/>
      </c>
      <c r="G47" s="95">
        <f>SUMPRODUCT((YEAR('MODELO PARA BI'!$H$1:$CA$1)=$D$5)*'MODELO PARA BI'!$H$27:$CA$27)</f>
        <v/>
      </c>
      <c r="H47" s="95">
        <f>IF(ISNUMBER($G$5),G47*$G$5,0)</f>
        <v/>
      </c>
      <c r="I47" s="93">
        <f>IF($F$53=0,0,F47/$F$53)</f>
        <v/>
      </c>
      <c r="J47" s="93">
        <f>IF('VALOR POR PL'!L44=0,0,SUMPRODUCT(('LOUÇAS'!$B$5:$B$76&lt;=DATE($D$5,12,1))*('LOUÇAS'!$C$5:$C$76+'LOUÇAS'!$D$5:$D$76))/'VALOR POR PL'!L44)</f>
        <v/>
      </c>
      <c r="K47" s="96">
        <f t="array" ref="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",TRUE,IF(('CRONOGRAMA ATIVIDADES'!$S$5:$S$304=B47)*('CRONOGRAMA ATIVIDADES'!$AA$5:$AA$304&lt;&gt;""),'CRONOGRAMA ATIVIDADES'!$AA$5:$AA$304,"")))))</f>
        <v/>
      </c>
      <c r="L47" s="97" t="n"/>
      <c r="M47" s="90">
        <f>'VALOR POR PL'!L44</f>
        <v/>
      </c>
      <c r="N47" s="90">
        <f>IF('VALOR POR PL'!I44="DIRETO",'VALOR POR PL'!L44,0)</f>
        <v/>
      </c>
    </row>
    <row r="48" ht="29.4" customHeight="1">
      <c r="B48" s="83">
        <f>'VALOR POR PL'!C45</f>
        <v/>
      </c>
      <c r="C48" s="84">
        <f>'VALOR POR PL'!D45</f>
        <v/>
      </c>
      <c r="D48" s="85">
        <f>IF(OR('VALOR POR PL'!I45&lt;&gt;"DIRETO",'CP RESUMO'!$C$39=""),"",IFERROR(INDEX('CP RESUMO'!$D$39:$BW$39,MATCH(DATE($D$5,12,1),'CP RESUMO'!$D$4:$BW$4,0))/100,""))</f>
        <v/>
      </c>
      <c r="E48" s="86">
        <f>IF('VALOR POR PL'!I45&lt;&gt;"DIRETO","",'PINTURA'!$K$14)</f>
        <v/>
      </c>
      <c r="F48" s="87">
        <f>SUMPRODUCT((YEAR('PINTURA'!$B$5:$B$76)=$D$5)*('PINTURA'!$C$5:$C$76+'PINTURA'!$D$5:$D$76))</f>
        <v/>
      </c>
      <c r="G48" s="87">
        <f>SUMPRODUCT((YEAR('MODELO PARA BI'!$H$1:$CA$1)=$D$5)*'MODELO PARA BI'!$H$33:$CA$33)</f>
        <v/>
      </c>
      <c r="H48" s="87">
        <f>IF(ISNUMBER($G$5),G48*$G$5,0)</f>
        <v/>
      </c>
      <c r="I48" s="85">
        <f>IF($F$53=0,0,F48/$F$53)</f>
        <v/>
      </c>
      <c r="J48" s="85">
        <f>IF('VALOR POR PL'!L45=0,0,SUMPRODUCT(('PINTURA'!$B$5:$B$76&lt;=DATE($D$5,12,1))*('PINTURA'!$C$5:$C$76+'PINTURA'!$D$5:$D$76))/'VALOR POR PL'!L45)</f>
        <v/>
      </c>
      <c r="K48" s="88">
        <f t="array" ref="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",TRUE,IF(('CRONOGRAMA ATIVIDADES'!$S$5:$S$304=B48)*('CRONOGRAMA ATIVIDADES'!$AA$5:$AA$304&lt;&gt;""),'CRONOGRAMA ATIVIDADES'!$AA$5:$AA$304,"")))))</f>
        <v/>
      </c>
      <c r="L48" s="89" t="n"/>
      <c r="M48" s="90">
        <f>'VALOR POR PL'!L45</f>
        <v/>
      </c>
      <c r="N48" s="90">
        <f>IF('VALOR POR PL'!I45="DIRETO",'VALOR POR PL'!L45,0)</f>
        <v/>
      </c>
    </row>
    <row r="49" ht="16.2" customHeight="1">
      <c r="B49" s="91">
        <f>'VALOR POR PL'!C46</f>
        <v/>
      </c>
      <c r="C49" s="92">
        <f>'VALOR POR PL'!D46</f>
        <v/>
      </c>
      <c r="D49" s="93">
        <f>IF(OR('VALOR POR PL'!I46&lt;&gt;"DIRETO",'CP RESUMO'!$C$40=""),"",IFERROR(INDEX('CP RESUMO'!$D$40:$BW$40,MATCH(DATE($D$5,12,1),'CP RESUMO'!$D$4:$BW$4,0))/100,""))</f>
        <v/>
      </c>
      <c r="E49" s="94">
        <f>IF('VALOR POR PL'!I46&lt;&gt;"DIRETO","",'PAISAGISMO'!$K$14)</f>
        <v/>
      </c>
      <c r="F49" s="95">
        <f>SUMPRODUCT((YEAR('PAISAGISMO'!$B$5:$B$76)=$D$5)*('PAISAGISMO'!$C$5:$C$76+'PAISAGISMO'!$D$5:$D$76))</f>
        <v/>
      </c>
      <c r="G49" s="95">
        <f>SUMPRODUCT((YEAR('MODELO PARA BI'!$H$1:$CA$1)=$D$5)*'MODELO PARA BI'!$H$31:$CA$31)</f>
        <v/>
      </c>
      <c r="H49" s="95">
        <f>IF(ISNUMBER($G$5),G49*$G$5,0)</f>
        <v/>
      </c>
      <c r="I49" s="93">
        <f>IF($F$53=0,0,F49/$F$53)</f>
        <v/>
      </c>
      <c r="J49" s="93">
        <f>IF('VALOR POR PL'!L46=0,0,SUMPRODUCT(('PAISAGISMO'!$B$5:$B$76&lt;=DATE($D$5,12,1))*('PAISAGISMO'!$C$5:$C$76+'PAISAGISMO'!$D$5:$D$76))/'VALOR POR PL'!L46)</f>
        <v/>
      </c>
      <c r="K49" s="96">
        <f t="array" ref="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",TRUE,IF(('CRONOGRAMA ATIVIDADES'!$S$5:$S$304=B49)*('CRONOGRAMA ATIVIDADES'!$AA$5:$AA$304&lt;&gt;""),'CRONOGRAMA ATIVIDADES'!$AA$5:$AA$304,"")))))</f>
        <v/>
      </c>
      <c r="L49" s="97" t="n"/>
      <c r="M49" s="90">
        <f>'VALOR POR PL'!L46</f>
        <v/>
      </c>
      <c r="N49" s="90">
        <f>IF('VALOR POR PL'!I46="DIRETO",'VALOR POR PL'!L46,0)</f>
        <v/>
      </c>
    </row>
    <row r="50" ht="16.2" customHeight="1">
      <c r="B50" s="83">
        <f>'VALOR POR PL'!C47</f>
        <v/>
      </c>
      <c r="C50" s="84">
        <f>'VALOR POR PL'!D47</f>
        <v/>
      </c>
      <c r="D50" s="85">
        <f>IF(OR('VALOR POR PL'!I47&lt;&gt;"DIRETO",'CP RESUMO'!$C$41=""),"",IFERROR(INDEX('CP RESUMO'!$D$41:$BW$41,MATCH(DATE($D$5,12,1),'CP RESUMO'!$D$4:$BW$4,0))/100,""))</f>
        <v/>
      </c>
      <c r="E50" s="86">
        <f>IF('VALOR POR PL'!I47&lt;&gt;"DIRETO","",'LIMPEZA'!$K$14)</f>
        <v/>
      </c>
      <c r="F50" s="87">
        <f>SUMPRODUCT((YEAR('LIMPEZA'!$B$5:$B$76)=$D$5)*('LIMPEZA'!$C$5:$C$76+'LIMPEZA'!$D$5:$D$76))</f>
        <v/>
      </c>
      <c r="G50" s="87">
        <f>SUMPRODUCT((YEAR('MODELO PARA BI'!$H$1:$CA$1)=$D$5)*'MODELO PARA BI'!$H$26:$CA$26)</f>
        <v/>
      </c>
      <c r="H50" s="87">
        <f>IF(ISNUMBER($G$5),G50*$G$5,0)</f>
        <v/>
      </c>
      <c r="I50" s="85">
        <f>IF($F$53=0,0,F50/$F$53)</f>
        <v/>
      </c>
      <c r="J50" s="85">
        <f>IF('VALOR POR PL'!L47=0,0,SUMPRODUCT(('LIMPEZA'!$B$5:$B$76&lt;=DATE($D$5,12,1))*('LIMPEZA'!$C$5:$C$76+'LIMPEZA'!$D$5:$D$76))/'VALOR POR PL'!L47)</f>
        <v/>
      </c>
      <c r="K50" s="88">
        <f t="array" ref="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",TRUE,IF(('CRONOGRAMA ATIVIDADES'!$S$5:$S$304=B50)*('CRONOGRAMA ATIVIDADES'!$AA$5:$AA$304&lt;&gt;""),'CRONOGRAMA ATIVIDADES'!$AA$5:$AA$304,"")))))</f>
        <v/>
      </c>
      <c r="L50" s="89" t="n"/>
      <c r="M50" s="90">
        <f>'VALOR POR PL'!L47</f>
        <v/>
      </c>
      <c r="N50" s="90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3">
        <f>F23+F29+SUM(F30:F50)</f>
        <v/>
      </c>
      <c r="G51" s="103">
        <f>G23+G29+SUM(G30:G50)</f>
        <v/>
      </c>
      <c r="H51" s="103">
        <f>H23+H29+SUM(H30:H50)</f>
        <v/>
      </c>
      <c r="I51" s="104">
        <f>IF($F$53=0,0,F51/$F$53)</f>
        <v/>
      </c>
      <c r="J51" s="33" t="n"/>
      <c r="K51" s="33" t="n"/>
      <c r="L51" s="33" t="n"/>
    </row>
    <row r="52" ht="20" customHeight="1">
      <c r="B52" s="105">
        <f>'VALOR POR PL'!C48</f>
        <v/>
      </c>
      <c r="C52" s="105">
        <f>'VALOR POR PL'!D48</f>
        <v/>
      </c>
      <c r="D52" s="105" t="n"/>
      <c r="E52" s="105" t="n"/>
      <c r="F52" s="106">
        <f>SUMPRODUCT((YEAR('TAX. ADM'!$B$5:$B$76)=$D$5)*('TAX. ADM'!$C$5:$C$76+'TAX. ADM'!$D$5:$D$76))</f>
        <v/>
      </c>
      <c r="G52" s="106">
        <f>SUMPRODUCT((YEAR('MODELO PARA BI'!$H$1:$CA$1)=$D$5)*'MODELO PARA BI'!$H$47:$CA$47)</f>
        <v/>
      </c>
      <c r="H52" s="106">
        <f>IF(ISNUMBER($G$5),G52*$G$5,0)</f>
        <v/>
      </c>
      <c r="I52" s="107">
        <f>IF($F$53=0,0,F52/$F$53)</f>
        <v/>
      </c>
      <c r="J52" s="105" t="n"/>
      <c r="K52" s="105" t="n"/>
      <c r="L52" s="105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3">
        <f>F51+F52</f>
        <v/>
      </c>
      <c r="G53" s="103">
        <f>G51+G52</f>
        <v/>
      </c>
      <c r="H53" s="103">
        <f>H51+H52</f>
        <v/>
      </c>
      <c r="I53" s="104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08">
        <f>'VALOR POR PL'!$P$6</f>
        <v/>
      </c>
      <c r="I1" s="108">
        <f>DATE(YEAR(H1),MONTH(H1)+1,1)</f>
        <v/>
      </c>
      <c r="J1" s="108">
        <f>DATE(YEAR(I1),MONTH(I1)+1,1)</f>
        <v/>
      </c>
      <c r="K1" s="108">
        <f>DATE(YEAR(J1),MONTH(J1)+1,1)</f>
        <v/>
      </c>
      <c r="L1" s="108">
        <f>DATE(YEAR(K1),MONTH(K1)+1,1)</f>
        <v/>
      </c>
      <c r="M1" s="108">
        <f>DATE(YEAR(L1),MONTH(L1)+1,1)</f>
        <v/>
      </c>
      <c r="N1" s="108">
        <f>DATE(YEAR(M1),MONTH(M1)+1,1)</f>
        <v/>
      </c>
      <c r="O1" s="108">
        <f>DATE(YEAR(N1),MONTH(N1)+1,1)</f>
        <v/>
      </c>
      <c r="P1" s="108">
        <f>DATE(YEAR(O1),MONTH(O1)+1,1)</f>
        <v/>
      </c>
      <c r="Q1" s="108">
        <f>DATE(YEAR(P1),MONTH(P1)+1,1)</f>
        <v/>
      </c>
      <c r="R1" s="108">
        <f>DATE(YEAR(Q1),MONTH(Q1)+1,1)</f>
        <v/>
      </c>
      <c r="S1" s="108">
        <f>DATE(YEAR(R1),MONTH(R1)+1,1)</f>
        <v/>
      </c>
      <c r="T1" s="108">
        <f>DATE(YEAR(S1),MONTH(S1)+1,1)</f>
        <v/>
      </c>
      <c r="U1" s="108">
        <f>DATE(YEAR(T1),MONTH(T1)+1,1)</f>
        <v/>
      </c>
      <c r="V1" s="108">
        <f>DATE(YEAR(U1),MONTH(U1)+1,1)</f>
        <v/>
      </c>
      <c r="W1" s="108">
        <f>DATE(YEAR(V1),MONTH(V1)+1,1)</f>
        <v/>
      </c>
      <c r="X1" s="108">
        <f>DATE(YEAR(W1),MONTH(W1)+1,1)</f>
        <v/>
      </c>
      <c r="Y1" s="108">
        <f>DATE(YEAR(X1),MONTH(X1)+1,1)</f>
        <v/>
      </c>
      <c r="Z1" s="108">
        <f>DATE(YEAR(Y1),MONTH(Y1)+1,1)</f>
        <v/>
      </c>
      <c r="AA1" s="108">
        <f>DATE(YEAR(Z1),MONTH(Z1)+1,1)</f>
        <v/>
      </c>
      <c r="AB1" s="108">
        <f>DATE(YEAR(AA1),MONTH(AA1)+1,1)</f>
        <v/>
      </c>
      <c r="AC1" s="108">
        <f>DATE(YEAR(AB1),MONTH(AB1)+1,1)</f>
        <v/>
      </c>
      <c r="AD1" s="108">
        <f>DATE(YEAR(AC1),MONTH(AC1)+1,1)</f>
        <v/>
      </c>
      <c r="AE1" s="108">
        <f>DATE(YEAR(AD1),MONTH(AD1)+1,1)</f>
        <v/>
      </c>
      <c r="AF1" s="108">
        <f>DATE(YEAR(AE1),MONTH(AE1)+1,1)</f>
        <v/>
      </c>
      <c r="AG1" s="108">
        <f>DATE(YEAR(AF1),MONTH(AF1)+1,1)</f>
        <v/>
      </c>
      <c r="AH1" s="108">
        <f>DATE(YEAR(AG1),MONTH(AG1)+1,1)</f>
        <v/>
      </c>
      <c r="AI1" s="108">
        <f>DATE(YEAR(AH1),MONTH(AH1)+1,1)</f>
        <v/>
      </c>
      <c r="AJ1" s="108">
        <f>DATE(YEAR(AI1),MONTH(AI1)+1,1)</f>
        <v/>
      </c>
      <c r="AK1" s="108">
        <f>DATE(YEAR(AJ1),MONTH(AJ1)+1,1)</f>
        <v/>
      </c>
      <c r="AL1" s="108">
        <f>DATE(YEAR(AK1),MONTH(AK1)+1,1)</f>
        <v/>
      </c>
      <c r="AM1" s="108">
        <f>DATE(YEAR(AL1),MONTH(AL1)+1,1)</f>
        <v/>
      </c>
      <c r="AN1" s="108">
        <f>DATE(YEAR(AM1),MONTH(AM1)+1,1)</f>
        <v/>
      </c>
      <c r="AO1" s="108">
        <f>DATE(YEAR(AN1),MONTH(AN1)+1,1)</f>
        <v/>
      </c>
      <c r="AP1" s="108">
        <f>DATE(YEAR(AO1),MONTH(AO1)+1,1)</f>
        <v/>
      </c>
      <c r="AQ1" s="108">
        <f>DATE(YEAR(AP1),MONTH(AP1)+1,1)</f>
        <v/>
      </c>
      <c r="AR1" s="108">
        <f>DATE(YEAR(AQ1),MONTH(AQ1)+1,1)</f>
        <v/>
      </c>
      <c r="AS1" s="108">
        <f>DATE(YEAR(AR1),MONTH(AR1)+1,1)</f>
        <v/>
      </c>
      <c r="AT1" s="108">
        <f>DATE(YEAR(AS1),MONTH(AS1)+1,1)</f>
        <v/>
      </c>
      <c r="AU1" s="108">
        <f>DATE(YEAR(AT1),MONTH(AT1)+1,1)</f>
        <v/>
      </c>
      <c r="AV1" s="108">
        <f>DATE(YEAR(AU1),MONTH(AU1)+1,1)</f>
        <v/>
      </c>
      <c r="AW1" s="108">
        <f>DATE(YEAR(AV1),MONTH(AV1)+1,1)</f>
        <v/>
      </c>
      <c r="AX1" s="108">
        <f>DATE(YEAR(AW1),MONTH(AW1)+1,1)</f>
        <v/>
      </c>
      <c r="AY1" s="108">
        <f>DATE(YEAR(AX1),MONTH(AX1)+1,1)</f>
        <v/>
      </c>
      <c r="AZ1" s="108">
        <f>DATE(YEAR(AY1),MONTH(AY1)+1,1)</f>
        <v/>
      </c>
      <c r="BA1" s="108">
        <f>DATE(YEAR(AZ1),MONTH(AZ1)+1,1)</f>
        <v/>
      </c>
      <c r="BB1" s="108">
        <f>DATE(YEAR(BA1),MONTH(BA1)+1,1)</f>
        <v/>
      </c>
      <c r="BC1" s="108">
        <f>DATE(YEAR(BB1),MONTH(BB1)+1,1)</f>
        <v/>
      </c>
      <c r="BD1" s="108">
        <f>DATE(YEAR(BC1),MONTH(BC1)+1,1)</f>
        <v/>
      </c>
      <c r="BE1" s="108">
        <f>DATE(YEAR(BD1),MONTH(BD1)+1,1)</f>
        <v/>
      </c>
      <c r="BF1" s="108">
        <f>DATE(YEAR(BE1),MONTH(BE1)+1,1)</f>
        <v/>
      </c>
      <c r="BG1" s="108">
        <f>DATE(YEAR(BF1),MONTH(BF1)+1,1)</f>
        <v/>
      </c>
      <c r="BH1" s="108">
        <f>DATE(YEAR(BG1),MONTH(BG1)+1,1)</f>
        <v/>
      </c>
      <c r="BI1" s="108">
        <f>DATE(YEAR(BH1),MONTH(BH1)+1,1)</f>
        <v/>
      </c>
      <c r="BJ1" s="108">
        <f>DATE(YEAR(BI1),MONTH(BI1)+1,1)</f>
        <v/>
      </c>
      <c r="BK1" s="108">
        <f>DATE(YEAR(BJ1),MONTH(BJ1)+1,1)</f>
        <v/>
      </c>
      <c r="BL1" s="108">
        <f>DATE(YEAR(BK1),MONTH(BK1)+1,1)</f>
        <v/>
      </c>
      <c r="BM1" s="108">
        <f>DATE(YEAR(BL1),MONTH(BL1)+1,1)</f>
        <v/>
      </c>
      <c r="BN1" s="108">
        <f>DATE(YEAR(BM1),MONTH(BM1)+1,1)</f>
        <v/>
      </c>
      <c r="BO1" s="108">
        <f>DATE(YEAR(BN1),MONTH(BN1)+1,1)</f>
        <v/>
      </c>
      <c r="BP1" s="108">
        <f>DATE(YEAR(BO1),MONTH(BO1)+1,1)</f>
        <v/>
      </c>
      <c r="BQ1" s="108">
        <f>DATE(YEAR(BP1),MONTH(BP1)+1,1)</f>
        <v/>
      </c>
      <c r="BR1" s="108">
        <f>DATE(YEAR(BQ1),MONTH(BQ1)+1,1)</f>
        <v/>
      </c>
      <c r="BS1" s="108">
        <f>DATE(YEAR(BR1),MONTH(BR1)+1,1)</f>
        <v/>
      </c>
      <c r="BT1" s="108">
        <f>DATE(YEAR(BS1),MONTH(BS1)+1,1)</f>
        <v/>
      </c>
      <c r="BU1" s="108">
        <f>DATE(YEAR(BT1),MONTH(BT1)+1,1)</f>
        <v/>
      </c>
      <c r="BV1" s="108">
        <f>DATE(YEAR(BU1),MONTH(BU1)+1,1)</f>
        <v/>
      </c>
      <c r="BW1" s="108">
        <f>DATE(YEAR(BV1),MONTH(BV1)+1,1)</f>
        <v/>
      </c>
      <c r="BX1" s="108">
        <f>DATE(YEAR(BW1),MONTH(BW1)+1,1)</f>
        <v/>
      </c>
      <c r="BY1" s="108">
        <f>DATE(YEAR(BX1),MONTH(BX1)+1,1)</f>
        <v/>
      </c>
      <c r="BZ1" s="108">
        <f>DATE(YEAR(BY1),MONTH(BY1)+1,1)</f>
        <v/>
      </c>
      <c r="CA1" s="108">
        <f>DATE(YEAR(BZ1),MONTH(BZ1)+1,1)</f>
        <v/>
      </c>
    </row>
    <row r="2">
      <c r="A2" s="59" t="inlineStr">
        <is>
          <t>G041.002</t>
        </is>
      </c>
      <c r="B2" s="59" t="inlineStr">
        <is>
          <t>1030 1070 280</t>
        </is>
      </c>
      <c r="C2" s="59" t="inlineStr">
        <is>
          <t>ALVENARIA</t>
        </is>
      </c>
      <c r="D2" s="60">
        <f>'ALVENARIA'!$K$5</f>
        <v/>
      </c>
      <c r="E2" s="49">
        <f>SUM(H2:CA2)</f>
        <v/>
      </c>
      <c r="F2" s="49">
        <f>IF(D2="","",D2-E2)</f>
        <v/>
      </c>
      <c r="H2" s="90">
        <f>'ALVENARIA'!E5</f>
        <v/>
      </c>
      <c r="I2" s="90">
        <f>'ALVENARIA'!E6</f>
        <v/>
      </c>
      <c r="J2" s="90">
        <f>'ALVENARIA'!E7</f>
        <v/>
      </c>
      <c r="K2" s="90">
        <f>'ALVENARIA'!E8</f>
        <v/>
      </c>
      <c r="L2" s="90">
        <f>'ALVENARIA'!E9</f>
        <v/>
      </c>
      <c r="M2" s="90">
        <f>'ALVENARIA'!E10</f>
        <v/>
      </c>
      <c r="N2" s="90">
        <f>'ALVENARIA'!E11</f>
        <v/>
      </c>
      <c r="O2" s="90">
        <f>'ALVENARIA'!E12</f>
        <v/>
      </c>
      <c r="P2" s="90">
        <f>'ALVENARIA'!E13</f>
        <v/>
      </c>
      <c r="Q2" s="90">
        <f>'ALVENARIA'!E14</f>
        <v/>
      </c>
      <c r="R2" s="90">
        <f>'ALVENARIA'!E15</f>
        <v/>
      </c>
      <c r="S2" s="90">
        <f>'ALVENARIA'!E16</f>
        <v/>
      </c>
      <c r="T2" s="90">
        <f>'ALVENARIA'!E17</f>
        <v/>
      </c>
      <c r="U2" s="90">
        <f>'ALVENARIA'!E18</f>
        <v/>
      </c>
      <c r="V2" s="90">
        <f>'ALVENARIA'!E19</f>
        <v/>
      </c>
      <c r="W2" s="90">
        <f>'ALVENARIA'!E20</f>
        <v/>
      </c>
      <c r="X2" s="90">
        <f>'ALVENARIA'!E21</f>
        <v/>
      </c>
      <c r="Y2" s="90">
        <f>'ALVENARIA'!E22</f>
        <v/>
      </c>
      <c r="Z2" s="90">
        <f>'ALVENARIA'!E23</f>
        <v/>
      </c>
      <c r="AA2" s="90">
        <f>'ALVENARIA'!E24</f>
        <v/>
      </c>
      <c r="AB2" s="90">
        <f>'ALVENARIA'!E25</f>
        <v/>
      </c>
      <c r="AC2" s="90">
        <f>'ALVENARIA'!E26</f>
        <v/>
      </c>
      <c r="AD2" s="90">
        <f>'ALVENARIA'!E27</f>
        <v/>
      </c>
      <c r="AE2" s="90">
        <f>'ALVENARIA'!E28</f>
        <v/>
      </c>
      <c r="AF2" s="90">
        <f>'ALVENARIA'!E29</f>
        <v/>
      </c>
      <c r="AG2" s="90">
        <f>'ALVENARIA'!E30</f>
        <v/>
      </c>
      <c r="AH2" s="90">
        <f>'ALVENARIA'!E31</f>
        <v/>
      </c>
      <c r="AI2" s="90">
        <f>'ALVENARIA'!E32</f>
        <v/>
      </c>
      <c r="AJ2" s="90">
        <f>'ALVENARIA'!E33</f>
        <v/>
      </c>
      <c r="AK2" s="90">
        <f>'ALVENARIA'!E34</f>
        <v/>
      </c>
      <c r="AL2" s="90">
        <f>'ALVENARIA'!E35</f>
        <v/>
      </c>
      <c r="AM2" s="90">
        <f>'ALVENARIA'!E36</f>
        <v/>
      </c>
      <c r="AN2" s="90">
        <f>'ALVENARIA'!E37</f>
        <v/>
      </c>
      <c r="AO2" s="90">
        <f>'ALVENARIA'!E38</f>
        <v/>
      </c>
      <c r="AP2" s="90">
        <f>'ALVENARIA'!E39</f>
        <v/>
      </c>
      <c r="AQ2" s="90">
        <f>'ALVENARIA'!E40</f>
        <v/>
      </c>
      <c r="AR2" s="90">
        <f>'ALVENARIA'!E41</f>
        <v/>
      </c>
      <c r="AS2" s="90">
        <f>'ALVENARIA'!E42</f>
        <v/>
      </c>
      <c r="AT2" s="90">
        <f>'ALVENARIA'!E43</f>
        <v/>
      </c>
      <c r="AU2" s="90">
        <f>'ALVENARIA'!E44</f>
        <v/>
      </c>
      <c r="AV2" s="90">
        <f>'ALVENARIA'!E45</f>
        <v/>
      </c>
      <c r="AW2" s="90">
        <f>'ALVENARIA'!E46</f>
        <v/>
      </c>
      <c r="AX2" s="90">
        <f>'ALVENARIA'!E47</f>
        <v/>
      </c>
      <c r="AY2" s="90">
        <f>'ALVENARIA'!E48</f>
        <v/>
      </c>
      <c r="AZ2" s="90">
        <f>'ALVENARIA'!E49</f>
        <v/>
      </c>
      <c r="BA2" s="90">
        <f>'ALVENARIA'!E50</f>
        <v/>
      </c>
      <c r="BB2" s="90">
        <f>'ALVENARIA'!E51</f>
        <v/>
      </c>
      <c r="BC2" s="90">
        <f>'ALVENARIA'!E52</f>
        <v/>
      </c>
      <c r="BD2" s="90">
        <f>'ALVENARIA'!E53</f>
        <v/>
      </c>
      <c r="BE2" s="90">
        <f>'ALVENARIA'!E54</f>
        <v/>
      </c>
      <c r="BF2" s="90">
        <f>'ALVENARIA'!E55</f>
        <v/>
      </c>
      <c r="BG2" s="90">
        <f>'ALVENARIA'!E56</f>
        <v/>
      </c>
      <c r="BH2" s="90">
        <f>'ALVENARIA'!E57</f>
        <v/>
      </c>
      <c r="BI2" s="90">
        <f>'ALVENARIA'!E58</f>
        <v/>
      </c>
      <c r="BJ2" s="90">
        <f>'ALVENARIA'!E59</f>
        <v/>
      </c>
      <c r="BK2" s="90">
        <f>'ALVENARIA'!E60</f>
        <v/>
      </c>
      <c r="BL2" s="90">
        <f>'ALVENARIA'!E61</f>
        <v/>
      </c>
      <c r="BM2" s="90">
        <f>'ALVENARIA'!E62</f>
        <v/>
      </c>
      <c r="BN2" s="90">
        <f>'ALVENARIA'!E63</f>
        <v/>
      </c>
      <c r="BO2" s="90">
        <f>'ALVENARIA'!E64</f>
        <v/>
      </c>
      <c r="BP2" s="90">
        <f>'ALVENARIA'!E65</f>
        <v/>
      </c>
      <c r="BQ2" s="90">
        <f>'ALVENARIA'!E66</f>
        <v/>
      </c>
      <c r="BR2" s="90">
        <f>'ALVENARIA'!E67</f>
        <v/>
      </c>
      <c r="BS2" s="90">
        <f>'ALVENARIA'!E68</f>
        <v/>
      </c>
      <c r="BT2" s="90">
        <f>'ALVENARIA'!E69</f>
        <v/>
      </c>
      <c r="BU2" s="90">
        <f>'ALVENARIA'!E70</f>
        <v/>
      </c>
      <c r="BV2" s="90">
        <f>'ALVENARIA'!E71</f>
        <v/>
      </c>
      <c r="BW2" s="90">
        <f>'ALVENARIA'!E72</f>
        <v/>
      </c>
      <c r="BX2" s="90">
        <f>'ALVENARIA'!E73</f>
        <v/>
      </c>
      <c r="BY2" s="90">
        <f>'ALVENARIA'!E74</f>
        <v/>
      </c>
      <c r="BZ2" s="90">
        <f>'ALVENARIA'!E75</f>
        <v/>
      </c>
      <c r="CA2" s="90">
        <f>'ALVENARIA'!E76</f>
        <v/>
      </c>
    </row>
    <row r="3">
      <c r="A3" s="59" t="inlineStr">
        <is>
          <t>G041.002</t>
        </is>
      </c>
      <c r="B3" s="59" t="inlineStr">
        <is>
          <t>1030 1070 140</t>
        </is>
      </c>
      <c r="C3" s="59" t="inlineStr">
        <is>
          <t>BARRACAO DE OBRA</t>
        </is>
      </c>
      <c r="D3" s="60">
        <f>'BARRACÃO DE OBRA'!$K$5</f>
        <v/>
      </c>
      <c r="E3" s="49">
        <f>SUM(H3:CA3)</f>
        <v/>
      </c>
      <c r="F3" s="49">
        <f>IF(D3="","",D3-E3)</f>
        <v/>
      </c>
      <c r="H3" s="90">
        <f>'BARRACÃO DE OBRA'!E5</f>
        <v/>
      </c>
      <c r="I3" s="90">
        <f>'BARRACÃO DE OBRA'!E6</f>
        <v/>
      </c>
      <c r="J3" s="90">
        <f>'BARRACÃO DE OBRA'!E7</f>
        <v/>
      </c>
      <c r="K3" s="90">
        <f>'BARRACÃO DE OBRA'!E8</f>
        <v/>
      </c>
      <c r="L3" s="90">
        <f>'BARRACÃO DE OBRA'!E9</f>
        <v/>
      </c>
      <c r="M3" s="90">
        <f>'BARRACÃO DE OBRA'!E10</f>
        <v/>
      </c>
      <c r="N3" s="90">
        <f>'BARRACÃO DE OBRA'!E11</f>
        <v/>
      </c>
      <c r="O3" s="90">
        <f>'BARRACÃO DE OBRA'!E12</f>
        <v/>
      </c>
      <c r="P3" s="90">
        <f>'BARRACÃO DE OBRA'!E13</f>
        <v/>
      </c>
      <c r="Q3" s="90">
        <f>'BARRACÃO DE OBRA'!E14</f>
        <v/>
      </c>
      <c r="R3" s="90">
        <f>'BARRACÃO DE OBRA'!E15</f>
        <v/>
      </c>
      <c r="S3" s="90">
        <f>'BARRACÃO DE OBRA'!E16</f>
        <v/>
      </c>
      <c r="T3" s="90">
        <f>'BARRACÃO DE OBRA'!E17</f>
        <v/>
      </c>
      <c r="U3" s="90">
        <f>'BARRACÃO DE OBRA'!E18</f>
        <v/>
      </c>
      <c r="V3" s="90">
        <f>'BARRACÃO DE OBRA'!E19</f>
        <v/>
      </c>
      <c r="W3" s="90">
        <f>'BARRACÃO DE OBRA'!E20</f>
        <v/>
      </c>
      <c r="X3" s="90">
        <f>'BARRACÃO DE OBRA'!E21</f>
        <v/>
      </c>
      <c r="Y3" s="90">
        <f>'BARRACÃO DE OBRA'!E22</f>
        <v/>
      </c>
      <c r="Z3" s="90">
        <f>'BARRACÃO DE OBRA'!E23</f>
        <v/>
      </c>
      <c r="AA3" s="90">
        <f>'BARRACÃO DE OBRA'!E24</f>
        <v/>
      </c>
      <c r="AB3" s="90">
        <f>'BARRACÃO DE OBRA'!E25</f>
        <v/>
      </c>
      <c r="AC3" s="90">
        <f>'BARRACÃO DE OBRA'!E26</f>
        <v/>
      </c>
      <c r="AD3" s="90">
        <f>'BARRACÃO DE OBRA'!E27</f>
        <v/>
      </c>
      <c r="AE3" s="90">
        <f>'BARRACÃO DE OBRA'!E28</f>
        <v/>
      </c>
      <c r="AF3" s="90">
        <f>'BARRACÃO DE OBRA'!E29</f>
        <v/>
      </c>
      <c r="AG3" s="90">
        <f>'BARRACÃO DE OBRA'!E30</f>
        <v/>
      </c>
      <c r="AH3" s="90">
        <f>'BARRACÃO DE OBRA'!E31</f>
        <v/>
      </c>
      <c r="AI3" s="90">
        <f>'BARRACÃO DE OBRA'!E32</f>
        <v/>
      </c>
      <c r="AJ3" s="90">
        <f>'BARRACÃO DE OBRA'!E33</f>
        <v/>
      </c>
      <c r="AK3" s="90">
        <f>'BARRACÃO DE OBRA'!E34</f>
        <v/>
      </c>
      <c r="AL3" s="90">
        <f>'BARRACÃO DE OBRA'!E35</f>
        <v/>
      </c>
      <c r="AM3" s="90">
        <f>'BARRACÃO DE OBRA'!E36</f>
        <v/>
      </c>
      <c r="AN3" s="90">
        <f>'BARRACÃO DE OBRA'!E37</f>
        <v/>
      </c>
      <c r="AO3" s="90">
        <f>'BARRACÃO DE OBRA'!E38</f>
        <v/>
      </c>
      <c r="AP3" s="90">
        <f>'BARRACÃO DE OBRA'!E39</f>
        <v/>
      </c>
      <c r="AQ3" s="90">
        <f>'BARRACÃO DE OBRA'!E40</f>
        <v/>
      </c>
      <c r="AR3" s="90">
        <f>'BARRACÃO DE OBRA'!E41</f>
        <v/>
      </c>
      <c r="AS3" s="90">
        <f>'BARRACÃO DE OBRA'!E42</f>
        <v/>
      </c>
      <c r="AT3" s="90">
        <f>'BARRACÃO DE OBRA'!E43</f>
        <v/>
      </c>
      <c r="AU3" s="90">
        <f>'BARRACÃO DE OBRA'!E44</f>
        <v/>
      </c>
      <c r="AV3" s="90">
        <f>'BARRACÃO DE OBRA'!E45</f>
        <v/>
      </c>
      <c r="AW3" s="90">
        <f>'BARRACÃO DE OBRA'!E46</f>
        <v/>
      </c>
      <c r="AX3" s="90">
        <f>'BARRACÃO DE OBRA'!E47</f>
        <v/>
      </c>
      <c r="AY3" s="90">
        <f>'BARRACÃO DE OBRA'!E48</f>
        <v/>
      </c>
      <c r="AZ3" s="90">
        <f>'BARRACÃO DE OBRA'!E49</f>
        <v/>
      </c>
      <c r="BA3" s="90">
        <f>'BARRACÃO DE OBRA'!E50</f>
        <v/>
      </c>
      <c r="BB3" s="90">
        <f>'BARRACÃO DE OBRA'!E51</f>
        <v/>
      </c>
      <c r="BC3" s="90">
        <f>'BARRACÃO DE OBRA'!E52</f>
        <v/>
      </c>
      <c r="BD3" s="90">
        <f>'BARRACÃO DE OBRA'!E53</f>
        <v/>
      </c>
      <c r="BE3" s="90">
        <f>'BARRACÃO DE OBRA'!E54</f>
        <v/>
      </c>
      <c r="BF3" s="90">
        <f>'BARRACÃO DE OBRA'!E55</f>
        <v/>
      </c>
      <c r="BG3" s="90">
        <f>'BARRACÃO DE OBRA'!E56</f>
        <v/>
      </c>
      <c r="BH3" s="90">
        <f>'BARRACÃO DE OBRA'!E57</f>
        <v/>
      </c>
      <c r="BI3" s="90">
        <f>'BARRACÃO DE OBRA'!E58</f>
        <v/>
      </c>
      <c r="BJ3" s="90">
        <f>'BARRACÃO DE OBRA'!E59</f>
        <v/>
      </c>
      <c r="BK3" s="90">
        <f>'BARRACÃO DE OBRA'!E60</f>
        <v/>
      </c>
      <c r="BL3" s="90">
        <f>'BARRACÃO DE OBRA'!E61</f>
        <v/>
      </c>
      <c r="BM3" s="90">
        <f>'BARRACÃO DE OBRA'!E62</f>
        <v/>
      </c>
      <c r="BN3" s="90">
        <f>'BARRACÃO DE OBRA'!E63</f>
        <v/>
      </c>
      <c r="BO3" s="90">
        <f>'BARRACÃO DE OBRA'!E64</f>
        <v/>
      </c>
      <c r="BP3" s="90">
        <f>'BARRACÃO DE OBRA'!E65</f>
        <v/>
      </c>
      <c r="BQ3" s="90">
        <f>'BARRACÃO DE OBRA'!E66</f>
        <v/>
      </c>
      <c r="BR3" s="90">
        <f>'BARRACÃO DE OBRA'!E67</f>
        <v/>
      </c>
      <c r="BS3" s="90">
        <f>'BARRACÃO DE OBRA'!E68</f>
        <v/>
      </c>
      <c r="BT3" s="90">
        <f>'BARRACÃO DE OBRA'!E69</f>
        <v/>
      </c>
      <c r="BU3" s="90">
        <f>'BARRACÃO DE OBRA'!E70</f>
        <v/>
      </c>
      <c r="BV3" s="90">
        <f>'BARRACÃO DE OBRA'!E71</f>
        <v/>
      </c>
      <c r="BW3" s="90">
        <f>'BARRACÃO DE OBRA'!E72</f>
        <v/>
      </c>
      <c r="BX3" s="90">
        <f>'BARRACÃO DE OBRA'!E73</f>
        <v/>
      </c>
      <c r="BY3" s="90">
        <f>'BARRACÃO DE OBRA'!E74</f>
        <v/>
      </c>
      <c r="BZ3" s="90">
        <f>'BARRACÃO DE OBRA'!E75</f>
        <v/>
      </c>
      <c r="CA3" s="90">
        <f>'BARRACÃO DE OBRA'!E76</f>
        <v/>
      </c>
    </row>
    <row r="4">
      <c r="A4" s="59" t="inlineStr">
        <is>
          <t>G041.002</t>
        </is>
      </c>
      <c r="B4" s="59" t="inlineStr">
        <is>
          <t>1030 1070 160</t>
        </is>
      </c>
      <c r="C4" s="59" t="inlineStr">
        <is>
          <t>CONSULTORIAS (OBRAS)</t>
        </is>
      </c>
      <c r="D4" s="60">
        <f>'CONSULTORIAS'!$K$5</f>
        <v/>
      </c>
      <c r="E4" s="49">
        <f>SUM(H4:CA4)</f>
        <v/>
      </c>
      <c r="F4" s="49">
        <f>IF(D4="","",D4-E4)</f>
        <v/>
      </c>
      <c r="H4" s="90">
        <f>'CONSULTORIAS'!E5</f>
        <v/>
      </c>
      <c r="I4" s="90">
        <f>'CONSULTORIAS'!E6</f>
        <v/>
      </c>
      <c r="J4" s="90">
        <f>'CONSULTORIAS'!E7</f>
        <v/>
      </c>
      <c r="K4" s="90">
        <f>'CONSULTORIAS'!E8</f>
        <v/>
      </c>
      <c r="L4" s="90">
        <f>'CONSULTORIAS'!E9</f>
        <v/>
      </c>
      <c r="M4" s="90">
        <f>'CONSULTORIAS'!E10</f>
        <v/>
      </c>
      <c r="N4" s="90">
        <f>'CONSULTORIAS'!E11</f>
        <v/>
      </c>
      <c r="O4" s="90">
        <f>'CONSULTORIAS'!E12</f>
        <v/>
      </c>
      <c r="P4" s="90">
        <f>'CONSULTORIAS'!E13</f>
        <v/>
      </c>
      <c r="Q4" s="90">
        <f>'CONSULTORIAS'!E14</f>
        <v/>
      </c>
      <c r="R4" s="90">
        <f>'CONSULTORIAS'!E15</f>
        <v/>
      </c>
      <c r="S4" s="90">
        <f>'CONSULTORIAS'!E16</f>
        <v/>
      </c>
      <c r="T4" s="90">
        <f>'CONSULTORIAS'!E17</f>
        <v/>
      </c>
      <c r="U4" s="90">
        <f>'CONSULTORIAS'!E18</f>
        <v/>
      </c>
      <c r="V4" s="90">
        <f>'CONSULTORIAS'!E19</f>
        <v/>
      </c>
      <c r="W4" s="90">
        <f>'CONSULTORIAS'!E20</f>
        <v/>
      </c>
      <c r="X4" s="90">
        <f>'CONSULTORIAS'!E21</f>
        <v/>
      </c>
      <c r="Y4" s="90">
        <f>'CONSULTORIAS'!E22</f>
        <v/>
      </c>
      <c r="Z4" s="90">
        <f>'CONSULTORIAS'!E23</f>
        <v/>
      </c>
      <c r="AA4" s="90">
        <f>'CONSULTORIAS'!E24</f>
        <v/>
      </c>
      <c r="AB4" s="90">
        <f>'CONSULTORIAS'!E25</f>
        <v/>
      </c>
      <c r="AC4" s="90">
        <f>'CONSULTORIAS'!E26</f>
        <v/>
      </c>
      <c r="AD4" s="90">
        <f>'CONSULTORIAS'!E27</f>
        <v/>
      </c>
      <c r="AE4" s="90">
        <f>'CONSULTORIAS'!E28</f>
        <v/>
      </c>
      <c r="AF4" s="90">
        <f>'CONSULTORIAS'!E29</f>
        <v/>
      </c>
      <c r="AG4" s="90">
        <f>'CONSULTORIAS'!E30</f>
        <v/>
      </c>
      <c r="AH4" s="90">
        <f>'CONSULTORIAS'!E31</f>
        <v/>
      </c>
      <c r="AI4" s="90">
        <f>'CONSULTORIAS'!E32</f>
        <v/>
      </c>
      <c r="AJ4" s="90">
        <f>'CONSULTORIAS'!E33</f>
        <v/>
      </c>
      <c r="AK4" s="90">
        <f>'CONSULTORIAS'!E34</f>
        <v/>
      </c>
      <c r="AL4" s="90">
        <f>'CONSULTORIAS'!E35</f>
        <v/>
      </c>
      <c r="AM4" s="90">
        <f>'CONSULTORIAS'!E36</f>
        <v/>
      </c>
      <c r="AN4" s="90">
        <f>'CONSULTORIAS'!E37</f>
        <v/>
      </c>
      <c r="AO4" s="90">
        <f>'CONSULTORIAS'!E38</f>
        <v/>
      </c>
      <c r="AP4" s="90">
        <f>'CONSULTORIAS'!E39</f>
        <v/>
      </c>
      <c r="AQ4" s="90">
        <f>'CONSULTORIAS'!E40</f>
        <v/>
      </c>
      <c r="AR4" s="90">
        <f>'CONSULTORIAS'!E41</f>
        <v/>
      </c>
      <c r="AS4" s="90">
        <f>'CONSULTORIAS'!E42</f>
        <v/>
      </c>
      <c r="AT4" s="90">
        <f>'CONSULTORIAS'!E43</f>
        <v/>
      </c>
      <c r="AU4" s="90">
        <f>'CONSULTORIAS'!E44</f>
        <v/>
      </c>
      <c r="AV4" s="90">
        <f>'CONSULTORIAS'!E45</f>
        <v/>
      </c>
      <c r="AW4" s="90">
        <f>'CONSULTORIAS'!E46</f>
        <v/>
      </c>
      <c r="AX4" s="90">
        <f>'CONSULTORIAS'!E47</f>
        <v/>
      </c>
      <c r="AY4" s="90">
        <f>'CONSULTORIAS'!E48</f>
        <v/>
      </c>
      <c r="AZ4" s="90">
        <f>'CONSULTORIAS'!E49</f>
        <v/>
      </c>
      <c r="BA4" s="90">
        <f>'CONSULTORIAS'!E50</f>
        <v/>
      </c>
      <c r="BB4" s="90">
        <f>'CONSULTORIAS'!E51</f>
        <v/>
      </c>
      <c r="BC4" s="90">
        <f>'CONSULTORIAS'!E52</f>
        <v/>
      </c>
      <c r="BD4" s="90">
        <f>'CONSULTORIAS'!E53</f>
        <v/>
      </c>
      <c r="BE4" s="90">
        <f>'CONSULTORIAS'!E54</f>
        <v/>
      </c>
      <c r="BF4" s="90">
        <f>'CONSULTORIAS'!E55</f>
        <v/>
      </c>
      <c r="BG4" s="90">
        <f>'CONSULTORIAS'!E56</f>
        <v/>
      </c>
      <c r="BH4" s="90">
        <f>'CONSULTORIAS'!E57</f>
        <v/>
      </c>
      <c r="BI4" s="90">
        <f>'CONSULTORIAS'!E58</f>
        <v/>
      </c>
      <c r="BJ4" s="90">
        <f>'CONSULTORIAS'!E59</f>
        <v/>
      </c>
      <c r="BK4" s="90">
        <f>'CONSULTORIAS'!E60</f>
        <v/>
      </c>
      <c r="BL4" s="90">
        <f>'CONSULTORIAS'!E61</f>
        <v/>
      </c>
      <c r="BM4" s="90">
        <f>'CONSULTORIAS'!E62</f>
        <v/>
      </c>
      <c r="BN4" s="90">
        <f>'CONSULTORIAS'!E63</f>
        <v/>
      </c>
      <c r="BO4" s="90">
        <f>'CONSULTORIAS'!E64</f>
        <v/>
      </c>
      <c r="BP4" s="90">
        <f>'CONSULTORIAS'!E65</f>
        <v/>
      </c>
      <c r="BQ4" s="90">
        <f>'CONSULTORIAS'!E66</f>
        <v/>
      </c>
      <c r="BR4" s="90">
        <f>'CONSULTORIAS'!E67</f>
        <v/>
      </c>
      <c r="BS4" s="90">
        <f>'CONSULTORIAS'!E68</f>
        <v/>
      </c>
      <c r="BT4" s="90">
        <f>'CONSULTORIAS'!E69</f>
        <v/>
      </c>
      <c r="BU4" s="90">
        <f>'CONSULTORIAS'!E70</f>
        <v/>
      </c>
      <c r="BV4" s="90">
        <f>'CONSULTORIAS'!E71</f>
        <v/>
      </c>
      <c r="BW4" s="90">
        <f>'CONSULTORIAS'!E72</f>
        <v/>
      </c>
      <c r="BX4" s="90">
        <f>'CONSULTORIAS'!E73</f>
        <v/>
      </c>
      <c r="BY4" s="90">
        <f>'CONSULTORIAS'!E74</f>
        <v/>
      </c>
      <c r="BZ4" s="90">
        <f>'CONSULTORIAS'!E75</f>
        <v/>
      </c>
      <c r="CA4" s="90">
        <f>'CONSULTORIAS'!E76</f>
        <v/>
      </c>
    </row>
    <row r="5">
      <c r="A5" s="59" t="inlineStr">
        <is>
          <t>G041.002</t>
        </is>
      </c>
      <c r="B5" s="59" t="inlineStr">
        <is>
          <t>1030 1070 170</t>
        </is>
      </c>
      <c r="C5" s="59" t="inlineStr">
        <is>
          <t>CONSUMO DE ÁGUA, ENERGIA, ETC.</t>
        </is>
      </c>
      <c r="D5" s="60">
        <f>'CONSUMOS'!$K$5</f>
        <v/>
      </c>
      <c r="E5" s="49">
        <f>SUM(H5:CA5)</f>
        <v/>
      </c>
      <c r="F5" s="49">
        <f>IF(D5="","",D5-E5)</f>
        <v/>
      </c>
      <c r="H5" s="90">
        <f>'CONSUMOS'!E5</f>
        <v/>
      </c>
      <c r="I5" s="90">
        <f>'CONSUMOS'!E6</f>
        <v/>
      </c>
      <c r="J5" s="90">
        <f>'CONSUMOS'!E7</f>
        <v/>
      </c>
      <c r="K5" s="90">
        <f>'CONSUMOS'!E8</f>
        <v/>
      </c>
      <c r="L5" s="90">
        <f>'CONSUMOS'!E9</f>
        <v/>
      </c>
      <c r="M5" s="90">
        <f>'CONSUMOS'!E10</f>
        <v/>
      </c>
      <c r="N5" s="90">
        <f>'CONSUMOS'!E11</f>
        <v/>
      </c>
      <c r="O5" s="90">
        <f>'CONSUMOS'!E12</f>
        <v/>
      </c>
      <c r="P5" s="90">
        <f>'CONSUMOS'!E13</f>
        <v/>
      </c>
      <c r="Q5" s="90">
        <f>'CONSUMOS'!E14</f>
        <v/>
      </c>
      <c r="R5" s="90">
        <f>'CONSUMOS'!E15</f>
        <v/>
      </c>
      <c r="S5" s="90">
        <f>'CONSUMOS'!E16</f>
        <v/>
      </c>
      <c r="T5" s="90">
        <f>'CONSUMOS'!E17</f>
        <v/>
      </c>
      <c r="U5" s="90">
        <f>'CONSUMOS'!E18</f>
        <v/>
      </c>
      <c r="V5" s="90">
        <f>'CONSUMOS'!E19</f>
        <v/>
      </c>
      <c r="W5" s="90">
        <f>'CONSUMOS'!E20</f>
        <v/>
      </c>
      <c r="X5" s="90">
        <f>'CONSUMOS'!E21</f>
        <v/>
      </c>
      <c r="Y5" s="90">
        <f>'CONSUMOS'!E22</f>
        <v/>
      </c>
      <c r="Z5" s="90">
        <f>'CONSUMOS'!E23</f>
        <v/>
      </c>
      <c r="AA5" s="90">
        <f>'CONSUMOS'!E24</f>
        <v/>
      </c>
      <c r="AB5" s="90">
        <f>'CONSUMOS'!E25</f>
        <v/>
      </c>
      <c r="AC5" s="90">
        <f>'CONSUMOS'!E26</f>
        <v/>
      </c>
      <c r="AD5" s="90">
        <f>'CONSUMOS'!E27</f>
        <v/>
      </c>
      <c r="AE5" s="90">
        <f>'CONSUMOS'!E28</f>
        <v/>
      </c>
      <c r="AF5" s="90">
        <f>'CONSUMOS'!E29</f>
        <v/>
      </c>
      <c r="AG5" s="90">
        <f>'CONSUMOS'!E30</f>
        <v/>
      </c>
      <c r="AH5" s="90">
        <f>'CONSUMOS'!E31</f>
        <v/>
      </c>
      <c r="AI5" s="90">
        <f>'CONSUMOS'!E32</f>
        <v/>
      </c>
      <c r="AJ5" s="90">
        <f>'CONSUMOS'!E33</f>
        <v/>
      </c>
      <c r="AK5" s="90">
        <f>'CONSUMOS'!E34</f>
        <v/>
      </c>
      <c r="AL5" s="90">
        <f>'CONSUMOS'!E35</f>
        <v/>
      </c>
      <c r="AM5" s="90">
        <f>'CONSUMOS'!E36</f>
        <v/>
      </c>
      <c r="AN5" s="90">
        <f>'CONSUMOS'!E37</f>
        <v/>
      </c>
      <c r="AO5" s="90">
        <f>'CONSUMOS'!E38</f>
        <v/>
      </c>
      <c r="AP5" s="90">
        <f>'CONSUMOS'!E39</f>
        <v/>
      </c>
      <c r="AQ5" s="90">
        <f>'CONSUMOS'!E40</f>
        <v/>
      </c>
      <c r="AR5" s="90">
        <f>'CONSUMOS'!E41</f>
        <v/>
      </c>
      <c r="AS5" s="90">
        <f>'CONSUMOS'!E42</f>
        <v/>
      </c>
      <c r="AT5" s="90">
        <f>'CONSUMOS'!E43</f>
        <v/>
      </c>
      <c r="AU5" s="90">
        <f>'CONSUMOS'!E44</f>
        <v/>
      </c>
      <c r="AV5" s="90">
        <f>'CONSUMOS'!E45</f>
        <v/>
      </c>
      <c r="AW5" s="90">
        <f>'CONSUMOS'!E46</f>
        <v/>
      </c>
      <c r="AX5" s="90">
        <f>'CONSUMOS'!E47</f>
        <v/>
      </c>
      <c r="AY5" s="90">
        <f>'CONSUMOS'!E48</f>
        <v/>
      </c>
      <c r="AZ5" s="90">
        <f>'CONSUMOS'!E49</f>
        <v/>
      </c>
      <c r="BA5" s="90">
        <f>'CONSUMOS'!E50</f>
        <v/>
      </c>
      <c r="BB5" s="90">
        <f>'CONSUMOS'!E51</f>
        <v/>
      </c>
      <c r="BC5" s="90">
        <f>'CONSUMOS'!E52</f>
        <v/>
      </c>
      <c r="BD5" s="90">
        <f>'CONSUMOS'!E53</f>
        <v/>
      </c>
      <c r="BE5" s="90">
        <f>'CONSUMOS'!E54</f>
        <v/>
      </c>
      <c r="BF5" s="90">
        <f>'CONSUMOS'!E55</f>
        <v/>
      </c>
      <c r="BG5" s="90">
        <f>'CONSUMOS'!E56</f>
        <v/>
      </c>
      <c r="BH5" s="90">
        <f>'CONSUMOS'!E57</f>
        <v/>
      </c>
      <c r="BI5" s="90">
        <f>'CONSUMOS'!E58</f>
        <v/>
      </c>
      <c r="BJ5" s="90">
        <f>'CONSUMOS'!E59</f>
        <v/>
      </c>
      <c r="BK5" s="90">
        <f>'CONSUMOS'!E60</f>
        <v/>
      </c>
      <c r="BL5" s="90">
        <f>'CONSUMOS'!E61</f>
        <v/>
      </c>
      <c r="BM5" s="90">
        <f>'CONSUMOS'!E62</f>
        <v/>
      </c>
      <c r="BN5" s="90">
        <f>'CONSUMOS'!E63</f>
        <v/>
      </c>
      <c r="BO5" s="90">
        <f>'CONSUMOS'!E64</f>
        <v/>
      </c>
      <c r="BP5" s="90">
        <f>'CONSUMOS'!E65</f>
        <v/>
      </c>
      <c r="BQ5" s="90">
        <f>'CONSUMOS'!E66</f>
        <v/>
      </c>
      <c r="BR5" s="90">
        <f>'CONSUMOS'!E67</f>
        <v/>
      </c>
      <c r="BS5" s="90">
        <f>'CONSUMOS'!E68</f>
        <v/>
      </c>
      <c r="BT5" s="90">
        <f>'CONSUMOS'!E69</f>
        <v/>
      </c>
      <c r="BU5" s="90">
        <f>'CONSUMOS'!E70</f>
        <v/>
      </c>
      <c r="BV5" s="90">
        <f>'CONSUMOS'!E71</f>
        <v/>
      </c>
      <c r="BW5" s="90">
        <f>'CONSUMOS'!E72</f>
        <v/>
      </c>
      <c r="BX5" s="90">
        <f>'CONSUMOS'!E73</f>
        <v/>
      </c>
      <c r="BY5" s="90">
        <f>'CONSUMOS'!E74</f>
        <v/>
      </c>
      <c r="BZ5" s="90">
        <f>'CONSUMOS'!E75</f>
        <v/>
      </c>
      <c r="CA5" s="90">
        <f>'CONSUMOS'!E76</f>
        <v/>
      </c>
    </row>
    <row r="6">
      <c r="A6" s="59" t="inlineStr">
        <is>
          <t>G041.002</t>
        </is>
      </c>
      <c r="B6" s="59" t="inlineStr">
        <is>
          <t>1030 1070 190</t>
        </is>
      </c>
      <c r="C6" s="59" t="inlineStr">
        <is>
          <t>CONTENÇÃO</t>
        </is>
      </c>
      <c r="D6" s="60">
        <f>'CONTENÇÃO'!$K$5</f>
        <v/>
      </c>
      <c r="E6" s="49">
        <f>SUM(H6:CA6)</f>
        <v/>
      </c>
      <c r="F6" s="49">
        <f>IF(D6="","",D6-E6)</f>
        <v/>
      </c>
      <c r="H6" s="90">
        <f>'CONTENÇÃO'!E5</f>
        <v/>
      </c>
      <c r="I6" s="90">
        <f>'CONTENÇÃO'!E6</f>
        <v/>
      </c>
      <c r="J6" s="90">
        <f>'CONTENÇÃO'!E7</f>
        <v/>
      </c>
      <c r="K6" s="90">
        <f>'CONTENÇÃO'!E8</f>
        <v/>
      </c>
      <c r="L6" s="90">
        <f>'CONTENÇÃO'!E9</f>
        <v/>
      </c>
      <c r="M6" s="90">
        <f>'CONTENÇÃO'!E10</f>
        <v/>
      </c>
      <c r="N6" s="90">
        <f>'CONTENÇÃO'!E11</f>
        <v/>
      </c>
      <c r="O6" s="90">
        <f>'CONTENÇÃO'!E12</f>
        <v/>
      </c>
      <c r="P6" s="90">
        <f>'CONTENÇÃO'!E13</f>
        <v/>
      </c>
      <c r="Q6" s="90">
        <f>'CONTENÇÃO'!E14</f>
        <v/>
      </c>
      <c r="R6" s="90">
        <f>'CONTENÇÃO'!E15</f>
        <v/>
      </c>
      <c r="S6" s="90">
        <f>'CONTENÇÃO'!E16</f>
        <v/>
      </c>
      <c r="T6" s="90">
        <f>'CONTENÇÃO'!E17</f>
        <v/>
      </c>
      <c r="U6" s="90">
        <f>'CONTENÇÃO'!E18</f>
        <v/>
      </c>
      <c r="V6" s="90">
        <f>'CONTENÇÃO'!E19</f>
        <v/>
      </c>
      <c r="W6" s="90">
        <f>'CONTENÇÃO'!E20</f>
        <v/>
      </c>
      <c r="X6" s="90">
        <f>'CONTENÇÃO'!E21</f>
        <v/>
      </c>
      <c r="Y6" s="90">
        <f>'CONTENÇÃO'!E22</f>
        <v/>
      </c>
      <c r="Z6" s="90">
        <f>'CONTENÇÃO'!E23</f>
        <v/>
      </c>
      <c r="AA6" s="90">
        <f>'CONTENÇÃO'!E24</f>
        <v/>
      </c>
      <c r="AB6" s="90">
        <f>'CONTENÇÃO'!E25</f>
        <v/>
      </c>
      <c r="AC6" s="90">
        <f>'CONTENÇÃO'!E26</f>
        <v/>
      </c>
      <c r="AD6" s="90">
        <f>'CONTENÇÃO'!E27</f>
        <v/>
      </c>
      <c r="AE6" s="90">
        <f>'CONTENÇÃO'!E28</f>
        <v/>
      </c>
      <c r="AF6" s="90">
        <f>'CONTENÇÃO'!E29</f>
        <v/>
      </c>
      <c r="AG6" s="90">
        <f>'CONTENÇÃO'!E30</f>
        <v/>
      </c>
      <c r="AH6" s="90">
        <f>'CONTENÇÃO'!E31</f>
        <v/>
      </c>
      <c r="AI6" s="90">
        <f>'CONTENÇÃO'!E32</f>
        <v/>
      </c>
      <c r="AJ6" s="90">
        <f>'CONTENÇÃO'!E33</f>
        <v/>
      </c>
      <c r="AK6" s="90">
        <f>'CONTENÇÃO'!E34</f>
        <v/>
      </c>
      <c r="AL6" s="90">
        <f>'CONTENÇÃO'!E35</f>
        <v/>
      </c>
      <c r="AM6" s="90">
        <f>'CONTENÇÃO'!E36</f>
        <v/>
      </c>
      <c r="AN6" s="90">
        <f>'CONTENÇÃO'!E37</f>
        <v/>
      </c>
      <c r="AO6" s="90">
        <f>'CONTENÇÃO'!E38</f>
        <v/>
      </c>
      <c r="AP6" s="90">
        <f>'CONTENÇÃO'!E39</f>
        <v/>
      </c>
      <c r="AQ6" s="90">
        <f>'CONTENÇÃO'!E40</f>
        <v/>
      </c>
      <c r="AR6" s="90">
        <f>'CONTENÇÃO'!E41</f>
        <v/>
      </c>
      <c r="AS6" s="90">
        <f>'CONTENÇÃO'!E42</f>
        <v/>
      </c>
      <c r="AT6" s="90">
        <f>'CONTENÇÃO'!E43</f>
        <v/>
      </c>
      <c r="AU6" s="90">
        <f>'CONTENÇÃO'!E44</f>
        <v/>
      </c>
      <c r="AV6" s="90">
        <f>'CONTENÇÃO'!E45</f>
        <v/>
      </c>
      <c r="AW6" s="90">
        <f>'CONTENÇÃO'!E46</f>
        <v/>
      </c>
      <c r="AX6" s="90">
        <f>'CONTENÇÃO'!E47</f>
        <v/>
      </c>
      <c r="AY6" s="90">
        <f>'CONTENÇÃO'!E48</f>
        <v/>
      </c>
      <c r="AZ6" s="90">
        <f>'CONTENÇÃO'!E49</f>
        <v/>
      </c>
      <c r="BA6" s="90">
        <f>'CONTENÇÃO'!E50</f>
        <v/>
      </c>
      <c r="BB6" s="90">
        <f>'CONTENÇÃO'!E51</f>
        <v/>
      </c>
      <c r="BC6" s="90">
        <f>'CONTENÇÃO'!E52</f>
        <v/>
      </c>
      <c r="BD6" s="90">
        <f>'CONTENÇÃO'!E53</f>
        <v/>
      </c>
      <c r="BE6" s="90">
        <f>'CONTENÇÃO'!E54</f>
        <v/>
      </c>
      <c r="BF6" s="90">
        <f>'CONTENÇÃO'!E55</f>
        <v/>
      </c>
      <c r="BG6" s="90">
        <f>'CONTENÇÃO'!E56</f>
        <v/>
      </c>
      <c r="BH6" s="90">
        <f>'CONTENÇÃO'!E57</f>
        <v/>
      </c>
      <c r="BI6" s="90">
        <f>'CONTENÇÃO'!E58</f>
        <v/>
      </c>
      <c r="BJ6" s="90">
        <f>'CONTENÇÃO'!E59</f>
        <v/>
      </c>
      <c r="BK6" s="90">
        <f>'CONTENÇÃO'!E60</f>
        <v/>
      </c>
      <c r="BL6" s="90">
        <f>'CONTENÇÃO'!E61</f>
        <v/>
      </c>
      <c r="BM6" s="90">
        <f>'CONTENÇÃO'!E62</f>
        <v/>
      </c>
      <c r="BN6" s="90">
        <f>'CONTENÇÃO'!E63</f>
        <v/>
      </c>
      <c r="BO6" s="90">
        <f>'CONTENÇÃO'!E64</f>
        <v/>
      </c>
      <c r="BP6" s="90">
        <f>'CONTENÇÃO'!E65</f>
        <v/>
      </c>
      <c r="BQ6" s="90">
        <f>'CONTENÇÃO'!E66</f>
        <v/>
      </c>
      <c r="BR6" s="90">
        <f>'CONTENÇÃO'!E67</f>
        <v/>
      </c>
      <c r="BS6" s="90">
        <f>'CONTENÇÃO'!E68</f>
        <v/>
      </c>
      <c r="BT6" s="90">
        <f>'CONTENÇÃO'!E69</f>
        <v/>
      </c>
      <c r="BU6" s="90">
        <f>'CONTENÇÃO'!E70</f>
        <v/>
      </c>
      <c r="BV6" s="90">
        <f>'CONTENÇÃO'!E71</f>
        <v/>
      </c>
      <c r="BW6" s="90">
        <f>'CONTENÇÃO'!E72</f>
        <v/>
      </c>
      <c r="BX6" s="90">
        <f>'CONTENÇÃO'!E73</f>
        <v/>
      </c>
      <c r="BY6" s="90">
        <f>'CONTENÇÃO'!E74</f>
        <v/>
      </c>
      <c r="BZ6" s="90">
        <f>'CONTENÇÃO'!E75</f>
        <v/>
      </c>
      <c r="CA6" s="90">
        <f>'CONTENÇÃO'!E76</f>
        <v/>
      </c>
    </row>
    <row r="7">
      <c r="A7" s="59" t="inlineStr">
        <is>
          <t>G041.002</t>
        </is>
      </c>
      <c r="B7" s="59" t="inlineStr">
        <is>
          <t>1030 1070 510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1030 1070 550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1030 1070 560</t>
        </is>
      </c>
      <c r="C9" s="59" t="inlineStr">
        <is>
          <t>DIVERSOS</t>
        </is>
      </c>
      <c r="D9" s="60">
        <f>'DIVERSOS'!$K$5</f>
        <v/>
      </c>
      <c r="E9" s="49">
        <f>SUM(H9:CA9)</f>
        <v/>
      </c>
      <c r="F9" s="49">
        <f>IF(D9="","",D9-E9)</f>
        <v/>
      </c>
      <c r="H9" s="90">
        <f>'DIVERSOS'!E5</f>
        <v/>
      </c>
      <c r="I9" s="90">
        <f>'DIVERSOS'!E6</f>
        <v/>
      </c>
      <c r="J9" s="90">
        <f>'DIVERSOS'!E7</f>
        <v/>
      </c>
      <c r="K9" s="90">
        <f>'DIVERSOS'!E8</f>
        <v/>
      </c>
      <c r="L9" s="90">
        <f>'DIVERSOS'!E9</f>
        <v/>
      </c>
      <c r="M9" s="90">
        <f>'DIVERSOS'!E10</f>
        <v/>
      </c>
      <c r="N9" s="90">
        <f>'DIVERSOS'!E11</f>
        <v/>
      </c>
      <c r="O9" s="90">
        <f>'DIVERSOS'!E12</f>
        <v/>
      </c>
      <c r="P9" s="90">
        <f>'DIVERSOS'!E13</f>
        <v/>
      </c>
      <c r="Q9" s="90">
        <f>'DIVERSOS'!E14</f>
        <v/>
      </c>
      <c r="R9" s="90">
        <f>'DIVERSOS'!E15</f>
        <v/>
      </c>
      <c r="S9" s="90">
        <f>'DIVERSOS'!E16</f>
        <v/>
      </c>
      <c r="T9" s="90">
        <f>'DIVERSOS'!E17</f>
        <v/>
      </c>
      <c r="U9" s="90">
        <f>'DIVERSOS'!E18</f>
        <v/>
      </c>
      <c r="V9" s="90">
        <f>'DIVERSOS'!E19</f>
        <v/>
      </c>
      <c r="W9" s="90">
        <f>'DIVERSOS'!E20</f>
        <v/>
      </c>
      <c r="X9" s="90">
        <f>'DIVERSOS'!E21</f>
        <v/>
      </c>
      <c r="Y9" s="90">
        <f>'DIVERSOS'!E22</f>
        <v/>
      </c>
      <c r="Z9" s="90">
        <f>'DIVERSOS'!E23</f>
        <v/>
      </c>
      <c r="AA9" s="90">
        <f>'DIVERSOS'!E24</f>
        <v/>
      </c>
      <c r="AB9" s="90">
        <f>'DIVERSOS'!E25</f>
        <v/>
      </c>
      <c r="AC9" s="90">
        <f>'DIVERSOS'!E26</f>
        <v/>
      </c>
      <c r="AD9" s="90">
        <f>'DIVERSOS'!E27</f>
        <v/>
      </c>
      <c r="AE9" s="90">
        <f>'DIVERSOS'!E28</f>
        <v/>
      </c>
      <c r="AF9" s="90">
        <f>'DIVERSOS'!E29</f>
        <v/>
      </c>
      <c r="AG9" s="90">
        <f>'DIVERSOS'!E30</f>
        <v/>
      </c>
      <c r="AH9" s="90">
        <f>'DIVERSOS'!E31</f>
        <v/>
      </c>
      <c r="AI9" s="90">
        <f>'DIVERSOS'!E32</f>
        <v/>
      </c>
      <c r="AJ9" s="90">
        <f>'DIVERSOS'!E33</f>
        <v/>
      </c>
      <c r="AK9" s="90">
        <f>'DIVERSOS'!E34</f>
        <v/>
      </c>
      <c r="AL9" s="90">
        <f>'DIVERSOS'!E35</f>
        <v/>
      </c>
      <c r="AM9" s="90">
        <f>'DIVERSOS'!E36</f>
        <v/>
      </c>
      <c r="AN9" s="90">
        <f>'DIVERSOS'!E37</f>
        <v/>
      </c>
      <c r="AO9" s="90">
        <f>'DIVERSOS'!E38</f>
        <v/>
      </c>
      <c r="AP9" s="90">
        <f>'DIVERSOS'!E39</f>
        <v/>
      </c>
      <c r="AQ9" s="90">
        <f>'DIVERSOS'!E40</f>
        <v/>
      </c>
      <c r="AR9" s="90">
        <f>'DIVERSOS'!E41</f>
        <v/>
      </c>
      <c r="AS9" s="90">
        <f>'DIVERSOS'!E42</f>
        <v/>
      </c>
      <c r="AT9" s="90">
        <f>'DIVERSOS'!E43</f>
        <v/>
      </c>
      <c r="AU9" s="90">
        <f>'DIVERSOS'!E44</f>
        <v/>
      </c>
      <c r="AV9" s="90">
        <f>'DIVERSOS'!E45</f>
        <v/>
      </c>
      <c r="AW9" s="90">
        <f>'DIVERSOS'!E46</f>
        <v/>
      </c>
      <c r="AX9" s="90">
        <f>'DIVERSOS'!E47</f>
        <v/>
      </c>
      <c r="AY9" s="90">
        <f>'DIVERSOS'!E48</f>
        <v/>
      </c>
      <c r="AZ9" s="90">
        <f>'DIVERSOS'!E49</f>
        <v/>
      </c>
      <c r="BA9" s="90">
        <f>'DIVERSOS'!E50</f>
        <v/>
      </c>
      <c r="BB9" s="90">
        <f>'DIVERSOS'!E51</f>
        <v/>
      </c>
      <c r="BC9" s="90">
        <f>'DIVERSOS'!E52</f>
        <v/>
      </c>
      <c r="BD9" s="90">
        <f>'DIVERSOS'!E53</f>
        <v/>
      </c>
      <c r="BE9" s="90">
        <f>'DIVERSOS'!E54</f>
        <v/>
      </c>
      <c r="BF9" s="90">
        <f>'DIVERSOS'!E55</f>
        <v/>
      </c>
      <c r="BG9" s="90">
        <f>'DIVERSOS'!E56</f>
        <v/>
      </c>
      <c r="BH9" s="90">
        <f>'DIVERSOS'!E57</f>
        <v/>
      </c>
      <c r="BI9" s="90">
        <f>'DIVERSOS'!E58</f>
        <v/>
      </c>
      <c r="BJ9" s="90">
        <f>'DIVERSOS'!E59</f>
        <v/>
      </c>
      <c r="BK9" s="90">
        <f>'DIVERSOS'!E60</f>
        <v/>
      </c>
      <c r="BL9" s="90">
        <f>'DIVERSOS'!E61</f>
        <v/>
      </c>
      <c r="BM9" s="90">
        <f>'DIVERSOS'!E62</f>
        <v/>
      </c>
      <c r="BN9" s="90">
        <f>'DIVERSOS'!E63</f>
        <v/>
      </c>
      <c r="BO9" s="90">
        <f>'DIVERSOS'!E64</f>
        <v/>
      </c>
      <c r="BP9" s="90">
        <f>'DIVERSOS'!E65</f>
        <v/>
      </c>
      <c r="BQ9" s="90">
        <f>'DIVERSOS'!E66</f>
        <v/>
      </c>
      <c r="BR9" s="90">
        <f>'DIVERSOS'!E67</f>
        <v/>
      </c>
      <c r="BS9" s="90">
        <f>'DIVERSOS'!E68</f>
        <v/>
      </c>
      <c r="BT9" s="90">
        <f>'DIVERSOS'!E69</f>
        <v/>
      </c>
      <c r="BU9" s="90">
        <f>'DIVERSOS'!E70</f>
        <v/>
      </c>
      <c r="BV9" s="90">
        <f>'DIVERSOS'!E71</f>
        <v/>
      </c>
      <c r="BW9" s="90">
        <f>'DIVERSOS'!E72</f>
        <v/>
      </c>
      <c r="BX9" s="90">
        <f>'DIVERSOS'!E73</f>
        <v/>
      </c>
      <c r="BY9" s="90">
        <f>'DIVERSOS'!E74</f>
        <v/>
      </c>
      <c r="BZ9" s="90">
        <f>'DIVERSOS'!E75</f>
        <v/>
      </c>
      <c r="CA9" s="90">
        <f>'DIVERSOS'!E76</f>
        <v/>
      </c>
    </row>
    <row r="10">
      <c r="A10" s="59" t="inlineStr">
        <is>
          <t>G041.002</t>
        </is>
      </c>
      <c r="B10" s="59" t="inlineStr">
        <is>
          <t>1030 1070 400</t>
        </is>
      </c>
      <c r="C10" s="59" t="inlineStr">
        <is>
          <t xml:space="preserve">ELEVADORES </t>
        </is>
      </c>
      <c r="D10" s="60">
        <f>'ELEVADORES '!$K$5</f>
        <v/>
      </c>
      <c r="E10" s="49">
        <f>SUM(H10:CA10)</f>
        <v/>
      </c>
      <c r="F10" s="49">
        <f>IF(D10="","",D10-E10)</f>
        <v/>
      </c>
      <c r="H10" s="90">
        <f>'ELEVADORES '!E5</f>
        <v/>
      </c>
      <c r="I10" s="90">
        <f>'ELEVADORES '!E6</f>
        <v/>
      </c>
      <c r="J10" s="90">
        <f>'ELEVADORES '!E7</f>
        <v/>
      </c>
      <c r="K10" s="90">
        <f>'ELEVADORES '!E8</f>
        <v/>
      </c>
      <c r="L10" s="90">
        <f>'ELEVADORES '!E9</f>
        <v/>
      </c>
      <c r="M10" s="90">
        <f>'ELEVADORES '!E10</f>
        <v/>
      </c>
      <c r="N10" s="90">
        <f>'ELEVADORES '!E11</f>
        <v/>
      </c>
      <c r="O10" s="90">
        <f>'ELEVADORES '!E12</f>
        <v/>
      </c>
      <c r="P10" s="90">
        <f>'ELEVADORES '!E13</f>
        <v/>
      </c>
      <c r="Q10" s="90">
        <f>'ELEVADORES '!E14</f>
        <v/>
      </c>
      <c r="R10" s="90">
        <f>'ELEVADORES '!E15</f>
        <v/>
      </c>
      <c r="S10" s="90">
        <f>'ELEVADORES '!E16</f>
        <v/>
      </c>
      <c r="T10" s="90">
        <f>'ELEVADORES '!E17</f>
        <v/>
      </c>
      <c r="U10" s="90">
        <f>'ELEVADORES '!E18</f>
        <v/>
      </c>
      <c r="V10" s="90">
        <f>'ELEVADORES '!E19</f>
        <v/>
      </c>
      <c r="W10" s="90">
        <f>'ELEVADORES '!E20</f>
        <v/>
      </c>
      <c r="X10" s="90">
        <f>'ELEVADORES '!E21</f>
        <v/>
      </c>
      <c r="Y10" s="90">
        <f>'ELEVADORES '!E22</f>
        <v/>
      </c>
      <c r="Z10" s="90">
        <f>'ELEVADORES '!E23</f>
        <v/>
      </c>
      <c r="AA10" s="90">
        <f>'ELEVADORES '!E24</f>
        <v/>
      </c>
      <c r="AB10" s="90">
        <f>'ELEVADORES '!E25</f>
        <v/>
      </c>
      <c r="AC10" s="90">
        <f>'ELEVADORES '!E26</f>
        <v/>
      </c>
      <c r="AD10" s="90">
        <f>'ELEVADORES '!E27</f>
        <v/>
      </c>
      <c r="AE10" s="90">
        <f>'ELEVADORES '!E28</f>
        <v/>
      </c>
      <c r="AF10" s="90">
        <f>'ELEVADORES '!E29</f>
        <v/>
      </c>
      <c r="AG10" s="90">
        <f>'ELEVADORES '!E30</f>
        <v/>
      </c>
      <c r="AH10" s="90">
        <f>'ELEVADORES '!E31</f>
        <v/>
      </c>
      <c r="AI10" s="90">
        <f>'ELEVADORES '!E32</f>
        <v/>
      </c>
      <c r="AJ10" s="90">
        <f>'ELEVADORES '!E33</f>
        <v/>
      </c>
      <c r="AK10" s="90">
        <f>'ELEVADORES '!E34</f>
        <v/>
      </c>
      <c r="AL10" s="90">
        <f>'ELEVADORES '!E35</f>
        <v/>
      </c>
      <c r="AM10" s="90">
        <f>'ELEVADORES '!E36</f>
        <v/>
      </c>
      <c r="AN10" s="90">
        <f>'ELEVADORES '!E37</f>
        <v/>
      </c>
      <c r="AO10" s="90">
        <f>'ELEVADORES '!E38</f>
        <v/>
      </c>
      <c r="AP10" s="90">
        <f>'ELEVADORES '!E39</f>
        <v/>
      </c>
      <c r="AQ10" s="90">
        <f>'ELEVADORES '!E40</f>
        <v/>
      </c>
      <c r="AR10" s="90">
        <f>'ELEVADORES '!E41</f>
        <v/>
      </c>
      <c r="AS10" s="90">
        <f>'ELEVADORES '!E42</f>
        <v/>
      </c>
      <c r="AT10" s="90">
        <f>'ELEVADORES '!E43</f>
        <v/>
      </c>
      <c r="AU10" s="90">
        <f>'ELEVADORES '!E44</f>
        <v/>
      </c>
      <c r="AV10" s="90">
        <f>'ELEVADORES '!E45</f>
        <v/>
      </c>
      <c r="AW10" s="90">
        <f>'ELEVADORES '!E46</f>
        <v/>
      </c>
      <c r="AX10" s="90">
        <f>'ELEVADORES '!E47</f>
        <v/>
      </c>
      <c r="AY10" s="90">
        <f>'ELEVADORES '!E48</f>
        <v/>
      </c>
      <c r="AZ10" s="90">
        <f>'ELEVADORES '!E49</f>
        <v/>
      </c>
      <c r="BA10" s="90">
        <f>'ELEVADORES '!E50</f>
        <v/>
      </c>
      <c r="BB10" s="90">
        <f>'ELEVADORES '!E51</f>
        <v/>
      </c>
      <c r="BC10" s="90">
        <f>'ELEVADORES '!E52</f>
        <v/>
      </c>
      <c r="BD10" s="90">
        <f>'ELEVADORES '!E53</f>
        <v/>
      </c>
      <c r="BE10" s="90">
        <f>'ELEVADORES '!E54</f>
        <v/>
      </c>
      <c r="BF10" s="90">
        <f>'ELEVADORES '!E55</f>
        <v/>
      </c>
      <c r="BG10" s="90">
        <f>'ELEVADORES '!E56</f>
        <v/>
      </c>
      <c r="BH10" s="90">
        <f>'ELEVADORES '!E57</f>
        <v/>
      </c>
      <c r="BI10" s="90">
        <f>'ELEVADORES '!E58</f>
        <v/>
      </c>
      <c r="BJ10" s="90">
        <f>'ELEVADORES '!E59</f>
        <v/>
      </c>
      <c r="BK10" s="90">
        <f>'ELEVADORES '!E60</f>
        <v/>
      </c>
      <c r="BL10" s="90">
        <f>'ELEVADORES '!E61</f>
        <v/>
      </c>
      <c r="BM10" s="90">
        <f>'ELEVADORES '!E62</f>
        <v/>
      </c>
      <c r="BN10" s="90">
        <f>'ELEVADORES '!E63</f>
        <v/>
      </c>
      <c r="BO10" s="90">
        <f>'ELEVADORES '!E64</f>
        <v/>
      </c>
      <c r="BP10" s="90">
        <f>'ELEVADORES '!E65</f>
        <v/>
      </c>
      <c r="BQ10" s="90">
        <f>'ELEVADORES '!E66</f>
        <v/>
      </c>
      <c r="BR10" s="90">
        <f>'ELEVADORES '!E67</f>
        <v/>
      </c>
      <c r="BS10" s="90">
        <f>'ELEVADORES '!E68</f>
        <v/>
      </c>
      <c r="BT10" s="90">
        <f>'ELEVADORES '!E69</f>
        <v/>
      </c>
      <c r="BU10" s="90">
        <f>'ELEVADORES '!E70</f>
        <v/>
      </c>
      <c r="BV10" s="90">
        <f>'ELEVADORES '!E71</f>
        <v/>
      </c>
      <c r="BW10" s="90">
        <f>'ELEVADORES '!E72</f>
        <v/>
      </c>
      <c r="BX10" s="90">
        <f>'ELEVADORES '!E73</f>
        <v/>
      </c>
      <c r="BY10" s="90">
        <f>'ELEVADORES '!E74</f>
        <v/>
      </c>
      <c r="BZ10" s="90">
        <f>'ELEVADORES '!E75</f>
        <v/>
      </c>
      <c r="CA10" s="90">
        <f>'ELEVADORES '!E76</f>
        <v/>
      </c>
    </row>
    <row r="11">
      <c r="A11" s="59" t="n"/>
      <c r="B11" s="59" t="n"/>
      <c r="C11" s="59" t="inlineStr">
        <is>
          <t>EQUIPAMENTOS DE PROTEÇÃO COLETIVA</t>
        </is>
      </c>
      <c r="E11" s="49">
        <f>SUM(H11:CA11)</f>
        <v/>
      </c>
      <c r="F11" s="49">
        <f>IF(D11="","",D11-E11)</f>
        <v/>
      </c>
    </row>
    <row r="12">
      <c r="A12" s="59" t="inlineStr">
        <is>
          <t>G041.002</t>
        </is>
      </c>
      <c r="B12" s="59" t="inlineStr">
        <is>
          <t>1030 1070 450</t>
        </is>
      </c>
      <c r="C12" s="59" t="inlineStr">
        <is>
          <t>EQUIPAMENTOS E FERRAMENTAS</t>
        </is>
      </c>
      <c r="D12" s="60">
        <f>'EQUIP E FER'!$K$5</f>
        <v/>
      </c>
      <c r="E12" s="49">
        <f>SUM(H12:CA12)</f>
        <v/>
      </c>
      <c r="F12" s="49">
        <f>IF(D12="","",D12-E12)</f>
        <v/>
      </c>
      <c r="H12" s="90">
        <f>'EQUIP E FER'!E5</f>
        <v/>
      </c>
      <c r="I12" s="90">
        <f>'EQUIP E FER'!E6</f>
        <v/>
      </c>
      <c r="J12" s="90">
        <f>'EQUIP E FER'!E7</f>
        <v/>
      </c>
      <c r="K12" s="90">
        <f>'EQUIP E FER'!E8</f>
        <v/>
      </c>
      <c r="L12" s="90">
        <f>'EQUIP E FER'!E9</f>
        <v/>
      </c>
      <c r="M12" s="90">
        <f>'EQUIP E FER'!E10</f>
        <v/>
      </c>
      <c r="N12" s="90">
        <f>'EQUIP E FER'!E11</f>
        <v/>
      </c>
      <c r="O12" s="90">
        <f>'EQUIP E FER'!E12</f>
        <v/>
      </c>
      <c r="P12" s="90">
        <f>'EQUIP E FER'!E13</f>
        <v/>
      </c>
      <c r="Q12" s="90">
        <f>'EQUIP E FER'!E14</f>
        <v/>
      </c>
      <c r="R12" s="90">
        <f>'EQUIP E FER'!E15</f>
        <v/>
      </c>
      <c r="S12" s="90">
        <f>'EQUIP E FER'!E16</f>
        <v/>
      </c>
      <c r="T12" s="90">
        <f>'EQUIP E FER'!E17</f>
        <v/>
      </c>
      <c r="U12" s="90">
        <f>'EQUIP E FER'!E18</f>
        <v/>
      </c>
      <c r="V12" s="90">
        <f>'EQUIP E FER'!E19</f>
        <v/>
      </c>
      <c r="W12" s="90">
        <f>'EQUIP E FER'!E20</f>
        <v/>
      </c>
      <c r="X12" s="90">
        <f>'EQUIP E FER'!E21</f>
        <v/>
      </c>
      <c r="Y12" s="90">
        <f>'EQUIP E FER'!E22</f>
        <v/>
      </c>
      <c r="Z12" s="90">
        <f>'EQUIP E FER'!E23</f>
        <v/>
      </c>
      <c r="AA12" s="90">
        <f>'EQUIP E FER'!E24</f>
        <v/>
      </c>
      <c r="AB12" s="90">
        <f>'EQUIP E FER'!E25</f>
        <v/>
      </c>
      <c r="AC12" s="90">
        <f>'EQUIP E FER'!E26</f>
        <v/>
      </c>
      <c r="AD12" s="90">
        <f>'EQUIP E FER'!E27</f>
        <v/>
      </c>
      <c r="AE12" s="90">
        <f>'EQUIP E FER'!E28</f>
        <v/>
      </c>
      <c r="AF12" s="90">
        <f>'EQUIP E FER'!E29</f>
        <v/>
      </c>
      <c r="AG12" s="90">
        <f>'EQUIP E FER'!E30</f>
        <v/>
      </c>
      <c r="AH12" s="90">
        <f>'EQUIP E FER'!E31</f>
        <v/>
      </c>
      <c r="AI12" s="90">
        <f>'EQUIP E FER'!E32</f>
        <v/>
      </c>
      <c r="AJ12" s="90">
        <f>'EQUIP E FER'!E33</f>
        <v/>
      </c>
      <c r="AK12" s="90">
        <f>'EQUIP E FER'!E34</f>
        <v/>
      </c>
      <c r="AL12" s="90">
        <f>'EQUIP E FER'!E35</f>
        <v/>
      </c>
      <c r="AM12" s="90">
        <f>'EQUIP E FER'!E36</f>
        <v/>
      </c>
      <c r="AN12" s="90">
        <f>'EQUIP E FER'!E37</f>
        <v/>
      </c>
      <c r="AO12" s="90">
        <f>'EQUIP E FER'!E38</f>
        <v/>
      </c>
      <c r="AP12" s="90">
        <f>'EQUIP E FER'!E39</f>
        <v/>
      </c>
      <c r="AQ12" s="90">
        <f>'EQUIP E FER'!E40</f>
        <v/>
      </c>
      <c r="AR12" s="90">
        <f>'EQUIP E FER'!E41</f>
        <v/>
      </c>
      <c r="AS12" s="90">
        <f>'EQUIP E FER'!E42</f>
        <v/>
      </c>
      <c r="AT12" s="90">
        <f>'EQUIP E FER'!E43</f>
        <v/>
      </c>
      <c r="AU12" s="90">
        <f>'EQUIP E FER'!E44</f>
        <v/>
      </c>
      <c r="AV12" s="90">
        <f>'EQUIP E FER'!E45</f>
        <v/>
      </c>
      <c r="AW12" s="90">
        <f>'EQUIP E FER'!E46</f>
        <v/>
      </c>
      <c r="AX12" s="90">
        <f>'EQUIP E FER'!E47</f>
        <v/>
      </c>
      <c r="AY12" s="90">
        <f>'EQUIP E FER'!E48</f>
        <v/>
      </c>
      <c r="AZ12" s="90">
        <f>'EQUIP E FER'!E49</f>
        <v/>
      </c>
      <c r="BA12" s="90">
        <f>'EQUIP E FER'!E50</f>
        <v/>
      </c>
      <c r="BB12" s="90">
        <f>'EQUIP E FER'!E51</f>
        <v/>
      </c>
      <c r="BC12" s="90">
        <f>'EQUIP E FER'!E52</f>
        <v/>
      </c>
      <c r="BD12" s="90">
        <f>'EQUIP E FER'!E53</f>
        <v/>
      </c>
      <c r="BE12" s="90">
        <f>'EQUIP E FER'!E54</f>
        <v/>
      </c>
      <c r="BF12" s="90">
        <f>'EQUIP E FER'!E55</f>
        <v/>
      </c>
      <c r="BG12" s="90">
        <f>'EQUIP E FER'!E56</f>
        <v/>
      </c>
      <c r="BH12" s="90">
        <f>'EQUIP E FER'!E57</f>
        <v/>
      </c>
      <c r="BI12" s="90">
        <f>'EQUIP E FER'!E58</f>
        <v/>
      </c>
      <c r="BJ12" s="90">
        <f>'EQUIP E FER'!E59</f>
        <v/>
      </c>
      <c r="BK12" s="90">
        <f>'EQUIP E FER'!E60</f>
        <v/>
      </c>
      <c r="BL12" s="90">
        <f>'EQUIP E FER'!E61</f>
        <v/>
      </c>
      <c r="BM12" s="90">
        <f>'EQUIP E FER'!E62</f>
        <v/>
      </c>
      <c r="BN12" s="90">
        <f>'EQUIP E FER'!E63</f>
        <v/>
      </c>
      <c r="BO12" s="90">
        <f>'EQUIP E FER'!E64</f>
        <v/>
      </c>
      <c r="BP12" s="90">
        <f>'EQUIP E FER'!E65</f>
        <v/>
      </c>
      <c r="BQ12" s="90">
        <f>'EQUIP E FER'!E66</f>
        <v/>
      </c>
      <c r="BR12" s="90">
        <f>'EQUIP E FER'!E67</f>
        <v/>
      </c>
      <c r="BS12" s="90">
        <f>'EQUIP E FER'!E68</f>
        <v/>
      </c>
      <c r="BT12" s="90">
        <f>'EQUIP E FER'!E69</f>
        <v/>
      </c>
      <c r="BU12" s="90">
        <f>'EQUIP E FER'!E70</f>
        <v/>
      </c>
      <c r="BV12" s="90">
        <f>'EQUIP E FER'!E71</f>
        <v/>
      </c>
      <c r="BW12" s="90">
        <f>'EQUIP E FER'!E72</f>
        <v/>
      </c>
      <c r="BX12" s="90">
        <f>'EQUIP E FER'!E73</f>
        <v/>
      </c>
      <c r="BY12" s="90">
        <f>'EQUIP E FER'!E74</f>
        <v/>
      </c>
      <c r="BZ12" s="90">
        <f>'EQUIP E FER'!E75</f>
        <v/>
      </c>
      <c r="CA12" s="90">
        <f>'EQUIP E FER'!E76</f>
        <v/>
      </c>
    </row>
    <row r="13">
      <c r="A13" s="59" t="inlineStr">
        <is>
          <t>G041.002</t>
        </is>
      </c>
      <c r="B13" s="59" t="inlineStr">
        <is>
          <t>1030 1070 370</t>
        </is>
      </c>
      <c r="C13" s="59" t="inlineStr">
        <is>
          <t>ESQUADRIAS</t>
        </is>
      </c>
      <c r="D13" s="60">
        <f>'ESQUADRIAS'!$K$5</f>
        <v/>
      </c>
      <c r="E13" s="49">
        <f>SUM(H13:CA13)</f>
        <v/>
      </c>
      <c r="F13" s="49">
        <f>IF(D13="","",D13-E13)</f>
        <v/>
      </c>
      <c r="H13" s="90">
        <f>'ESQUADRIAS'!E5</f>
        <v/>
      </c>
      <c r="I13" s="90">
        <f>'ESQUADRIAS'!E6</f>
        <v/>
      </c>
      <c r="J13" s="90">
        <f>'ESQUADRIAS'!E7</f>
        <v/>
      </c>
      <c r="K13" s="90">
        <f>'ESQUADRIAS'!E8</f>
        <v/>
      </c>
      <c r="L13" s="90">
        <f>'ESQUADRIAS'!E9</f>
        <v/>
      </c>
      <c r="M13" s="90">
        <f>'ESQUADRIAS'!E10</f>
        <v/>
      </c>
      <c r="N13" s="90">
        <f>'ESQUADRIAS'!E11</f>
        <v/>
      </c>
      <c r="O13" s="90">
        <f>'ESQUADRIAS'!E12</f>
        <v/>
      </c>
      <c r="P13" s="90">
        <f>'ESQUADRIAS'!E13</f>
        <v/>
      </c>
      <c r="Q13" s="90">
        <f>'ESQUADRIAS'!E14</f>
        <v/>
      </c>
      <c r="R13" s="90">
        <f>'ESQUADRIAS'!E15</f>
        <v/>
      </c>
      <c r="S13" s="90">
        <f>'ESQUADRIAS'!E16</f>
        <v/>
      </c>
      <c r="T13" s="90">
        <f>'ESQUADRIAS'!E17</f>
        <v/>
      </c>
      <c r="U13" s="90">
        <f>'ESQUADRIAS'!E18</f>
        <v/>
      </c>
      <c r="V13" s="90">
        <f>'ESQUADRIAS'!E19</f>
        <v/>
      </c>
      <c r="W13" s="90">
        <f>'ESQUADRIAS'!E20</f>
        <v/>
      </c>
      <c r="X13" s="90">
        <f>'ESQUADRIAS'!E21</f>
        <v/>
      </c>
      <c r="Y13" s="90">
        <f>'ESQUADRIAS'!E22</f>
        <v/>
      </c>
      <c r="Z13" s="90">
        <f>'ESQUADRIAS'!E23</f>
        <v/>
      </c>
      <c r="AA13" s="90">
        <f>'ESQUADRIAS'!E24</f>
        <v/>
      </c>
      <c r="AB13" s="90">
        <f>'ESQUADRIAS'!E25</f>
        <v/>
      </c>
      <c r="AC13" s="90">
        <f>'ESQUADRIAS'!E26</f>
        <v/>
      </c>
      <c r="AD13" s="90">
        <f>'ESQUADRIAS'!E27</f>
        <v/>
      </c>
      <c r="AE13" s="90">
        <f>'ESQUADRIAS'!E28</f>
        <v/>
      </c>
      <c r="AF13" s="90">
        <f>'ESQUADRIAS'!E29</f>
        <v/>
      </c>
      <c r="AG13" s="90">
        <f>'ESQUADRIAS'!E30</f>
        <v/>
      </c>
      <c r="AH13" s="90">
        <f>'ESQUADRIAS'!E31</f>
        <v/>
      </c>
      <c r="AI13" s="90">
        <f>'ESQUADRIAS'!E32</f>
        <v/>
      </c>
      <c r="AJ13" s="90">
        <f>'ESQUADRIAS'!E33</f>
        <v/>
      </c>
      <c r="AK13" s="90">
        <f>'ESQUADRIAS'!E34</f>
        <v/>
      </c>
      <c r="AL13" s="90">
        <f>'ESQUADRIAS'!E35</f>
        <v/>
      </c>
      <c r="AM13" s="90">
        <f>'ESQUADRIAS'!E36</f>
        <v/>
      </c>
      <c r="AN13" s="90">
        <f>'ESQUADRIAS'!E37</f>
        <v/>
      </c>
      <c r="AO13" s="90">
        <f>'ESQUADRIAS'!E38</f>
        <v/>
      </c>
      <c r="AP13" s="90">
        <f>'ESQUADRIAS'!E39</f>
        <v/>
      </c>
      <c r="AQ13" s="90">
        <f>'ESQUADRIAS'!E40</f>
        <v/>
      </c>
      <c r="AR13" s="90">
        <f>'ESQUADRIAS'!E41</f>
        <v/>
      </c>
      <c r="AS13" s="90">
        <f>'ESQUADRIAS'!E42</f>
        <v/>
      </c>
      <c r="AT13" s="90">
        <f>'ESQUADRIAS'!E43</f>
        <v/>
      </c>
      <c r="AU13" s="90">
        <f>'ESQUADRIAS'!E44</f>
        <v/>
      </c>
      <c r="AV13" s="90">
        <f>'ESQUADRIAS'!E45</f>
        <v/>
      </c>
      <c r="AW13" s="90">
        <f>'ESQUADRIAS'!E46</f>
        <v/>
      </c>
      <c r="AX13" s="90">
        <f>'ESQUADRIAS'!E47</f>
        <v/>
      </c>
      <c r="AY13" s="90">
        <f>'ESQUADRIAS'!E48</f>
        <v/>
      </c>
      <c r="AZ13" s="90">
        <f>'ESQUADRIAS'!E49</f>
        <v/>
      </c>
      <c r="BA13" s="90">
        <f>'ESQUADRIAS'!E50</f>
        <v/>
      </c>
      <c r="BB13" s="90">
        <f>'ESQUADRIAS'!E51</f>
        <v/>
      </c>
      <c r="BC13" s="90">
        <f>'ESQUADRIAS'!E52</f>
        <v/>
      </c>
      <c r="BD13" s="90">
        <f>'ESQUADRIAS'!E53</f>
        <v/>
      </c>
      <c r="BE13" s="90">
        <f>'ESQUADRIAS'!E54</f>
        <v/>
      </c>
      <c r="BF13" s="90">
        <f>'ESQUADRIAS'!E55</f>
        <v/>
      </c>
      <c r="BG13" s="90">
        <f>'ESQUADRIAS'!E56</f>
        <v/>
      </c>
      <c r="BH13" s="90">
        <f>'ESQUADRIAS'!E57</f>
        <v/>
      </c>
      <c r="BI13" s="90">
        <f>'ESQUADRIAS'!E58</f>
        <v/>
      </c>
      <c r="BJ13" s="90">
        <f>'ESQUADRIAS'!E59</f>
        <v/>
      </c>
      <c r="BK13" s="90">
        <f>'ESQUADRIAS'!E60</f>
        <v/>
      </c>
      <c r="BL13" s="90">
        <f>'ESQUADRIAS'!E61</f>
        <v/>
      </c>
      <c r="BM13" s="90">
        <f>'ESQUADRIAS'!E62</f>
        <v/>
      </c>
      <c r="BN13" s="90">
        <f>'ESQUADRIAS'!E63</f>
        <v/>
      </c>
      <c r="BO13" s="90">
        <f>'ESQUADRIAS'!E64</f>
        <v/>
      </c>
      <c r="BP13" s="90">
        <f>'ESQUADRIAS'!E65</f>
        <v/>
      </c>
      <c r="BQ13" s="90">
        <f>'ESQUADRIAS'!E66</f>
        <v/>
      </c>
      <c r="BR13" s="90">
        <f>'ESQUADRIAS'!E67</f>
        <v/>
      </c>
      <c r="BS13" s="90">
        <f>'ESQUADRIAS'!E68</f>
        <v/>
      </c>
      <c r="BT13" s="90">
        <f>'ESQUADRIAS'!E69</f>
        <v/>
      </c>
      <c r="BU13" s="90">
        <f>'ESQUADRIAS'!E70</f>
        <v/>
      </c>
      <c r="BV13" s="90">
        <f>'ESQUADRIAS'!E71</f>
        <v/>
      </c>
      <c r="BW13" s="90">
        <f>'ESQUADRIAS'!E72</f>
        <v/>
      </c>
      <c r="BX13" s="90">
        <f>'ESQUADRIAS'!E73</f>
        <v/>
      </c>
      <c r="BY13" s="90">
        <f>'ESQUADRIAS'!E74</f>
        <v/>
      </c>
      <c r="BZ13" s="90">
        <f>'ESQUADRIAS'!E75</f>
        <v/>
      </c>
      <c r="CA13" s="90">
        <f>'ESQUADRIAS'!E76</f>
        <v/>
      </c>
    </row>
    <row r="14">
      <c r="A14" s="59" t="inlineStr">
        <is>
          <t>G041.002</t>
        </is>
      </c>
      <c r="B14" s="59" t="inlineStr">
        <is>
          <t>1030 1070 480</t>
        </is>
      </c>
      <c r="C14" s="59" t="inlineStr">
        <is>
          <t>ESTRUTURA EM COBERTURA METÁLICA</t>
        </is>
      </c>
      <c r="E14" s="49">
        <f>SUM(H14:CA14)</f>
        <v/>
      </c>
      <c r="F14" s="49">
        <f>IF(D14="","",D14-E14)</f>
        <v/>
      </c>
    </row>
    <row r="15">
      <c r="A15" s="59" t="inlineStr">
        <is>
          <t>G041.002</t>
        </is>
      </c>
      <c r="B15" s="59" t="inlineStr">
        <is>
          <t>1030 1070 230</t>
        </is>
      </c>
      <c r="C15" s="59" t="inlineStr">
        <is>
          <t>ESTRUTURA EM CONCRETO ARMADO</t>
        </is>
      </c>
      <c r="D15" s="60">
        <f>'ESTRUTURA'!$K$5</f>
        <v/>
      </c>
      <c r="E15" s="49">
        <f>SUM(H15:CA15)</f>
        <v/>
      </c>
      <c r="F15" s="49">
        <f>IF(D15="","",D15-E15)</f>
        <v/>
      </c>
      <c r="H15" s="90">
        <f>'ESTRUTURA'!E5</f>
        <v/>
      </c>
      <c r="I15" s="90">
        <f>'ESTRUTURA'!E6</f>
        <v/>
      </c>
      <c r="J15" s="90">
        <f>'ESTRUTURA'!E7</f>
        <v/>
      </c>
      <c r="K15" s="90">
        <f>'ESTRUTURA'!E8</f>
        <v/>
      </c>
      <c r="L15" s="90">
        <f>'ESTRUTURA'!E9</f>
        <v/>
      </c>
      <c r="M15" s="90">
        <f>'ESTRUTURA'!E10</f>
        <v/>
      </c>
      <c r="N15" s="90">
        <f>'ESTRUTURA'!E11</f>
        <v/>
      </c>
      <c r="O15" s="90">
        <f>'ESTRUTURA'!E12</f>
        <v/>
      </c>
      <c r="P15" s="90">
        <f>'ESTRUTURA'!E13</f>
        <v/>
      </c>
      <c r="Q15" s="90">
        <f>'ESTRUTURA'!E14</f>
        <v/>
      </c>
      <c r="R15" s="90">
        <f>'ESTRUTURA'!E15</f>
        <v/>
      </c>
      <c r="S15" s="90">
        <f>'ESTRUTURA'!E16</f>
        <v/>
      </c>
      <c r="T15" s="90">
        <f>'ESTRUTURA'!E17</f>
        <v/>
      </c>
      <c r="U15" s="90">
        <f>'ESTRUTURA'!E18</f>
        <v/>
      </c>
      <c r="V15" s="90">
        <f>'ESTRUTURA'!E19</f>
        <v/>
      </c>
      <c r="W15" s="90">
        <f>'ESTRUTURA'!E20</f>
        <v/>
      </c>
      <c r="X15" s="90">
        <f>'ESTRUTURA'!E21</f>
        <v/>
      </c>
      <c r="Y15" s="90">
        <f>'ESTRUTURA'!E22</f>
        <v/>
      </c>
      <c r="Z15" s="90">
        <f>'ESTRUTURA'!E23</f>
        <v/>
      </c>
      <c r="AA15" s="90">
        <f>'ESTRUTURA'!E24</f>
        <v/>
      </c>
      <c r="AB15" s="90">
        <f>'ESTRUTURA'!E25</f>
        <v/>
      </c>
      <c r="AC15" s="90">
        <f>'ESTRUTURA'!E26</f>
        <v/>
      </c>
      <c r="AD15" s="90">
        <f>'ESTRUTURA'!E27</f>
        <v/>
      </c>
      <c r="AE15" s="90">
        <f>'ESTRUTURA'!E28</f>
        <v/>
      </c>
      <c r="AF15" s="90">
        <f>'ESTRUTURA'!E29</f>
        <v/>
      </c>
      <c r="AG15" s="90">
        <f>'ESTRUTURA'!E30</f>
        <v/>
      </c>
      <c r="AH15" s="90">
        <f>'ESTRUTURA'!E31</f>
        <v/>
      </c>
      <c r="AI15" s="90">
        <f>'ESTRUTURA'!E32</f>
        <v/>
      </c>
      <c r="AJ15" s="90">
        <f>'ESTRUTURA'!E33</f>
        <v/>
      </c>
      <c r="AK15" s="90">
        <f>'ESTRUTURA'!E34</f>
        <v/>
      </c>
      <c r="AL15" s="90">
        <f>'ESTRUTURA'!E35</f>
        <v/>
      </c>
      <c r="AM15" s="90">
        <f>'ESTRUTURA'!E36</f>
        <v/>
      </c>
      <c r="AN15" s="90">
        <f>'ESTRUTURA'!E37</f>
        <v/>
      </c>
      <c r="AO15" s="90">
        <f>'ESTRUTURA'!E38</f>
        <v/>
      </c>
      <c r="AP15" s="90">
        <f>'ESTRUTURA'!E39</f>
        <v/>
      </c>
      <c r="AQ15" s="90">
        <f>'ESTRUTURA'!E40</f>
        <v/>
      </c>
      <c r="AR15" s="90">
        <f>'ESTRUTURA'!E41</f>
        <v/>
      </c>
      <c r="AS15" s="90">
        <f>'ESTRUTURA'!E42</f>
        <v/>
      </c>
      <c r="AT15" s="90">
        <f>'ESTRUTURA'!E43</f>
        <v/>
      </c>
      <c r="AU15" s="90">
        <f>'ESTRUTURA'!E44</f>
        <v/>
      </c>
      <c r="AV15" s="90">
        <f>'ESTRUTURA'!E45</f>
        <v/>
      </c>
      <c r="AW15" s="90">
        <f>'ESTRUTURA'!E46</f>
        <v/>
      </c>
      <c r="AX15" s="90">
        <f>'ESTRUTURA'!E47</f>
        <v/>
      </c>
      <c r="AY15" s="90">
        <f>'ESTRUTURA'!E48</f>
        <v/>
      </c>
      <c r="AZ15" s="90">
        <f>'ESTRUTURA'!E49</f>
        <v/>
      </c>
      <c r="BA15" s="90">
        <f>'ESTRUTURA'!E50</f>
        <v/>
      </c>
      <c r="BB15" s="90">
        <f>'ESTRUTURA'!E51</f>
        <v/>
      </c>
      <c r="BC15" s="90">
        <f>'ESTRUTURA'!E52</f>
        <v/>
      </c>
      <c r="BD15" s="90">
        <f>'ESTRUTURA'!E53</f>
        <v/>
      </c>
      <c r="BE15" s="90">
        <f>'ESTRUTURA'!E54</f>
        <v/>
      </c>
      <c r="BF15" s="90">
        <f>'ESTRUTURA'!E55</f>
        <v/>
      </c>
      <c r="BG15" s="90">
        <f>'ESTRUTURA'!E56</f>
        <v/>
      </c>
      <c r="BH15" s="90">
        <f>'ESTRUTURA'!E57</f>
        <v/>
      </c>
      <c r="BI15" s="90">
        <f>'ESTRUTURA'!E58</f>
        <v/>
      </c>
      <c r="BJ15" s="90">
        <f>'ESTRUTURA'!E59</f>
        <v/>
      </c>
      <c r="BK15" s="90">
        <f>'ESTRUTURA'!E60</f>
        <v/>
      </c>
      <c r="BL15" s="90">
        <f>'ESTRUTURA'!E61</f>
        <v/>
      </c>
      <c r="BM15" s="90">
        <f>'ESTRUTURA'!E62</f>
        <v/>
      </c>
      <c r="BN15" s="90">
        <f>'ESTRUTURA'!E63</f>
        <v/>
      </c>
      <c r="BO15" s="90">
        <f>'ESTRUTURA'!E64</f>
        <v/>
      </c>
      <c r="BP15" s="90">
        <f>'ESTRUTURA'!E65</f>
        <v/>
      </c>
      <c r="BQ15" s="90">
        <f>'ESTRUTURA'!E66</f>
        <v/>
      </c>
      <c r="BR15" s="90">
        <f>'ESTRUTURA'!E67</f>
        <v/>
      </c>
      <c r="BS15" s="90">
        <f>'ESTRUTURA'!E68</f>
        <v/>
      </c>
      <c r="BT15" s="90">
        <f>'ESTRUTURA'!E69</f>
        <v/>
      </c>
      <c r="BU15" s="90">
        <f>'ESTRUTURA'!E70</f>
        <v/>
      </c>
      <c r="BV15" s="90">
        <f>'ESTRUTURA'!E71</f>
        <v/>
      </c>
      <c r="BW15" s="90">
        <f>'ESTRUTURA'!E72</f>
        <v/>
      </c>
      <c r="BX15" s="90">
        <f>'ESTRUTURA'!E73</f>
        <v/>
      </c>
      <c r="BY15" s="90">
        <f>'ESTRUTURA'!E74</f>
        <v/>
      </c>
      <c r="BZ15" s="90">
        <f>'ESTRUTURA'!E75</f>
        <v/>
      </c>
      <c r="CA15" s="90">
        <f>'ESTRUTURA'!E76</f>
        <v/>
      </c>
    </row>
    <row r="16">
      <c r="A16" s="59" t="inlineStr">
        <is>
          <t>G041.002</t>
        </is>
      </c>
      <c r="B16" s="59" t="inlineStr">
        <is>
          <t>1030 1070 350</t>
        </is>
      </c>
      <c r="C16" s="59" t="inlineStr">
        <is>
          <t>FORRO</t>
        </is>
      </c>
      <c r="D16" s="60">
        <f>'FORRO'!$K$5</f>
        <v/>
      </c>
      <c r="E16" s="49">
        <f>SUM(H16:CA16)</f>
        <v/>
      </c>
      <c r="F16" s="49">
        <f>IF(D16="","",D16-E16)</f>
        <v/>
      </c>
      <c r="H16" s="90">
        <f>'FORRO'!E5</f>
        <v/>
      </c>
      <c r="I16" s="90">
        <f>'FORRO'!E6</f>
        <v/>
      </c>
      <c r="J16" s="90">
        <f>'FORRO'!E7</f>
        <v/>
      </c>
      <c r="K16" s="90">
        <f>'FORRO'!E8</f>
        <v/>
      </c>
      <c r="L16" s="90">
        <f>'FORRO'!E9</f>
        <v/>
      </c>
      <c r="M16" s="90">
        <f>'FORRO'!E10</f>
        <v/>
      </c>
      <c r="N16" s="90">
        <f>'FORRO'!E11</f>
        <v/>
      </c>
      <c r="O16" s="90">
        <f>'FORRO'!E12</f>
        <v/>
      </c>
      <c r="P16" s="90">
        <f>'FORRO'!E13</f>
        <v/>
      </c>
      <c r="Q16" s="90">
        <f>'FORRO'!E14</f>
        <v/>
      </c>
      <c r="R16" s="90">
        <f>'FORRO'!E15</f>
        <v/>
      </c>
      <c r="S16" s="90">
        <f>'FORRO'!E16</f>
        <v/>
      </c>
      <c r="T16" s="90">
        <f>'FORRO'!E17</f>
        <v/>
      </c>
      <c r="U16" s="90">
        <f>'FORRO'!E18</f>
        <v/>
      </c>
      <c r="V16" s="90">
        <f>'FORRO'!E19</f>
        <v/>
      </c>
      <c r="W16" s="90">
        <f>'FORRO'!E20</f>
        <v/>
      </c>
      <c r="X16" s="90">
        <f>'FORRO'!E21</f>
        <v/>
      </c>
      <c r="Y16" s="90">
        <f>'FORRO'!E22</f>
        <v/>
      </c>
      <c r="Z16" s="90">
        <f>'FORRO'!E23</f>
        <v/>
      </c>
      <c r="AA16" s="90">
        <f>'FORRO'!E24</f>
        <v/>
      </c>
      <c r="AB16" s="90">
        <f>'FORRO'!E25</f>
        <v/>
      </c>
      <c r="AC16" s="90">
        <f>'FORRO'!E26</f>
        <v/>
      </c>
      <c r="AD16" s="90">
        <f>'FORRO'!E27</f>
        <v/>
      </c>
      <c r="AE16" s="90">
        <f>'FORRO'!E28</f>
        <v/>
      </c>
      <c r="AF16" s="90">
        <f>'FORRO'!E29</f>
        <v/>
      </c>
      <c r="AG16" s="90">
        <f>'FORRO'!E30</f>
        <v/>
      </c>
      <c r="AH16" s="90">
        <f>'FORRO'!E31</f>
        <v/>
      </c>
      <c r="AI16" s="90">
        <f>'FORRO'!E32</f>
        <v/>
      </c>
      <c r="AJ16" s="90">
        <f>'FORRO'!E33</f>
        <v/>
      </c>
      <c r="AK16" s="90">
        <f>'FORRO'!E34</f>
        <v/>
      </c>
      <c r="AL16" s="90">
        <f>'FORRO'!E35</f>
        <v/>
      </c>
      <c r="AM16" s="90">
        <f>'FORRO'!E36</f>
        <v/>
      </c>
      <c r="AN16" s="90">
        <f>'FORRO'!E37</f>
        <v/>
      </c>
      <c r="AO16" s="90">
        <f>'FORRO'!E38</f>
        <v/>
      </c>
      <c r="AP16" s="90">
        <f>'FORRO'!E39</f>
        <v/>
      </c>
      <c r="AQ16" s="90">
        <f>'FORRO'!E40</f>
        <v/>
      </c>
      <c r="AR16" s="90">
        <f>'FORRO'!E41</f>
        <v/>
      </c>
      <c r="AS16" s="90">
        <f>'FORRO'!E42</f>
        <v/>
      </c>
      <c r="AT16" s="90">
        <f>'FORRO'!E43</f>
        <v/>
      </c>
      <c r="AU16" s="90">
        <f>'FORRO'!E44</f>
        <v/>
      </c>
      <c r="AV16" s="90">
        <f>'FORRO'!E45</f>
        <v/>
      </c>
      <c r="AW16" s="90">
        <f>'FORRO'!E46</f>
        <v/>
      </c>
      <c r="AX16" s="90">
        <f>'FORRO'!E47</f>
        <v/>
      </c>
      <c r="AY16" s="90">
        <f>'FORRO'!E48</f>
        <v/>
      </c>
      <c r="AZ16" s="90">
        <f>'FORRO'!E49</f>
        <v/>
      </c>
      <c r="BA16" s="90">
        <f>'FORRO'!E50</f>
        <v/>
      </c>
      <c r="BB16" s="90">
        <f>'FORRO'!E51</f>
        <v/>
      </c>
      <c r="BC16" s="90">
        <f>'FORRO'!E52</f>
        <v/>
      </c>
      <c r="BD16" s="90">
        <f>'FORRO'!E53</f>
        <v/>
      </c>
      <c r="BE16" s="90">
        <f>'FORRO'!E54</f>
        <v/>
      </c>
      <c r="BF16" s="90">
        <f>'FORRO'!E55</f>
        <v/>
      </c>
      <c r="BG16" s="90">
        <f>'FORRO'!E56</f>
        <v/>
      </c>
      <c r="BH16" s="90">
        <f>'FORRO'!E57</f>
        <v/>
      </c>
      <c r="BI16" s="90">
        <f>'FORRO'!E58</f>
        <v/>
      </c>
      <c r="BJ16" s="90">
        <f>'FORRO'!E59</f>
        <v/>
      </c>
      <c r="BK16" s="90">
        <f>'FORRO'!E60</f>
        <v/>
      </c>
      <c r="BL16" s="90">
        <f>'FORRO'!E61</f>
        <v/>
      </c>
      <c r="BM16" s="90">
        <f>'FORRO'!E62</f>
        <v/>
      </c>
      <c r="BN16" s="90">
        <f>'FORRO'!E63</f>
        <v/>
      </c>
      <c r="BO16" s="90">
        <f>'FORRO'!E64</f>
        <v/>
      </c>
      <c r="BP16" s="90">
        <f>'FORRO'!E65</f>
        <v/>
      </c>
      <c r="BQ16" s="90">
        <f>'FORRO'!E66</f>
        <v/>
      </c>
      <c r="BR16" s="90">
        <f>'FORRO'!E67</f>
        <v/>
      </c>
      <c r="BS16" s="90">
        <f>'FORRO'!E68</f>
        <v/>
      </c>
      <c r="BT16" s="90">
        <f>'FORRO'!E69</f>
        <v/>
      </c>
      <c r="BU16" s="90">
        <f>'FORRO'!E70</f>
        <v/>
      </c>
      <c r="BV16" s="90">
        <f>'FORRO'!E71</f>
        <v/>
      </c>
      <c r="BW16" s="90">
        <f>'FORRO'!E72</f>
        <v/>
      </c>
      <c r="BX16" s="90">
        <f>'FORRO'!E73</f>
        <v/>
      </c>
      <c r="BY16" s="90">
        <f>'FORRO'!E74</f>
        <v/>
      </c>
      <c r="BZ16" s="90">
        <f>'FORRO'!E75</f>
        <v/>
      </c>
      <c r="CA16" s="90">
        <f>'FORRO'!E76</f>
        <v/>
      </c>
    </row>
    <row r="17">
      <c r="A17" s="59" t="inlineStr">
        <is>
          <t>G041.002</t>
        </is>
      </c>
      <c r="B17" s="59" t="inlineStr">
        <is>
          <t>1030 1070 200</t>
        </is>
      </c>
      <c r="C17" s="59" t="inlineStr">
        <is>
          <t>FUNDAÇÃO PROFUNDA</t>
        </is>
      </c>
      <c r="D17" s="60">
        <f>'FUND. PROF'!$K$5</f>
        <v/>
      </c>
      <c r="E17" s="49">
        <f>SUM(H17:CA17)</f>
        <v/>
      </c>
      <c r="F17" s="49">
        <f>IF(D17="","",D17-E17)</f>
        <v/>
      </c>
      <c r="H17" s="90">
        <f>'FUND. PROF'!E5</f>
        <v/>
      </c>
      <c r="I17" s="90">
        <f>'FUND. PROF'!E6</f>
        <v/>
      </c>
      <c r="J17" s="90">
        <f>'FUND. PROF'!E7</f>
        <v/>
      </c>
      <c r="K17" s="90">
        <f>'FUND. PROF'!E8</f>
        <v/>
      </c>
      <c r="L17" s="90">
        <f>'FUND. PROF'!E9</f>
        <v/>
      </c>
      <c r="M17" s="90">
        <f>'FUND. PROF'!E10</f>
        <v/>
      </c>
      <c r="N17" s="90">
        <f>'FUND. PROF'!E11</f>
        <v/>
      </c>
      <c r="O17" s="90">
        <f>'FUND. PROF'!E12</f>
        <v/>
      </c>
      <c r="P17" s="90">
        <f>'FUND. PROF'!E13</f>
        <v/>
      </c>
      <c r="Q17" s="90">
        <f>'FUND. PROF'!E14</f>
        <v/>
      </c>
      <c r="R17" s="90">
        <f>'FUND. PROF'!E15</f>
        <v/>
      </c>
      <c r="S17" s="90">
        <f>'FUND. PROF'!E16</f>
        <v/>
      </c>
      <c r="T17" s="90">
        <f>'FUND. PROF'!E17</f>
        <v/>
      </c>
      <c r="U17" s="90">
        <f>'FUND. PROF'!E18</f>
        <v/>
      </c>
      <c r="V17" s="90">
        <f>'FUND. PROF'!E19</f>
        <v/>
      </c>
      <c r="W17" s="90">
        <f>'FUND. PROF'!E20</f>
        <v/>
      </c>
      <c r="X17" s="90">
        <f>'FUND. PROF'!E21</f>
        <v/>
      </c>
      <c r="Y17" s="90">
        <f>'FUND. PROF'!E22</f>
        <v/>
      </c>
      <c r="Z17" s="90">
        <f>'FUND. PROF'!E23</f>
        <v/>
      </c>
      <c r="AA17" s="90">
        <f>'FUND. PROF'!E24</f>
        <v/>
      </c>
      <c r="AB17" s="90">
        <f>'FUND. PROF'!E25</f>
        <v/>
      </c>
      <c r="AC17" s="90">
        <f>'FUND. PROF'!E26</f>
        <v/>
      </c>
      <c r="AD17" s="90">
        <f>'FUND. PROF'!E27</f>
        <v/>
      </c>
      <c r="AE17" s="90">
        <f>'FUND. PROF'!E28</f>
        <v/>
      </c>
      <c r="AF17" s="90">
        <f>'FUND. PROF'!E29</f>
        <v/>
      </c>
      <c r="AG17" s="90">
        <f>'FUND. PROF'!E30</f>
        <v/>
      </c>
      <c r="AH17" s="90">
        <f>'FUND. PROF'!E31</f>
        <v/>
      </c>
      <c r="AI17" s="90">
        <f>'FUND. PROF'!E32</f>
        <v/>
      </c>
      <c r="AJ17" s="90">
        <f>'FUND. PROF'!E33</f>
        <v/>
      </c>
      <c r="AK17" s="90">
        <f>'FUND. PROF'!E34</f>
        <v/>
      </c>
      <c r="AL17" s="90">
        <f>'FUND. PROF'!E35</f>
        <v/>
      </c>
      <c r="AM17" s="90">
        <f>'FUND. PROF'!E36</f>
        <v/>
      </c>
      <c r="AN17" s="90">
        <f>'FUND. PROF'!E37</f>
        <v/>
      </c>
      <c r="AO17" s="90">
        <f>'FUND. PROF'!E38</f>
        <v/>
      </c>
      <c r="AP17" s="90">
        <f>'FUND. PROF'!E39</f>
        <v/>
      </c>
      <c r="AQ17" s="90">
        <f>'FUND. PROF'!E40</f>
        <v/>
      </c>
      <c r="AR17" s="90">
        <f>'FUND. PROF'!E41</f>
        <v/>
      </c>
      <c r="AS17" s="90">
        <f>'FUND. PROF'!E42</f>
        <v/>
      </c>
      <c r="AT17" s="90">
        <f>'FUND. PROF'!E43</f>
        <v/>
      </c>
      <c r="AU17" s="90">
        <f>'FUND. PROF'!E44</f>
        <v/>
      </c>
      <c r="AV17" s="90">
        <f>'FUND. PROF'!E45</f>
        <v/>
      </c>
      <c r="AW17" s="90">
        <f>'FUND. PROF'!E46</f>
        <v/>
      </c>
      <c r="AX17" s="90">
        <f>'FUND. PROF'!E47</f>
        <v/>
      </c>
      <c r="AY17" s="90">
        <f>'FUND. PROF'!E48</f>
        <v/>
      </c>
      <c r="AZ17" s="90">
        <f>'FUND. PROF'!E49</f>
        <v/>
      </c>
      <c r="BA17" s="90">
        <f>'FUND. PROF'!E50</f>
        <v/>
      </c>
      <c r="BB17" s="90">
        <f>'FUND. PROF'!E51</f>
        <v/>
      </c>
      <c r="BC17" s="90">
        <f>'FUND. PROF'!E52</f>
        <v/>
      </c>
      <c r="BD17" s="90">
        <f>'FUND. PROF'!E53</f>
        <v/>
      </c>
      <c r="BE17" s="90">
        <f>'FUND. PROF'!E54</f>
        <v/>
      </c>
      <c r="BF17" s="90">
        <f>'FUND. PROF'!E55</f>
        <v/>
      </c>
      <c r="BG17" s="90">
        <f>'FUND. PROF'!E56</f>
        <v/>
      </c>
      <c r="BH17" s="90">
        <f>'FUND. PROF'!E57</f>
        <v/>
      </c>
      <c r="BI17" s="90">
        <f>'FUND. PROF'!E58</f>
        <v/>
      </c>
      <c r="BJ17" s="90">
        <f>'FUND. PROF'!E59</f>
        <v/>
      </c>
      <c r="BK17" s="90">
        <f>'FUND. PROF'!E60</f>
        <v/>
      </c>
      <c r="BL17" s="90">
        <f>'FUND. PROF'!E61</f>
        <v/>
      </c>
      <c r="BM17" s="90">
        <f>'FUND. PROF'!E62</f>
        <v/>
      </c>
      <c r="BN17" s="90">
        <f>'FUND. PROF'!E63</f>
        <v/>
      </c>
      <c r="BO17" s="90">
        <f>'FUND. PROF'!E64</f>
        <v/>
      </c>
      <c r="BP17" s="90">
        <f>'FUND. PROF'!E65</f>
        <v/>
      </c>
      <c r="BQ17" s="90">
        <f>'FUND. PROF'!E66</f>
        <v/>
      </c>
      <c r="BR17" s="90">
        <f>'FUND. PROF'!E67</f>
        <v/>
      </c>
      <c r="BS17" s="90">
        <f>'FUND. PROF'!E68</f>
        <v/>
      </c>
      <c r="BT17" s="90">
        <f>'FUND. PROF'!E69</f>
        <v/>
      </c>
      <c r="BU17" s="90">
        <f>'FUND. PROF'!E70</f>
        <v/>
      </c>
      <c r="BV17" s="90">
        <f>'FUND. PROF'!E71</f>
        <v/>
      </c>
      <c r="BW17" s="90">
        <f>'FUND. PROF'!E72</f>
        <v/>
      </c>
      <c r="BX17" s="90">
        <f>'FUND. PROF'!E73</f>
        <v/>
      </c>
      <c r="BY17" s="90">
        <f>'FUND. PROF'!E74</f>
        <v/>
      </c>
      <c r="BZ17" s="90">
        <f>'FUND. PROF'!E75</f>
        <v/>
      </c>
      <c r="CA17" s="90">
        <f>'FUND. PROF'!E76</f>
        <v/>
      </c>
    </row>
    <row r="18">
      <c r="A18" s="59" t="inlineStr">
        <is>
          <t>G041.002</t>
        </is>
      </c>
      <c r="B18" s="59" t="inlineStr">
        <is>
          <t>1030 1070 210</t>
        </is>
      </c>
      <c r="C18" s="59" t="inlineStr">
        <is>
          <t>FUNDAÇÃO SUPERFICIAL</t>
        </is>
      </c>
      <c r="D18" s="60">
        <f>'FUND. SUP'!$K$5</f>
        <v/>
      </c>
      <c r="E18" s="49">
        <f>SUM(H18:CA18)</f>
        <v/>
      </c>
      <c r="F18" s="49">
        <f>IF(D18="","",D18-E18)</f>
        <v/>
      </c>
      <c r="H18" s="90">
        <f>'FUND. SUP'!E5</f>
        <v/>
      </c>
      <c r="I18" s="90">
        <f>'FUND. SUP'!E6</f>
        <v/>
      </c>
      <c r="J18" s="90">
        <f>'FUND. SUP'!E7</f>
        <v/>
      </c>
      <c r="K18" s="90">
        <f>'FUND. SUP'!E8</f>
        <v/>
      </c>
      <c r="L18" s="90">
        <f>'FUND. SUP'!E9</f>
        <v/>
      </c>
      <c r="M18" s="90">
        <f>'FUND. SUP'!E10</f>
        <v/>
      </c>
      <c r="N18" s="90">
        <f>'FUND. SUP'!E11</f>
        <v/>
      </c>
      <c r="O18" s="90">
        <f>'FUND. SUP'!E12</f>
        <v/>
      </c>
      <c r="P18" s="90">
        <f>'FUND. SUP'!E13</f>
        <v/>
      </c>
      <c r="Q18" s="90">
        <f>'FUND. SUP'!E14</f>
        <v/>
      </c>
      <c r="R18" s="90">
        <f>'FUND. SUP'!E15</f>
        <v/>
      </c>
      <c r="S18" s="90">
        <f>'FUND. SUP'!E16</f>
        <v/>
      </c>
      <c r="T18" s="90">
        <f>'FUND. SUP'!E17</f>
        <v/>
      </c>
      <c r="U18" s="90">
        <f>'FUND. SUP'!E18</f>
        <v/>
      </c>
      <c r="V18" s="90">
        <f>'FUND. SUP'!E19</f>
        <v/>
      </c>
      <c r="W18" s="90">
        <f>'FUND. SUP'!E20</f>
        <v/>
      </c>
      <c r="X18" s="90">
        <f>'FUND. SUP'!E21</f>
        <v/>
      </c>
      <c r="Y18" s="90">
        <f>'FUND. SUP'!E22</f>
        <v/>
      </c>
      <c r="Z18" s="90">
        <f>'FUND. SUP'!E23</f>
        <v/>
      </c>
      <c r="AA18" s="90">
        <f>'FUND. SUP'!E24</f>
        <v/>
      </c>
      <c r="AB18" s="90">
        <f>'FUND. SUP'!E25</f>
        <v/>
      </c>
      <c r="AC18" s="90">
        <f>'FUND. SUP'!E26</f>
        <v/>
      </c>
      <c r="AD18" s="90">
        <f>'FUND. SUP'!E27</f>
        <v/>
      </c>
      <c r="AE18" s="90">
        <f>'FUND. SUP'!E28</f>
        <v/>
      </c>
      <c r="AF18" s="90">
        <f>'FUND. SUP'!E29</f>
        <v/>
      </c>
      <c r="AG18" s="90">
        <f>'FUND. SUP'!E30</f>
        <v/>
      </c>
      <c r="AH18" s="90">
        <f>'FUND. SUP'!E31</f>
        <v/>
      </c>
      <c r="AI18" s="90">
        <f>'FUND. SUP'!E32</f>
        <v/>
      </c>
      <c r="AJ18" s="90">
        <f>'FUND. SUP'!E33</f>
        <v/>
      </c>
      <c r="AK18" s="90">
        <f>'FUND. SUP'!E34</f>
        <v/>
      </c>
      <c r="AL18" s="90">
        <f>'FUND. SUP'!E35</f>
        <v/>
      </c>
      <c r="AM18" s="90">
        <f>'FUND. SUP'!E36</f>
        <v/>
      </c>
      <c r="AN18" s="90">
        <f>'FUND. SUP'!E37</f>
        <v/>
      </c>
      <c r="AO18" s="90">
        <f>'FUND. SUP'!E38</f>
        <v/>
      </c>
      <c r="AP18" s="90">
        <f>'FUND. SUP'!E39</f>
        <v/>
      </c>
      <c r="AQ18" s="90">
        <f>'FUND. SUP'!E40</f>
        <v/>
      </c>
      <c r="AR18" s="90">
        <f>'FUND. SUP'!E41</f>
        <v/>
      </c>
      <c r="AS18" s="90">
        <f>'FUND. SUP'!E42</f>
        <v/>
      </c>
      <c r="AT18" s="90">
        <f>'FUND. SUP'!E43</f>
        <v/>
      </c>
      <c r="AU18" s="90">
        <f>'FUND. SUP'!E44</f>
        <v/>
      </c>
      <c r="AV18" s="90">
        <f>'FUND. SUP'!E45</f>
        <v/>
      </c>
      <c r="AW18" s="90">
        <f>'FUND. SUP'!E46</f>
        <v/>
      </c>
      <c r="AX18" s="90">
        <f>'FUND. SUP'!E47</f>
        <v/>
      </c>
      <c r="AY18" s="90">
        <f>'FUND. SUP'!E48</f>
        <v/>
      </c>
      <c r="AZ18" s="90">
        <f>'FUND. SUP'!E49</f>
        <v/>
      </c>
      <c r="BA18" s="90">
        <f>'FUND. SUP'!E50</f>
        <v/>
      </c>
      <c r="BB18" s="90">
        <f>'FUND. SUP'!E51</f>
        <v/>
      </c>
      <c r="BC18" s="90">
        <f>'FUND. SUP'!E52</f>
        <v/>
      </c>
      <c r="BD18" s="90">
        <f>'FUND. SUP'!E53</f>
        <v/>
      </c>
      <c r="BE18" s="90">
        <f>'FUND. SUP'!E54</f>
        <v/>
      </c>
      <c r="BF18" s="90">
        <f>'FUND. SUP'!E55</f>
        <v/>
      </c>
      <c r="BG18" s="90">
        <f>'FUND. SUP'!E56</f>
        <v/>
      </c>
      <c r="BH18" s="90">
        <f>'FUND. SUP'!E57</f>
        <v/>
      </c>
      <c r="BI18" s="90">
        <f>'FUND. SUP'!E58</f>
        <v/>
      </c>
      <c r="BJ18" s="90">
        <f>'FUND. SUP'!E59</f>
        <v/>
      </c>
      <c r="BK18" s="90">
        <f>'FUND. SUP'!E60</f>
        <v/>
      </c>
      <c r="BL18" s="90">
        <f>'FUND. SUP'!E61</f>
        <v/>
      </c>
      <c r="BM18" s="90">
        <f>'FUND. SUP'!E62</f>
        <v/>
      </c>
      <c r="BN18" s="90">
        <f>'FUND. SUP'!E63</f>
        <v/>
      </c>
      <c r="BO18" s="90">
        <f>'FUND. SUP'!E64</f>
        <v/>
      </c>
      <c r="BP18" s="90">
        <f>'FUND. SUP'!E65</f>
        <v/>
      </c>
      <c r="BQ18" s="90">
        <f>'FUND. SUP'!E66</f>
        <v/>
      </c>
      <c r="BR18" s="90">
        <f>'FUND. SUP'!E67</f>
        <v/>
      </c>
      <c r="BS18" s="90">
        <f>'FUND. SUP'!E68</f>
        <v/>
      </c>
      <c r="BT18" s="90">
        <f>'FUND. SUP'!E69</f>
        <v/>
      </c>
      <c r="BU18" s="90">
        <f>'FUND. SUP'!E70</f>
        <v/>
      </c>
      <c r="BV18" s="90">
        <f>'FUND. SUP'!E71</f>
        <v/>
      </c>
      <c r="BW18" s="90">
        <f>'FUND. SUP'!E72</f>
        <v/>
      </c>
      <c r="BX18" s="90">
        <f>'FUND. SUP'!E73</f>
        <v/>
      </c>
      <c r="BY18" s="90">
        <f>'FUND. SUP'!E74</f>
        <v/>
      </c>
      <c r="BZ18" s="90">
        <f>'FUND. SUP'!E75</f>
        <v/>
      </c>
      <c r="CA18" s="90">
        <f>'FUND. SUP'!E76</f>
        <v/>
      </c>
    </row>
    <row r="19">
      <c r="A19" s="59" t="inlineStr">
        <is>
          <t>G041.002</t>
        </is>
      </c>
      <c r="B19" s="59" t="inlineStr">
        <is>
          <t>1030 1070 290</t>
        </is>
      </c>
      <c r="C19" s="59" t="inlineStr">
        <is>
          <t>IMPERMEABILIZAÇÃO</t>
        </is>
      </c>
      <c r="D19" s="60">
        <f>'IMPERMEABILIZAÇÃO'!$K$5</f>
        <v/>
      </c>
      <c r="E19" s="49">
        <f>SUM(H19:CA19)</f>
        <v/>
      </c>
      <c r="F19" s="49">
        <f>IF(D19="","",D19-E19)</f>
        <v/>
      </c>
      <c r="H19" s="90">
        <f>'IMPERMEABILIZAÇÃO'!E5</f>
        <v/>
      </c>
      <c r="I19" s="90">
        <f>'IMPERMEABILIZAÇÃO'!E6</f>
        <v/>
      </c>
      <c r="J19" s="90">
        <f>'IMPERMEABILIZAÇÃO'!E7</f>
        <v/>
      </c>
      <c r="K19" s="90">
        <f>'IMPERMEABILIZAÇÃO'!E8</f>
        <v/>
      </c>
      <c r="L19" s="90">
        <f>'IMPERMEABILIZAÇÃO'!E9</f>
        <v/>
      </c>
      <c r="M19" s="90">
        <f>'IMPERMEABILIZAÇÃO'!E10</f>
        <v/>
      </c>
      <c r="N19" s="90">
        <f>'IMPERMEABILIZAÇÃO'!E11</f>
        <v/>
      </c>
      <c r="O19" s="90">
        <f>'IMPERMEABILIZAÇÃO'!E12</f>
        <v/>
      </c>
      <c r="P19" s="90">
        <f>'IMPERMEABILIZAÇÃO'!E13</f>
        <v/>
      </c>
      <c r="Q19" s="90">
        <f>'IMPERMEABILIZAÇÃO'!E14</f>
        <v/>
      </c>
      <c r="R19" s="90">
        <f>'IMPERMEABILIZAÇÃO'!E15</f>
        <v/>
      </c>
      <c r="S19" s="90">
        <f>'IMPERMEABILIZAÇÃO'!E16</f>
        <v/>
      </c>
      <c r="T19" s="90">
        <f>'IMPERMEABILIZAÇÃO'!E17</f>
        <v/>
      </c>
      <c r="U19" s="90">
        <f>'IMPERMEABILIZAÇÃO'!E18</f>
        <v/>
      </c>
      <c r="V19" s="90">
        <f>'IMPERMEABILIZAÇÃO'!E19</f>
        <v/>
      </c>
      <c r="W19" s="90">
        <f>'IMPERMEABILIZAÇÃO'!E20</f>
        <v/>
      </c>
      <c r="X19" s="90">
        <f>'IMPERMEABILIZAÇÃO'!E21</f>
        <v/>
      </c>
      <c r="Y19" s="90">
        <f>'IMPERMEABILIZAÇÃO'!E22</f>
        <v/>
      </c>
      <c r="Z19" s="90">
        <f>'IMPERMEABILIZAÇÃO'!E23</f>
        <v/>
      </c>
      <c r="AA19" s="90">
        <f>'IMPERMEABILIZAÇÃO'!E24</f>
        <v/>
      </c>
      <c r="AB19" s="90">
        <f>'IMPERMEABILIZAÇÃO'!E25</f>
        <v/>
      </c>
      <c r="AC19" s="90">
        <f>'IMPERMEABILIZAÇÃO'!E26</f>
        <v/>
      </c>
      <c r="AD19" s="90">
        <f>'IMPERMEABILIZAÇÃO'!E27</f>
        <v/>
      </c>
      <c r="AE19" s="90">
        <f>'IMPERMEABILIZAÇÃO'!E28</f>
        <v/>
      </c>
      <c r="AF19" s="90">
        <f>'IMPERMEABILIZAÇÃO'!E29</f>
        <v/>
      </c>
      <c r="AG19" s="90">
        <f>'IMPERMEABILIZAÇÃO'!E30</f>
        <v/>
      </c>
      <c r="AH19" s="90">
        <f>'IMPERMEABILIZAÇÃO'!E31</f>
        <v/>
      </c>
      <c r="AI19" s="90">
        <f>'IMPERMEABILIZAÇÃO'!E32</f>
        <v/>
      </c>
      <c r="AJ19" s="90">
        <f>'IMPERMEABILIZAÇÃO'!E33</f>
        <v/>
      </c>
      <c r="AK19" s="90">
        <f>'IMPERMEABILIZAÇÃO'!E34</f>
        <v/>
      </c>
      <c r="AL19" s="90">
        <f>'IMPERMEABILIZAÇÃO'!E35</f>
        <v/>
      </c>
      <c r="AM19" s="90">
        <f>'IMPERMEABILIZAÇÃO'!E36</f>
        <v/>
      </c>
      <c r="AN19" s="90">
        <f>'IMPERMEABILIZAÇÃO'!E37</f>
        <v/>
      </c>
      <c r="AO19" s="90">
        <f>'IMPERMEABILIZAÇÃO'!E38</f>
        <v/>
      </c>
      <c r="AP19" s="90">
        <f>'IMPERMEABILIZAÇÃO'!E39</f>
        <v/>
      </c>
      <c r="AQ19" s="90">
        <f>'IMPERMEABILIZAÇÃO'!E40</f>
        <v/>
      </c>
      <c r="AR19" s="90">
        <f>'IMPERMEABILIZAÇÃO'!E41</f>
        <v/>
      </c>
      <c r="AS19" s="90">
        <f>'IMPERMEABILIZAÇÃO'!E42</f>
        <v/>
      </c>
      <c r="AT19" s="90">
        <f>'IMPERMEABILIZAÇÃO'!E43</f>
        <v/>
      </c>
      <c r="AU19" s="90">
        <f>'IMPERMEABILIZAÇÃO'!E44</f>
        <v/>
      </c>
      <c r="AV19" s="90">
        <f>'IMPERMEABILIZAÇÃO'!E45</f>
        <v/>
      </c>
      <c r="AW19" s="90">
        <f>'IMPERMEABILIZAÇÃO'!E46</f>
        <v/>
      </c>
      <c r="AX19" s="90">
        <f>'IMPERMEABILIZAÇÃO'!E47</f>
        <v/>
      </c>
      <c r="AY19" s="90">
        <f>'IMPERMEABILIZAÇÃO'!E48</f>
        <v/>
      </c>
      <c r="AZ19" s="90">
        <f>'IMPERMEABILIZAÇÃO'!E49</f>
        <v/>
      </c>
      <c r="BA19" s="90">
        <f>'IMPERMEABILIZAÇÃO'!E50</f>
        <v/>
      </c>
      <c r="BB19" s="90">
        <f>'IMPERMEABILIZAÇÃO'!E51</f>
        <v/>
      </c>
      <c r="BC19" s="90">
        <f>'IMPERMEABILIZAÇÃO'!E52</f>
        <v/>
      </c>
      <c r="BD19" s="90">
        <f>'IMPERMEABILIZAÇÃO'!E53</f>
        <v/>
      </c>
      <c r="BE19" s="90">
        <f>'IMPERMEABILIZAÇÃO'!E54</f>
        <v/>
      </c>
      <c r="BF19" s="90">
        <f>'IMPERMEABILIZAÇÃO'!E55</f>
        <v/>
      </c>
      <c r="BG19" s="90">
        <f>'IMPERMEABILIZAÇÃO'!E56</f>
        <v/>
      </c>
      <c r="BH19" s="90">
        <f>'IMPERMEABILIZAÇÃO'!E57</f>
        <v/>
      </c>
      <c r="BI19" s="90">
        <f>'IMPERMEABILIZAÇÃO'!E58</f>
        <v/>
      </c>
      <c r="BJ19" s="90">
        <f>'IMPERMEABILIZAÇÃO'!E59</f>
        <v/>
      </c>
      <c r="BK19" s="90">
        <f>'IMPERMEABILIZAÇÃO'!E60</f>
        <v/>
      </c>
      <c r="BL19" s="90">
        <f>'IMPERMEABILIZAÇÃO'!E61</f>
        <v/>
      </c>
      <c r="BM19" s="90">
        <f>'IMPERMEABILIZAÇÃO'!E62</f>
        <v/>
      </c>
      <c r="BN19" s="90">
        <f>'IMPERMEABILIZAÇÃO'!E63</f>
        <v/>
      </c>
      <c r="BO19" s="90">
        <f>'IMPERMEABILIZAÇÃO'!E64</f>
        <v/>
      </c>
      <c r="BP19" s="90">
        <f>'IMPERMEABILIZAÇÃO'!E65</f>
        <v/>
      </c>
      <c r="BQ19" s="90">
        <f>'IMPERMEABILIZAÇÃO'!E66</f>
        <v/>
      </c>
      <c r="BR19" s="90">
        <f>'IMPERMEABILIZAÇÃO'!E67</f>
        <v/>
      </c>
      <c r="BS19" s="90">
        <f>'IMPERMEABILIZAÇÃO'!E68</f>
        <v/>
      </c>
      <c r="BT19" s="90">
        <f>'IMPERMEABILIZAÇÃO'!E69</f>
        <v/>
      </c>
      <c r="BU19" s="90">
        <f>'IMPERMEABILIZAÇÃO'!E70</f>
        <v/>
      </c>
      <c r="BV19" s="90">
        <f>'IMPERMEABILIZAÇÃO'!E71</f>
        <v/>
      </c>
      <c r="BW19" s="90">
        <f>'IMPERMEABILIZAÇÃO'!E72</f>
        <v/>
      </c>
      <c r="BX19" s="90">
        <f>'IMPERMEABILIZAÇÃO'!E73</f>
        <v/>
      </c>
      <c r="BY19" s="90">
        <f>'IMPERMEABILIZAÇÃO'!E74</f>
        <v/>
      </c>
      <c r="BZ19" s="90">
        <f>'IMPERMEABILIZAÇÃO'!E75</f>
        <v/>
      </c>
      <c r="CA19" s="90">
        <f>'IMPERMEABILIZAÇÃO'!E76</f>
        <v/>
      </c>
    </row>
    <row r="20">
      <c r="A20" s="59" t="inlineStr">
        <is>
          <t>G041.002</t>
        </is>
      </c>
      <c r="B20" s="59" t="inlineStr">
        <is>
          <t>1030 1070 260</t>
        </is>
      </c>
      <c r="C20" s="59" t="inlineStr">
        <is>
          <t>INSTALAÇÕES COMBATE INCÊNDIO</t>
        </is>
      </c>
      <c r="D20" s="60">
        <f>'INST. INC'!$K$5</f>
        <v/>
      </c>
      <c r="E20" s="49">
        <f>SUM(H20:CA20)</f>
        <v/>
      </c>
      <c r="F20" s="49">
        <f>IF(D20="","",D20-E20)</f>
        <v/>
      </c>
      <c r="H20" s="90">
        <f>'INST. INC'!E5</f>
        <v/>
      </c>
      <c r="I20" s="90">
        <f>'INST. INC'!E6</f>
        <v/>
      </c>
      <c r="J20" s="90">
        <f>'INST. INC'!E7</f>
        <v/>
      </c>
      <c r="K20" s="90">
        <f>'INST. INC'!E8</f>
        <v/>
      </c>
      <c r="L20" s="90">
        <f>'INST. INC'!E9</f>
        <v/>
      </c>
      <c r="M20" s="90">
        <f>'INST. INC'!E10</f>
        <v/>
      </c>
      <c r="N20" s="90">
        <f>'INST. INC'!E11</f>
        <v/>
      </c>
      <c r="O20" s="90">
        <f>'INST. INC'!E12</f>
        <v/>
      </c>
      <c r="P20" s="90">
        <f>'INST. INC'!E13</f>
        <v/>
      </c>
      <c r="Q20" s="90">
        <f>'INST. INC'!E14</f>
        <v/>
      </c>
      <c r="R20" s="90">
        <f>'INST. INC'!E15</f>
        <v/>
      </c>
      <c r="S20" s="90">
        <f>'INST. INC'!E16</f>
        <v/>
      </c>
      <c r="T20" s="90">
        <f>'INST. INC'!E17</f>
        <v/>
      </c>
      <c r="U20" s="90">
        <f>'INST. INC'!E18</f>
        <v/>
      </c>
      <c r="V20" s="90">
        <f>'INST. INC'!E19</f>
        <v/>
      </c>
      <c r="W20" s="90">
        <f>'INST. INC'!E20</f>
        <v/>
      </c>
      <c r="X20" s="90">
        <f>'INST. INC'!E21</f>
        <v/>
      </c>
      <c r="Y20" s="90">
        <f>'INST. INC'!E22</f>
        <v/>
      </c>
      <c r="Z20" s="90">
        <f>'INST. INC'!E23</f>
        <v/>
      </c>
      <c r="AA20" s="90">
        <f>'INST. INC'!E24</f>
        <v/>
      </c>
      <c r="AB20" s="90">
        <f>'INST. INC'!E25</f>
        <v/>
      </c>
      <c r="AC20" s="90">
        <f>'INST. INC'!E26</f>
        <v/>
      </c>
      <c r="AD20" s="90">
        <f>'INST. INC'!E27</f>
        <v/>
      </c>
      <c r="AE20" s="90">
        <f>'INST. INC'!E28</f>
        <v/>
      </c>
      <c r="AF20" s="90">
        <f>'INST. INC'!E29</f>
        <v/>
      </c>
      <c r="AG20" s="90">
        <f>'INST. INC'!E30</f>
        <v/>
      </c>
      <c r="AH20" s="90">
        <f>'INST. INC'!E31</f>
        <v/>
      </c>
      <c r="AI20" s="90">
        <f>'INST. INC'!E32</f>
        <v/>
      </c>
      <c r="AJ20" s="90">
        <f>'INST. INC'!E33</f>
        <v/>
      </c>
      <c r="AK20" s="90">
        <f>'INST. INC'!E34</f>
        <v/>
      </c>
      <c r="AL20" s="90">
        <f>'INST. INC'!E35</f>
        <v/>
      </c>
      <c r="AM20" s="90">
        <f>'INST. INC'!E36</f>
        <v/>
      </c>
      <c r="AN20" s="90">
        <f>'INST. INC'!E37</f>
        <v/>
      </c>
      <c r="AO20" s="90">
        <f>'INST. INC'!E38</f>
        <v/>
      </c>
      <c r="AP20" s="90">
        <f>'INST. INC'!E39</f>
        <v/>
      </c>
      <c r="AQ20" s="90">
        <f>'INST. INC'!E40</f>
        <v/>
      </c>
      <c r="AR20" s="90">
        <f>'INST. INC'!E41</f>
        <v/>
      </c>
      <c r="AS20" s="90">
        <f>'INST. INC'!E42</f>
        <v/>
      </c>
      <c r="AT20" s="90">
        <f>'INST. INC'!E43</f>
        <v/>
      </c>
      <c r="AU20" s="90">
        <f>'INST. INC'!E44</f>
        <v/>
      </c>
      <c r="AV20" s="90">
        <f>'INST. INC'!E45</f>
        <v/>
      </c>
      <c r="AW20" s="90">
        <f>'INST. INC'!E46</f>
        <v/>
      </c>
      <c r="AX20" s="90">
        <f>'INST. INC'!E47</f>
        <v/>
      </c>
      <c r="AY20" s="90">
        <f>'INST. INC'!E48</f>
        <v/>
      </c>
      <c r="AZ20" s="90">
        <f>'INST. INC'!E49</f>
        <v/>
      </c>
      <c r="BA20" s="90">
        <f>'INST. INC'!E50</f>
        <v/>
      </c>
      <c r="BB20" s="90">
        <f>'INST. INC'!E51</f>
        <v/>
      </c>
      <c r="BC20" s="90">
        <f>'INST. INC'!E52</f>
        <v/>
      </c>
      <c r="BD20" s="90">
        <f>'INST. INC'!E53</f>
        <v/>
      </c>
      <c r="BE20" s="90">
        <f>'INST. INC'!E54</f>
        <v/>
      </c>
      <c r="BF20" s="90">
        <f>'INST. INC'!E55</f>
        <v/>
      </c>
      <c r="BG20" s="90">
        <f>'INST. INC'!E56</f>
        <v/>
      </c>
      <c r="BH20" s="90">
        <f>'INST. INC'!E57</f>
        <v/>
      </c>
      <c r="BI20" s="90">
        <f>'INST. INC'!E58</f>
        <v/>
      </c>
      <c r="BJ20" s="90">
        <f>'INST. INC'!E59</f>
        <v/>
      </c>
      <c r="BK20" s="90">
        <f>'INST. INC'!E60</f>
        <v/>
      </c>
      <c r="BL20" s="90">
        <f>'INST. INC'!E61</f>
        <v/>
      </c>
      <c r="BM20" s="90">
        <f>'INST. INC'!E62</f>
        <v/>
      </c>
      <c r="BN20" s="90">
        <f>'INST. INC'!E63</f>
        <v/>
      </c>
      <c r="BO20" s="90">
        <f>'INST. INC'!E64</f>
        <v/>
      </c>
      <c r="BP20" s="90">
        <f>'INST. INC'!E65</f>
        <v/>
      </c>
      <c r="BQ20" s="90">
        <f>'INST. INC'!E66</f>
        <v/>
      </c>
      <c r="BR20" s="90">
        <f>'INST. INC'!E67</f>
        <v/>
      </c>
      <c r="BS20" s="90">
        <f>'INST. INC'!E68</f>
        <v/>
      </c>
      <c r="BT20" s="90">
        <f>'INST. INC'!E69</f>
        <v/>
      </c>
      <c r="BU20" s="90">
        <f>'INST. INC'!E70</f>
        <v/>
      </c>
      <c r="BV20" s="90">
        <f>'INST. INC'!E71</f>
        <v/>
      </c>
      <c r="BW20" s="90">
        <f>'INST. INC'!E72</f>
        <v/>
      </c>
      <c r="BX20" s="90">
        <f>'INST. INC'!E73</f>
        <v/>
      </c>
      <c r="BY20" s="90">
        <f>'INST. INC'!E74</f>
        <v/>
      </c>
      <c r="BZ20" s="90">
        <f>'INST. INC'!E75</f>
        <v/>
      </c>
      <c r="CA20" s="90">
        <f>'INST. INC'!E76</f>
        <v/>
      </c>
    </row>
    <row r="21">
      <c r="A21" s="59" t="inlineStr">
        <is>
          <t>G041.002</t>
        </is>
      </c>
      <c r="B21" s="59" t="inlineStr">
        <is>
          <t>1030 1070 240</t>
        </is>
      </c>
      <c r="C21" s="59" t="inlineStr">
        <is>
          <t>INSTALAÇÕES ELÉTRICAS</t>
        </is>
      </c>
      <c r="D21" s="60">
        <f>'INST. ELÉTRICA'!$K$5</f>
        <v/>
      </c>
      <c r="E21" s="49">
        <f>SUM(H21:CA21)</f>
        <v/>
      </c>
      <c r="F21" s="49">
        <f>IF(D21="","",D21-E21)</f>
        <v/>
      </c>
      <c r="H21" s="90">
        <f>'INST. ELÉTRICA'!E5</f>
        <v/>
      </c>
      <c r="I21" s="90">
        <f>'INST. ELÉTRICA'!E6</f>
        <v/>
      </c>
      <c r="J21" s="90">
        <f>'INST. ELÉTRICA'!E7</f>
        <v/>
      </c>
      <c r="K21" s="90">
        <f>'INST. ELÉTRICA'!E8</f>
        <v/>
      </c>
      <c r="L21" s="90">
        <f>'INST. ELÉTRICA'!E9</f>
        <v/>
      </c>
      <c r="M21" s="90">
        <f>'INST. ELÉTRICA'!E10</f>
        <v/>
      </c>
      <c r="N21" s="90">
        <f>'INST. ELÉTRICA'!E11</f>
        <v/>
      </c>
      <c r="O21" s="90">
        <f>'INST. ELÉTRICA'!E12</f>
        <v/>
      </c>
      <c r="P21" s="90">
        <f>'INST. ELÉTRICA'!E13</f>
        <v/>
      </c>
      <c r="Q21" s="90">
        <f>'INST. ELÉTRICA'!E14</f>
        <v/>
      </c>
      <c r="R21" s="90">
        <f>'INST. ELÉTRICA'!E15</f>
        <v/>
      </c>
      <c r="S21" s="90">
        <f>'INST. ELÉTRICA'!E16</f>
        <v/>
      </c>
      <c r="T21" s="90">
        <f>'INST. ELÉTRICA'!E17</f>
        <v/>
      </c>
      <c r="U21" s="90">
        <f>'INST. ELÉTRICA'!E18</f>
        <v/>
      </c>
      <c r="V21" s="90">
        <f>'INST. ELÉTRICA'!E19</f>
        <v/>
      </c>
      <c r="W21" s="90">
        <f>'INST. ELÉTRICA'!E20</f>
        <v/>
      </c>
      <c r="X21" s="90">
        <f>'INST. ELÉTRICA'!E21</f>
        <v/>
      </c>
      <c r="Y21" s="90">
        <f>'INST. ELÉTRICA'!E22</f>
        <v/>
      </c>
      <c r="Z21" s="90">
        <f>'INST. ELÉTRICA'!E23</f>
        <v/>
      </c>
      <c r="AA21" s="90">
        <f>'INST. ELÉTRICA'!E24</f>
        <v/>
      </c>
      <c r="AB21" s="90">
        <f>'INST. ELÉTRICA'!E25</f>
        <v/>
      </c>
      <c r="AC21" s="90">
        <f>'INST. ELÉTRICA'!E26</f>
        <v/>
      </c>
      <c r="AD21" s="90">
        <f>'INST. ELÉTRICA'!E27</f>
        <v/>
      </c>
      <c r="AE21" s="90">
        <f>'INST. ELÉTRICA'!E28</f>
        <v/>
      </c>
      <c r="AF21" s="90">
        <f>'INST. ELÉTRICA'!E29</f>
        <v/>
      </c>
      <c r="AG21" s="90">
        <f>'INST. ELÉTRICA'!E30</f>
        <v/>
      </c>
      <c r="AH21" s="90">
        <f>'INST. ELÉTRICA'!E31</f>
        <v/>
      </c>
      <c r="AI21" s="90">
        <f>'INST. ELÉTRICA'!E32</f>
        <v/>
      </c>
      <c r="AJ21" s="90">
        <f>'INST. ELÉTRICA'!E33</f>
        <v/>
      </c>
      <c r="AK21" s="90">
        <f>'INST. ELÉTRICA'!E34</f>
        <v/>
      </c>
      <c r="AL21" s="90">
        <f>'INST. ELÉTRICA'!E35</f>
        <v/>
      </c>
      <c r="AM21" s="90">
        <f>'INST. ELÉTRICA'!E36</f>
        <v/>
      </c>
      <c r="AN21" s="90">
        <f>'INST. ELÉTRICA'!E37</f>
        <v/>
      </c>
      <c r="AO21" s="90">
        <f>'INST. ELÉTRICA'!E38</f>
        <v/>
      </c>
      <c r="AP21" s="90">
        <f>'INST. ELÉTRICA'!E39</f>
        <v/>
      </c>
      <c r="AQ21" s="90">
        <f>'INST. ELÉTRICA'!E40</f>
        <v/>
      </c>
      <c r="AR21" s="90">
        <f>'INST. ELÉTRICA'!E41</f>
        <v/>
      </c>
      <c r="AS21" s="90">
        <f>'INST. ELÉTRICA'!E42</f>
        <v/>
      </c>
      <c r="AT21" s="90">
        <f>'INST. ELÉTRICA'!E43</f>
        <v/>
      </c>
      <c r="AU21" s="90">
        <f>'INST. ELÉTRICA'!E44</f>
        <v/>
      </c>
      <c r="AV21" s="90">
        <f>'INST. ELÉTRICA'!E45</f>
        <v/>
      </c>
      <c r="AW21" s="90">
        <f>'INST. ELÉTRICA'!E46</f>
        <v/>
      </c>
      <c r="AX21" s="90">
        <f>'INST. ELÉTRICA'!E47</f>
        <v/>
      </c>
      <c r="AY21" s="90">
        <f>'INST. ELÉTRICA'!E48</f>
        <v/>
      </c>
      <c r="AZ21" s="90">
        <f>'INST. ELÉTRICA'!E49</f>
        <v/>
      </c>
      <c r="BA21" s="90">
        <f>'INST. ELÉTRICA'!E50</f>
        <v/>
      </c>
      <c r="BB21" s="90">
        <f>'INST. ELÉTRICA'!E51</f>
        <v/>
      </c>
      <c r="BC21" s="90">
        <f>'INST. ELÉTRICA'!E52</f>
        <v/>
      </c>
      <c r="BD21" s="90">
        <f>'INST. ELÉTRICA'!E53</f>
        <v/>
      </c>
      <c r="BE21" s="90">
        <f>'INST. ELÉTRICA'!E54</f>
        <v/>
      </c>
      <c r="BF21" s="90">
        <f>'INST. ELÉTRICA'!E55</f>
        <v/>
      </c>
      <c r="BG21" s="90">
        <f>'INST. ELÉTRICA'!E56</f>
        <v/>
      </c>
      <c r="BH21" s="90">
        <f>'INST. ELÉTRICA'!E57</f>
        <v/>
      </c>
      <c r="BI21" s="90">
        <f>'INST. ELÉTRICA'!E58</f>
        <v/>
      </c>
      <c r="BJ21" s="90">
        <f>'INST. ELÉTRICA'!E59</f>
        <v/>
      </c>
      <c r="BK21" s="90">
        <f>'INST. ELÉTRICA'!E60</f>
        <v/>
      </c>
      <c r="BL21" s="90">
        <f>'INST. ELÉTRICA'!E61</f>
        <v/>
      </c>
      <c r="BM21" s="90">
        <f>'INST. ELÉTRICA'!E62</f>
        <v/>
      </c>
      <c r="BN21" s="90">
        <f>'INST. ELÉTRICA'!E63</f>
        <v/>
      </c>
      <c r="BO21" s="90">
        <f>'INST. ELÉTRICA'!E64</f>
        <v/>
      </c>
      <c r="BP21" s="90">
        <f>'INST. ELÉTRICA'!E65</f>
        <v/>
      </c>
      <c r="BQ21" s="90">
        <f>'INST. ELÉTRICA'!E66</f>
        <v/>
      </c>
      <c r="BR21" s="90">
        <f>'INST. ELÉTRICA'!E67</f>
        <v/>
      </c>
      <c r="BS21" s="90">
        <f>'INST. ELÉTRICA'!E68</f>
        <v/>
      </c>
      <c r="BT21" s="90">
        <f>'INST. ELÉTRICA'!E69</f>
        <v/>
      </c>
      <c r="BU21" s="90">
        <f>'INST. ELÉTRICA'!E70</f>
        <v/>
      </c>
      <c r="BV21" s="90">
        <f>'INST. ELÉTRICA'!E71</f>
        <v/>
      </c>
      <c r="BW21" s="90">
        <f>'INST. ELÉTRICA'!E72</f>
        <v/>
      </c>
      <c r="BX21" s="90">
        <f>'INST. ELÉTRICA'!E73</f>
        <v/>
      </c>
      <c r="BY21" s="90">
        <f>'INST. ELÉTRICA'!E74</f>
        <v/>
      </c>
      <c r="BZ21" s="90">
        <f>'INST. ELÉTRICA'!E75</f>
        <v/>
      </c>
      <c r="CA21" s="90">
        <f>'INST. ELÉTRICA'!E76</f>
        <v/>
      </c>
    </row>
    <row r="22">
      <c r="A22" s="59" t="inlineStr">
        <is>
          <t>G041.002</t>
        </is>
      </c>
      <c r="B22" s="59" t="inlineStr">
        <is>
          <t>1030 1070 270</t>
        </is>
      </c>
      <c r="C22" s="59" t="inlineStr">
        <is>
          <t>INSTALAÇÕES ESPECIAIS</t>
        </is>
      </c>
      <c r="D22" s="60">
        <f>'INST. ESP'!$K$5</f>
        <v/>
      </c>
      <c r="E22" s="49">
        <f>SUM(H22:CA22)</f>
        <v/>
      </c>
      <c r="F22" s="49">
        <f>IF(D22="","",D22-E22)</f>
        <v/>
      </c>
      <c r="H22" s="90">
        <f>'INST. ESP'!E5</f>
        <v/>
      </c>
      <c r="I22" s="90">
        <f>'INST. ESP'!E6</f>
        <v/>
      </c>
      <c r="J22" s="90">
        <f>'INST. ESP'!E7</f>
        <v/>
      </c>
      <c r="K22" s="90">
        <f>'INST. ESP'!E8</f>
        <v/>
      </c>
      <c r="L22" s="90">
        <f>'INST. ESP'!E9</f>
        <v/>
      </c>
      <c r="M22" s="90">
        <f>'INST. ESP'!E10</f>
        <v/>
      </c>
      <c r="N22" s="90">
        <f>'INST. ESP'!E11</f>
        <v/>
      </c>
      <c r="O22" s="90">
        <f>'INST. ESP'!E12</f>
        <v/>
      </c>
      <c r="P22" s="90">
        <f>'INST. ESP'!E13</f>
        <v/>
      </c>
      <c r="Q22" s="90">
        <f>'INST. ESP'!E14</f>
        <v/>
      </c>
      <c r="R22" s="90">
        <f>'INST. ESP'!E15</f>
        <v/>
      </c>
      <c r="S22" s="90">
        <f>'INST. ESP'!E16</f>
        <v/>
      </c>
      <c r="T22" s="90">
        <f>'INST. ESP'!E17</f>
        <v/>
      </c>
      <c r="U22" s="90">
        <f>'INST. ESP'!E18</f>
        <v/>
      </c>
      <c r="V22" s="90">
        <f>'INST. ESP'!E19</f>
        <v/>
      </c>
      <c r="W22" s="90">
        <f>'INST. ESP'!E20</f>
        <v/>
      </c>
      <c r="X22" s="90">
        <f>'INST. ESP'!E21</f>
        <v/>
      </c>
      <c r="Y22" s="90">
        <f>'INST. ESP'!E22</f>
        <v/>
      </c>
      <c r="Z22" s="90">
        <f>'INST. ESP'!E23</f>
        <v/>
      </c>
      <c r="AA22" s="90">
        <f>'INST. ESP'!E24</f>
        <v/>
      </c>
      <c r="AB22" s="90">
        <f>'INST. ESP'!E25</f>
        <v/>
      </c>
      <c r="AC22" s="90">
        <f>'INST. ESP'!E26</f>
        <v/>
      </c>
      <c r="AD22" s="90">
        <f>'INST. ESP'!E27</f>
        <v/>
      </c>
      <c r="AE22" s="90">
        <f>'INST. ESP'!E28</f>
        <v/>
      </c>
      <c r="AF22" s="90">
        <f>'INST. ESP'!E29</f>
        <v/>
      </c>
      <c r="AG22" s="90">
        <f>'INST. ESP'!E30</f>
        <v/>
      </c>
      <c r="AH22" s="90">
        <f>'INST. ESP'!E31</f>
        <v/>
      </c>
      <c r="AI22" s="90">
        <f>'INST. ESP'!E32</f>
        <v/>
      </c>
      <c r="AJ22" s="90">
        <f>'INST. ESP'!E33</f>
        <v/>
      </c>
      <c r="AK22" s="90">
        <f>'INST. ESP'!E34</f>
        <v/>
      </c>
      <c r="AL22" s="90">
        <f>'INST. ESP'!E35</f>
        <v/>
      </c>
      <c r="AM22" s="90">
        <f>'INST. ESP'!E36</f>
        <v/>
      </c>
      <c r="AN22" s="90">
        <f>'INST. ESP'!E37</f>
        <v/>
      </c>
      <c r="AO22" s="90">
        <f>'INST. ESP'!E38</f>
        <v/>
      </c>
      <c r="AP22" s="90">
        <f>'INST. ESP'!E39</f>
        <v/>
      </c>
      <c r="AQ22" s="90">
        <f>'INST. ESP'!E40</f>
        <v/>
      </c>
      <c r="AR22" s="90">
        <f>'INST. ESP'!E41</f>
        <v/>
      </c>
      <c r="AS22" s="90">
        <f>'INST. ESP'!E42</f>
        <v/>
      </c>
      <c r="AT22" s="90">
        <f>'INST. ESP'!E43</f>
        <v/>
      </c>
      <c r="AU22" s="90">
        <f>'INST. ESP'!E44</f>
        <v/>
      </c>
      <c r="AV22" s="90">
        <f>'INST. ESP'!E45</f>
        <v/>
      </c>
      <c r="AW22" s="90">
        <f>'INST. ESP'!E46</f>
        <v/>
      </c>
      <c r="AX22" s="90">
        <f>'INST. ESP'!E47</f>
        <v/>
      </c>
      <c r="AY22" s="90">
        <f>'INST. ESP'!E48</f>
        <v/>
      </c>
      <c r="AZ22" s="90">
        <f>'INST. ESP'!E49</f>
        <v/>
      </c>
      <c r="BA22" s="90">
        <f>'INST. ESP'!E50</f>
        <v/>
      </c>
      <c r="BB22" s="90">
        <f>'INST. ESP'!E51</f>
        <v/>
      </c>
      <c r="BC22" s="90">
        <f>'INST. ESP'!E52</f>
        <v/>
      </c>
      <c r="BD22" s="90">
        <f>'INST. ESP'!E53</f>
        <v/>
      </c>
      <c r="BE22" s="90">
        <f>'INST. ESP'!E54</f>
        <v/>
      </c>
      <c r="BF22" s="90">
        <f>'INST. ESP'!E55</f>
        <v/>
      </c>
      <c r="BG22" s="90">
        <f>'INST. ESP'!E56</f>
        <v/>
      </c>
      <c r="BH22" s="90">
        <f>'INST. ESP'!E57</f>
        <v/>
      </c>
      <c r="BI22" s="90">
        <f>'INST. ESP'!E58</f>
        <v/>
      </c>
      <c r="BJ22" s="90">
        <f>'INST. ESP'!E59</f>
        <v/>
      </c>
      <c r="BK22" s="90">
        <f>'INST. ESP'!E60</f>
        <v/>
      </c>
      <c r="BL22" s="90">
        <f>'INST. ESP'!E61</f>
        <v/>
      </c>
      <c r="BM22" s="90">
        <f>'INST. ESP'!E62</f>
        <v/>
      </c>
      <c r="BN22" s="90">
        <f>'INST. ESP'!E63</f>
        <v/>
      </c>
      <c r="BO22" s="90">
        <f>'INST. ESP'!E64</f>
        <v/>
      </c>
      <c r="BP22" s="90">
        <f>'INST. ESP'!E65</f>
        <v/>
      </c>
      <c r="BQ22" s="90">
        <f>'INST. ESP'!E66</f>
        <v/>
      </c>
      <c r="BR22" s="90">
        <f>'INST. ESP'!E67</f>
        <v/>
      </c>
      <c r="BS22" s="90">
        <f>'INST. ESP'!E68</f>
        <v/>
      </c>
      <c r="BT22" s="90">
        <f>'INST. ESP'!E69</f>
        <v/>
      </c>
      <c r="BU22" s="90">
        <f>'INST. ESP'!E70</f>
        <v/>
      </c>
      <c r="BV22" s="90">
        <f>'INST. ESP'!E71</f>
        <v/>
      </c>
      <c r="BW22" s="90">
        <f>'INST. ESP'!E72</f>
        <v/>
      </c>
      <c r="BX22" s="90">
        <f>'INST. ESP'!E73</f>
        <v/>
      </c>
      <c r="BY22" s="90">
        <f>'INST. ESP'!E74</f>
        <v/>
      </c>
      <c r="BZ22" s="90">
        <f>'INST. ESP'!E75</f>
        <v/>
      </c>
      <c r="CA22" s="90">
        <f>'INST. ESP'!E76</f>
        <v/>
      </c>
    </row>
    <row r="23">
      <c r="A23" s="59" t="inlineStr">
        <is>
          <t>G041.002</t>
        </is>
      </c>
      <c r="B23" s="59" t="inlineStr">
        <is>
          <t>1030 1070 250</t>
        </is>
      </c>
      <c r="C23" s="59" t="inlineStr">
        <is>
          <t>INSTALAÇÕES HIDROSANITÁRIAS</t>
        </is>
      </c>
      <c r="D23" s="60">
        <f>'INST. HIDRO'!$K$5</f>
        <v/>
      </c>
      <c r="E23" s="49">
        <f>SUM(H23:CA23)</f>
        <v/>
      </c>
      <c r="F23" s="49">
        <f>IF(D23="","",D23-E23)</f>
        <v/>
      </c>
      <c r="H23" s="90">
        <f>'INST. HIDRO'!E5</f>
        <v/>
      </c>
      <c r="I23" s="90">
        <f>'INST. HIDRO'!E6</f>
        <v/>
      </c>
      <c r="J23" s="90">
        <f>'INST. HIDRO'!E7</f>
        <v/>
      </c>
      <c r="K23" s="90">
        <f>'INST. HIDRO'!E8</f>
        <v/>
      </c>
      <c r="L23" s="90">
        <f>'INST. HIDRO'!E9</f>
        <v/>
      </c>
      <c r="M23" s="90">
        <f>'INST. HIDRO'!E10</f>
        <v/>
      </c>
      <c r="N23" s="90">
        <f>'INST. HIDRO'!E11</f>
        <v/>
      </c>
      <c r="O23" s="90">
        <f>'INST. HIDRO'!E12</f>
        <v/>
      </c>
      <c r="P23" s="90">
        <f>'INST. HIDRO'!E13</f>
        <v/>
      </c>
      <c r="Q23" s="90">
        <f>'INST. HIDRO'!E14</f>
        <v/>
      </c>
      <c r="R23" s="90">
        <f>'INST. HIDRO'!E15</f>
        <v/>
      </c>
      <c r="S23" s="90">
        <f>'INST. HIDRO'!E16</f>
        <v/>
      </c>
      <c r="T23" s="90">
        <f>'INST. HIDRO'!E17</f>
        <v/>
      </c>
      <c r="U23" s="90">
        <f>'INST. HIDRO'!E18</f>
        <v/>
      </c>
      <c r="V23" s="90">
        <f>'INST. HIDRO'!E19</f>
        <v/>
      </c>
      <c r="W23" s="90">
        <f>'INST. HIDRO'!E20</f>
        <v/>
      </c>
      <c r="X23" s="90">
        <f>'INST. HIDRO'!E21</f>
        <v/>
      </c>
      <c r="Y23" s="90">
        <f>'INST. HIDRO'!E22</f>
        <v/>
      </c>
      <c r="Z23" s="90">
        <f>'INST. HIDRO'!E23</f>
        <v/>
      </c>
      <c r="AA23" s="90">
        <f>'INST. HIDRO'!E24</f>
        <v/>
      </c>
      <c r="AB23" s="90">
        <f>'INST. HIDRO'!E25</f>
        <v/>
      </c>
      <c r="AC23" s="90">
        <f>'INST. HIDRO'!E26</f>
        <v/>
      </c>
      <c r="AD23" s="90">
        <f>'INST. HIDRO'!E27</f>
        <v/>
      </c>
      <c r="AE23" s="90">
        <f>'INST. HIDRO'!E28</f>
        <v/>
      </c>
      <c r="AF23" s="90">
        <f>'INST. HIDRO'!E29</f>
        <v/>
      </c>
      <c r="AG23" s="90">
        <f>'INST. HIDRO'!E30</f>
        <v/>
      </c>
      <c r="AH23" s="90">
        <f>'INST. HIDRO'!E31</f>
        <v/>
      </c>
      <c r="AI23" s="90">
        <f>'INST. HIDRO'!E32</f>
        <v/>
      </c>
      <c r="AJ23" s="90">
        <f>'INST. HIDRO'!E33</f>
        <v/>
      </c>
      <c r="AK23" s="90">
        <f>'INST. HIDRO'!E34</f>
        <v/>
      </c>
      <c r="AL23" s="90">
        <f>'INST. HIDRO'!E35</f>
        <v/>
      </c>
      <c r="AM23" s="90">
        <f>'INST. HIDRO'!E36</f>
        <v/>
      </c>
      <c r="AN23" s="90">
        <f>'INST. HIDRO'!E37</f>
        <v/>
      </c>
      <c r="AO23" s="90">
        <f>'INST. HIDRO'!E38</f>
        <v/>
      </c>
      <c r="AP23" s="90">
        <f>'INST. HIDRO'!E39</f>
        <v/>
      </c>
      <c r="AQ23" s="90">
        <f>'INST. HIDRO'!E40</f>
        <v/>
      </c>
      <c r="AR23" s="90">
        <f>'INST. HIDRO'!E41</f>
        <v/>
      </c>
      <c r="AS23" s="90">
        <f>'INST. HIDRO'!E42</f>
        <v/>
      </c>
      <c r="AT23" s="90">
        <f>'INST. HIDRO'!E43</f>
        <v/>
      </c>
      <c r="AU23" s="90">
        <f>'INST. HIDRO'!E44</f>
        <v/>
      </c>
      <c r="AV23" s="90">
        <f>'INST. HIDRO'!E45</f>
        <v/>
      </c>
      <c r="AW23" s="90">
        <f>'INST. HIDRO'!E46</f>
        <v/>
      </c>
      <c r="AX23" s="90">
        <f>'INST. HIDRO'!E47</f>
        <v/>
      </c>
      <c r="AY23" s="90">
        <f>'INST. HIDRO'!E48</f>
        <v/>
      </c>
      <c r="AZ23" s="90">
        <f>'INST. HIDRO'!E49</f>
        <v/>
      </c>
      <c r="BA23" s="90">
        <f>'INST. HIDRO'!E50</f>
        <v/>
      </c>
      <c r="BB23" s="90">
        <f>'INST. HIDRO'!E51</f>
        <v/>
      </c>
      <c r="BC23" s="90">
        <f>'INST. HIDRO'!E52</f>
        <v/>
      </c>
      <c r="BD23" s="90">
        <f>'INST. HIDRO'!E53</f>
        <v/>
      </c>
      <c r="BE23" s="90">
        <f>'INST. HIDRO'!E54</f>
        <v/>
      </c>
      <c r="BF23" s="90">
        <f>'INST. HIDRO'!E55</f>
        <v/>
      </c>
      <c r="BG23" s="90">
        <f>'INST. HIDRO'!E56</f>
        <v/>
      </c>
      <c r="BH23" s="90">
        <f>'INST. HIDRO'!E57</f>
        <v/>
      </c>
      <c r="BI23" s="90">
        <f>'INST. HIDRO'!E58</f>
        <v/>
      </c>
      <c r="BJ23" s="90">
        <f>'INST. HIDRO'!E59</f>
        <v/>
      </c>
      <c r="BK23" s="90">
        <f>'INST. HIDRO'!E60</f>
        <v/>
      </c>
      <c r="BL23" s="90">
        <f>'INST. HIDRO'!E61</f>
        <v/>
      </c>
      <c r="BM23" s="90">
        <f>'INST. HIDRO'!E62</f>
        <v/>
      </c>
      <c r="BN23" s="90">
        <f>'INST. HIDRO'!E63</f>
        <v/>
      </c>
      <c r="BO23" s="90">
        <f>'INST. HIDRO'!E64</f>
        <v/>
      </c>
      <c r="BP23" s="90">
        <f>'INST. HIDRO'!E65</f>
        <v/>
      </c>
      <c r="BQ23" s="90">
        <f>'INST. HIDRO'!E66</f>
        <v/>
      </c>
      <c r="BR23" s="90">
        <f>'INST. HIDRO'!E67</f>
        <v/>
      </c>
      <c r="BS23" s="90">
        <f>'INST. HIDRO'!E68</f>
        <v/>
      </c>
      <c r="BT23" s="90">
        <f>'INST. HIDRO'!E69</f>
        <v/>
      </c>
      <c r="BU23" s="90">
        <f>'INST. HIDRO'!E70</f>
        <v/>
      </c>
      <c r="BV23" s="90">
        <f>'INST. HIDRO'!E71</f>
        <v/>
      </c>
      <c r="BW23" s="90">
        <f>'INST. HIDRO'!E72</f>
        <v/>
      </c>
      <c r="BX23" s="90">
        <f>'INST. HIDRO'!E73</f>
        <v/>
      </c>
      <c r="BY23" s="90">
        <f>'INST. HIDRO'!E74</f>
        <v/>
      </c>
      <c r="BZ23" s="90">
        <f>'INST. HIDRO'!E75</f>
        <v/>
      </c>
      <c r="CA23" s="90">
        <f>'INST. HIDRO'!E76</f>
        <v/>
      </c>
    </row>
    <row r="24">
      <c r="A24" s="59" t="inlineStr">
        <is>
          <t>G041.002</t>
        </is>
      </c>
      <c r="B24" s="59" t="inlineStr">
        <is>
          <t>1030 1070 130</t>
        </is>
      </c>
      <c r="C24" s="59" t="inlineStr">
        <is>
          <t>LEVANTAMENTO TOPOGRÁFICO</t>
        </is>
      </c>
      <c r="E24" s="49">
        <f>SUM(H24:CA24)</f>
        <v/>
      </c>
      <c r="F24" s="49">
        <f>IF(D24="","",D24-E24)</f>
        <v/>
      </c>
    </row>
    <row r="25">
      <c r="A25" s="59" t="inlineStr">
        <is>
          <t>G041.002</t>
        </is>
      </c>
      <c r="B25" s="59" t="inlineStr">
        <is>
          <t>1030 1070 150</t>
        </is>
      </c>
      <c r="C25" s="59" t="inlineStr">
        <is>
          <t>LIGAÇÕES PROVISÓRIAS AGUA, ENERGIA,TELEFONIA, ESGOTO</t>
        </is>
      </c>
      <c r="D25" s="60">
        <f>'LIG. PROVISÓRIAS'!$K$5</f>
        <v/>
      </c>
      <c r="E25" s="49">
        <f>SUM(H25:CA25)</f>
        <v/>
      </c>
      <c r="F25" s="49">
        <f>IF(D25="","",D25-E25)</f>
        <v/>
      </c>
      <c r="H25" s="90">
        <f>'LIG. PROVISÓRIAS'!E5</f>
        <v/>
      </c>
      <c r="I25" s="90">
        <f>'LIG. PROVISÓRIAS'!E6</f>
        <v/>
      </c>
      <c r="J25" s="90">
        <f>'LIG. PROVISÓRIAS'!E7</f>
        <v/>
      </c>
      <c r="K25" s="90">
        <f>'LIG. PROVISÓRIAS'!E8</f>
        <v/>
      </c>
      <c r="L25" s="90">
        <f>'LIG. PROVISÓRIAS'!E9</f>
        <v/>
      </c>
      <c r="M25" s="90">
        <f>'LIG. PROVISÓRIAS'!E10</f>
        <v/>
      </c>
      <c r="N25" s="90">
        <f>'LIG. PROVISÓRIAS'!E11</f>
        <v/>
      </c>
      <c r="O25" s="90">
        <f>'LIG. PROVISÓRIAS'!E12</f>
        <v/>
      </c>
      <c r="P25" s="90">
        <f>'LIG. PROVISÓRIAS'!E13</f>
        <v/>
      </c>
      <c r="Q25" s="90">
        <f>'LIG. PROVISÓRIAS'!E14</f>
        <v/>
      </c>
      <c r="R25" s="90">
        <f>'LIG. PROVISÓRIAS'!E15</f>
        <v/>
      </c>
      <c r="S25" s="90">
        <f>'LIG. PROVISÓRIAS'!E16</f>
        <v/>
      </c>
      <c r="T25" s="90">
        <f>'LIG. PROVISÓRIAS'!E17</f>
        <v/>
      </c>
      <c r="U25" s="90">
        <f>'LIG. PROVISÓRIAS'!E18</f>
        <v/>
      </c>
      <c r="V25" s="90">
        <f>'LIG. PROVISÓRIAS'!E19</f>
        <v/>
      </c>
      <c r="W25" s="90">
        <f>'LIG. PROVISÓRIAS'!E20</f>
        <v/>
      </c>
      <c r="X25" s="90">
        <f>'LIG. PROVISÓRIAS'!E21</f>
        <v/>
      </c>
      <c r="Y25" s="90">
        <f>'LIG. PROVISÓRIAS'!E22</f>
        <v/>
      </c>
      <c r="Z25" s="90">
        <f>'LIG. PROVISÓRIAS'!E23</f>
        <v/>
      </c>
      <c r="AA25" s="90">
        <f>'LIG. PROVISÓRIAS'!E24</f>
        <v/>
      </c>
      <c r="AB25" s="90">
        <f>'LIG. PROVISÓRIAS'!E25</f>
        <v/>
      </c>
      <c r="AC25" s="90">
        <f>'LIG. PROVISÓRIAS'!E26</f>
        <v/>
      </c>
      <c r="AD25" s="90">
        <f>'LIG. PROVISÓRIAS'!E27</f>
        <v/>
      </c>
      <c r="AE25" s="90">
        <f>'LIG. PROVISÓRIAS'!E28</f>
        <v/>
      </c>
      <c r="AF25" s="90">
        <f>'LIG. PROVISÓRIAS'!E29</f>
        <v/>
      </c>
      <c r="AG25" s="90">
        <f>'LIG. PROVISÓRIAS'!E30</f>
        <v/>
      </c>
      <c r="AH25" s="90">
        <f>'LIG. PROVISÓRIAS'!E31</f>
        <v/>
      </c>
      <c r="AI25" s="90">
        <f>'LIG. PROVISÓRIAS'!E32</f>
        <v/>
      </c>
      <c r="AJ25" s="90">
        <f>'LIG. PROVISÓRIAS'!E33</f>
        <v/>
      </c>
      <c r="AK25" s="90">
        <f>'LIG. PROVISÓRIAS'!E34</f>
        <v/>
      </c>
      <c r="AL25" s="90">
        <f>'LIG. PROVISÓRIAS'!E35</f>
        <v/>
      </c>
      <c r="AM25" s="90">
        <f>'LIG. PROVISÓRIAS'!E36</f>
        <v/>
      </c>
      <c r="AN25" s="90">
        <f>'LIG. PROVISÓRIAS'!E37</f>
        <v/>
      </c>
      <c r="AO25" s="90">
        <f>'LIG. PROVISÓRIAS'!E38</f>
        <v/>
      </c>
      <c r="AP25" s="90">
        <f>'LIG. PROVISÓRIAS'!E39</f>
        <v/>
      </c>
      <c r="AQ25" s="90">
        <f>'LIG. PROVISÓRIAS'!E40</f>
        <v/>
      </c>
      <c r="AR25" s="90">
        <f>'LIG. PROVISÓRIAS'!E41</f>
        <v/>
      </c>
      <c r="AS25" s="90">
        <f>'LIG. PROVISÓRIAS'!E42</f>
        <v/>
      </c>
      <c r="AT25" s="90">
        <f>'LIG. PROVISÓRIAS'!E43</f>
        <v/>
      </c>
      <c r="AU25" s="90">
        <f>'LIG. PROVISÓRIAS'!E44</f>
        <v/>
      </c>
      <c r="AV25" s="90">
        <f>'LIG. PROVISÓRIAS'!E45</f>
        <v/>
      </c>
      <c r="AW25" s="90">
        <f>'LIG. PROVISÓRIAS'!E46</f>
        <v/>
      </c>
      <c r="AX25" s="90">
        <f>'LIG. PROVISÓRIAS'!E47</f>
        <v/>
      </c>
      <c r="AY25" s="90">
        <f>'LIG. PROVISÓRIAS'!E48</f>
        <v/>
      </c>
      <c r="AZ25" s="90">
        <f>'LIG. PROVISÓRIAS'!E49</f>
        <v/>
      </c>
      <c r="BA25" s="90">
        <f>'LIG. PROVISÓRIAS'!E50</f>
        <v/>
      </c>
      <c r="BB25" s="90">
        <f>'LIG. PROVISÓRIAS'!E51</f>
        <v/>
      </c>
      <c r="BC25" s="90">
        <f>'LIG. PROVISÓRIAS'!E52</f>
        <v/>
      </c>
      <c r="BD25" s="90">
        <f>'LIG. PROVISÓRIAS'!E53</f>
        <v/>
      </c>
      <c r="BE25" s="90">
        <f>'LIG. PROVISÓRIAS'!E54</f>
        <v/>
      </c>
      <c r="BF25" s="90">
        <f>'LIG. PROVISÓRIAS'!E55</f>
        <v/>
      </c>
      <c r="BG25" s="90">
        <f>'LIG. PROVISÓRIAS'!E56</f>
        <v/>
      </c>
      <c r="BH25" s="90">
        <f>'LIG. PROVISÓRIAS'!E57</f>
        <v/>
      </c>
      <c r="BI25" s="90">
        <f>'LIG. PROVISÓRIAS'!E58</f>
        <v/>
      </c>
      <c r="BJ25" s="90">
        <f>'LIG. PROVISÓRIAS'!E59</f>
        <v/>
      </c>
      <c r="BK25" s="90">
        <f>'LIG. PROVISÓRIAS'!E60</f>
        <v/>
      </c>
      <c r="BL25" s="90">
        <f>'LIG. PROVISÓRIAS'!E61</f>
        <v/>
      </c>
      <c r="BM25" s="90">
        <f>'LIG. PROVISÓRIAS'!E62</f>
        <v/>
      </c>
      <c r="BN25" s="90">
        <f>'LIG. PROVISÓRIAS'!E63</f>
        <v/>
      </c>
      <c r="BO25" s="90">
        <f>'LIG. PROVISÓRIAS'!E64</f>
        <v/>
      </c>
      <c r="BP25" s="90">
        <f>'LIG. PROVISÓRIAS'!E65</f>
        <v/>
      </c>
      <c r="BQ25" s="90">
        <f>'LIG. PROVISÓRIAS'!E66</f>
        <v/>
      </c>
      <c r="BR25" s="90">
        <f>'LIG. PROVISÓRIAS'!E67</f>
        <v/>
      </c>
      <c r="BS25" s="90">
        <f>'LIG. PROVISÓRIAS'!E68</f>
        <v/>
      </c>
      <c r="BT25" s="90">
        <f>'LIG. PROVISÓRIAS'!E69</f>
        <v/>
      </c>
      <c r="BU25" s="90">
        <f>'LIG. PROVISÓRIAS'!E70</f>
        <v/>
      </c>
      <c r="BV25" s="90">
        <f>'LIG. PROVISÓRIAS'!E71</f>
        <v/>
      </c>
      <c r="BW25" s="90">
        <f>'LIG. PROVISÓRIAS'!E72</f>
        <v/>
      </c>
      <c r="BX25" s="90">
        <f>'LIG. PROVISÓRIAS'!E73</f>
        <v/>
      </c>
      <c r="BY25" s="90">
        <f>'LIG. PROVISÓRIAS'!E74</f>
        <v/>
      </c>
      <c r="BZ25" s="90">
        <f>'LIG. PROVISÓRIAS'!E75</f>
        <v/>
      </c>
      <c r="CA25" s="90">
        <f>'LIG. PROVISÓRIAS'!E76</f>
        <v/>
      </c>
    </row>
    <row r="26">
      <c r="A26" s="59" t="inlineStr">
        <is>
          <t>G041.002</t>
        </is>
      </c>
      <c r="B26" s="59" t="inlineStr">
        <is>
          <t>1030 1070 440</t>
        </is>
      </c>
      <c r="C26" s="59" t="inlineStr">
        <is>
          <t>LIMPEZA FINAL DE OBRA</t>
        </is>
      </c>
      <c r="D26" s="60">
        <f>'LIMPEZA'!$K$5</f>
        <v/>
      </c>
      <c r="E26" s="49">
        <f>SUM(H26:CA26)</f>
        <v/>
      </c>
      <c r="F26" s="49">
        <f>IF(D26="","",D26-E26)</f>
        <v/>
      </c>
      <c r="H26" s="90">
        <f>'LIMPEZA'!E5</f>
        <v/>
      </c>
      <c r="I26" s="90">
        <f>'LIMPEZA'!E6</f>
        <v/>
      </c>
      <c r="J26" s="90">
        <f>'LIMPEZA'!E7</f>
        <v/>
      </c>
      <c r="K26" s="90">
        <f>'LIMPEZA'!E8</f>
        <v/>
      </c>
      <c r="L26" s="90">
        <f>'LIMPEZA'!E9</f>
        <v/>
      </c>
      <c r="M26" s="90">
        <f>'LIMPEZA'!E10</f>
        <v/>
      </c>
      <c r="N26" s="90">
        <f>'LIMPEZA'!E11</f>
        <v/>
      </c>
      <c r="O26" s="90">
        <f>'LIMPEZA'!E12</f>
        <v/>
      </c>
      <c r="P26" s="90">
        <f>'LIMPEZA'!E13</f>
        <v/>
      </c>
      <c r="Q26" s="90">
        <f>'LIMPEZA'!E14</f>
        <v/>
      </c>
      <c r="R26" s="90">
        <f>'LIMPEZA'!E15</f>
        <v/>
      </c>
      <c r="S26" s="90">
        <f>'LIMPEZA'!E16</f>
        <v/>
      </c>
      <c r="T26" s="90">
        <f>'LIMPEZA'!E17</f>
        <v/>
      </c>
      <c r="U26" s="90">
        <f>'LIMPEZA'!E18</f>
        <v/>
      </c>
      <c r="V26" s="90">
        <f>'LIMPEZA'!E19</f>
        <v/>
      </c>
      <c r="W26" s="90">
        <f>'LIMPEZA'!E20</f>
        <v/>
      </c>
      <c r="X26" s="90">
        <f>'LIMPEZA'!E21</f>
        <v/>
      </c>
      <c r="Y26" s="90">
        <f>'LIMPEZA'!E22</f>
        <v/>
      </c>
      <c r="Z26" s="90">
        <f>'LIMPEZA'!E23</f>
        <v/>
      </c>
      <c r="AA26" s="90">
        <f>'LIMPEZA'!E24</f>
        <v/>
      </c>
      <c r="AB26" s="90">
        <f>'LIMPEZA'!E25</f>
        <v/>
      </c>
      <c r="AC26" s="90">
        <f>'LIMPEZA'!E26</f>
        <v/>
      </c>
      <c r="AD26" s="90">
        <f>'LIMPEZA'!E27</f>
        <v/>
      </c>
      <c r="AE26" s="90">
        <f>'LIMPEZA'!E28</f>
        <v/>
      </c>
      <c r="AF26" s="90">
        <f>'LIMPEZA'!E29</f>
        <v/>
      </c>
      <c r="AG26" s="90">
        <f>'LIMPEZA'!E30</f>
        <v/>
      </c>
      <c r="AH26" s="90">
        <f>'LIMPEZA'!E31</f>
        <v/>
      </c>
      <c r="AI26" s="90">
        <f>'LIMPEZA'!E32</f>
        <v/>
      </c>
      <c r="AJ26" s="90">
        <f>'LIMPEZA'!E33</f>
        <v/>
      </c>
      <c r="AK26" s="90">
        <f>'LIMPEZA'!E34</f>
        <v/>
      </c>
      <c r="AL26" s="90">
        <f>'LIMPEZA'!E35</f>
        <v/>
      </c>
      <c r="AM26" s="90">
        <f>'LIMPEZA'!E36</f>
        <v/>
      </c>
      <c r="AN26" s="90">
        <f>'LIMPEZA'!E37</f>
        <v/>
      </c>
      <c r="AO26" s="90">
        <f>'LIMPEZA'!E38</f>
        <v/>
      </c>
      <c r="AP26" s="90">
        <f>'LIMPEZA'!E39</f>
        <v/>
      </c>
      <c r="AQ26" s="90">
        <f>'LIMPEZA'!E40</f>
        <v/>
      </c>
      <c r="AR26" s="90">
        <f>'LIMPEZA'!E41</f>
        <v/>
      </c>
      <c r="AS26" s="90">
        <f>'LIMPEZA'!E42</f>
        <v/>
      </c>
      <c r="AT26" s="90">
        <f>'LIMPEZA'!E43</f>
        <v/>
      </c>
      <c r="AU26" s="90">
        <f>'LIMPEZA'!E44</f>
        <v/>
      </c>
      <c r="AV26" s="90">
        <f>'LIMPEZA'!E45</f>
        <v/>
      </c>
      <c r="AW26" s="90">
        <f>'LIMPEZA'!E46</f>
        <v/>
      </c>
      <c r="AX26" s="90">
        <f>'LIMPEZA'!E47</f>
        <v/>
      </c>
      <c r="AY26" s="90">
        <f>'LIMPEZA'!E48</f>
        <v/>
      </c>
      <c r="AZ26" s="90">
        <f>'LIMPEZA'!E49</f>
        <v/>
      </c>
      <c r="BA26" s="90">
        <f>'LIMPEZA'!E50</f>
        <v/>
      </c>
      <c r="BB26" s="90">
        <f>'LIMPEZA'!E51</f>
        <v/>
      </c>
      <c r="BC26" s="90">
        <f>'LIMPEZA'!E52</f>
        <v/>
      </c>
      <c r="BD26" s="90">
        <f>'LIMPEZA'!E53</f>
        <v/>
      </c>
      <c r="BE26" s="90">
        <f>'LIMPEZA'!E54</f>
        <v/>
      </c>
      <c r="BF26" s="90">
        <f>'LIMPEZA'!E55</f>
        <v/>
      </c>
      <c r="BG26" s="90">
        <f>'LIMPEZA'!E56</f>
        <v/>
      </c>
      <c r="BH26" s="90">
        <f>'LIMPEZA'!E57</f>
        <v/>
      </c>
      <c r="BI26" s="90">
        <f>'LIMPEZA'!E58</f>
        <v/>
      </c>
      <c r="BJ26" s="90">
        <f>'LIMPEZA'!E59</f>
        <v/>
      </c>
      <c r="BK26" s="90">
        <f>'LIMPEZA'!E60</f>
        <v/>
      </c>
      <c r="BL26" s="90">
        <f>'LIMPEZA'!E61</f>
        <v/>
      </c>
      <c r="BM26" s="90">
        <f>'LIMPEZA'!E62</f>
        <v/>
      </c>
      <c r="BN26" s="90">
        <f>'LIMPEZA'!E63</f>
        <v/>
      </c>
      <c r="BO26" s="90">
        <f>'LIMPEZA'!E64</f>
        <v/>
      </c>
      <c r="BP26" s="90">
        <f>'LIMPEZA'!E65</f>
        <v/>
      </c>
      <c r="BQ26" s="90">
        <f>'LIMPEZA'!E66</f>
        <v/>
      </c>
      <c r="BR26" s="90">
        <f>'LIMPEZA'!E67</f>
        <v/>
      </c>
      <c r="BS26" s="90">
        <f>'LIMPEZA'!E68</f>
        <v/>
      </c>
      <c r="BT26" s="90">
        <f>'LIMPEZA'!E69</f>
        <v/>
      </c>
      <c r="BU26" s="90">
        <f>'LIMPEZA'!E70</f>
        <v/>
      </c>
      <c r="BV26" s="90">
        <f>'LIMPEZA'!E71</f>
        <v/>
      </c>
      <c r="BW26" s="90">
        <f>'LIMPEZA'!E72</f>
        <v/>
      </c>
      <c r="BX26" s="90">
        <f>'LIMPEZA'!E73</f>
        <v/>
      </c>
      <c r="BY26" s="90">
        <f>'LIMPEZA'!E74</f>
        <v/>
      </c>
      <c r="BZ26" s="90">
        <f>'LIMPEZA'!E75</f>
        <v/>
      </c>
      <c r="CA26" s="90">
        <f>'LIMPEZA'!E76</f>
        <v/>
      </c>
    </row>
    <row r="27">
      <c r="A27" s="59" t="inlineStr">
        <is>
          <t>G041.002</t>
        </is>
      </c>
      <c r="B27" s="59" t="inlineStr">
        <is>
          <t>1030 1070 410</t>
        </is>
      </c>
      <c r="C27" s="59" t="inlineStr">
        <is>
          <t>LOUÇAS SANITÁRIAS</t>
        </is>
      </c>
      <c r="D27" s="60">
        <f>'LOUÇAS'!$K$5</f>
        <v/>
      </c>
      <c r="E27" s="49">
        <f>SUM(H27:CA27)</f>
        <v/>
      </c>
      <c r="F27" s="49">
        <f>IF(D27="","",D27-E27)</f>
        <v/>
      </c>
      <c r="H27" s="90">
        <f>'LOUÇAS'!E5</f>
        <v/>
      </c>
      <c r="I27" s="90">
        <f>'LOUÇAS'!E6</f>
        <v/>
      </c>
      <c r="J27" s="90">
        <f>'LOUÇAS'!E7</f>
        <v/>
      </c>
      <c r="K27" s="90">
        <f>'LOUÇAS'!E8</f>
        <v/>
      </c>
      <c r="L27" s="90">
        <f>'LOUÇAS'!E9</f>
        <v/>
      </c>
      <c r="M27" s="90">
        <f>'LOUÇAS'!E10</f>
        <v/>
      </c>
      <c r="N27" s="90">
        <f>'LOUÇAS'!E11</f>
        <v/>
      </c>
      <c r="O27" s="90">
        <f>'LOUÇAS'!E12</f>
        <v/>
      </c>
      <c r="P27" s="90">
        <f>'LOUÇAS'!E13</f>
        <v/>
      </c>
      <c r="Q27" s="90">
        <f>'LOUÇAS'!E14</f>
        <v/>
      </c>
      <c r="R27" s="90">
        <f>'LOUÇAS'!E15</f>
        <v/>
      </c>
      <c r="S27" s="90">
        <f>'LOUÇAS'!E16</f>
        <v/>
      </c>
      <c r="T27" s="90">
        <f>'LOUÇAS'!E17</f>
        <v/>
      </c>
      <c r="U27" s="90">
        <f>'LOUÇAS'!E18</f>
        <v/>
      </c>
      <c r="V27" s="90">
        <f>'LOUÇAS'!E19</f>
        <v/>
      </c>
      <c r="W27" s="90">
        <f>'LOUÇAS'!E20</f>
        <v/>
      </c>
      <c r="X27" s="90">
        <f>'LOUÇAS'!E21</f>
        <v/>
      </c>
      <c r="Y27" s="90">
        <f>'LOUÇAS'!E22</f>
        <v/>
      </c>
      <c r="Z27" s="90">
        <f>'LOUÇAS'!E23</f>
        <v/>
      </c>
      <c r="AA27" s="90">
        <f>'LOUÇAS'!E24</f>
        <v/>
      </c>
      <c r="AB27" s="90">
        <f>'LOUÇAS'!E25</f>
        <v/>
      </c>
      <c r="AC27" s="90">
        <f>'LOUÇAS'!E26</f>
        <v/>
      </c>
      <c r="AD27" s="90">
        <f>'LOUÇAS'!E27</f>
        <v/>
      </c>
      <c r="AE27" s="90">
        <f>'LOUÇAS'!E28</f>
        <v/>
      </c>
      <c r="AF27" s="90">
        <f>'LOUÇAS'!E29</f>
        <v/>
      </c>
      <c r="AG27" s="90">
        <f>'LOUÇAS'!E30</f>
        <v/>
      </c>
      <c r="AH27" s="90">
        <f>'LOUÇAS'!E31</f>
        <v/>
      </c>
      <c r="AI27" s="90">
        <f>'LOUÇAS'!E32</f>
        <v/>
      </c>
      <c r="AJ27" s="90">
        <f>'LOUÇAS'!E33</f>
        <v/>
      </c>
      <c r="AK27" s="90">
        <f>'LOUÇAS'!E34</f>
        <v/>
      </c>
      <c r="AL27" s="90">
        <f>'LOUÇAS'!E35</f>
        <v/>
      </c>
      <c r="AM27" s="90">
        <f>'LOUÇAS'!E36</f>
        <v/>
      </c>
      <c r="AN27" s="90">
        <f>'LOUÇAS'!E37</f>
        <v/>
      </c>
      <c r="AO27" s="90">
        <f>'LOUÇAS'!E38</f>
        <v/>
      </c>
      <c r="AP27" s="90">
        <f>'LOUÇAS'!E39</f>
        <v/>
      </c>
      <c r="AQ27" s="90">
        <f>'LOUÇAS'!E40</f>
        <v/>
      </c>
      <c r="AR27" s="90">
        <f>'LOUÇAS'!E41</f>
        <v/>
      </c>
      <c r="AS27" s="90">
        <f>'LOUÇAS'!E42</f>
        <v/>
      </c>
      <c r="AT27" s="90">
        <f>'LOUÇAS'!E43</f>
        <v/>
      </c>
      <c r="AU27" s="90">
        <f>'LOUÇAS'!E44</f>
        <v/>
      </c>
      <c r="AV27" s="90">
        <f>'LOUÇAS'!E45</f>
        <v/>
      </c>
      <c r="AW27" s="90">
        <f>'LOUÇAS'!E46</f>
        <v/>
      </c>
      <c r="AX27" s="90">
        <f>'LOUÇAS'!E47</f>
        <v/>
      </c>
      <c r="AY27" s="90">
        <f>'LOUÇAS'!E48</f>
        <v/>
      </c>
      <c r="AZ27" s="90">
        <f>'LOUÇAS'!E49</f>
        <v/>
      </c>
      <c r="BA27" s="90">
        <f>'LOUÇAS'!E50</f>
        <v/>
      </c>
      <c r="BB27" s="90">
        <f>'LOUÇAS'!E51</f>
        <v/>
      </c>
      <c r="BC27" s="90">
        <f>'LOUÇAS'!E52</f>
        <v/>
      </c>
      <c r="BD27" s="90">
        <f>'LOUÇAS'!E53</f>
        <v/>
      </c>
      <c r="BE27" s="90">
        <f>'LOUÇAS'!E54</f>
        <v/>
      </c>
      <c r="BF27" s="90">
        <f>'LOUÇAS'!E55</f>
        <v/>
      </c>
      <c r="BG27" s="90">
        <f>'LOUÇAS'!E56</f>
        <v/>
      </c>
      <c r="BH27" s="90">
        <f>'LOUÇAS'!E57</f>
        <v/>
      </c>
      <c r="BI27" s="90">
        <f>'LOUÇAS'!E58</f>
        <v/>
      </c>
      <c r="BJ27" s="90">
        <f>'LOUÇAS'!E59</f>
        <v/>
      </c>
      <c r="BK27" s="90">
        <f>'LOUÇAS'!E60</f>
        <v/>
      </c>
      <c r="BL27" s="90">
        <f>'LOUÇAS'!E61</f>
        <v/>
      </c>
      <c r="BM27" s="90">
        <f>'LOUÇAS'!E62</f>
        <v/>
      </c>
      <c r="BN27" s="90">
        <f>'LOUÇAS'!E63</f>
        <v/>
      </c>
      <c r="BO27" s="90">
        <f>'LOUÇAS'!E64</f>
        <v/>
      </c>
      <c r="BP27" s="90">
        <f>'LOUÇAS'!E65</f>
        <v/>
      </c>
      <c r="BQ27" s="90">
        <f>'LOUÇAS'!E66</f>
        <v/>
      </c>
      <c r="BR27" s="90">
        <f>'LOUÇAS'!E67</f>
        <v/>
      </c>
      <c r="BS27" s="90">
        <f>'LOUÇAS'!E68</f>
        <v/>
      </c>
      <c r="BT27" s="90">
        <f>'LOUÇAS'!E69</f>
        <v/>
      </c>
      <c r="BU27" s="90">
        <f>'LOUÇAS'!E70</f>
        <v/>
      </c>
      <c r="BV27" s="90">
        <f>'LOUÇAS'!E71</f>
        <v/>
      </c>
      <c r="BW27" s="90">
        <f>'LOUÇAS'!E72</f>
        <v/>
      </c>
      <c r="BX27" s="90">
        <f>'LOUÇAS'!E73</f>
        <v/>
      </c>
      <c r="BY27" s="90">
        <f>'LOUÇAS'!E74</f>
        <v/>
      </c>
      <c r="BZ27" s="90">
        <f>'LOUÇAS'!E75</f>
        <v/>
      </c>
      <c r="CA27" s="90">
        <f>'LOUÇAS'!E76</f>
        <v/>
      </c>
    </row>
    <row r="28">
      <c r="A28" s="59" t="inlineStr">
        <is>
          <t>G041.002</t>
        </is>
      </c>
      <c r="B28" s="59" t="inlineStr">
        <is>
          <t>1030 1070 530</t>
        </is>
      </c>
      <c r="C28" s="59" t="inlineStr">
        <is>
          <t>MÃO DE OBRA PRÓPRIA</t>
        </is>
      </c>
      <c r="D28" s="60">
        <f>'MDO'!$K$5</f>
        <v/>
      </c>
      <c r="E28" s="49">
        <f>SUM(H28:CA28)</f>
        <v/>
      </c>
      <c r="F28" s="49">
        <f>IF(D28="","",D28-E28)</f>
        <v/>
      </c>
      <c r="H28" s="90">
        <f>'MDO'!E5</f>
        <v/>
      </c>
      <c r="I28" s="90">
        <f>'MDO'!E6</f>
        <v/>
      </c>
      <c r="J28" s="90">
        <f>'MDO'!E7</f>
        <v/>
      </c>
      <c r="K28" s="90">
        <f>'MDO'!E8</f>
        <v/>
      </c>
      <c r="L28" s="90">
        <f>'MDO'!E9</f>
        <v/>
      </c>
      <c r="M28" s="90">
        <f>'MDO'!E10</f>
        <v/>
      </c>
      <c r="N28" s="90">
        <f>'MDO'!E11</f>
        <v/>
      </c>
      <c r="O28" s="90">
        <f>'MDO'!E12</f>
        <v/>
      </c>
      <c r="P28" s="90">
        <f>'MDO'!E13</f>
        <v/>
      </c>
      <c r="Q28" s="90">
        <f>'MDO'!E14</f>
        <v/>
      </c>
      <c r="R28" s="90">
        <f>'MDO'!E15</f>
        <v/>
      </c>
      <c r="S28" s="90">
        <f>'MDO'!E16</f>
        <v/>
      </c>
      <c r="T28" s="90">
        <f>'MDO'!E17</f>
        <v/>
      </c>
      <c r="U28" s="90">
        <f>'MDO'!E18</f>
        <v/>
      </c>
      <c r="V28" s="90">
        <f>'MDO'!E19</f>
        <v/>
      </c>
      <c r="W28" s="90">
        <f>'MDO'!E20</f>
        <v/>
      </c>
      <c r="X28" s="90">
        <f>'MDO'!E21</f>
        <v/>
      </c>
      <c r="Y28" s="90">
        <f>'MDO'!E22</f>
        <v/>
      </c>
      <c r="Z28" s="90">
        <f>'MDO'!E23</f>
        <v/>
      </c>
      <c r="AA28" s="90">
        <f>'MDO'!E24</f>
        <v/>
      </c>
      <c r="AB28" s="90">
        <f>'MDO'!E25</f>
        <v/>
      </c>
      <c r="AC28" s="90">
        <f>'MDO'!E26</f>
        <v/>
      </c>
      <c r="AD28" s="90">
        <f>'MDO'!E27</f>
        <v/>
      </c>
      <c r="AE28" s="90">
        <f>'MDO'!E28</f>
        <v/>
      </c>
      <c r="AF28" s="90">
        <f>'MDO'!E29</f>
        <v/>
      </c>
      <c r="AG28" s="90">
        <f>'MDO'!E30</f>
        <v/>
      </c>
      <c r="AH28" s="90">
        <f>'MDO'!E31</f>
        <v/>
      </c>
      <c r="AI28" s="90">
        <f>'MDO'!E32</f>
        <v/>
      </c>
      <c r="AJ28" s="90">
        <f>'MDO'!E33</f>
        <v/>
      </c>
      <c r="AK28" s="90">
        <f>'MDO'!E34</f>
        <v/>
      </c>
      <c r="AL28" s="90">
        <f>'MDO'!E35</f>
        <v/>
      </c>
      <c r="AM28" s="90">
        <f>'MDO'!E36</f>
        <v/>
      </c>
      <c r="AN28" s="90">
        <f>'MDO'!E37</f>
        <v/>
      </c>
      <c r="AO28" s="90">
        <f>'MDO'!E38</f>
        <v/>
      </c>
      <c r="AP28" s="90">
        <f>'MDO'!E39</f>
        <v/>
      </c>
      <c r="AQ28" s="90">
        <f>'MDO'!E40</f>
        <v/>
      </c>
      <c r="AR28" s="90">
        <f>'MDO'!E41</f>
        <v/>
      </c>
      <c r="AS28" s="90">
        <f>'MDO'!E42</f>
        <v/>
      </c>
      <c r="AT28" s="90">
        <f>'MDO'!E43</f>
        <v/>
      </c>
      <c r="AU28" s="90">
        <f>'MDO'!E44</f>
        <v/>
      </c>
      <c r="AV28" s="90">
        <f>'MDO'!E45</f>
        <v/>
      </c>
      <c r="AW28" s="90">
        <f>'MDO'!E46</f>
        <v/>
      </c>
      <c r="AX28" s="90">
        <f>'MDO'!E47</f>
        <v/>
      </c>
      <c r="AY28" s="90">
        <f>'MDO'!E48</f>
        <v/>
      </c>
      <c r="AZ28" s="90">
        <f>'MDO'!E49</f>
        <v/>
      </c>
      <c r="BA28" s="90">
        <f>'MDO'!E50</f>
        <v/>
      </c>
      <c r="BB28" s="90">
        <f>'MDO'!E51</f>
        <v/>
      </c>
      <c r="BC28" s="90">
        <f>'MDO'!E52</f>
        <v/>
      </c>
      <c r="BD28" s="90">
        <f>'MDO'!E53</f>
        <v/>
      </c>
      <c r="BE28" s="90">
        <f>'MDO'!E54</f>
        <v/>
      </c>
      <c r="BF28" s="90">
        <f>'MDO'!E55</f>
        <v/>
      </c>
      <c r="BG28" s="90">
        <f>'MDO'!E56</f>
        <v/>
      </c>
      <c r="BH28" s="90">
        <f>'MDO'!E57</f>
        <v/>
      </c>
      <c r="BI28" s="90">
        <f>'MDO'!E58</f>
        <v/>
      </c>
      <c r="BJ28" s="90">
        <f>'MDO'!E59</f>
        <v/>
      </c>
      <c r="BK28" s="90">
        <f>'MDO'!E60</f>
        <v/>
      </c>
      <c r="BL28" s="90">
        <f>'MDO'!E61</f>
        <v/>
      </c>
      <c r="BM28" s="90">
        <f>'MDO'!E62</f>
        <v/>
      </c>
      <c r="BN28" s="90">
        <f>'MDO'!E63</f>
        <v/>
      </c>
      <c r="BO28" s="90">
        <f>'MDO'!E64</f>
        <v/>
      </c>
      <c r="BP28" s="90">
        <f>'MDO'!E65</f>
        <v/>
      </c>
      <c r="BQ28" s="90">
        <f>'MDO'!E66</f>
        <v/>
      </c>
      <c r="BR28" s="90">
        <f>'MDO'!E67</f>
        <v/>
      </c>
      <c r="BS28" s="90">
        <f>'MDO'!E68</f>
        <v/>
      </c>
      <c r="BT28" s="90">
        <f>'MDO'!E69</f>
        <v/>
      </c>
      <c r="BU28" s="90">
        <f>'MDO'!E70</f>
        <v/>
      </c>
      <c r="BV28" s="90">
        <f>'MDO'!E71</f>
        <v/>
      </c>
      <c r="BW28" s="90">
        <f>'MDO'!E72</f>
        <v/>
      </c>
      <c r="BX28" s="90">
        <f>'MDO'!E73</f>
        <v/>
      </c>
      <c r="BY28" s="90">
        <f>'MDO'!E74</f>
        <v/>
      </c>
      <c r="BZ28" s="90">
        <f>'MDO'!E75</f>
        <v/>
      </c>
      <c r="CA28" s="90">
        <f>'MDO'!E76</f>
        <v/>
      </c>
    </row>
    <row r="29">
      <c r="A29" s="59" t="inlineStr">
        <is>
          <t>G041.002</t>
        </is>
      </c>
      <c r="B29" s="59" t="inlineStr">
        <is>
          <t>1030 1070 540</t>
        </is>
      </c>
      <c r="C29" s="59" t="inlineStr">
        <is>
          <t>MARCENARIA</t>
        </is>
      </c>
      <c r="D29" s="60">
        <f>'MARCENARIA'!$K$5</f>
        <v/>
      </c>
      <c r="E29" s="49">
        <f>SUM(H29:CA29)</f>
        <v/>
      </c>
      <c r="F29" s="49">
        <f>IF(D29="","",D29-E29)</f>
        <v/>
      </c>
      <c r="H29" s="90">
        <f>'MARCENARIA'!E5</f>
        <v/>
      </c>
      <c r="I29" s="90">
        <f>'MARCENARIA'!E6</f>
        <v/>
      </c>
      <c r="J29" s="90">
        <f>'MARCENARIA'!E7</f>
        <v/>
      </c>
      <c r="K29" s="90">
        <f>'MARCENARIA'!E8</f>
        <v/>
      </c>
      <c r="L29" s="90">
        <f>'MARCENARIA'!E9</f>
        <v/>
      </c>
      <c r="M29" s="90">
        <f>'MARCENARIA'!E10</f>
        <v/>
      </c>
      <c r="N29" s="90">
        <f>'MARCENARIA'!E11</f>
        <v/>
      </c>
      <c r="O29" s="90">
        <f>'MARCENARIA'!E12</f>
        <v/>
      </c>
      <c r="P29" s="90">
        <f>'MARCENARIA'!E13</f>
        <v/>
      </c>
      <c r="Q29" s="90">
        <f>'MARCENARIA'!E14</f>
        <v/>
      </c>
      <c r="R29" s="90">
        <f>'MARCENARIA'!E15</f>
        <v/>
      </c>
      <c r="S29" s="90">
        <f>'MARCENARIA'!E16</f>
        <v/>
      </c>
      <c r="T29" s="90">
        <f>'MARCENARIA'!E17</f>
        <v/>
      </c>
      <c r="U29" s="90">
        <f>'MARCENARIA'!E18</f>
        <v/>
      </c>
      <c r="V29" s="90">
        <f>'MARCENARIA'!E19</f>
        <v/>
      </c>
      <c r="W29" s="90">
        <f>'MARCENARIA'!E20</f>
        <v/>
      </c>
      <c r="X29" s="90">
        <f>'MARCENARIA'!E21</f>
        <v/>
      </c>
      <c r="Y29" s="90">
        <f>'MARCENARIA'!E22</f>
        <v/>
      </c>
      <c r="Z29" s="90">
        <f>'MARCENARIA'!E23</f>
        <v/>
      </c>
      <c r="AA29" s="90">
        <f>'MARCENARIA'!E24</f>
        <v/>
      </c>
      <c r="AB29" s="90">
        <f>'MARCENARIA'!E25</f>
        <v/>
      </c>
      <c r="AC29" s="90">
        <f>'MARCENARIA'!E26</f>
        <v/>
      </c>
      <c r="AD29" s="90">
        <f>'MARCENARIA'!E27</f>
        <v/>
      </c>
      <c r="AE29" s="90">
        <f>'MARCENARIA'!E28</f>
        <v/>
      </c>
      <c r="AF29" s="90">
        <f>'MARCENARIA'!E29</f>
        <v/>
      </c>
      <c r="AG29" s="90">
        <f>'MARCENARIA'!E30</f>
        <v/>
      </c>
      <c r="AH29" s="90">
        <f>'MARCENARIA'!E31</f>
        <v/>
      </c>
      <c r="AI29" s="90">
        <f>'MARCENARIA'!E32</f>
        <v/>
      </c>
      <c r="AJ29" s="90">
        <f>'MARCENARIA'!E33</f>
        <v/>
      </c>
      <c r="AK29" s="90">
        <f>'MARCENARIA'!E34</f>
        <v/>
      </c>
      <c r="AL29" s="90">
        <f>'MARCENARIA'!E35</f>
        <v/>
      </c>
      <c r="AM29" s="90">
        <f>'MARCENARIA'!E36</f>
        <v/>
      </c>
      <c r="AN29" s="90">
        <f>'MARCENARIA'!E37</f>
        <v/>
      </c>
      <c r="AO29" s="90">
        <f>'MARCENARIA'!E38</f>
        <v/>
      </c>
      <c r="AP29" s="90">
        <f>'MARCENARIA'!E39</f>
        <v/>
      </c>
      <c r="AQ29" s="90">
        <f>'MARCENARIA'!E40</f>
        <v/>
      </c>
      <c r="AR29" s="90">
        <f>'MARCENARIA'!E41</f>
        <v/>
      </c>
      <c r="AS29" s="90">
        <f>'MARCENARIA'!E42</f>
        <v/>
      </c>
      <c r="AT29" s="90">
        <f>'MARCENARIA'!E43</f>
        <v/>
      </c>
      <c r="AU29" s="90">
        <f>'MARCENARIA'!E44</f>
        <v/>
      </c>
      <c r="AV29" s="90">
        <f>'MARCENARIA'!E45</f>
        <v/>
      </c>
      <c r="AW29" s="90">
        <f>'MARCENARIA'!E46</f>
        <v/>
      </c>
      <c r="AX29" s="90">
        <f>'MARCENARIA'!E47</f>
        <v/>
      </c>
      <c r="AY29" s="90">
        <f>'MARCENARIA'!E48</f>
        <v/>
      </c>
      <c r="AZ29" s="90">
        <f>'MARCENARIA'!E49</f>
        <v/>
      </c>
      <c r="BA29" s="90">
        <f>'MARCENARIA'!E50</f>
        <v/>
      </c>
      <c r="BB29" s="90">
        <f>'MARCENARIA'!E51</f>
        <v/>
      </c>
      <c r="BC29" s="90">
        <f>'MARCENARIA'!E52</f>
        <v/>
      </c>
      <c r="BD29" s="90">
        <f>'MARCENARIA'!E53</f>
        <v/>
      </c>
      <c r="BE29" s="90">
        <f>'MARCENARIA'!E54</f>
        <v/>
      </c>
      <c r="BF29" s="90">
        <f>'MARCENARIA'!E55</f>
        <v/>
      </c>
      <c r="BG29" s="90">
        <f>'MARCENARIA'!E56</f>
        <v/>
      </c>
      <c r="BH29" s="90">
        <f>'MARCENARIA'!E57</f>
        <v/>
      </c>
      <c r="BI29" s="90">
        <f>'MARCENARIA'!E58</f>
        <v/>
      </c>
      <c r="BJ29" s="90">
        <f>'MARCENARIA'!E59</f>
        <v/>
      </c>
      <c r="BK29" s="90">
        <f>'MARCENARIA'!E60</f>
        <v/>
      </c>
      <c r="BL29" s="90">
        <f>'MARCENARIA'!E61</f>
        <v/>
      </c>
      <c r="BM29" s="90">
        <f>'MARCENARIA'!E62</f>
        <v/>
      </c>
      <c r="BN29" s="90">
        <f>'MARCENARIA'!E63</f>
        <v/>
      </c>
      <c r="BO29" s="90">
        <f>'MARCENARIA'!E64</f>
        <v/>
      </c>
      <c r="BP29" s="90">
        <f>'MARCENARIA'!E65</f>
        <v/>
      </c>
      <c r="BQ29" s="90">
        <f>'MARCENARIA'!E66</f>
        <v/>
      </c>
      <c r="BR29" s="90">
        <f>'MARCENARIA'!E67</f>
        <v/>
      </c>
      <c r="BS29" s="90">
        <f>'MARCENARIA'!E68</f>
        <v/>
      </c>
      <c r="BT29" s="90">
        <f>'MARCENARIA'!E69</f>
        <v/>
      </c>
      <c r="BU29" s="90">
        <f>'MARCENARIA'!E70</f>
        <v/>
      </c>
      <c r="BV29" s="90">
        <f>'MARCENARIA'!E71</f>
        <v/>
      </c>
      <c r="BW29" s="90">
        <f>'MARCENARIA'!E72</f>
        <v/>
      </c>
      <c r="BX29" s="90">
        <f>'MARCENARIA'!E73</f>
        <v/>
      </c>
      <c r="BY29" s="90">
        <f>'MARCENARIA'!E74</f>
        <v/>
      </c>
      <c r="BZ29" s="90">
        <f>'MARCENARIA'!E75</f>
        <v/>
      </c>
      <c r="CA29" s="90">
        <f>'MARCENARIA'!E76</f>
        <v/>
      </c>
    </row>
    <row r="30">
      <c r="A30" s="59" t="inlineStr">
        <is>
          <t>G041.002</t>
        </is>
      </c>
      <c r="B30" s="59" t="inlineStr">
        <is>
          <t>1030-1090-100</t>
        </is>
      </c>
      <c r="C30" s="59" t="inlineStr">
        <is>
          <t>MEDIDAS COMPENSATÓRIAS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1030 1070 430</t>
        </is>
      </c>
      <c r="C31" s="59" t="inlineStr">
        <is>
          <t>JARDINEIRAS E PAISAGISMO</t>
        </is>
      </c>
      <c r="D31" s="60">
        <f>'PAISAGISMO'!$K$5</f>
        <v/>
      </c>
      <c r="E31" s="49">
        <f>SUM(H31:CA31)</f>
        <v/>
      </c>
      <c r="F31" s="49">
        <f>IF(D31="","",D31-E31)</f>
        <v/>
      </c>
      <c r="H31" s="90">
        <f>'PAISAGISMO'!E5</f>
        <v/>
      </c>
      <c r="I31" s="90">
        <f>'PAISAGISMO'!E6</f>
        <v/>
      </c>
      <c r="J31" s="90">
        <f>'PAISAGISMO'!E7</f>
        <v/>
      </c>
      <c r="K31" s="90">
        <f>'PAISAGISMO'!E8</f>
        <v/>
      </c>
      <c r="L31" s="90">
        <f>'PAISAGISMO'!E9</f>
        <v/>
      </c>
      <c r="M31" s="90">
        <f>'PAISAGISMO'!E10</f>
        <v/>
      </c>
      <c r="N31" s="90">
        <f>'PAISAGISMO'!E11</f>
        <v/>
      </c>
      <c r="O31" s="90">
        <f>'PAISAGISMO'!E12</f>
        <v/>
      </c>
      <c r="P31" s="90">
        <f>'PAISAGISMO'!E13</f>
        <v/>
      </c>
      <c r="Q31" s="90">
        <f>'PAISAGISMO'!E14</f>
        <v/>
      </c>
      <c r="R31" s="90">
        <f>'PAISAGISMO'!E15</f>
        <v/>
      </c>
      <c r="S31" s="90">
        <f>'PAISAGISMO'!E16</f>
        <v/>
      </c>
      <c r="T31" s="90">
        <f>'PAISAGISMO'!E17</f>
        <v/>
      </c>
      <c r="U31" s="90">
        <f>'PAISAGISMO'!E18</f>
        <v/>
      </c>
      <c r="V31" s="90">
        <f>'PAISAGISMO'!E19</f>
        <v/>
      </c>
      <c r="W31" s="90">
        <f>'PAISAGISMO'!E20</f>
        <v/>
      </c>
      <c r="X31" s="90">
        <f>'PAISAGISMO'!E21</f>
        <v/>
      </c>
      <c r="Y31" s="90">
        <f>'PAISAGISMO'!E22</f>
        <v/>
      </c>
      <c r="Z31" s="90">
        <f>'PAISAGISMO'!E23</f>
        <v/>
      </c>
      <c r="AA31" s="90">
        <f>'PAISAGISMO'!E24</f>
        <v/>
      </c>
      <c r="AB31" s="90">
        <f>'PAISAGISMO'!E25</f>
        <v/>
      </c>
      <c r="AC31" s="90">
        <f>'PAISAGISMO'!E26</f>
        <v/>
      </c>
      <c r="AD31" s="90">
        <f>'PAISAGISMO'!E27</f>
        <v/>
      </c>
      <c r="AE31" s="90">
        <f>'PAISAGISMO'!E28</f>
        <v/>
      </c>
      <c r="AF31" s="90">
        <f>'PAISAGISMO'!E29</f>
        <v/>
      </c>
      <c r="AG31" s="90">
        <f>'PAISAGISMO'!E30</f>
        <v/>
      </c>
      <c r="AH31" s="90">
        <f>'PAISAGISMO'!E31</f>
        <v/>
      </c>
      <c r="AI31" s="90">
        <f>'PAISAGISMO'!E32</f>
        <v/>
      </c>
      <c r="AJ31" s="90">
        <f>'PAISAGISMO'!E33</f>
        <v/>
      </c>
      <c r="AK31" s="90">
        <f>'PAISAGISMO'!E34</f>
        <v/>
      </c>
      <c r="AL31" s="90">
        <f>'PAISAGISMO'!E35</f>
        <v/>
      </c>
      <c r="AM31" s="90">
        <f>'PAISAGISMO'!E36</f>
        <v/>
      </c>
      <c r="AN31" s="90">
        <f>'PAISAGISMO'!E37</f>
        <v/>
      </c>
      <c r="AO31" s="90">
        <f>'PAISAGISMO'!E38</f>
        <v/>
      </c>
      <c r="AP31" s="90">
        <f>'PAISAGISMO'!E39</f>
        <v/>
      </c>
      <c r="AQ31" s="90">
        <f>'PAISAGISMO'!E40</f>
        <v/>
      </c>
      <c r="AR31" s="90">
        <f>'PAISAGISMO'!E41</f>
        <v/>
      </c>
      <c r="AS31" s="90">
        <f>'PAISAGISMO'!E42</f>
        <v/>
      </c>
      <c r="AT31" s="90">
        <f>'PAISAGISMO'!E43</f>
        <v/>
      </c>
      <c r="AU31" s="90">
        <f>'PAISAGISMO'!E44</f>
        <v/>
      </c>
      <c r="AV31" s="90">
        <f>'PAISAGISMO'!E45</f>
        <v/>
      </c>
      <c r="AW31" s="90">
        <f>'PAISAGISMO'!E46</f>
        <v/>
      </c>
      <c r="AX31" s="90">
        <f>'PAISAGISMO'!E47</f>
        <v/>
      </c>
      <c r="AY31" s="90">
        <f>'PAISAGISMO'!E48</f>
        <v/>
      </c>
      <c r="AZ31" s="90">
        <f>'PAISAGISMO'!E49</f>
        <v/>
      </c>
      <c r="BA31" s="90">
        <f>'PAISAGISMO'!E50</f>
        <v/>
      </c>
      <c r="BB31" s="90">
        <f>'PAISAGISMO'!E51</f>
        <v/>
      </c>
      <c r="BC31" s="90">
        <f>'PAISAGISMO'!E52</f>
        <v/>
      </c>
      <c r="BD31" s="90">
        <f>'PAISAGISMO'!E53</f>
        <v/>
      </c>
      <c r="BE31" s="90">
        <f>'PAISAGISMO'!E54</f>
        <v/>
      </c>
      <c r="BF31" s="90">
        <f>'PAISAGISMO'!E55</f>
        <v/>
      </c>
      <c r="BG31" s="90">
        <f>'PAISAGISMO'!E56</f>
        <v/>
      </c>
      <c r="BH31" s="90">
        <f>'PAISAGISMO'!E57</f>
        <v/>
      </c>
      <c r="BI31" s="90">
        <f>'PAISAGISMO'!E58</f>
        <v/>
      </c>
      <c r="BJ31" s="90">
        <f>'PAISAGISMO'!E59</f>
        <v/>
      </c>
      <c r="BK31" s="90">
        <f>'PAISAGISMO'!E60</f>
        <v/>
      </c>
      <c r="BL31" s="90">
        <f>'PAISAGISMO'!E61</f>
        <v/>
      </c>
      <c r="BM31" s="90">
        <f>'PAISAGISMO'!E62</f>
        <v/>
      </c>
      <c r="BN31" s="90">
        <f>'PAISAGISMO'!E63</f>
        <v/>
      </c>
      <c r="BO31" s="90">
        <f>'PAISAGISMO'!E64</f>
        <v/>
      </c>
      <c r="BP31" s="90">
        <f>'PAISAGISMO'!E65</f>
        <v/>
      </c>
      <c r="BQ31" s="90">
        <f>'PAISAGISMO'!E66</f>
        <v/>
      </c>
      <c r="BR31" s="90">
        <f>'PAISAGISMO'!E67</f>
        <v/>
      </c>
      <c r="BS31" s="90">
        <f>'PAISAGISMO'!E68</f>
        <v/>
      </c>
      <c r="BT31" s="90">
        <f>'PAISAGISMO'!E69</f>
        <v/>
      </c>
      <c r="BU31" s="90">
        <f>'PAISAGISMO'!E70</f>
        <v/>
      </c>
      <c r="BV31" s="90">
        <f>'PAISAGISMO'!E71</f>
        <v/>
      </c>
      <c r="BW31" s="90">
        <f>'PAISAGISMO'!E72</f>
        <v/>
      </c>
      <c r="BX31" s="90">
        <f>'PAISAGISMO'!E73</f>
        <v/>
      </c>
      <c r="BY31" s="90">
        <f>'PAISAGISMO'!E74</f>
        <v/>
      </c>
      <c r="BZ31" s="90">
        <f>'PAISAGISMO'!E75</f>
        <v/>
      </c>
      <c r="CA31" s="90">
        <f>'PAISAGISMO'!E76</f>
        <v/>
      </c>
    </row>
    <row r="32">
      <c r="A32" s="59" t="inlineStr">
        <is>
          <t>G041.002</t>
        </is>
      </c>
      <c r="B32" s="59" t="inlineStr">
        <is>
          <t>1030 1070 420</t>
        </is>
      </c>
      <c r="C32" s="59" t="inlineStr">
        <is>
          <t>ESTRUTURA METÁLICA</t>
        </is>
      </c>
      <c r="D32" s="60">
        <f>'EST. METÁLICA'!$K$5</f>
        <v/>
      </c>
      <c r="E32" s="49">
        <f>SUM(H32:CA32)</f>
        <v/>
      </c>
      <c r="F32" s="49">
        <f>IF(D32="","",D32-E32)</f>
        <v/>
      </c>
      <c r="H32" s="90">
        <f>'EST. METÁLICA'!E5</f>
        <v/>
      </c>
      <c r="I32" s="90">
        <f>'EST. METÁLICA'!E6</f>
        <v/>
      </c>
      <c r="J32" s="90">
        <f>'EST. METÁLICA'!E7</f>
        <v/>
      </c>
      <c r="K32" s="90">
        <f>'EST. METÁLICA'!E8</f>
        <v/>
      </c>
      <c r="L32" s="90">
        <f>'EST. METÁLICA'!E9</f>
        <v/>
      </c>
      <c r="M32" s="90">
        <f>'EST. METÁLICA'!E10</f>
        <v/>
      </c>
      <c r="N32" s="90">
        <f>'EST. METÁLICA'!E11</f>
        <v/>
      </c>
      <c r="O32" s="90">
        <f>'EST. METÁLICA'!E12</f>
        <v/>
      </c>
      <c r="P32" s="90">
        <f>'EST. METÁLICA'!E13</f>
        <v/>
      </c>
      <c r="Q32" s="90">
        <f>'EST. METÁLICA'!E14</f>
        <v/>
      </c>
      <c r="R32" s="90">
        <f>'EST. METÁLICA'!E15</f>
        <v/>
      </c>
      <c r="S32" s="90">
        <f>'EST. METÁLICA'!E16</f>
        <v/>
      </c>
      <c r="T32" s="90">
        <f>'EST. METÁLICA'!E17</f>
        <v/>
      </c>
      <c r="U32" s="90">
        <f>'EST. METÁLICA'!E18</f>
        <v/>
      </c>
      <c r="V32" s="90">
        <f>'EST. METÁLICA'!E19</f>
        <v/>
      </c>
      <c r="W32" s="90">
        <f>'EST. METÁLICA'!E20</f>
        <v/>
      </c>
      <c r="X32" s="90">
        <f>'EST. METÁLICA'!E21</f>
        <v/>
      </c>
      <c r="Y32" s="90">
        <f>'EST. METÁLICA'!E22</f>
        <v/>
      </c>
      <c r="Z32" s="90">
        <f>'EST. METÁLICA'!E23</f>
        <v/>
      </c>
      <c r="AA32" s="90">
        <f>'EST. METÁLICA'!E24</f>
        <v/>
      </c>
      <c r="AB32" s="90">
        <f>'EST. METÁLICA'!E25</f>
        <v/>
      </c>
      <c r="AC32" s="90">
        <f>'EST. METÁLICA'!E26</f>
        <v/>
      </c>
      <c r="AD32" s="90">
        <f>'EST. METÁLICA'!E27</f>
        <v/>
      </c>
      <c r="AE32" s="90">
        <f>'EST. METÁLICA'!E28</f>
        <v/>
      </c>
      <c r="AF32" s="90">
        <f>'EST. METÁLICA'!E29</f>
        <v/>
      </c>
      <c r="AG32" s="90">
        <f>'EST. METÁLICA'!E30</f>
        <v/>
      </c>
      <c r="AH32" s="90">
        <f>'EST. METÁLICA'!E31</f>
        <v/>
      </c>
      <c r="AI32" s="90">
        <f>'EST. METÁLICA'!E32</f>
        <v/>
      </c>
      <c r="AJ32" s="90">
        <f>'EST. METÁLICA'!E33</f>
        <v/>
      </c>
      <c r="AK32" s="90">
        <f>'EST. METÁLICA'!E34</f>
        <v/>
      </c>
      <c r="AL32" s="90">
        <f>'EST. METÁLICA'!E35</f>
        <v/>
      </c>
      <c r="AM32" s="90">
        <f>'EST. METÁLICA'!E36</f>
        <v/>
      </c>
      <c r="AN32" s="90">
        <f>'EST. METÁLICA'!E37</f>
        <v/>
      </c>
      <c r="AO32" s="90">
        <f>'EST. METÁLICA'!E38</f>
        <v/>
      </c>
      <c r="AP32" s="90">
        <f>'EST. METÁLICA'!E39</f>
        <v/>
      </c>
      <c r="AQ32" s="90">
        <f>'EST. METÁLICA'!E40</f>
        <v/>
      </c>
      <c r="AR32" s="90">
        <f>'EST. METÁLICA'!E41</f>
        <v/>
      </c>
      <c r="AS32" s="90">
        <f>'EST. METÁLICA'!E42</f>
        <v/>
      </c>
      <c r="AT32" s="90">
        <f>'EST. METÁLICA'!E43</f>
        <v/>
      </c>
      <c r="AU32" s="90">
        <f>'EST. METÁLICA'!E44</f>
        <v/>
      </c>
      <c r="AV32" s="90">
        <f>'EST. METÁLICA'!E45</f>
        <v/>
      </c>
      <c r="AW32" s="90">
        <f>'EST. METÁLICA'!E46</f>
        <v/>
      </c>
      <c r="AX32" s="90">
        <f>'EST. METÁLICA'!E47</f>
        <v/>
      </c>
      <c r="AY32" s="90">
        <f>'EST. METÁLICA'!E48</f>
        <v/>
      </c>
      <c r="AZ32" s="90">
        <f>'EST. METÁLICA'!E49</f>
        <v/>
      </c>
      <c r="BA32" s="90">
        <f>'EST. METÁLICA'!E50</f>
        <v/>
      </c>
      <c r="BB32" s="90">
        <f>'EST. METÁLICA'!E51</f>
        <v/>
      </c>
      <c r="BC32" s="90">
        <f>'EST. METÁLICA'!E52</f>
        <v/>
      </c>
      <c r="BD32" s="90">
        <f>'EST. METÁLICA'!E53</f>
        <v/>
      </c>
      <c r="BE32" s="90">
        <f>'EST. METÁLICA'!E54</f>
        <v/>
      </c>
      <c r="BF32" s="90">
        <f>'EST. METÁLICA'!E55</f>
        <v/>
      </c>
      <c r="BG32" s="90">
        <f>'EST. METÁLICA'!E56</f>
        <v/>
      </c>
      <c r="BH32" s="90">
        <f>'EST. METÁLICA'!E57</f>
        <v/>
      </c>
      <c r="BI32" s="90">
        <f>'EST. METÁLICA'!E58</f>
        <v/>
      </c>
      <c r="BJ32" s="90">
        <f>'EST. METÁLICA'!E59</f>
        <v/>
      </c>
      <c r="BK32" s="90">
        <f>'EST. METÁLICA'!E60</f>
        <v/>
      </c>
      <c r="BL32" s="90">
        <f>'EST. METÁLICA'!E61</f>
        <v/>
      </c>
      <c r="BM32" s="90">
        <f>'EST. METÁLICA'!E62</f>
        <v/>
      </c>
      <c r="BN32" s="90">
        <f>'EST. METÁLICA'!E63</f>
        <v/>
      </c>
      <c r="BO32" s="90">
        <f>'EST. METÁLICA'!E64</f>
        <v/>
      </c>
      <c r="BP32" s="90">
        <f>'EST. METÁLICA'!E65</f>
        <v/>
      </c>
      <c r="BQ32" s="90">
        <f>'EST. METÁLICA'!E66</f>
        <v/>
      </c>
      <c r="BR32" s="90">
        <f>'EST. METÁLICA'!E67</f>
        <v/>
      </c>
      <c r="BS32" s="90">
        <f>'EST. METÁLICA'!E68</f>
        <v/>
      </c>
      <c r="BT32" s="90">
        <f>'EST. METÁLICA'!E69</f>
        <v/>
      </c>
      <c r="BU32" s="90">
        <f>'EST. METÁLICA'!E70</f>
        <v/>
      </c>
      <c r="BV32" s="90">
        <f>'EST. METÁLICA'!E71</f>
        <v/>
      </c>
      <c r="BW32" s="90">
        <f>'EST. METÁLICA'!E72</f>
        <v/>
      </c>
      <c r="BX32" s="90">
        <f>'EST. METÁLICA'!E73</f>
        <v/>
      </c>
      <c r="BY32" s="90">
        <f>'EST. METÁLICA'!E74</f>
        <v/>
      </c>
      <c r="BZ32" s="90">
        <f>'EST. METÁLICA'!E75</f>
        <v/>
      </c>
      <c r="CA32" s="90">
        <f>'EST. METÁLICA'!E76</f>
        <v/>
      </c>
    </row>
    <row r="33">
      <c r="A33" s="59" t="inlineStr">
        <is>
          <t>G041.002</t>
        </is>
      </c>
      <c r="B33" s="59" t="inlineStr">
        <is>
          <t>1030 1070 390</t>
        </is>
      </c>
      <c r="C33" s="59" t="inlineStr">
        <is>
          <t>PINTURA</t>
        </is>
      </c>
      <c r="D33" s="60">
        <f>'PINTURA'!$K$5</f>
        <v/>
      </c>
      <c r="E33" s="49">
        <f>SUM(H33:CA33)</f>
        <v/>
      </c>
      <c r="F33" s="49">
        <f>IF(D33="","",D33-E33)</f>
        <v/>
      </c>
      <c r="H33" s="90">
        <f>'PINTURA'!E5</f>
        <v/>
      </c>
      <c r="I33" s="90">
        <f>'PINTURA'!E6</f>
        <v/>
      </c>
      <c r="J33" s="90">
        <f>'PINTURA'!E7</f>
        <v/>
      </c>
      <c r="K33" s="90">
        <f>'PINTURA'!E8</f>
        <v/>
      </c>
      <c r="L33" s="90">
        <f>'PINTURA'!E9</f>
        <v/>
      </c>
      <c r="M33" s="90">
        <f>'PINTURA'!E10</f>
        <v/>
      </c>
      <c r="N33" s="90">
        <f>'PINTURA'!E11</f>
        <v/>
      </c>
      <c r="O33" s="90">
        <f>'PINTURA'!E12</f>
        <v/>
      </c>
      <c r="P33" s="90">
        <f>'PINTURA'!E13</f>
        <v/>
      </c>
      <c r="Q33" s="90">
        <f>'PINTURA'!E14</f>
        <v/>
      </c>
      <c r="R33" s="90">
        <f>'PINTURA'!E15</f>
        <v/>
      </c>
      <c r="S33" s="90">
        <f>'PINTURA'!E16</f>
        <v/>
      </c>
      <c r="T33" s="90">
        <f>'PINTURA'!E17</f>
        <v/>
      </c>
      <c r="U33" s="90">
        <f>'PINTURA'!E18</f>
        <v/>
      </c>
      <c r="V33" s="90">
        <f>'PINTURA'!E19</f>
        <v/>
      </c>
      <c r="W33" s="90">
        <f>'PINTURA'!E20</f>
        <v/>
      </c>
      <c r="X33" s="90">
        <f>'PINTURA'!E21</f>
        <v/>
      </c>
      <c r="Y33" s="90">
        <f>'PINTURA'!E22</f>
        <v/>
      </c>
      <c r="Z33" s="90">
        <f>'PINTURA'!E23</f>
        <v/>
      </c>
      <c r="AA33" s="90">
        <f>'PINTURA'!E24</f>
        <v/>
      </c>
      <c r="AB33" s="90">
        <f>'PINTURA'!E25</f>
        <v/>
      </c>
      <c r="AC33" s="90">
        <f>'PINTURA'!E26</f>
        <v/>
      </c>
      <c r="AD33" s="90">
        <f>'PINTURA'!E27</f>
        <v/>
      </c>
      <c r="AE33" s="90">
        <f>'PINTURA'!E28</f>
        <v/>
      </c>
      <c r="AF33" s="90">
        <f>'PINTURA'!E29</f>
        <v/>
      </c>
      <c r="AG33" s="90">
        <f>'PINTURA'!E30</f>
        <v/>
      </c>
      <c r="AH33" s="90">
        <f>'PINTURA'!E31</f>
        <v/>
      </c>
      <c r="AI33" s="90">
        <f>'PINTURA'!E32</f>
        <v/>
      </c>
      <c r="AJ33" s="90">
        <f>'PINTURA'!E33</f>
        <v/>
      </c>
      <c r="AK33" s="90">
        <f>'PINTURA'!E34</f>
        <v/>
      </c>
      <c r="AL33" s="90">
        <f>'PINTURA'!E35</f>
        <v/>
      </c>
      <c r="AM33" s="90">
        <f>'PINTURA'!E36</f>
        <v/>
      </c>
      <c r="AN33" s="90">
        <f>'PINTURA'!E37</f>
        <v/>
      </c>
      <c r="AO33" s="90">
        <f>'PINTURA'!E38</f>
        <v/>
      </c>
      <c r="AP33" s="90">
        <f>'PINTURA'!E39</f>
        <v/>
      </c>
      <c r="AQ33" s="90">
        <f>'PINTURA'!E40</f>
        <v/>
      </c>
      <c r="AR33" s="90">
        <f>'PINTURA'!E41</f>
        <v/>
      </c>
      <c r="AS33" s="90">
        <f>'PINTURA'!E42</f>
        <v/>
      </c>
      <c r="AT33" s="90">
        <f>'PINTURA'!E43</f>
        <v/>
      </c>
      <c r="AU33" s="90">
        <f>'PINTURA'!E44</f>
        <v/>
      </c>
      <c r="AV33" s="90">
        <f>'PINTURA'!E45</f>
        <v/>
      </c>
      <c r="AW33" s="90">
        <f>'PINTURA'!E46</f>
        <v/>
      </c>
      <c r="AX33" s="90">
        <f>'PINTURA'!E47</f>
        <v/>
      </c>
      <c r="AY33" s="90">
        <f>'PINTURA'!E48</f>
        <v/>
      </c>
      <c r="AZ33" s="90">
        <f>'PINTURA'!E49</f>
        <v/>
      </c>
      <c r="BA33" s="90">
        <f>'PINTURA'!E50</f>
        <v/>
      </c>
      <c r="BB33" s="90">
        <f>'PINTURA'!E51</f>
        <v/>
      </c>
      <c r="BC33" s="90">
        <f>'PINTURA'!E52</f>
        <v/>
      </c>
      <c r="BD33" s="90">
        <f>'PINTURA'!E53</f>
        <v/>
      </c>
      <c r="BE33" s="90">
        <f>'PINTURA'!E54</f>
        <v/>
      </c>
      <c r="BF33" s="90">
        <f>'PINTURA'!E55</f>
        <v/>
      </c>
      <c r="BG33" s="90">
        <f>'PINTURA'!E56</f>
        <v/>
      </c>
      <c r="BH33" s="90">
        <f>'PINTURA'!E57</f>
        <v/>
      </c>
      <c r="BI33" s="90">
        <f>'PINTURA'!E58</f>
        <v/>
      </c>
      <c r="BJ33" s="90">
        <f>'PINTURA'!E59</f>
        <v/>
      </c>
      <c r="BK33" s="90">
        <f>'PINTURA'!E60</f>
        <v/>
      </c>
      <c r="BL33" s="90">
        <f>'PINTURA'!E61</f>
        <v/>
      </c>
      <c r="BM33" s="90">
        <f>'PINTURA'!E62</f>
        <v/>
      </c>
      <c r="BN33" s="90">
        <f>'PINTURA'!E63</f>
        <v/>
      </c>
      <c r="BO33" s="90">
        <f>'PINTURA'!E64</f>
        <v/>
      </c>
      <c r="BP33" s="90">
        <f>'PINTURA'!E65</f>
        <v/>
      </c>
      <c r="BQ33" s="90">
        <f>'PINTURA'!E66</f>
        <v/>
      </c>
      <c r="BR33" s="90">
        <f>'PINTURA'!E67</f>
        <v/>
      </c>
      <c r="BS33" s="90">
        <f>'PINTURA'!E68</f>
        <v/>
      </c>
      <c r="BT33" s="90">
        <f>'PINTURA'!E69</f>
        <v/>
      </c>
      <c r="BU33" s="90">
        <f>'PINTURA'!E70</f>
        <v/>
      </c>
      <c r="BV33" s="90">
        <f>'PINTURA'!E71</f>
        <v/>
      </c>
      <c r="BW33" s="90">
        <f>'PINTURA'!E72</f>
        <v/>
      </c>
      <c r="BX33" s="90">
        <f>'PINTURA'!E73</f>
        <v/>
      </c>
      <c r="BY33" s="90">
        <f>'PINTURA'!E74</f>
        <v/>
      </c>
      <c r="BZ33" s="90">
        <f>'PINTURA'!E75</f>
        <v/>
      </c>
      <c r="CA33" s="90">
        <f>'PINTURA'!E76</f>
        <v/>
      </c>
    </row>
    <row r="34">
      <c r="A34" s="59" t="inlineStr">
        <is>
          <t>G041.002</t>
        </is>
      </c>
      <c r="B34" s="59" t="inlineStr">
        <is>
          <t>1030 1070 100</t>
        </is>
      </c>
      <c r="C34" s="59" t="inlineStr">
        <is>
          <t>PROJETOS</t>
        </is>
      </c>
      <c r="D34" s="60">
        <f>'PROJETO'!$K$5</f>
        <v/>
      </c>
      <c r="E34" s="49">
        <f>SUM(H34:CA34)</f>
        <v/>
      </c>
      <c r="F34" s="49">
        <f>IF(D34="","",D34-E34)</f>
        <v/>
      </c>
      <c r="H34" s="90">
        <f>'PROJETO'!E5</f>
        <v/>
      </c>
      <c r="I34" s="90">
        <f>'PROJETO'!E6</f>
        <v/>
      </c>
      <c r="J34" s="90">
        <f>'PROJETO'!E7</f>
        <v/>
      </c>
      <c r="K34" s="90">
        <f>'PROJETO'!E8</f>
        <v/>
      </c>
      <c r="L34" s="90">
        <f>'PROJETO'!E9</f>
        <v/>
      </c>
      <c r="M34" s="90">
        <f>'PROJETO'!E10</f>
        <v/>
      </c>
      <c r="N34" s="90">
        <f>'PROJETO'!E11</f>
        <v/>
      </c>
      <c r="O34" s="90">
        <f>'PROJETO'!E12</f>
        <v/>
      </c>
      <c r="P34" s="90">
        <f>'PROJETO'!E13</f>
        <v/>
      </c>
      <c r="Q34" s="90">
        <f>'PROJETO'!E14</f>
        <v/>
      </c>
      <c r="R34" s="90">
        <f>'PROJETO'!E15</f>
        <v/>
      </c>
      <c r="S34" s="90">
        <f>'PROJETO'!E16</f>
        <v/>
      </c>
      <c r="T34" s="90">
        <f>'PROJETO'!E17</f>
        <v/>
      </c>
      <c r="U34" s="90">
        <f>'PROJETO'!E18</f>
        <v/>
      </c>
      <c r="V34" s="90">
        <f>'PROJETO'!E19</f>
        <v/>
      </c>
      <c r="W34" s="90">
        <f>'PROJETO'!E20</f>
        <v/>
      </c>
      <c r="X34" s="90">
        <f>'PROJETO'!E21</f>
        <v/>
      </c>
      <c r="Y34" s="90">
        <f>'PROJETO'!E22</f>
        <v/>
      </c>
      <c r="Z34" s="90">
        <f>'PROJETO'!E23</f>
        <v/>
      </c>
      <c r="AA34" s="90">
        <f>'PROJETO'!E24</f>
        <v/>
      </c>
      <c r="AB34" s="90">
        <f>'PROJETO'!E25</f>
        <v/>
      </c>
      <c r="AC34" s="90">
        <f>'PROJETO'!E26</f>
        <v/>
      </c>
      <c r="AD34" s="90">
        <f>'PROJETO'!E27</f>
        <v/>
      </c>
      <c r="AE34" s="90">
        <f>'PROJETO'!E28</f>
        <v/>
      </c>
      <c r="AF34" s="90">
        <f>'PROJETO'!E29</f>
        <v/>
      </c>
      <c r="AG34" s="90">
        <f>'PROJETO'!E30</f>
        <v/>
      </c>
      <c r="AH34" s="90">
        <f>'PROJETO'!E31</f>
        <v/>
      </c>
      <c r="AI34" s="90">
        <f>'PROJETO'!E32</f>
        <v/>
      </c>
      <c r="AJ34" s="90">
        <f>'PROJETO'!E33</f>
        <v/>
      </c>
      <c r="AK34" s="90">
        <f>'PROJETO'!E34</f>
        <v/>
      </c>
      <c r="AL34" s="90">
        <f>'PROJETO'!E35</f>
        <v/>
      </c>
      <c r="AM34" s="90">
        <f>'PROJETO'!E36</f>
        <v/>
      </c>
      <c r="AN34" s="90">
        <f>'PROJETO'!E37</f>
        <v/>
      </c>
      <c r="AO34" s="90">
        <f>'PROJETO'!E38</f>
        <v/>
      </c>
      <c r="AP34" s="90">
        <f>'PROJETO'!E39</f>
        <v/>
      </c>
      <c r="AQ34" s="90">
        <f>'PROJETO'!E40</f>
        <v/>
      </c>
      <c r="AR34" s="90">
        <f>'PROJETO'!E41</f>
        <v/>
      </c>
      <c r="AS34" s="90">
        <f>'PROJETO'!E42</f>
        <v/>
      </c>
      <c r="AT34" s="90">
        <f>'PROJETO'!E43</f>
        <v/>
      </c>
      <c r="AU34" s="90">
        <f>'PROJETO'!E44</f>
        <v/>
      </c>
      <c r="AV34" s="90">
        <f>'PROJETO'!E45</f>
        <v/>
      </c>
      <c r="AW34" s="90">
        <f>'PROJETO'!E46</f>
        <v/>
      </c>
      <c r="AX34" s="90">
        <f>'PROJETO'!E47</f>
        <v/>
      </c>
      <c r="AY34" s="90">
        <f>'PROJETO'!E48</f>
        <v/>
      </c>
      <c r="AZ34" s="90">
        <f>'PROJETO'!E49</f>
        <v/>
      </c>
      <c r="BA34" s="90">
        <f>'PROJETO'!E50</f>
        <v/>
      </c>
      <c r="BB34" s="90">
        <f>'PROJETO'!E51</f>
        <v/>
      </c>
      <c r="BC34" s="90">
        <f>'PROJETO'!E52</f>
        <v/>
      </c>
      <c r="BD34" s="90">
        <f>'PROJETO'!E53</f>
        <v/>
      </c>
      <c r="BE34" s="90">
        <f>'PROJETO'!E54</f>
        <v/>
      </c>
      <c r="BF34" s="90">
        <f>'PROJETO'!E55</f>
        <v/>
      </c>
      <c r="BG34" s="90">
        <f>'PROJETO'!E56</f>
        <v/>
      </c>
      <c r="BH34" s="90">
        <f>'PROJETO'!E57</f>
        <v/>
      </c>
      <c r="BI34" s="90">
        <f>'PROJETO'!E58</f>
        <v/>
      </c>
      <c r="BJ34" s="90">
        <f>'PROJETO'!E59</f>
        <v/>
      </c>
      <c r="BK34" s="90">
        <f>'PROJETO'!E60</f>
        <v/>
      </c>
      <c r="BL34" s="90">
        <f>'PROJETO'!E61</f>
        <v/>
      </c>
      <c r="BM34" s="90">
        <f>'PROJETO'!E62</f>
        <v/>
      </c>
      <c r="BN34" s="90">
        <f>'PROJETO'!E63</f>
        <v/>
      </c>
      <c r="BO34" s="90">
        <f>'PROJETO'!E64</f>
        <v/>
      </c>
      <c r="BP34" s="90">
        <f>'PROJETO'!E65</f>
        <v/>
      </c>
      <c r="BQ34" s="90">
        <f>'PROJETO'!E66</f>
        <v/>
      </c>
      <c r="BR34" s="90">
        <f>'PROJETO'!E67</f>
        <v/>
      </c>
      <c r="BS34" s="90">
        <f>'PROJETO'!E68</f>
        <v/>
      </c>
      <c r="BT34" s="90">
        <f>'PROJETO'!E69</f>
        <v/>
      </c>
      <c r="BU34" s="90">
        <f>'PROJETO'!E70</f>
        <v/>
      </c>
      <c r="BV34" s="90">
        <f>'PROJETO'!E71</f>
        <v/>
      </c>
      <c r="BW34" s="90">
        <f>'PROJETO'!E72</f>
        <v/>
      </c>
      <c r="BX34" s="90">
        <f>'PROJETO'!E73</f>
        <v/>
      </c>
      <c r="BY34" s="90">
        <f>'PROJETO'!E74</f>
        <v/>
      </c>
      <c r="BZ34" s="90">
        <f>'PROJETO'!E75</f>
        <v/>
      </c>
      <c r="CA34" s="90">
        <f>'PROJETO'!E76</f>
        <v/>
      </c>
    </row>
    <row r="35">
      <c r="A35" s="59" t="inlineStr">
        <is>
          <t>G041.002</t>
        </is>
      </c>
      <c r="B35" s="59" t="inlineStr">
        <is>
          <t>1030 1070 570</t>
        </is>
      </c>
      <c r="C35" s="59" t="inlineStr">
        <is>
          <t>REEMBOLSO MATERIAIS E SERVIÇOS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1030 1070 490</t>
        </is>
      </c>
      <c r="C36" s="59" t="inlineStr">
        <is>
          <t>REVESTIMENTOS DE ACABAMENTO</t>
        </is>
      </c>
      <c r="D36" s="60">
        <f>'REV. ACAB'!$K$5</f>
        <v/>
      </c>
      <c r="E36" s="49">
        <f>SUM(H36:CA36)</f>
        <v/>
      </c>
      <c r="F36" s="49">
        <f>IF(D36="","",D36-E36)</f>
        <v/>
      </c>
      <c r="H36" s="90">
        <f>'REV. ACAB'!E5</f>
        <v/>
      </c>
      <c r="I36" s="90">
        <f>'REV. ACAB'!E6</f>
        <v/>
      </c>
      <c r="J36" s="90">
        <f>'REV. ACAB'!E7</f>
        <v/>
      </c>
      <c r="K36" s="90">
        <f>'REV. ACAB'!E8</f>
        <v/>
      </c>
      <c r="L36" s="90">
        <f>'REV. ACAB'!E9</f>
        <v/>
      </c>
      <c r="M36" s="90">
        <f>'REV. ACAB'!E10</f>
        <v/>
      </c>
      <c r="N36" s="90">
        <f>'REV. ACAB'!E11</f>
        <v/>
      </c>
      <c r="O36" s="90">
        <f>'REV. ACAB'!E12</f>
        <v/>
      </c>
      <c r="P36" s="90">
        <f>'REV. ACAB'!E13</f>
        <v/>
      </c>
      <c r="Q36" s="90">
        <f>'REV. ACAB'!E14</f>
        <v/>
      </c>
      <c r="R36" s="90">
        <f>'REV. ACAB'!E15</f>
        <v/>
      </c>
      <c r="S36" s="90">
        <f>'REV. ACAB'!E16</f>
        <v/>
      </c>
      <c r="T36" s="90">
        <f>'REV. ACAB'!E17</f>
        <v/>
      </c>
      <c r="U36" s="90">
        <f>'REV. ACAB'!E18</f>
        <v/>
      </c>
      <c r="V36" s="90">
        <f>'REV. ACAB'!E19</f>
        <v/>
      </c>
      <c r="W36" s="90">
        <f>'REV. ACAB'!E20</f>
        <v/>
      </c>
      <c r="X36" s="90">
        <f>'REV. ACAB'!E21</f>
        <v/>
      </c>
      <c r="Y36" s="90">
        <f>'REV. ACAB'!E22</f>
        <v/>
      </c>
      <c r="Z36" s="90">
        <f>'REV. ACAB'!E23</f>
        <v/>
      </c>
      <c r="AA36" s="90">
        <f>'REV. ACAB'!E24</f>
        <v/>
      </c>
      <c r="AB36" s="90">
        <f>'REV. ACAB'!E25</f>
        <v/>
      </c>
      <c r="AC36" s="90">
        <f>'REV. ACAB'!E26</f>
        <v/>
      </c>
      <c r="AD36" s="90">
        <f>'REV. ACAB'!E27</f>
        <v/>
      </c>
      <c r="AE36" s="90">
        <f>'REV. ACAB'!E28</f>
        <v/>
      </c>
      <c r="AF36" s="90">
        <f>'REV. ACAB'!E29</f>
        <v/>
      </c>
      <c r="AG36" s="90">
        <f>'REV. ACAB'!E30</f>
        <v/>
      </c>
      <c r="AH36" s="90">
        <f>'REV. ACAB'!E31</f>
        <v/>
      </c>
      <c r="AI36" s="90">
        <f>'REV. ACAB'!E32</f>
        <v/>
      </c>
      <c r="AJ36" s="90">
        <f>'REV. ACAB'!E33</f>
        <v/>
      </c>
      <c r="AK36" s="90">
        <f>'REV. ACAB'!E34</f>
        <v/>
      </c>
      <c r="AL36" s="90">
        <f>'REV. ACAB'!E35</f>
        <v/>
      </c>
      <c r="AM36" s="90">
        <f>'REV. ACAB'!E36</f>
        <v/>
      </c>
      <c r="AN36" s="90">
        <f>'REV. ACAB'!E37</f>
        <v/>
      </c>
      <c r="AO36" s="90">
        <f>'REV. ACAB'!E38</f>
        <v/>
      </c>
      <c r="AP36" s="90">
        <f>'REV. ACAB'!E39</f>
        <v/>
      </c>
      <c r="AQ36" s="90">
        <f>'REV. ACAB'!E40</f>
        <v/>
      </c>
      <c r="AR36" s="90">
        <f>'REV. ACAB'!E41</f>
        <v/>
      </c>
      <c r="AS36" s="90">
        <f>'REV. ACAB'!E42</f>
        <v/>
      </c>
      <c r="AT36" s="90">
        <f>'REV. ACAB'!E43</f>
        <v/>
      </c>
      <c r="AU36" s="90">
        <f>'REV. ACAB'!E44</f>
        <v/>
      </c>
      <c r="AV36" s="90">
        <f>'REV. ACAB'!E45</f>
        <v/>
      </c>
      <c r="AW36" s="90">
        <f>'REV. ACAB'!E46</f>
        <v/>
      </c>
      <c r="AX36" s="90">
        <f>'REV. ACAB'!E47</f>
        <v/>
      </c>
      <c r="AY36" s="90">
        <f>'REV. ACAB'!E48</f>
        <v/>
      </c>
      <c r="AZ36" s="90">
        <f>'REV. ACAB'!E49</f>
        <v/>
      </c>
      <c r="BA36" s="90">
        <f>'REV. ACAB'!E50</f>
        <v/>
      </c>
      <c r="BB36" s="90">
        <f>'REV. ACAB'!E51</f>
        <v/>
      </c>
      <c r="BC36" s="90">
        <f>'REV. ACAB'!E52</f>
        <v/>
      </c>
      <c r="BD36" s="90">
        <f>'REV. ACAB'!E53</f>
        <v/>
      </c>
      <c r="BE36" s="90">
        <f>'REV. ACAB'!E54</f>
        <v/>
      </c>
      <c r="BF36" s="90">
        <f>'REV. ACAB'!E55</f>
        <v/>
      </c>
      <c r="BG36" s="90">
        <f>'REV. ACAB'!E56</f>
        <v/>
      </c>
      <c r="BH36" s="90">
        <f>'REV. ACAB'!E57</f>
        <v/>
      </c>
      <c r="BI36" s="90">
        <f>'REV. ACAB'!E58</f>
        <v/>
      </c>
      <c r="BJ36" s="90">
        <f>'REV. ACAB'!E59</f>
        <v/>
      </c>
      <c r="BK36" s="90">
        <f>'REV. ACAB'!E60</f>
        <v/>
      </c>
      <c r="BL36" s="90">
        <f>'REV. ACAB'!E61</f>
        <v/>
      </c>
      <c r="BM36" s="90">
        <f>'REV. ACAB'!E62</f>
        <v/>
      </c>
      <c r="BN36" s="90">
        <f>'REV. ACAB'!E63</f>
        <v/>
      </c>
      <c r="BO36" s="90">
        <f>'REV. ACAB'!E64</f>
        <v/>
      </c>
      <c r="BP36" s="90">
        <f>'REV. ACAB'!E65</f>
        <v/>
      </c>
      <c r="BQ36" s="90">
        <f>'REV. ACAB'!E66</f>
        <v/>
      </c>
      <c r="BR36" s="90">
        <f>'REV. ACAB'!E67</f>
        <v/>
      </c>
      <c r="BS36" s="90">
        <f>'REV. ACAB'!E68</f>
        <v/>
      </c>
      <c r="BT36" s="90">
        <f>'REV. ACAB'!E69</f>
        <v/>
      </c>
      <c r="BU36" s="90">
        <f>'REV. ACAB'!E70</f>
        <v/>
      </c>
      <c r="BV36" s="90">
        <f>'REV. ACAB'!E71</f>
        <v/>
      </c>
      <c r="BW36" s="90">
        <f>'REV. ACAB'!E72</f>
        <v/>
      </c>
      <c r="BX36" s="90">
        <f>'REV. ACAB'!E73</f>
        <v/>
      </c>
      <c r="BY36" s="90">
        <f>'REV. ACAB'!E74</f>
        <v/>
      </c>
      <c r="BZ36" s="90">
        <f>'REV. ACAB'!E75</f>
        <v/>
      </c>
      <c r="CA36" s="90">
        <f>'REV. ACAB'!E76</f>
        <v/>
      </c>
    </row>
    <row r="37">
      <c r="A37" s="59" t="inlineStr">
        <is>
          <t>G041.002</t>
        </is>
      </c>
      <c r="B37" s="59" t="inlineStr">
        <is>
          <t>1030 1070 320</t>
        </is>
      </c>
      <c r="C37" s="59" t="inlineStr">
        <is>
          <t>REVESTIMENTOS DE MASSA EM PISOS</t>
        </is>
      </c>
      <c r="D37" s="60">
        <f>'REV. PISOS'!$K$5</f>
        <v/>
      </c>
      <c r="E37" s="49">
        <f>SUM(H37:CA37)</f>
        <v/>
      </c>
      <c r="F37" s="49">
        <f>IF(D37="","",D37-E37)</f>
        <v/>
      </c>
      <c r="H37" s="90">
        <f>'REV. PISOS'!E5</f>
        <v/>
      </c>
      <c r="I37" s="90">
        <f>'REV. PISOS'!E6</f>
        <v/>
      </c>
      <c r="J37" s="90">
        <f>'REV. PISOS'!E7</f>
        <v/>
      </c>
      <c r="K37" s="90">
        <f>'REV. PISOS'!E8</f>
        <v/>
      </c>
      <c r="L37" s="90">
        <f>'REV. PISOS'!E9</f>
        <v/>
      </c>
      <c r="M37" s="90">
        <f>'REV. PISOS'!E10</f>
        <v/>
      </c>
      <c r="N37" s="90">
        <f>'REV. PISOS'!E11</f>
        <v/>
      </c>
      <c r="O37" s="90">
        <f>'REV. PISOS'!E12</f>
        <v/>
      </c>
      <c r="P37" s="90">
        <f>'REV. PISOS'!E13</f>
        <v/>
      </c>
      <c r="Q37" s="90">
        <f>'REV. PISOS'!E14</f>
        <v/>
      </c>
      <c r="R37" s="90">
        <f>'REV. PISOS'!E15</f>
        <v/>
      </c>
      <c r="S37" s="90">
        <f>'REV. PISOS'!E16</f>
        <v/>
      </c>
      <c r="T37" s="90">
        <f>'REV. PISOS'!E17</f>
        <v/>
      </c>
      <c r="U37" s="90">
        <f>'REV. PISOS'!E18</f>
        <v/>
      </c>
      <c r="V37" s="90">
        <f>'REV. PISOS'!E19</f>
        <v/>
      </c>
      <c r="W37" s="90">
        <f>'REV. PISOS'!E20</f>
        <v/>
      </c>
      <c r="X37" s="90">
        <f>'REV. PISOS'!E21</f>
        <v/>
      </c>
      <c r="Y37" s="90">
        <f>'REV. PISOS'!E22</f>
        <v/>
      </c>
      <c r="Z37" s="90">
        <f>'REV. PISOS'!E23</f>
        <v/>
      </c>
      <c r="AA37" s="90">
        <f>'REV. PISOS'!E24</f>
        <v/>
      </c>
      <c r="AB37" s="90">
        <f>'REV. PISOS'!E25</f>
        <v/>
      </c>
      <c r="AC37" s="90">
        <f>'REV. PISOS'!E26</f>
        <v/>
      </c>
      <c r="AD37" s="90">
        <f>'REV. PISOS'!E27</f>
        <v/>
      </c>
      <c r="AE37" s="90">
        <f>'REV. PISOS'!E28</f>
        <v/>
      </c>
      <c r="AF37" s="90">
        <f>'REV. PISOS'!E29</f>
        <v/>
      </c>
      <c r="AG37" s="90">
        <f>'REV. PISOS'!E30</f>
        <v/>
      </c>
      <c r="AH37" s="90">
        <f>'REV. PISOS'!E31</f>
        <v/>
      </c>
      <c r="AI37" s="90">
        <f>'REV. PISOS'!E32</f>
        <v/>
      </c>
      <c r="AJ37" s="90">
        <f>'REV. PISOS'!E33</f>
        <v/>
      </c>
      <c r="AK37" s="90">
        <f>'REV. PISOS'!E34</f>
        <v/>
      </c>
      <c r="AL37" s="90">
        <f>'REV. PISOS'!E35</f>
        <v/>
      </c>
      <c r="AM37" s="90">
        <f>'REV. PISOS'!E36</f>
        <v/>
      </c>
      <c r="AN37" s="90">
        <f>'REV. PISOS'!E37</f>
        <v/>
      </c>
      <c r="AO37" s="90">
        <f>'REV. PISOS'!E38</f>
        <v/>
      </c>
      <c r="AP37" s="90">
        <f>'REV. PISOS'!E39</f>
        <v/>
      </c>
      <c r="AQ37" s="90">
        <f>'REV. PISOS'!E40</f>
        <v/>
      </c>
      <c r="AR37" s="90">
        <f>'REV. PISOS'!E41</f>
        <v/>
      </c>
      <c r="AS37" s="90">
        <f>'REV. PISOS'!E42</f>
        <v/>
      </c>
      <c r="AT37" s="90">
        <f>'REV. PISOS'!E43</f>
        <v/>
      </c>
      <c r="AU37" s="90">
        <f>'REV. PISOS'!E44</f>
        <v/>
      </c>
      <c r="AV37" s="90">
        <f>'REV. PISOS'!E45</f>
        <v/>
      </c>
      <c r="AW37" s="90">
        <f>'REV. PISOS'!E46</f>
        <v/>
      </c>
      <c r="AX37" s="90">
        <f>'REV. PISOS'!E47</f>
        <v/>
      </c>
      <c r="AY37" s="90">
        <f>'REV. PISOS'!E48</f>
        <v/>
      </c>
      <c r="AZ37" s="90">
        <f>'REV. PISOS'!E49</f>
        <v/>
      </c>
      <c r="BA37" s="90">
        <f>'REV. PISOS'!E50</f>
        <v/>
      </c>
      <c r="BB37" s="90">
        <f>'REV. PISOS'!E51</f>
        <v/>
      </c>
      <c r="BC37" s="90">
        <f>'REV. PISOS'!E52</f>
        <v/>
      </c>
      <c r="BD37" s="90">
        <f>'REV. PISOS'!E53</f>
        <v/>
      </c>
      <c r="BE37" s="90">
        <f>'REV. PISOS'!E54</f>
        <v/>
      </c>
      <c r="BF37" s="90">
        <f>'REV. PISOS'!E55</f>
        <v/>
      </c>
      <c r="BG37" s="90">
        <f>'REV. PISOS'!E56</f>
        <v/>
      </c>
      <c r="BH37" s="90">
        <f>'REV. PISOS'!E57</f>
        <v/>
      </c>
      <c r="BI37" s="90">
        <f>'REV. PISOS'!E58</f>
        <v/>
      </c>
      <c r="BJ37" s="90">
        <f>'REV. PISOS'!E59</f>
        <v/>
      </c>
      <c r="BK37" s="90">
        <f>'REV. PISOS'!E60</f>
        <v/>
      </c>
      <c r="BL37" s="90">
        <f>'REV. PISOS'!E61</f>
        <v/>
      </c>
      <c r="BM37" s="90">
        <f>'REV. PISOS'!E62</f>
        <v/>
      </c>
      <c r="BN37" s="90">
        <f>'REV. PISOS'!E63</f>
        <v/>
      </c>
      <c r="BO37" s="90">
        <f>'REV. PISOS'!E64</f>
        <v/>
      </c>
      <c r="BP37" s="90">
        <f>'REV. PISOS'!E65</f>
        <v/>
      </c>
      <c r="BQ37" s="90">
        <f>'REV. PISOS'!E66</f>
        <v/>
      </c>
      <c r="BR37" s="90">
        <f>'REV. PISOS'!E67</f>
        <v/>
      </c>
      <c r="BS37" s="90">
        <f>'REV. PISOS'!E68</f>
        <v/>
      </c>
      <c r="BT37" s="90">
        <f>'REV. PISOS'!E69</f>
        <v/>
      </c>
      <c r="BU37" s="90">
        <f>'REV. PISOS'!E70</f>
        <v/>
      </c>
      <c r="BV37" s="90">
        <f>'REV. PISOS'!E71</f>
        <v/>
      </c>
      <c r="BW37" s="90">
        <f>'REV. PISOS'!E72</f>
        <v/>
      </c>
      <c r="BX37" s="90">
        <f>'REV. PISOS'!E73</f>
        <v/>
      </c>
      <c r="BY37" s="90">
        <f>'REV. PISOS'!E74</f>
        <v/>
      </c>
      <c r="BZ37" s="90">
        <f>'REV. PISOS'!E75</f>
        <v/>
      </c>
      <c r="CA37" s="90">
        <f>'REV. PISOS'!E76</f>
        <v/>
      </c>
    </row>
    <row r="38">
      <c r="A38" s="59" t="inlineStr">
        <is>
          <t>G041.002</t>
        </is>
      </c>
      <c r="B38" s="59" t="inlineStr">
        <is>
          <t>1030 1070 300</t>
        </is>
      </c>
      <c r="C38" s="59" t="inlineStr">
        <is>
          <t>REVESTIMENTOS DE MASSA EM PAREDES</t>
        </is>
      </c>
      <c r="D38" s="60">
        <f>'REV. PAREDE'!$K$5</f>
        <v/>
      </c>
      <c r="E38" s="49">
        <f>SUM(H38:CA38)</f>
        <v/>
      </c>
      <c r="F38" s="49">
        <f>IF(D38="","",D38-E38)</f>
        <v/>
      </c>
      <c r="H38" s="90">
        <f>'REV. PAREDE'!E5</f>
        <v/>
      </c>
      <c r="I38" s="90">
        <f>'REV. PAREDE'!E6</f>
        <v/>
      </c>
      <c r="J38" s="90">
        <f>'REV. PAREDE'!E7</f>
        <v/>
      </c>
      <c r="K38" s="90">
        <f>'REV. PAREDE'!E8</f>
        <v/>
      </c>
      <c r="L38" s="90">
        <f>'REV. PAREDE'!E9</f>
        <v/>
      </c>
      <c r="M38" s="90">
        <f>'REV. PAREDE'!E10</f>
        <v/>
      </c>
      <c r="N38" s="90">
        <f>'REV. PAREDE'!E11</f>
        <v/>
      </c>
      <c r="O38" s="90">
        <f>'REV. PAREDE'!E12</f>
        <v/>
      </c>
      <c r="P38" s="90">
        <f>'REV. PAREDE'!E13</f>
        <v/>
      </c>
      <c r="Q38" s="90">
        <f>'REV. PAREDE'!E14</f>
        <v/>
      </c>
      <c r="R38" s="90">
        <f>'REV. PAREDE'!E15</f>
        <v/>
      </c>
      <c r="S38" s="90">
        <f>'REV. PAREDE'!E16</f>
        <v/>
      </c>
      <c r="T38" s="90">
        <f>'REV. PAREDE'!E17</f>
        <v/>
      </c>
      <c r="U38" s="90">
        <f>'REV. PAREDE'!E18</f>
        <v/>
      </c>
      <c r="V38" s="90">
        <f>'REV. PAREDE'!E19</f>
        <v/>
      </c>
      <c r="W38" s="90">
        <f>'REV. PAREDE'!E20</f>
        <v/>
      </c>
      <c r="X38" s="90">
        <f>'REV. PAREDE'!E21</f>
        <v/>
      </c>
      <c r="Y38" s="90">
        <f>'REV. PAREDE'!E22</f>
        <v/>
      </c>
      <c r="Z38" s="90">
        <f>'REV. PAREDE'!E23</f>
        <v/>
      </c>
      <c r="AA38" s="90">
        <f>'REV. PAREDE'!E24</f>
        <v/>
      </c>
      <c r="AB38" s="90">
        <f>'REV. PAREDE'!E25</f>
        <v/>
      </c>
      <c r="AC38" s="90">
        <f>'REV. PAREDE'!E26</f>
        <v/>
      </c>
      <c r="AD38" s="90">
        <f>'REV. PAREDE'!E27</f>
        <v/>
      </c>
      <c r="AE38" s="90">
        <f>'REV. PAREDE'!E28</f>
        <v/>
      </c>
      <c r="AF38" s="90">
        <f>'REV. PAREDE'!E29</f>
        <v/>
      </c>
      <c r="AG38" s="90">
        <f>'REV. PAREDE'!E30</f>
        <v/>
      </c>
      <c r="AH38" s="90">
        <f>'REV. PAREDE'!E31</f>
        <v/>
      </c>
      <c r="AI38" s="90">
        <f>'REV. PAREDE'!E32</f>
        <v/>
      </c>
      <c r="AJ38" s="90">
        <f>'REV. PAREDE'!E33</f>
        <v/>
      </c>
      <c r="AK38" s="90">
        <f>'REV. PAREDE'!E34</f>
        <v/>
      </c>
      <c r="AL38" s="90">
        <f>'REV. PAREDE'!E35</f>
        <v/>
      </c>
      <c r="AM38" s="90">
        <f>'REV. PAREDE'!E36</f>
        <v/>
      </c>
      <c r="AN38" s="90">
        <f>'REV. PAREDE'!E37</f>
        <v/>
      </c>
      <c r="AO38" s="90">
        <f>'REV. PAREDE'!E38</f>
        <v/>
      </c>
      <c r="AP38" s="90">
        <f>'REV. PAREDE'!E39</f>
        <v/>
      </c>
      <c r="AQ38" s="90">
        <f>'REV. PAREDE'!E40</f>
        <v/>
      </c>
      <c r="AR38" s="90">
        <f>'REV. PAREDE'!E41</f>
        <v/>
      </c>
      <c r="AS38" s="90">
        <f>'REV. PAREDE'!E42</f>
        <v/>
      </c>
      <c r="AT38" s="90">
        <f>'REV. PAREDE'!E43</f>
        <v/>
      </c>
      <c r="AU38" s="90">
        <f>'REV. PAREDE'!E44</f>
        <v/>
      </c>
      <c r="AV38" s="90">
        <f>'REV. PAREDE'!E45</f>
        <v/>
      </c>
      <c r="AW38" s="90">
        <f>'REV. PAREDE'!E46</f>
        <v/>
      </c>
      <c r="AX38" s="90">
        <f>'REV. PAREDE'!E47</f>
        <v/>
      </c>
      <c r="AY38" s="90">
        <f>'REV. PAREDE'!E48</f>
        <v/>
      </c>
      <c r="AZ38" s="90">
        <f>'REV. PAREDE'!E49</f>
        <v/>
      </c>
      <c r="BA38" s="90">
        <f>'REV. PAREDE'!E50</f>
        <v/>
      </c>
      <c r="BB38" s="90">
        <f>'REV. PAREDE'!E51</f>
        <v/>
      </c>
      <c r="BC38" s="90">
        <f>'REV. PAREDE'!E52</f>
        <v/>
      </c>
      <c r="BD38" s="90">
        <f>'REV. PAREDE'!E53</f>
        <v/>
      </c>
      <c r="BE38" s="90">
        <f>'REV. PAREDE'!E54</f>
        <v/>
      </c>
      <c r="BF38" s="90">
        <f>'REV. PAREDE'!E55</f>
        <v/>
      </c>
      <c r="BG38" s="90">
        <f>'REV. PAREDE'!E56</f>
        <v/>
      </c>
      <c r="BH38" s="90">
        <f>'REV. PAREDE'!E57</f>
        <v/>
      </c>
      <c r="BI38" s="90">
        <f>'REV. PAREDE'!E58</f>
        <v/>
      </c>
      <c r="BJ38" s="90">
        <f>'REV. PAREDE'!E59</f>
        <v/>
      </c>
      <c r="BK38" s="90">
        <f>'REV. PAREDE'!E60</f>
        <v/>
      </c>
      <c r="BL38" s="90">
        <f>'REV. PAREDE'!E61</f>
        <v/>
      </c>
      <c r="BM38" s="90">
        <f>'REV. PAREDE'!E62</f>
        <v/>
      </c>
      <c r="BN38" s="90">
        <f>'REV. PAREDE'!E63</f>
        <v/>
      </c>
      <c r="BO38" s="90">
        <f>'REV. PAREDE'!E64</f>
        <v/>
      </c>
      <c r="BP38" s="90">
        <f>'REV. PAREDE'!E65</f>
        <v/>
      </c>
      <c r="BQ38" s="90">
        <f>'REV. PAREDE'!E66</f>
        <v/>
      </c>
      <c r="BR38" s="90">
        <f>'REV. PAREDE'!E67</f>
        <v/>
      </c>
      <c r="BS38" s="90">
        <f>'REV. PAREDE'!E68</f>
        <v/>
      </c>
      <c r="BT38" s="90">
        <f>'REV. PAREDE'!E69</f>
        <v/>
      </c>
      <c r="BU38" s="90">
        <f>'REV. PAREDE'!E70</f>
        <v/>
      </c>
      <c r="BV38" s="90">
        <f>'REV. PAREDE'!E71</f>
        <v/>
      </c>
      <c r="BW38" s="90">
        <f>'REV. PAREDE'!E72</f>
        <v/>
      </c>
      <c r="BX38" s="90">
        <f>'REV. PAREDE'!E73</f>
        <v/>
      </c>
      <c r="BY38" s="90">
        <f>'REV. PAREDE'!E74</f>
        <v/>
      </c>
      <c r="BZ38" s="90">
        <f>'REV. PAREDE'!E75</f>
        <v/>
      </c>
      <c r="CA38" s="90">
        <f>'REV. PAREDE'!E76</f>
        <v/>
      </c>
    </row>
    <row r="39">
      <c r="A39" s="59" t="inlineStr">
        <is>
          <t>G041.002</t>
        </is>
      </c>
      <c r="B39" s="59" t="inlineStr">
        <is>
          <t>1030 1070 360</t>
        </is>
      </c>
      <c r="C39" s="59" t="inlineStr">
        <is>
          <t>REVESTIMENTO DIVERSOS   FACHADA</t>
        </is>
      </c>
      <c r="D39" s="60">
        <f>'REV. FACHADA'!$K$5</f>
        <v/>
      </c>
      <c r="E39" s="49">
        <f>SUM(H39:CA39)</f>
        <v/>
      </c>
      <c r="F39" s="49">
        <f>IF(D39="","",D39-E39)</f>
        <v/>
      </c>
      <c r="H39" s="90">
        <f>'REV. FACHADA'!E5</f>
        <v/>
      </c>
      <c r="I39" s="90">
        <f>'REV. FACHADA'!E6</f>
        <v/>
      </c>
      <c r="J39" s="90">
        <f>'REV. FACHADA'!E7</f>
        <v/>
      </c>
      <c r="K39" s="90">
        <f>'REV. FACHADA'!E8</f>
        <v/>
      </c>
      <c r="L39" s="90">
        <f>'REV. FACHADA'!E9</f>
        <v/>
      </c>
      <c r="M39" s="90">
        <f>'REV. FACHADA'!E10</f>
        <v/>
      </c>
      <c r="N39" s="90">
        <f>'REV. FACHADA'!E11</f>
        <v/>
      </c>
      <c r="O39" s="90">
        <f>'REV. FACHADA'!E12</f>
        <v/>
      </c>
      <c r="P39" s="90">
        <f>'REV. FACHADA'!E13</f>
        <v/>
      </c>
      <c r="Q39" s="90">
        <f>'REV. FACHADA'!E14</f>
        <v/>
      </c>
      <c r="R39" s="90">
        <f>'REV. FACHADA'!E15</f>
        <v/>
      </c>
      <c r="S39" s="90">
        <f>'REV. FACHADA'!E16</f>
        <v/>
      </c>
      <c r="T39" s="90">
        <f>'REV. FACHADA'!E17</f>
        <v/>
      </c>
      <c r="U39" s="90">
        <f>'REV. FACHADA'!E18</f>
        <v/>
      </c>
      <c r="V39" s="90">
        <f>'REV. FACHADA'!E19</f>
        <v/>
      </c>
      <c r="W39" s="90">
        <f>'REV. FACHADA'!E20</f>
        <v/>
      </c>
      <c r="X39" s="90">
        <f>'REV. FACHADA'!E21</f>
        <v/>
      </c>
      <c r="Y39" s="90">
        <f>'REV. FACHADA'!E22</f>
        <v/>
      </c>
      <c r="Z39" s="90">
        <f>'REV. FACHADA'!E23</f>
        <v/>
      </c>
      <c r="AA39" s="90">
        <f>'REV. FACHADA'!E24</f>
        <v/>
      </c>
      <c r="AB39" s="90">
        <f>'REV. FACHADA'!E25</f>
        <v/>
      </c>
      <c r="AC39" s="90">
        <f>'REV. FACHADA'!E26</f>
        <v/>
      </c>
      <c r="AD39" s="90">
        <f>'REV. FACHADA'!E27</f>
        <v/>
      </c>
      <c r="AE39" s="90">
        <f>'REV. FACHADA'!E28</f>
        <v/>
      </c>
      <c r="AF39" s="90">
        <f>'REV. FACHADA'!E29</f>
        <v/>
      </c>
      <c r="AG39" s="90">
        <f>'REV. FACHADA'!E30</f>
        <v/>
      </c>
      <c r="AH39" s="90">
        <f>'REV. FACHADA'!E31</f>
        <v/>
      </c>
      <c r="AI39" s="90">
        <f>'REV. FACHADA'!E32</f>
        <v/>
      </c>
      <c r="AJ39" s="90">
        <f>'REV. FACHADA'!E33</f>
        <v/>
      </c>
      <c r="AK39" s="90">
        <f>'REV. FACHADA'!E34</f>
        <v/>
      </c>
      <c r="AL39" s="90">
        <f>'REV. FACHADA'!E35</f>
        <v/>
      </c>
      <c r="AM39" s="90">
        <f>'REV. FACHADA'!E36</f>
        <v/>
      </c>
      <c r="AN39" s="90">
        <f>'REV. FACHADA'!E37</f>
        <v/>
      </c>
      <c r="AO39" s="90">
        <f>'REV. FACHADA'!E38</f>
        <v/>
      </c>
      <c r="AP39" s="90">
        <f>'REV. FACHADA'!E39</f>
        <v/>
      </c>
      <c r="AQ39" s="90">
        <f>'REV. FACHADA'!E40</f>
        <v/>
      </c>
      <c r="AR39" s="90">
        <f>'REV. FACHADA'!E41</f>
        <v/>
      </c>
      <c r="AS39" s="90">
        <f>'REV. FACHADA'!E42</f>
        <v/>
      </c>
      <c r="AT39" s="90">
        <f>'REV. FACHADA'!E43</f>
        <v/>
      </c>
      <c r="AU39" s="90">
        <f>'REV. FACHADA'!E44</f>
        <v/>
      </c>
      <c r="AV39" s="90">
        <f>'REV. FACHADA'!E45</f>
        <v/>
      </c>
      <c r="AW39" s="90">
        <f>'REV. FACHADA'!E46</f>
        <v/>
      </c>
      <c r="AX39" s="90">
        <f>'REV. FACHADA'!E47</f>
        <v/>
      </c>
      <c r="AY39" s="90">
        <f>'REV. FACHADA'!E48</f>
        <v/>
      </c>
      <c r="AZ39" s="90">
        <f>'REV. FACHADA'!E49</f>
        <v/>
      </c>
      <c r="BA39" s="90">
        <f>'REV. FACHADA'!E50</f>
        <v/>
      </c>
      <c r="BB39" s="90">
        <f>'REV. FACHADA'!E51</f>
        <v/>
      </c>
      <c r="BC39" s="90">
        <f>'REV. FACHADA'!E52</f>
        <v/>
      </c>
      <c r="BD39" s="90">
        <f>'REV. FACHADA'!E53</f>
        <v/>
      </c>
      <c r="BE39" s="90">
        <f>'REV. FACHADA'!E54</f>
        <v/>
      </c>
      <c r="BF39" s="90">
        <f>'REV. FACHADA'!E55</f>
        <v/>
      </c>
      <c r="BG39" s="90">
        <f>'REV. FACHADA'!E56</f>
        <v/>
      </c>
      <c r="BH39" s="90">
        <f>'REV. FACHADA'!E57</f>
        <v/>
      </c>
      <c r="BI39" s="90">
        <f>'REV. FACHADA'!E58</f>
        <v/>
      </c>
      <c r="BJ39" s="90">
        <f>'REV. FACHADA'!E59</f>
        <v/>
      </c>
      <c r="BK39" s="90">
        <f>'REV. FACHADA'!E60</f>
        <v/>
      </c>
      <c r="BL39" s="90">
        <f>'REV. FACHADA'!E61</f>
        <v/>
      </c>
      <c r="BM39" s="90">
        <f>'REV. FACHADA'!E62</f>
        <v/>
      </c>
      <c r="BN39" s="90">
        <f>'REV. FACHADA'!E63</f>
        <v/>
      </c>
      <c r="BO39" s="90">
        <f>'REV. FACHADA'!E64</f>
        <v/>
      </c>
      <c r="BP39" s="90">
        <f>'REV. FACHADA'!E65</f>
        <v/>
      </c>
      <c r="BQ39" s="90">
        <f>'REV. FACHADA'!E66</f>
        <v/>
      </c>
      <c r="BR39" s="90">
        <f>'REV. FACHADA'!E67</f>
        <v/>
      </c>
      <c r="BS39" s="90">
        <f>'REV. FACHADA'!E68</f>
        <v/>
      </c>
      <c r="BT39" s="90">
        <f>'REV. FACHADA'!E69</f>
        <v/>
      </c>
      <c r="BU39" s="90">
        <f>'REV. FACHADA'!E70</f>
        <v/>
      </c>
      <c r="BV39" s="90">
        <f>'REV. FACHADA'!E71</f>
        <v/>
      </c>
      <c r="BW39" s="90">
        <f>'REV. FACHADA'!E72</f>
        <v/>
      </c>
      <c r="BX39" s="90">
        <f>'REV. FACHADA'!E73</f>
        <v/>
      </c>
      <c r="BY39" s="90">
        <f>'REV. FACHADA'!E74</f>
        <v/>
      </c>
      <c r="BZ39" s="90">
        <f>'REV. FACHADA'!E75</f>
        <v/>
      </c>
      <c r="CA39" s="90">
        <f>'REV. FACHADA'!E76</f>
        <v/>
      </c>
    </row>
    <row r="40">
      <c r="A40" s="59" t="inlineStr">
        <is>
          <t>G041.002</t>
        </is>
      </c>
      <c r="B40" s="59" t="inlineStr">
        <is>
          <t>1030 1070 580</t>
        </is>
      </c>
      <c r="C40" s="59" t="inlineStr">
        <is>
          <t>REVESTIMENTOS DIVERSOS FACHADA</t>
        </is>
      </c>
      <c r="E40" s="49">
        <f>SUM(H40:CA40)</f>
        <v/>
      </c>
      <c r="F40" s="49">
        <f>IF(D40="","",D40-E40)</f>
        <v/>
      </c>
    </row>
    <row r="41">
      <c r="A41" s="59" t="inlineStr">
        <is>
          <t>G041.002</t>
        </is>
      </c>
      <c r="B41" s="59" t="inlineStr">
        <is>
          <t>1030 1070 310</t>
        </is>
      </c>
      <c r="C41" s="59" t="inlineStr">
        <is>
          <t>REVESTIMENTOS DIVERSOS PAREDE</t>
        </is>
      </c>
      <c r="E41" s="49">
        <f>SUM(H41:CA41)</f>
        <v/>
      </c>
      <c r="F41" s="49">
        <f>IF(D41="","",D41-E41)</f>
        <v/>
      </c>
    </row>
    <row r="42">
      <c r="A42" s="59" t="inlineStr">
        <is>
          <t>G041.002</t>
        </is>
      </c>
      <c r="B42" s="59" t="inlineStr">
        <is>
          <t>1030 1070 330</t>
        </is>
      </c>
      <c r="C42" s="59" t="inlineStr">
        <is>
          <t>REVESTIMENTOS DIVERSOS PISOS</t>
        </is>
      </c>
      <c r="E42" s="49">
        <f>SUM(H42:CA42)</f>
        <v/>
      </c>
      <c r="F42" s="49">
        <f>IF(D42="","",D42-E42)</f>
        <v/>
      </c>
    </row>
    <row r="43">
      <c r="A43" s="59" t="inlineStr">
        <is>
          <t>G041.002</t>
        </is>
      </c>
      <c r="B43" s="59" t="inlineStr">
        <is>
          <t>1030 1070 340</t>
        </is>
      </c>
      <c r="C43" s="59" t="inlineStr">
        <is>
          <t>RODAPÉS/SOLEIRAS/PEITORIL/ADUELAS</t>
        </is>
      </c>
      <c r="E43" s="49">
        <f>SUM(H43:CA43)</f>
        <v/>
      </c>
      <c r="F43" s="49">
        <f>IF(D43="","",D43-E43)</f>
        <v/>
      </c>
    </row>
    <row r="44">
      <c r="A44" s="59" t="inlineStr">
        <is>
          <t>G041.002</t>
        </is>
      </c>
      <c r="B44" s="59" t="inlineStr">
        <is>
          <t>1030 1070 220</t>
        </is>
      </c>
      <c r="C44" s="59" t="inlineStr">
        <is>
          <t>EQUIPAMENTOS DE PROTEÇÃO COLETIVA</t>
        </is>
      </c>
      <c r="E44" s="49">
        <f>SUM(H44:CA44)</f>
        <v/>
      </c>
      <c r="F44" s="49">
        <f>IF(D44="","",D44-E44)</f>
        <v/>
      </c>
    </row>
    <row r="45">
      <c r="A45" s="59" t="inlineStr">
        <is>
          <t>G041.002</t>
        </is>
      </c>
      <c r="B45" s="59" t="inlineStr">
        <is>
          <t>1030 1070 110</t>
        </is>
      </c>
      <c r="C45" s="59" t="inlineStr">
        <is>
          <t>SEGUROS</t>
        </is>
      </c>
      <c r="D45" s="60">
        <f>'SEGUROS'!$K$5</f>
        <v/>
      </c>
      <c r="E45" s="49">
        <f>SUM(H45:CA45)</f>
        <v/>
      </c>
      <c r="F45" s="49">
        <f>IF(D45="","",D45-E45)</f>
        <v/>
      </c>
      <c r="H45" s="90">
        <f>'SEGUROS'!E5</f>
        <v/>
      </c>
      <c r="I45" s="90">
        <f>'SEGUROS'!E6</f>
        <v/>
      </c>
      <c r="J45" s="90">
        <f>'SEGUROS'!E7</f>
        <v/>
      </c>
      <c r="K45" s="90">
        <f>'SEGUROS'!E8</f>
        <v/>
      </c>
      <c r="L45" s="90">
        <f>'SEGUROS'!E9</f>
        <v/>
      </c>
      <c r="M45" s="90">
        <f>'SEGUROS'!E10</f>
        <v/>
      </c>
      <c r="N45" s="90">
        <f>'SEGUROS'!E11</f>
        <v/>
      </c>
      <c r="O45" s="90">
        <f>'SEGUROS'!E12</f>
        <v/>
      </c>
      <c r="P45" s="90">
        <f>'SEGUROS'!E13</f>
        <v/>
      </c>
      <c r="Q45" s="90">
        <f>'SEGUROS'!E14</f>
        <v/>
      </c>
      <c r="R45" s="90">
        <f>'SEGUROS'!E15</f>
        <v/>
      </c>
      <c r="S45" s="90">
        <f>'SEGUROS'!E16</f>
        <v/>
      </c>
      <c r="T45" s="90">
        <f>'SEGUROS'!E17</f>
        <v/>
      </c>
      <c r="U45" s="90">
        <f>'SEGUROS'!E18</f>
        <v/>
      </c>
      <c r="V45" s="90">
        <f>'SEGUROS'!E19</f>
        <v/>
      </c>
      <c r="W45" s="90">
        <f>'SEGUROS'!E20</f>
        <v/>
      </c>
      <c r="X45" s="90">
        <f>'SEGUROS'!E21</f>
        <v/>
      </c>
      <c r="Y45" s="90">
        <f>'SEGUROS'!E22</f>
        <v/>
      </c>
      <c r="Z45" s="90">
        <f>'SEGUROS'!E23</f>
        <v/>
      </c>
      <c r="AA45" s="90">
        <f>'SEGUROS'!E24</f>
        <v/>
      </c>
      <c r="AB45" s="90">
        <f>'SEGUROS'!E25</f>
        <v/>
      </c>
      <c r="AC45" s="90">
        <f>'SEGUROS'!E26</f>
        <v/>
      </c>
      <c r="AD45" s="90">
        <f>'SEGUROS'!E27</f>
        <v/>
      </c>
      <c r="AE45" s="90">
        <f>'SEGUROS'!E28</f>
        <v/>
      </c>
      <c r="AF45" s="90">
        <f>'SEGUROS'!E29</f>
        <v/>
      </c>
      <c r="AG45" s="90">
        <f>'SEGUROS'!E30</f>
        <v/>
      </c>
      <c r="AH45" s="90">
        <f>'SEGUROS'!E31</f>
        <v/>
      </c>
      <c r="AI45" s="90">
        <f>'SEGUROS'!E32</f>
        <v/>
      </c>
      <c r="AJ45" s="90">
        <f>'SEGUROS'!E33</f>
        <v/>
      </c>
      <c r="AK45" s="90">
        <f>'SEGUROS'!E34</f>
        <v/>
      </c>
      <c r="AL45" s="90">
        <f>'SEGUROS'!E35</f>
        <v/>
      </c>
      <c r="AM45" s="90">
        <f>'SEGUROS'!E36</f>
        <v/>
      </c>
      <c r="AN45" s="90">
        <f>'SEGUROS'!E37</f>
        <v/>
      </c>
      <c r="AO45" s="90">
        <f>'SEGUROS'!E38</f>
        <v/>
      </c>
      <c r="AP45" s="90">
        <f>'SEGUROS'!E39</f>
        <v/>
      </c>
      <c r="AQ45" s="90">
        <f>'SEGUROS'!E40</f>
        <v/>
      </c>
      <c r="AR45" s="90">
        <f>'SEGUROS'!E41</f>
        <v/>
      </c>
      <c r="AS45" s="90">
        <f>'SEGUROS'!E42</f>
        <v/>
      </c>
      <c r="AT45" s="90">
        <f>'SEGUROS'!E43</f>
        <v/>
      </c>
      <c r="AU45" s="90">
        <f>'SEGUROS'!E44</f>
        <v/>
      </c>
      <c r="AV45" s="90">
        <f>'SEGUROS'!E45</f>
        <v/>
      </c>
      <c r="AW45" s="90">
        <f>'SEGUROS'!E46</f>
        <v/>
      </c>
      <c r="AX45" s="90">
        <f>'SEGUROS'!E47</f>
        <v/>
      </c>
      <c r="AY45" s="90">
        <f>'SEGUROS'!E48</f>
        <v/>
      </c>
      <c r="AZ45" s="90">
        <f>'SEGUROS'!E49</f>
        <v/>
      </c>
      <c r="BA45" s="90">
        <f>'SEGUROS'!E50</f>
        <v/>
      </c>
      <c r="BB45" s="90">
        <f>'SEGUROS'!E51</f>
        <v/>
      </c>
      <c r="BC45" s="90">
        <f>'SEGUROS'!E52</f>
        <v/>
      </c>
      <c r="BD45" s="90">
        <f>'SEGUROS'!E53</f>
        <v/>
      </c>
      <c r="BE45" s="90">
        <f>'SEGUROS'!E54</f>
        <v/>
      </c>
      <c r="BF45" s="90">
        <f>'SEGUROS'!E55</f>
        <v/>
      </c>
      <c r="BG45" s="90">
        <f>'SEGUROS'!E56</f>
        <v/>
      </c>
      <c r="BH45" s="90">
        <f>'SEGUROS'!E57</f>
        <v/>
      </c>
      <c r="BI45" s="90">
        <f>'SEGUROS'!E58</f>
        <v/>
      </c>
      <c r="BJ45" s="90">
        <f>'SEGUROS'!E59</f>
        <v/>
      </c>
      <c r="BK45" s="90">
        <f>'SEGUROS'!E60</f>
        <v/>
      </c>
      <c r="BL45" s="90">
        <f>'SEGUROS'!E61</f>
        <v/>
      </c>
      <c r="BM45" s="90">
        <f>'SEGUROS'!E62</f>
        <v/>
      </c>
      <c r="BN45" s="90">
        <f>'SEGUROS'!E63</f>
        <v/>
      </c>
      <c r="BO45" s="90">
        <f>'SEGUROS'!E64</f>
        <v/>
      </c>
      <c r="BP45" s="90">
        <f>'SEGUROS'!E65</f>
        <v/>
      </c>
      <c r="BQ45" s="90">
        <f>'SEGUROS'!E66</f>
        <v/>
      </c>
      <c r="BR45" s="90">
        <f>'SEGUROS'!E67</f>
        <v/>
      </c>
      <c r="BS45" s="90">
        <f>'SEGUROS'!E68</f>
        <v/>
      </c>
      <c r="BT45" s="90">
        <f>'SEGUROS'!E69</f>
        <v/>
      </c>
      <c r="BU45" s="90">
        <f>'SEGUROS'!E70</f>
        <v/>
      </c>
      <c r="BV45" s="90">
        <f>'SEGUROS'!E71</f>
        <v/>
      </c>
      <c r="BW45" s="90">
        <f>'SEGUROS'!E72</f>
        <v/>
      </c>
      <c r="BX45" s="90">
        <f>'SEGUROS'!E73</f>
        <v/>
      </c>
      <c r="BY45" s="90">
        <f>'SEGUROS'!E74</f>
        <v/>
      </c>
      <c r="BZ45" s="90">
        <f>'SEGUROS'!E75</f>
        <v/>
      </c>
      <c r="CA45" s="90">
        <f>'SEGUROS'!E76</f>
        <v/>
      </c>
    </row>
    <row r="46">
      <c r="A46" s="59" t="inlineStr">
        <is>
          <t>G041.002</t>
        </is>
      </c>
      <c r="B46" s="59" t="inlineStr">
        <is>
          <t>1030 1070 380</t>
        </is>
      </c>
      <c r="C46" s="59" t="inlineStr">
        <is>
          <t>SERRALHERIA</t>
        </is>
      </c>
      <c r="D46" s="60">
        <f>'SERRALHERIA'!$K$5</f>
        <v/>
      </c>
      <c r="E46" s="49">
        <f>SUM(H46:CA46)</f>
        <v/>
      </c>
      <c r="F46" s="49">
        <f>IF(D46="","",D46-E46)</f>
        <v/>
      </c>
      <c r="H46" s="90">
        <f>'SERRALHERIA'!E5</f>
        <v/>
      </c>
      <c r="I46" s="90">
        <f>'SERRALHERIA'!E6</f>
        <v/>
      </c>
      <c r="J46" s="90">
        <f>'SERRALHERIA'!E7</f>
        <v/>
      </c>
      <c r="K46" s="90">
        <f>'SERRALHERIA'!E8</f>
        <v/>
      </c>
      <c r="L46" s="90">
        <f>'SERRALHERIA'!E9</f>
        <v/>
      </c>
      <c r="M46" s="90">
        <f>'SERRALHERIA'!E10</f>
        <v/>
      </c>
      <c r="N46" s="90">
        <f>'SERRALHERIA'!E11</f>
        <v/>
      </c>
      <c r="O46" s="90">
        <f>'SERRALHERIA'!E12</f>
        <v/>
      </c>
      <c r="P46" s="90">
        <f>'SERRALHERIA'!E13</f>
        <v/>
      </c>
      <c r="Q46" s="90">
        <f>'SERRALHERIA'!E14</f>
        <v/>
      </c>
      <c r="R46" s="90">
        <f>'SERRALHERIA'!E15</f>
        <v/>
      </c>
      <c r="S46" s="90">
        <f>'SERRALHERIA'!E16</f>
        <v/>
      </c>
      <c r="T46" s="90">
        <f>'SERRALHERIA'!E17</f>
        <v/>
      </c>
      <c r="U46" s="90">
        <f>'SERRALHERIA'!E18</f>
        <v/>
      </c>
      <c r="V46" s="90">
        <f>'SERRALHERIA'!E19</f>
        <v/>
      </c>
      <c r="W46" s="90">
        <f>'SERRALHERIA'!E20</f>
        <v/>
      </c>
      <c r="X46" s="90">
        <f>'SERRALHERIA'!E21</f>
        <v/>
      </c>
      <c r="Y46" s="90">
        <f>'SERRALHERIA'!E22</f>
        <v/>
      </c>
      <c r="Z46" s="90">
        <f>'SERRALHERIA'!E23</f>
        <v/>
      </c>
      <c r="AA46" s="90">
        <f>'SERRALHERIA'!E24</f>
        <v/>
      </c>
      <c r="AB46" s="90">
        <f>'SERRALHERIA'!E25</f>
        <v/>
      </c>
      <c r="AC46" s="90">
        <f>'SERRALHERIA'!E26</f>
        <v/>
      </c>
      <c r="AD46" s="90">
        <f>'SERRALHERIA'!E27</f>
        <v/>
      </c>
      <c r="AE46" s="90">
        <f>'SERRALHERIA'!E28</f>
        <v/>
      </c>
      <c r="AF46" s="90">
        <f>'SERRALHERIA'!E29</f>
        <v/>
      </c>
      <c r="AG46" s="90">
        <f>'SERRALHERIA'!E30</f>
        <v/>
      </c>
      <c r="AH46" s="90">
        <f>'SERRALHERIA'!E31</f>
        <v/>
      </c>
      <c r="AI46" s="90">
        <f>'SERRALHERIA'!E32</f>
        <v/>
      </c>
      <c r="AJ46" s="90">
        <f>'SERRALHERIA'!E33</f>
        <v/>
      </c>
      <c r="AK46" s="90">
        <f>'SERRALHERIA'!E34</f>
        <v/>
      </c>
      <c r="AL46" s="90">
        <f>'SERRALHERIA'!E35</f>
        <v/>
      </c>
      <c r="AM46" s="90">
        <f>'SERRALHERIA'!E36</f>
        <v/>
      </c>
      <c r="AN46" s="90">
        <f>'SERRALHERIA'!E37</f>
        <v/>
      </c>
      <c r="AO46" s="90">
        <f>'SERRALHERIA'!E38</f>
        <v/>
      </c>
      <c r="AP46" s="90">
        <f>'SERRALHERIA'!E39</f>
        <v/>
      </c>
      <c r="AQ46" s="90">
        <f>'SERRALHERIA'!E40</f>
        <v/>
      </c>
      <c r="AR46" s="90">
        <f>'SERRALHERIA'!E41</f>
        <v/>
      </c>
      <c r="AS46" s="90">
        <f>'SERRALHERIA'!E42</f>
        <v/>
      </c>
      <c r="AT46" s="90">
        <f>'SERRALHERIA'!E43</f>
        <v/>
      </c>
      <c r="AU46" s="90">
        <f>'SERRALHERIA'!E44</f>
        <v/>
      </c>
      <c r="AV46" s="90">
        <f>'SERRALHERIA'!E45</f>
        <v/>
      </c>
      <c r="AW46" s="90">
        <f>'SERRALHERIA'!E46</f>
        <v/>
      </c>
      <c r="AX46" s="90">
        <f>'SERRALHERIA'!E47</f>
        <v/>
      </c>
      <c r="AY46" s="90">
        <f>'SERRALHERIA'!E48</f>
        <v/>
      </c>
      <c r="AZ46" s="90">
        <f>'SERRALHERIA'!E49</f>
        <v/>
      </c>
      <c r="BA46" s="90">
        <f>'SERRALHERIA'!E50</f>
        <v/>
      </c>
      <c r="BB46" s="90">
        <f>'SERRALHERIA'!E51</f>
        <v/>
      </c>
      <c r="BC46" s="90">
        <f>'SERRALHERIA'!E52</f>
        <v/>
      </c>
      <c r="BD46" s="90">
        <f>'SERRALHERIA'!E53</f>
        <v/>
      </c>
      <c r="BE46" s="90">
        <f>'SERRALHERIA'!E54</f>
        <v/>
      </c>
      <c r="BF46" s="90">
        <f>'SERRALHERIA'!E55</f>
        <v/>
      </c>
      <c r="BG46" s="90">
        <f>'SERRALHERIA'!E56</f>
        <v/>
      </c>
      <c r="BH46" s="90">
        <f>'SERRALHERIA'!E57</f>
        <v/>
      </c>
      <c r="BI46" s="90">
        <f>'SERRALHERIA'!E58</f>
        <v/>
      </c>
      <c r="BJ46" s="90">
        <f>'SERRALHERIA'!E59</f>
        <v/>
      </c>
      <c r="BK46" s="90">
        <f>'SERRALHERIA'!E60</f>
        <v/>
      </c>
      <c r="BL46" s="90">
        <f>'SERRALHERIA'!E61</f>
        <v/>
      </c>
      <c r="BM46" s="90">
        <f>'SERRALHERIA'!E62</f>
        <v/>
      </c>
      <c r="BN46" s="90">
        <f>'SERRALHERIA'!E63</f>
        <v/>
      </c>
      <c r="BO46" s="90">
        <f>'SERRALHERIA'!E64</f>
        <v/>
      </c>
      <c r="BP46" s="90">
        <f>'SERRALHERIA'!E65</f>
        <v/>
      </c>
      <c r="BQ46" s="90">
        <f>'SERRALHERIA'!E66</f>
        <v/>
      </c>
      <c r="BR46" s="90">
        <f>'SERRALHERIA'!E67</f>
        <v/>
      </c>
      <c r="BS46" s="90">
        <f>'SERRALHERIA'!E68</f>
        <v/>
      </c>
      <c r="BT46" s="90">
        <f>'SERRALHERIA'!E69</f>
        <v/>
      </c>
      <c r="BU46" s="90">
        <f>'SERRALHERIA'!E70</f>
        <v/>
      </c>
      <c r="BV46" s="90">
        <f>'SERRALHERIA'!E71</f>
        <v/>
      </c>
      <c r="BW46" s="90">
        <f>'SERRALHERIA'!E72</f>
        <v/>
      </c>
      <c r="BX46" s="90">
        <f>'SERRALHERIA'!E73</f>
        <v/>
      </c>
      <c r="BY46" s="90">
        <f>'SERRALHERIA'!E74</f>
        <v/>
      </c>
      <c r="BZ46" s="90">
        <f>'SERRALHERIA'!E75</f>
        <v/>
      </c>
      <c r="CA46" s="90">
        <f>'SERRALHERIA'!E76</f>
        <v/>
      </c>
    </row>
    <row r="47">
      <c r="A47" s="59" t="inlineStr">
        <is>
          <t>G041.002</t>
        </is>
      </c>
      <c r="B47" s="59" t="inlineStr">
        <is>
          <t>1030 1070 470</t>
        </is>
      </c>
      <c r="C47" s="59" t="inlineStr">
        <is>
          <t>TAXA DE ADMINISTRAÇÃO</t>
        </is>
      </c>
      <c r="D47" s="60">
        <f>'TAX. ADM'!$K$5</f>
        <v/>
      </c>
      <c r="E47" s="49">
        <f>SUM(H47:CA47)</f>
        <v/>
      </c>
      <c r="F47" s="49">
        <f>IF(D47="","",D47-E47)</f>
        <v/>
      </c>
      <c r="H47" s="90">
        <f>'TAX. ADM'!E5</f>
        <v/>
      </c>
      <c r="I47" s="90">
        <f>'TAX. ADM'!E6</f>
        <v/>
      </c>
      <c r="J47" s="90">
        <f>'TAX. ADM'!E7</f>
        <v/>
      </c>
      <c r="K47" s="90">
        <f>'TAX. ADM'!E8</f>
        <v/>
      </c>
      <c r="L47" s="90">
        <f>'TAX. ADM'!E9</f>
        <v/>
      </c>
      <c r="M47" s="90">
        <f>'TAX. ADM'!E10</f>
        <v/>
      </c>
      <c r="N47" s="90">
        <f>'TAX. ADM'!E11</f>
        <v/>
      </c>
      <c r="O47" s="90">
        <f>'TAX. ADM'!E12</f>
        <v/>
      </c>
      <c r="P47" s="90">
        <f>'TAX. ADM'!E13</f>
        <v/>
      </c>
      <c r="Q47" s="90">
        <f>'TAX. ADM'!E14</f>
        <v/>
      </c>
      <c r="R47" s="90">
        <f>'TAX. ADM'!E15</f>
        <v/>
      </c>
      <c r="S47" s="90">
        <f>'TAX. ADM'!E16</f>
        <v/>
      </c>
      <c r="T47" s="90">
        <f>'TAX. ADM'!E17</f>
        <v/>
      </c>
      <c r="U47" s="90">
        <f>'TAX. ADM'!E18</f>
        <v/>
      </c>
      <c r="V47" s="90">
        <f>'TAX. ADM'!E19</f>
        <v/>
      </c>
      <c r="W47" s="90">
        <f>'TAX. ADM'!E20</f>
        <v/>
      </c>
      <c r="X47" s="90">
        <f>'TAX. ADM'!E21</f>
        <v/>
      </c>
      <c r="Y47" s="90">
        <f>'TAX. ADM'!E22</f>
        <v/>
      </c>
      <c r="Z47" s="90">
        <f>'TAX. ADM'!E23</f>
        <v/>
      </c>
      <c r="AA47" s="90">
        <f>'TAX. ADM'!E24</f>
        <v/>
      </c>
      <c r="AB47" s="90">
        <f>'TAX. ADM'!E25</f>
        <v/>
      </c>
      <c r="AC47" s="90">
        <f>'TAX. ADM'!E26</f>
        <v/>
      </c>
      <c r="AD47" s="90">
        <f>'TAX. ADM'!E27</f>
        <v/>
      </c>
      <c r="AE47" s="90">
        <f>'TAX. ADM'!E28</f>
        <v/>
      </c>
      <c r="AF47" s="90">
        <f>'TAX. ADM'!E29</f>
        <v/>
      </c>
      <c r="AG47" s="90">
        <f>'TAX. ADM'!E30</f>
        <v/>
      </c>
      <c r="AH47" s="90">
        <f>'TAX. ADM'!E31</f>
        <v/>
      </c>
      <c r="AI47" s="90">
        <f>'TAX. ADM'!E32</f>
        <v/>
      </c>
      <c r="AJ47" s="90">
        <f>'TAX. ADM'!E33</f>
        <v/>
      </c>
      <c r="AK47" s="90">
        <f>'TAX. ADM'!E34</f>
        <v/>
      </c>
      <c r="AL47" s="90">
        <f>'TAX. ADM'!E35</f>
        <v/>
      </c>
      <c r="AM47" s="90">
        <f>'TAX. ADM'!E36</f>
        <v/>
      </c>
      <c r="AN47" s="90">
        <f>'TAX. ADM'!E37</f>
        <v/>
      </c>
      <c r="AO47" s="90">
        <f>'TAX. ADM'!E38</f>
        <v/>
      </c>
      <c r="AP47" s="90">
        <f>'TAX. ADM'!E39</f>
        <v/>
      </c>
      <c r="AQ47" s="90">
        <f>'TAX. ADM'!E40</f>
        <v/>
      </c>
      <c r="AR47" s="90">
        <f>'TAX. ADM'!E41</f>
        <v/>
      </c>
      <c r="AS47" s="90">
        <f>'TAX. ADM'!E42</f>
        <v/>
      </c>
      <c r="AT47" s="90">
        <f>'TAX. ADM'!E43</f>
        <v/>
      </c>
      <c r="AU47" s="90">
        <f>'TAX. ADM'!E44</f>
        <v/>
      </c>
      <c r="AV47" s="90">
        <f>'TAX. ADM'!E45</f>
        <v/>
      </c>
      <c r="AW47" s="90">
        <f>'TAX. ADM'!E46</f>
        <v/>
      </c>
      <c r="AX47" s="90">
        <f>'TAX. ADM'!E47</f>
        <v/>
      </c>
      <c r="AY47" s="90">
        <f>'TAX. ADM'!E48</f>
        <v/>
      </c>
      <c r="AZ47" s="90">
        <f>'TAX. ADM'!E49</f>
        <v/>
      </c>
      <c r="BA47" s="90">
        <f>'TAX. ADM'!E50</f>
        <v/>
      </c>
      <c r="BB47" s="90">
        <f>'TAX. ADM'!E51</f>
        <v/>
      </c>
      <c r="BC47" s="90">
        <f>'TAX. ADM'!E52</f>
        <v/>
      </c>
      <c r="BD47" s="90">
        <f>'TAX. ADM'!E53</f>
        <v/>
      </c>
      <c r="BE47" s="90">
        <f>'TAX. ADM'!E54</f>
        <v/>
      </c>
      <c r="BF47" s="90">
        <f>'TAX. ADM'!E55</f>
        <v/>
      </c>
      <c r="BG47" s="90">
        <f>'TAX. ADM'!E56</f>
        <v/>
      </c>
      <c r="BH47" s="90">
        <f>'TAX. ADM'!E57</f>
        <v/>
      </c>
      <c r="BI47" s="90">
        <f>'TAX. ADM'!E58</f>
        <v/>
      </c>
      <c r="BJ47" s="90">
        <f>'TAX. ADM'!E59</f>
        <v/>
      </c>
      <c r="BK47" s="90">
        <f>'TAX. ADM'!E60</f>
        <v/>
      </c>
      <c r="BL47" s="90">
        <f>'TAX. ADM'!E61</f>
        <v/>
      </c>
      <c r="BM47" s="90">
        <f>'TAX. ADM'!E62</f>
        <v/>
      </c>
      <c r="BN47" s="90">
        <f>'TAX. ADM'!E63</f>
        <v/>
      </c>
      <c r="BO47" s="90">
        <f>'TAX. ADM'!E64</f>
        <v/>
      </c>
      <c r="BP47" s="90">
        <f>'TAX. ADM'!E65</f>
        <v/>
      </c>
      <c r="BQ47" s="90">
        <f>'TAX. ADM'!E66</f>
        <v/>
      </c>
      <c r="BR47" s="90">
        <f>'TAX. ADM'!E67</f>
        <v/>
      </c>
      <c r="BS47" s="90">
        <f>'TAX. ADM'!E68</f>
        <v/>
      </c>
      <c r="BT47" s="90">
        <f>'TAX. ADM'!E69</f>
        <v/>
      </c>
      <c r="BU47" s="90">
        <f>'TAX. ADM'!E70</f>
        <v/>
      </c>
      <c r="BV47" s="90">
        <f>'TAX. ADM'!E71</f>
        <v/>
      </c>
      <c r="BW47" s="90">
        <f>'TAX. ADM'!E72</f>
        <v/>
      </c>
      <c r="BX47" s="90">
        <f>'TAX. ADM'!E73</f>
        <v/>
      </c>
      <c r="BY47" s="90">
        <f>'TAX. ADM'!E74</f>
        <v/>
      </c>
      <c r="BZ47" s="90">
        <f>'TAX. ADM'!E75</f>
        <v/>
      </c>
      <c r="CA47" s="90">
        <f>'TAX. ADM'!E76</f>
        <v/>
      </c>
    </row>
    <row r="48">
      <c r="A48" s="59" t="inlineStr">
        <is>
          <t>G041.002</t>
        </is>
      </c>
      <c r="B48" s="59" t="inlineStr">
        <is>
          <t>1030 1070 180</t>
        </is>
      </c>
      <c r="C48" s="59" t="inlineStr">
        <is>
          <t>TERRAPLENAGEM</t>
        </is>
      </c>
      <c r="D48" s="60">
        <f>'TERRAPLENAGEM'!$K$5</f>
        <v/>
      </c>
      <c r="E48" s="49">
        <f>SUM(H48:CA48)</f>
        <v/>
      </c>
      <c r="F48" s="49">
        <f>IF(D48="","",D48-E48)</f>
        <v/>
      </c>
      <c r="H48" s="90">
        <f>'TERRAPLENAGEM'!E5</f>
        <v/>
      </c>
      <c r="I48" s="90">
        <f>'TERRAPLENAGEM'!E6</f>
        <v/>
      </c>
      <c r="J48" s="90">
        <f>'TERRAPLENAGEM'!E7</f>
        <v/>
      </c>
      <c r="K48" s="90">
        <f>'TERRAPLENAGEM'!E8</f>
        <v/>
      </c>
      <c r="L48" s="90">
        <f>'TERRAPLENAGEM'!E9</f>
        <v/>
      </c>
      <c r="M48" s="90">
        <f>'TERRAPLENAGEM'!E10</f>
        <v/>
      </c>
      <c r="N48" s="90">
        <f>'TERRAPLENAGEM'!E11</f>
        <v/>
      </c>
      <c r="O48" s="90">
        <f>'TERRAPLENAGEM'!E12</f>
        <v/>
      </c>
      <c r="P48" s="90">
        <f>'TERRAPLENAGEM'!E13</f>
        <v/>
      </c>
      <c r="Q48" s="90">
        <f>'TERRAPLENAGEM'!E14</f>
        <v/>
      </c>
      <c r="R48" s="90">
        <f>'TERRAPLENAGEM'!E15</f>
        <v/>
      </c>
      <c r="S48" s="90">
        <f>'TERRAPLENAGEM'!E16</f>
        <v/>
      </c>
      <c r="T48" s="90">
        <f>'TERRAPLENAGEM'!E17</f>
        <v/>
      </c>
      <c r="U48" s="90">
        <f>'TERRAPLENAGEM'!E18</f>
        <v/>
      </c>
      <c r="V48" s="90">
        <f>'TERRAPLENAGEM'!E19</f>
        <v/>
      </c>
      <c r="W48" s="90">
        <f>'TERRAPLENAGEM'!E20</f>
        <v/>
      </c>
      <c r="X48" s="90">
        <f>'TERRAPLENAGEM'!E21</f>
        <v/>
      </c>
      <c r="Y48" s="90">
        <f>'TERRAPLENAGEM'!E22</f>
        <v/>
      </c>
      <c r="Z48" s="90">
        <f>'TERRAPLENAGEM'!E23</f>
        <v/>
      </c>
      <c r="AA48" s="90">
        <f>'TERRAPLENAGEM'!E24</f>
        <v/>
      </c>
      <c r="AB48" s="90">
        <f>'TERRAPLENAGEM'!E25</f>
        <v/>
      </c>
      <c r="AC48" s="90">
        <f>'TERRAPLENAGEM'!E26</f>
        <v/>
      </c>
      <c r="AD48" s="90">
        <f>'TERRAPLENAGEM'!E27</f>
        <v/>
      </c>
      <c r="AE48" s="90">
        <f>'TERRAPLENAGEM'!E28</f>
        <v/>
      </c>
      <c r="AF48" s="90">
        <f>'TERRAPLENAGEM'!E29</f>
        <v/>
      </c>
      <c r="AG48" s="90">
        <f>'TERRAPLENAGEM'!E30</f>
        <v/>
      </c>
      <c r="AH48" s="90">
        <f>'TERRAPLENAGEM'!E31</f>
        <v/>
      </c>
      <c r="AI48" s="90">
        <f>'TERRAPLENAGEM'!E32</f>
        <v/>
      </c>
      <c r="AJ48" s="90">
        <f>'TERRAPLENAGEM'!E33</f>
        <v/>
      </c>
      <c r="AK48" s="90">
        <f>'TERRAPLENAGEM'!E34</f>
        <v/>
      </c>
      <c r="AL48" s="90">
        <f>'TERRAPLENAGEM'!E35</f>
        <v/>
      </c>
      <c r="AM48" s="90">
        <f>'TERRAPLENAGEM'!E36</f>
        <v/>
      </c>
      <c r="AN48" s="90">
        <f>'TERRAPLENAGEM'!E37</f>
        <v/>
      </c>
      <c r="AO48" s="90">
        <f>'TERRAPLENAGEM'!E38</f>
        <v/>
      </c>
      <c r="AP48" s="90">
        <f>'TERRAPLENAGEM'!E39</f>
        <v/>
      </c>
      <c r="AQ48" s="90">
        <f>'TERRAPLENAGEM'!E40</f>
        <v/>
      </c>
      <c r="AR48" s="90">
        <f>'TERRAPLENAGEM'!E41</f>
        <v/>
      </c>
      <c r="AS48" s="90">
        <f>'TERRAPLENAGEM'!E42</f>
        <v/>
      </c>
      <c r="AT48" s="90">
        <f>'TERRAPLENAGEM'!E43</f>
        <v/>
      </c>
      <c r="AU48" s="90">
        <f>'TERRAPLENAGEM'!E44</f>
        <v/>
      </c>
      <c r="AV48" s="90">
        <f>'TERRAPLENAGEM'!E45</f>
        <v/>
      </c>
      <c r="AW48" s="90">
        <f>'TERRAPLENAGEM'!E46</f>
        <v/>
      </c>
      <c r="AX48" s="90">
        <f>'TERRAPLENAGEM'!E47</f>
        <v/>
      </c>
      <c r="AY48" s="90">
        <f>'TERRAPLENAGEM'!E48</f>
        <v/>
      </c>
      <c r="AZ48" s="90">
        <f>'TERRAPLENAGEM'!E49</f>
        <v/>
      </c>
      <c r="BA48" s="90">
        <f>'TERRAPLENAGEM'!E50</f>
        <v/>
      </c>
      <c r="BB48" s="90">
        <f>'TERRAPLENAGEM'!E51</f>
        <v/>
      </c>
      <c r="BC48" s="90">
        <f>'TERRAPLENAGEM'!E52</f>
        <v/>
      </c>
      <c r="BD48" s="90">
        <f>'TERRAPLENAGEM'!E53</f>
        <v/>
      </c>
      <c r="BE48" s="90">
        <f>'TERRAPLENAGEM'!E54</f>
        <v/>
      </c>
      <c r="BF48" s="90">
        <f>'TERRAPLENAGEM'!E55</f>
        <v/>
      </c>
      <c r="BG48" s="90">
        <f>'TERRAPLENAGEM'!E56</f>
        <v/>
      </c>
      <c r="BH48" s="90">
        <f>'TERRAPLENAGEM'!E57</f>
        <v/>
      </c>
      <c r="BI48" s="90">
        <f>'TERRAPLENAGEM'!E58</f>
        <v/>
      </c>
      <c r="BJ48" s="90">
        <f>'TERRAPLENAGEM'!E59</f>
        <v/>
      </c>
      <c r="BK48" s="90">
        <f>'TERRAPLENAGEM'!E60</f>
        <v/>
      </c>
      <c r="BL48" s="90">
        <f>'TERRAPLENAGEM'!E61</f>
        <v/>
      </c>
      <c r="BM48" s="90">
        <f>'TERRAPLENAGEM'!E62</f>
        <v/>
      </c>
      <c r="BN48" s="90">
        <f>'TERRAPLENAGEM'!E63</f>
        <v/>
      </c>
      <c r="BO48" s="90">
        <f>'TERRAPLENAGEM'!E64</f>
        <v/>
      </c>
      <c r="BP48" s="90">
        <f>'TERRAPLENAGEM'!E65</f>
        <v/>
      </c>
      <c r="BQ48" s="90">
        <f>'TERRAPLENAGEM'!E66</f>
        <v/>
      </c>
      <c r="BR48" s="90">
        <f>'TERRAPLENAGEM'!E67</f>
        <v/>
      </c>
      <c r="BS48" s="90">
        <f>'TERRAPLENAGEM'!E68</f>
        <v/>
      </c>
      <c r="BT48" s="90">
        <f>'TERRAPLENAGEM'!E69</f>
        <v/>
      </c>
      <c r="BU48" s="90">
        <f>'TERRAPLENAGEM'!E70</f>
        <v/>
      </c>
      <c r="BV48" s="90">
        <f>'TERRAPLENAGEM'!E71</f>
        <v/>
      </c>
      <c r="BW48" s="90">
        <f>'TERRAPLENAGEM'!E72</f>
        <v/>
      </c>
      <c r="BX48" s="90">
        <f>'TERRAPLENAGEM'!E73</f>
        <v/>
      </c>
      <c r="BY48" s="90">
        <f>'TERRAPLENAGEM'!E74</f>
        <v/>
      </c>
      <c r="BZ48" s="90">
        <f>'TERRAPLENAGEM'!E75</f>
        <v/>
      </c>
      <c r="CA48" s="90">
        <f>'TERRAPLENAGEM'!E76</f>
        <v/>
      </c>
    </row>
    <row r="49">
      <c r="A49" s="59" t="inlineStr">
        <is>
          <t>G041.002</t>
        </is>
      </c>
      <c r="B49" s="59" t="inlineStr">
        <is>
          <t>1030 1070 600</t>
        </is>
      </c>
      <c r="C49" s="59" t="inlineStr">
        <is>
          <t>TOPOGRAFIA</t>
        </is>
      </c>
      <c r="E49" s="49">
        <f>SUM(H49:CA49)</f>
        <v/>
      </c>
      <c r="F49" s="49">
        <f>IF(D49="","",D49-E49)</f>
        <v/>
      </c>
    </row>
    <row r="50">
      <c r="A50" s="59" t="inlineStr">
        <is>
          <t>G041.002</t>
        </is>
      </c>
      <c r="B50" s="59" t="inlineStr">
        <is>
          <t>1030 1070 460</t>
        </is>
      </c>
      <c r="C50" s="59" t="inlineStr">
        <is>
          <t>TRANSPORTES</t>
        </is>
      </c>
      <c r="D50" s="60">
        <f>'TRANSPORTES'!$K$5</f>
        <v/>
      </c>
      <c r="E50" s="49">
        <f>SUM(H50:CA50)</f>
        <v/>
      </c>
      <c r="F50" s="49">
        <f>IF(D50="","",D50-E50)</f>
        <v/>
      </c>
      <c r="H50" s="90">
        <f>'TRANSPORTES'!E5</f>
        <v/>
      </c>
      <c r="I50" s="90">
        <f>'TRANSPORTES'!E6</f>
        <v/>
      </c>
      <c r="J50" s="90">
        <f>'TRANSPORTES'!E7</f>
        <v/>
      </c>
      <c r="K50" s="90">
        <f>'TRANSPORTES'!E8</f>
        <v/>
      </c>
      <c r="L50" s="90">
        <f>'TRANSPORTES'!E9</f>
        <v/>
      </c>
      <c r="M50" s="90">
        <f>'TRANSPORTES'!E10</f>
        <v/>
      </c>
      <c r="N50" s="90">
        <f>'TRANSPORTES'!E11</f>
        <v/>
      </c>
      <c r="O50" s="90">
        <f>'TRANSPORTES'!E12</f>
        <v/>
      </c>
      <c r="P50" s="90">
        <f>'TRANSPORTES'!E13</f>
        <v/>
      </c>
      <c r="Q50" s="90">
        <f>'TRANSPORTES'!E14</f>
        <v/>
      </c>
      <c r="R50" s="90">
        <f>'TRANSPORTES'!E15</f>
        <v/>
      </c>
      <c r="S50" s="90">
        <f>'TRANSPORTES'!E16</f>
        <v/>
      </c>
      <c r="T50" s="90">
        <f>'TRANSPORTES'!E17</f>
        <v/>
      </c>
      <c r="U50" s="90">
        <f>'TRANSPORTES'!E18</f>
        <v/>
      </c>
      <c r="V50" s="90">
        <f>'TRANSPORTES'!E19</f>
        <v/>
      </c>
      <c r="W50" s="90">
        <f>'TRANSPORTES'!E20</f>
        <v/>
      </c>
      <c r="X50" s="90">
        <f>'TRANSPORTES'!E21</f>
        <v/>
      </c>
      <c r="Y50" s="90">
        <f>'TRANSPORTES'!E22</f>
        <v/>
      </c>
      <c r="Z50" s="90">
        <f>'TRANSPORTES'!E23</f>
        <v/>
      </c>
      <c r="AA50" s="90">
        <f>'TRANSPORTES'!E24</f>
        <v/>
      </c>
      <c r="AB50" s="90">
        <f>'TRANSPORTES'!E25</f>
        <v/>
      </c>
      <c r="AC50" s="90">
        <f>'TRANSPORTES'!E26</f>
        <v/>
      </c>
      <c r="AD50" s="90">
        <f>'TRANSPORTES'!E27</f>
        <v/>
      </c>
      <c r="AE50" s="90">
        <f>'TRANSPORTES'!E28</f>
        <v/>
      </c>
      <c r="AF50" s="90">
        <f>'TRANSPORTES'!E29</f>
        <v/>
      </c>
      <c r="AG50" s="90">
        <f>'TRANSPORTES'!E30</f>
        <v/>
      </c>
      <c r="AH50" s="90">
        <f>'TRANSPORTES'!E31</f>
        <v/>
      </c>
      <c r="AI50" s="90">
        <f>'TRANSPORTES'!E32</f>
        <v/>
      </c>
      <c r="AJ50" s="90">
        <f>'TRANSPORTES'!E33</f>
        <v/>
      </c>
      <c r="AK50" s="90">
        <f>'TRANSPORTES'!E34</f>
        <v/>
      </c>
      <c r="AL50" s="90">
        <f>'TRANSPORTES'!E35</f>
        <v/>
      </c>
      <c r="AM50" s="90">
        <f>'TRANSPORTES'!E36</f>
        <v/>
      </c>
      <c r="AN50" s="90">
        <f>'TRANSPORTES'!E37</f>
        <v/>
      </c>
      <c r="AO50" s="90">
        <f>'TRANSPORTES'!E38</f>
        <v/>
      </c>
      <c r="AP50" s="90">
        <f>'TRANSPORTES'!E39</f>
        <v/>
      </c>
      <c r="AQ50" s="90">
        <f>'TRANSPORTES'!E40</f>
        <v/>
      </c>
      <c r="AR50" s="90">
        <f>'TRANSPORTES'!E41</f>
        <v/>
      </c>
      <c r="AS50" s="90">
        <f>'TRANSPORTES'!E42</f>
        <v/>
      </c>
      <c r="AT50" s="90">
        <f>'TRANSPORTES'!E43</f>
        <v/>
      </c>
      <c r="AU50" s="90">
        <f>'TRANSPORTES'!E44</f>
        <v/>
      </c>
      <c r="AV50" s="90">
        <f>'TRANSPORTES'!E45</f>
        <v/>
      </c>
      <c r="AW50" s="90">
        <f>'TRANSPORTES'!E46</f>
        <v/>
      </c>
      <c r="AX50" s="90">
        <f>'TRANSPORTES'!E47</f>
        <v/>
      </c>
      <c r="AY50" s="90">
        <f>'TRANSPORTES'!E48</f>
        <v/>
      </c>
      <c r="AZ50" s="90">
        <f>'TRANSPORTES'!E49</f>
        <v/>
      </c>
      <c r="BA50" s="90">
        <f>'TRANSPORTES'!E50</f>
        <v/>
      </c>
      <c r="BB50" s="90">
        <f>'TRANSPORTES'!E51</f>
        <v/>
      </c>
      <c r="BC50" s="90">
        <f>'TRANSPORTES'!E52</f>
        <v/>
      </c>
      <c r="BD50" s="90">
        <f>'TRANSPORTES'!E53</f>
        <v/>
      </c>
      <c r="BE50" s="90">
        <f>'TRANSPORTES'!E54</f>
        <v/>
      </c>
      <c r="BF50" s="90">
        <f>'TRANSPORTES'!E55</f>
        <v/>
      </c>
      <c r="BG50" s="90">
        <f>'TRANSPORTES'!E56</f>
        <v/>
      </c>
      <c r="BH50" s="90">
        <f>'TRANSPORTES'!E57</f>
        <v/>
      </c>
      <c r="BI50" s="90">
        <f>'TRANSPORTES'!E58</f>
        <v/>
      </c>
      <c r="BJ50" s="90">
        <f>'TRANSPORTES'!E59</f>
        <v/>
      </c>
      <c r="BK50" s="90">
        <f>'TRANSPORTES'!E60</f>
        <v/>
      </c>
      <c r="BL50" s="90">
        <f>'TRANSPORTES'!E61</f>
        <v/>
      </c>
      <c r="BM50" s="90">
        <f>'TRANSPORTES'!E62</f>
        <v/>
      </c>
      <c r="BN50" s="90">
        <f>'TRANSPORTES'!E63</f>
        <v/>
      </c>
      <c r="BO50" s="90">
        <f>'TRANSPORTES'!E64</f>
        <v/>
      </c>
      <c r="BP50" s="90">
        <f>'TRANSPORTES'!E65</f>
        <v/>
      </c>
      <c r="BQ50" s="90">
        <f>'TRANSPORTES'!E66</f>
        <v/>
      </c>
      <c r="BR50" s="90">
        <f>'TRANSPORTES'!E67</f>
        <v/>
      </c>
      <c r="BS50" s="90">
        <f>'TRANSPORTES'!E68</f>
        <v/>
      </c>
      <c r="BT50" s="90">
        <f>'TRANSPORTES'!E69</f>
        <v/>
      </c>
      <c r="BU50" s="90">
        <f>'TRANSPORTES'!E70</f>
        <v/>
      </c>
      <c r="BV50" s="90">
        <f>'TRANSPORTES'!E71</f>
        <v/>
      </c>
      <c r="BW50" s="90">
        <f>'TRANSPORTES'!E72</f>
        <v/>
      </c>
      <c r="BX50" s="90">
        <f>'TRANSPORTES'!E73</f>
        <v/>
      </c>
      <c r="BY50" s="90">
        <f>'TRANSPORTES'!E74</f>
        <v/>
      </c>
      <c r="BZ50" s="90">
        <f>'TRANSPORTES'!E75</f>
        <v/>
      </c>
      <c r="CA50" s="90">
        <f>'TRANSPORTES'!E76</f>
        <v/>
      </c>
    </row>
    <row r="51">
      <c r="A51" s="59" t="inlineStr">
        <is>
          <t>G041.002</t>
        </is>
      </c>
      <c r="B51" s="59" t="inlineStr">
        <is>
          <t>1030 1070 480</t>
        </is>
      </c>
      <c r="C51" s="59" t="inlineStr">
        <is>
          <t>ESTRUTURA EM COBERTURA METÁLICA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1030 1070 500</t>
        </is>
      </c>
      <c r="C52" s="59" t="inlineStr">
        <is>
          <t>REFORÇO ESTRUTURAL</t>
        </is>
      </c>
      <c r="E52" s="49">
        <f>SUM(H52:CA52)</f>
        <v/>
      </c>
      <c r="F52" s="49">
        <f>IF(D52="","",D52-E52)</f>
        <v/>
      </c>
    </row>
    <row r="53">
      <c r="A53" s="59" t="inlineStr">
        <is>
          <t>G041.002</t>
        </is>
      </c>
      <c r="B53" s="59" t="inlineStr">
        <is>
          <t>1030 1070 120</t>
        </is>
      </c>
      <c r="C53" s="59" t="inlineStr">
        <is>
          <t>TAXAS DIVERSAS</t>
        </is>
      </c>
      <c r="D53" s="60">
        <f>'TAX. DIVERSAS'!$K$5</f>
        <v/>
      </c>
      <c r="E53" s="49">
        <f>SUM(H53:CA53)</f>
        <v/>
      </c>
      <c r="F53" s="49">
        <f>IF(D53="","",D53-E53)</f>
        <v/>
      </c>
      <c r="H53" s="90">
        <f>'TAX. DIVERSAS'!E5</f>
        <v/>
      </c>
      <c r="I53" s="90">
        <f>'TAX. DIVERSAS'!E6</f>
        <v/>
      </c>
      <c r="J53" s="90">
        <f>'TAX. DIVERSAS'!E7</f>
        <v/>
      </c>
      <c r="K53" s="90">
        <f>'TAX. DIVERSAS'!E8</f>
        <v/>
      </c>
      <c r="L53" s="90">
        <f>'TAX. DIVERSAS'!E9</f>
        <v/>
      </c>
      <c r="M53" s="90">
        <f>'TAX. DIVERSAS'!E10</f>
        <v/>
      </c>
      <c r="N53" s="90">
        <f>'TAX. DIVERSAS'!E11</f>
        <v/>
      </c>
      <c r="O53" s="90">
        <f>'TAX. DIVERSAS'!E12</f>
        <v/>
      </c>
      <c r="P53" s="90">
        <f>'TAX. DIVERSAS'!E13</f>
        <v/>
      </c>
      <c r="Q53" s="90">
        <f>'TAX. DIVERSAS'!E14</f>
        <v/>
      </c>
      <c r="R53" s="90">
        <f>'TAX. DIVERSAS'!E15</f>
        <v/>
      </c>
      <c r="S53" s="90">
        <f>'TAX. DIVERSAS'!E16</f>
        <v/>
      </c>
      <c r="T53" s="90">
        <f>'TAX. DIVERSAS'!E17</f>
        <v/>
      </c>
      <c r="U53" s="90">
        <f>'TAX. DIVERSAS'!E18</f>
        <v/>
      </c>
      <c r="V53" s="90">
        <f>'TAX. DIVERSAS'!E19</f>
        <v/>
      </c>
      <c r="W53" s="90">
        <f>'TAX. DIVERSAS'!E20</f>
        <v/>
      </c>
      <c r="X53" s="90">
        <f>'TAX. DIVERSAS'!E21</f>
        <v/>
      </c>
      <c r="Y53" s="90">
        <f>'TAX. DIVERSAS'!E22</f>
        <v/>
      </c>
      <c r="Z53" s="90">
        <f>'TAX. DIVERSAS'!E23</f>
        <v/>
      </c>
      <c r="AA53" s="90">
        <f>'TAX. DIVERSAS'!E24</f>
        <v/>
      </c>
      <c r="AB53" s="90">
        <f>'TAX. DIVERSAS'!E25</f>
        <v/>
      </c>
      <c r="AC53" s="90">
        <f>'TAX. DIVERSAS'!E26</f>
        <v/>
      </c>
      <c r="AD53" s="90">
        <f>'TAX. DIVERSAS'!E27</f>
        <v/>
      </c>
      <c r="AE53" s="90">
        <f>'TAX. DIVERSAS'!E28</f>
        <v/>
      </c>
      <c r="AF53" s="90">
        <f>'TAX. DIVERSAS'!E29</f>
        <v/>
      </c>
      <c r="AG53" s="90">
        <f>'TAX. DIVERSAS'!E30</f>
        <v/>
      </c>
      <c r="AH53" s="90">
        <f>'TAX. DIVERSAS'!E31</f>
        <v/>
      </c>
      <c r="AI53" s="90">
        <f>'TAX. DIVERSAS'!E32</f>
        <v/>
      </c>
      <c r="AJ53" s="90">
        <f>'TAX. DIVERSAS'!E33</f>
        <v/>
      </c>
      <c r="AK53" s="90">
        <f>'TAX. DIVERSAS'!E34</f>
        <v/>
      </c>
      <c r="AL53" s="90">
        <f>'TAX. DIVERSAS'!E35</f>
        <v/>
      </c>
      <c r="AM53" s="90">
        <f>'TAX. DIVERSAS'!E36</f>
        <v/>
      </c>
      <c r="AN53" s="90">
        <f>'TAX. DIVERSAS'!E37</f>
        <v/>
      </c>
      <c r="AO53" s="90">
        <f>'TAX. DIVERSAS'!E38</f>
        <v/>
      </c>
      <c r="AP53" s="90">
        <f>'TAX. DIVERSAS'!E39</f>
        <v/>
      </c>
      <c r="AQ53" s="90">
        <f>'TAX. DIVERSAS'!E40</f>
        <v/>
      </c>
      <c r="AR53" s="90">
        <f>'TAX. DIVERSAS'!E41</f>
        <v/>
      </c>
      <c r="AS53" s="90">
        <f>'TAX. DIVERSAS'!E42</f>
        <v/>
      </c>
      <c r="AT53" s="90">
        <f>'TAX. DIVERSAS'!E43</f>
        <v/>
      </c>
      <c r="AU53" s="90">
        <f>'TAX. DIVERSAS'!E44</f>
        <v/>
      </c>
      <c r="AV53" s="90">
        <f>'TAX. DIVERSAS'!E45</f>
        <v/>
      </c>
      <c r="AW53" s="90">
        <f>'TAX. DIVERSAS'!E46</f>
        <v/>
      </c>
      <c r="AX53" s="90">
        <f>'TAX. DIVERSAS'!E47</f>
        <v/>
      </c>
      <c r="AY53" s="90">
        <f>'TAX. DIVERSAS'!E48</f>
        <v/>
      </c>
      <c r="AZ53" s="90">
        <f>'TAX. DIVERSAS'!E49</f>
        <v/>
      </c>
      <c r="BA53" s="90">
        <f>'TAX. DIVERSAS'!E50</f>
        <v/>
      </c>
      <c r="BB53" s="90">
        <f>'TAX. DIVERSAS'!E51</f>
        <v/>
      </c>
      <c r="BC53" s="90">
        <f>'TAX. DIVERSAS'!E52</f>
        <v/>
      </c>
      <c r="BD53" s="90">
        <f>'TAX. DIVERSAS'!E53</f>
        <v/>
      </c>
      <c r="BE53" s="90">
        <f>'TAX. DIVERSAS'!E54</f>
        <v/>
      </c>
      <c r="BF53" s="90">
        <f>'TAX. DIVERSAS'!E55</f>
        <v/>
      </c>
      <c r="BG53" s="90">
        <f>'TAX. DIVERSAS'!E56</f>
        <v/>
      </c>
      <c r="BH53" s="90">
        <f>'TAX. DIVERSAS'!E57</f>
        <v/>
      </c>
      <c r="BI53" s="90">
        <f>'TAX. DIVERSAS'!E58</f>
        <v/>
      </c>
      <c r="BJ53" s="90">
        <f>'TAX. DIVERSAS'!E59</f>
        <v/>
      </c>
      <c r="BK53" s="90">
        <f>'TAX. DIVERSAS'!E60</f>
        <v/>
      </c>
      <c r="BL53" s="90">
        <f>'TAX. DIVERSAS'!E61</f>
        <v/>
      </c>
      <c r="BM53" s="90">
        <f>'TAX. DIVERSAS'!E62</f>
        <v/>
      </c>
      <c r="BN53" s="90">
        <f>'TAX. DIVERSAS'!E63</f>
        <v/>
      </c>
      <c r="BO53" s="90">
        <f>'TAX. DIVERSAS'!E64</f>
        <v/>
      </c>
      <c r="BP53" s="90">
        <f>'TAX. DIVERSAS'!E65</f>
        <v/>
      </c>
      <c r="BQ53" s="90">
        <f>'TAX. DIVERSAS'!E66</f>
        <v/>
      </c>
      <c r="BR53" s="90">
        <f>'TAX. DIVERSAS'!E67</f>
        <v/>
      </c>
      <c r="BS53" s="90">
        <f>'TAX. DIVERSAS'!E68</f>
        <v/>
      </c>
      <c r="BT53" s="90">
        <f>'TAX. DIVERSAS'!E69</f>
        <v/>
      </c>
      <c r="BU53" s="90">
        <f>'TAX. DIVERSAS'!E70</f>
        <v/>
      </c>
      <c r="BV53" s="90">
        <f>'TAX. DIVERSAS'!E71</f>
        <v/>
      </c>
      <c r="BW53" s="90">
        <f>'TAX. DIVERSAS'!E72</f>
        <v/>
      </c>
      <c r="BX53" s="90">
        <f>'TAX. DIVERSAS'!E73</f>
        <v/>
      </c>
      <c r="BY53" s="90">
        <f>'TAX. DIVERSAS'!E74</f>
        <v/>
      </c>
      <c r="BZ53" s="90">
        <f>'TAX. DIVERSAS'!E75</f>
        <v/>
      </c>
      <c r="CA53" s="90">
        <f>'TAX. DIVERSAS'!E76</f>
        <v/>
      </c>
    </row>
    <row r="54">
      <c r="A54" s="59" t="inlineStr">
        <is>
          <t>G041.002</t>
        </is>
      </c>
      <c r="B54" s="59" t="inlineStr">
        <is>
          <t>1030 1070 590</t>
        </is>
      </c>
      <c r="C54" s="59" t="inlineStr">
        <is>
          <t>SEGURANÇA DO TRABALHO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1030 1070 520</t>
        </is>
      </c>
      <c r="C55" s="59" t="inlineStr">
        <is>
          <t>SERVIÇOS INICIAIS</t>
        </is>
      </c>
      <c r="D55" s="60">
        <f>'SERV. INICIAIS'!$K$5</f>
        <v/>
      </c>
      <c r="E55" s="49">
        <f>SUM(H55:CA55)</f>
        <v/>
      </c>
      <c r="F55" s="49">
        <f>IF(D55="","",D55-E55)</f>
        <v/>
      </c>
      <c r="H55" s="90">
        <f>'SERV. INICIAIS'!E5</f>
        <v/>
      </c>
      <c r="I55" s="90">
        <f>'SERV. INICIAIS'!E6</f>
        <v/>
      </c>
      <c r="J55" s="90">
        <f>'SERV. INICIAIS'!E7</f>
        <v/>
      </c>
      <c r="K55" s="90">
        <f>'SERV. INICIAIS'!E8</f>
        <v/>
      </c>
      <c r="L55" s="90">
        <f>'SERV. INICIAIS'!E9</f>
        <v/>
      </c>
      <c r="M55" s="90">
        <f>'SERV. INICIAIS'!E10</f>
        <v/>
      </c>
      <c r="N55" s="90">
        <f>'SERV. INICIAIS'!E11</f>
        <v/>
      </c>
      <c r="O55" s="90">
        <f>'SERV. INICIAIS'!E12</f>
        <v/>
      </c>
      <c r="P55" s="90">
        <f>'SERV. INICIAIS'!E13</f>
        <v/>
      </c>
      <c r="Q55" s="90">
        <f>'SERV. INICIAIS'!E14</f>
        <v/>
      </c>
      <c r="R55" s="90">
        <f>'SERV. INICIAIS'!E15</f>
        <v/>
      </c>
      <c r="S55" s="90">
        <f>'SERV. INICIAIS'!E16</f>
        <v/>
      </c>
      <c r="T55" s="90">
        <f>'SERV. INICIAIS'!E17</f>
        <v/>
      </c>
      <c r="U55" s="90">
        <f>'SERV. INICIAIS'!E18</f>
        <v/>
      </c>
      <c r="V55" s="90">
        <f>'SERV. INICIAIS'!E19</f>
        <v/>
      </c>
      <c r="W55" s="90">
        <f>'SERV. INICIAIS'!E20</f>
        <v/>
      </c>
      <c r="X55" s="90">
        <f>'SERV. INICIAIS'!E21</f>
        <v/>
      </c>
      <c r="Y55" s="90">
        <f>'SERV. INICIAIS'!E22</f>
        <v/>
      </c>
      <c r="Z55" s="90">
        <f>'SERV. INICIAIS'!E23</f>
        <v/>
      </c>
      <c r="AA55" s="90">
        <f>'SERV. INICIAIS'!E24</f>
        <v/>
      </c>
      <c r="AB55" s="90">
        <f>'SERV. INICIAIS'!E25</f>
        <v/>
      </c>
      <c r="AC55" s="90">
        <f>'SERV. INICIAIS'!E26</f>
        <v/>
      </c>
      <c r="AD55" s="90">
        <f>'SERV. INICIAIS'!E27</f>
        <v/>
      </c>
      <c r="AE55" s="90">
        <f>'SERV. INICIAIS'!E28</f>
        <v/>
      </c>
      <c r="AF55" s="90">
        <f>'SERV. INICIAIS'!E29</f>
        <v/>
      </c>
      <c r="AG55" s="90">
        <f>'SERV. INICIAIS'!E30</f>
        <v/>
      </c>
      <c r="AH55" s="90">
        <f>'SERV. INICIAIS'!E31</f>
        <v/>
      </c>
      <c r="AI55" s="90">
        <f>'SERV. INICIAIS'!E32</f>
        <v/>
      </c>
      <c r="AJ55" s="90">
        <f>'SERV. INICIAIS'!E33</f>
        <v/>
      </c>
      <c r="AK55" s="90">
        <f>'SERV. INICIAIS'!E34</f>
        <v/>
      </c>
      <c r="AL55" s="90">
        <f>'SERV. INICIAIS'!E35</f>
        <v/>
      </c>
      <c r="AM55" s="90">
        <f>'SERV. INICIAIS'!E36</f>
        <v/>
      </c>
      <c r="AN55" s="90">
        <f>'SERV. INICIAIS'!E37</f>
        <v/>
      </c>
      <c r="AO55" s="90">
        <f>'SERV. INICIAIS'!E38</f>
        <v/>
      </c>
      <c r="AP55" s="90">
        <f>'SERV. INICIAIS'!E39</f>
        <v/>
      </c>
      <c r="AQ55" s="90">
        <f>'SERV. INICIAIS'!E40</f>
        <v/>
      </c>
      <c r="AR55" s="90">
        <f>'SERV. INICIAIS'!E41</f>
        <v/>
      </c>
      <c r="AS55" s="90">
        <f>'SERV. INICIAIS'!E42</f>
        <v/>
      </c>
      <c r="AT55" s="90">
        <f>'SERV. INICIAIS'!E43</f>
        <v/>
      </c>
      <c r="AU55" s="90">
        <f>'SERV. INICIAIS'!E44</f>
        <v/>
      </c>
      <c r="AV55" s="90">
        <f>'SERV. INICIAIS'!E45</f>
        <v/>
      </c>
      <c r="AW55" s="90">
        <f>'SERV. INICIAIS'!E46</f>
        <v/>
      </c>
      <c r="AX55" s="90">
        <f>'SERV. INICIAIS'!E47</f>
        <v/>
      </c>
      <c r="AY55" s="90">
        <f>'SERV. INICIAIS'!E48</f>
        <v/>
      </c>
      <c r="AZ55" s="90">
        <f>'SERV. INICIAIS'!E49</f>
        <v/>
      </c>
      <c r="BA55" s="90">
        <f>'SERV. INICIAIS'!E50</f>
        <v/>
      </c>
      <c r="BB55" s="90">
        <f>'SERV. INICIAIS'!E51</f>
        <v/>
      </c>
      <c r="BC55" s="90">
        <f>'SERV. INICIAIS'!E52</f>
        <v/>
      </c>
      <c r="BD55" s="90">
        <f>'SERV. INICIAIS'!E53</f>
        <v/>
      </c>
      <c r="BE55" s="90">
        <f>'SERV. INICIAIS'!E54</f>
        <v/>
      </c>
      <c r="BF55" s="90">
        <f>'SERV. INICIAIS'!E55</f>
        <v/>
      </c>
      <c r="BG55" s="90">
        <f>'SERV. INICIAIS'!E56</f>
        <v/>
      </c>
      <c r="BH55" s="90">
        <f>'SERV. INICIAIS'!E57</f>
        <v/>
      </c>
      <c r="BI55" s="90">
        <f>'SERV. INICIAIS'!E58</f>
        <v/>
      </c>
      <c r="BJ55" s="90">
        <f>'SERV. INICIAIS'!E59</f>
        <v/>
      </c>
      <c r="BK55" s="90">
        <f>'SERV. INICIAIS'!E60</f>
        <v/>
      </c>
      <c r="BL55" s="90">
        <f>'SERV. INICIAIS'!E61</f>
        <v/>
      </c>
      <c r="BM55" s="90">
        <f>'SERV. INICIAIS'!E62</f>
        <v/>
      </c>
      <c r="BN55" s="90">
        <f>'SERV. INICIAIS'!E63</f>
        <v/>
      </c>
      <c r="BO55" s="90">
        <f>'SERV. INICIAIS'!E64</f>
        <v/>
      </c>
      <c r="BP55" s="90">
        <f>'SERV. INICIAIS'!E65</f>
        <v/>
      </c>
      <c r="BQ55" s="90">
        <f>'SERV. INICIAIS'!E66</f>
        <v/>
      </c>
      <c r="BR55" s="90">
        <f>'SERV. INICIAIS'!E67</f>
        <v/>
      </c>
      <c r="BS55" s="90">
        <f>'SERV. INICIAIS'!E68</f>
        <v/>
      </c>
      <c r="BT55" s="90">
        <f>'SERV. INICIAIS'!E69</f>
        <v/>
      </c>
      <c r="BU55" s="90">
        <f>'SERV. INICIAIS'!E70</f>
        <v/>
      </c>
      <c r="BV55" s="90">
        <f>'SERV. INICIAIS'!E71</f>
        <v/>
      </c>
      <c r="BW55" s="90">
        <f>'SERV. INICIAIS'!E72</f>
        <v/>
      </c>
      <c r="BX55" s="90">
        <f>'SERV. INICIAIS'!E73</f>
        <v/>
      </c>
      <c r="BY55" s="90">
        <f>'SERV. INICIAIS'!E74</f>
        <v/>
      </c>
      <c r="BZ55" s="90">
        <f>'SERV. INICIAIS'!E75</f>
        <v/>
      </c>
      <c r="CA55" s="90">
        <f>'SERV. INICIAIS'!E76</f>
        <v/>
      </c>
    </row>
    <row r="56">
      <c r="A56" s="59" t="n"/>
      <c r="B56" s="59" t="n"/>
      <c r="C56" s="59" t="n"/>
      <c r="E56" s="49">
        <f>SUM(H56:CA56)</f>
        <v/>
      </c>
      <c r="F56" s="49">
        <f>IF(D56="","",D56-E56)</f>
        <v/>
      </c>
    </row>
    <row r="57">
      <c r="A57" s="59" t="n"/>
      <c r="B57" s="59" t="n"/>
      <c r="C57" s="59" t="n"/>
      <c r="E57" s="49">
        <f>SUM(H57:CA57)</f>
        <v/>
      </c>
      <c r="F57" s="49">
        <f>IF(D57="","",D57-E57)</f>
        <v/>
      </c>
    </row>
    <row r="59">
      <c r="C59" s="46" t="inlineStr">
        <is>
          <t>SOMA SEM TAXA DE ADM. (INCC)</t>
        </is>
      </c>
      <c r="D59" s="65">
        <f>SUM(D2:D57)-D47</f>
        <v/>
      </c>
      <c r="E59" s="65">
        <f>SUM(E2:E57)-E47</f>
        <v/>
      </c>
      <c r="H59" s="65">
        <f>SUM(H2:H57)-H47</f>
        <v/>
      </c>
      <c r="I59" s="65">
        <f>SUM(I2:I57)-I47</f>
        <v/>
      </c>
      <c r="J59" s="65">
        <f>SUM(J2:J57)-J47</f>
        <v/>
      </c>
      <c r="K59" s="65">
        <f>SUM(K2:K57)-K47</f>
        <v/>
      </c>
      <c r="L59" s="65">
        <f>SUM(L2:L57)-L47</f>
        <v/>
      </c>
      <c r="M59" s="65">
        <f>SUM(M2:M57)-M47</f>
        <v/>
      </c>
      <c r="N59" s="65">
        <f>SUM(N2:N57)-N47</f>
        <v/>
      </c>
      <c r="O59" s="65">
        <f>SUM(O2:O57)-O47</f>
        <v/>
      </c>
      <c r="P59" s="65">
        <f>SUM(P2:P57)-P47</f>
        <v/>
      </c>
      <c r="Q59" s="65">
        <f>SUM(Q2:Q57)-Q47</f>
        <v/>
      </c>
      <c r="R59" s="65">
        <f>SUM(R2:R57)-R47</f>
        <v/>
      </c>
      <c r="S59" s="65">
        <f>SUM(S2:S57)-S47</f>
        <v/>
      </c>
      <c r="T59" s="65">
        <f>SUM(T2:T57)-T47</f>
        <v/>
      </c>
      <c r="U59" s="65">
        <f>SUM(U2:U57)-U47</f>
        <v/>
      </c>
      <c r="V59" s="65">
        <f>SUM(V2:V57)-V47</f>
        <v/>
      </c>
      <c r="W59" s="65">
        <f>SUM(W2:W57)-W47</f>
        <v/>
      </c>
      <c r="X59" s="65">
        <f>SUM(X2:X57)-X47</f>
        <v/>
      </c>
      <c r="Y59" s="65">
        <f>SUM(Y2:Y57)-Y47</f>
        <v/>
      </c>
      <c r="Z59" s="65">
        <f>SUM(Z2:Z57)-Z47</f>
        <v/>
      </c>
      <c r="AA59" s="65">
        <f>SUM(AA2:AA57)-AA47</f>
        <v/>
      </c>
      <c r="AB59" s="65">
        <f>SUM(AB2:AB57)-AB47</f>
        <v/>
      </c>
      <c r="AC59" s="65">
        <f>SUM(AC2:AC57)-AC47</f>
        <v/>
      </c>
      <c r="AD59" s="65">
        <f>SUM(AD2:AD57)-AD47</f>
        <v/>
      </c>
      <c r="AE59" s="65">
        <f>SUM(AE2:AE57)-AE47</f>
        <v/>
      </c>
      <c r="AF59" s="65">
        <f>SUM(AF2:AF57)-AF47</f>
        <v/>
      </c>
      <c r="AG59" s="65">
        <f>SUM(AG2:AG57)-AG47</f>
        <v/>
      </c>
      <c r="AH59" s="65">
        <f>SUM(AH2:AH57)-AH47</f>
        <v/>
      </c>
      <c r="AI59" s="65">
        <f>SUM(AI2:AI57)-AI47</f>
        <v/>
      </c>
      <c r="AJ59" s="65">
        <f>SUM(AJ2:AJ57)-AJ47</f>
        <v/>
      </c>
      <c r="AK59" s="65">
        <f>SUM(AK2:AK57)-AK47</f>
        <v/>
      </c>
      <c r="AL59" s="65">
        <f>SUM(AL2:AL57)-AL47</f>
        <v/>
      </c>
      <c r="AM59" s="65">
        <f>SUM(AM2:AM57)-AM47</f>
        <v/>
      </c>
      <c r="AN59" s="65">
        <f>SUM(AN2:AN57)-AN47</f>
        <v/>
      </c>
      <c r="AO59" s="65">
        <f>SUM(AO2:AO57)-AO47</f>
        <v/>
      </c>
      <c r="AP59" s="65">
        <f>SUM(AP2:AP57)-AP47</f>
        <v/>
      </c>
      <c r="AQ59" s="65">
        <f>SUM(AQ2:AQ57)-AQ47</f>
        <v/>
      </c>
      <c r="AR59" s="65">
        <f>SUM(AR2:AR57)-AR47</f>
        <v/>
      </c>
      <c r="AS59" s="65">
        <f>SUM(AS2:AS57)-AS47</f>
        <v/>
      </c>
      <c r="AT59" s="65">
        <f>SUM(AT2:AT57)-AT47</f>
        <v/>
      </c>
      <c r="AU59" s="65">
        <f>SUM(AU2:AU57)-AU47</f>
        <v/>
      </c>
      <c r="AV59" s="65">
        <f>SUM(AV2:AV57)-AV47</f>
        <v/>
      </c>
      <c r="AW59" s="65">
        <f>SUM(AW2:AW57)-AW47</f>
        <v/>
      </c>
      <c r="AX59" s="65">
        <f>SUM(AX2:AX57)-AX47</f>
        <v/>
      </c>
      <c r="AY59" s="65">
        <f>SUM(AY2:AY57)-AY47</f>
        <v/>
      </c>
      <c r="AZ59" s="65">
        <f>SUM(AZ2:AZ57)-AZ47</f>
        <v/>
      </c>
      <c r="BA59" s="65">
        <f>SUM(BA2:BA57)-BA47</f>
        <v/>
      </c>
      <c r="BB59" s="65">
        <f>SUM(BB2:BB57)-BB47</f>
        <v/>
      </c>
      <c r="BC59" s="65">
        <f>SUM(BC2:BC57)-BC47</f>
        <v/>
      </c>
      <c r="BD59" s="65">
        <f>SUM(BD2:BD57)-BD47</f>
        <v/>
      </c>
      <c r="BE59" s="65">
        <f>SUM(BE2:BE57)-BE47</f>
        <v/>
      </c>
      <c r="BF59" s="65">
        <f>SUM(BF2:BF57)-BF47</f>
        <v/>
      </c>
      <c r="BG59" s="65">
        <f>SUM(BG2:BG57)-BG47</f>
        <v/>
      </c>
      <c r="BH59" s="65">
        <f>SUM(BH2:BH57)-BH47</f>
        <v/>
      </c>
      <c r="BI59" s="65">
        <f>SUM(BI2:BI57)-BI47</f>
        <v/>
      </c>
      <c r="BJ59" s="65">
        <f>SUM(BJ2:BJ57)-BJ47</f>
        <v/>
      </c>
      <c r="BK59" s="65">
        <f>SUM(BK2:BK57)-BK47</f>
        <v/>
      </c>
      <c r="BL59" s="65">
        <f>SUM(BL2:BL57)-BL47</f>
        <v/>
      </c>
      <c r="BM59" s="65">
        <f>SUM(BM2:BM57)-BM47</f>
        <v/>
      </c>
      <c r="BN59" s="65">
        <f>SUM(BN2:BN57)-BN47</f>
        <v/>
      </c>
      <c r="BO59" s="65">
        <f>SUM(BO2:BO57)-BO47</f>
        <v/>
      </c>
      <c r="BP59" s="65">
        <f>SUM(BP2:BP57)-BP47</f>
        <v/>
      </c>
      <c r="BQ59" s="65">
        <f>SUM(BQ2:BQ57)-BQ47</f>
        <v/>
      </c>
      <c r="BR59" s="65">
        <f>SUM(BR2:BR57)-BR47</f>
        <v/>
      </c>
      <c r="BS59" s="65">
        <f>SUM(BS2:BS57)-BS47</f>
        <v/>
      </c>
      <c r="BT59" s="65">
        <f>SUM(BT2:BT57)-BT47</f>
        <v/>
      </c>
      <c r="BU59" s="65">
        <f>SUM(BU2:BU57)-BU47</f>
        <v/>
      </c>
      <c r="BV59" s="65">
        <f>SUM(BV2:BV57)-BV47</f>
        <v/>
      </c>
      <c r="BW59" s="65">
        <f>SUM(BW2:BW57)-BW47</f>
        <v/>
      </c>
      <c r="BX59" s="65">
        <f>SUM(BX2:BX57)-BX47</f>
        <v/>
      </c>
      <c r="BY59" s="65">
        <f>SUM(BY2:BY57)-BY47</f>
        <v/>
      </c>
      <c r="BZ59" s="65">
        <f>SUM(BZ2:BZ57)-BZ47</f>
        <v/>
      </c>
      <c r="CA59" s="65">
        <f>SUM(CA2:CA57)-CA47</f>
        <v/>
      </c>
    </row>
    <row r="60">
      <c r="C60" s="46" t="inlineStr">
        <is>
          <t>TAXA DE ADMINISTRAÇÃO (INCC)</t>
        </is>
      </c>
      <c r="D60" s="65">
        <f>D47</f>
        <v/>
      </c>
      <c r="E60" s="65">
        <f>E47</f>
        <v/>
      </c>
      <c r="H60" s="65">
        <f>H47</f>
        <v/>
      </c>
      <c r="I60" s="65">
        <f>I47</f>
        <v/>
      </c>
      <c r="J60" s="65">
        <f>J47</f>
        <v/>
      </c>
      <c r="K60" s="65">
        <f>K47</f>
        <v/>
      </c>
      <c r="L60" s="65">
        <f>L47</f>
        <v/>
      </c>
      <c r="M60" s="65">
        <f>M47</f>
        <v/>
      </c>
      <c r="N60" s="65">
        <f>N47</f>
        <v/>
      </c>
      <c r="O60" s="65">
        <f>O47</f>
        <v/>
      </c>
      <c r="P60" s="65">
        <f>P47</f>
        <v/>
      </c>
      <c r="Q60" s="65">
        <f>Q47</f>
        <v/>
      </c>
      <c r="R60" s="65">
        <f>R47</f>
        <v/>
      </c>
      <c r="S60" s="65">
        <f>S47</f>
        <v/>
      </c>
      <c r="T60" s="65">
        <f>T47</f>
        <v/>
      </c>
      <c r="U60" s="65">
        <f>U47</f>
        <v/>
      </c>
      <c r="V60" s="65">
        <f>V47</f>
        <v/>
      </c>
      <c r="W60" s="65">
        <f>W47</f>
        <v/>
      </c>
      <c r="X60" s="65">
        <f>X47</f>
        <v/>
      </c>
      <c r="Y60" s="65">
        <f>Y47</f>
        <v/>
      </c>
      <c r="Z60" s="65">
        <f>Z47</f>
        <v/>
      </c>
      <c r="AA60" s="65">
        <f>AA47</f>
        <v/>
      </c>
      <c r="AB60" s="65">
        <f>AB47</f>
        <v/>
      </c>
      <c r="AC60" s="65">
        <f>AC47</f>
        <v/>
      </c>
      <c r="AD60" s="65">
        <f>AD47</f>
        <v/>
      </c>
      <c r="AE60" s="65">
        <f>AE47</f>
        <v/>
      </c>
      <c r="AF60" s="65">
        <f>AF47</f>
        <v/>
      </c>
      <c r="AG60" s="65">
        <f>AG47</f>
        <v/>
      </c>
      <c r="AH60" s="65">
        <f>AH47</f>
        <v/>
      </c>
      <c r="AI60" s="65">
        <f>AI47</f>
        <v/>
      </c>
      <c r="AJ60" s="65">
        <f>AJ47</f>
        <v/>
      </c>
      <c r="AK60" s="65">
        <f>AK47</f>
        <v/>
      </c>
      <c r="AL60" s="65">
        <f>AL47</f>
        <v/>
      </c>
      <c r="AM60" s="65">
        <f>AM47</f>
        <v/>
      </c>
      <c r="AN60" s="65">
        <f>AN47</f>
        <v/>
      </c>
      <c r="AO60" s="65">
        <f>AO47</f>
        <v/>
      </c>
      <c r="AP60" s="65">
        <f>AP47</f>
        <v/>
      </c>
      <c r="AQ60" s="65">
        <f>AQ47</f>
        <v/>
      </c>
      <c r="AR60" s="65">
        <f>AR47</f>
        <v/>
      </c>
      <c r="AS60" s="65">
        <f>AS47</f>
        <v/>
      </c>
      <c r="AT60" s="65">
        <f>AT47</f>
        <v/>
      </c>
      <c r="AU60" s="65">
        <f>AU47</f>
        <v/>
      </c>
      <c r="AV60" s="65">
        <f>AV47</f>
        <v/>
      </c>
      <c r="AW60" s="65">
        <f>AW47</f>
        <v/>
      </c>
      <c r="AX60" s="65">
        <f>AX47</f>
        <v/>
      </c>
      <c r="AY60" s="65">
        <f>AY47</f>
        <v/>
      </c>
      <c r="AZ60" s="65">
        <f>AZ47</f>
        <v/>
      </c>
      <c r="BA60" s="65">
        <f>BA47</f>
        <v/>
      </c>
      <c r="BB60" s="65">
        <f>BB47</f>
        <v/>
      </c>
      <c r="BC60" s="65">
        <f>BC47</f>
        <v/>
      </c>
      <c r="BD60" s="65">
        <f>BD47</f>
        <v/>
      </c>
      <c r="BE60" s="65">
        <f>BE47</f>
        <v/>
      </c>
      <c r="BF60" s="65">
        <f>BF47</f>
        <v/>
      </c>
      <c r="BG60" s="65">
        <f>BG47</f>
        <v/>
      </c>
      <c r="BH60" s="65">
        <f>BH47</f>
        <v/>
      </c>
      <c r="BI60" s="65">
        <f>BI47</f>
        <v/>
      </c>
      <c r="BJ60" s="65">
        <f>BJ47</f>
        <v/>
      </c>
      <c r="BK60" s="65">
        <f>BK47</f>
        <v/>
      </c>
      <c r="BL60" s="65">
        <f>BL47</f>
        <v/>
      </c>
      <c r="BM60" s="65">
        <f>BM47</f>
        <v/>
      </c>
      <c r="BN60" s="65">
        <f>BN47</f>
        <v/>
      </c>
      <c r="BO60" s="65">
        <f>BO47</f>
        <v/>
      </c>
      <c r="BP60" s="65">
        <f>BP47</f>
        <v/>
      </c>
      <c r="BQ60" s="65">
        <f>BQ47</f>
        <v/>
      </c>
      <c r="BR60" s="65">
        <f>BR47</f>
        <v/>
      </c>
      <c r="BS60" s="65">
        <f>BS47</f>
        <v/>
      </c>
      <c r="BT60" s="65">
        <f>BT47</f>
        <v/>
      </c>
      <c r="BU60" s="65">
        <f>BU47</f>
        <v/>
      </c>
      <c r="BV60" s="65">
        <f>BV47</f>
        <v/>
      </c>
      <c r="BW60" s="65">
        <f>BW47</f>
        <v/>
      </c>
      <c r="BX60" s="65">
        <f>BX47</f>
        <v/>
      </c>
      <c r="BY60" s="65">
        <f>BY47</f>
        <v/>
      </c>
      <c r="BZ60" s="65">
        <f>BZ47</f>
        <v/>
      </c>
      <c r="CA60" s="65">
        <f>CA47</f>
        <v/>
      </c>
    </row>
    <row r="61">
      <c r="C61" s="46" t="inlineStr">
        <is>
          <t>TOTAL (INCC)</t>
        </is>
      </c>
      <c r="D61" s="65">
        <f>D59+D60</f>
        <v/>
      </c>
      <c r="E61" s="65">
        <f>E59+E60</f>
        <v/>
      </c>
      <c r="H61" s="65">
        <f>H59+H60</f>
        <v/>
      </c>
      <c r="I61" s="65">
        <f>I59+I60</f>
        <v/>
      </c>
      <c r="J61" s="65">
        <f>J59+J60</f>
        <v/>
      </c>
      <c r="K61" s="65">
        <f>K59+K60</f>
        <v/>
      </c>
      <c r="L61" s="65">
        <f>L59+L60</f>
        <v/>
      </c>
      <c r="M61" s="65">
        <f>M59+M60</f>
        <v/>
      </c>
      <c r="N61" s="65">
        <f>N59+N60</f>
        <v/>
      </c>
      <c r="O61" s="65">
        <f>O59+O60</f>
        <v/>
      </c>
      <c r="P61" s="65">
        <f>P59+P60</f>
        <v/>
      </c>
      <c r="Q61" s="65">
        <f>Q59+Q60</f>
        <v/>
      </c>
      <c r="R61" s="65">
        <f>R59+R60</f>
        <v/>
      </c>
      <c r="S61" s="65">
        <f>S59+S60</f>
        <v/>
      </c>
      <c r="T61" s="65">
        <f>T59+T60</f>
        <v/>
      </c>
      <c r="U61" s="65">
        <f>U59+U60</f>
        <v/>
      </c>
      <c r="V61" s="65">
        <f>V59+V60</f>
        <v/>
      </c>
      <c r="W61" s="65">
        <f>W59+W60</f>
        <v/>
      </c>
      <c r="X61" s="65">
        <f>X59+X60</f>
        <v/>
      </c>
      <c r="Y61" s="65">
        <f>Y59+Y60</f>
        <v/>
      </c>
      <c r="Z61" s="65">
        <f>Z59+Z60</f>
        <v/>
      </c>
      <c r="AA61" s="65">
        <f>AA59+AA60</f>
        <v/>
      </c>
      <c r="AB61" s="65">
        <f>AB59+AB60</f>
        <v/>
      </c>
      <c r="AC61" s="65">
        <f>AC59+AC60</f>
        <v/>
      </c>
      <c r="AD61" s="65">
        <f>AD59+AD60</f>
        <v/>
      </c>
      <c r="AE61" s="65">
        <f>AE59+AE60</f>
        <v/>
      </c>
      <c r="AF61" s="65">
        <f>AF59+AF60</f>
        <v/>
      </c>
      <c r="AG61" s="65">
        <f>AG59+AG60</f>
        <v/>
      </c>
      <c r="AH61" s="65">
        <f>AH59+AH60</f>
        <v/>
      </c>
      <c r="AI61" s="65">
        <f>AI59+AI60</f>
        <v/>
      </c>
      <c r="AJ61" s="65">
        <f>AJ59+AJ60</f>
        <v/>
      </c>
      <c r="AK61" s="65">
        <f>AK59+AK60</f>
        <v/>
      </c>
      <c r="AL61" s="65">
        <f>AL59+AL60</f>
        <v/>
      </c>
      <c r="AM61" s="65">
        <f>AM59+AM60</f>
        <v/>
      </c>
      <c r="AN61" s="65">
        <f>AN59+AN60</f>
        <v/>
      </c>
      <c r="AO61" s="65">
        <f>AO59+AO60</f>
        <v/>
      </c>
      <c r="AP61" s="65">
        <f>AP59+AP60</f>
        <v/>
      </c>
      <c r="AQ61" s="65">
        <f>AQ59+AQ60</f>
        <v/>
      </c>
      <c r="AR61" s="65">
        <f>AR59+AR60</f>
        <v/>
      </c>
      <c r="AS61" s="65">
        <f>AS59+AS60</f>
        <v/>
      </c>
      <c r="AT61" s="65">
        <f>AT59+AT60</f>
        <v/>
      </c>
      <c r="AU61" s="65">
        <f>AU59+AU60</f>
        <v/>
      </c>
      <c r="AV61" s="65">
        <f>AV59+AV60</f>
        <v/>
      </c>
      <c r="AW61" s="65">
        <f>AW59+AW60</f>
        <v/>
      </c>
      <c r="AX61" s="65">
        <f>AX59+AX60</f>
        <v/>
      </c>
      <c r="AY61" s="65">
        <f>AY59+AY60</f>
        <v/>
      </c>
      <c r="AZ61" s="65">
        <f>AZ59+AZ60</f>
        <v/>
      </c>
      <c r="BA61" s="65">
        <f>BA59+BA60</f>
        <v/>
      </c>
      <c r="BB61" s="65">
        <f>BB59+BB60</f>
        <v/>
      </c>
      <c r="BC61" s="65">
        <f>BC59+BC60</f>
        <v/>
      </c>
      <c r="BD61" s="65">
        <f>BD59+BD60</f>
        <v/>
      </c>
      <c r="BE61" s="65">
        <f>BE59+BE60</f>
        <v/>
      </c>
      <c r="BF61" s="65">
        <f>BF59+BF60</f>
        <v/>
      </c>
      <c r="BG61" s="65">
        <f>BG59+BG60</f>
        <v/>
      </c>
      <c r="BH61" s="65">
        <f>BH59+BH60</f>
        <v/>
      </c>
      <c r="BI61" s="65">
        <f>BI59+BI60</f>
        <v/>
      </c>
      <c r="BJ61" s="65">
        <f>BJ59+BJ60</f>
        <v/>
      </c>
      <c r="BK61" s="65">
        <f>BK59+BK60</f>
        <v/>
      </c>
      <c r="BL61" s="65">
        <f>BL59+BL60</f>
        <v/>
      </c>
      <c r="BM61" s="65">
        <f>BM59+BM60</f>
        <v/>
      </c>
      <c r="BN61" s="65">
        <f>BN59+BN60</f>
        <v/>
      </c>
      <c r="BO61" s="65">
        <f>BO59+BO60</f>
        <v/>
      </c>
      <c r="BP61" s="65">
        <f>BP59+BP60</f>
        <v/>
      </c>
      <c r="BQ61" s="65">
        <f>BQ59+BQ60</f>
        <v/>
      </c>
      <c r="BR61" s="65">
        <f>BR59+BR60</f>
        <v/>
      </c>
      <c r="BS61" s="65">
        <f>BS59+BS60</f>
        <v/>
      </c>
      <c r="BT61" s="65">
        <f>BT59+BT60</f>
        <v/>
      </c>
      <c r="BU61" s="65">
        <f>BU59+BU60</f>
        <v/>
      </c>
      <c r="BV61" s="65">
        <f>BV59+BV60</f>
        <v/>
      </c>
      <c r="BW61" s="65">
        <f>BW59+BW60</f>
        <v/>
      </c>
      <c r="BX61" s="65">
        <f>BX59+BX60</f>
        <v/>
      </c>
      <c r="BY61" s="65">
        <f>BY59+BY60</f>
        <v/>
      </c>
      <c r="BZ61" s="65">
        <f>BZ59+BZ60</f>
        <v/>
      </c>
      <c r="CA61" s="65">
        <f>CA59+CA60</f>
        <v/>
      </c>
    </row>
    <row r="62">
      <c r="C62" s="61">
        <f>"INCORRIDO ATÉ -&gt; "&amp;TEXT('VALOR POR PL'!$P$5,"mm/aaaa")</f>
        <v/>
      </c>
    </row>
    <row r="63">
      <c r="C63" s="46" t="inlineStr">
        <is>
          <t>CURVA MENSAL (R$ nominal)</t>
        </is>
      </c>
      <c r="E63" s="109">
        <f>SUM(H63:CA63)</f>
        <v/>
      </c>
      <c r="H63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ACAB'!D5+'EST. METÁLICA'!C5+'EST. METÁLICA'!D5+'REV. FACHADA'!C5+'REV. FACHADA'!D5+'FORRO'!C5+'FORRO'!D5+'LOUÇAS'!C5+'LOUÇAS'!D5+'PINTURA'!C5+'PINTURA'!D5+'PAISAGISMO'!C5+'PAISAGISMO'!D5+'LIMPEZA'!C5+'LIMPEZA'!D5+'TAX. ADM'!C5+'TAX. ADM'!D5</f>
        <v/>
      </c>
      <c r="I63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ACAB'!D6+'EST. METÁLICA'!C6+'EST. METÁLICA'!D6+'REV. FACHADA'!C6+'REV. FACHADA'!D6+'FORRO'!C6+'FORRO'!D6+'LOUÇAS'!C6+'LOUÇAS'!D6+'PINTURA'!C6+'PINTURA'!D6+'PAISAGISMO'!C6+'PAISAGISMO'!D6+'LIMPEZA'!C6+'LIMPEZA'!D6+'TAX. ADM'!C6+'TAX. ADM'!D6</f>
        <v/>
      </c>
      <c r="J63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ACAB'!D7+'EST. METÁLICA'!C7+'EST. METÁLICA'!D7+'REV. FACHADA'!C7+'REV. FACHADA'!D7+'FORRO'!C7+'FORRO'!D7+'LOUÇAS'!C7+'LOUÇAS'!D7+'PINTURA'!C7+'PINTURA'!D7+'PAISAGISMO'!C7+'PAISAGISMO'!D7+'LIMPEZA'!C7+'LIMPEZA'!D7+'TAX. ADM'!C7+'TAX. ADM'!D7</f>
        <v/>
      </c>
      <c r="K63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ACAB'!D8+'EST. METÁLICA'!C8+'EST. METÁLICA'!D8+'REV. FACHADA'!C8+'REV. FACHADA'!D8+'FORRO'!C8+'FORRO'!D8+'LOUÇAS'!C8+'LOUÇAS'!D8+'PINTURA'!C8+'PINTURA'!D8+'PAISAGISMO'!C8+'PAISAGISMO'!D8+'LIMPEZA'!C8+'LIMPEZA'!D8+'TAX. ADM'!C8+'TAX. ADM'!D8</f>
        <v/>
      </c>
      <c r="L63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ACAB'!D9+'EST. METÁLICA'!C9+'EST. METÁLICA'!D9+'REV. FACHADA'!C9+'REV. FACHADA'!D9+'FORRO'!C9+'FORRO'!D9+'LOUÇAS'!C9+'LOUÇAS'!D9+'PINTURA'!C9+'PINTURA'!D9+'PAISAGISMO'!C9+'PAISAGISMO'!D9+'LIMPEZA'!C9+'LIMPEZA'!D9+'TAX. ADM'!C9+'TAX. ADM'!D9</f>
        <v/>
      </c>
      <c r="M63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ACAB'!D10+'EST. METÁLICA'!C10+'EST. METÁLICA'!D10+'REV. FACHADA'!C10+'REV. FACHADA'!D10+'FORRO'!C10+'FORRO'!D10+'LOUÇAS'!C10+'LOUÇAS'!D10+'PINTURA'!C10+'PINTURA'!D10+'PAISAGISMO'!C10+'PAISAGISMO'!D10+'LIMPEZA'!C10+'LIMPEZA'!D10+'TAX. ADM'!C10+'TAX. ADM'!D10</f>
        <v/>
      </c>
      <c r="N63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ACAB'!D11+'EST. METÁLICA'!C11+'EST. METÁLICA'!D11+'REV. FACHADA'!C11+'REV. FACHADA'!D11+'FORRO'!C11+'FORRO'!D11+'LOUÇAS'!C11+'LOUÇAS'!D11+'PINTURA'!C11+'PINTURA'!D11+'PAISAGISMO'!C11+'PAISAGISMO'!D11+'LIMPEZA'!C11+'LIMPEZA'!D11+'TAX. ADM'!C11+'TAX. ADM'!D11</f>
        <v/>
      </c>
      <c r="O63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ACAB'!D12+'EST. METÁLICA'!C12+'EST. METÁLICA'!D12+'REV. FACHADA'!C12+'REV. FACHADA'!D12+'FORRO'!C12+'FORRO'!D12+'LOUÇAS'!C12+'LOUÇAS'!D12+'PINTURA'!C12+'PINTURA'!D12+'PAISAGISMO'!C12+'PAISAGISMO'!D12+'LIMPEZA'!C12+'LIMPEZA'!D12+'TAX. ADM'!C12+'TAX. ADM'!D12</f>
        <v/>
      </c>
      <c r="P63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ACAB'!D13+'EST. METÁLICA'!C13+'EST. METÁLICA'!D13+'REV. FACHADA'!C13+'REV. FACHADA'!D13+'FORRO'!C13+'FORRO'!D13+'LOUÇAS'!C13+'LOUÇAS'!D13+'PINTURA'!C13+'PINTURA'!D13+'PAISAGISMO'!C13+'PAISAGISMO'!D13+'LIMPEZA'!C13+'LIMPEZA'!D13+'TAX. ADM'!C13+'TAX. ADM'!D13</f>
        <v/>
      </c>
      <c r="Q63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ACAB'!D14+'EST. METÁLICA'!C14+'EST. METÁLICA'!D14+'REV. FACHADA'!C14+'REV. FACHADA'!D14+'FORRO'!C14+'FORRO'!D14+'LOUÇAS'!C14+'LOUÇAS'!D14+'PINTURA'!C14+'PINTURA'!D14+'PAISAGISMO'!C14+'PAISAGISMO'!D14+'LIMPEZA'!C14+'LIMPEZA'!D14+'TAX. ADM'!C14+'TAX. ADM'!D14</f>
        <v/>
      </c>
      <c r="R63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ACAB'!D15+'EST. METÁLICA'!C15+'EST. METÁLICA'!D15+'REV. FACHADA'!C15+'REV. FACHADA'!D15+'FORRO'!C15+'FORRO'!D15+'LOUÇAS'!C15+'LOUÇAS'!D15+'PINTURA'!C15+'PINTURA'!D15+'PAISAGISMO'!C15+'PAISAGISMO'!D15+'LIMPEZA'!C15+'LIMPEZA'!D15+'TAX. ADM'!C15+'TAX. ADM'!D15</f>
        <v/>
      </c>
      <c r="S63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ACAB'!D16+'EST. METÁLICA'!C16+'EST. METÁLICA'!D16+'REV. FACHADA'!C16+'REV. FACHADA'!D16+'FORRO'!C16+'FORRO'!D16+'LOUÇAS'!C16+'LOUÇAS'!D16+'PINTURA'!C16+'PINTURA'!D16+'PAISAGISMO'!C16+'PAISAGISMO'!D16+'LIMPEZA'!C16+'LIMPEZA'!D16+'TAX. ADM'!C16+'TAX. ADM'!D16</f>
        <v/>
      </c>
      <c r="T63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ACAB'!D17+'EST. METÁLICA'!C17+'EST. METÁLICA'!D17+'REV. FACHADA'!C17+'REV. FACHADA'!D17+'FORRO'!C17+'FORRO'!D17+'LOUÇAS'!C17+'LOUÇAS'!D17+'PINTURA'!C17+'PINTURA'!D17+'PAISAGISMO'!C17+'PAISAGISMO'!D17+'LIMPEZA'!C17+'LIMPEZA'!D17+'TAX. ADM'!C17+'TAX. ADM'!D17</f>
        <v/>
      </c>
      <c r="U63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ACAB'!D18+'EST. METÁLICA'!C18+'EST. METÁLICA'!D18+'REV. FACHADA'!C18+'REV. FACHADA'!D18+'FORRO'!C18+'FORRO'!D18+'LOUÇAS'!C18+'LOUÇAS'!D18+'PINTURA'!C18+'PINTURA'!D18+'PAISAGISMO'!C18+'PAISAGISMO'!D18+'LIMPEZA'!C18+'LIMPEZA'!D18+'TAX. ADM'!C18+'TAX. ADM'!D18</f>
        <v/>
      </c>
      <c r="V63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ACAB'!D19+'EST. METÁLICA'!C19+'EST. METÁLICA'!D19+'REV. FACHADA'!C19+'REV. FACHADA'!D19+'FORRO'!C19+'FORRO'!D19+'LOUÇAS'!C19+'LOUÇAS'!D19+'PINTURA'!C19+'PINTURA'!D19+'PAISAGISMO'!C19+'PAISAGISMO'!D19+'LIMPEZA'!C19+'LIMPEZA'!D19+'TAX. ADM'!C19+'TAX. ADM'!D19</f>
        <v/>
      </c>
      <c r="W63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ACAB'!D20+'EST. METÁLICA'!C20+'EST. METÁLICA'!D20+'REV. FACHADA'!C20+'REV. FACHADA'!D20+'FORRO'!C20+'FORRO'!D20+'LOUÇAS'!C20+'LOUÇAS'!D20+'PINTURA'!C20+'PINTURA'!D20+'PAISAGISMO'!C20+'PAISAGISMO'!D20+'LIMPEZA'!C20+'LIMPEZA'!D20+'TAX. ADM'!C20+'TAX. ADM'!D20</f>
        <v/>
      </c>
      <c r="X63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ACAB'!D21+'EST. METÁLICA'!C21+'EST. METÁLICA'!D21+'REV. FACHADA'!C21+'REV. FACHADA'!D21+'FORRO'!C21+'FORRO'!D21+'LOUÇAS'!C21+'LOUÇAS'!D21+'PINTURA'!C21+'PINTURA'!D21+'PAISAGISMO'!C21+'PAISAGISMO'!D21+'LIMPEZA'!C21+'LIMPEZA'!D21+'TAX. ADM'!C21+'TAX. ADM'!D21</f>
        <v/>
      </c>
      <c r="Y63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ACAB'!D22+'EST. METÁLICA'!C22+'EST. METÁLICA'!D22+'REV. FACHADA'!C22+'REV. FACHADA'!D22+'FORRO'!C22+'FORRO'!D22+'LOUÇAS'!C22+'LOUÇAS'!D22+'PINTURA'!C22+'PINTURA'!D22+'PAISAGISMO'!C22+'PAISAGISMO'!D22+'LIMPEZA'!C22+'LIMPEZA'!D22+'TAX. ADM'!C22+'TAX. ADM'!D22</f>
        <v/>
      </c>
      <c r="Z63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ACAB'!D23+'EST. METÁLICA'!C23+'EST. METÁLICA'!D23+'REV. FACHADA'!C23+'REV. FACHADA'!D23+'FORRO'!C23+'FORRO'!D23+'LOUÇAS'!C23+'LOUÇAS'!D23+'PINTURA'!C23+'PINTURA'!D23+'PAISAGISMO'!C23+'PAISAGISMO'!D23+'LIMPEZA'!C23+'LIMPEZA'!D23+'TAX. ADM'!C23+'TAX. ADM'!D23</f>
        <v/>
      </c>
      <c r="AA63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ACAB'!D24+'EST. METÁLICA'!C24+'EST. METÁLICA'!D24+'REV. FACHADA'!C24+'REV. FACHADA'!D24+'FORRO'!C24+'FORRO'!D24+'LOUÇAS'!C24+'LOUÇAS'!D24+'PINTURA'!C24+'PINTURA'!D24+'PAISAGISMO'!C24+'PAISAGISMO'!D24+'LIMPEZA'!C24+'LIMPEZA'!D24+'TAX. ADM'!C24+'TAX. ADM'!D24</f>
        <v/>
      </c>
      <c r="AB63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ACAB'!D25+'EST. METÁLICA'!C25+'EST. METÁLICA'!D25+'REV. FACHADA'!C25+'REV. FACHADA'!D25+'FORRO'!C25+'FORRO'!D25+'LOUÇAS'!C25+'LOUÇAS'!D25+'PINTURA'!C25+'PINTURA'!D25+'PAISAGISMO'!C25+'PAISAGISMO'!D25+'LIMPEZA'!C25+'LIMPEZA'!D25+'TAX. ADM'!C25+'TAX. ADM'!D25</f>
        <v/>
      </c>
      <c r="AC63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ACAB'!D26+'EST. METÁLICA'!C26+'EST. METÁLICA'!D26+'REV. FACHADA'!C26+'REV. FACHADA'!D26+'FORRO'!C26+'FORRO'!D26+'LOUÇAS'!C26+'LOUÇAS'!D26+'PINTURA'!C26+'PINTURA'!D26+'PAISAGISMO'!C26+'PAISAGISMO'!D26+'LIMPEZA'!C26+'LIMPEZA'!D26+'TAX. ADM'!C26+'TAX. ADM'!D26</f>
        <v/>
      </c>
      <c r="AD63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ACAB'!D27+'EST. METÁLICA'!C27+'EST. METÁLICA'!D27+'REV. FACHADA'!C27+'REV. FACHADA'!D27+'FORRO'!C27+'FORRO'!D27+'LOUÇAS'!C27+'LOUÇAS'!D27+'PINTURA'!C27+'PINTURA'!D27+'PAISAGISMO'!C27+'PAISAGISMO'!D27+'LIMPEZA'!C27+'LIMPEZA'!D27+'TAX. ADM'!C27+'TAX. ADM'!D27</f>
        <v/>
      </c>
      <c r="AE63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ACAB'!D28+'EST. METÁLICA'!C28+'EST. METÁLICA'!D28+'REV. FACHADA'!C28+'REV. FACHADA'!D28+'FORRO'!C28+'FORRO'!D28+'LOUÇAS'!C28+'LOUÇAS'!D28+'PINTURA'!C28+'PINTURA'!D28+'PAISAGISMO'!C28+'PAISAGISMO'!D28+'LIMPEZA'!C28+'LIMPEZA'!D28+'TAX. ADM'!C28+'TAX. ADM'!D28</f>
        <v/>
      </c>
      <c r="AF63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ACAB'!D29+'EST. METÁLICA'!C29+'EST. METÁLICA'!D29+'REV. FACHADA'!C29+'REV. FACHADA'!D29+'FORRO'!C29+'FORRO'!D29+'LOUÇAS'!C29+'LOUÇAS'!D29+'PINTURA'!C29+'PINTURA'!D29+'PAISAGISMO'!C29+'PAISAGISMO'!D29+'LIMPEZA'!C29+'LIMPEZA'!D29+'TAX. ADM'!C29+'TAX. ADM'!D29</f>
        <v/>
      </c>
      <c r="AG63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ACAB'!D30+'EST. METÁLICA'!C30+'EST. METÁLICA'!D30+'REV. FACHADA'!C30+'REV. FACHADA'!D30+'FORRO'!C30+'FORRO'!D30+'LOUÇAS'!C30+'LOUÇAS'!D30+'PINTURA'!C30+'PINTURA'!D30+'PAISAGISMO'!C30+'PAISAGISMO'!D30+'LIMPEZA'!C30+'LIMPEZA'!D30+'TAX. ADM'!C30+'TAX. ADM'!D30</f>
        <v/>
      </c>
      <c r="AH63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ACAB'!D31+'EST. METÁLICA'!C31+'EST. METÁLICA'!D31+'REV. FACHADA'!C31+'REV. FACHADA'!D31+'FORRO'!C31+'FORRO'!D31+'LOUÇAS'!C31+'LOUÇAS'!D31+'PINTURA'!C31+'PINTURA'!D31+'PAISAGISMO'!C31+'PAISAGISMO'!D31+'LIMPEZA'!C31+'LIMPEZA'!D31+'TAX. ADM'!C31+'TAX. ADM'!D31</f>
        <v/>
      </c>
      <c r="AI63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ACAB'!D32+'EST. METÁLICA'!C32+'EST. METÁLICA'!D32+'REV. FACHADA'!C32+'REV. FACHADA'!D32+'FORRO'!C32+'FORRO'!D32+'LOUÇAS'!C32+'LOUÇAS'!D32+'PINTURA'!C32+'PINTURA'!D32+'PAISAGISMO'!C32+'PAISAGISMO'!D32+'LIMPEZA'!C32+'LIMPEZA'!D32+'TAX. ADM'!C32+'TAX. ADM'!D32</f>
        <v/>
      </c>
      <c r="AJ63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ACAB'!D33+'EST. METÁLICA'!C33+'EST. METÁLICA'!D33+'REV. FACHADA'!C33+'REV. FACHADA'!D33+'FORRO'!C33+'FORRO'!D33+'LOUÇAS'!C33+'LOUÇAS'!D33+'PINTURA'!C33+'PINTURA'!D33+'PAISAGISMO'!C33+'PAISAGISMO'!D33+'LIMPEZA'!C33+'LIMPEZA'!D33+'TAX. ADM'!C33+'TAX. ADM'!D33</f>
        <v/>
      </c>
      <c r="AK63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ACAB'!D34+'EST. METÁLICA'!C34+'EST. METÁLICA'!D34+'REV. FACHADA'!C34+'REV. FACHADA'!D34+'FORRO'!C34+'FORRO'!D34+'LOUÇAS'!C34+'LOUÇAS'!D34+'PINTURA'!C34+'PINTURA'!D34+'PAISAGISMO'!C34+'PAISAGISMO'!D34+'LIMPEZA'!C34+'LIMPEZA'!D34+'TAX. ADM'!C34+'TAX. ADM'!D34</f>
        <v/>
      </c>
      <c r="AL63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ACAB'!D35+'EST. METÁLICA'!C35+'EST. METÁLICA'!D35+'REV. FACHADA'!C35+'REV. FACHADA'!D35+'FORRO'!C35+'FORRO'!D35+'LOUÇAS'!C35+'LOUÇAS'!D35+'PINTURA'!C35+'PINTURA'!D35+'PAISAGISMO'!C35+'PAISAGISMO'!D35+'LIMPEZA'!C35+'LIMPEZA'!D35+'TAX. ADM'!C35+'TAX. ADM'!D35</f>
        <v/>
      </c>
      <c r="AM63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ACAB'!D36+'EST. METÁLICA'!C36+'EST. METÁLICA'!D36+'REV. FACHADA'!C36+'REV. FACHADA'!D36+'FORRO'!C36+'FORRO'!D36+'LOUÇAS'!C36+'LOUÇAS'!D36+'PINTURA'!C36+'PINTURA'!D36+'PAISAGISMO'!C36+'PAISAGISMO'!D36+'LIMPEZA'!C36+'LIMPEZA'!D36+'TAX. ADM'!C36+'TAX. ADM'!D36</f>
        <v/>
      </c>
      <c r="AN63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ACAB'!D37+'EST. METÁLICA'!C37+'EST. METÁLICA'!D37+'REV. FACHADA'!C37+'REV. FACHADA'!D37+'FORRO'!C37+'FORRO'!D37+'LOUÇAS'!C37+'LOUÇAS'!D37+'PINTURA'!C37+'PINTURA'!D37+'PAISAGISMO'!C37+'PAISAGISMO'!D37+'LIMPEZA'!C37+'LIMPEZA'!D37+'TAX. ADM'!C37+'TAX. ADM'!D37</f>
        <v/>
      </c>
      <c r="AO63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ACAB'!D38+'EST. METÁLICA'!C38+'EST. METÁLICA'!D38+'REV. FACHADA'!C38+'REV. FACHADA'!D38+'FORRO'!C38+'FORRO'!D38+'LOUÇAS'!C38+'LOUÇAS'!D38+'PINTURA'!C38+'PINTURA'!D38+'PAISAGISMO'!C38+'PAISAGISMO'!D38+'LIMPEZA'!C38+'LIMPEZA'!D38+'TAX. ADM'!C38+'TAX. ADM'!D38</f>
        <v/>
      </c>
      <c r="AP63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ACAB'!D39+'EST. METÁLICA'!C39+'EST. METÁLICA'!D39+'REV. FACHADA'!C39+'REV. FACHADA'!D39+'FORRO'!C39+'FORRO'!D39+'LOUÇAS'!C39+'LOUÇAS'!D39+'PINTURA'!C39+'PINTURA'!D39+'PAISAGISMO'!C39+'PAISAGISMO'!D39+'LIMPEZA'!C39+'LIMPEZA'!D39+'TAX. ADM'!C39+'TAX. ADM'!D39</f>
        <v/>
      </c>
      <c r="AQ63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ACAB'!D40+'EST. METÁLICA'!C40+'EST. METÁLICA'!D40+'REV. FACHADA'!C40+'REV. FACHADA'!D40+'FORRO'!C40+'FORRO'!D40+'LOUÇAS'!C40+'LOUÇAS'!D40+'PINTURA'!C40+'PINTURA'!D40+'PAISAGISMO'!C40+'PAISAGISMO'!D40+'LIMPEZA'!C40+'LIMPEZA'!D40+'TAX. ADM'!C40+'TAX. ADM'!D40</f>
        <v/>
      </c>
      <c r="AR63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ACAB'!D41+'EST. METÁLICA'!C41+'EST. METÁLICA'!D41+'REV. FACHADA'!C41+'REV. FACHADA'!D41+'FORRO'!C41+'FORRO'!D41+'LOUÇAS'!C41+'LOUÇAS'!D41+'PINTURA'!C41+'PINTURA'!D41+'PAISAGISMO'!C41+'PAISAGISMO'!D41+'LIMPEZA'!C41+'LIMPEZA'!D41+'TAX. ADM'!C41+'TAX. ADM'!D41</f>
        <v/>
      </c>
      <c r="AS63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ACAB'!D42+'EST. METÁLICA'!C42+'EST. METÁLICA'!D42+'REV. FACHADA'!C42+'REV. FACHADA'!D42+'FORRO'!C42+'FORRO'!D42+'LOUÇAS'!C42+'LOUÇAS'!D42+'PINTURA'!C42+'PINTURA'!D42+'PAISAGISMO'!C42+'PAISAGISMO'!D42+'LIMPEZA'!C42+'LIMPEZA'!D42+'TAX. ADM'!C42+'TAX. ADM'!D42</f>
        <v/>
      </c>
      <c r="AT63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ACAB'!D43+'EST. METÁLICA'!C43+'EST. METÁLICA'!D43+'REV. FACHADA'!C43+'REV. FACHADA'!D43+'FORRO'!C43+'FORRO'!D43+'LOUÇAS'!C43+'LOUÇAS'!D43+'PINTURA'!C43+'PINTURA'!D43+'PAISAGISMO'!C43+'PAISAGISMO'!D43+'LIMPEZA'!C43+'LIMPEZA'!D43+'TAX. ADM'!C43+'TAX. ADM'!D43</f>
        <v/>
      </c>
      <c r="AU63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ACAB'!D44+'EST. METÁLICA'!C44+'EST. METÁLICA'!D44+'REV. FACHADA'!C44+'REV. FACHADA'!D44+'FORRO'!C44+'FORRO'!D44+'LOUÇAS'!C44+'LOUÇAS'!D44+'PINTURA'!C44+'PINTURA'!D44+'PAISAGISMO'!C44+'PAISAGISMO'!D44+'LIMPEZA'!C44+'LIMPEZA'!D44+'TAX. ADM'!C44+'TAX. ADM'!D44</f>
        <v/>
      </c>
      <c r="AV63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ACAB'!D45+'EST. METÁLICA'!C45+'EST. METÁLICA'!D45+'REV. FACHADA'!C45+'REV. FACHADA'!D45+'FORRO'!C45+'FORRO'!D45+'LOUÇAS'!C45+'LOUÇAS'!D45+'PINTURA'!C45+'PINTURA'!D45+'PAISAGISMO'!C45+'PAISAGISMO'!D45+'LIMPEZA'!C45+'LIMPEZA'!D45+'TAX. ADM'!C45+'TAX. ADM'!D45</f>
        <v/>
      </c>
      <c r="AW63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ACAB'!D46+'EST. METÁLICA'!C46+'EST. METÁLICA'!D46+'REV. FACHADA'!C46+'REV. FACHADA'!D46+'FORRO'!C46+'FORRO'!D46+'LOUÇAS'!C46+'LOUÇAS'!D46+'PINTURA'!C46+'PINTURA'!D46+'PAISAGISMO'!C46+'PAISAGISMO'!D46+'LIMPEZA'!C46+'LIMPEZA'!D46+'TAX. ADM'!C46+'TAX. ADM'!D46</f>
        <v/>
      </c>
      <c r="AX63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ACAB'!D47+'EST. METÁLICA'!C47+'EST. METÁLICA'!D47+'REV. FACHADA'!C47+'REV. FACHADA'!D47+'FORRO'!C47+'FORRO'!D47+'LOUÇAS'!C47+'LOUÇAS'!D47+'PINTURA'!C47+'PINTURA'!D47+'PAISAGISMO'!C47+'PAISAGISMO'!D47+'LIMPEZA'!C47+'LIMPEZA'!D47+'TAX. ADM'!C47+'TAX. ADM'!D47</f>
        <v/>
      </c>
      <c r="AY63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ACAB'!D48+'EST. METÁLICA'!C48+'EST. METÁLICA'!D48+'REV. FACHADA'!C48+'REV. FACHADA'!D48+'FORRO'!C48+'FORRO'!D48+'LOUÇAS'!C48+'LOUÇAS'!D48+'PINTURA'!C48+'PINTURA'!D48+'PAISAGISMO'!C48+'PAISAGISMO'!D48+'LIMPEZA'!C48+'LIMPEZA'!D48+'TAX. ADM'!C48+'TAX. ADM'!D48</f>
        <v/>
      </c>
      <c r="AZ63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ACAB'!D49+'EST. METÁLICA'!C49+'EST. METÁLICA'!D49+'REV. FACHADA'!C49+'REV. FACHADA'!D49+'FORRO'!C49+'FORRO'!D49+'LOUÇAS'!C49+'LOUÇAS'!D49+'PINTURA'!C49+'PINTURA'!D49+'PAISAGISMO'!C49+'PAISAGISMO'!D49+'LIMPEZA'!C49+'LIMPEZA'!D49+'TAX. ADM'!C49+'TAX. ADM'!D49</f>
        <v/>
      </c>
      <c r="BA63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ACAB'!D50+'EST. METÁLICA'!C50+'EST. METÁLICA'!D50+'REV. FACHADA'!C50+'REV. FACHADA'!D50+'FORRO'!C50+'FORRO'!D50+'LOUÇAS'!C50+'LOUÇAS'!D50+'PINTURA'!C50+'PINTURA'!D50+'PAISAGISMO'!C50+'PAISAGISMO'!D50+'LIMPEZA'!C50+'LIMPEZA'!D50+'TAX. ADM'!C50+'TAX. ADM'!D50</f>
        <v/>
      </c>
      <c r="BB63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ACAB'!D51+'EST. METÁLICA'!C51+'EST. METÁLICA'!D51+'REV. FACHADA'!C51+'REV. FACHADA'!D51+'FORRO'!C51+'FORRO'!D51+'LOUÇAS'!C51+'LOUÇAS'!D51+'PINTURA'!C51+'PINTURA'!D51+'PAISAGISMO'!C51+'PAISAGISMO'!D51+'LIMPEZA'!C51+'LIMPEZA'!D51+'TAX. ADM'!C51+'TAX. ADM'!D51</f>
        <v/>
      </c>
      <c r="BC63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ACAB'!D52+'EST. METÁLICA'!C52+'EST. METÁLICA'!D52+'REV. FACHADA'!C52+'REV. FACHADA'!D52+'FORRO'!C52+'FORRO'!D52+'LOUÇAS'!C52+'LOUÇAS'!D52+'PINTURA'!C52+'PINTURA'!D52+'PAISAGISMO'!C52+'PAISAGISMO'!D52+'LIMPEZA'!C52+'LIMPEZA'!D52+'TAX. ADM'!C52+'TAX. ADM'!D52</f>
        <v/>
      </c>
      <c r="BD63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ACAB'!D53+'EST. METÁLICA'!C53+'EST. METÁLICA'!D53+'REV. FACHADA'!C53+'REV. FACHADA'!D53+'FORRO'!C53+'FORRO'!D53+'LOUÇAS'!C53+'LOUÇAS'!D53+'PINTURA'!C53+'PINTURA'!D53+'PAISAGISMO'!C53+'PAISAGISMO'!D53+'LIMPEZA'!C53+'LIMPEZA'!D53+'TAX. ADM'!C53+'TAX. ADM'!D53</f>
        <v/>
      </c>
      <c r="BE63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ACAB'!D54+'EST. METÁLICA'!C54+'EST. METÁLICA'!D54+'REV. FACHADA'!C54+'REV. FACHADA'!D54+'FORRO'!C54+'FORRO'!D54+'LOUÇAS'!C54+'LOUÇAS'!D54+'PINTURA'!C54+'PINTURA'!D54+'PAISAGISMO'!C54+'PAISAGISMO'!D54+'LIMPEZA'!C54+'LIMPEZA'!D54+'TAX. ADM'!C54+'TAX. ADM'!D54</f>
        <v/>
      </c>
      <c r="BF63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ACAB'!D55+'EST. METÁLICA'!C55+'EST. METÁLICA'!D55+'REV. FACHADA'!C55+'REV. FACHADA'!D55+'FORRO'!C55+'FORRO'!D55+'LOUÇAS'!C55+'LOUÇAS'!D55+'PINTURA'!C55+'PINTURA'!D55+'PAISAGISMO'!C55+'PAISAGISMO'!D55+'LIMPEZA'!C55+'LIMPEZA'!D55+'TAX. ADM'!C55+'TAX. ADM'!D55</f>
        <v/>
      </c>
      <c r="BG63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ACAB'!D56+'EST. METÁLICA'!C56+'EST. METÁLICA'!D56+'REV. FACHADA'!C56+'REV. FACHADA'!D56+'FORRO'!C56+'FORRO'!D56+'LOUÇAS'!C56+'LOUÇAS'!D56+'PINTURA'!C56+'PINTURA'!D56+'PAISAGISMO'!C56+'PAISAGISMO'!D56+'LIMPEZA'!C56+'LIMPEZA'!D56+'TAX. ADM'!C56+'TAX. ADM'!D56</f>
        <v/>
      </c>
      <c r="BH63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ACAB'!D57+'EST. METÁLICA'!C57+'EST. METÁLICA'!D57+'REV. FACHADA'!C57+'REV. FACHADA'!D57+'FORRO'!C57+'FORRO'!D57+'LOUÇAS'!C57+'LOUÇAS'!D57+'PINTURA'!C57+'PINTURA'!D57+'PAISAGISMO'!C57+'PAISAGISMO'!D57+'LIMPEZA'!C57+'LIMPEZA'!D57+'TAX. ADM'!C57+'TAX. ADM'!D57</f>
        <v/>
      </c>
      <c r="BI63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ACAB'!D58+'EST. METÁLICA'!C58+'EST. METÁLICA'!D58+'REV. FACHADA'!C58+'REV. FACHADA'!D58+'FORRO'!C58+'FORRO'!D58+'LOUÇAS'!C58+'LOUÇAS'!D58+'PINTURA'!C58+'PINTURA'!D58+'PAISAGISMO'!C58+'PAISAGISMO'!D58+'LIMPEZA'!C58+'LIMPEZA'!D58+'TAX. ADM'!C58+'TAX. ADM'!D58</f>
        <v/>
      </c>
      <c r="BJ63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ACAB'!D59+'EST. METÁLICA'!C59+'EST. METÁLICA'!D59+'REV. FACHADA'!C59+'REV. FACHADA'!D59+'FORRO'!C59+'FORRO'!D59+'LOUÇAS'!C59+'LOUÇAS'!D59+'PINTURA'!C59+'PINTURA'!D59+'PAISAGISMO'!C59+'PAISAGISMO'!D59+'LIMPEZA'!C59+'LIMPEZA'!D59+'TAX. ADM'!C59+'TAX. ADM'!D59</f>
        <v/>
      </c>
      <c r="BK63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ACAB'!D60+'EST. METÁLICA'!C60+'EST. METÁLICA'!D60+'REV. FACHADA'!C60+'REV. FACHADA'!D60+'FORRO'!C60+'FORRO'!D60+'LOUÇAS'!C60+'LOUÇAS'!D60+'PINTURA'!C60+'PINTURA'!D60+'PAISAGISMO'!C60+'PAISAGISMO'!D60+'LIMPEZA'!C60+'LIMPEZA'!D60+'TAX. ADM'!C60+'TAX. ADM'!D60</f>
        <v/>
      </c>
      <c r="BL63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ACAB'!D61+'EST. METÁLICA'!C61+'EST. METÁLICA'!D61+'REV. FACHADA'!C61+'REV. FACHADA'!D61+'FORRO'!C61+'FORRO'!D61+'LOUÇAS'!C61+'LOUÇAS'!D61+'PINTURA'!C61+'PINTURA'!D61+'PAISAGISMO'!C61+'PAISAGISMO'!D61+'LIMPEZA'!C61+'LIMPEZA'!D61+'TAX. ADM'!C61+'TAX. ADM'!D61</f>
        <v/>
      </c>
      <c r="BM63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ACAB'!D62+'EST. METÁLICA'!C62+'EST. METÁLICA'!D62+'REV. FACHADA'!C62+'REV. FACHADA'!D62+'FORRO'!C62+'FORRO'!D62+'LOUÇAS'!C62+'LOUÇAS'!D62+'PINTURA'!C62+'PINTURA'!D62+'PAISAGISMO'!C62+'PAISAGISMO'!D62+'LIMPEZA'!C62+'LIMPEZA'!D62+'TAX. ADM'!C62+'TAX. ADM'!D62</f>
        <v/>
      </c>
      <c r="BN63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ACAB'!D63+'EST. METÁLICA'!C63+'EST. METÁLICA'!D63+'REV. FACHADA'!C63+'REV. FACHADA'!D63+'FORRO'!C63+'FORRO'!D63+'LOUÇAS'!C63+'LOUÇAS'!D63+'PINTURA'!C63+'PINTURA'!D63+'PAISAGISMO'!C63+'PAISAGISMO'!D63+'LIMPEZA'!C63+'LIMPEZA'!D63+'TAX. ADM'!C63+'TAX. ADM'!D63</f>
        <v/>
      </c>
      <c r="BO63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ACAB'!D64+'EST. METÁLICA'!C64+'EST. METÁLICA'!D64+'REV. FACHADA'!C64+'REV. FACHADA'!D64+'FORRO'!C64+'FORRO'!D64+'LOUÇAS'!C64+'LOUÇAS'!D64+'PINTURA'!C64+'PINTURA'!D64+'PAISAGISMO'!C64+'PAISAGISMO'!D64+'LIMPEZA'!C64+'LIMPEZA'!D64+'TAX. ADM'!C64+'TAX. ADM'!D64</f>
        <v/>
      </c>
      <c r="BP63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ACAB'!D65+'EST. METÁLICA'!C65+'EST. METÁLICA'!D65+'REV. FACHADA'!C65+'REV. FACHADA'!D65+'FORRO'!C65+'FORRO'!D65+'LOUÇAS'!C65+'LOUÇAS'!D65+'PINTURA'!C65+'PINTURA'!D65+'PAISAGISMO'!C65+'PAISAGISMO'!D65+'LIMPEZA'!C65+'LIMPEZA'!D65+'TAX. ADM'!C65+'TAX. ADM'!D65</f>
        <v/>
      </c>
      <c r="BQ63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ACAB'!D66+'EST. METÁLICA'!C66+'EST. METÁLICA'!D66+'REV. FACHADA'!C66+'REV. FACHADA'!D66+'FORRO'!C66+'FORRO'!D66+'LOUÇAS'!C66+'LOUÇAS'!D66+'PINTURA'!C66+'PINTURA'!D66+'PAISAGISMO'!C66+'PAISAGISMO'!D66+'LIMPEZA'!C66+'LIMPEZA'!D66+'TAX. ADM'!C66+'TAX. ADM'!D66</f>
        <v/>
      </c>
      <c r="BR63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ACAB'!D67+'EST. METÁLICA'!C67+'EST. METÁLICA'!D67+'REV. FACHADA'!C67+'REV. FACHADA'!D67+'FORRO'!C67+'FORRO'!D67+'LOUÇAS'!C67+'LOUÇAS'!D67+'PINTURA'!C67+'PINTURA'!D67+'PAISAGISMO'!C67+'PAISAGISMO'!D67+'LIMPEZA'!C67+'LIMPEZA'!D67+'TAX. ADM'!C67+'TAX. ADM'!D67</f>
        <v/>
      </c>
      <c r="BS63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ACAB'!D68+'EST. METÁLICA'!C68+'EST. METÁLICA'!D68+'REV. FACHADA'!C68+'REV. FACHADA'!D68+'FORRO'!C68+'FORRO'!D68+'LOUÇAS'!C68+'LOUÇAS'!D68+'PINTURA'!C68+'PINTURA'!D68+'PAISAGISMO'!C68+'PAISAGISMO'!D68+'LIMPEZA'!C68+'LIMPEZA'!D68+'TAX. ADM'!C68+'TAX. ADM'!D68</f>
        <v/>
      </c>
      <c r="BT63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ACAB'!D69+'EST. METÁLICA'!C69+'EST. METÁLICA'!D69+'REV. FACHADA'!C69+'REV. FACHADA'!D69+'FORRO'!C69+'FORRO'!D69+'LOUÇAS'!C69+'LOUÇAS'!D69+'PINTURA'!C69+'PINTURA'!D69+'PAISAGISMO'!C69+'PAISAGISMO'!D69+'LIMPEZA'!C69+'LIMPEZA'!D69+'TAX. ADM'!C69+'TAX. ADM'!D69</f>
        <v/>
      </c>
      <c r="BU63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ACAB'!D70+'EST. METÁLICA'!C70+'EST. METÁLICA'!D70+'REV. FACHADA'!C70+'REV. FACHADA'!D70+'FORRO'!C70+'FORRO'!D70+'LOUÇAS'!C70+'LOUÇAS'!D70+'PINTURA'!C70+'PINTURA'!D70+'PAISAGISMO'!C70+'PAISAGISMO'!D70+'LIMPEZA'!C70+'LIMPEZA'!D70+'TAX. ADM'!C70+'TAX. ADM'!D70</f>
        <v/>
      </c>
      <c r="BV63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ACAB'!D71+'EST. METÁLICA'!C71+'EST. METÁLICA'!D71+'REV. FACHADA'!C71+'REV. FACHADA'!D71+'FORRO'!C71+'FORRO'!D71+'LOUÇAS'!C71+'LOUÇAS'!D71+'PINTURA'!C71+'PINTURA'!D71+'PAISAGISMO'!C71+'PAISAGISMO'!D71+'LIMPEZA'!C71+'LIMPEZA'!D71+'TAX. ADM'!C71+'TAX. ADM'!D71</f>
        <v/>
      </c>
      <c r="BW63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ACAB'!D72+'EST. METÁLICA'!C72+'EST. METÁLICA'!D72+'REV. FACHADA'!C72+'REV. FACHADA'!D72+'FORRO'!C72+'FORRO'!D72+'LOUÇAS'!C72+'LOUÇAS'!D72+'PINTURA'!C72+'PINTURA'!D72+'PAISAGISMO'!C72+'PAISAGISMO'!D72+'LIMPEZA'!C72+'LIMPEZA'!D72+'TAX. ADM'!C72+'TAX. ADM'!D72</f>
        <v/>
      </c>
      <c r="BX63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ACAB'!D73+'EST. METÁLICA'!C73+'EST. METÁLICA'!D73+'REV. FACHADA'!C73+'REV. FACHADA'!D73+'FORRO'!C73+'FORRO'!D73+'LOUÇAS'!C73+'LOUÇAS'!D73+'PINTURA'!C73+'PINTURA'!D73+'PAISAGISMO'!C73+'PAISAGISMO'!D73+'LIMPEZA'!C73+'LIMPEZA'!D73+'TAX. ADM'!C73+'TAX. ADM'!D73</f>
        <v/>
      </c>
      <c r="BY63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ACAB'!D74+'EST. METÁLICA'!C74+'EST. METÁLICA'!D74+'REV. FACHADA'!C74+'REV. FACHADA'!D74+'FORRO'!C74+'FORRO'!D74+'LOUÇAS'!C74+'LOUÇAS'!D74+'PINTURA'!C74+'PINTURA'!D74+'PAISAGISMO'!C74+'PAISAGISMO'!D74+'LIMPEZA'!C74+'LIMPEZA'!D74+'TAX. ADM'!C74+'TAX. ADM'!D74</f>
        <v/>
      </c>
      <c r="BZ63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ACAB'!D75+'EST. METÁLICA'!C75+'EST. METÁLICA'!D75+'REV. FACHADA'!C75+'REV. FACHADA'!D75+'FORRO'!C75+'FORRO'!D75+'LOUÇAS'!C75+'LOUÇAS'!D75+'PINTURA'!C75+'PINTURA'!D75+'PAISAGISMO'!C75+'PAISAGISMO'!D75+'LIMPEZA'!C75+'LIMPEZA'!D75+'TAX. ADM'!C75+'TAX. ADM'!D75</f>
        <v/>
      </c>
      <c r="CA63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ACAB'!D76+'EST. METÁLICA'!C76+'EST. METÁLICA'!D76+'REV.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6" t="inlineStr">
        <is>
          <t>CURVA ACUMULADA (R$ nominal)</t>
        </is>
      </c>
      <c r="E64" s="109">
        <f>CA64</f>
        <v/>
      </c>
      <c r="H64" s="54">
        <f>H63</f>
        <v/>
      </c>
      <c r="I64" s="54">
        <f>H64+I63</f>
        <v/>
      </c>
      <c r="J64" s="54">
        <f>I64+J63</f>
        <v/>
      </c>
      <c r="K64" s="54">
        <f>J64+K63</f>
        <v/>
      </c>
      <c r="L64" s="54">
        <f>K64+L63</f>
        <v/>
      </c>
      <c r="M64" s="54">
        <f>L64+M63</f>
        <v/>
      </c>
      <c r="N64" s="54">
        <f>M64+N63</f>
        <v/>
      </c>
      <c r="O64" s="54">
        <f>N64+O63</f>
        <v/>
      </c>
      <c r="P64" s="54">
        <f>O64+P63</f>
        <v/>
      </c>
      <c r="Q64" s="54">
        <f>P64+Q63</f>
        <v/>
      </c>
      <c r="R64" s="54">
        <f>Q64+R63</f>
        <v/>
      </c>
      <c r="S64" s="54">
        <f>R64+S63</f>
        <v/>
      </c>
      <c r="T64" s="54">
        <f>S64+T63</f>
        <v/>
      </c>
      <c r="U64" s="54">
        <f>T64+U63</f>
        <v/>
      </c>
      <c r="V64" s="54">
        <f>U64+V63</f>
        <v/>
      </c>
      <c r="W64" s="54">
        <f>V64+W63</f>
        <v/>
      </c>
      <c r="X64" s="54">
        <f>W64+X63</f>
        <v/>
      </c>
      <c r="Y64" s="54">
        <f>X64+Y63</f>
        <v/>
      </c>
      <c r="Z64" s="54">
        <f>Y64+Z63</f>
        <v/>
      </c>
      <c r="AA64" s="54">
        <f>Z64+AA63</f>
        <v/>
      </c>
      <c r="AB64" s="54">
        <f>AA64+AB63</f>
        <v/>
      </c>
      <c r="AC64" s="54">
        <f>AB64+AC63</f>
        <v/>
      </c>
      <c r="AD64" s="54">
        <f>AC64+AD63</f>
        <v/>
      </c>
      <c r="AE64" s="54">
        <f>AD64+AE63</f>
        <v/>
      </c>
      <c r="AF64" s="54">
        <f>AE64+AF63</f>
        <v/>
      </c>
      <c r="AG64" s="54">
        <f>AF64+AG63</f>
        <v/>
      </c>
      <c r="AH64" s="54">
        <f>AG64+AH63</f>
        <v/>
      </c>
      <c r="AI64" s="54">
        <f>AH64+AI63</f>
        <v/>
      </c>
      <c r="AJ64" s="54">
        <f>AI64+AJ63</f>
        <v/>
      </c>
      <c r="AK64" s="54">
        <f>AJ64+AK63</f>
        <v/>
      </c>
      <c r="AL64" s="54">
        <f>AK64+AL63</f>
        <v/>
      </c>
      <c r="AM64" s="54">
        <f>AL64+AM63</f>
        <v/>
      </c>
      <c r="AN64" s="54">
        <f>AM64+AN63</f>
        <v/>
      </c>
      <c r="AO64" s="54">
        <f>AN64+AO63</f>
        <v/>
      </c>
      <c r="AP64" s="54">
        <f>AO64+AP63</f>
        <v/>
      </c>
      <c r="AQ64" s="54">
        <f>AP64+AQ63</f>
        <v/>
      </c>
      <c r="AR64" s="54">
        <f>AQ64+AR63</f>
        <v/>
      </c>
      <c r="AS64" s="54">
        <f>AR64+AS63</f>
        <v/>
      </c>
      <c r="AT64" s="54">
        <f>AS64+AT63</f>
        <v/>
      </c>
      <c r="AU64" s="54">
        <f>AT64+AU63</f>
        <v/>
      </c>
      <c r="AV64" s="54">
        <f>AU64+AV63</f>
        <v/>
      </c>
      <c r="AW64" s="54">
        <f>AV64+AW63</f>
        <v/>
      </c>
      <c r="AX64" s="54">
        <f>AW64+AX63</f>
        <v/>
      </c>
      <c r="AY64" s="54">
        <f>AX64+AY63</f>
        <v/>
      </c>
      <c r="AZ64" s="54">
        <f>AY64+AZ63</f>
        <v/>
      </c>
      <c r="BA64" s="54">
        <f>AZ64+BA63</f>
        <v/>
      </c>
      <c r="BB64" s="54">
        <f>BA64+BB63</f>
        <v/>
      </c>
      <c r="BC64" s="54">
        <f>BB64+BC63</f>
        <v/>
      </c>
      <c r="BD64" s="54">
        <f>BC64+BD63</f>
        <v/>
      </c>
      <c r="BE64" s="54">
        <f>BD64+BE63</f>
        <v/>
      </c>
      <c r="BF64" s="54">
        <f>BE64+BF63</f>
        <v/>
      </c>
      <c r="BG64" s="54">
        <f>BF64+BG63</f>
        <v/>
      </c>
      <c r="BH64" s="54">
        <f>BG64+BH63</f>
        <v/>
      </c>
      <c r="BI64" s="54">
        <f>BH64+BI63</f>
        <v/>
      </c>
      <c r="BJ64" s="54">
        <f>BI64+BJ63</f>
        <v/>
      </c>
      <c r="BK64" s="54">
        <f>BJ64+BK63</f>
        <v/>
      </c>
      <c r="BL64" s="54">
        <f>BK64+BL63</f>
        <v/>
      </c>
      <c r="BM64" s="54">
        <f>BL64+BM63</f>
        <v/>
      </c>
      <c r="BN64" s="54">
        <f>BM64+BN63</f>
        <v/>
      </c>
      <c r="BO64" s="54">
        <f>BN64+BO63</f>
        <v/>
      </c>
      <c r="BP64" s="54">
        <f>BO64+BP63</f>
        <v/>
      </c>
      <c r="BQ64" s="54">
        <f>BP64+BQ63</f>
        <v/>
      </c>
      <c r="BR64" s="54">
        <f>BQ64+BR63</f>
        <v/>
      </c>
      <c r="BS64" s="54">
        <f>BR64+BS63</f>
        <v/>
      </c>
      <c r="BT64" s="54">
        <f>BS64+BT63</f>
        <v/>
      </c>
      <c r="BU64" s="54">
        <f>BT64+BU63</f>
        <v/>
      </c>
      <c r="BV64" s="54">
        <f>BU64+BV63</f>
        <v/>
      </c>
      <c r="BW64" s="54">
        <f>BV64+BW63</f>
        <v/>
      </c>
      <c r="BX64" s="54">
        <f>BW64+BX63</f>
        <v/>
      </c>
      <c r="BY64" s="54">
        <f>BX64+BY63</f>
        <v/>
      </c>
      <c r="BZ64" s="54">
        <f>BY64+BZ63</f>
        <v/>
      </c>
      <c r="CA64" s="54">
        <f>BZ64+CA63</f>
        <v/>
      </c>
    </row>
    <row r="65">
      <c r="C65" s="46" t="inlineStr">
        <is>
          <t>% ACUMULADO DA PROJEÇÃO</t>
        </is>
      </c>
      <c r="H65" s="110">
        <f>IF('VALOR POR PL'!$L$50=0,0,H64/'VALOR POR PL'!$L$50)</f>
        <v/>
      </c>
      <c r="I65" s="110">
        <f>IF('VALOR POR PL'!$L$50=0,0,I64/'VALOR POR PL'!$L$50)</f>
        <v/>
      </c>
      <c r="J65" s="110">
        <f>IF('VALOR POR PL'!$L$50=0,0,J64/'VALOR POR PL'!$L$50)</f>
        <v/>
      </c>
      <c r="K65" s="110">
        <f>IF('VALOR POR PL'!$L$50=0,0,K64/'VALOR POR PL'!$L$50)</f>
        <v/>
      </c>
      <c r="L65" s="110">
        <f>IF('VALOR POR PL'!$L$50=0,0,L64/'VALOR POR PL'!$L$50)</f>
        <v/>
      </c>
      <c r="M65" s="110">
        <f>IF('VALOR POR PL'!$L$50=0,0,M64/'VALOR POR PL'!$L$50)</f>
        <v/>
      </c>
      <c r="N65" s="110">
        <f>IF('VALOR POR PL'!$L$50=0,0,N64/'VALOR POR PL'!$L$50)</f>
        <v/>
      </c>
      <c r="O65" s="110">
        <f>IF('VALOR POR PL'!$L$50=0,0,O64/'VALOR POR PL'!$L$50)</f>
        <v/>
      </c>
      <c r="P65" s="110">
        <f>IF('VALOR POR PL'!$L$50=0,0,P64/'VALOR POR PL'!$L$50)</f>
        <v/>
      </c>
      <c r="Q65" s="110">
        <f>IF('VALOR POR PL'!$L$50=0,0,Q64/'VALOR POR PL'!$L$50)</f>
        <v/>
      </c>
      <c r="R65" s="110">
        <f>IF('VALOR POR PL'!$L$50=0,0,R64/'VALOR POR PL'!$L$50)</f>
        <v/>
      </c>
      <c r="S65" s="110">
        <f>IF('VALOR POR PL'!$L$50=0,0,S64/'VALOR POR PL'!$L$50)</f>
        <v/>
      </c>
      <c r="T65" s="110">
        <f>IF('VALOR POR PL'!$L$50=0,0,T64/'VALOR POR PL'!$L$50)</f>
        <v/>
      </c>
      <c r="U65" s="110">
        <f>IF('VALOR POR PL'!$L$50=0,0,U64/'VALOR POR PL'!$L$50)</f>
        <v/>
      </c>
      <c r="V65" s="110">
        <f>IF('VALOR POR PL'!$L$50=0,0,V64/'VALOR POR PL'!$L$50)</f>
        <v/>
      </c>
      <c r="W65" s="110">
        <f>IF('VALOR POR PL'!$L$50=0,0,W64/'VALOR POR PL'!$L$50)</f>
        <v/>
      </c>
      <c r="X65" s="110">
        <f>IF('VALOR POR PL'!$L$50=0,0,X64/'VALOR POR PL'!$L$50)</f>
        <v/>
      </c>
      <c r="Y65" s="110">
        <f>IF('VALOR POR PL'!$L$50=0,0,Y64/'VALOR POR PL'!$L$50)</f>
        <v/>
      </c>
      <c r="Z65" s="110">
        <f>IF('VALOR POR PL'!$L$50=0,0,Z64/'VALOR POR PL'!$L$50)</f>
        <v/>
      </c>
      <c r="AA65" s="110">
        <f>IF('VALOR POR PL'!$L$50=0,0,AA64/'VALOR POR PL'!$L$50)</f>
        <v/>
      </c>
      <c r="AB65" s="110">
        <f>IF('VALOR POR PL'!$L$50=0,0,AB64/'VALOR POR PL'!$L$50)</f>
        <v/>
      </c>
      <c r="AC65" s="110">
        <f>IF('VALOR POR PL'!$L$50=0,0,AC64/'VALOR POR PL'!$L$50)</f>
        <v/>
      </c>
      <c r="AD65" s="110">
        <f>IF('VALOR POR PL'!$L$50=0,0,AD64/'VALOR POR PL'!$L$50)</f>
        <v/>
      </c>
      <c r="AE65" s="110">
        <f>IF('VALOR POR PL'!$L$50=0,0,AE64/'VALOR POR PL'!$L$50)</f>
        <v/>
      </c>
      <c r="AF65" s="110">
        <f>IF('VALOR POR PL'!$L$50=0,0,AF64/'VALOR POR PL'!$L$50)</f>
        <v/>
      </c>
      <c r="AG65" s="110">
        <f>IF('VALOR POR PL'!$L$50=0,0,AG64/'VALOR POR PL'!$L$50)</f>
        <v/>
      </c>
      <c r="AH65" s="110">
        <f>IF('VALOR POR PL'!$L$50=0,0,AH64/'VALOR POR PL'!$L$50)</f>
        <v/>
      </c>
      <c r="AI65" s="110">
        <f>IF('VALOR POR PL'!$L$50=0,0,AI64/'VALOR POR PL'!$L$50)</f>
        <v/>
      </c>
      <c r="AJ65" s="110">
        <f>IF('VALOR POR PL'!$L$50=0,0,AJ64/'VALOR POR PL'!$L$50)</f>
        <v/>
      </c>
      <c r="AK65" s="110">
        <f>IF('VALOR POR PL'!$L$50=0,0,AK64/'VALOR POR PL'!$L$50)</f>
        <v/>
      </c>
      <c r="AL65" s="110">
        <f>IF('VALOR POR PL'!$L$50=0,0,AL64/'VALOR POR PL'!$L$50)</f>
        <v/>
      </c>
      <c r="AM65" s="110">
        <f>IF('VALOR POR PL'!$L$50=0,0,AM64/'VALOR POR PL'!$L$50)</f>
        <v/>
      </c>
      <c r="AN65" s="110">
        <f>IF('VALOR POR PL'!$L$50=0,0,AN64/'VALOR POR PL'!$L$50)</f>
        <v/>
      </c>
      <c r="AO65" s="110">
        <f>IF('VALOR POR PL'!$L$50=0,0,AO64/'VALOR POR PL'!$L$50)</f>
        <v/>
      </c>
      <c r="AP65" s="110">
        <f>IF('VALOR POR PL'!$L$50=0,0,AP64/'VALOR POR PL'!$L$50)</f>
        <v/>
      </c>
      <c r="AQ65" s="110">
        <f>IF('VALOR POR PL'!$L$50=0,0,AQ64/'VALOR POR PL'!$L$50)</f>
        <v/>
      </c>
      <c r="AR65" s="110">
        <f>IF('VALOR POR PL'!$L$50=0,0,AR64/'VALOR POR PL'!$L$50)</f>
        <v/>
      </c>
      <c r="AS65" s="110">
        <f>IF('VALOR POR PL'!$L$50=0,0,AS64/'VALOR POR PL'!$L$50)</f>
        <v/>
      </c>
      <c r="AT65" s="110">
        <f>IF('VALOR POR PL'!$L$50=0,0,AT64/'VALOR POR PL'!$L$50)</f>
        <v/>
      </c>
      <c r="AU65" s="110">
        <f>IF('VALOR POR PL'!$L$50=0,0,AU64/'VALOR POR PL'!$L$50)</f>
        <v/>
      </c>
      <c r="AV65" s="110">
        <f>IF('VALOR POR PL'!$L$50=0,0,AV64/'VALOR POR PL'!$L$50)</f>
        <v/>
      </c>
      <c r="AW65" s="110">
        <f>IF('VALOR POR PL'!$L$50=0,0,AW64/'VALOR POR PL'!$L$50)</f>
        <v/>
      </c>
      <c r="AX65" s="110">
        <f>IF('VALOR POR PL'!$L$50=0,0,AX64/'VALOR POR PL'!$L$50)</f>
        <v/>
      </c>
      <c r="AY65" s="110">
        <f>IF('VALOR POR PL'!$L$50=0,0,AY64/'VALOR POR PL'!$L$50)</f>
        <v/>
      </c>
      <c r="AZ65" s="110">
        <f>IF('VALOR POR PL'!$L$50=0,0,AZ64/'VALOR POR PL'!$L$50)</f>
        <v/>
      </c>
      <c r="BA65" s="110">
        <f>IF('VALOR POR PL'!$L$50=0,0,BA64/'VALOR POR PL'!$L$50)</f>
        <v/>
      </c>
      <c r="BB65" s="110">
        <f>IF('VALOR POR PL'!$L$50=0,0,BB64/'VALOR POR PL'!$L$50)</f>
        <v/>
      </c>
      <c r="BC65" s="110">
        <f>IF('VALOR POR PL'!$L$50=0,0,BC64/'VALOR POR PL'!$L$50)</f>
        <v/>
      </c>
      <c r="BD65" s="110">
        <f>IF('VALOR POR PL'!$L$50=0,0,BD64/'VALOR POR PL'!$L$50)</f>
        <v/>
      </c>
      <c r="BE65" s="110">
        <f>IF('VALOR POR PL'!$L$50=0,0,BE64/'VALOR POR PL'!$L$50)</f>
        <v/>
      </c>
      <c r="BF65" s="110">
        <f>IF('VALOR POR PL'!$L$50=0,0,BF64/'VALOR POR PL'!$L$50)</f>
        <v/>
      </c>
      <c r="BG65" s="110">
        <f>IF('VALOR POR PL'!$L$50=0,0,BG64/'VALOR POR PL'!$L$50)</f>
        <v/>
      </c>
      <c r="BH65" s="110">
        <f>IF('VALOR POR PL'!$L$50=0,0,BH64/'VALOR POR PL'!$L$50)</f>
        <v/>
      </c>
      <c r="BI65" s="110">
        <f>IF('VALOR POR PL'!$L$50=0,0,BI64/'VALOR POR PL'!$L$50)</f>
        <v/>
      </c>
      <c r="BJ65" s="110">
        <f>IF('VALOR POR PL'!$L$50=0,0,BJ64/'VALOR POR PL'!$L$50)</f>
        <v/>
      </c>
      <c r="BK65" s="110">
        <f>IF('VALOR POR PL'!$L$50=0,0,BK64/'VALOR POR PL'!$L$50)</f>
        <v/>
      </c>
      <c r="BL65" s="110">
        <f>IF('VALOR POR PL'!$L$50=0,0,BL64/'VALOR POR PL'!$L$50)</f>
        <v/>
      </c>
      <c r="BM65" s="110">
        <f>IF('VALOR POR PL'!$L$50=0,0,BM64/'VALOR POR PL'!$L$50)</f>
        <v/>
      </c>
      <c r="BN65" s="110">
        <f>IF('VALOR POR PL'!$L$50=0,0,BN64/'VALOR POR PL'!$L$50)</f>
        <v/>
      </c>
      <c r="BO65" s="110">
        <f>IF('VALOR POR PL'!$L$50=0,0,BO64/'VALOR POR PL'!$L$50)</f>
        <v/>
      </c>
      <c r="BP65" s="110">
        <f>IF('VALOR POR PL'!$L$50=0,0,BP64/'VALOR POR PL'!$L$50)</f>
        <v/>
      </c>
      <c r="BQ65" s="110">
        <f>IF('VALOR POR PL'!$L$50=0,0,BQ64/'VALOR POR PL'!$L$50)</f>
        <v/>
      </c>
      <c r="BR65" s="110">
        <f>IF('VALOR POR PL'!$L$50=0,0,BR64/'VALOR POR PL'!$L$50)</f>
        <v/>
      </c>
      <c r="BS65" s="110">
        <f>IF('VALOR POR PL'!$L$50=0,0,BS64/'VALOR POR PL'!$L$50)</f>
        <v/>
      </c>
      <c r="BT65" s="110">
        <f>IF('VALOR POR PL'!$L$50=0,0,BT64/'VALOR POR PL'!$L$50)</f>
        <v/>
      </c>
      <c r="BU65" s="110">
        <f>IF('VALOR POR PL'!$L$50=0,0,BU64/'VALOR POR PL'!$L$50)</f>
        <v/>
      </c>
      <c r="BV65" s="110">
        <f>IF('VALOR POR PL'!$L$50=0,0,BV64/'VALOR POR PL'!$L$50)</f>
        <v/>
      </c>
      <c r="BW65" s="110">
        <f>IF('VALOR POR PL'!$L$50=0,0,BW64/'VALOR POR PL'!$L$50)</f>
        <v/>
      </c>
      <c r="BX65" s="110">
        <f>IF('VALOR POR PL'!$L$50=0,0,BX64/'VALOR POR PL'!$L$50)</f>
        <v/>
      </c>
      <c r="BY65" s="110">
        <f>IF('VALOR POR PL'!$L$50=0,0,BY64/'VALOR POR PL'!$L$50)</f>
        <v/>
      </c>
      <c r="BZ65" s="110">
        <f>IF('VALOR POR PL'!$L$50=0,0,BZ64/'VALOR POR PL'!$L$50)</f>
        <v/>
      </c>
      <c r="CA65" s="110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1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6" t="inlineStr">
        <is>
          <t>Anotações (do arquivo original)</t>
        </is>
      </c>
    </row>
    <row r="4">
      <c r="A4" s="112">
        <f>'MODELO PARA BI'!H1</f>
        <v/>
      </c>
      <c r="B4" s="113" t="n"/>
      <c r="C4" s="110">
        <f>B4</f>
        <v/>
      </c>
      <c r="D4" s="60">
        <f>IF(A4&lt;='VALOR POR PL'!$P$5,'MODELO PARA BI'!H61,0)</f>
        <v/>
      </c>
      <c r="E4" s="60">
        <f>IF(A4&gt;'VALOR POR PL'!$P$5,'MODELO PARA BI'!H61,0)</f>
        <v/>
      </c>
      <c r="F4" s="110">
        <f>IF('MODELO PARA BI'!$E$61=0,0,(D4+E4)/'MODELO PARA BI'!$E$61)</f>
        <v/>
      </c>
      <c r="G4" s="110">
        <f>F4</f>
        <v/>
      </c>
      <c r="I4" s="49">
        <f>B4*'VALOR POR PL'!$G$50</f>
        <v/>
      </c>
      <c r="J4" s="54">
        <f>I4*IF(A4&lt;='VALOR POR PL'!$P$5,IFERROR(INDEX('"INCC-FGV"'!$B$2:$B$800,MATCH(A4,'"INCC-FGV"'!$A$2:$A$800,0)),'VALOR POR PL'!$P$7),'VALOR POR PL'!$P$7)</f>
        <v/>
      </c>
      <c r="K4" s="71">
        <f>'MODELO PARA BI'!H63</f>
        <v/>
      </c>
      <c r="L4" s="71">
        <f>'MODELO PARA BI'!H64</f>
        <v/>
      </c>
      <c r="M4" s="54">
        <f>J4</f>
        <v/>
      </c>
      <c r="O4" s="4" t="inlineStr">
        <is>
          <t>Anual
%</t>
        </is>
      </c>
    </row>
    <row r="5">
      <c r="A5" s="112">
        <f>'MODELO PARA BI'!I1</f>
        <v/>
      </c>
      <c r="B5" s="113" t="n"/>
      <c r="C5" s="110">
        <f>C4+B5</f>
        <v/>
      </c>
      <c r="D5" s="60">
        <f>IF(A5&lt;='VALOR POR PL'!$P$5,'MODELO PARA BI'!I61,0)</f>
        <v/>
      </c>
      <c r="E5" s="60">
        <f>IF(A5&gt;'VALOR POR PL'!$P$5,'MODELO PARA BI'!I61,0)</f>
        <v/>
      </c>
      <c r="F5" s="110">
        <f>IF('MODELO PARA BI'!$E$61=0,0,(D5+E5)/'MODELO PARA BI'!$E$61)</f>
        <v/>
      </c>
      <c r="G5" s="110">
        <f>G4+F5</f>
        <v/>
      </c>
      <c r="I5" s="49">
        <f>B5*'VALOR POR PL'!$G$50</f>
        <v/>
      </c>
      <c r="J5" s="54">
        <f>I5*IF(A5&lt;='VALOR POR PL'!$P$5,IFERROR(INDEX('"INCC-FGV"'!$B$2:$B$800,MATCH(A5,'"INCC-FGV"'!$A$2:$A$800,0)),'VALOR POR PL'!$P$7),'VALOR POR PL'!$P$7)</f>
        <v/>
      </c>
      <c r="K5" s="71">
        <f>'MODELO PARA BI'!I63</f>
        <v/>
      </c>
      <c r="L5" s="71">
        <f>'MODELO PARA BI'!I64</f>
        <v/>
      </c>
      <c r="M5" s="54">
        <f>M4+J5</f>
        <v/>
      </c>
      <c r="O5" s="4" t="n">
        <v>0.05920832319294678</v>
      </c>
    </row>
    <row r="6">
      <c r="A6" s="112">
        <f>'MODELO PARA BI'!J1</f>
        <v/>
      </c>
      <c r="B6" s="113" t="n"/>
      <c r="C6" s="110">
        <f>C5+B6</f>
        <v/>
      </c>
      <c r="D6" s="60">
        <f>IF(A6&lt;='VALOR POR PL'!$P$5,'MODELO PARA BI'!J61,0)</f>
        <v/>
      </c>
      <c r="E6" s="60">
        <f>IF(A6&gt;'VALOR POR PL'!$P$5,'MODELO PARA BI'!J61,0)</f>
        <v/>
      </c>
      <c r="F6" s="110">
        <f>IF('MODELO PARA BI'!$E$61=0,0,(D6+E6)/'MODELO PARA BI'!$E$61)</f>
        <v/>
      </c>
      <c r="G6" s="110">
        <f>G5+F6</f>
        <v/>
      </c>
      <c r="I6" s="49">
        <f>B6*'VALOR POR PL'!$G$50</f>
        <v/>
      </c>
      <c r="J6" s="54">
        <f>I6*IF(A6&lt;='VALOR POR PL'!$P$5,IFERROR(INDEX('"INCC-FGV"'!$B$2:$B$800,MATCH(A6,'"INCC-FGV"'!$A$2:$A$800,0)),'VALOR POR PL'!$P$7),'VALOR POR PL'!$P$7)</f>
        <v/>
      </c>
      <c r="K6" s="71">
        <f>'MODELO PARA BI'!J63</f>
        <v/>
      </c>
      <c r="L6" s="71">
        <f>'MODELO PARA BI'!J64</f>
        <v/>
      </c>
      <c r="M6" s="54">
        <f>M5+J6</f>
        <v/>
      </c>
      <c r="O6" s="4" t="n">
        <v>0.08222673836190261</v>
      </c>
    </row>
    <row r="7">
      <c r="A7" s="112">
        <f>'MODELO PARA BI'!K1</f>
        <v/>
      </c>
      <c r="B7" s="113" t="n"/>
      <c r="C7" s="110">
        <f>C6+B7</f>
        <v/>
      </c>
      <c r="D7" s="60">
        <f>IF(A7&lt;='VALOR POR PL'!$P$5,'MODELO PARA BI'!K61,0)</f>
        <v/>
      </c>
      <c r="E7" s="60">
        <f>IF(A7&gt;'VALOR POR PL'!$P$5,'MODELO PARA BI'!K61,0)</f>
        <v/>
      </c>
      <c r="F7" s="110">
        <f>IF('MODELO PARA BI'!$E$61=0,0,(D7+E7)/'MODELO PARA BI'!$E$61)</f>
        <v/>
      </c>
      <c r="G7" s="110">
        <f>G6+F7</f>
        <v/>
      </c>
      <c r="I7" s="49">
        <f>B7*'VALOR POR PL'!$G$50</f>
        <v/>
      </c>
      <c r="J7" s="54">
        <f>I7*IF(A7&lt;='VALOR POR PL'!$P$5,IFERROR(INDEX('"INCC-FGV"'!$B$2:$B$800,MATCH(A7,'"INCC-FGV"'!$A$2:$A$800,0)),'VALOR POR PL'!$P$7),'VALOR POR PL'!$P$7)</f>
        <v/>
      </c>
      <c r="K7" s="71">
        <f>'MODELO PARA BI'!K63</f>
        <v/>
      </c>
      <c r="L7" s="71">
        <f>'MODELO PARA BI'!K64</f>
        <v/>
      </c>
      <c r="M7" s="54">
        <f>M6+J7</f>
        <v/>
      </c>
      <c r="O7" s="4" t="n">
        <v>0.197756749338267</v>
      </c>
    </row>
    <row r="8">
      <c r="A8" s="112">
        <f>'MODELO PARA BI'!L1</f>
        <v/>
      </c>
      <c r="B8" s="113" t="n"/>
      <c r="C8" s="110">
        <f>C7+B8</f>
        <v/>
      </c>
      <c r="D8" s="60">
        <f>IF(A8&lt;='VALOR POR PL'!$P$5,'MODELO PARA BI'!L61,0)</f>
        <v/>
      </c>
      <c r="E8" s="60">
        <f>IF(A8&gt;'VALOR POR PL'!$P$5,'MODELO PARA BI'!L61,0)</f>
        <v/>
      </c>
      <c r="F8" s="110">
        <f>IF('MODELO PARA BI'!$E$61=0,0,(D8+E8)/'MODELO PARA BI'!$E$61)</f>
        <v/>
      </c>
      <c r="G8" s="110">
        <f>G7+F8</f>
        <v/>
      </c>
      <c r="I8" s="49">
        <f>B8*'VALOR POR PL'!$G$50</f>
        <v/>
      </c>
      <c r="J8" s="54">
        <f>I8*IF(A8&lt;='VALOR POR PL'!$P$5,IFERROR(INDEX('"INCC-FGV"'!$B$2:$B$800,MATCH(A8,'"INCC-FGV"'!$A$2:$A$800,0)),'VALOR POR PL'!$P$7),'VALOR POR PL'!$P$7)</f>
        <v/>
      </c>
      <c r="K8" s="71">
        <f>'MODELO PARA BI'!L63</f>
        <v/>
      </c>
      <c r="L8" s="71">
        <f>'MODELO PARA BI'!L64</f>
        <v/>
      </c>
      <c r="M8" s="54">
        <f>M7+J8</f>
        <v/>
      </c>
      <c r="O8" s="4" t="n">
        <v>0.1607152630510936</v>
      </c>
    </row>
    <row r="9">
      <c r="A9" s="112">
        <f>'MODELO PARA BI'!M1</f>
        <v/>
      </c>
      <c r="B9" s="113" t="n"/>
      <c r="C9" s="110">
        <f>C8+B9</f>
        <v/>
      </c>
      <c r="D9" s="60">
        <f>IF(A9&lt;='VALOR POR PL'!$P$5,'MODELO PARA BI'!M61,0)</f>
        <v/>
      </c>
      <c r="E9" s="60">
        <f>IF(A9&gt;'VALOR POR PL'!$P$5,'MODELO PARA BI'!M61,0)</f>
        <v/>
      </c>
      <c r="F9" s="110">
        <f>IF('MODELO PARA BI'!$E$61=0,0,(D9+E9)/'MODELO PARA BI'!$E$61)</f>
        <v/>
      </c>
      <c r="G9" s="110">
        <f>G8+F9</f>
        <v/>
      </c>
      <c r="I9" s="49">
        <f>B9*'VALOR POR PL'!$G$50</f>
        <v/>
      </c>
      <c r="J9" s="54">
        <f>I9*IF(A9&lt;='VALOR POR PL'!$P$5,IFERROR(INDEX('"INCC-FGV"'!$B$2:$B$800,MATCH(A9,'"INCC-FGV"'!$A$2:$A$800,0)),'VALOR POR PL'!$P$7),'VALOR POR PL'!$P$7)</f>
        <v/>
      </c>
      <c r="K9" s="71">
        <f>'MODELO PARA BI'!M63</f>
        <v/>
      </c>
      <c r="L9" s="71">
        <f>'MODELO PARA BI'!M64</f>
        <v/>
      </c>
      <c r="M9" s="54">
        <f>M8+J9</f>
        <v/>
      </c>
      <c r="O9" s="4" t="n">
        <v>0.5000929260557899</v>
      </c>
    </row>
    <row r="10">
      <c r="A10" s="112">
        <f>'MODELO PARA BI'!N1</f>
        <v/>
      </c>
      <c r="B10" s="113" t="n"/>
      <c r="C10" s="110">
        <f>C9+B10</f>
        <v/>
      </c>
      <c r="D10" s="60">
        <f>IF(A10&lt;='VALOR POR PL'!$P$5,'MODELO PARA BI'!N61,0)</f>
        <v/>
      </c>
      <c r="E10" s="60">
        <f>IF(A10&gt;'VALOR POR PL'!$P$5,'MODELO PARA BI'!N61,0)</f>
        <v/>
      </c>
      <c r="F10" s="110">
        <f>IF('MODELO PARA BI'!$E$61=0,0,(D10+E10)/'MODELO PARA BI'!$E$61)</f>
        <v/>
      </c>
      <c r="G10" s="110">
        <f>G9+F10</f>
        <v/>
      </c>
      <c r="I10" s="49">
        <f>B10*'VALOR POR PL'!$G$50</f>
        <v/>
      </c>
      <c r="J10" s="54">
        <f>I10*IF(A10&lt;='VALOR POR PL'!$P$5,IFERROR(INDEX('"INCC-FGV"'!$B$2:$B$800,MATCH(A10,'"INCC-FGV"'!$A$2:$A$800,0)),'VALOR POR PL'!$P$7),'VALOR POR PL'!$P$7)</f>
        <v/>
      </c>
      <c r="K10" s="71">
        <f>'MODELO PARA BI'!N63</f>
        <v/>
      </c>
      <c r="L10" s="71">
        <f>'MODELO PARA BI'!N64</f>
        <v/>
      </c>
      <c r="M10" s="54">
        <f>M9+J10</f>
        <v/>
      </c>
    </row>
    <row r="11">
      <c r="A11" s="112">
        <f>'MODELO PARA BI'!O1</f>
        <v/>
      </c>
      <c r="B11" s="113" t="n"/>
      <c r="C11" s="110">
        <f>C10+B11</f>
        <v/>
      </c>
      <c r="D11" s="60">
        <f>IF(A11&lt;='VALOR POR PL'!$P$5,'MODELO PARA BI'!O61,0)</f>
        <v/>
      </c>
      <c r="E11" s="60">
        <f>IF(A11&gt;'VALOR POR PL'!$P$5,'MODELO PARA BI'!O61,0)</f>
        <v/>
      </c>
      <c r="F11" s="110">
        <f>IF('MODELO PARA BI'!$E$61=0,0,(D11+E11)/'MODELO PARA BI'!$E$61)</f>
        <v/>
      </c>
      <c r="G11" s="110">
        <f>G10+F11</f>
        <v/>
      </c>
      <c r="I11" s="49">
        <f>B11*'VALOR POR PL'!$G$50</f>
        <v/>
      </c>
      <c r="J11" s="54">
        <f>I11*IF(A11&lt;='VALOR POR PL'!$P$5,IFERROR(INDEX('"INCC-FGV"'!$B$2:$B$800,MATCH(A11,'"INCC-FGV"'!$A$2:$A$800,0)),'VALOR POR PL'!$P$7),'VALOR POR PL'!$P$7)</f>
        <v/>
      </c>
      <c r="K11" s="71">
        <f>'MODELO PARA BI'!O63</f>
        <v/>
      </c>
      <c r="L11" s="71">
        <f>'MODELO PARA BI'!O64</f>
        <v/>
      </c>
      <c r="M11" s="54">
        <f>M10+J11</f>
        <v/>
      </c>
    </row>
    <row r="12">
      <c r="A12" s="112">
        <f>'MODELO PARA BI'!P1</f>
        <v/>
      </c>
      <c r="B12" s="113" t="n"/>
      <c r="C12" s="110">
        <f>C11+B12</f>
        <v/>
      </c>
      <c r="D12" s="60">
        <f>IF(A12&lt;='VALOR POR PL'!$P$5,'MODELO PARA BI'!P61,0)</f>
        <v/>
      </c>
      <c r="E12" s="60">
        <f>IF(A12&gt;'VALOR POR PL'!$P$5,'MODELO PARA BI'!P61,0)</f>
        <v/>
      </c>
      <c r="F12" s="110">
        <f>IF('MODELO PARA BI'!$E$61=0,0,(D12+E12)/'MODELO PARA BI'!$E$61)</f>
        <v/>
      </c>
      <c r="G12" s="110">
        <f>G11+F12</f>
        <v/>
      </c>
      <c r="I12" s="49">
        <f>B12*'VALOR POR PL'!$G$50</f>
        <v/>
      </c>
      <c r="J12" s="54">
        <f>I12*IF(A12&lt;='VALOR POR PL'!$P$5,IFERROR(INDEX('"INCC-FGV"'!$B$2:$B$800,MATCH(A12,'"INCC-FGV"'!$A$2:$A$800,0)),'VALOR POR PL'!$P$7),'VALOR POR PL'!$P$7)</f>
        <v/>
      </c>
      <c r="K12" s="71">
        <f>'MODELO PARA BI'!P63</f>
        <v/>
      </c>
      <c r="L12" s="71">
        <f>'MODELO PARA BI'!P64</f>
        <v/>
      </c>
      <c r="M12" s="54">
        <f>M11+J12</f>
        <v/>
      </c>
    </row>
    <row r="13">
      <c r="A13" s="112">
        <f>'MODELO PARA BI'!Q1</f>
        <v/>
      </c>
      <c r="B13" s="113" t="n"/>
      <c r="C13" s="110">
        <f>C12+B13</f>
        <v/>
      </c>
      <c r="D13" s="60">
        <f>IF(A13&lt;='VALOR POR PL'!$P$5,'MODELO PARA BI'!Q61,0)</f>
        <v/>
      </c>
      <c r="E13" s="60">
        <f>IF(A13&gt;'VALOR POR PL'!$P$5,'MODELO PARA BI'!Q61,0)</f>
        <v/>
      </c>
      <c r="F13" s="110">
        <f>IF('MODELO PARA BI'!$E$61=0,0,(D13+E13)/'MODELO PARA BI'!$E$61)</f>
        <v/>
      </c>
      <c r="G13" s="110">
        <f>G12+F13</f>
        <v/>
      </c>
      <c r="I13" s="49">
        <f>B13*'VALOR POR PL'!$G$50</f>
        <v/>
      </c>
      <c r="J13" s="54">
        <f>I13*IF(A13&lt;='VALOR POR PL'!$P$5,IFERROR(INDEX('"INCC-FGV"'!$B$2:$B$800,MATCH(A13,'"INCC-FGV"'!$A$2:$A$800,0)),'VALOR POR PL'!$P$7),'VALOR POR PL'!$P$7)</f>
        <v/>
      </c>
      <c r="K13" s="71">
        <f>'MODELO PARA BI'!Q63</f>
        <v/>
      </c>
      <c r="L13" s="71">
        <f>'MODELO PARA BI'!Q64</f>
        <v/>
      </c>
      <c r="M13" s="54">
        <f>M12+J13</f>
        <v/>
      </c>
    </row>
    <row r="14">
      <c r="A14" s="112">
        <f>'MODELO PARA BI'!R1</f>
        <v/>
      </c>
      <c r="B14" s="113" t="n"/>
      <c r="C14" s="110">
        <f>C13+B14</f>
        <v/>
      </c>
      <c r="D14" s="60">
        <f>IF(A14&lt;='VALOR POR PL'!$P$5,'MODELO PARA BI'!R61,0)</f>
        <v/>
      </c>
      <c r="E14" s="60">
        <f>IF(A14&gt;'VALOR POR PL'!$P$5,'MODELO PARA BI'!R61,0)</f>
        <v/>
      </c>
      <c r="F14" s="110">
        <f>IF('MODELO PARA BI'!$E$61=0,0,(D14+E14)/'MODELO PARA BI'!$E$61)</f>
        <v/>
      </c>
      <c r="G14" s="110">
        <f>G13+F14</f>
        <v/>
      </c>
      <c r="I14" s="49">
        <f>B14*'VALOR POR PL'!$G$50</f>
        <v/>
      </c>
      <c r="J14" s="54">
        <f>I14*IF(A14&lt;='VALOR POR PL'!$P$5,IFERROR(INDEX('"INCC-FGV"'!$B$2:$B$800,MATCH(A14,'"INCC-FGV"'!$A$2:$A$800,0)),'VALOR POR PL'!$P$7),'VALOR POR PL'!$P$7)</f>
        <v/>
      </c>
      <c r="K14" s="71">
        <f>'MODELO PARA BI'!R63</f>
        <v/>
      </c>
      <c r="L14" s="71">
        <f>'MODELO PARA BI'!R64</f>
        <v/>
      </c>
      <c r="M14" s="54">
        <f>M13+J14</f>
        <v/>
      </c>
    </row>
    <row r="15">
      <c r="A15" s="112">
        <f>'MODELO PARA BI'!S1</f>
        <v/>
      </c>
      <c r="B15" s="113" t="n"/>
      <c r="C15" s="110">
        <f>C14+B15</f>
        <v/>
      </c>
      <c r="D15" s="60">
        <f>IF(A15&lt;='VALOR POR PL'!$P$5,'MODELO PARA BI'!S61,0)</f>
        <v/>
      </c>
      <c r="E15" s="60">
        <f>IF(A15&gt;'VALOR POR PL'!$P$5,'MODELO PARA BI'!S61,0)</f>
        <v/>
      </c>
      <c r="F15" s="110">
        <f>IF('MODELO PARA BI'!$E$61=0,0,(D15+E15)/'MODELO PARA BI'!$E$61)</f>
        <v/>
      </c>
      <c r="G15" s="110">
        <f>G14+F15</f>
        <v/>
      </c>
      <c r="I15" s="49">
        <f>B15*'VALOR POR PL'!$G$50</f>
        <v/>
      </c>
      <c r="J15" s="54">
        <f>I15*IF(A15&lt;='VALOR POR PL'!$P$5,IFERROR(INDEX('"INCC-FGV"'!$B$2:$B$800,MATCH(A15,'"INCC-FGV"'!$A$2:$A$800,0)),'VALOR POR PL'!$P$7),'VALOR POR PL'!$P$7)</f>
        <v/>
      </c>
      <c r="K15" s="71">
        <f>'MODELO PARA BI'!S63</f>
        <v/>
      </c>
      <c r="L15" s="71">
        <f>'MODELO PARA BI'!S64</f>
        <v/>
      </c>
      <c r="M15" s="54">
        <f>M14+J15</f>
        <v/>
      </c>
    </row>
    <row r="16">
      <c r="A16" s="112">
        <f>'MODELO PARA BI'!T1</f>
        <v/>
      </c>
      <c r="B16" s="113" t="n"/>
      <c r="C16" s="110">
        <f>C15+B16</f>
        <v/>
      </c>
      <c r="D16" s="60">
        <f>IF(A16&lt;='VALOR POR PL'!$P$5,'MODELO PARA BI'!T61,0)</f>
        <v/>
      </c>
      <c r="E16" s="60">
        <f>IF(A16&gt;'VALOR POR PL'!$P$5,'MODELO PARA BI'!T61,0)</f>
        <v/>
      </c>
      <c r="F16" s="110">
        <f>IF('MODELO PARA BI'!$E$61=0,0,(D16+E16)/'MODELO PARA BI'!$E$61)</f>
        <v/>
      </c>
      <c r="G16" s="110">
        <f>G15+F16</f>
        <v/>
      </c>
      <c r="I16" s="49">
        <f>B16*'VALOR POR PL'!$G$50</f>
        <v/>
      </c>
      <c r="J16" s="54">
        <f>I16*IF(A16&lt;='VALOR POR PL'!$P$5,IFERROR(INDEX('"INCC-FGV"'!$B$2:$B$800,MATCH(A16,'"INCC-FGV"'!$A$2:$A$800,0)),'VALOR POR PL'!$P$7),'VALOR POR PL'!$P$7)</f>
        <v/>
      </c>
      <c r="K16" s="71">
        <f>'MODELO PARA BI'!T63</f>
        <v/>
      </c>
      <c r="L16" s="71">
        <f>'MODELO PARA BI'!T64</f>
        <v/>
      </c>
      <c r="M16" s="54">
        <f>M15+J16</f>
        <v/>
      </c>
    </row>
    <row r="17">
      <c r="A17" s="112">
        <f>'MODELO PARA BI'!U1</f>
        <v/>
      </c>
      <c r="B17" s="113" t="n"/>
      <c r="C17" s="110">
        <f>C16+B17</f>
        <v/>
      </c>
      <c r="D17" s="60">
        <f>IF(A17&lt;='VALOR POR PL'!$P$5,'MODELO PARA BI'!U61,0)</f>
        <v/>
      </c>
      <c r="E17" s="60">
        <f>IF(A17&gt;'VALOR POR PL'!$P$5,'MODELO PARA BI'!U61,0)</f>
        <v/>
      </c>
      <c r="F17" s="110">
        <f>IF('MODELO PARA BI'!$E$61=0,0,(D17+E17)/'MODELO PARA BI'!$E$61)</f>
        <v/>
      </c>
      <c r="G17" s="110">
        <f>G16+F17</f>
        <v/>
      </c>
      <c r="I17" s="49">
        <f>B17*'VALOR POR PL'!$G$50</f>
        <v/>
      </c>
      <c r="J17" s="54">
        <f>I17*IF(A17&lt;='VALOR POR PL'!$P$5,IFERROR(INDEX('"INCC-FGV"'!$B$2:$B$800,MATCH(A17,'"INCC-FGV"'!$A$2:$A$800,0)),'VALOR POR PL'!$P$7),'VALOR POR PL'!$P$7)</f>
        <v/>
      </c>
      <c r="K17" s="71">
        <f>'MODELO PARA BI'!U63</f>
        <v/>
      </c>
      <c r="L17" s="71">
        <f>'MODELO PARA BI'!U64</f>
        <v/>
      </c>
      <c r="M17" s="54">
        <f>M16+J17</f>
        <v/>
      </c>
    </row>
    <row r="18">
      <c r="A18" s="112">
        <f>'MODELO PARA BI'!V1</f>
        <v/>
      </c>
      <c r="B18" s="113" t="n"/>
      <c r="C18" s="110">
        <f>C17+B18</f>
        <v/>
      </c>
      <c r="D18" s="60">
        <f>IF(A18&lt;='VALOR POR PL'!$P$5,'MODELO PARA BI'!V61,0)</f>
        <v/>
      </c>
      <c r="E18" s="60">
        <f>IF(A18&gt;'VALOR POR PL'!$P$5,'MODELO PARA BI'!V61,0)</f>
        <v/>
      </c>
      <c r="F18" s="110">
        <f>IF('MODELO PARA BI'!$E$61=0,0,(D18+E18)/'MODELO PARA BI'!$E$61)</f>
        <v/>
      </c>
      <c r="G18" s="110">
        <f>G17+F18</f>
        <v/>
      </c>
      <c r="I18" s="49">
        <f>B18*'VALOR POR PL'!$G$50</f>
        <v/>
      </c>
      <c r="J18" s="54">
        <f>I18*IF(A18&lt;='VALOR POR PL'!$P$5,IFERROR(INDEX('"INCC-FGV"'!$B$2:$B$800,MATCH(A18,'"INCC-FGV"'!$A$2:$A$800,0)),'VALOR POR PL'!$P$7),'VALOR POR PL'!$P$7)</f>
        <v/>
      </c>
      <c r="K18" s="71">
        <f>'MODELO PARA BI'!V63</f>
        <v/>
      </c>
      <c r="L18" s="71">
        <f>'MODELO PARA BI'!V64</f>
        <v/>
      </c>
      <c r="M18" s="54">
        <f>M17+J18</f>
        <v/>
      </c>
    </row>
    <row r="19">
      <c r="A19" s="112">
        <f>'MODELO PARA BI'!W1</f>
        <v/>
      </c>
      <c r="B19" s="113" t="n"/>
      <c r="C19" s="110">
        <f>C18+B19</f>
        <v/>
      </c>
      <c r="D19" s="60">
        <f>IF(A19&lt;='VALOR POR PL'!$P$5,'MODELO PARA BI'!W61,0)</f>
        <v/>
      </c>
      <c r="E19" s="60">
        <f>IF(A19&gt;'VALOR POR PL'!$P$5,'MODELO PARA BI'!W61,0)</f>
        <v/>
      </c>
      <c r="F19" s="110">
        <f>IF('MODELO PARA BI'!$E$61=0,0,(D19+E19)/'MODELO PARA BI'!$E$61)</f>
        <v/>
      </c>
      <c r="G19" s="110">
        <f>G18+F19</f>
        <v/>
      </c>
      <c r="I19" s="49">
        <f>B19*'VALOR POR PL'!$G$50</f>
        <v/>
      </c>
      <c r="J19" s="54">
        <f>I19*IF(A19&lt;='VALOR POR PL'!$P$5,IFERROR(INDEX('"INCC-FGV"'!$B$2:$B$800,MATCH(A19,'"INCC-FGV"'!$A$2:$A$800,0)),'VALOR POR PL'!$P$7),'VALOR POR PL'!$P$7)</f>
        <v/>
      </c>
      <c r="K19" s="71">
        <f>'MODELO PARA BI'!W63</f>
        <v/>
      </c>
      <c r="L19" s="71">
        <f>'MODELO PARA BI'!W64</f>
        <v/>
      </c>
      <c r="M19" s="54">
        <f>M18+J19</f>
        <v/>
      </c>
    </row>
    <row r="20">
      <c r="A20" s="112">
        <f>'MODELO PARA BI'!X1</f>
        <v/>
      </c>
      <c r="B20" s="113" t="n"/>
      <c r="C20" s="110">
        <f>C19+B20</f>
        <v/>
      </c>
      <c r="D20" s="60">
        <f>IF(A20&lt;='VALOR POR PL'!$P$5,'MODELO PARA BI'!X61,0)</f>
        <v/>
      </c>
      <c r="E20" s="60">
        <f>IF(A20&gt;'VALOR POR PL'!$P$5,'MODELO PARA BI'!X61,0)</f>
        <v/>
      </c>
      <c r="F20" s="110">
        <f>IF('MODELO PARA BI'!$E$61=0,0,(D20+E20)/'MODELO PARA BI'!$E$61)</f>
        <v/>
      </c>
      <c r="G20" s="110">
        <f>G19+F20</f>
        <v/>
      </c>
      <c r="I20" s="49">
        <f>B20*'VALOR POR PL'!$G$50</f>
        <v/>
      </c>
      <c r="J20" s="54">
        <f>I20*IF(A20&lt;='VALOR POR PL'!$P$5,IFERROR(INDEX('"INCC-FGV"'!$B$2:$B$800,MATCH(A20,'"INCC-FGV"'!$A$2:$A$800,0)),'VALOR POR PL'!$P$7),'VALOR POR PL'!$P$7)</f>
        <v/>
      </c>
      <c r="K20" s="71">
        <f>'MODELO PARA BI'!X63</f>
        <v/>
      </c>
      <c r="L20" s="71">
        <f>'MODELO PARA BI'!X64</f>
        <v/>
      </c>
      <c r="M20" s="54">
        <f>M19+J20</f>
        <v/>
      </c>
    </row>
    <row r="21">
      <c r="A21" s="112">
        <f>'MODELO PARA BI'!Y1</f>
        <v/>
      </c>
      <c r="B21" s="113" t="n"/>
      <c r="C21" s="110">
        <f>C20+B21</f>
        <v/>
      </c>
      <c r="D21" s="60">
        <f>IF(A21&lt;='VALOR POR PL'!$P$5,'MODELO PARA BI'!Y61,0)</f>
        <v/>
      </c>
      <c r="E21" s="60">
        <f>IF(A21&gt;'VALOR POR PL'!$P$5,'MODELO PARA BI'!Y61,0)</f>
        <v/>
      </c>
      <c r="F21" s="110">
        <f>IF('MODELO PARA BI'!$E$61=0,0,(D21+E21)/'MODELO PARA BI'!$E$61)</f>
        <v/>
      </c>
      <c r="G21" s="110">
        <f>G20+F21</f>
        <v/>
      </c>
      <c r="I21" s="49">
        <f>B21*'VALOR POR PL'!$G$50</f>
        <v/>
      </c>
      <c r="J21" s="54">
        <f>I21*IF(A21&lt;='VALOR POR PL'!$P$5,IFERROR(INDEX('"INCC-FGV"'!$B$2:$B$800,MATCH(A21,'"INCC-FGV"'!$A$2:$A$800,0)),'VALOR POR PL'!$P$7),'VALOR POR PL'!$P$7)</f>
        <v/>
      </c>
      <c r="K21" s="71">
        <f>'MODELO PARA BI'!Y63</f>
        <v/>
      </c>
      <c r="L21" s="71">
        <f>'MODELO PARA BI'!Y64</f>
        <v/>
      </c>
      <c r="M21" s="54">
        <f>M20+J21</f>
        <v/>
      </c>
    </row>
    <row r="22">
      <c r="A22" s="112">
        <f>'MODELO PARA BI'!Z1</f>
        <v/>
      </c>
      <c r="B22" s="113" t="n"/>
      <c r="C22" s="110">
        <f>C21+B22</f>
        <v/>
      </c>
      <c r="D22" s="60">
        <f>IF(A22&lt;='VALOR POR PL'!$P$5,'MODELO PARA BI'!Z61,0)</f>
        <v/>
      </c>
      <c r="E22" s="60">
        <f>IF(A22&gt;'VALOR POR PL'!$P$5,'MODELO PARA BI'!Z61,0)</f>
        <v/>
      </c>
      <c r="F22" s="110">
        <f>IF('MODELO PARA BI'!$E$61=0,0,(D22+E22)/'MODELO PARA BI'!$E$61)</f>
        <v/>
      </c>
      <c r="G22" s="110">
        <f>G21+F22</f>
        <v/>
      </c>
      <c r="I22" s="49">
        <f>B22*'VALOR POR PL'!$G$50</f>
        <v/>
      </c>
      <c r="J22" s="54">
        <f>I22*IF(A22&lt;='VALOR POR PL'!$P$5,IFERROR(INDEX('"INCC-FGV"'!$B$2:$B$800,MATCH(A22,'"INCC-FGV"'!$A$2:$A$800,0)),'VALOR POR PL'!$P$7),'VALOR POR PL'!$P$7)</f>
        <v/>
      </c>
      <c r="K22" s="71">
        <f>'MODELO PARA BI'!Z63</f>
        <v/>
      </c>
      <c r="L22" s="71">
        <f>'MODELO PARA BI'!Z64</f>
        <v/>
      </c>
      <c r="M22" s="54">
        <f>M21+J22</f>
        <v/>
      </c>
    </row>
    <row r="23">
      <c r="A23" s="112">
        <f>'MODELO PARA BI'!AA1</f>
        <v/>
      </c>
      <c r="B23" s="113" t="n"/>
      <c r="C23" s="110">
        <f>C22+B23</f>
        <v/>
      </c>
      <c r="D23" s="60">
        <f>IF(A23&lt;='VALOR POR PL'!$P$5,'MODELO PARA BI'!AA61,0)</f>
        <v/>
      </c>
      <c r="E23" s="60">
        <f>IF(A23&gt;'VALOR POR PL'!$P$5,'MODELO PARA BI'!AA61,0)</f>
        <v/>
      </c>
      <c r="F23" s="110">
        <f>IF('MODELO PARA BI'!$E$61=0,0,(D23+E23)/'MODELO PARA BI'!$E$61)</f>
        <v/>
      </c>
      <c r="G23" s="110">
        <f>G22+F23</f>
        <v/>
      </c>
      <c r="I23" s="49">
        <f>B23*'VALOR POR PL'!$G$50</f>
        <v/>
      </c>
      <c r="J23" s="54">
        <f>I23*IF(A23&lt;='VALOR POR PL'!$P$5,IFERROR(INDEX('"INCC-FGV"'!$B$2:$B$800,MATCH(A23,'"INCC-FGV"'!$A$2:$A$800,0)),'VALOR POR PL'!$P$7),'VALOR POR PL'!$P$7)</f>
        <v/>
      </c>
      <c r="K23" s="71">
        <f>'MODELO PARA BI'!AA63</f>
        <v/>
      </c>
      <c r="L23" s="71">
        <f>'MODELO PARA BI'!AA64</f>
        <v/>
      </c>
      <c r="M23" s="54">
        <f>M22+J23</f>
        <v/>
      </c>
    </row>
    <row r="24">
      <c r="A24" s="112">
        <f>'MODELO PARA BI'!AB1</f>
        <v/>
      </c>
      <c r="B24" s="113" t="n"/>
      <c r="C24" s="110">
        <f>C23+B24</f>
        <v/>
      </c>
      <c r="D24" s="60">
        <f>IF(A24&lt;='VALOR POR PL'!$P$5,'MODELO PARA BI'!AB61,0)</f>
        <v/>
      </c>
      <c r="E24" s="60">
        <f>IF(A24&gt;'VALOR POR PL'!$P$5,'MODELO PARA BI'!AB61,0)</f>
        <v/>
      </c>
      <c r="F24" s="110">
        <f>IF('MODELO PARA BI'!$E$61=0,0,(D24+E24)/'MODELO PARA BI'!$E$61)</f>
        <v/>
      </c>
      <c r="G24" s="110">
        <f>G23+F24</f>
        <v/>
      </c>
      <c r="I24" s="49">
        <f>B24*'VALOR POR PL'!$G$50</f>
        <v/>
      </c>
      <c r="J24" s="54">
        <f>I24*IF(A24&lt;='VALOR POR PL'!$P$5,IFERROR(INDEX('"INCC-FGV"'!$B$2:$B$800,MATCH(A24,'"INCC-FGV"'!$A$2:$A$800,0)),'VALOR POR PL'!$P$7),'VALOR POR PL'!$P$7)</f>
        <v/>
      </c>
      <c r="K24" s="71">
        <f>'MODELO PARA BI'!AB63</f>
        <v/>
      </c>
      <c r="L24" s="71">
        <f>'MODELO PARA BI'!AB64</f>
        <v/>
      </c>
      <c r="M24" s="54">
        <f>M23+J24</f>
        <v/>
      </c>
    </row>
    <row r="25">
      <c r="A25" s="112">
        <f>'MODELO PARA BI'!AC1</f>
        <v/>
      </c>
      <c r="B25" s="113" t="n"/>
      <c r="C25" s="110">
        <f>C24+B25</f>
        <v/>
      </c>
      <c r="D25" s="60">
        <f>IF(A25&lt;='VALOR POR PL'!$P$5,'MODELO PARA BI'!AC61,0)</f>
        <v/>
      </c>
      <c r="E25" s="60">
        <f>IF(A25&gt;'VALOR POR PL'!$P$5,'MODELO PARA BI'!AC61,0)</f>
        <v/>
      </c>
      <c r="F25" s="110">
        <f>IF('MODELO PARA BI'!$E$61=0,0,(D25+E25)/'MODELO PARA BI'!$E$61)</f>
        <v/>
      </c>
      <c r="G25" s="110">
        <f>G24+F25</f>
        <v/>
      </c>
      <c r="I25" s="49">
        <f>B25*'VALOR POR PL'!$G$50</f>
        <v/>
      </c>
      <c r="J25" s="54">
        <f>I25*IF(A25&lt;='VALOR POR PL'!$P$5,IFERROR(INDEX('"INCC-FGV"'!$B$2:$B$800,MATCH(A25,'"INCC-FGV"'!$A$2:$A$800,0)),'VALOR POR PL'!$P$7),'VALOR POR PL'!$P$7)</f>
        <v/>
      </c>
      <c r="K25" s="71">
        <f>'MODELO PARA BI'!AC63</f>
        <v/>
      </c>
      <c r="L25" s="71">
        <f>'MODELO PARA BI'!AC64</f>
        <v/>
      </c>
      <c r="M25" s="54">
        <f>M24+J25</f>
        <v/>
      </c>
    </row>
    <row r="26">
      <c r="A26" s="112">
        <f>'MODELO PARA BI'!AD1</f>
        <v/>
      </c>
      <c r="B26" s="113" t="n"/>
      <c r="C26" s="110">
        <f>C25+B26</f>
        <v/>
      </c>
      <c r="D26" s="60">
        <f>IF(A26&lt;='VALOR POR PL'!$P$5,'MODELO PARA BI'!AD61,0)</f>
        <v/>
      </c>
      <c r="E26" s="60">
        <f>IF(A26&gt;'VALOR POR PL'!$P$5,'MODELO PARA BI'!AD61,0)</f>
        <v/>
      </c>
      <c r="F26" s="110">
        <f>IF('MODELO PARA BI'!$E$61=0,0,(D26+E26)/'MODELO PARA BI'!$E$61)</f>
        <v/>
      </c>
      <c r="G26" s="110">
        <f>G25+F26</f>
        <v/>
      </c>
      <c r="I26" s="49">
        <f>B26*'VALOR POR PL'!$G$50</f>
        <v/>
      </c>
      <c r="J26" s="54">
        <f>I26*IF(A26&lt;='VALOR POR PL'!$P$5,IFERROR(INDEX('"INCC-FGV"'!$B$2:$B$800,MATCH(A26,'"INCC-FGV"'!$A$2:$A$800,0)),'VALOR POR PL'!$P$7),'VALOR POR PL'!$P$7)</f>
        <v/>
      </c>
      <c r="K26" s="71">
        <f>'MODELO PARA BI'!AD63</f>
        <v/>
      </c>
      <c r="L26" s="71">
        <f>'MODELO PARA BI'!AD64</f>
        <v/>
      </c>
      <c r="M26" s="54">
        <f>M25+J26</f>
        <v/>
      </c>
    </row>
    <row r="27">
      <c r="A27" s="112">
        <f>'MODELO PARA BI'!AE1</f>
        <v/>
      </c>
      <c r="B27" s="113" t="n"/>
      <c r="C27" s="110">
        <f>C26+B27</f>
        <v/>
      </c>
      <c r="D27" s="60">
        <f>IF(A27&lt;='VALOR POR PL'!$P$5,'MODELO PARA BI'!AE61,0)</f>
        <v/>
      </c>
      <c r="E27" s="60">
        <f>IF(A27&gt;'VALOR POR PL'!$P$5,'MODELO PARA BI'!AE61,0)</f>
        <v/>
      </c>
      <c r="F27" s="110">
        <f>IF('MODELO PARA BI'!$E$61=0,0,(D27+E27)/'MODELO PARA BI'!$E$61)</f>
        <v/>
      </c>
      <c r="G27" s="110">
        <f>G26+F27</f>
        <v/>
      </c>
      <c r="I27" s="49">
        <f>B27*'VALOR POR PL'!$G$50</f>
        <v/>
      </c>
      <c r="J27" s="54">
        <f>I27*IF(A27&lt;='VALOR POR PL'!$P$5,IFERROR(INDEX('"INCC-FGV"'!$B$2:$B$800,MATCH(A27,'"INCC-FGV"'!$A$2:$A$800,0)),'VALOR POR PL'!$P$7),'VALOR POR PL'!$P$7)</f>
        <v/>
      </c>
      <c r="K27" s="71">
        <f>'MODELO PARA BI'!AE63</f>
        <v/>
      </c>
      <c r="L27" s="71">
        <f>'MODELO PARA BI'!AE64</f>
        <v/>
      </c>
      <c r="M27" s="54">
        <f>M26+J27</f>
        <v/>
      </c>
    </row>
    <row r="28">
      <c r="A28" s="112">
        <f>'MODELO PARA BI'!AF1</f>
        <v/>
      </c>
      <c r="B28" s="113" t="n"/>
      <c r="C28" s="110">
        <f>C27+B28</f>
        <v/>
      </c>
      <c r="D28" s="60">
        <f>IF(A28&lt;='VALOR POR PL'!$P$5,'MODELO PARA BI'!AF61,0)</f>
        <v/>
      </c>
      <c r="E28" s="60">
        <f>IF(A28&gt;'VALOR POR PL'!$P$5,'MODELO PARA BI'!AF61,0)</f>
        <v/>
      </c>
      <c r="F28" s="110">
        <f>IF('MODELO PARA BI'!$E$61=0,0,(D28+E28)/'MODELO PARA BI'!$E$61)</f>
        <v/>
      </c>
      <c r="G28" s="110">
        <f>G27+F28</f>
        <v/>
      </c>
      <c r="I28" s="49">
        <f>B28*'VALOR POR PL'!$G$50</f>
        <v/>
      </c>
      <c r="J28" s="54">
        <f>I28*IF(A28&lt;='VALOR POR PL'!$P$5,IFERROR(INDEX('"INCC-FGV"'!$B$2:$B$800,MATCH(A28,'"INCC-FGV"'!$A$2:$A$800,0)),'VALOR POR PL'!$P$7),'VALOR POR PL'!$P$7)</f>
        <v/>
      </c>
      <c r="K28" s="71">
        <f>'MODELO PARA BI'!AF63</f>
        <v/>
      </c>
      <c r="L28" s="71">
        <f>'MODELO PARA BI'!AF64</f>
        <v/>
      </c>
      <c r="M28" s="54">
        <f>M27+J28</f>
        <v/>
      </c>
    </row>
    <row r="29">
      <c r="A29" s="112">
        <f>'MODELO PARA BI'!AG1</f>
        <v/>
      </c>
      <c r="B29" s="113" t="n"/>
      <c r="C29" s="110">
        <f>C28+B29</f>
        <v/>
      </c>
      <c r="D29" s="60">
        <f>IF(A29&lt;='VALOR POR PL'!$P$5,'MODELO PARA BI'!AG61,0)</f>
        <v/>
      </c>
      <c r="E29" s="60">
        <f>IF(A29&gt;'VALOR POR PL'!$P$5,'MODELO PARA BI'!AG61,0)</f>
        <v/>
      </c>
      <c r="F29" s="110">
        <f>IF('MODELO PARA BI'!$E$61=0,0,(D29+E29)/'MODELO PARA BI'!$E$61)</f>
        <v/>
      </c>
      <c r="G29" s="110">
        <f>G28+F29</f>
        <v/>
      </c>
      <c r="I29" s="49">
        <f>B29*'VALOR POR PL'!$G$50</f>
        <v/>
      </c>
      <c r="J29" s="54">
        <f>I29*IF(A29&lt;='VALOR POR PL'!$P$5,IFERROR(INDEX('"INCC-FGV"'!$B$2:$B$800,MATCH(A29,'"INCC-FGV"'!$A$2:$A$800,0)),'VALOR POR PL'!$P$7),'VALOR POR PL'!$P$7)</f>
        <v/>
      </c>
      <c r="K29" s="71">
        <f>'MODELO PARA BI'!AG63</f>
        <v/>
      </c>
      <c r="L29" s="71">
        <f>'MODELO PARA BI'!AG64</f>
        <v/>
      </c>
      <c r="M29" s="54">
        <f>M28+J29</f>
        <v/>
      </c>
    </row>
    <row r="30">
      <c r="A30" s="112">
        <f>'MODELO PARA BI'!AH1</f>
        <v/>
      </c>
      <c r="B30" s="113" t="n"/>
      <c r="C30" s="110">
        <f>C29+B30</f>
        <v/>
      </c>
      <c r="D30" s="60">
        <f>IF(A30&lt;='VALOR POR PL'!$P$5,'MODELO PARA BI'!AH61,0)</f>
        <v/>
      </c>
      <c r="E30" s="60">
        <f>IF(A30&gt;'VALOR POR PL'!$P$5,'MODELO PARA BI'!AH61,0)</f>
        <v/>
      </c>
      <c r="F30" s="110">
        <f>IF('MODELO PARA BI'!$E$61=0,0,(D30+E30)/'MODELO PARA BI'!$E$61)</f>
        <v/>
      </c>
      <c r="G30" s="110">
        <f>G29+F30</f>
        <v/>
      </c>
      <c r="I30" s="49">
        <f>B30*'VALOR POR PL'!$G$50</f>
        <v/>
      </c>
      <c r="J30" s="54">
        <f>I30*IF(A30&lt;='VALOR POR PL'!$P$5,IFERROR(INDEX('"INCC-FGV"'!$B$2:$B$800,MATCH(A30,'"INCC-FGV"'!$A$2:$A$800,0)),'VALOR POR PL'!$P$7),'VALOR POR PL'!$P$7)</f>
        <v/>
      </c>
      <c r="K30" s="71">
        <f>'MODELO PARA BI'!AH63</f>
        <v/>
      </c>
      <c r="L30" s="71">
        <f>'MODELO PARA BI'!AH64</f>
        <v/>
      </c>
      <c r="M30" s="54">
        <f>M29+J30</f>
        <v/>
      </c>
    </row>
    <row r="31">
      <c r="A31" s="112">
        <f>'MODELO PARA BI'!AI1</f>
        <v/>
      </c>
      <c r="B31" s="113" t="n"/>
      <c r="C31" s="110">
        <f>C30+B31</f>
        <v/>
      </c>
      <c r="D31" s="60">
        <f>IF(A31&lt;='VALOR POR PL'!$P$5,'MODELO PARA BI'!AI61,0)</f>
        <v/>
      </c>
      <c r="E31" s="60">
        <f>IF(A31&gt;'VALOR POR PL'!$P$5,'MODELO PARA BI'!AI61,0)</f>
        <v/>
      </c>
      <c r="F31" s="110">
        <f>IF('MODELO PARA BI'!$E$61=0,0,(D31+E31)/'MODELO PARA BI'!$E$61)</f>
        <v/>
      </c>
      <c r="G31" s="110">
        <f>G30+F31</f>
        <v/>
      </c>
      <c r="I31" s="49">
        <f>B31*'VALOR POR PL'!$G$50</f>
        <v/>
      </c>
      <c r="J31" s="54">
        <f>I31*IF(A31&lt;='VALOR POR PL'!$P$5,IFERROR(INDEX('"INCC-FGV"'!$B$2:$B$800,MATCH(A31,'"INCC-FGV"'!$A$2:$A$800,0)),'VALOR POR PL'!$P$7),'VALOR POR PL'!$P$7)</f>
        <v/>
      </c>
      <c r="K31" s="71">
        <f>'MODELO PARA BI'!AI63</f>
        <v/>
      </c>
      <c r="L31" s="71">
        <f>'MODELO PARA BI'!AI64</f>
        <v/>
      </c>
      <c r="M31" s="54">
        <f>M30+J31</f>
        <v/>
      </c>
    </row>
    <row r="32">
      <c r="A32" s="112">
        <f>'MODELO PARA BI'!AJ1</f>
        <v/>
      </c>
      <c r="B32" s="113" t="n"/>
      <c r="C32" s="110">
        <f>C31+B32</f>
        <v/>
      </c>
      <c r="D32" s="60">
        <f>IF(A32&lt;='VALOR POR PL'!$P$5,'MODELO PARA BI'!AJ61,0)</f>
        <v/>
      </c>
      <c r="E32" s="60">
        <f>IF(A32&gt;'VALOR POR PL'!$P$5,'MODELO PARA BI'!AJ61,0)</f>
        <v/>
      </c>
      <c r="F32" s="110">
        <f>IF('MODELO PARA BI'!$E$61=0,0,(D32+E32)/'MODELO PARA BI'!$E$61)</f>
        <v/>
      </c>
      <c r="G32" s="110">
        <f>G31+F32</f>
        <v/>
      </c>
      <c r="I32" s="49">
        <f>B32*'VALOR POR PL'!$G$50</f>
        <v/>
      </c>
      <c r="J32" s="54">
        <f>I32*IF(A32&lt;='VALOR POR PL'!$P$5,IFERROR(INDEX('"INCC-FGV"'!$B$2:$B$800,MATCH(A32,'"INCC-FGV"'!$A$2:$A$800,0)),'VALOR POR PL'!$P$7),'VALOR POR PL'!$P$7)</f>
        <v/>
      </c>
      <c r="K32" s="71">
        <f>'MODELO PARA BI'!AJ63</f>
        <v/>
      </c>
      <c r="L32" s="71">
        <f>'MODELO PARA BI'!AJ64</f>
        <v/>
      </c>
      <c r="M32" s="54">
        <f>M31+J32</f>
        <v/>
      </c>
    </row>
    <row r="33">
      <c r="A33" s="112">
        <f>'MODELO PARA BI'!AK1</f>
        <v/>
      </c>
      <c r="B33" s="113" t="n"/>
      <c r="C33" s="110">
        <f>C32+B33</f>
        <v/>
      </c>
      <c r="D33" s="60">
        <f>IF(A33&lt;='VALOR POR PL'!$P$5,'MODELO PARA BI'!AK61,0)</f>
        <v/>
      </c>
      <c r="E33" s="60">
        <f>IF(A33&gt;'VALOR POR PL'!$P$5,'MODELO PARA BI'!AK61,0)</f>
        <v/>
      </c>
      <c r="F33" s="110">
        <f>IF('MODELO PARA BI'!$E$61=0,0,(D33+E33)/'MODELO PARA BI'!$E$61)</f>
        <v/>
      </c>
      <c r="G33" s="110">
        <f>G32+F33</f>
        <v/>
      </c>
      <c r="I33" s="49">
        <f>B33*'VALOR POR PL'!$G$50</f>
        <v/>
      </c>
      <c r="J33" s="54">
        <f>I33*IF(A33&lt;='VALOR POR PL'!$P$5,IFERROR(INDEX('"INCC-FGV"'!$B$2:$B$800,MATCH(A33,'"INCC-FGV"'!$A$2:$A$800,0)),'VALOR POR PL'!$P$7),'VALOR POR PL'!$P$7)</f>
        <v/>
      </c>
      <c r="K33" s="71">
        <f>'MODELO PARA BI'!AK63</f>
        <v/>
      </c>
      <c r="L33" s="71">
        <f>'MODELO PARA BI'!AK64</f>
        <v/>
      </c>
      <c r="M33" s="54">
        <f>M32+J33</f>
        <v/>
      </c>
    </row>
    <row r="34">
      <c r="A34" s="112">
        <f>'MODELO PARA BI'!AL1</f>
        <v/>
      </c>
      <c r="B34" s="113" t="n"/>
      <c r="C34" s="110">
        <f>C33+B34</f>
        <v/>
      </c>
      <c r="D34" s="60">
        <f>IF(A34&lt;='VALOR POR PL'!$P$5,'MODELO PARA BI'!AL61,0)</f>
        <v/>
      </c>
      <c r="E34" s="60">
        <f>IF(A34&gt;'VALOR POR PL'!$P$5,'MODELO PARA BI'!AL61,0)</f>
        <v/>
      </c>
      <c r="F34" s="110">
        <f>IF('MODELO PARA BI'!$E$61=0,0,(D34+E34)/'MODELO PARA BI'!$E$61)</f>
        <v/>
      </c>
      <c r="G34" s="110">
        <f>G33+F34</f>
        <v/>
      </c>
      <c r="I34" s="49">
        <f>B34*'VALOR POR PL'!$G$50</f>
        <v/>
      </c>
      <c r="J34" s="54">
        <f>I34*IF(A34&lt;='VALOR POR PL'!$P$5,IFERROR(INDEX('"INCC-FGV"'!$B$2:$B$800,MATCH(A34,'"INCC-FGV"'!$A$2:$A$800,0)),'VALOR POR PL'!$P$7),'VALOR POR PL'!$P$7)</f>
        <v/>
      </c>
      <c r="K34" s="71">
        <f>'MODELO PARA BI'!AL63</f>
        <v/>
      </c>
      <c r="L34" s="71">
        <f>'MODELO PARA BI'!AL64</f>
        <v/>
      </c>
      <c r="M34" s="54">
        <f>M33+J34</f>
        <v/>
      </c>
    </row>
    <row r="35">
      <c r="A35" s="112">
        <f>'MODELO PARA BI'!AM1</f>
        <v/>
      </c>
      <c r="B35" s="113" t="n"/>
      <c r="C35" s="110">
        <f>C34+B35</f>
        <v/>
      </c>
      <c r="D35" s="60">
        <f>IF(A35&lt;='VALOR POR PL'!$P$5,'MODELO PARA BI'!AM61,0)</f>
        <v/>
      </c>
      <c r="E35" s="60">
        <f>IF(A35&gt;'VALOR POR PL'!$P$5,'MODELO PARA BI'!AM61,0)</f>
        <v/>
      </c>
      <c r="F35" s="110">
        <f>IF('MODELO PARA BI'!$E$61=0,0,(D35+E35)/'MODELO PARA BI'!$E$61)</f>
        <v/>
      </c>
      <c r="G35" s="110">
        <f>G34+F35</f>
        <v/>
      </c>
      <c r="I35" s="49">
        <f>B35*'VALOR POR PL'!$G$50</f>
        <v/>
      </c>
      <c r="J35" s="54">
        <f>I35*IF(A35&lt;='VALOR POR PL'!$P$5,IFERROR(INDEX('"INCC-FGV"'!$B$2:$B$800,MATCH(A35,'"INCC-FGV"'!$A$2:$A$800,0)),'VALOR POR PL'!$P$7),'VALOR POR PL'!$P$7)</f>
        <v/>
      </c>
      <c r="K35" s="71">
        <f>'MODELO PARA BI'!AM63</f>
        <v/>
      </c>
      <c r="L35" s="71">
        <f>'MODELO PARA BI'!AM64</f>
        <v/>
      </c>
      <c r="M35" s="54">
        <f>M34+J35</f>
        <v/>
      </c>
    </row>
    <row r="36">
      <c r="A36" s="112">
        <f>'MODELO PARA BI'!AN1</f>
        <v/>
      </c>
      <c r="B36" s="113" t="n"/>
      <c r="C36" s="110">
        <f>C35+B36</f>
        <v/>
      </c>
      <c r="D36" s="60">
        <f>IF(A36&lt;='VALOR POR PL'!$P$5,'MODELO PARA BI'!AN61,0)</f>
        <v/>
      </c>
      <c r="E36" s="60">
        <f>IF(A36&gt;'VALOR POR PL'!$P$5,'MODELO PARA BI'!AN61,0)</f>
        <v/>
      </c>
      <c r="F36" s="110">
        <f>IF('MODELO PARA BI'!$E$61=0,0,(D36+E36)/'MODELO PARA BI'!$E$61)</f>
        <v/>
      </c>
      <c r="G36" s="110">
        <f>G35+F36</f>
        <v/>
      </c>
      <c r="I36" s="49">
        <f>B36*'VALOR POR PL'!$G$50</f>
        <v/>
      </c>
      <c r="J36" s="54">
        <f>I36*IF(A36&lt;='VALOR POR PL'!$P$5,IFERROR(INDEX('"INCC-FGV"'!$B$2:$B$800,MATCH(A36,'"INCC-FGV"'!$A$2:$A$800,0)),'VALOR POR PL'!$P$7),'VALOR POR PL'!$P$7)</f>
        <v/>
      </c>
      <c r="K36" s="71">
        <f>'MODELO PARA BI'!AN63</f>
        <v/>
      </c>
      <c r="L36" s="71">
        <f>'MODELO PARA BI'!AN64</f>
        <v/>
      </c>
      <c r="M36" s="54">
        <f>M35+J36</f>
        <v/>
      </c>
    </row>
    <row r="37">
      <c r="A37" s="112">
        <f>'MODELO PARA BI'!AO1</f>
        <v/>
      </c>
      <c r="B37" s="113" t="n"/>
      <c r="C37" s="110">
        <f>C36+B37</f>
        <v/>
      </c>
      <c r="D37" s="60">
        <f>IF(A37&lt;='VALOR POR PL'!$P$5,'MODELO PARA BI'!AO61,0)</f>
        <v/>
      </c>
      <c r="E37" s="60">
        <f>IF(A37&gt;'VALOR POR PL'!$P$5,'MODELO PARA BI'!AO61,0)</f>
        <v/>
      </c>
      <c r="F37" s="110">
        <f>IF('MODELO PARA BI'!$E$61=0,0,(D37+E37)/'MODELO PARA BI'!$E$61)</f>
        <v/>
      </c>
      <c r="G37" s="110">
        <f>G36+F37</f>
        <v/>
      </c>
      <c r="I37" s="49">
        <f>B37*'VALOR POR PL'!$G$50</f>
        <v/>
      </c>
      <c r="J37" s="54">
        <f>I37*IF(A37&lt;='VALOR POR PL'!$P$5,IFERROR(INDEX('"INCC-FGV"'!$B$2:$B$800,MATCH(A37,'"INCC-FGV"'!$A$2:$A$800,0)),'VALOR POR PL'!$P$7),'VALOR POR PL'!$P$7)</f>
        <v/>
      </c>
      <c r="K37" s="71">
        <f>'MODELO PARA BI'!AO63</f>
        <v/>
      </c>
      <c r="L37" s="71">
        <f>'MODELO PARA BI'!AO64</f>
        <v/>
      </c>
      <c r="M37" s="54">
        <f>M36+J37</f>
        <v/>
      </c>
    </row>
    <row r="38">
      <c r="A38" s="112">
        <f>'MODELO PARA BI'!AP1</f>
        <v/>
      </c>
      <c r="B38" s="113" t="n"/>
      <c r="C38" s="110">
        <f>C37+B38</f>
        <v/>
      </c>
      <c r="D38" s="60">
        <f>IF(A38&lt;='VALOR POR PL'!$P$5,'MODELO PARA BI'!AP61,0)</f>
        <v/>
      </c>
      <c r="E38" s="60">
        <f>IF(A38&gt;'VALOR POR PL'!$P$5,'MODELO PARA BI'!AP61,0)</f>
        <v/>
      </c>
      <c r="F38" s="110">
        <f>IF('MODELO PARA BI'!$E$61=0,0,(D38+E38)/'MODELO PARA BI'!$E$61)</f>
        <v/>
      </c>
      <c r="G38" s="110">
        <f>G37+F38</f>
        <v/>
      </c>
      <c r="I38" s="49">
        <f>B38*'VALOR POR PL'!$G$50</f>
        <v/>
      </c>
      <c r="J38" s="54">
        <f>I38*IF(A38&lt;='VALOR POR PL'!$P$5,IFERROR(INDEX('"INCC-FGV"'!$B$2:$B$800,MATCH(A38,'"INCC-FGV"'!$A$2:$A$800,0)),'VALOR POR PL'!$P$7),'VALOR POR PL'!$P$7)</f>
        <v/>
      </c>
      <c r="K38" s="71">
        <f>'MODELO PARA BI'!AP63</f>
        <v/>
      </c>
      <c r="L38" s="71">
        <f>'MODELO PARA BI'!AP64</f>
        <v/>
      </c>
      <c r="M38" s="54">
        <f>M37+J38</f>
        <v/>
      </c>
    </row>
    <row r="39">
      <c r="A39" s="112">
        <f>'MODELO PARA BI'!AQ1</f>
        <v/>
      </c>
      <c r="B39" s="113" t="n"/>
      <c r="C39" s="110">
        <f>C38+B39</f>
        <v/>
      </c>
      <c r="D39" s="60">
        <f>IF(A39&lt;='VALOR POR PL'!$P$5,'MODELO PARA BI'!AQ61,0)</f>
        <v/>
      </c>
      <c r="E39" s="60">
        <f>IF(A39&gt;'VALOR POR PL'!$P$5,'MODELO PARA BI'!AQ61,0)</f>
        <v/>
      </c>
      <c r="F39" s="110">
        <f>IF('MODELO PARA BI'!$E$61=0,0,(D39+E39)/'MODELO PARA BI'!$E$61)</f>
        <v/>
      </c>
      <c r="G39" s="110">
        <f>G38+F39</f>
        <v/>
      </c>
      <c r="I39" s="49">
        <f>B39*'VALOR POR PL'!$G$50</f>
        <v/>
      </c>
      <c r="J39" s="54">
        <f>I39*IF(A39&lt;='VALOR POR PL'!$P$5,IFERROR(INDEX('"INCC-FGV"'!$B$2:$B$800,MATCH(A39,'"INCC-FGV"'!$A$2:$A$800,0)),'VALOR POR PL'!$P$7),'VALOR POR PL'!$P$7)</f>
        <v/>
      </c>
      <c r="K39" s="71">
        <f>'MODELO PARA BI'!AQ63</f>
        <v/>
      </c>
      <c r="L39" s="71">
        <f>'MODELO PARA BI'!AQ64</f>
        <v/>
      </c>
      <c r="M39" s="54">
        <f>M38+J39</f>
        <v/>
      </c>
    </row>
    <row r="40">
      <c r="A40" s="112">
        <f>'MODELO PARA BI'!AR1</f>
        <v/>
      </c>
      <c r="B40" s="113" t="n"/>
      <c r="C40" s="110">
        <f>C39+B40</f>
        <v/>
      </c>
      <c r="D40" s="60">
        <f>IF(A40&lt;='VALOR POR PL'!$P$5,'MODELO PARA BI'!AR61,0)</f>
        <v/>
      </c>
      <c r="E40" s="60">
        <f>IF(A40&gt;'VALOR POR PL'!$P$5,'MODELO PARA BI'!AR61,0)</f>
        <v/>
      </c>
      <c r="F40" s="110">
        <f>IF('MODELO PARA BI'!$E$61=0,0,(D40+E40)/'MODELO PARA BI'!$E$61)</f>
        <v/>
      </c>
      <c r="G40" s="110">
        <f>G39+F40</f>
        <v/>
      </c>
      <c r="I40" s="49">
        <f>B40*'VALOR POR PL'!$G$50</f>
        <v/>
      </c>
      <c r="J40" s="54">
        <f>I40*IF(A40&lt;='VALOR POR PL'!$P$5,IFERROR(INDEX('"INCC-FGV"'!$B$2:$B$800,MATCH(A40,'"INCC-FGV"'!$A$2:$A$800,0)),'VALOR POR PL'!$P$7),'VALOR POR PL'!$P$7)</f>
        <v/>
      </c>
      <c r="K40" s="71">
        <f>'MODELO PARA BI'!AR63</f>
        <v/>
      </c>
      <c r="L40" s="71">
        <f>'MODELO PARA BI'!AR64</f>
        <v/>
      </c>
      <c r="M40" s="54">
        <f>M39+J40</f>
        <v/>
      </c>
    </row>
    <row r="41">
      <c r="A41" s="112">
        <f>'MODELO PARA BI'!AS1</f>
        <v/>
      </c>
      <c r="B41" s="113" t="n"/>
      <c r="C41" s="110">
        <f>C40+B41</f>
        <v/>
      </c>
      <c r="D41" s="60">
        <f>IF(A41&lt;='VALOR POR PL'!$P$5,'MODELO PARA BI'!AS61,0)</f>
        <v/>
      </c>
      <c r="E41" s="60">
        <f>IF(A41&gt;'VALOR POR PL'!$P$5,'MODELO PARA BI'!AS61,0)</f>
        <v/>
      </c>
      <c r="F41" s="110">
        <f>IF('MODELO PARA BI'!$E$61=0,0,(D41+E41)/'MODELO PARA BI'!$E$61)</f>
        <v/>
      </c>
      <c r="G41" s="110">
        <f>G40+F41</f>
        <v/>
      </c>
      <c r="I41" s="49">
        <f>B41*'VALOR POR PL'!$G$50</f>
        <v/>
      </c>
      <c r="J41" s="54">
        <f>I41*IF(A41&lt;='VALOR POR PL'!$P$5,IFERROR(INDEX('"INCC-FGV"'!$B$2:$B$800,MATCH(A41,'"INCC-FGV"'!$A$2:$A$800,0)),'VALOR POR PL'!$P$7),'VALOR POR PL'!$P$7)</f>
        <v/>
      </c>
      <c r="K41" s="71">
        <f>'MODELO PARA BI'!AS63</f>
        <v/>
      </c>
      <c r="L41" s="71">
        <f>'MODELO PARA BI'!AS64</f>
        <v/>
      </c>
      <c r="M41" s="54">
        <f>M40+J41</f>
        <v/>
      </c>
    </row>
    <row r="42">
      <c r="A42" s="112">
        <f>'MODELO PARA BI'!AT1</f>
        <v/>
      </c>
      <c r="B42" s="113" t="n"/>
      <c r="C42" s="110">
        <f>C41+B42</f>
        <v/>
      </c>
      <c r="D42" s="60">
        <f>IF(A42&lt;='VALOR POR PL'!$P$5,'MODELO PARA BI'!AT61,0)</f>
        <v/>
      </c>
      <c r="E42" s="60">
        <f>IF(A42&gt;'VALOR POR PL'!$P$5,'MODELO PARA BI'!AT61,0)</f>
        <v/>
      </c>
      <c r="F42" s="110">
        <f>IF('MODELO PARA BI'!$E$61=0,0,(D42+E42)/'MODELO PARA BI'!$E$61)</f>
        <v/>
      </c>
      <c r="G42" s="110">
        <f>G41+F42</f>
        <v/>
      </c>
      <c r="I42" s="49">
        <f>B42*'VALOR POR PL'!$G$50</f>
        <v/>
      </c>
      <c r="J42" s="54">
        <f>I42*IF(A42&lt;='VALOR POR PL'!$P$5,IFERROR(INDEX('"INCC-FGV"'!$B$2:$B$800,MATCH(A42,'"INCC-FGV"'!$A$2:$A$800,0)),'VALOR POR PL'!$P$7),'VALOR POR PL'!$P$7)</f>
        <v/>
      </c>
      <c r="K42" s="71">
        <f>'MODELO PARA BI'!AT63</f>
        <v/>
      </c>
      <c r="L42" s="71">
        <f>'MODELO PARA BI'!AT64</f>
        <v/>
      </c>
      <c r="M42" s="54">
        <f>M41+J42</f>
        <v/>
      </c>
    </row>
    <row r="43">
      <c r="A43" s="112">
        <f>'MODELO PARA BI'!AU1</f>
        <v/>
      </c>
      <c r="B43" s="113" t="n"/>
      <c r="C43" s="110">
        <f>C42+B43</f>
        <v/>
      </c>
      <c r="D43" s="60">
        <f>IF(A43&lt;='VALOR POR PL'!$P$5,'MODELO PARA BI'!AU61,0)</f>
        <v/>
      </c>
      <c r="E43" s="60">
        <f>IF(A43&gt;'VALOR POR PL'!$P$5,'MODELO PARA BI'!AU61,0)</f>
        <v/>
      </c>
      <c r="F43" s="110">
        <f>IF('MODELO PARA BI'!$E$61=0,0,(D43+E43)/'MODELO PARA BI'!$E$61)</f>
        <v/>
      </c>
      <c r="G43" s="110">
        <f>G42+F43</f>
        <v/>
      </c>
      <c r="I43" s="49">
        <f>B43*'VALOR POR PL'!$G$50</f>
        <v/>
      </c>
      <c r="J43" s="54">
        <f>I43*IF(A43&lt;='VALOR POR PL'!$P$5,IFERROR(INDEX('"INCC-FGV"'!$B$2:$B$800,MATCH(A43,'"INCC-FGV"'!$A$2:$A$800,0)),'VALOR POR PL'!$P$7),'VALOR POR PL'!$P$7)</f>
        <v/>
      </c>
      <c r="K43" s="71">
        <f>'MODELO PARA BI'!AU63</f>
        <v/>
      </c>
      <c r="L43" s="71">
        <f>'MODELO PARA BI'!AU64</f>
        <v/>
      </c>
      <c r="M43" s="54">
        <f>M42+J43</f>
        <v/>
      </c>
    </row>
    <row r="44">
      <c r="A44" s="112">
        <f>'MODELO PARA BI'!AV1</f>
        <v/>
      </c>
      <c r="B44" s="113" t="n"/>
      <c r="C44" s="110">
        <f>C43+B44</f>
        <v/>
      </c>
      <c r="D44" s="60">
        <f>IF(A44&lt;='VALOR POR PL'!$P$5,'MODELO PARA BI'!AV61,0)</f>
        <v/>
      </c>
      <c r="E44" s="60">
        <f>IF(A44&gt;'VALOR POR PL'!$P$5,'MODELO PARA BI'!AV61,0)</f>
        <v/>
      </c>
      <c r="F44" s="110">
        <f>IF('MODELO PARA BI'!$E$61=0,0,(D44+E44)/'MODELO PARA BI'!$E$61)</f>
        <v/>
      </c>
      <c r="G44" s="110">
        <f>G43+F44</f>
        <v/>
      </c>
      <c r="I44" s="49">
        <f>B44*'VALOR POR PL'!$G$50</f>
        <v/>
      </c>
      <c r="J44" s="54">
        <f>I44*IF(A44&lt;='VALOR POR PL'!$P$5,IFERROR(INDEX('"INCC-FGV"'!$B$2:$B$800,MATCH(A44,'"INCC-FGV"'!$A$2:$A$800,0)),'VALOR POR PL'!$P$7),'VALOR POR PL'!$P$7)</f>
        <v/>
      </c>
      <c r="K44" s="71">
        <f>'MODELO PARA BI'!AV63</f>
        <v/>
      </c>
      <c r="L44" s="71">
        <f>'MODELO PARA BI'!AV64</f>
        <v/>
      </c>
      <c r="M44" s="54">
        <f>M43+J44</f>
        <v/>
      </c>
    </row>
    <row r="45">
      <c r="A45" s="112">
        <f>'MODELO PARA BI'!AW1</f>
        <v/>
      </c>
      <c r="B45" s="113" t="n"/>
      <c r="C45" s="110">
        <f>C44+B45</f>
        <v/>
      </c>
      <c r="D45" s="60">
        <f>IF(A45&lt;='VALOR POR PL'!$P$5,'MODELO PARA BI'!AW61,0)</f>
        <v/>
      </c>
      <c r="E45" s="60">
        <f>IF(A45&gt;'VALOR POR PL'!$P$5,'MODELO PARA BI'!AW61,0)</f>
        <v/>
      </c>
      <c r="F45" s="110">
        <f>IF('MODELO PARA BI'!$E$61=0,0,(D45+E45)/'MODELO PARA BI'!$E$61)</f>
        <v/>
      </c>
      <c r="G45" s="110">
        <f>G44+F45</f>
        <v/>
      </c>
      <c r="I45" s="49">
        <f>B45*'VALOR POR PL'!$G$50</f>
        <v/>
      </c>
      <c r="J45" s="54">
        <f>I45*IF(A45&lt;='VALOR POR PL'!$P$5,IFERROR(INDEX('"INCC-FGV"'!$B$2:$B$800,MATCH(A45,'"INCC-FGV"'!$A$2:$A$800,0)),'VALOR POR PL'!$P$7),'VALOR POR PL'!$P$7)</f>
        <v/>
      </c>
      <c r="K45" s="71">
        <f>'MODELO PARA BI'!AW63</f>
        <v/>
      </c>
      <c r="L45" s="71">
        <f>'MODELO PARA BI'!AW64</f>
        <v/>
      </c>
      <c r="M45" s="54">
        <f>M44+J45</f>
        <v/>
      </c>
    </row>
    <row r="46">
      <c r="A46" s="112">
        <f>'MODELO PARA BI'!AX1</f>
        <v/>
      </c>
      <c r="B46" s="113" t="n"/>
      <c r="C46" s="110">
        <f>C45+B46</f>
        <v/>
      </c>
      <c r="D46" s="60">
        <f>IF(A46&lt;='VALOR POR PL'!$P$5,'MODELO PARA BI'!AX61,0)</f>
        <v/>
      </c>
      <c r="E46" s="60">
        <f>IF(A46&gt;'VALOR POR PL'!$P$5,'MODELO PARA BI'!AX61,0)</f>
        <v/>
      </c>
      <c r="F46" s="110">
        <f>IF('MODELO PARA BI'!$E$61=0,0,(D46+E46)/'MODELO PARA BI'!$E$61)</f>
        <v/>
      </c>
      <c r="G46" s="110">
        <f>G45+F46</f>
        <v/>
      </c>
      <c r="I46" s="49">
        <f>B46*'VALOR POR PL'!$G$50</f>
        <v/>
      </c>
      <c r="J46" s="54">
        <f>I46*IF(A46&lt;='VALOR POR PL'!$P$5,IFERROR(INDEX('"INCC-FGV"'!$B$2:$B$800,MATCH(A46,'"INCC-FGV"'!$A$2:$A$800,0)),'VALOR POR PL'!$P$7),'VALOR POR PL'!$P$7)</f>
        <v/>
      </c>
      <c r="K46" s="71">
        <f>'MODELO PARA BI'!AX63</f>
        <v/>
      </c>
      <c r="L46" s="71">
        <f>'MODELO PARA BI'!AX64</f>
        <v/>
      </c>
      <c r="M46" s="54">
        <f>M45+J46</f>
        <v/>
      </c>
    </row>
    <row r="47">
      <c r="A47" s="112">
        <f>'MODELO PARA BI'!AY1</f>
        <v/>
      </c>
      <c r="B47" s="113" t="n"/>
      <c r="C47" s="110">
        <f>C46+B47</f>
        <v/>
      </c>
      <c r="D47" s="60">
        <f>IF(A47&lt;='VALOR POR PL'!$P$5,'MODELO PARA BI'!AY61,0)</f>
        <v/>
      </c>
      <c r="E47" s="60">
        <f>IF(A47&gt;'VALOR POR PL'!$P$5,'MODELO PARA BI'!AY61,0)</f>
        <v/>
      </c>
      <c r="F47" s="110">
        <f>IF('MODELO PARA BI'!$E$61=0,0,(D47+E47)/'MODELO PARA BI'!$E$61)</f>
        <v/>
      </c>
      <c r="G47" s="110">
        <f>G46+F47</f>
        <v/>
      </c>
      <c r="I47" s="49">
        <f>B47*'VALOR POR PL'!$G$50</f>
        <v/>
      </c>
      <c r="J47" s="54">
        <f>I47*IF(A47&lt;='VALOR POR PL'!$P$5,IFERROR(INDEX('"INCC-FGV"'!$B$2:$B$800,MATCH(A47,'"INCC-FGV"'!$A$2:$A$800,0)),'VALOR POR PL'!$P$7),'VALOR POR PL'!$P$7)</f>
        <v/>
      </c>
      <c r="K47" s="71">
        <f>'MODELO PARA BI'!AY63</f>
        <v/>
      </c>
      <c r="L47" s="71">
        <f>'MODELO PARA BI'!AY64</f>
        <v/>
      </c>
      <c r="M47" s="54">
        <f>M46+J47</f>
        <v/>
      </c>
    </row>
    <row r="48">
      <c r="A48" s="112">
        <f>'MODELO PARA BI'!AZ1</f>
        <v/>
      </c>
      <c r="B48" s="113" t="n"/>
      <c r="C48" s="110">
        <f>C47+B48</f>
        <v/>
      </c>
      <c r="D48" s="60">
        <f>IF(A48&lt;='VALOR POR PL'!$P$5,'MODELO PARA BI'!AZ61,0)</f>
        <v/>
      </c>
      <c r="E48" s="60">
        <f>IF(A48&gt;'VALOR POR PL'!$P$5,'MODELO PARA BI'!AZ61,0)</f>
        <v/>
      </c>
      <c r="F48" s="110">
        <f>IF('MODELO PARA BI'!$E$61=0,0,(D48+E48)/'MODELO PARA BI'!$E$61)</f>
        <v/>
      </c>
      <c r="G48" s="110">
        <f>G47+F48</f>
        <v/>
      </c>
      <c r="I48" s="49">
        <f>B48*'VALOR POR PL'!$G$50</f>
        <v/>
      </c>
      <c r="J48" s="54">
        <f>I48*IF(A48&lt;='VALOR POR PL'!$P$5,IFERROR(INDEX('"INCC-FGV"'!$B$2:$B$800,MATCH(A48,'"INCC-FGV"'!$A$2:$A$800,0)),'VALOR POR PL'!$P$7),'VALOR POR PL'!$P$7)</f>
        <v/>
      </c>
      <c r="K48" s="71">
        <f>'MODELO PARA BI'!AZ63</f>
        <v/>
      </c>
      <c r="L48" s="71">
        <f>'MODELO PARA BI'!AZ64</f>
        <v/>
      </c>
      <c r="M48" s="54">
        <f>M47+J48</f>
        <v/>
      </c>
    </row>
    <row r="49">
      <c r="A49" s="112">
        <f>'MODELO PARA BI'!BA1</f>
        <v/>
      </c>
      <c r="B49" s="113" t="n"/>
      <c r="C49" s="110">
        <f>C48+B49</f>
        <v/>
      </c>
      <c r="D49" s="60">
        <f>IF(A49&lt;='VALOR POR PL'!$P$5,'MODELO PARA BI'!BA61,0)</f>
        <v/>
      </c>
      <c r="E49" s="60">
        <f>IF(A49&gt;'VALOR POR PL'!$P$5,'MODELO PARA BI'!BA61,0)</f>
        <v/>
      </c>
      <c r="F49" s="110">
        <f>IF('MODELO PARA BI'!$E$61=0,0,(D49+E49)/'MODELO PARA BI'!$E$61)</f>
        <v/>
      </c>
      <c r="G49" s="110">
        <f>G48+F49</f>
        <v/>
      </c>
      <c r="I49" s="49">
        <f>B49*'VALOR POR PL'!$G$50</f>
        <v/>
      </c>
      <c r="J49" s="54">
        <f>I49*IF(A49&lt;='VALOR POR PL'!$P$5,IFERROR(INDEX('"INCC-FGV"'!$B$2:$B$800,MATCH(A49,'"INCC-FGV"'!$A$2:$A$800,0)),'VALOR POR PL'!$P$7),'VALOR POR PL'!$P$7)</f>
        <v/>
      </c>
      <c r="K49" s="71">
        <f>'MODELO PARA BI'!BA63</f>
        <v/>
      </c>
      <c r="L49" s="71">
        <f>'MODELO PARA BI'!BA64</f>
        <v/>
      </c>
      <c r="M49" s="54">
        <f>M48+J49</f>
        <v/>
      </c>
    </row>
    <row r="50">
      <c r="A50" s="112">
        <f>'MODELO PARA BI'!BB1</f>
        <v/>
      </c>
      <c r="B50" s="113" t="n"/>
      <c r="C50" s="110">
        <f>C49+B50</f>
        <v/>
      </c>
      <c r="D50" s="60">
        <f>IF(A50&lt;='VALOR POR PL'!$P$5,'MODELO PARA BI'!BB61,0)</f>
        <v/>
      </c>
      <c r="E50" s="60">
        <f>IF(A50&gt;'VALOR POR PL'!$P$5,'MODELO PARA BI'!BB61,0)</f>
        <v/>
      </c>
      <c r="F50" s="110">
        <f>IF('MODELO PARA BI'!$E$61=0,0,(D50+E50)/'MODELO PARA BI'!$E$61)</f>
        <v/>
      </c>
      <c r="G50" s="110">
        <f>G49+F50</f>
        <v/>
      </c>
      <c r="I50" s="49">
        <f>B50*'VALOR POR PL'!$G$50</f>
        <v/>
      </c>
      <c r="J50" s="54">
        <f>I50*IF(A50&lt;='VALOR POR PL'!$P$5,IFERROR(INDEX('"INCC-FGV"'!$B$2:$B$800,MATCH(A50,'"INCC-FGV"'!$A$2:$A$800,0)),'VALOR POR PL'!$P$7),'VALOR POR PL'!$P$7)</f>
        <v/>
      </c>
      <c r="K50" s="71">
        <f>'MODELO PARA BI'!BB63</f>
        <v/>
      </c>
      <c r="L50" s="71">
        <f>'MODELO PARA BI'!BB64</f>
        <v/>
      </c>
      <c r="M50" s="54">
        <f>M49+J50</f>
        <v/>
      </c>
    </row>
    <row r="51">
      <c r="A51" s="112">
        <f>'MODELO PARA BI'!BC1</f>
        <v/>
      </c>
      <c r="B51" s="113" t="n"/>
      <c r="C51" s="110">
        <f>C50+B51</f>
        <v/>
      </c>
      <c r="D51" s="60">
        <f>IF(A51&lt;='VALOR POR PL'!$P$5,'MODELO PARA BI'!BC61,0)</f>
        <v/>
      </c>
      <c r="E51" s="60">
        <f>IF(A51&gt;'VALOR POR PL'!$P$5,'MODELO PARA BI'!BC61,0)</f>
        <v/>
      </c>
      <c r="F51" s="110">
        <f>IF('MODELO PARA BI'!$E$61=0,0,(D51+E51)/'MODELO PARA BI'!$E$61)</f>
        <v/>
      </c>
      <c r="G51" s="110">
        <f>G50+F51</f>
        <v/>
      </c>
      <c r="I51" s="49">
        <f>B51*'VALOR POR PL'!$G$50</f>
        <v/>
      </c>
      <c r="J51" s="54">
        <f>I51*IF(A51&lt;='VALOR POR PL'!$P$5,IFERROR(INDEX('"INCC-FGV"'!$B$2:$B$800,MATCH(A51,'"INCC-FGV"'!$A$2:$A$800,0)),'VALOR POR PL'!$P$7),'VALOR POR PL'!$P$7)</f>
        <v/>
      </c>
      <c r="K51" s="71">
        <f>'MODELO PARA BI'!BC63</f>
        <v/>
      </c>
      <c r="L51" s="71">
        <f>'MODELO PARA BI'!BC64</f>
        <v/>
      </c>
      <c r="M51" s="54">
        <f>M50+J51</f>
        <v/>
      </c>
    </row>
    <row r="52">
      <c r="A52" s="112">
        <f>'MODELO PARA BI'!BD1</f>
        <v/>
      </c>
      <c r="B52" s="113" t="n"/>
      <c r="C52" s="110">
        <f>C51+B52</f>
        <v/>
      </c>
      <c r="D52" s="60">
        <f>IF(A52&lt;='VALOR POR PL'!$P$5,'MODELO PARA BI'!BD61,0)</f>
        <v/>
      </c>
      <c r="E52" s="60">
        <f>IF(A52&gt;'VALOR POR PL'!$P$5,'MODELO PARA BI'!BD61,0)</f>
        <v/>
      </c>
      <c r="F52" s="110">
        <f>IF('MODELO PARA BI'!$E$61=0,0,(D52+E52)/'MODELO PARA BI'!$E$61)</f>
        <v/>
      </c>
      <c r="G52" s="110">
        <f>G51+F52</f>
        <v/>
      </c>
      <c r="I52" s="49">
        <f>B52*'VALOR POR PL'!$G$50</f>
        <v/>
      </c>
      <c r="J52" s="54">
        <f>I52*IF(A52&lt;='VALOR POR PL'!$P$5,IFERROR(INDEX('"INCC-FGV"'!$B$2:$B$800,MATCH(A52,'"INCC-FGV"'!$A$2:$A$800,0)),'VALOR POR PL'!$P$7),'VALOR POR PL'!$P$7)</f>
        <v/>
      </c>
      <c r="K52" s="71">
        <f>'MODELO PARA BI'!BD63</f>
        <v/>
      </c>
      <c r="L52" s="71">
        <f>'MODELO PARA BI'!BD64</f>
        <v/>
      </c>
      <c r="M52" s="54">
        <f>M51+J52</f>
        <v/>
      </c>
    </row>
    <row r="53">
      <c r="A53" s="112">
        <f>'MODELO PARA BI'!BE1</f>
        <v/>
      </c>
      <c r="B53" s="113" t="n"/>
      <c r="C53" s="110">
        <f>C52+B53</f>
        <v/>
      </c>
      <c r="D53" s="60">
        <f>IF(A53&lt;='VALOR POR PL'!$P$5,'MODELO PARA BI'!BE61,0)</f>
        <v/>
      </c>
      <c r="E53" s="60">
        <f>IF(A53&gt;'VALOR POR PL'!$P$5,'MODELO PARA BI'!BE61,0)</f>
        <v/>
      </c>
      <c r="F53" s="110">
        <f>IF('MODELO PARA BI'!$E$61=0,0,(D53+E53)/'MODELO PARA BI'!$E$61)</f>
        <v/>
      </c>
      <c r="G53" s="110">
        <f>G52+F53</f>
        <v/>
      </c>
      <c r="I53" s="49">
        <f>B53*'VALOR POR PL'!$G$50</f>
        <v/>
      </c>
      <c r="J53" s="54">
        <f>I53*IF(A53&lt;='VALOR POR PL'!$P$5,IFERROR(INDEX('"INCC-FGV"'!$B$2:$B$800,MATCH(A53,'"INCC-FGV"'!$A$2:$A$800,0)),'VALOR POR PL'!$P$7),'VALOR POR PL'!$P$7)</f>
        <v/>
      </c>
      <c r="K53" s="71">
        <f>'MODELO PARA BI'!BE63</f>
        <v/>
      </c>
      <c r="L53" s="71">
        <f>'MODELO PARA BI'!BE64</f>
        <v/>
      </c>
      <c r="M53" s="54">
        <f>M52+J53</f>
        <v/>
      </c>
    </row>
    <row r="54">
      <c r="A54" s="112">
        <f>'MODELO PARA BI'!BF1</f>
        <v/>
      </c>
      <c r="B54" s="113" t="n"/>
      <c r="C54" s="110">
        <f>C53+B54</f>
        <v/>
      </c>
      <c r="D54" s="60">
        <f>IF(A54&lt;='VALOR POR PL'!$P$5,'MODELO PARA BI'!BF61,0)</f>
        <v/>
      </c>
      <c r="E54" s="60">
        <f>IF(A54&gt;'VALOR POR PL'!$P$5,'MODELO PARA BI'!BF61,0)</f>
        <v/>
      </c>
      <c r="F54" s="110">
        <f>IF('MODELO PARA BI'!$E$61=0,0,(D54+E54)/'MODELO PARA BI'!$E$61)</f>
        <v/>
      </c>
      <c r="G54" s="110">
        <f>G53+F54</f>
        <v/>
      </c>
      <c r="I54" s="49">
        <f>B54*'VALOR POR PL'!$G$50</f>
        <v/>
      </c>
      <c r="J54" s="54">
        <f>I54*IF(A54&lt;='VALOR POR PL'!$P$5,IFERROR(INDEX('"INCC-FGV"'!$B$2:$B$800,MATCH(A54,'"INCC-FGV"'!$A$2:$A$800,0)),'VALOR POR PL'!$P$7),'VALOR POR PL'!$P$7)</f>
        <v/>
      </c>
      <c r="K54" s="71">
        <f>'MODELO PARA BI'!BF63</f>
        <v/>
      </c>
      <c r="L54" s="71">
        <f>'MODELO PARA BI'!BF64</f>
        <v/>
      </c>
      <c r="M54" s="54">
        <f>M53+J54</f>
        <v/>
      </c>
    </row>
    <row r="55">
      <c r="A55" s="112">
        <f>'MODELO PARA BI'!BG1</f>
        <v/>
      </c>
      <c r="B55" s="113" t="n"/>
      <c r="C55" s="110">
        <f>C54+B55</f>
        <v/>
      </c>
      <c r="D55" s="60">
        <f>IF(A55&lt;='VALOR POR PL'!$P$5,'MODELO PARA BI'!BG61,0)</f>
        <v/>
      </c>
      <c r="E55" s="60">
        <f>IF(A55&gt;'VALOR POR PL'!$P$5,'MODELO PARA BI'!BG61,0)</f>
        <v/>
      </c>
      <c r="F55" s="110">
        <f>IF('MODELO PARA BI'!$E$61=0,0,(D55+E55)/'MODELO PARA BI'!$E$61)</f>
        <v/>
      </c>
      <c r="G55" s="110">
        <f>G54+F55</f>
        <v/>
      </c>
      <c r="I55" s="49">
        <f>B55*'VALOR POR PL'!$G$50</f>
        <v/>
      </c>
      <c r="J55" s="54">
        <f>I55*IF(A55&lt;='VALOR POR PL'!$P$5,IFERROR(INDEX('"INCC-FGV"'!$B$2:$B$800,MATCH(A55,'"INCC-FGV"'!$A$2:$A$800,0)),'VALOR POR PL'!$P$7),'VALOR POR PL'!$P$7)</f>
        <v/>
      </c>
      <c r="K55" s="71">
        <f>'MODELO PARA BI'!BG63</f>
        <v/>
      </c>
      <c r="L55" s="71">
        <f>'MODELO PARA BI'!BG64</f>
        <v/>
      </c>
      <c r="M55" s="54">
        <f>M54+J55</f>
        <v/>
      </c>
    </row>
    <row r="56">
      <c r="A56" s="112">
        <f>'MODELO PARA BI'!BH1</f>
        <v/>
      </c>
      <c r="B56" s="113" t="n"/>
      <c r="C56" s="110">
        <f>C55+B56</f>
        <v/>
      </c>
      <c r="D56" s="60">
        <f>IF(A56&lt;='VALOR POR PL'!$P$5,'MODELO PARA BI'!BH61,0)</f>
        <v/>
      </c>
      <c r="E56" s="60">
        <f>IF(A56&gt;'VALOR POR PL'!$P$5,'MODELO PARA BI'!BH61,0)</f>
        <v/>
      </c>
      <c r="F56" s="110">
        <f>IF('MODELO PARA BI'!$E$61=0,0,(D56+E56)/'MODELO PARA BI'!$E$61)</f>
        <v/>
      </c>
      <c r="G56" s="110">
        <f>G55+F56</f>
        <v/>
      </c>
      <c r="I56" s="49">
        <f>B56*'VALOR POR PL'!$G$50</f>
        <v/>
      </c>
      <c r="J56" s="54">
        <f>I56*IF(A56&lt;='VALOR POR PL'!$P$5,IFERROR(INDEX('"INCC-FGV"'!$B$2:$B$800,MATCH(A56,'"INCC-FGV"'!$A$2:$A$800,0)),'VALOR POR PL'!$P$7),'VALOR POR PL'!$P$7)</f>
        <v/>
      </c>
      <c r="K56" s="71">
        <f>'MODELO PARA BI'!BH63</f>
        <v/>
      </c>
      <c r="L56" s="71">
        <f>'MODELO PARA BI'!BH64</f>
        <v/>
      </c>
      <c r="M56" s="54">
        <f>M55+J56</f>
        <v/>
      </c>
    </row>
    <row r="57">
      <c r="A57" s="112">
        <f>'MODELO PARA BI'!BI1</f>
        <v/>
      </c>
      <c r="B57" s="113" t="n"/>
      <c r="C57" s="110">
        <f>C56+B57</f>
        <v/>
      </c>
      <c r="D57" s="60">
        <f>IF(A57&lt;='VALOR POR PL'!$P$5,'MODELO PARA BI'!BI61,0)</f>
        <v/>
      </c>
      <c r="E57" s="60">
        <f>IF(A57&gt;'VALOR POR PL'!$P$5,'MODELO PARA BI'!BI61,0)</f>
        <v/>
      </c>
      <c r="F57" s="110">
        <f>IF('MODELO PARA BI'!$E$61=0,0,(D57+E57)/'MODELO PARA BI'!$E$61)</f>
        <v/>
      </c>
      <c r="G57" s="110">
        <f>G56+F57</f>
        <v/>
      </c>
      <c r="I57" s="49">
        <f>B57*'VALOR POR PL'!$G$50</f>
        <v/>
      </c>
      <c r="J57" s="54">
        <f>I57*IF(A57&lt;='VALOR POR PL'!$P$5,IFERROR(INDEX('"INCC-FGV"'!$B$2:$B$800,MATCH(A57,'"INCC-FGV"'!$A$2:$A$800,0)),'VALOR POR PL'!$P$7),'VALOR POR PL'!$P$7)</f>
        <v/>
      </c>
      <c r="K57" s="71">
        <f>'MODELO PARA BI'!BI63</f>
        <v/>
      </c>
      <c r="L57" s="71">
        <f>'MODELO PARA BI'!BI64</f>
        <v/>
      </c>
      <c r="M57" s="54">
        <f>M56+J57</f>
        <v/>
      </c>
    </row>
    <row r="58">
      <c r="A58" s="112">
        <f>'MODELO PARA BI'!BJ1</f>
        <v/>
      </c>
      <c r="B58" s="113" t="n"/>
      <c r="C58" s="110">
        <f>C57+B58</f>
        <v/>
      </c>
      <c r="D58" s="60">
        <f>IF(A58&lt;='VALOR POR PL'!$P$5,'MODELO PARA BI'!BJ61,0)</f>
        <v/>
      </c>
      <c r="E58" s="60">
        <f>IF(A58&gt;'VALOR POR PL'!$P$5,'MODELO PARA BI'!BJ61,0)</f>
        <v/>
      </c>
      <c r="F58" s="110">
        <f>IF('MODELO PARA BI'!$E$61=0,0,(D58+E58)/'MODELO PARA BI'!$E$61)</f>
        <v/>
      </c>
      <c r="G58" s="110">
        <f>G57+F58</f>
        <v/>
      </c>
      <c r="I58" s="49">
        <f>B58*'VALOR POR PL'!$G$50</f>
        <v/>
      </c>
      <c r="J58" s="54">
        <f>I58*IF(A58&lt;='VALOR POR PL'!$P$5,IFERROR(INDEX('"INCC-FGV"'!$B$2:$B$800,MATCH(A58,'"INCC-FGV"'!$A$2:$A$800,0)),'VALOR POR PL'!$P$7),'VALOR POR PL'!$P$7)</f>
        <v/>
      </c>
      <c r="K58" s="71">
        <f>'MODELO PARA BI'!BJ63</f>
        <v/>
      </c>
      <c r="L58" s="71">
        <f>'MODELO PARA BI'!BJ64</f>
        <v/>
      </c>
      <c r="M58" s="54">
        <f>M57+J58</f>
        <v/>
      </c>
    </row>
    <row r="59">
      <c r="A59" s="112">
        <f>'MODELO PARA BI'!BK1</f>
        <v/>
      </c>
      <c r="B59" s="113" t="n"/>
      <c r="C59" s="110">
        <f>C58+B59</f>
        <v/>
      </c>
      <c r="D59" s="60">
        <f>IF(A59&lt;='VALOR POR PL'!$P$5,'MODELO PARA BI'!BK61,0)</f>
        <v/>
      </c>
      <c r="E59" s="60">
        <f>IF(A59&gt;'VALOR POR PL'!$P$5,'MODELO PARA BI'!BK61,0)</f>
        <v/>
      </c>
      <c r="F59" s="110">
        <f>IF('MODELO PARA BI'!$E$61=0,0,(D59+E59)/'MODELO PARA BI'!$E$61)</f>
        <v/>
      </c>
      <c r="G59" s="110">
        <f>G58+F59</f>
        <v/>
      </c>
      <c r="I59" s="49">
        <f>B59*'VALOR POR PL'!$G$50</f>
        <v/>
      </c>
      <c r="J59" s="54">
        <f>I59*IF(A59&lt;='VALOR POR PL'!$P$5,IFERROR(INDEX('"INCC-FGV"'!$B$2:$B$800,MATCH(A59,'"INCC-FGV"'!$A$2:$A$800,0)),'VALOR POR PL'!$P$7),'VALOR POR PL'!$P$7)</f>
        <v/>
      </c>
      <c r="K59" s="71">
        <f>'MODELO PARA BI'!BK63</f>
        <v/>
      </c>
      <c r="L59" s="71">
        <f>'MODELO PARA BI'!BK64</f>
        <v/>
      </c>
      <c r="M59" s="54">
        <f>M58+J59</f>
        <v/>
      </c>
    </row>
    <row r="60">
      <c r="A60" s="112">
        <f>'MODELO PARA BI'!BL1</f>
        <v/>
      </c>
      <c r="B60" s="113" t="n"/>
      <c r="C60" s="110">
        <f>C59+B60</f>
        <v/>
      </c>
      <c r="D60" s="60">
        <f>IF(A60&lt;='VALOR POR PL'!$P$5,'MODELO PARA BI'!BL61,0)</f>
        <v/>
      </c>
      <c r="E60" s="60">
        <f>IF(A60&gt;'VALOR POR PL'!$P$5,'MODELO PARA BI'!BL61,0)</f>
        <v/>
      </c>
      <c r="F60" s="110">
        <f>IF('MODELO PARA BI'!$E$61=0,0,(D60+E60)/'MODELO PARA BI'!$E$61)</f>
        <v/>
      </c>
      <c r="G60" s="110">
        <f>G59+F60</f>
        <v/>
      </c>
      <c r="I60" s="49">
        <f>B60*'VALOR POR PL'!$G$50</f>
        <v/>
      </c>
      <c r="J60" s="54">
        <f>I60*IF(A60&lt;='VALOR POR PL'!$P$5,IFERROR(INDEX('"INCC-FGV"'!$B$2:$B$800,MATCH(A60,'"INCC-FGV"'!$A$2:$A$800,0)),'VALOR POR PL'!$P$7),'VALOR POR PL'!$P$7)</f>
        <v/>
      </c>
      <c r="K60" s="71">
        <f>'MODELO PARA BI'!BL63</f>
        <v/>
      </c>
      <c r="L60" s="71">
        <f>'MODELO PARA BI'!BL64</f>
        <v/>
      </c>
      <c r="M60" s="54">
        <f>M59+J60</f>
        <v/>
      </c>
    </row>
    <row r="61">
      <c r="A61" s="112">
        <f>'MODELO PARA BI'!BM1</f>
        <v/>
      </c>
      <c r="B61" s="113" t="n"/>
      <c r="C61" s="110">
        <f>C60+B61</f>
        <v/>
      </c>
      <c r="D61" s="60">
        <f>IF(A61&lt;='VALOR POR PL'!$P$5,'MODELO PARA BI'!BM61,0)</f>
        <v/>
      </c>
      <c r="E61" s="60">
        <f>IF(A61&gt;'VALOR POR PL'!$P$5,'MODELO PARA BI'!BM61,0)</f>
        <v/>
      </c>
      <c r="F61" s="110">
        <f>IF('MODELO PARA BI'!$E$61=0,0,(D61+E61)/'MODELO PARA BI'!$E$61)</f>
        <v/>
      </c>
      <c r="G61" s="110">
        <f>G60+F61</f>
        <v/>
      </c>
      <c r="I61" s="49">
        <f>B61*'VALOR POR PL'!$G$50</f>
        <v/>
      </c>
      <c r="J61" s="54">
        <f>I61*IF(A61&lt;='VALOR POR PL'!$P$5,IFERROR(INDEX('"INCC-FGV"'!$B$2:$B$800,MATCH(A61,'"INCC-FGV"'!$A$2:$A$800,0)),'VALOR POR PL'!$P$7),'VALOR POR PL'!$P$7)</f>
        <v/>
      </c>
      <c r="K61" s="71">
        <f>'MODELO PARA BI'!BM63</f>
        <v/>
      </c>
      <c r="L61" s="71">
        <f>'MODELO PARA BI'!BM64</f>
        <v/>
      </c>
      <c r="M61" s="54">
        <f>M60+J61</f>
        <v/>
      </c>
    </row>
    <row r="62">
      <c r="A62" s="112">
        <f>'MODELO PARA BI'!BN1</f>
        <v/>
      </c>
      <c r="B62" s="113" t="n"/>
      <c r="C62" s="110">
        <f>C61+B62</f>
        <v/>
      </c>
      <c r="D62" s="60">
        <f>IF(A62&lt;='VALOR POR PL'!$P$5,'MODELO PARA BI'!BN61,0)</f>
        <v/>
      </c>
      <c r="E62" s="60">
        <f>IF(A62&gt;'VALOR POR PL'!$P$5,'MODELO PARA BI'!BN61,0)</f>
        <v/>
      </c>
      <c r="F62" s="110">
        <f>IF('MODELO PARA BI'!$E$61=0,0,(D62+E62)/'MODELO PARA BI'!$E$61)</f>
        <v/>
      </c>
      <c r="G62" s="110">
        <f>G61+F62</f>
        <v/>
      </c>
      <c r="I62" s="49">
        <f>B62*'VALOR POR PL'!$G$50</f>
        <v/>
      </c>
      <c r="J62" s="54">
        <f>I62*IF(A62&lt;='VALOR POR PL'!$P$5,IFERROR(INDEX('"INCC-FGV"'!$B$2:$B$800,MATCH(A62,'"INCC-FGV"'!$A$2:$A$800,0)),'VALOR POR PL'!$P$7),'VALOR POR PL'!$P$7)</f>
        <v/>
      </c>
      <c r="K62" s="71">
        <f>'MODELO PARA BI'!BN63</f>
        <v/>
      </c>
      <c r="L62" s="71">
        <f>'MODELO PARA BI'!BN64</f>
        <v/>
      </c>
      <c r="M62" s="54">
        <f>M61+J62</f>
        <v/>
      </c>
    </row>
    <row r="63">
      <c r="A63" s="112">
        <f>'MODELO PARA BI'!BO1</f>
        <v/>
      </c>
      <c r="B63" s="113" t="n"/>
      <c r="C63" s="110">
        <f>C62+B63</f>
        <v/>
      </c>
      <c r="D63" s="60">
        <f>IF(A63&lt;='VALOR POR PL'!$P$5,'MODELO PARA BI'!BO61,0)</f>
        <v/>
      </c>
      <c r="E63" s="60">
        <f>IF(A63&gt;'VALOR POR PL'!$P$5,'MODELO PARA BI'!BO61,0)</f>
        <v/>
      </c>
      <c r="F63" s="110">
        <f>IF('MODELO PARA BI'!$E$61=0,0,(D63+E63)/'MODELO PARA BI'!$E$61)</f>
        <v/>
      </c>
      <c r="G63" s="110">
        <f>G62+F63</f>
        <v/>
      </c>
      <c r="I63" s="49">
        <f>B63*'VALOR POR PL'!$G$50</f>
        <v/>
      </c>
      <c r="J63" s="54">
        <f>I63*IF(A63&lt;='VALOR POR PL'!$P$5,IFERROR(INDEX('"INCC-FGV"'!$B$2:$B$800,MATCH(A63,'"INCC-FGV"'!$A$2:$A$800,0)),'VALOR POR PL'!$P$7),'VALOR POR PL'!$P$7)</f>
        <v/>
      </c>
      <c r="K63" s="71">
        <f>'MODELO PARA BI'!BO63</f>
        <v/>
      </c>
      <c r="L63" s="71">
        <f>'MODELO PARA BI'!BO64</f>
        <v/>
      </c>
      <c r="M63" s="54">
        <f>M62+J63</f>
        <v/>
      </c>
    </row>
    <row r="64">
      <c r="A64" s="112">
        <f>'MODELO PARA BI'!BP1</f>
        <v/>
      </c>
      <c r="B64" s="113" t="n"/>
      <c r="C64" s="110">
        <f>C63+B64</f>
        <v/>
      </c>
      <c r="D64" s="60">
        <f>IF(A64&lt;='VALOR POR PL'!$P$5,'MODELO PARA BI'!BP61,0)</f>
        <v/>
      </c>
      <c r="E64" s="60">
        <f>IF(A64&gt;'VALOR POR PL'!$P$5,'MODELO PARA BI'!BP61,0)</f>
        <v/>
      </c>
      <c r="F64" s="110">
        <f>IF('MODELO PARA BI'!$E$61=0,0,(D64+E64)/'MODELO PARA BI'!$E$61)</f>
        <v/>
      </c>
      <c r="G64" s="110">
        <f>G63+F64</f>
        <v/>
      </c>
      <c r="I64" s="49">
        <f>B64*'VALOR POR PL'!$G$50</f>
        <v/>
      </c>
      <c r="J64" s="54">
        <f>I64*IF(A64&lt;='VALOR POR PL'!$P$5,IFERROR(INDEX('"INCC-FGV"'!$B$2:$B$800,MATCH(A64,'"INCC-FGV"'!$A$2:$A$800,0)),'VALOR POR PL'!$P$7),'VALOR POR PL'!$P$7)</f>
        <v/>
      </c>
      <c r="K64" s="71">
        <f>'MODELO PARA BI'!BP63</f>
        <v/>
      </c>
      <c r="L64" s="71">
        <f>'MODELO PARA BI'!BP64</f>
        <v/>
      </c>
      <c r="M64" s="54">
        <f>M63+J64</f>
        <v/>
      </c>
    </row>
    <row r="65">
      <c r="A65" s="112">
        <f>'MODELO PARA BI'!BQ1</f>
        <v/>
      </c>
      <c r="B65" s="113" t="n"/>
      <c r="C65" s="110">
        <f>C64+B65</f>
        <v/>
      </c>
      <c r="D65" s="60">
        <f>IF(A65&lt;='VALOR POR PL'!$P$5,'MODELO PARA BI'!BQ61,0)</f>
        <v/>
      </c>
      <c r="E65" s="60">
        <f>IF(A65&gt;'VALOR POR PL'!$P$5,'MODELO PARA BI'!BQ61,0)</f>
        <v/>
      </c>
      <c r="F65" s="110">
        <f>IF('MODELO PARA BI'!$E$61=0,0,(D65+E65)/'MODELO PARA BI'!$E$61)</f>
        <v/>
      </c>
      <c r="G65" s="110">
        <f>G64+F65</f>
        <v/>
      </c>
      <c r="I65" s="49">
        <f>B65*'VALOR POR PL'!$G$50</f>
        <v/>
      </c>
      <c r="J65" s="54">
        <f>I65*IF(A65&lt;='VALOR POR PL'!$P$5,IFERROR(INDEX('"INCC-FGV"'!$B$2:$B$800,MATCH(A65,'"INCC-FGV"'!$A$2:$A$800,0)),'VALOR POR PL'!$P$7),'VALOR POR PL'!$P$7)</f>
        <v/>
      </c>
      <c r="K65" s="71">
        <f>'MODELO PARA BI'!BQ63</f>
        <v/>
      </c>
      <c r="L65" s="71">
        <f>'MODELO PARA BI'!BQ64</f>
        <v/>
      </c>
      <c r="M65" s="54">
        <f>M64+J65</f>
        <v/>
      </c>
    </row>
    <row r="66">
      <c r="A66" s="112">
        <f>'MODELO PARA BI'!BR1</f>
        <v/>
      </c>
      <c r="B66" s="113" t="n"/>
      <c r="C66" s="110">
        <f>C65+B66</f>
        <v/>
      </c>
      <c r="D66" s="60">
        <f>IF(A66&lt;='VALOR POR PL'!$P$5,'MODELO PARA BI'!BR61,0)</f>
        <v/>
      </c>
      <c r="E66" s="60">
        <f>IF(A66&gt;'VALOR POR PL'!$P$5,'MODELO PARA BI'!BR61,0)</f>
        <v/>
      </c>
      <c r="F66" s="110">
        <f>IF('MODELO PARA BI'!$E$61=0,0,(D66+E66)/'MODELO PARA BI'!$E$61)</f>
        <v/>
      </c>
      <c r="G66" s="110">
        <f>G65+F66</f>
        <v/>
      </c>
      <c r="I66" s="49">
        <f>B66*'VALOR POR PL'!$G$50</f>
        <v/>
      </c>
      <c r="J66" s="54">
        <f>I66*IF(A66&lt;='VALOR POR PL'!$P$5,IFERROR(INDEX('"INCC-FGV"'!$B$2:$B$800,MATCH(A66,'"INCC-FGV"'!$A$2:$A$800,0)),'VALOR POR PL'!$P$7),'VALOR POR PL'!$P$7)</f>
        <v/>
      </c>
      <c r="K66" s="71">
        <f>'MODELO PARA BI'!BR63</f>
        <v/>
      </c>
      <c r="L66" s="71">
        <f>'MODELO PARA BI'!BR64</f>
        <v/>
      </c>
      <c r="M66" s="54">
        <f>M65+J66</f>
        <v/>
      </c>
    </row>
    <row r="67">
      <c r="A67" s="112">
        <f>'MODELO PARA BI'!BS1</f>
        <v/>
      </c>
      <c r="B67" s="113" t="n"/>
      <c r="C67" s="110">
        <f>C66+B67</f>
        <v/>
      </c>
      <c r="D67" s="60">
        <f>IF(A67&lt;='VALOR POR PL'!$P$5,'MODELO PARA BI'!BS61,0)</f>
        <v/>
      </c>
      <c r="E67" s="60">
        <f>IF(A67&gt;'VALOR POR PL'!$P$5,'MODELO PARA BI'!BS61,0)</f>
        <v/>
      </c>
      <c r="F67" s="110">
        <f>IF('MODELO PARA BI'!$E$61=0,0,(D67+E67)/'MODELO PARA BI'!$E$61)</f>
        <v/>
      </c>
      <c r="G67" s="110">
        <f>G66+F67</f>
        <v/>
      </c>
      <c r="I67" s="49">
        <f>B67*'VALOR POR PL'!$G$50</f>
        <v/>
      </c>
      <c r="J67" s="54">
        <f>I67*IF(A67&lt;='VALOR POR PL'!$P$5,IFERROR(INDEX('"INCC-FGV"'!$B$2:$B$800,MATCH(A67,'"INCC-FGV"'!$A$2:$A$800,0)),'VALOR POR PL'!$P$7),'VALOR POR PL'!$P$7)</f>
        <v/>
      </c>
      <c r="K67" s="71">
        <f>'MODELO PARA BI'!BS63</f>
        <v/>
      </c>
      <c r="L67" s="71">
        <f>'MODELO PARA BI'!BS64</f>
        <v/>
      </c>
      <c r="M67" s="54">
        <f>M66+J67</f>
        <v/>
      </c>
    </row>
    <row r="68">
      <c r="A68" s="112">
        <f>'MODELO PARA BI'!BT1</f>
        <v/>
      </c>
      <c r="B68" s="113" t="n"/>
      <c r="C68" s="110">
        <f>C67+B68</f>
        <v/>
      </c>
      <c r="D68" s="60">
        <f>IF(A68&lt;='VALOR POR PL'!$P$5,'MODELO PARA BI'!BT61,0)</f>
        <v/>
      </c>
      <c r="E68" s="60">
        <f>IF(A68&gt;'VALOR POR PL'!$P$5,'MODELO PARA BI'!BT61,0)</f>
        <v/>
      </c>
      <c r="F68" s="110">
        <f>IF('MODELO PARA BI'!$E$61=0,0,(D68+E68)/'MODELO PARA BI'!$E$61)</f>
        <v/>
      </c>
      <c r="G68" s="110">
        <f>G67+F68</f>
        <v/>
      </c>
      <c r="I68" s="49">
        <f>B68*'VALOR POR PL'!$G$50</f>
        <v/>
      </c>
      <c r="J68" s="54">
        <f>I68*IF(A68&lt;='VALOR POR PL'!$P$5,IFERROR(INDEX('"INCC-FGV"'!$B$2:$B$800,MATCH(A68,'"INCC-FGV"'!$A$2:$A$800,0)),'VALOR POR PL'!$P$7),'VALOR POR PL'!$P$7)</f>
        <v/>
      </c>
      <c r="K68" s="71">
        <f>'MODELO PARA BI'!BT63</f>
        <v/>
      </c>
      <c r="L68" s="71">
        <f>'MODELO PARA BI'!BT64</f>
        <v/>
      </c>
      <c r="M68" s="54">
        <f>M67+J68</f>
        <v/>
      </c>
    </row>
    <row r="69">
      <c r="A69" s="112">
        <f>'MODELO PARA BI'!BU1</f>
        <v/>
      </c>
      <c r="B69" s="113" t="n"/>
      <c r="C69" s="110">
        <f>C68+B69</f>
        <v/>
      </c>
      <c r="D69" s="60">
        <f>IF(A69&lt;='VALOR POR PL'!$P$5,'MODELO PARA BI'!BU61,0)</f>
        <v/>
      </c>
      <c r="E69" s="60">
        <f>IF(A69&gt;'VALOR POR PL'!$P$5,'MODELO PARA BI'!BU61,0)</f>
        <v/>
      </c>
      <c r="F69" s="110">
        <f>IF('MODELO PARA BI'!$E$61=0,0,(D69+E69)/'MODELO PARA BI'!$E$61)</f>
        <v/>
      </c>
      <c r="G69" s="110">
        <f>G68+F69</f>
        <v/>
      </c>
      <c r="I69" s="49">
        <f>B69*'VALOR POR PL'!$G$50</f>
        <v/>
      </c>
      <c r="J69" s="54">
        <f>I69*IF(A69&lt;='VALOR POR PL'!$P$5,IFERROR(INDEX('"INCC-FGV"'!$B$2:$B$800,MATCH(A69,'"INCC-FGV"'!$A$2:$A$800,0)),'VALOR POR PL'!$P$7),'VALOR POR PL'!$P$7)</f>
        <v/>
      </c>
      <c r="K69" s="71">
        <f>'MODELO PARA BI'!BU63</f>
        <v/>
      </c>
      <c r="L69" s="71">
        <f>'MODELO PARA BI'!BU64</f>
        <v/>
      </c>
      <c r="M69" s="54">
        <f>M68+J69</f>
        <v/>
      </c>
    </row>
    <row r="70">
      <c r="A70" s="112">
        <f>'MODELO PARA BI'!BV1</f>
        <v/>
      </c>
      <c r="B70" s="113" t="n"/>
      <c r="C70" s="110">
        <f>C69+B70</f>
        <v/>
      </c>
      <c r="D70" s="60">
        <f>IF(A70&lt;='VALOR POR PL'!$P$5,'MODELO PARA BI'!BV61,0)</f>
        <v/>
      </c>
      <c r="E70" s="60">
        <f>IF(A70&gt;'VALOR POR PL'!$P$5,'MODELO PARA BI'!BV61,0)</f>
        <v/>
      </c>
      <c r="F70" s="110">
        <f>IF('MODELO PARA BI'!$E$61=0,0,(D70+E70)/'MODELO PARA BI'!$E$61)</f>
        <v/>
      </c>
      <c r="G70" s="110">
        <f>G69+F70</f>
        <v/>
      </c>
      <c r="I70" s="49">
        <f>B70*'VALOR POR PL'!$G$50</f>
        <v/>
      </c>
      <c r="J70" s="54">
        <f>I70*IF(A70&lt;='VALOR POR PL'!$P$5,IFERROR(INDEX('"INCC-FGV"'!$B$2:$B$800,MATCH(A70,'"INCC-FGV"'!$A$2:$A$800,0)),'VALOR POR PL'!$P$7),'VALOR POR PL'!$P$7)</f>
        <v/>
      </c>
      <c r="K70" s="71">
        <f>'MODELO PARA BI'!BV63</f>
        <v/>
      </c>
      <c r="L70" s="71">
        <f>'MODELO PARA BI'!BV64</f>
        <v/>
      </c>
      <c r="M70" s="54">
        <f>M69+J70</f>
        <v/>
      </c>
    </row>
    <row r="71">
      <c r="A71" s="112">
        <f>'MODELO PARA BI'!BW1</f>
        <v/>
      </c>
      <c r="B71" s="113" t="n"/>
      <c r="C71" s="110">
        <f>C70+B71</f>
        <v/>
      </c>
      <c r="D71" s="60">
        <f>IF(A71&lt;='VALOR POR PL'!$P$5,'MODELO PARA BI'!BW61,0)</f>
        <v/>
      </c>
      <c r="E71" s="60">
        <f>IF(A71&gt;'VALOR POR PL'!$P$5,'MODELO PARA BI'!BW61,0)</f>
        <v/>
      </c>
      <c r="F71" s="110">
        <f>IF('MODELO PARA BI'!$E$61=0,0,(D71+E71)/'MODELO PARA BI'!$E$61)</f>
        <v/>
      </c>
      <c r="G71" s="110">
        <f>G70+F71</f>
        <v/>
      </c>
      <c r="I71" s="49">
        <f>B71*'VALOR POR PL'!$G$50</f>
        <v/>
      </c>
      <c r="J71" s="54">
        <f>I71*IF(A71&lt;='VALOR POR PL'!$P$5,IFERROR(INDEX('"INCC-FGV"'!$B$2:$B$800,MATCH(A71,'"INCC-FGV"'!$A$2:$A$800,0)),'VALOR POR PL'!$P$7),'VALOR POR PL'!$P$7)</f>
        <v/>
      </c>
      <c r="K71" s="71">
        <f>'MODELO PARA BI'!BW63</f>
        <v/>
      </c>
      <c r="L71" s="71">
        <f>'MODELO PARA BI'!BW64</f>
        <v/>
      </c>
      <c r="M71" s="54">
        <f>M70+J71</f>
        <v/>
      </c>
    </row>
    <row r="72">
      <c r="A72" s="112">
        <f>'MODELO PARA BI'!BX1</f>
        <v/>
      </c>
      <c r="B72" s="113" t="n"/>
      <c r="C72" s="110">
        <f>C71+B72</f>
        <v/>
      </c>
      <c r="D72" s="60">
        <f>IF(A72&lt;='VALOR POR PL'!$P$5,'MODELO PARA BI'!BX61,0)</f>
        <v/>
      </c>
      <c r="E72" s="60">
        <f>IF(A72&gt;'VALOR POR PL'!$P$5,'MODELO PARA BI'!BX61,0)</f>
        <v/>
      </c>
      <c r="F72" s="110">
        <f>IF('MODELO PARA BI'!$E$61=0,0,(D72+E72)/'MODELO PARA BI'!$E$61)</f>
        <v/>
      </c>
      <c r="G72" s="110">
        <f>G71+F72</f>
        <v/>
      </c>
      <c r="I72" s="49">
        <f>B72*'VALOR POR PL'!$G$50</f>
        <v/>
      </c>
      <c r="J72" s="54">
        <f>I72*IF(A72&lt;='VALOR POR PL'!$P$5,IFERROR(INDEX('"INCC-FGV"'!$B$2:$B$800,MATCH(A72,'"INCC-FGV"'!$A$2:$A$800,0)),'VALOR POR PL'!$P$7),'VALOR POR PL'!$P$7)</f>
        <v/>
      </c>
      <c r="K72" s="71">
        <f>'MODELO PARA BI'!BX63</f>
        <v/>
      </c>
      <c r="L72" s="71">
        <f>'MODELO PARA BI'!BX64</f>
        <v/>
      </c>
      <c r="M72" s="54">
        <f>M71+J72</f>
        <v/>
      </c>
    </row>
    <row r="73">
      <c r="A73" s="112">
        <f>'MODELO PARA BI'!BY1</f>
        <v/>
      </c>
      <c r="B73" s="113" t="n"/>
      <c r="C73" s="110">
        <f>C72+B73</f>
        <v/>
      </c>
      <c r="D73" s="60">
        <f>IF(A73&lt;='VALOR POR PL'!$P$5,'MODELO PARA BI'!BY61,0)</f>
        <v/>
      </c>
      <c r="E73" s="60">
        <f>IF(A73&gt;'VALOR POR PL'!$P$5,'MODELO PARA BI'!BY61,0)</f>
        <v/>
      </c>
      <c r="F73" s="110">
        <f>IF('MODELO PARA BI'!$E$61=0,0,(D73+E73)/'MODELO PARA BI'!$E$61)</f>
        <v/>
      </c>
      <c r="G73" s="110">
        <f>G72+F73</f>
        <v/>
      </c>
      <c r="I73" s="49">
        <f>B73*'VALOR POR PL'!$G$50</f>
        <v/>
      </c>
      <c r="J73" s="54">
        <f>I73*IF(A73&lt;='VALOR POR PL'!$P$5,IFERROR(INDEX('"INCC-FGV"'!$B$2:$B$800,MATCH(A73,'"INCC-FGV"'!$A$2:$A$800,0)),'VALOR POR PL'!$P$7),'VALOR POR PL'!$P$7)</f>
        <v/>
      </c>
      <c r="K73" s="71">
        <f>'MODELO PARA BI'!BY63</f>
        <v/>
      </c>
      <c r="L73" s="71">
        <f>'MODELO PARA BI'!BY64</f>
        <v/>
      </c>
      <c r="M73" s="54">
        <f>M72+J73</f>
        <v/>
      </c>
    </row>
    <row r="74">
      <c r="A74" s="112">
        <f>'MODELO PARA BI'!BZ1</f>
        <v/>
      </c>
      <c r="B74" s="113" t="n"/>
      <c r="C74" s="110">
        <f>C73+B74</f>
        <v/>
      </c>
      <c r="D74" s="60">
        <f>IF(A74&lt;='VALOR POR PL'!$P$5,'MODELO PARA BI'!BZ61,0)</f>
        <v/>
      </c>
      <c r="E74" s="60">
        <f>IF(A74&gt;'VALOR POR PL'!$P$5,'MODELO PARA BI'!BZ61,0)</f>
        <v/>
      </c>
      <c r="F74" s="110">
        <f>IF('MODELO PARA BI'!$E$61=0,0,(D74+E74)/'MODELO PARA BI'!$E$61)</f>
        <v/>
      </c>
      <c r="G74" s="110">
        <f>G73+F74</f>
        <v/>
      </c>
      <c r="I74" s="49">
        <f>B74*'VALOR POR PL'!$G$50</f>
        <v/>
      </c>
      <c r="J74" s="54">
        <f>I74*IF(A74&lt;='VALOR POR PL'!$P$5,IFERROR(INDEX('"INCC-FGV"'!$B$2:$B$800,MATCH(A74,'"INCC-FGV"'!$A$2:$A$800,0)),'VALOR POR PL'!$P$7),'VALOR POR PL'!$P$7)</f>
        <v/>
      </c>
      <c r="K74" s="71">
        <f>'MODELO PARA BI'!BZ63</f>
        <v/>
      </c>
      <c r="L74" s="71">
        <f>'MODELO PARA BI'!BZ64</f>
        <v/>
      </c>
      <c r="M74" s="54">
        <f>M73+J74</f>
        <v/>
      </c>
    </row>
    <row r="75">
      <c r="A75" s="112">
        <f>'MODELO PARA BI'!CA1</f>
        <v/>
      </c>
      <c r="B75" s="113" t="n"/>
      <c r="C75" s="110">
        <f>C74+B75</f>
        <v/>
      </c>
      <c r="D75" s="60">
        <f>IF(A75&lt;='VALOR POR PL'!$P$5,'MODELO PARA BI'!CA61,0)</f>
        <v/>
      </c>
      <c r="E75" s="60">
        <f>IF(A75&gt;'VALOR POR PL'!$P$5,'MODELO PARA BI'!CA61,0)</f>
        <v/>
      </c>
      <c r="F75" s="110">
        <f>IF('MODELO PARA BI'!$E$61=0,0,(D75+E75)/'MODELO PARA BI'!$E$61)</f>
        <v/>
      </c>
      <c r="G75" s="110">
        <f>G74+F75</f>
        <v/>
      </c>
      <c r="I75" s="49">
        <f>B75*'VALOR POR PL'!$G$50</f>
        <v/>
      </c>
      <c r="J75" s="54">
        <f>I75*IF(A75&lt;='VALOR POR PL'!$P$5,IFERROR(INDEX('"INCC-FGV"'!$B$2:$B$800,MATCH(A75,'"INCC-FGV"'!$A$2:$A$800,0)),'VALOR POR PL'!$P$7),'VALOR POR PL'!$P$7)</f>
        <v/>
      </c>
      <c r="K75" s="71">
        <f>'MODELO PARA BI'!CA63</f>
        <v/>
      </c>
      <c r="L75" s="71">
        <f>'MODELO PARA BI'!CA64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8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14" t="n">
        <v>34547</v>
      </c>
      <c r="B2" s="47" t="n">
        <v>100</v>
      </c>
      <c r="D2" s="115">
        <f>IF(B2="","",IFERROR(B2/INDEX($B$2:$B$800,MATCH(DATE(YEAR(A2)-1,12,1),$A$2:$A$800,0))-1,""))</f>
        <v/>
      </c>
      <c r="E2" s="115">
        <f>IF(B2="","",IFERROR(B2/INDEX($B$2:$B$800,MATCH(DATE(YEAR(A2)-1,MONTH(A2),1),$A$2:$A$800,0))-1,""))</f>
        <v/>
      </c>
      <c r="G2" s="116" t="inlineStr">
        <is>
          <t>Fonte: FGV (INCC-DI). Acrescente uma linha por mês.</t>
        </is>
      </c>
    </row>
    <row r="3">
      <c r="A3" s="114" t="n">
        <v>34578</v>
      </c>
      <c r="B3" s="47" t="n">
        <v>100.381</v>
      </c>
      <c r="C3" s="115">
        <f>IF(OR(B3="",B2=""),"",B3/B2-1)</f>
        <v/>
      </c>
      <c r="D3" s="115">
        <f>IF(B3="","",IFERROR(B3/INDEX($B$2:$B$800,MATCH(DATE(YEAR(A3)-1,12,1),$A$2:$A$800,0))-1,""))</f>
        <v/>
      </c>
      <c r="E3" s="115">
        <f>IF(B3="","",IFERROR(B3/INDEX($B$2:$B$800,MATCH(DATE(YEAR(A3)-1,MONTH(A3),1),$A$2:$A$800,0))-1,""))</f>
        <v/>
      </c>
    </row>
    <row r="4">
      <c r="A4" s="114" t="n">
        <v>34608</v>
      </c>
      <c r="B4" s="47" t="n">
        <v>101.71</v>
      </c>
      <c r="C4" s="115">
        <f>IF(OR(B4="",B3=""),"",B4/B3-1)</f>
        <v/>
      </c>
      <c r="D4" s="115">
        <f>IF(B4="","",IFERROR(B4/INDEX($B$2:$B$800,MATCH(DATE(YEAR(A4)-1,12,1),$A$2:$A$800,0))-1,""))</f>
        <v/>
      </c>
      <c r="E4" s="115">
        <f>IF(B4="","",IFERROR(B4/INDEX($B$2:$B$800,MATCH(DATE(YEAR(A4)-1,MONTH(A4),1),$A$2:$A$800,0))-1,""))</f>
        <v/>
      </c>
    </row>
    <row r="5">
      <c r="A5" s="114" t="n">
        <v>34639</v>
      </c>
      <c r="B5" s="47" t="n">
        <v>104.11</v>
      </c>
      <c r="C5" s="115">
        <f>IF(OR(B5="",B4=""),"",B5/B4-1)</f>
        <v/>
      </c>
      <c r="D5" s="115">
        <f>IF(B5="","",IFERROR(B5/INDEX($B$2:$B$800,MATCH(DATE(YEAR(A5)-1,12,1),$A$2:$A$800,0))-1,""))</f>
        <v/>
      </c>
      <c r="E5" s="115">
        <f>IF(B5="","",IFERROR(B5/INDEX($B$2:$B$800,MATCH(DATE(YEAR(A5)-1,MONTH(A5),1),$A$2:$A$800,0))-1,""))</f>
        <v/>
      </c>
    </row>
    <row r="6">
      <c r="A6" s="114" t="n">
        <v>34669</v>
      </c>
      <c r="B6" s="47" t="n">
        <v>105.487</v>
      </c>
      <c r="C6" s="115">
        <f>IF(OR(B6="",B5=""),"",B6/B5-1)</f>
        <v/>
      </c>
      <c r="D6" s="115">
        <f>IF(B6="","",IFERROR(B6/INDEX($B$2:$B$800,MATCH(DATE(YEAR(A6)-1,12,1),$A$2:$A$800,0))-1,""))</f>
        <v/>
      </c>
      <c r="E6" s="115">
        <f>IF(B6="","",IFERROR(B6/INDEX($B$2:$B$800,MATCH(DATE(YEAR(A6)-1,MONTH(A6),1),$A$2:$A$800,0))-1,""))</f>
        <v/>
      </c>
    </row>
    <row r="7">
      <c r="A7" s="114" t="n">
        <v>34700</v>
      </c>
      <c r="B7" s="47" t="n">
        <v>109.176</v>
      </c>
      <c r="C7" s="115">
        <f>IF(OR(B7="",B6=""),"",B7/B6-1)</f>
        <v/>
      </c>
      <c r="D7" s="115">
        <f>IF(B7="","",IFERROR(B7/INDEX($B$2:$B$800,MATCH(DATE(YEAR(A7)-1,12,1),$A$2:$A$800,0))-1,""))</f>
        <v/>
      </c>
      <c r="E7" s="115">
        <f>IF(B7="","",IFERROR(B7/INDEX($B$2:$B$800,MATCH(DATE(YEAR(A7)-1,MONTH(A7),1),$A$2:$A$800,0))-1,""))</f>
        <v/>
      </c>
    </row>
    <row r="8">
      <c r="A8" s="114" t="n">
        <v>34731</v>
      </c>
      <c r="B8" s="47" t="n">
        <v>111.453</v>
      </c>
      <c r="C8" s="115">
        <f>IF(OR(B8="",B7=""),"",B8/B7-1)</f>
        <v/>
      </c>
      <c r="D8" s="115">
        <f>IF(B8="","",IFERROR(B8/INDEX($B$2:$B$800,MATCH(DATE(YEAR(A8)-1,12,1),$A$2:$A$800,0))-1,""))</f>
        <v/>
      </c>
      <c r="E8" s="115">
        <f>IF(B8="","",IFERROR(B8/INDEX($B$2:$B$800,MATCH(DATE(YEAR(A8)-1,MONTH(A8),1),$A$2:$A$800,0))-1,""))</f>
        <v/>
      </c>
    </row>
    <row r="9">
      <c r="A9" s="114" t="n">
        <v>34759</v>
      </c>
      <c r="B9" s="47" t="n">
        <v>115.129</v>
      </c>
      <c r="C9" s="115">
        <f>IF(OR(B9="",B8=""),"",B9/B8-1)</f>
        <v/>
      </c>
      <c r="D9" s="115">
        <f>IF(B9="","",IFERROR(B9/INDEX($B$2:$B$800,MATCH(DATE(YEAR(A9)-1,12,1),$A$2:$A$800,0))-1,""))</f>
        <v/>
      </c>
      <c r="E9" s="115">
        <f>IF(B9="","",IFERROR(B9/INDEX($B$2:$B$800,MATCH(DATE(YEAR(A9)-1,MONTH(A9),1),$A$2:$A$800,0))-1,""))</f>
        <v/>
      </c>
    </row>
    <row r="10">
      <c r="A10" s="114" t="n">
        <v>34790</v>
      </c>
      <c r="B10" s="47" t="n">
        <v>117.774</v>
      </c>
      <c r="C10" s="115">
        <f>IF(OR(B10="",B9=""),"",B10/B9-1)</f>
        <v/>
      </c>
      <c r="D10" s="115">
        <f>IF(B10="","",IFERROR(B10/INDEX($B$2:$B$800,MATCH(DATE(YEAR(A10)-1,12,1),$A$2:$A$800,0))-1,""))</f>
        <v/>
      </c>
      <c r="E10" s="115">
        <f>IF(B10="","",IFERROR(B10/INDEX($B$2:$B$800,MATCH(DATE(YEAR(A10)-1,MONTH(A10),1),$A$2:$A$800,0))-1,""))</f>
        <v/>
      </c>
    </row>
    <row r="11">
      <c r="A11" s="114" t="n">
        <v>34820</v>
      </c>
      <c r="B11" s="47" t="n">
        <v>128.098</v>
      </c>
      <c r="C11" s="115">
        <f>IF(OR(B11="",B10=""),"",B11/B10-1)</f>
        <v/>
      </c>
      <c r="D11" s="115">
        <f>IF(B11="","",IFERROR(B11/INDEX($B$2:$B$800,MATCH(DATE(YEAR(A11)-1,12,1),$A$2:$A$800,0))-1,""))</f>
        <v/>
      </c>
      <c r="E11" s="115">
        <f>IF(B11="","",IFERROR(B11/INDEX($B$2:$B$800,MATCH(DATE(YEAR(A11)-1,MONTH(A11),1),$A$2:$A$800,0))-1,""))</f>
        <v/>
      </c>
    </row>
    <row r="12">
      <c r="A12" s="114" t="n">
        <v>34851</v>
      </c>
      <c r="B12" s="47" t="n">
        <v>132.09</v>
      </c>
      <c r="C12" s="115">
        <f>IF(OR(B12="",B11=""),"",B12/B11-1)</f>
        <v/>
      </c>
      <c r="D12" s="115">
        <f>IF(B12="","",IFERROR(B12/INDEX($B$2:$B$800,MATCH(DATE(YEAR(A12)-1,12,1),$A$2:$A$800,0))-1,""))</f>
        <v/>
      </c>
      <c r="E12" s="115">
        <f>IF(B12="","",IFERROR(B12/INDEX($B$2:$B$800,MATCH(DATE(YEAR(A12)-1,MONTH(A12),1),$A$2:$A$800,0))-1,""))</f>
        <v/>
      </c>
    </row>
    <row r="13">
      <c r="A13" s="114" t="n">
        <v>34881</v>
      </c>
      <c r="B13" s="47" t="n">
        <v>133.524</v>
      </c>
      <c r="C13" s="115">
        <f>IF(OR(B13="",B12=""),"",B13/B12-1)</f>
        <v/>
      </c>
      <c r="D13" s="115">
        <f>IF(B13="","",IFERROR(B13/INDEX($B$2:$B$800,MATCH(DATE(YEAR(A13)-1,12,1),$A$2:$A$800,0))-1,""))</f>
        <v/>
      </c>
      <c r="E13" s="115">
        <f>IF(B13="","",IFERROR(B13/INDEX($B$2:$B$800,MATCH(DATE(YEAR(A13)-1,MONTH(A13),1),$A$2:$A$800,0))-1,""))</f>
        <v/>
      </c>
    </row>
    <row r="14">
      <c r="A14" s="114" t="n">
        <v>34912</v>
      </c>
      <c r="B14" s="47" t="n">
        <v>134.353</v>
      </c>
      <c r="C14" s="115">
        <f>IF(OR(B14="",B13=""),"",B14/B13-1)</f>
        <v/>
      </c>
      <c r="D14" s="115">
        <f>IF(B14="","",IFERROR(B14/INDEX($B$2:$B$800,MATCH(DATE(YEAR(A14)-1,12,1),$A$2:$A$800,0))-1,""))</f>
        <v/>
      </c>
      <c r="E14" s="115">
        <f>IF(B14="","",IFERROR(B14/INDEX($B$2:$B$800,MATCH(DATE(YEAR(A14)-1,MONTH(A14),1),$A$2:$A$800,0))-1,""))</f>
        <v/>
      </c>
    </row>
    <row r="15">
      <c r="A15" s="114" t="n">
        <v>34943</v>
      </c>
      <c r="B15" s="47" t="n">
        <v>135.318</v>
      </c>
      <c r="C15" s="115">
        <f>IF(OR(B15="",B14=""),"",B15/B14-1)</f>
        <v/>
      </c>
      <c r="D15" s="115">
        <f>IF(B15="","",IFERROR(B15/INDEX($B$2:$B$800,MATCH(DATE(YEAR(A15)-1,12,1),$A$2:$A$800,0))-1,""))</f>
        <v/>
      </c>
      <c r="E15" s="115">
        <f>IF(B15="","",IFERROR(B15/INDEX($B$2:$B$800,MATCH(DATE(YEAR(A15)-1,MONTH(A15),1),$A$2:$A$800,0))-1,""))</f>
        <v/>
      </c>
    </row>
    <row r="16">
      <c r="A16" s="114" t="n">
        <v>34973</v>
      </c>
      <c r="B16" s="47" t="n">
        <v>136.484</v>
      </c>
      <c r="C16" s="115">
        <f>IF(OR(B16="",B15=""),"",B16/B15-1)</f>
        <v/>
      </c>
      <c r="D16" s="115">
        <f>IF(B16="","",IFERROR(B16/INDEX($B$2:$B$800,MATCH(DATE(YEAR(A16)-1,12,1),$A$2:$A$800,0))-1,""))</f>
        <v/>
      </c>
      <c r="E16" s="115">
        <f>IF(B16="","",IFERROR(B16/INDEX($B$2:$B$800,MATCH(DATE(YEAR(A16)-1,MONTH(A16),1),$A$2:$A$800,0))-1,""))</f>
        <v/>
      </c>
    </row>
    <row r="17">
      <c r="A17" s="114" t="n">
        <v>35004</v>
      </c>
      <c r="B17" s="47" t="n">
        <v>137.478</v>
      </c>
      <c r="C17" s="115">
        <f>IF(OR(B17="",B16=""),"",B17/B16-1)</f>
        <v/>
      </c>
      <c r="D17" s="115">
        <f>IF(B17="","",IFERROR(B17/INDEX($B$2:$B$800,MATCH(DATE(YEAR(A17)-1,12,1),$A$2:$A$800,0))-1,""))</f>
        <v/>
      </c>
      <c r="E17" s="115">
        <f>IF(B17="","",IFERROR(B17/INDEX($B$2:$B$800,MATCH(DATE(YEAR(A17)-1,MONTH(A17),1),$A$2:$A$800,0))-1,""))</f>
        <v/>
      </c>
    </row>
    <row r="18">
      <c r="A18" s="114" t="n">
        <v>35034</v>
      </c>
      <c r="B18" s="47" t="n">
        <v>138.664</v>
      </c>
      <c r="C18" s="115">
        <f>IF(OR(B18="",B17=""),"",B18/B17-1)</f>
        <v/>
      </c>
      <c r="D18" s="115">
        <f>IF(B18="","",IFERROR(B18/INDEX($B$2:$B$800,MATCH(DATE(YEAR(A18)-1,12,1),$A$2:$A$800,0))-1,""))</f>
        <v/>
      </c>
      <c r="E18" s="115">
        <f>IF(B18="","",IFERROR(B18/INDEX($B$2:$B$800,MATCH(DATE(YEAR(A18)-1,MONTH(A18),1),$A$2:$A$800,0))-1,""))</f>
        <v/>
      </c>
    </row>
    <row r="19">
      <c r="A19" s="114" t="n">
        <v>35065</v>
      </c>
      <c r="B19" s="47" t="n">
        <v>140.766</v>
      </c>
      <c r="C19" s="115">
        <f>IF(OR(B19="",B18=""),"",B19/B18-1)</f>
        <v/>
      </c>
      <c r="D19" s="115">
        <f>IF(B19="","",IFERROR(B19/INDEX($B$2:$B$800,MATCH(DATE(YEAR(A19)-1,12,1),$A$2:$A$800,0))-1,""))</f>
        <v/>
      </c>
      <c r="E19" s="115">
        <f>IF(B19="","",IFERROR(B19/INDEX($B$2:$B$800,MATCH(DATE(YEAR(A19)-1,MONTH(A19),1),$A$2:$A$800,0))-1,""))</f>
        <v/>
      </c>
    </row>
    <row r="20">
      <c r="A20" s="114" t="n">
        <v>35096</v>
      </c>
      <c r="B20" s="47" t="n">
        <v>140.929</v>
      </c>
      <c r="C20" s="115">
        <f>IF(OR(B20="",B19=""),"",B20/B19-1)</f>
        <v/>
      </c>
      <c r="D20" s="115">
        <f>IF(B20="","",IFERROR(B20/INDEX($B$2:$B$800,MATCH(DATE(YEAR(A20)-1,12,1),$A$2:$A$800,0))-1,""))</f>
        <v/>
      </c>
      <c r="E20" s="115">
        <f>IF(B20="","",IFERROR(B20/INDEX($B$2:$B$800,MATCH(DATE(YEAR(A20)-1,MONTH(A20),1),$A$2:$A$800,0))-1,""))</f>
        <v/>
      </c>
    </row>
    <row r="21">
      <c r="A21" s="114" t="n">
        <v>35125</v>
      </c>
      <c r="B21" s="47" t="n">
        <v>142.313</v>
      </c>
      <c r="C21" s="115">
        <f>IF(OR(B21="",B20=""),"",B21/B20-1)</f>
        <v/>
      </c>
      <c r="D21" s="115">
        <f>IF(B21="","",IFERROR(B21/INDEX($B$2:$B$800,MATCH(DATE(YEAR(A21)-1,12,1),$A$2:$A$800,0))-1,""))</f>
        <v/>
      </c>
      <c r="E21" s="115">
        <f>IF(B21="","",IFERROR(B21/INDEX($B$2:$B$800,MATCH(DATE(YEAR(A21)-1,MONTH(A21),1),$A$2:$A$800,0))-1,""))</f>
        <v/>
      </c>
    </row>
    <row r="22">
      <c r="A22" s="114" t="n">
        <v>35156</v>
      </c>
      <c r="B22" s="47" t="n">
        <v>142.663</v>
      </c>
      <c r="C22" s="115">
        <f>IF(OR(B22="",B21=""),"",B22/B21-1)</f>
        <v/>
      </c>
      <c r="D22" s="115">
        <f>IF(B22="","",IFERROR(B22/INDEX($B$2:$B$800,MATCH(DATE(YEAR(A22)-1,12,1),$A$2:$A$800,0))-1,""))</f>
        <v/>
      </c>
      <c r="E22" s="115">
        <f>IF(B22="","",IFERROR(B22/INDEX($B$2:$B$800,MATCH(DATE(YEAR(A22)-1,MONTH(A22),1),$A$2:$A$800,0))-1,""))</f>
        <v/>
      </c>
    </row>
    <row r="23">
      <c r="A23" s="114" t="n">
        <v>35186</v>
      </c>
      <c r="B23" s="47" t="n">
        <v>145.742</v>
      </c>
      <c r="C23" s="115">
        <f>IF(OR(B23="",B22=""),"",B23/B22-1)</f>
        <v/>
      </c>
      <c r="D23" s="115">
        <f>IF(B23="","",IFERROR(B23/INDEX($B$2:$B$800,MATCH(DATE(YEAR(A23)-1,12,1),$A$2:$A$800,0))-1,""))</f>
        <v/>
      </c>
      <c r="E23" s="115">
        <f>IF(B23="","",IFERROR(B23/INDEX($B$2:$B$800,MATCH(DATE(YEAR(A23)-1,MONTH(A23),1),$A$2:$A$800,0))-1,""))</f>
        <v/>
      </c>
    </row>
    <row r="24">
      <c r="A24" s="114" t="n">
        <v>35217</v>
      </c>
      <c r="B24" s="47" t="n">
        <v>147.984</v>
      </c>
      <c r="C24" s="115">
        <f>IF(OR(B24="",B23=""),"",B24/B23-1)</f>
        <v/>
      </c>
      <c r="D24" s="115">
        <f>IF(B24="","",IFERROR(B24/INDEX($B$2:$B$800,MATCH(DATE(YEAR(A24)-1,12,1),$A$2:$A$800,0))-1,""))</f>
        <v/>
      </c>
      <c r="E24" s="115">
        <f>IF(B24="","",IFERROR(B24/INDEX($B$2:$B$800,MATCH(DATE(YEAR(A24)-1,MONTH(A24),1),$A$2:$A$800,0))-1,""))</f>
        <v/>
      </c>
    </row>
    <row r="25">
      <c r="A25" s="114" t="n">
        <v>35247</v>
      </c>
      <c r="B25" s="47" t="n">
        <v>149.095</v>
      </c>
      <c r="C25" s="115">
        <f>IF(OR(B25="",B24=""),"",B25/B24-1)</f>
        <v/>
      </c>
      <c r="D25" s="115">
        <f>IF(B25="","",IFERROR(B25/INDEX($B$2:$B$800,MATCH(DATE(YEAR(A25)-1,12,1),$A$2:$A$800,0))-1,""))</f>
        <v/>
      </c>
      <c r="E25" s="115">
        <f>IF(B25="","",IFERROR(B25/INDEX($B$2:$B$800,MATCH(DATE(YEAR(A25)-1,MONTH(A25),1),$A$2:$A$800,0))-1,""))</f>
        <v/>
      </c>
    </row>
    <row r="26">
      <c r="A26" s="114" t="n">
        <v>35278</v>
      </c>
      <c r="B26" s="47" t="n">
        <v>149.445</v>
      </c>
      <c r="C26" s="115">
        <f>IF(OR(B26="",B25=""),"",B26/B25-1)</f>
        <v/>
      </c>
      <c r="D26" s="115">
        <f>IF(B26="","",IFERROR(B26/INDEX($B$2:$B$800,MATCH(DATE(YEAR(A26)-1,12,1),$A$2:$A$800,0))-1,""))</f>
        <v/>
      </c>
      <c r="E26" s="115">
        <f>IF(B26="","",IFERROR(B26/INDEX($B$2:$B$800,MATCH(DATE(YEAR(A26)-1,MONTH(A26),1),$A$2:$A$800,0))-1,""))</f>
        <v/>
      </c>
    </row>
    <row r="27">
      <c r="A27" s="114" t="n">
        <v>35309</v>
      </c>
      <c r="B27" s="47" t="n">
        <v>149.772</v>
      </c>
      <c r="C27" s="115">
        <f>IF(OR(B27="",B26=""),"",B27/B26-1)</f>
        <v/>
      </c>
      <c r="D27" s="115">
        <f>IF(B27="","",IFERROR(B27/INDEX($B$2:$B$800,MATCH(DATE(YEAR(A27)-1,12,1),$A$2:$A$800,0))-1,""))</f>
        <v/>
      </c>
      <c r="E27" s="115">
        <f>IF(B27="","",IFERROR(B27/INDEX($B$2:$B$800,MATCH(DATE(YEAR(A27)-1,MONTH(A27),1),$A$2:$A$800,0))-1,""))</f>
        <v/>
      </c>
    </row>
    <row r="28">
      <c r="A28" s="114" t="n">
        <v>35339</v>
      </c>
      <c r="B28" s="47" t="n">
        <v>150.157</v>
      </c>
      <c r="C28" s="115">
        <f>IF(OR(B28="",B27=""),"",B28/B27-1)</f>
        <v/>
      </c>
      <c r="D28" s="115">
        <f>IF(B28="","",IFERROR(B28/INDEX($B$2:$B$800,MATCH(DATE(YEAR(A28)-1,12,1),$A$2:$A$800,0))-1,""))</f>
        <v/>
      </c>
      <c r="E28" s="115">
        <f>IF(B28="","",IFERROR(B28/INDEX($B$2:$B$800,MATCH(DATE(YEAR(A28)-1,MONTH(A28),1),$A$2:$A$800,0))-1,""))</f>
        <v/>
      </c>
    </row>
    <row r="29">
      <c r="A29" s="114" t="n">
        <v>35370</v>
      </c>
      <c r="B29" s="47" t="n">
        <v>151.035</v>
      </c>
      <c r="C29" s="115">
        <f>IF(OR(B29="",B28=""),"",B29/B28-1)</f>
        <v/>
      </c>
      <c r="D29" s="115">
        <f>IF(B29="","",IFERROR(B29/INDEX($B$2:$B$800,MATCH(DATE(YEAR(A29)-1,12,1),$A$2:$A$800,0))-1,""))</f>
        <v/>
      </c>
      <c r="E29" s="115">
        <f>IF(B29="","",IFERROR(B29/INDEX($B$2:$B$800,MATCH(DATE(YEAR(A29)-1,MONTH(A29),1),$A$2:$A$800,0))-1,""))</f>
        <v/>
      </c>
    </row>
    <row r="30">
      <c r="A30" s="114" t="n">
        <v>35400</v>
      </c>
      <c r="B30" s="47" t="n">
        <v>151.922</v>
      </c>
      <c r="C30" s="115">
        <f>IF(OR(B30="",B29=""),"",B30/B29-1)</f>
        <v/>
      </c>
      <c r="D30" s="115">
        <f>IF(B30="","",IFERROR(B30/INDEX($B$2:$B$800,MATCH(DATE(YEAR(A30)-1,12,1),$A$2:$A$800,0))-1,""))</f>
        <v/>
      </c>
      <c r="E30" s="115">
        <f>IF(B30="","",IFERROR(B30/INDEX($B$2:$B$800,MATCH(DATE(YEAR(A30)-1,MONTH(A30),1),$A$2:$A$800,0))-1,""))</f>
        <v/>
      </c>
    </row>
    <row r="31">
      <c r="A31" s="114" t="n">
        <v>35431</v>
      </c>
      <c r="B31" s="47" t="n">
        <v>152.408</v>
      </c>
      <c r="C31" s="115">
        <f>IF(OR(B31="",B30=""),"",B31/B30-1)</f>
        <v/>
      </c>
      <c r="D31" s="115">
        <f>IF(B31="","",IFERROR(B31/INDEX($B$2:$B$800,MATCH(DATE(YEAR(A31)-1,12,1),$A$2:$A$800,0))-1,""))</f>
        <v/>
      </c>
      <c r="E31" s="115">
        <f>IF(B31="","",IFERROR(B31/INDEX($B$2:$B$800,MATCH(DATE(YEAR(A31)-1,MONTH(A31),1),$A$2:$A$800,0))-1,""))</f>
        <v/>
      </c>
    </row>
    <row r="32">
      <c r="A32" s="114" t="n">
        <v>35462</v>
      </c>
      <c r="B32" s="47" t="n">
        <v>153.147</v>
      </c>
      <c r="C32" s="115">
        <f>IF(OR(B32="",B31=""),"",B32/B31-1)</f>
        <v/>
      </c>
      <c r="D32" s="115">
        <f>IF(B32="","",IFERROR(B32/INDEX($B$2:$B$800,MATCH(DATE(YEAR(A32)-1,12,1),$A$2:$A$800,0))-1,""))</f>
        <v/>
      </c>
      <c r="E32" s="115">
        <f>IF(B32="","",IFERROR(B32/INDEX($B$2:$B$800,MATCH(DATE(YEAR(A32)-1,MONTH(A32),1),$A$2:$A$800,0))-1,""))</f>
        <v/>
      </c>
    </row>
    <row r="33">
      <c r="A33" s="114" t="n">
        <v>35490</v>
      </c>
      <c r="B33" s="47" t="n">
        <v>154.26</v>
      </c>
      <c r="C33" s="115">
        <f>IF(OR(B33="",B32=""),"",B33/B32-1)</f>
        <v/>
      </c>
      <c r="D33" s="115">
        <f>IF(B33="","",IFERROR(B33/INDEX($B$2:$B$800,MATCH(DATE(YEAR(A33)-1,12,1),$A$2:$A$800,0))-1,""))</f>
        <v/>
      </c>
      <c r="E33" s="115">
        <f>IF(B33="","",IFERROR(B33/INDEX($B$2:$B$800,MATCH(DATE(YEAR(A33)-1,MONTH(A33),1),$A$2:$A$800,0))-1,""))</f>
        <v/>
      </c>
    </row>
    <row r="34">
      <c r="A34" s="114" t="n">
        <v>35521</v>
      </c>
      <c r="B34" s="47" t="n">
        <v>154.616</v>
      </c>
      <c r="C34" s="115">
        <f>IF(OR(B34="",B33=""),"",B34/B33-1)</f>
        <v/>
      </c>
      <c r="D34" s="115">
        <f>IF(B34="","",IFERROR(B34/INDEX($B$2:$B$800,MATCH(DATE(YEAR(A34)-1,12,1),$A$2:$A$800,0))-1,""))</f>
        <v/>
      </c>
      <c r="E34" s="115">
        <f>IF(B34="","",IFERROR(B34/INDEX($B$2:$B$800,MATCH(DATE(YEAR(A34)-1,MONTH(A34),1),$A$2:$A$800,0))-1,""))</f>
        <v/>
      </c>
    </row>
    <row r="35">
      <c r="A35" s="114" t="n">
        <v>35551</v>
      </c>
      <c r="B35" s="47" t="n">
        <v>155.953</v>
      </c>
      <c r="C35" s="115">
        <f>IF(OR(B35="",B34=""),"",B35/B34-1)</f>
        <v/>
      </c>
      <c r="D35" s="115">
        <f>IF(B35="","",IFERROR(B35/INDEX($B$2:$B$800,MATCH(DATE(YEAR(A35)-1,12,1),$A$2:$A$800,0))-1,""))</f>
        <v/>
      </c>
      <c r="E35" s="115">
        <f>IF(B35="","",IFERROR(B35/INDEX($B$2:$B$800,MATCH(DATE(YEAR(A35)-1,MONTH(A35),1),$A$2:$A$800,0))-1,""))</f>
        <v/>
      </c>
    </row>
    <row r="36">
      <c r="A36" s="114" t="n">
        <v>35582</v>
      </c>
      <c r="B36" s="47" t="n">
        <v>157.687</v>
      </c>
      <c r="C36" s="115">
        <f>IF(OR(B36="",B35=""),"",B36/B35-1)</f>
        <v/>
      </c>
      <c r="D36" s="115">
        <f>IF(B36="","",IFERROR(B36/INDEX($B$2:$B$800,MATCH(DATE(YEAR(A36)-1,12,1),$A$2:$A$800,0))-1,""))</f>
        <v/>
      </c>
      <c r="E36" s="115">
        <f>IF(B36="","",IFERROR(B36/INDEX($B$2:$B$800,MATCH(DATE(YEAR(A36)-1,MONTH(A36),1),$A$2:$A$800,0))-1,""))</f>
        <v/>
      </c>
    </row>
    <row r="37">
      <c r="A37" s="114" t="n">
        <v>35612</v>
      </c>
      <c r="B37" s="47" t="n">
        <v>158.485</v>
      </c>
      <c r="C37" s="115">
        <f>IF(OR(B37="",B36=""),"",B37/B36-1)</f>
        <v/>
      </c>
      <c r="D37" s="115">
        <f>IF(B37="","",IFERROR(B37/INDEX($B$2:$B$800,MATCH(DATE(YEAR(A37)-1,12,1),$A$2:$A$800,0))-1,""))</f>
        <v/>
      </c>
      <c r="E37" s="115">
        <f>IF(B37="","",IFERROR(B37/INDEX($B$2:$B$800,MATCH(DATE(YEAR(A37)-1,MONTH(A37),1),$A$2:$A$800,0))-1,""))</f>
        <v/>
      </c>
    </row>
    <row r="38">
      <c r="A38" s="114" t="n">
        <v>35643</v>
      </c>
      <c r="B38" s="47" t="n">
        <v>160.352</v>
      </c>
      <c r="C38" s="115">
        <f>IF(OR(B38="",B37=""),"",B38/B37-1)</f>
        <v/>
      </c>
      <c r="D38" s="115">
        <f>IF(B38="","",IFERROR(B38/INDEX($B$2:$B$800,MATCH(DATE(YEAR(A38)-1,12,1),$A$2:$A$800,0))-1,""))</f>
        <v/>
      </c>
      <c r="E38" s="115">
        <f>IF(B38="","",IFERROR(B38/INDEX($B$2:$B$800,MATCH(DATE(YEAR(A38)-1,MONTH(A38),1),$A$2:$A$800,0))-1,""))</f>
        <v/>
      </c>
    </row>
    <row r="39">
      <c r="A39" s="114" t="n">
        <v>35674</v>
      </c>
      <c r="B39" s="47" t="n">
        <v>160.78</v>
      </c>
      <c r="C39" s="115">
        <f>IF(OR(B39="",B38=""),"",B39/B38-1)</f>
        <v/>
      </c>
      <c r="D39" s="115">
        <f>IF(B39="","",IFERROR(B39/INDEX($B$2:$B$800,MATCH(DATE(YEAR(A39)-1,12,1),$A$2:$A$800,0))-1,""))</f>
        <v/>
      </c>
      <c r="E39" s="115">
        <f>IF(B39="","",IFERROR(B39/INDEX($B$2:$B$800,MATCH(DATE(YEAR(A39)-1,MONTH(A39),1),$A$2:$A$800,0))-1,""))</f>
        <v/>
      </c>
    </row>
    <row r="40">
      <c r="A40" s="114" t="n">
        <v>35704</v>
      </c>
      <c r="B40" s="47" t="n">
        <v>161.024</v>
      </c>
      <c r="C40" s="115">
        <f>IF(OR(B40="",B39=""),"",B40/B39-1)</f>
        <v/>
      </c>
      <c r="D40" s="115">
        <f>IF(B40="","",IFERROR(B40/INDEX($B$2:$B$800,MATCH(DATE(YEAR(A40)-1,12,1),$A$2:$A$800,0))-1,""))</f>
        <v/>
      </c>
      <c r="E40" s="115">
        <f>IF(B40="","",IFERROR(B40/INDEX($B$2:$B$800,MATCH(DATE(YEAR(A40)-1,MONTH(A40),1),$A$2:$A$800,0))-1,""))</f>
        <v/>
      </c>
    </row>
    <row r="41">
      <c r="A41" s="114" t="n">
        <v>35735</v>
      </c>
      <c r="B41" s="47" t="n">
        <v>161.897</v>
      </c>
      <c r="C41" s="115">
        <f>IF(OR(B41="",B40=""),"",B41/B40-1)</f>
        <v/>
      </c>
      <c r="D41" s="115">
        <f>IF(B41="","",IFERROR(B41/INDEX($B$2:$B$800,MATCH(DATE(YEAR(A41)-1,12,1),$A$2:$A$800,0))-1,""))</f>
        <v/>
      </c>
      <c r="E41" s="115">
        <f>IF(B41="","",IFERROR(B41/INDEX($B$2:$B$800,MATCH(DATE(YEAR(A41)-1,MONTH(A41),1),$A$2:$A$800,0))-1,""))</f>
        <v/>
      </c>
    </row>
    <row r="42">
      <c r="A42" s="114" t="n">
        <v>35765</v>
      </c>
      <c r="B42" s="47" t="n">
        <v>162.271</v>
      </c>
      <c r="C42" s="115">
        <f>IF(OR(B42="",B41=""),"",B42/B41-1)</f>
        <v/>
      </c>
      <c r="D42" s="115">
        <f>IF(B42="","",IFERROR(B42/INDEX($B$2:$B$800,MATCH(DATE(YEAR(A42)-1,12,1),$A$2:$A$800,0))-1,""))</f>
        <v/>
      </c>
      <c r="E42" s="115">
        <f>IF(B42="","",IFERROR(B42/INDEX($B$2:$B$800,MATCH(DATE(YEAR(A42)-1,MONTH(A42),1),$A$2:$A$800,0))-1,""))</f>
        <v/>
      </c>
    </row>
    <row r="43">
      <c r="A43" s="114" t="n">
        <v>35796</v>
      </c>
      <c r="B43" s="47" t="n">
        <v>162.805</v>
      </c>
      <c r="C43" s="115">
        <f>IF(OR(B43="",B42=""),"",B43/B42-1)</f>
        <v/>
      </c>
      <c r="D43" s="115">
        <f>IF(B43="","",IFERROR(B43/INDEX($B$2:$B$800,MATCH(DATE(YEAR(A43)-1,12,1),$A$2:$A$800,0))-1,""))</f>
        <v/>
      </c>
      <c r="E43" s="115">
        <f>IF(B43="","",IFERROR(B43/INDEX($B$2:$B$800,MATCH(DATE(YEAR(A43)-1,MONTH(A43),1),$A$2:$A$800,0))-1,""))</f>
        <v/>
      </c>
    </row>
    <row r="44">
      <c r="A44" s="114" t="n">
        <v>35827</v>
      </c>
      <c r="B44" s="47" t="n">
        <v>163.593</v>
      </c>
      <c r="C44" s="115">
        <f>IF(OR(B44="",B43=""),"",B44/B43-1)</f>
        <v/>
      </c>
      <c r="D44" s="115">
        <f>IF(B44="","",IFERROR(B44/INDEX($B$2:$B$800,MATCH(DATE(YEAR(A44)-1,12,1),$A$2:$A$800,0))-1,""))</f>
        <v/>
      </c>
      <c r="E44" s="115">
        <f>IF(B44="","",IFERROR(B44/INDEX($B$2:$B$800,MATCH(DATE(YEAR(A44)-1,MONTH(A44),1),$A$2:$A$800,0))-1,""))</f>
        <v/>
      </c>
    </row>
    <row r="45">
      <c r="A45" s="114" t="n">
        <v>35855</v>
      </c>
      <c r="B45" s="47" t="n">
        <v>164.361</v>
      </c>
      <c r="C45" s="115">
        <f>IF(OR(B45="",B44=""),"",B45/B44-1)</f>
        <v/>
      </c>
      <c r="D45" s="115">
        <f>IF(B45="","",IFERROR(B45/INDEX($B$2:$B$800,MATCH(DATE(YEAR(A45)-1,12,1),$A$2:$A$800,0))-1,""))</f>
        <v/>
      </c>
      <c r="E45" s="115">
        <f>IF(B45="","",IFERROR(B45/INDEX($B$2:$B$800,MATCH(DATE(YEAR(A45)-1,MONTH(A45),1),$A$2:$A$800,0))-1,""))</f>
        <v/>
      </c>
    </row>
    <row r="46">
      <c r="A46" s="114" t="n">
        <v>35886</v>
      </c>
      <c r="B46" s="47" t="n">
        <v>163.535</v>
      </c>
      <c r="C46" s="115">
        <f>IF(OR(B46="",B45=""),"",B46/B45-1)</f>
        <v/>
      </c>
      <c r="D46" s="115">
        <f>IF(B46="","",IFERROR(B46/INDEX($B$2:$B$800,MATCH(DATE(YEAR(A46)-1,12,1),$A$2:$A$800,0))-1,""))</f>
        <v/>
      </c>
      <c r="E46" s="115">
        <f>IF(B46="","",IFERROR(B46/INDEX($B$2:$B$800,MATCH(DATE(YEAR(A46)-1,MONTH(A46),1),$A$2:$A$800,0))-1,""))</f>
        <v/>
      </c>
    </row>
    <row r="47">
      <c r="A47" s="114" t="n">
        <v>35916</v>
      </c>
      <c r="B47" s="47" t="n">
        <v>165.133</v>
      </c>
      <c r="C47" s="115">
        <f>IF(OR(B47="",B46=""),"",B47/B46-1)</f>
        <v/>
      </c>
      <c r="D47" s="115">
        <f>IF(B47="","",IFERROR(B47/INDEX($B$2:$B$800,MATCH(DATE(YEAR(A47)-1,12,1),$A$2:$A$800,0))-1,""))</f>
        <v/>
      </c>
      <c r="E47" s="115">
        <f>IF(B47="","",IFERROR(B47/INDEX($B$2:$B$800,MATCH(DATE(YEAR(A47)-1,MONTH(A47),1),$A$2:$A$800,0))-1,""))</f>
        <v/>
      </c>
    </row>
    <row r="48">
      <c r="A48" s="114" t="n">
        <v>35947</v>
      </c>
      <c r="B48" s="47" t="n">
        <v>165.781</v>
      </c>
      <c r="C48" s="115">
        <f>IF(OR(B48="",B47=""),"",B48/B47-1)</f>
        <v/>
      </c>
      <c r="D48" s="115">
        <f>IF(B48="","",IFERROR(B48/INDEX($B$2:$B$800,MATCH(DATE(YEAR(A48)-1,12,1),$A$2:$A$800,0))-1,""))</f>
        <v/>
      </c>
      <c r="E48" s="115">
        <f>IF(B48="","",IFERROR(B48/INDEX($B$2:$B$800,MATCH(DATE(YEAR(A48)-1,MONTH(A48),1),$A$2:$A$800,0))-1,""))</f>
        <v/>
      </c>
    </row>
    <row r="49">
      <c r="A49" s="114" t="n">
        <v>35977</v>
      </c>
      <c r="B49" s="47" t="n">
        <v>166.345</v>
      </c>
      <c r="C49" s="115">
        <f>IF(OR(B49="",B48=""),"",B49/B48-1)</f>
        <v/>
      </c>
      <c r="D49" s="115">
        <f>IF(B49="","",IFERROR(B49/INDEX($B$2:$B$800,MATCH(DATE(YEAR(A49)-1,12,1),$A$2:$A$800,0))-1,""))</f>
        <v/>
      </c>
      <c r="E49" s="115">
        <f>IF(B49="","",IFERROR(B49/INDEX($B$2:$B$800,MATCH(DATE(YEAR(A49)-1,MONTH(A49),1),$A$2:$A$800,0))-1,""))</f>
        <v/>
      </c>
    </row>
    <row r="50">
      <c r="A50" s="114" t="n">
        <v>36008</v>
      </c>
      <c r="B50" s="47" t="n">
        <v>166.705</v>
      </c>
      <c r="C50" s="115">
        <f>IF(OR(B50="",B49=""),"",B50/B49-1)</f>
        <v/>
      </c>
      <c r="D50" s="115">
        <f>IF(B50="","",IFERROR(B50/INDEX($B$2:$B$800,MATCH(DATE(YEAR(A50)-1,12,1),$A$2:$A$800,0))-1,""))</f>
        <v/>
      </c>
      <c r="E50" s="115">
        <f>IF(B50="","",IFERROR(B50/INDEX($B$2:$B$800,MATCH(DATE(YEAR(A50)-1,MONTH(A50),1),$A$2:$A$800,0))-1,""))</f>
        <v/>
      </c>
    </row>
    <row r="51">
      <c r="A51" s="114" t="n">
        <v>36039</v>
      </c>
      <c r="B51" s="47" t="n">
        <v>166.729</v>
      </c>
      <c r="C51" s="115">
        <f>IF(OR(B51="",B50=""),"",B51/B50-1)</f>
        <v/>
      </c>
      <c r="D51" s="115">
        <f>IF(B51="","",IFERROR(B51/INDEX($B$2:$B$800,MATCH(DATE(YEAR(A51)-1,12,1),$A$2:$A$800,0))-1,""))</f>
        <v/>
      </c>
      <c r="E51" s="115">
        <f>IF(B51="","",IFERROR(B51/INDEX($B$2:$B$800,MATCH(DATE(YEAR(A51)-1,MONTH(A51),1),$A$2:$A$800,0))-1,""))</f>
        <v/>
      </c>
    </row>
    <row r="52">
      <c r="A52" s="114" t="n">
        <v>36069</v>
      </c>
      <c r="B52" s="47" t="n">
        <v>166.738</v>
      </c>
      <c r="C52" s="115">
        <f>IF(OR(B52="",B51=""),"",B52/B51-1)</f>
        <v/>
      </c>
      <c r="D52" s="115">
        <f>IF(B52="","",IFERROR(B52/INDEX($B$2:$B$800,MATCH(DATE(YEAR(A52)-1,12,1),$A$2:$A$800,0))-1,""))</f>
        <v/>
      </c>
      <c r="E52" s="115">
        <f>IF(B52="","",IFERROR(B52/INDEX($B$2:$B$800,MATCH(DATE(YEAR(A52)-1,MONTH(A52),1),$A$2:$A$800,0))-1,""))</f>
        <v/>
      </c>
    </row>
    <row r="53">
      <c r="A53" s="114" t="n">
        <v>36100</v>
      </c>
      <c r="B53" s="47" t="n">
        <v>166.657</v>
      </c>
      <c r="C53" s="115">
        <f>IF(OR(B53="",B52=""),"",B53/B52-1)</f>
        <v/>
      </c>
      <c r="D53" s="115">
        <f>IF(B53="","",IFERROR(B53/INDEX($B$2:$B$800,MATCH(DATE(YEAR(A53)-1,12,1),$A$2:$A$800,0))-1,""))</f>
        <v/>
      </c>
      <c r="E53" s="115">
        <f>IF(B53="","",IFERROR(B53/INDEX($B$2:$B$800,MATCH(DATE(YEAR(A53)-1,MONTH(A53),1),$A$2:$A$800,0))-1,""))</f>
        <v/>
      </c>
    </row>
    <row r="54">
      <c r="A54" s="114" t="n">
        <v>36130</v>
      </c>
      <c r="B54" s="47" t="n">
        <v>166.733</v>
      </c>
      <c r="C54" s="115">
        <f>IF(OR(B54="",B53=""),"",B54/B53-1)</f>
        <v/>
      </c>
      <c r="D54" s="115">
        <f>IF(B54="","",IFERROR(B54/INDEX($B$2:$B$800,MATCH(DATE(YEAR(A54)-1,12,1),$A$2:$A$800,0))-1,""))</f>
        <v/>
      </c>
      <c r="E54" s="115">
        <f>IF(B54="","",IFERROR(B54/INDEX($B$2:$B$800,MATCH(DATE(YEAR(A54)-1,MONTH(A54),1),$A$2:$A$800,0))-1,""))</f>
        <v/>
      </c>
    </row>
    <row r="55">
      <c r="A55" s="114" t="n">
        <v>36161</v>
      </c>
      <c r="B55" s="47" t="n">
        <v>167.648</v>
      </c>
      <c r="C55" s="115">
        <f>IF(OR(B55="",B54=""),"",B55/B54-1)</f>
        <v/>
      </c>
      <c r="D55" s="115">
        <f>IF(B55="","",IFERROR(B55/INDEX($B$2:$B$800,MATCH(DATE(YEAR(A55)-1,12,1),$A$2:$A$800,0))-1,""))</f>
        <v/>
      </c>
      <c r="E55" s="115">
        <f>IF(B55="","",IFERROR(B55/INDEX($B$2:$B$800,MATCH(DATE(YEAR(A55)-1,MONTH(A55),1),$A$2:$A$800,0))-1,""))</f>
        <v/>
      </c>
    </row>
    <row r="56">
      <c r="A56" s="114" t="n">
        <v>36192</v>
      </c>
      <c r="B56" s="47" t="n">
        <v>169.288</v>
      </c>
      <c r="C56" s="115">
        <f>IF(OR(B56="",B55=""),"",B56/B55-1)</f>
        <v/>
      </c>
      <c r="D56" s="115">
        <f>IF(B56="","",IFERROR(B56/INDEX($B$2:$B$800,MATCH(DATE(YEAR(A56)-1,12,1),$A$2:$A$800,0))-1,""))</f>
        <v/>
      </c>
      <c r="E56" s="115">
        <f>IF(B56="","",IFERROR(B56/INDEX($B$2:$B$800,MATCH(DATE(YEAR(A56)-1,MONTH(A56),1),$A$2:$A$800,0))-1,""))</f>
        <v/>
      </c>
    </row>
    <row r="57">
      <c r="A57" s="114" t="n">
        <v>36220</v>
      </c>
      <c r="B57" s="47" t="n">
        <v>170.221</v>
      </c>
      <c r="C57" s="115">
        <f>IF(OR(B57="",B56=""),"",B57/B56-1)</f>
        <v/>
      </c>
      <c r="D57" s="115">
        <f>IF(B57="","",IFERROR(B57/INDEX($B$2:$B$800,MATCH(DATE(YEAR(A57)-1,12,1),$A$2:$A$800,0))-1,""))</f>
        <v/>
      </c>
      <c r="E57" s="115">
        <f>IF(B57="","",IFERROR(B57/INDEX($B$2:$B$800,MATCH(DATE(YEAR(A57)-1,MONTH(A57),1),$A$2:$A$800,0))-1,""))</f>
        <v/>
      </c>
    </row>
    <row r="58">
      <c r="A58" s="114" t="n">
        <v>36251</v>
      </c>
      <c r="B58" s="47" t="n">
        <v>171.1</v>
      </c>
      <c r="C58" s="115">
        <f>IF(OR(B58="",B57=""),"",B58/B57-1)</f>
        <v/>
      </c>
      <c r="D58" s="115">
        <f>IF(B58="","",IFERROR(B58/INDEX($B$2:$B$800,MATCH(DATE(YEAR(A58)-1,12,1),$A$2:$A$800,0))-1,""))</f>
        <v/>
      </c>
      <c r="E58" s="115">
        <f>IF(B58="","",IFERROR(B58/INDEX($B$2:$B$800,MATCH(DATE(YEAR(A58)-1,MONTH(A58),1),$A$2:$A$800,0))-1,""))</f>
        <v/>
      </c>
    </row>
    <row r="59">
      <c r="A59" s="114" t="n">
        <v>36281</v>
      </c>
      <c r="B59" s="47" t="n">
        <v>172.578</v>
      </c>
      <c r="C59" s="115">
        <f>IF(OR(B59="",B58=""),"",B59/B58-1)</f>
        <v/>
      </c>
      <c r="D59" s="115">
        <f>IF(B59="","",IFERROR(B59/INDEX($B$2:$B$800,MATCH(DATE(YEAR(A59)-1,12,1),$A$2:$A$800,0))-1,""))</f>
        <v/>
      </c>
      <c r="E59" s="115">
        <f>IF(B59="","",IFERROR(B59/INDEX($B$2:$B$800,MATCH(DATE(YEAR(A59)-1,MONTH(A59),1),$A$2:$A$800,0))-1,""))</f>
        <v/>
      </c>
    </row>
    <row r="60">
      <c r="A60" s="114" t="n">
        <v>36312</v>
      </c>
      <c r="B60" s="47" t="n">
        <v>173.279</v>
      </c>
      <c r="C60" s="115">
        <f>IF(OR(B60="",B59=""),"",B60/B59-1)</f>
        <v/>
      </c>
      <c r="D60" s="115">
        <f>IF(B60="","",IFERROR(B60/INDEX($B$2:$B$800,MATCH(DATE(YEAR(A60)-1,12,1),$A$2:$A$800,0))-1,""))</f>
        <v/>
      </c>
      <c r="E60" s="115">
        <f>IF(B60="","",IFERROR(B60/INDEX($B$2:$B$800,MATCH(DATE(YEAR(A60)-1,MONTH(A60),1),$A$2:$A$800,0))-1,""))</f>
        <v/>
      </c>
    </row>
    <row r="61">
      <c r="A61" s="114" t="n">
        <v>36342</v>
      </c>
      <c r="B61" s="47" t="n">
        <v>174.074</v>
      </c>
      <c r="C61" s="115">
        <f>IF(OR(B61="",B60=""),"",B61/B60-1)</f>
        <v/>
      </c>
      <c r="D61" s="115">
        <f>IF(B61="","",IFERROR(B61/INDEX($B$2:$B$800,MATCH(DATE(YEAR(A61)-1,12,1),$A$2:$A$800,0))-1,""))</f>
        <v/>
      </c>
      <c r="E61" s="115">
        <f>IF(B61="","",IFERROR(B61/INDEX($B$2:$B$800,MATCH(DATE(YEAR(A61)-1,MONTH(A61),1),$A$2:$A$800,0))-1,""))</f>
        <v/>
      </c>
    </row>
    <row r="62">
      <c r="A62" s="114" t="n">
        <v>36373</v>
      </c>
      <c r="B62" s="47" t="n">
        <v>175.28</v>
      </c>
      <c r="C62" s="115">
        <f>IF(OR(B62="",B61=""),"",B62/B61-1)</f>
        <v/>
      </c>
      <c r="D62" s="115">
        <f>IF(B62="","",IFERROR(B62/INDEX($B$2:$B$800,MATCH(DATE(YEAR(A62)-1,12,1),$A$2:$A$800,0))-1,""))</f>
        <v/>
      </c>
      <c r="E62" s="115">
        <f>IF(B62="","",IFERROR(B62/INDEX($B$2:$B$800,MATCH(DATE(YEAR(A62)-1,MONTH(A62),1),$A$2:$A$800,0))-1,""))</f>
        <v/>
      </c>
    </row>
    <row r="63">
      <c r="A63" s="114" t="n">
        <v>36404</v>
      </c>
      <c r="B63" s="47" t="n">
        <v>176.785</v>
      </c>
      <c r="C63" s="115">
        <f>IF(OR(B63="",B62=""),"",B63/B62-1)</f>
        <v/>
      </c>
      <c r="D63" s="115">
        <f>IF(B63="","",IFERROR(B63/INDEX($B$2:$B$800,MATCH(DATE(YEAR(A63)-1,12,1),$A$2:$A$800,0))-1,""))</f>
        <v/>
      </c>
      <c r="E63" s="115">
        <f>IF(B63="","",IFERROR(B63/INDEX($B$2:$B$800,MATCH(DATE(YEAR(A63)-1,MONTH(A63),1),$A$2:$A$800,0))-1,""))</f>
        <v/>
      </c>
    </row>
    <row r="64">
      <c r="A64" s="114" t="n">
        <v>36434</v>
      </c>
      <c r="B64" s="47" t="n">
        <v>178.574</v>
      </c>
      <c r="C64" s="115">
        <f>IF(OR(B64="",B63=""),"",B64/B63-1)</f>
        <v/>
      </c>
      <c r="D64" s="115">
        <f>IF(B64="","",IFERROR(B64/INDEX($B$2:$B$800,MATCH(DATE(YEAR(A64)-1,12,1),$A$2:$A$800,0))-1,""))</f>
        <v/>
      </c>
      <c r="E64" s="115">
        <f>IF(B64="","",IFERROR(B64/INDEX($B$2:$B$800,MATCH(DATE(YEAR(A64)-1,MONTH(A64),1),$A$2:$A$800,0))-1,""))</f>
        <v/>
      </c>
    </row>
    <row r="65">
      <c r="A65" s="114" t="n">
        <v>36465</v>
      </c>
      <c r="B65" s="47" t="n">
        <v>180.207</v>
      </c>
      <c r="C65" s="115">
        <f>IF(OR(B65="",B64=""),"",B65/B64-1)</f>
        <v/>
      </c>
      <c r="D65" s="115">
        <f>IF(B65="","",IFERROR(B65/INDEX($B$2:$B$800,MATCH(DATE(YEAR(A65)-1,12,1),$A$2:$A$800,0))-1,""))</f>
        <v/>
      </c>
      <c r="E65" s="115">
        <f>IF(B65="","",IFERROR(B65/INDEX($B$2:$B$800,MATCH(DATE(YEAR(A65)-1,MONTH(A65),1),$A$2:$A$800,0))-1,""))</f>
        <v/>
      </c>
    </row>
    <row r="66">
      <c r="A66" s="114" t="n">
        <v>36495</v>
      </c>
      <c r="B66" s="47" t="n">
        <v>182.084</v>
      </c>
      <c r="C66" s="115">
        <f>IF(OR(B66="",B65=""),"",B66/B65-1)</f>
        <v/>
      </c>
      <c r="D66" s="115">
        <f>IF(B66="","",IFERROR(B66/INDEX($B$2:$B$800,MATCH(DATE(YEAR(A66)-1,12,1),$A$2:$A$800,0))-1,""))</f>
        <v/>
      </c>
      <c r="E66" s="115">
        <f>IF(B66="","",IFERROR(B66/INDEX($B$2:$B$800,MATCH(DATE(YEAR(A66)-1,MONTH(A66),1),$A$2:$A$800,0))-1,""))</f>
        <v/>
      </c>
    </row>
    <row r="67">
      <c r="A67" s="114" t="n">
        <v>36526</v>
      </c>
      <c r="B67" s="47" t="n">
        <v>184.039</v>
      </c>
      <c r="C67" s="115">
        <f>IF(OR(B67="",B66=""),"",B67/B66-1)</f>
        <v/>
      </c>
      <c r="D67" s="115">
        <f>IF(B67="","",IFERROR(B67/INDEX($B$2:$B$800,MATCH(DATE(YEAR(A67)-1,12,1),$A$2:$A$800,0))-1,""))</f>
        <v/>
      </c>
      <c r="E67" s="115">
        <f>IF(B67="","",IFERROR(B67/INDEX($B$2:$B$800,MATCH(DATE(YEAR(A67)-1,MONTH(A67),1),$A$2:$A$800,0))-1,""))</f>
        <v/>
      </c>
    </row>
    <row r="68">
      <c r="A68" s="114" t="n">
        <v>36557</v>
      </c>
      <c r="B68" s="47" t="n">
        <v>185.461</v>
      </c>
      <c r="C68" s="115">
        <f>IF(OR(B68="",B67=""),"",B68/B67-1)</f>
        <v/>
      </c>
      <c r="D68" s="115">
        <f>IF(B68="","",IFERROR(B68/INDEX($B$2:$B$800,MATCH(DATE(YEAR(A68)-1,12,1),$A$2:$A$800,0))-1,""))</f>
        <v/>
      </c>
      <c r="E68" s="115">
        <f>IF(B68="","",IFERROR(B68/INDEX($B$2:$B$800,MATCH(DATE(YEAR(A68)-1,MONTH(A68),1),$A$2:$A$800,0))-1,""))</f>
        <v/>
      </c>
    </row>
    <row r="69">
      <c r="A69" s="114" t="n">
        <v>36586</v>
      </c>
      <c r="B69" s="47" t="n">
        <v>186.492</v>
      </c>
      <c r="C69" s="115">
        <f>IF(OR(B69="",B68=""),"",B69/B68-1)</f>
        <v/>
      </c>
      <c r="D69" s="115">
        <f>IF(B69="","",IFERROR(B69/INDEX($B$2:$B$800,MATCH(DATE(YEAR(A69)-1,12,1),$A$2:$A$800,0))-1,""))</f>
        <v/>
      </c>
      <c r="E69" s="115">
        <f>IF(B69="","",IFERROR(B69/INDEX($B$2:$B$800,MATCH(DATE(YEAR(A69)-1,MONTH(A69),1),$A$2:$A$800,0))-1,""))</f>
        <v/>
      </c>
    </row>
    <row r="70">
      <c r="A70" s="114" t="n">
        <v>36617</v>
      </c>
      <c r="B70" s="47" t="n">
        <v>187.604</v>
      </c>
      <c r="C70" s="115">
        <f>IF(OR(B70="",B69=""),"",B70/B69-1)</f>
        <v/>
      </c>
      <c r="D70" s="115">
        <f>IF(B70="","",IFERROR(B70/INDEX($B$2:$B$800,MATCH(DATE(YEAR(A70)-1,12,1),$A$2:$A$800,0))-1,""))</f>
        <v/>
      </c>
      <c r="E70" s="115">
        <f>IF(B70="","",IFERROR(B70/INDEX($B$2:$B$800,MATCH(DATE(YEAR(A70)-1,MONTH(A70),1),$A$2:$A$800,0))-1,""))</f>
        <v/>
      </c>
    </row>
    <row r="71">
      <c r="A71" s="114" t="n">
        <v>36647</v>
      </c>
      <c r="B71" s="47" t="n">
        <v>190.136</v>
      </c>
      <c r="C71" s="115">
        <f>IF(OR(B71="",B70=""),"",B71/B70-1)</f>
        <v/>
      </c>
      <c r="D71" s="115">
        <f>IF(B71="","",IFERROR(B71/INDEX($B$2:$B$800,MATCH(DATE(YEAR(A71)-1,12,1),$A$2:$A$800,0))-1,""))</f>
        <v/>
      </c>
      <c r="E71" s="115">
        <f>IF(B71="","",IFERROR(B71/INDEX($B$2:$B$800,MATCH(DATE(YEAR(A71)-1,MONTH(A71),1),$A$2:$A$800,0))-1,""))</f>
        <v/>
      </c>
    </row>
    <row r="72">
      <c r="A72" s="114" t="n">
        <v>36678</v>
      </c>
      <c r="B72" s="47" t="n">
        <v>191.527</v>
      </c>
      <c r="C72" s="115">
        <f>IF(OR(B72="",B71=""),"",B72/B71-1)</f>
        <v/>
      </c>
      <c r="D72" s="115">
        <f>IF(B72="","",IFERROR(B72/INDEX($B$2:$B$800,MATCH(DATE(YEAR(A72)-1,12,1),$A$2:$A$800,0))-1,""))</f>
        <v/>
      </c>
      <c r="E72" s="115">
        <f>IF(B72="","",IFERROR(B72/INDEX($B$2:$B$800,MATCH(DATE(YEAR(A72)-1,MONTH(A72),1),$A$2:$A$800,0))-1,""))</f>
        <v/>
      </c>
    </row>
    <row r="73">
      <c r="A73" s="114" t="n">
        <v>36708</v>
      </c>
      <c r="B73" s="47" t="n">
        <v>192.104</v>
      </c>
      <c r="C73" s="115">
        <f>IF(OR(B73="",B72=""),"",B73/B72-1)</f>
        <v/>
      </c>
      <c r="D73" s="115">
        <f>IF(B73="","",IFERROR(B73/INDEX($B$2:$B$800,MATCH(DATE(YEAR(A73)-1,12,1),$A$2:$A$800,0))-1,""))</f>
        <v/>
      </c>
      <c r="E73" s="115">
        <f>IF(B73="","",IFERROR(B73/INDEX($B$2:$B$800,MATCH(DATE(YEAR(A73)-1,MONTH(A73),1),$A$2:$A$800,0))-1,""))</f>
        <v/>
      </c>
    </row>
    <row r="74">
      <c r="A74" s="114" t="n">
        <v>36739</v>
      </c>
      <c r="B74" s="47" t="n">
        <v>192.846</v>
      </c>
      <c r="C74" s="115">
        <f>IF(OR(B74="",B73=""),"",B74/B73-1)</f>
        <v/>
      </c>
      <c r="D74" s="115">
        <f>IF(B74="","",IFERROR(B74/INDEX($B$2:$B$800,MATCH(DATE(YEAR(A74)-1,12,1),$A$2:$A$800,0))-1,""))</f>
        <v/>
      </c>
      <c r="E74" s="115">
        <f>IF(B74="","",IFERROR(B74/INDEX($B$2:$B$800,MATCH(DATE(YEAR(A74)-1,MONTH(A74),1),$A$2:$A$800,0))-1,""))</f>
        <v/>
      </c>
    </row>
    <row r="75">
      <c r="A75" s="114" t="n">
        <v>36770</v>
      </c>
      <c r="B75" s="47" t="n">
        <v>193.342</v>
      </c>
      <c r="C75" s="115">
        <f>IF(OR(B75="",B74=""),"",B75/B74-1)</f>
        <v/>
      </c>
      <c r="D75" s="115">
        <f>IF(B75="","",IFERROR(B75/INDEX($B$2:$B$800,MATCH(DATE(YEAR(A75)-1,12,1),$A$2:$A$800,0))-1,""))</f>
        <v/>
      </c>
      <c r="E75" s="115">
        <f>IF(B75="","",IFERROR(B75/INDEX($B$2:$B$800,MATCH(DATE(YEAR(A75)-1,MONTH(A75),1),$A$2:$A$800,0))-1,""))</f>
        <v/>
      </c>
    </row>
    <row r="76">
      <c r="A76" s="114" t="n">
        <v>36800</v>
      </c>
      <c r="B76" s="47" t="n">
        <v>193.984</v>
      </c>
      <c r="C76" s="115">
        <f>IF(OR(B76="",B75=""),"",B76/B75-1)</f>
        <v/>
      </c>
      <c r="D76" s="115">
        <f>IF(B76="","",IFERROR(B76/INDEX($B$2:$B$800,MATCH(DATE(YEAR(A76)-1,12,1),$A$2:$A$800,0))-1,""))</f>
        <v/>
      </c>
      <c r="E76" s="115">
        <f>IF(B76="","",IFERROR(B76/INDEX($B$2:$B$800,MATCH(DATE(YEAR(A76)-1,MONTH(A76),1),$A$2:$A$800,0))-1,""))</f>
        <v/>
      </c>
    </row>
    <row r="77">
      <c r="A77" s="114" t="n">
        <v>36831</v>
      </c>
      <c r="B77" s="47" t="n">
        <v>194.789</v>
      </c>
      <c r="C77" s="115">
        <f>IF(OR(B77="",B76=""),"",B77/B76-1)</f>
        <v/>
      </c>
      <c r="D77" s="115">
        <f>IF(B77="","",IFERROR(B77/INDEX($B$2:$B$800,MATCH(DATE(YEAR(A77)-1,12,1),$A$2:$A$800,0))-1,""))</f>
        <v/>
      </c>
      <c r="E77" s="115">
        <f>IF(B77="","",IFERROR(B77/INDEX($B$2:$B$800,MATCH(DATE(YEAR(A77)-1,MONTH(A77),1),$A$2:$A$800,0))-1,""))</f>
        <v/>
      </c>
    </row>
    <row r="78">
      <c r="A78" s="114" t="n">
        <v>36861</v>
      </c>
      <c r="B78" s="47" t="n">
        <v>196.037</v>
      </c>
      <c r="C78" s="115">
        <f>IF(OR(B78="",B77=""),"",B78/B77-1)</f>
        <v/>
      </c>
      <c r="D78" s="115">
        <f>IF(B78="","",IFERROR(B78/INDEX($B$2:$B$800,MATCH(DATE(YEAR(A78)-1,12,1),$A$2:$A$800,0))-1,""))</f>
        <v/>
      </c>
      <c r="E78" s="115">
        <f>IF(B78="","",IFERROR(B78/INDEX($B$2:$B$800,MATCH(DATE(YEAR(A78)-1,MONTH(A78),1),$A$2:$A$800,0))-1,""))</f>
        <v/>
      </c>
    </row>
    <row r="79">
      <c r="A79" s="114" t="n">
        <v>36892</v>
      </c>
      <c r="B79" s="47" t="n">
        <v>197.174</v>
      </c>
      <c r="C79" s="115">
        <f>IF(OR(B79="",B78=""),"",B79/B78-1)</f>
        <v/>
      </c>
      <c r="D79" s="115">
        <f>IF(B79="","",IFERROR(B79/INDEX($B$2:$B$800,MATCH(DATE(YEAR(A79)-1,12,1),$A$2:$A$800,0))-1,""))</f>
        <v/>
      </c>
      <c r="E79" s="115">
        <f>IF(B79="","",IFERROR(B79/INDEX($B$2:$B$800,MATCH(DATE(YEAR(A79)-1,MONTH(A79),1),$A$2:$A$800,0))-1,""))</f>
        <v/>
      </c>
    </row>
    <row r="80">
      <c r="A80" s="114" t="n">
        <v>36923</v>
      </c>
      <c r="B80" s="47" t="n">
        <v>197.849</v>
      </c>
      <c r="C80" s="115">
        <f>IF(OR(B80="",B79=""),"",B80/B79-1)</f>
        <v/>
      </c>
      <c r="D80" s="115">
        <f>IF(B80="","",IFERROR(B80/INDEX($B$2:$B$800,MATCH(DATE(YEAR(A80)-1,12,1),$A$2:$A$800,0))-1,""))</f>
        <v/>
      </c>
      <c r="E80" s="115">
        <f>IF(B80="","",IFERROR(B80/INDEX($B$2:$B$800,MATCH(DATE(YEAR(A80)-1,MONTH(A80),1),$A$2:$A$800,0))-1,""))</f>
        <v/>
      </c>
    </row>
    <row r="81">
      <c r="A81" s="114" t="n">
        <v>36951</v>
      </c>
      <c r="B81" s="47" t="n">
        <v>198.388</v>
      </c>
      <c r="C81" s="115">
        <f>IF(OR(B81="",B80=""),"",B81/B80-1)</f>
        <v/>
      </c>
      <c r="D81" s="115">
        <f>IF(B81="","",IFERROR(B81/INDEX($B$2:$B$800,MATCH(DATE(YEAR(A81)-1,12,1),$A$2:$A$800,0))-1,""))</f>
        <v/>
      </c>
      <c r="E81" s="115">
        <f>IF(B81="","",IFERROR(B81/INDEX($B$2:$B$800,MATCH(DATE(YEAR(A81)-1,MONTH(A81),1),$A$2:$A$800,0))-1,""))</f>
        <v/>
      </c>
    </row>
    <row r="82">
      <c r="A82" s="114" t="n">
        <v>36982</v>
      </c>
      <c r="B82" s="47" t="n">
        <v>199.112</v>
      </c>
      <c r="C82" s="115">
        <f>IF(OR(B82="",B81=""),"",B82/B81-1)</f>
        <v/>
      </c>
      <c r="D82" s="115">
        <f>IF(B82="","",IFERROR(B82/INDEX($B$2:$B$800,MATCH(DATE(YEAR(A82)-1,12,1),$A$2:$A$800,0))-1,""))</f>
        <v/>
      </c>
      <c r="E82" s="115">
        <f>IF(B82="","",IFERROR(B82/INDEX($B$2:$B$800,MATCH(DATE(YEAR(A82)-1,MONTH(A82),1),$A$2:$A$800,0))-1,""))</f>
        <v/>
      </c>
    </row>
    <row r="83">
      <c r="A83" s="114" t="n">
        <v>37012</v>
      </c>
      <c r="B83" s="47" t="n">
        <v>203.321</v>
      </c>
      <c r="C83" s="115">
        <f>IF(OR(B83="",B82=""),"",B83/B82-1)</f>
        <v/>
      </c>
      <c r="D83" s="115">
        <f>IF(B83="","",IFERROR(B83/INDEX($B$2:$B$800,MATCH(DATE(YEAR(A83)-1,12,1),$A$2:$A$800,0))-1,""))</f>
        <v/>
      </c>
      <c r="E83" s="115">
        <f>IF(B83="","",IFERROR(B83/INDEX($B$2:$B$800,MATCH(DATE(YEAR(A83)-1,MONTH(A83),1),$A$2:$A$800,0))-1,""))</f>
        <v/>
      </c>
    </row>
    <row r="84">
      <c r="A84" s="114" t="n">
        <v>37043</v>
      </c>
      <c r="B84" s="47" t="n">
        <v>205.682</v>
      </c>
      <c r="C84" s="115">
        <f>IF(OR(B84="",B83=""),"",B84/B83-1)</f>
        <v/>
      </c>
      <c r="D84" s="115">
        <f>IF(B84="","",IFERROR(B84/INDEX($B$2:$B$800,MATCH(DATE(YEAR(A84)-1,12,1),$A$2:$A$800,0))-1,""))</f>
        <v/>
      </c>
      <c r="E84" s="115">
        <f>IF(B84="","",IFERROR(B84/INDEX($B$2:$B$800,MATCH(DATE(YEAR(A84)-1,MONTH(A84),1),$A$2:$A$800,0))-1,""))</f>
        <v/>
      </c>
    </row>
    <row r="85">
      <c r="A85" s="114" t="n">
        <v>37073</v>
      </c>
      <c r="B85" s="47" t="n">
        <v>206.742</v>
      </c>
      <c r="C85" s="115">
        <f>IF(OR(B85="",B84=""),"",B85/B84-1)</f>
        <v/>
      </c>
      <c r="D85" s="115">
        <f>IF(B85="","",IFERROR(B85/INDEX($B$2:$B$800,MATCH(DATE(YEAR(A85)-1,12,1),$A$2:$A$800,0))-1,""))</f>
        <v/>
      </c>
      <c r="E85" s="115">
        <f>IF(B85="","",IFERROR(B85/INDEX($B$2:$B$800,MATCH(DATE(YEAR(A85)-1,MONTH(A85),1),$A$2:$A$800,0))-1,""))</f>
        <v/>
      </c>
    </row>
    <row r="86">
      <c r="A86" s="114" t="n">
        <v>37104</v>
      </c>
      <c r="B86" s="47" t="n">
        <v>208.026</v>
      </c>
      <c r="C86" s="115">
        <f>IF(OR(B86="",B85=""),"",B86/B85-1)</f>
        <v/>
      </c>
      <c r="D86" s="115">
        <f>IF(B86="","",IFERROR(B86/INDEX($B$2:$B$800,MATCH(DATE(YEAR(A86)-1,12,1),$A$2:$A$800,0))-1,""))</f>
        <v/>
      </c>
      <c r="E86" s="115">
        <f>IF(B86="","",IFERROR(B86/INDEX($B$2:$B$800,MATCH(DATE(YEAR(A86)-1,MONTH(A86),1),$A$2:$A$800,0))-1,""))</f>
        <v/>
      </c>
    </row>
    <row r="87">
      <c r="A87" s="114" t="n">
        <v>37135</v>
      </c>
      <c r="B87" s="47" t="n">
        <v>209.174</v>
      </c>
      <c r="C87" s="115">
        <f>IF(OR(B87="",B86=""),"",B87/B86-1)</f>
        <v/>
      </c>
      <c r="D87" s="115">
        <f>IF(B87="","",IFERROR(B87/INDEX($B$2:$B$800,MATCH(DATE(YEAR(A87)-1,12,1),$A$2:$A$800,0))-1,""))</f>
        <v/>
      </c>
      <c r="E87" s="115">
        <f>IF(B87="","",IFERROR(B87/INDEX($B$2:$B$800,MATCH(DATE(YEAR(A87)-1,MONTH(A87),1),$A$2:$A$800,0))-1,""))</f>
        <v/>
      </c>
    </row>
    <row r="88">
      <c r="A88" s="114" t="n">
        <v>37165</v>
      </c>
      <c r="B88" s="47" t="n">
        <v>211.122</v>
      </c>
      <c r="C88" s="115">
        <f>IF(OR(B88="",B87=""),"",B88/B87-1)</f>
        <v/>
      </c>
      <c r="D88" s="115">
        <f>IF(B88="","",IFERROR(B88/INDEX($B$2:$B$800,MATCH(DATE(YEAR(A88)-1,12,1),$A$2:$A$800,0))-1,""))</f>
        <v/>
      </c>
      <c r="E88" s="115">
        <f>IF(B88="","",IFERROR(B88/INDEX($B$2:$B$800,MATCH(DATE(YEAR(A88)-1,MONTH(A88),1),$A$2:$A$800,0))-1,""))</f>
        <v/>
      </c>
    </row>
    <row r="89">
      <c r="A89" s="114" t="n">
        <v>37196</v>
      </c>
      <c r="B89" s="47" t="n">
        <v>212.676</v>
      </c>
      <c r="C89" s="115">
        <f>IF(OR(B89="",B88=""),"",B89/B88-1)</f>
        <v/>
      </c>
      <c r="D89" s="115">
        <f>IF(B89="","",IFERROR(B89/INDEX($B$2:$B$800,MATCH(DATE(YEAR(A89)-1,12,1),$A$2:$A$800,0))-1,""))</f>
        <v/>
      </c>
      <c r="E89" s="115">
        <f>IF(B89="","",IFERROR(B89/INDEX($B$2:$B$800,MATCH(DATE(YEAR(A89)-1,MONTH(A89),1),$A$2:$A$800,0))-1,""))</f>
        <v/>
      </c>
    </row>
    <row r="90">
      <c r="A90" s="114" t="n">
        <v>37226</v>
      </c>
      <c r="B90" s="47" t="n">
        <v>213.393</v>
      </c>
      <c r="C90" s="115">
        <f>IF(OR(B90="",B89=""),"",B90/B89-1)</f>
        <v/>
      </c>
      <c r="D90" s="115">
        <f>IF(B90="","",IFERROR(B90/INDEX($B$2:$B$800,MATCH(DATE(YEAR(A90)-1,12,1),$A$2:$A$800,0))-1,""))</f>
        <v/>
      </c>
      <c r="E90" s="115">
        <f>IF(B90="","",IFERROR(B90/INDEX($B$2:$B$800,MATCH(DATE(YEAR(A90)-1,MONTH(A90),1),$A$2:$A$800,0))-1,""))</f>
        <v/>
      </c>
    </row>
    <row r="91">
      <c r="A91" s="114" t="n">
        <v>37257</v>
      </c>
      <c r="B91" s="47" t="n">
        <v>214.162</v>
      </c>
      <c r="C91" s="115">
        <f>IF(OR(B91="",B90=""),"",B91/B90-1)</f>
        <v/>
      </c>
      <c r="D91" s="115">
        <f>IF(B91="","",IFERROR(B91/INDEX($B$2:$B$800,MATCH(DATE(YEAR(A91)-1,12,1),$A$2:$A$800,0))-1,""))</f>
        <v/>
      </c>
      <c r="E91" s="115">
        <f>IF(B91="","",IFERROR(B91/INDEX($B$2:$B$800,MATCH(DATE(YEAR(A91)-1,MONTH(A91),1),$A$2:$A$800,0))-1,""))</f>
        <v/>
      </c>
    </row>
    <row r="92">
      <c r="A92" s="114" t="n">
        <v>37288</v>
      </c>
      <c r="B92" s="47" t="n">
        <v>215.399</v>
      </c>
      <c r="C92" s="115">
        <f>IF(OR(B92="",B91=""),"",B92/B91-1)</f>
        <v/>
      </c>
      <c r="D92" s="115">
        <f>IF(B92="","",IFERROR(B92/INDEX($B$2:$B$800,MATCH(DATE(YEAR(A92)-1,12,1),$A$2:$A$800,0))-1,""))</f>
        <v/>
      </c>
      <c r="E92" s="115">
        <f>IF(B92="","",IFERROR(B92/INDEX($B$2:$B$800,MATCH(DATE(YEAR(A92)-1,MONTH(A92),1),$A$2:$A$800,0))-1,""))</f>
        <v/>
      </c>
    </row>
    <row r="93">
      <c r="A93" s="114" t="n">
        <v>37316</v>
      </c>
      <c r="B93" s="47" t="n">
        <v>216.577</v>
      </c>
      <c r="C93" s="115">
        <f>IF(OR(B93="",B92=""),"",B93/B92-1)</f>
        <v/>
      </c>
      <c r="D93" s="115">
        <f>IF(B93="","",IFERROR(B93/INDEX($B$2:$B$800,MATCH(DATE(YEAR(A93)-1,12,1),$A$2:$A$800,0))-1,""))</f>
        <v/>
      </c>
      <c r="E93" s="115">
        <f>IF(B93="","",IFERROR(B93/INDEX($B$2:$B$800,MATCH(DATE(YEAR(A93)-1,MONTH(A93),1),$A$2:$A$800,0))-1,""))</f>
        <v/>
      </c>
    </row>
    <row r="94">
      <c r="A94" s="114" t="n">
        <v>37347</v>
      </c>
      <c r="B94" s="47" t="n">
        <v>217.288</v>
      </c>
      <c r="C94" s="115">
        <f>IF(OR(B94="",B93=""),"",B94/B93-1)</f>
        <v/>
      </c>
      <c r="D94" s="115">
        <f>IF(B94="","",IFERROR(B94/INDEX($B$2:$B$800,MATCH(DATE(YEAR(A94)-1,12,1),$A$2:$A$800,0))-1,""))</f>
        <v/>
      </c>
      <c r="E94" s="115">
        <f>IF(B94="","",IFERROR(B94/INDEX($B$2:$B$800,MATCH(DATE(YEAR(A94)-1,MONTH(A94),1),$A$2:$A$800,0))-1,""))</f>
        <v/>
      </c>
    </row>
    <row r="95">
      <c r="A95" s="114" t="n">
        <v>37377</v>
      </c>
      <c r="B95" s="47" t="n">
        <v>222.793</v>
      </c>
      <c r="C95" s="115">
        <f>IF(OR(B95="",B94=""),"",B95/B94-1)</f>
        <v/>
      </c>
      <c r="D95" s="115">
        <f>IF(B95="","",IFERROR(B95/INDEX($B$2:$B$800,MATCH(DATE(YEAR(A95)-1,12,1),$A$2:$A$800,0))-1,""))</f>
        <v/>
      </c>
      <c r="E95" s="115">
        <f>IF(B95="","",IFERROR(B95/INDEX($B$2:$B$800,MATCH(DATE(YEAR(A95)-1,MONTH(A95),1),$A$2:$A$800,0))-1,""))</f>
        <v/>
      </c>
    </row>
    <row r="96">
      <c r="A96" s="114" t="n">
        <v>37408</v>
      </c>
      <c r="B96" s="47" t="n">
        <v>224.054</v>
      </c>
      <c r="C96" s="115">
        <f>IF(OR(B96="",B95=""),"",B96/B95-1)</f>
        <v/>
      </c>
      <c r="D96" s="115">
        <f>IF(B96="","",IFERROR(B96/INDEX($B$2:$B$800,MATCH(DATE(YEAR(A96)-1,12,1),$A$2:$A$800,0))-1,""))</f>
        <v/>
      </c>
      <c r="E96" s="115">
        <f>IF(B96="","",IFERROR(B96/INDEX($B$2:$B$800,MATCH(DATE(YEAR(A96)-1,MONTH(A96),1),$A$2:$A$800,0))-1,""))</f>
        <v/>
      </c>
    </row>
    <row r="97">
      <c r="A97" s="114" t="n">
        <v>37438</v>
      </c>
      <c r="B97" s="47" t="n">
        <v>224.712</v>
      </c>
      <c r="C97" s="115">
        <f>IF(OR(B97="",B96=""),"",B97/B96-1)</f>
        <v/>
      </c>
      <c r="D97" s="115">
        <f>IF(B97="","",IFERROR(B97/INDEX($B$2:$B$800,MATCH(DATE(YEAR(A97)-1,12,1),$A$2:$A$800,0))-1,""))</f>
        <v/>
      </c>
      <c r="E97" s="115">
        <f>IF(B97="","",IFERROR(B97/INDEX($B$2:$B$800,MATCH(DATE(YEAR(A97)-1,MONTH(A97),1),$A$2:$A$800,0))-1,""))</f>
        <v/>
      </c>
    </row>
    <row r="98">
      <c r="A98" s="114" t="n">
        <v>37469</v>
      </c>
      <c r="B98" s="47" t="n">
        <v>226.968</v>
      </c>
      <c r="C98" s="115">
        <f>IF(OR(B98="",B97=""),"",B98/B97-1)</f>
        <v/>
      </c>
      <c r="D98" s="115">
        <f>IF(B98="","",IFERROR(B98/INDEX($B$2:$B$800,MATCH(DATE(YEAR(A98)-1,12,1),$A$2:$A$800,0))-1,""))</f>
        <v/>
      </c>
      <c r="E98" s="115">
        <f>IF(B98="","",IFERROR(B98/INDEX($B$2:$B$800,MATCH(DATE(YEAR(A98)-1,MONTH(A98),1),$A$2:$A$800,0))-1,""))</f>
        <v/>
      </c>
    </row>
    <row r="99">
      <c r="A99" s="114" t="n">
        <v>37500</v>
      </c>
      <c r="B99" s="47" t="n">
        <v>228.576</v>
      </c>
      <c r="C99" s="115">
        <f>IF(OR(B99="",B98=""),"",B99/B98-1)</f>
        <v/>
      </c>
      <c r="D99" s="115">
        <f>IF(B99="","",IFERROR(B99/INDEX($B$2:$B$800,MATCH(DATE(YEAR(A99)-1,12,1),$A$2:$A$800,0))-1,""))</f>
        <v/>
      </c>
      <c r="E99" s="115">
        <f>IF(B99="","",IFERROR(B99/INDEX($B$2:$B$800,MATCH(DATE(YEAR(A99)-1,MONTH(A99),1),$A$2:$A$800,0))-1,""))</f>
        <v/>
      </c>
    </row>
    <row r="100">
      <c r="A100" s="114" t="n">
        <v>37530</v>
      </c>
      <c r="B100" s="47" t="n">
        <v>231.167</v>
      </c>
      <c r="C100" s="115">
        <f>IF(OR(B100="",B99=""),"",B100/B99-1)</f>
        <v/>
      </c>
      <c r="D100" s="115">
        <f>IF(B100="","",IFERROR(B100/INDEX($B$2:$B$800,MATCH(DATE(YEAR(A100)-1,12,1),$A$2:$A$800,0))-1,""))</f>
        <v/>
      </c>
      <c r="E100" s="115">
        <f>IF(B100="","",IFERROR(B100/INDEX($B$2:$B$800,MATCH(DATE(YEAR(A100)-1,MONTH(A100),1),$A$2:$A$800,0))-1,""))</f>
        <v/>
      </c>
    </row>
    <row r="101">
      <c r="A101" s="114" t="n">
        <v>37561</v>
      </c>
      <c r="B101" s="47" t="n">
        <v>236.83</v>
      </c>
      <c r="C101" s="115">
        <f>IF(OR(B101="",B100=""),"",B101/B100-1)</f>
        <v/>
      </c>
      <c r="D101" s="115">
        <f>IF(B101="","",IFERROR(B101/INDEX($B$2:$B$800,MATCH(DATE(YEAR(A101)-1,12,1),$A$2:$A$800,0))-1,""))</f>
        <v/>
      </c>
      <c r="E101" s="115">
        <f>IF(B101="","",IFERROR(B101/INDEX($B$2:$B$800,MATCH(DATE(YEAR(A101)-1,MONTH(A101),1),$A$2:$A$800,0))-1,""))</f>
        <v/>
      </c>
    </row>
    <row r="102">
      <c r="A102" s="114" t="n">
        <v>37591</v>
      </c>
      <c r="B102" s="47" t="n">
        <v>240.861</v>
      </c>
      <c r="C102" s="115">
        <f>IF(OR(B102="",B101=""),"",B102/B101-1)</f>
        <v/>
      </c>
      <c r="D102" s="115">
        <f>IF(B102="","",IFERROR(B102/INDEX($B$2:$B$800,MATCH(DATE(YEAR(A102)-1,12,1),$A$2:$A$800,0))-1,""))</f>
        <v/>
      </c>
      <c r="E102" s="115">
        <f>IF(B102="","",IFERROR(B102/INDEX($B$2:$B$800,MATCH(DATE(YEAR(A102)-1,MONTH(A102),1),$A$2:$A$800,0))-1,""))</f>
        <v/>
      </c>
    </row>
    <row r="103">
      <c r="A103" s="114" t="n">
        <v>37622</v>
      </c>
      <c r="B103" s="47" t="n">
        <v>244.489</v>
      </c>
      <c r="C103" s="115">
        <f>IF(OR(B103="",B102=""),"",B103/B102-1)</f>
        <v/>
      </c>
      <c r="D103" s="115">
        <f>IF(B103="","",IFERROR(B103/INDEX($B$2:$B$800,MATCH(DATE(YEAR(A103)-1,12,1),$A$2:$A$800,0))-1,""))</f>
        <v/>
      </c>
      <c r="E103" s="115">
        <f>IF(B103="","",IFERROR(B103/INDEX($B$2:$B$800,MATCH(DATE(YEAR(A103)-1,MONTH(A103),1),$A$2:$A$800,0))-1,""))</f>
        <v/>
      </c>
    </row>
    <row r="104">
      <c r="A104" s="114" t="n">
        <v>37653</v>
      </c>
      <c r="B104" s="47" t="n">
        <v>247.898</v>
      </c>
      <c r="C104" s="115">
        <f>IF(OR(B104="",B103=""),"",B104/B103-1)</f>
        <v/>
      </c>
      <c r="D104" s="115">
        <f>IF(B104="","",IFERROR(B104/INDEX($B$2:$B$800,MATCH(DATE(YEAR(A104)-1,12,1),$A$2:$A$800,0))-1,""))</f>
        <v/>
      </c>
      <c r="E104" s="115">
        <f>IF(B104="","",IFERROR(B104/INDEX($B$2:$B$800,MATCH(DATE(YEAR(A104)-1,MONTH(A104),1),$A$2:$A$800,0))-1,""))</f>
        <v/>
      </c>
    </row>
    <row r="105">
      <c r="A105" s="114" t="n">
        <v>37681</v>
      </c>
      <c r="B105" s="47" t="n">
        <v>251.318</v>
      </c>
      <c r="C105" s="115">
        <f>IF(OR(B105="",B104=""),"",B105/B104-1)</f>
        <v/>
      </c>
      <c r="D105" s="115">
        <f>IF(B105="","",IFERROR(B105/INDEX($B$2:$B$800,MATCH(DATE(YEAR(A105)-1,12,1),$A$2:$A$800,0))-1,""))</f>
        <v/>
      </c>
      <c r="E105" s="115">
        <f>IF(B105="","",IFERROR(B105/INDEX($B$2:$B$800,MATCH(DATE(YEAR(A105)-1,MONTH(A105),1),$A$2:$A$800,0))-1,""))</f>
        <v/>
      </c>
    </row>
    <row r="106">
      <c r="A106" s="114" t="n">
        <v>37712</v>
      </c>
      <c r="B106" s="47" t="n">
        <v>253.585</v>
      </c>
      <c r="C106" s="115">
        <f>IF(OR(B106="",B105=""),"",B106/B105-1)</f>
        <v/>
      </c>
      <c r="D106" s="115">
        <f>IF(B106="","",IFERROR(B106/INDEX($B$2:$B$800,MATCH(DATE(YEAR(A106)-1,12,1),$A$2:$A$800,0))-1,""))</f>
        <v/>
      </c>
      <c r="E106" s="115">
        <f>IF(B106="","",IFERROR(B106/INDEX($B$2:$B$800,MATCH(DATE(YEAR(A106)-1,MONTH(A106),1),$A$2:$A$800,0))-1,""))</f>
        <v/>
      </c>
    </row>
    <row r="107">
      <c r="A107" s="114" t="n">
        <v>37742</v>
      </c>
      <c r="B107" s="47" t="n">
        <v>260.778</v>
      </c>
      <c r="C107" s="115">
        <f>IF(OR(B107="",B106=""),"",B107/B106-1)</f>
        <v/>
      </c>
      <c r="D107" s="115">
        <f>IF(B107="","",IFERROR(B107/INDEX($B$2:$B$800,MATCH(DATE(YEAR(A107)-1,12,1),$A$2:$A$800,0))-1,""))</f>
        <v/>
      </c>
      <c r="E107" s="115">
        <f>IF(B107="","",IFERROR(B107/INDEX($B$2:$B$800,MATCH(DATE(YEAR(A107)-1,MONTH(A107),1),$A$2:$A$800,0))-1,""))</f>
        <v/>
      </c>
    </row>
    <row r="108">
      <c r="A108" s="114" t="n">
        <v>37773</v>
      </c>
      <c r="B108" s="47" t="n">
        <v>263.516</v>
      </c>
      <c r="C108" s="115">
        <f>IF(OR(B108="",B107=""),"",B108/B107-1)</f>
        <v/>
      </c>
      <c r="D108" s="115">
        <f>IF(B108="","",IFERROR(B108/INDEX($B$2:$B$800,MATCH(DATE(YEAR(A108)-1,12,1),$A$2:$A$800,0))-1,""))</f>
        <v/>
      </c>
      <c r="E108" s="115">
        <f>IF(B108="","",IFERROR(B108/INDEX($B$2:$B$800,MATCH(DATE(YEAR(A108)-1,MONTH(A108),1),$A$2:$A$800,0))-1,""))</f>
        <v/>
      </c>
    </row>
    <row r="109">
      <c r="A109" s="114" t="n">
        <v>37803</v>
      </c>
      <c r="B109" s="47" t="n">
        <v>266.132</v>
      </c>
      <c r="C109" s="115">
        <f>IF(OR(B109="",B108=""),"",B109/B108-1)</f>
        <v/>
      </c>
      <c r="D109" s="115">
        <f>IF(B109="","",IFERROR(B109/INDEX($B$2:$B$800,MATCH(DATE(YEAR(A109)-1,12,1),$A$2:$A$800,0))-1,""))</f>
        <v/>
      </c>
      <c r="E109" s="115">
        <f>IF(B109="","",IFERROR(B109/INDEX($B$2:$B$800,MATCH(DATE(YEAR(A109)-1,MONTH(A109),1),$A$2:$A$800,0))-1,""))</f>
        <v/>
      </c>
    </row>
    <row r="110">
      <c r="A110" s="114" t="n">
        <v>37834</v>
      </c>
      <c r="B110" s="47" t="n">
        <v>269.967</v>
      </c>
      <c r="C110" s="115">
        <f>IF(OR(B110="",B109=""),"",B110/B109-1)</f>
        <v/>
      </c>
      <c r="D110" s="115">
        <f>IF(B110="","",IFERROR(B110/INDEX($B$2:$B$800,MATCH(DATE(YEAR(A110)-1,12,1),$A$2:$A$800,0))-1,""))</f>
        <v/>
      </c>
      <c r="E110" s="115">
        <f>IF(B110="","",IFERROR(B110/INDEX($B$2:$B$800,MATCH(DATE(YEAR(A110)-1,MONTH(A110),1),$A$2:$A$800,0))-1,""))</f>
        <v/>
      </c>
    </row>
    <row r="111">
      <c r="A111" s="114" t="n">
        <v>37865</v>
      </c>
      <c r="B111" s="47" t="n">
        <v>270.555</v>
      </c>
      <c r="C111" s="115">
        <f>IF(OR(B111="",B110=""),"",B111/B110-1)</f>
        <v/>
      </c>
      <c r="D111" s="115">
        <f>IF(B111="","",IFERROR(B111/INDEX($B$2:$B$800,MATCH(DATE(YEAR(A111)-1,12,1),$A$2:$A$800,0))-1,""))</f>
        <v/>
      </c>
      <c r="E111" s="115">
        <f>IF(B111="","",IFERROR(B111/INDEX($B$2:$B$800,MATCH(DATE(YEAR(A111)-1,MONTH(A111),1),$A$2:$A$800,0))-1,""))</f>
        <v/>
      </c>
    </row>
    <row r="112">
      <c r="A112" s="114" t="n">
        <v>37895</v>
      </c>
      <c r="B112" s="47" t="n">
        <v>272.325</v>
      </c>
      <c r="C112" s="115">
        <f>IF(OR(B112="",B111=""),"",B112/B111-1)</f>
        <v/>
      </c>
      <c r="D112" s="115">
        <f>IF(B112="","",IFERROR(B112/INDEX($B$2:$B$800,MATCH(DATE(YEAR(A112)-1,12,1),$A$2:$A$800,0))-1,""))</f>
        <v/>
      </c>
      <c r="E112" s="115">
        <f>IF(B112="","",IFERROR(B112/INDEX($B$2:$B$800,MATCH(DATE(YEAR(A112)-1,MONTH(A112),1),$A$2:$A$800,0))-1,""))</f>
        <v/>
      </c>
    </row>
    <row r="113">
      <c r="A113" s="114" t="n">
        <v>37926</v>
      </c>
      <c r="B113" s="47" t="n">
        <v>275.152</v>
      </c>
      <c r="C113" s="115">
        <f>IF(OR(B113="",B112=""),"",B113/B112-1)</f>
        <v/>
      </c>
      <c r="D113" s="115">
        <f>IF(B113="","",IFERROR(B113/INDEX($B$2:$B$800,MATCH(DATE(YEAR(A113)-1,12,1),$A$2:$A$800,0))-1,""))</f>
        <v/>
      </c>
      <c r="E113" s="115">
        <f>IF(B113="","",IFERROR(B113/INDEX($B$2:$B$800,MATCH(DATE(YEAR(A113)-1,MONTH(A113),1),$A$2:$A$800,0))-1,""))</f>
        <v/>
      </c>
    </row>
    <row r="114">
      <c r="A114" s="114" t="n">
        <v>37956</v>
      </c>
      <c r="B114" s="47" t="n">
        <v>275.594</v>
      </c>
      <c r="C114" s="115">
        <f>IF(OR(B114="",B113=""),"",B114/B113-1)</f>
        <v/>
      </c>
      <c r="D114" s="115">
        <f>IF(B114="","",IFERROR(B114/INDEX($B$2:$B$800,MATCH(DATE(YEAR(A114)-1,12,1),$A$2:$A$800,0))-1,""))</f>
        <v/>
      </c>
      <c r="E114" s="115">
        <f>IF(B114="","",IFERROR(B114/INDEX($B$2:$B$800,MATCH(DATE(YEAR(A114)-1,MONTH(A114),1),$A$2:$A$800,0))-1,""))</f>
        <v/>
      </c>
    </row>
    <row r="115">
      <c r="A115" s="114" t="n">
        <v>37987</v>
      </c>
      <c r="B115" s="47" t="n">
        <v>276.49</v>
      </c>
      <c r="C115" s="115">
        <f>IF(OR(B115="",B114=""),"",B115/B114-1)</f>
        <v/>
      </c>
      <c r="D115" s="115">
        <f>IF(B115="","",IFERROR(B115/INDEX($B$2:$B$800,MATCH(DATE(YEAR(A115)-1,12,1),$A$2:$A$800,0))-1,""))</f>
        <v/>
      </c>
      <c r="E115" s="115">
        <f>IF(B115="","",IFERROR(B115/INDEX($B$2:$B$800,MATCH(DATE(YEAR(A115)-1,MONTH(A115),1),$A$2:$A$800,0))-1,""))</f>
        <v/>
      </c>
    </row>
    <row r="116">
      <c r="A116" s="114" t="n">
        <v>38018</v>
      </c>
      <c r="B116" s="47" t="n">
        <v>279.243</v>
      </c>
      <c r="C116" s="115">
        <f>IF(OR(B116="",B115=""),"",B116/B115-1)</f>
        <v/>
      </c>
      <c r="D116" s="115">
        <f>IF(B116="","",IFERROR(B116/INDEX($B$2:$B$800,MATCH(DATE(YEAR(A116)-1,12,1),$A$2:$A$800,0))-1,""))</f>
        <v/>
      </c>
      <c r="E116" s="115">
        <f>IF(B116="","",IFERROR(B116/INDEX($B$2:$B$800,MATCH(DATE(YEAR(A116)-1,MONTH(A116),1),$A$2:$A$800,0))-1,""))</f>
        <v/>
      </c>
    </row>
    <row r="117">
      <c r="A117" s="114" t="n">
        <v>38047</v>
      </c>
      <c r="B117" s="47" t="n">
        <v>282.47</v>
      </c>
      <c r="C117" s="115">
        <f>IF(OR(B117="",B116=""),"",B117/B116-1)</f>
        <v/>
      </c>
      <c r="D117" s="115">
        <f>IF(B117="","",IFERROR(B117/INDEX($B$2:$B$800,MATCH(DATE(YEAR(A117)-1,12,1),$A$2:$A$800,0))-1,""))</f>
        <v/>
      </c>
      <c r="E117" s="115">
        <f>IF(B117="","",IFERROR(B117/INDEX($B$2:$B$800,MATCH(DATE(YEAR(A117)-1,MONTH(A117),1),$A$2:$A$800,0))-1,""))</f>
        <v/>
      </c>
    </row>
    <row r="118">
      <c r="A118" s="114" t="n">
        <v>38078</v>
      </c>
      <c r="B118" s="47" t="n">
        <v>284.128</v>
      </c>
      <c r="C118" s="115">
        <f>IF(OR(B118="",B117=""),"",B118/B117-1)</f>
        <v/>
      </c>
      <c r="D118" s="115">
        <f>IF(B118="","",IFERROR(B118/INDEX($B$2:$B$800,MATCH(DATE(YEAR(A118)-1,12,1),$A$2:$A$800,0))-1,""))</f>
        <v/>
      </c>
      <c r="E118" s="115">
        <f>IF(B118="","",IFERROR(B118/INDEX($B$2:$B$800,MATCH(DATE(YEAR(A118)-1,MONTH(A118),1),$A$2:$A$800,0))-1,""))</f>
        <v/>
      </c>
    </row>
    <row r="119">
      <c r="A119" s="114" t="n">
        <v>38108</v>
      </c>
      <c r="B119" s="47" t="n">
        <v>289.317</v>
      </c>
      <c r="C119" s="115">
        <f>IF(OR(B119="",B118=""),"",B119/B118-1)</f>
        <v/>
      </c>
      <c r="D119" s="115">
        <f>IF(B119="","",IFERROR(B119/INDEX($B$2:$B$800,MATCH(DATE(YEAR(A119)-1,12,1),$A$2:$A$800,0))-1,""))</f>
        <v/>
      </c>
      <c r="E119" s="115">
        <f>IF(B119="","",IFERROR(B119/INDEX($B$2:$B$800,MATCH(DATE(YEAR(A119)-1,MONTH(A119),1),$A$2:$A$800,0))-1,""))</f>
        <v/>
      </c>
    </row>
    <row r="120">
      <c r="A120" s="114" t="n">
        <v>38139</v>
      </c>
      <c r="B120" s="47" t="n">
        <v>291.348</v>
      </c>
      <c r="C120" s="115">
        <f>IF(OR(B120="",B119=""),"",B120/B119-1)</f>
        <v/>
      </c>
      <c r="D120" s="115">
        <f>IF(B120="","",IFERROR(B120/INDEX($B$2:$B$800,MATCH(DATE(YEAR(A120)-1,12,1),$A$2:$A$800,0))-1,""))</f>
        <v/>
      </c>
      <c r="E120" s="115">
        <f>IF(B120="","",IFERROR(B120/INDEX($B$2:$B$800,MATCH(DATE(YEAR(A120)-1,MONTH(A120),1),$A$2:$A$800,0))-1,""))</f>
        <v/>
      </c>
    </row>
    <row r="121">
      <c r="A121" s="114" t="n">
        <v>38169</v>
      </c>
      <c r="B121" s="47" t="n">
        <v>294.625</v>
      </c>
      <c r="C121" s="115">
        <f>IF(OR(B121="",B120=""),"",B121/B120-1)</f>
        <v/>
      </c>
      <c r="D121" s="115">
        <f>IF(B121="","",IFERROR(B121/INDEX($B$2:$B$800,MATCH(DATE(YEAR(A121)-1,12,1),$A$2:$A$800,0))-1,""))</f>
        <v/>
      </c>
      <c r="E121" s="115">
        <f>IF(B121="","",IFERROR(B121/INDEX($B$2:$B$800,MATCH(DATE(YEAR(A121)-1,MONTH(A121),1),$A$2:$A$800,0))-1,""))</f>
        <v/>
      </c>
    </row>
    <row r="122">
      <c r="A122" s="114" t="n">
        <v>38200</v>
      </c>
      <c r="B122" s="47" t="n">
        <v>297.003</v>
      </c>
      <c r="C122" s="115">
        <f>IF(OR(B122="",B121=""),"",B122/B121-1)</f>
        <v/>
      </c>
      <c r="D122" s="115">
        <f>IF(B122="","",IFERROR(B122/INDEX($B$2:$B$800,MATCH(DATE(YEAR(A122)-1,12,1),$A$2:$A$800,0))-1,""))</f>
        <v/>
      </c>
      <c r="E122" s="115">
        <f>IF(B122="","",IFERROR(B122/INDEX($B$2:$B$800,MATCH(DATE(YEAR(A122)-1,MONTH(A122),1),$A$2:$A$800,0))-1,""))</f>
        <v/>
      </c>
    </row>
    <row r="123">
      <c r="A123" s="114" t="n">
        <v>38231</v>
      </c>
      <c r="B123" s="47" t="n">
        <v>298.722</v>
      </c>
      <c r="C123" s="115">
        <f>IF(OR(B123="",B122=""),"",B123/B122-1)</f>
        <v/>
      </c>
      <c r="D123" s="115">
        <f>IF(B123="","",IFERROR(B123/INDEX($B$2:$B$800,MATCH(DATE(YEAR(A123)-1,12,1),$A$2:$A$800,0))-1,""))</f>
        <v/>
      </c>
      <c r="E123" s="115">
        <f>IF(B123="","",IFERROR(B123/INDEX($B$2:$B$800,MATCH(DATE(YEAR(A123)-1,MONTH(A123),1),$A$2:$A$800,0))-1,""))</f>
        <v/>
      </c>
    </row>
    <row r="124">
      <c r="A124" s="114" t="n">
        <v>38261</v>
      </c>
      <c r="B124" s="47" t="n">
        <v>302.275</v>
      </c>
      <c r="C124" s="115">
        <f>IF(OR(B124="",B123=""),"",B124/B123-1)</f>
        <v/>
      </c>
      <c r="D124" s="115">
        <f>IF(B124="","",IFERROR(B124/INDEX($B$2:$B$800,MATCH(DATE(YEAR(A124)-1,12,1),$A$2:$A$800,0))-1,""))</f>
        <v/>
      </c>
      <c r="E124" s="115">
        <f>IF(B124="","",IFERROR(B124/INDEX($B$2:$B$800,MATCH(DATE(YEAR(A124)-1,MONTH(A124),1),$A$2:$A$800,0))-1,""))</f>
        <v/>
      </c>
    </row>
    <row r="125">
      <c r="A125" s="114" t="n">
        <v>38292</v>
      </c>
      <c r="B125" s="47" t="n">
        <v>304.429</v>
      </c>
      <c r="C125" s="115">
        <f>IF(OR(B125="",B124=""),"",B125/B124-1)</f>
        <v/>
      </c>
      <c r="D125" s="115">
        <f>IF(B125="","",IFERROR(B125/INDEX($B$2:$B$800,MATCH(DATE(YEAR(A125)-1,12,1),$A$2:$A$800,0))-1,""))</f>
        <v/>
      </c>
      <c r="E125" s="115">
        <f>IF(B125="","",IFERROR(B125/INDEX($B$2:$B$800,MATCH(DATE(YEAR(A125)-1,MONTH(A125),1),$A$2:$A$800,0))-1,""))</f>
        <v/>
      </c>
    </row>
    <row r="126">
      <c r="A126" s="114" t="n">
        <v>38322</v>
      </c>
      <c r="B126" s="47" t="n">
        <v>305.974</v>
      </c>
      <c r="C126" s="115">
        <f>IF(OR(B126="",B125=""),"",B126/B125-1)</f>
        <v/>
      </c>
      <c r="D126" s="115">
        <f>IF(B126="","",IFERROR(B126/INDEX($B$2:$B$800,MATCH(DATE(YEAR(A126)-1,12,1),$A$2:$A$800,0))-1,""))</f>
        <v/>
      </c>
      <c r="E126" s="115">
        <f>IF(B126="","",IFERROR(B126/INDEX($B$2:$B$800,MATCH(DATE(YEAR(A126)-1,MONTH(A126),1),$A$2:$A$800,0))-1,""))</f>
        <v/>
      </c>
    </row>
    <row r="127">
      <c r="A127" s="114" t="n">
        <v>38353</v>
      </c>
      <c r="B127" s="47" t="n">
        <v>308.284</v>
      </c>
      <c r="C127" s="115">
        <f>IF(OR(B127="",B126=""),"",B127/B126-1)</f>
        <v/>
      </c>
      <c r="D127" s="115">
        <f>IF(B127="","",IFERROR(B127/INDEX($B$2:$B$800,MATCH(DATE(YEAR(A127)-1,12,1),$A$2:$A$800,0))-1,""))</f>
        <v/>
      </c>
      <c r="E127" s="115">
        <f>IF(B127="","",IFERROR(B127/INDEX($B$2:$B$800,MATCH(DATE(YEAR(A127)-1,MONTH(A127),1),$A$2:$A$800,0))-1,""))</f>
        <v/>
      </c>
    </row>
    <row r="128">
      <c r="A128" s="114" t="n">
        <v>38384</v>
      </c>
      <c r="B128" s="47" t="n">
        <v>309.646</v>
      </c>
      <c r="C128" s="115">
        <f>IF(OR(B128="",B127=""),"",B128/B127-1)</f>
        <v/>
      </c>
      <c r="D128" s="115">
        <f>IF(B128="","",IFERROR(B128/INDEX($B$2:$B$800,MATCH(DATE(YEAR(A128)-1,12,1),$A$2:$A$800,0))-1,""))</f>
        <v/>
      </c>
      <c r="E128" s="115">
        <f>IF(B128="","",IFERROR(B128/INDEX($B$2:$B$800,MATCH(DATE(YEAR(A128)-1,MONTH(A128),1),$A$2:$A$800,0))-1,""))</f>
        <v/>
      </c>
    </row>
    <row r="129">
      <c r="A129" s="114" t="n">
        <v>38412</v>
      </c>
      <c r="B129" s="47" t="n">
        <v>311.733</v>
      </c>
      <c r="C129" s="115">
        <f>IF(OR(B129="",B128=""),"",B129/B128-1)</f>
        <v/>
      </c>
      <c r="D129" s="115">
        <f>IF(B129="","",IFERROR(B129/INDEX($B$2:$B$800,MATCH(DATE(YEAR(A129)-1,12,1),$A$2:$A$800,0))-1,""))</f>
        <v/>
      </c>
      <c r="E129" s="115">
        <f>IF(B129="","",IFERROR(B129/INDEX($B$2:$B$800,MATCH(DATE(YEAR(A129)-1,MONTH(A129),1),$A$2:$A$800,0))-1,""))</f>
        <v/>
      </c>
    </row>
    <row r="130">
      <c r="A130" s="114" t="n">
        <v>38443</v>
      </c>
      <c r="B130" s="47" t="n">
        <v>313.977</v>
      </c>
      <c r="C130" s="115">
        <f>IF(OR(B130="",B129=""),"",B130/B129-1)</f>
        <v/>
      </c>
      <c r="D130" s="115">
        <f>IF(B130="","",IFERROR(B130/INDEX($B$2:$B$800,MATCH(DATE(YEAR(A130)-1,12,1),$A$2:$A$800,0))-1,""))</f>
        <v/>
      </c>
      <c r="E130" s="115">
        <f>IF(B130="","",IFERROR(B130/INDEX($B$2:$B$800,MATCH(DATE(YEAR(A130)-1,MONTH(A130),1),$A$2:$A$800,0))-1,""))</f>
        <v/>
      </c>
    </row>
    <row r="131">
      <c r="A131" s="114" t="n">
        <v>38473</v>
      </c>
      <c r="B131" s="47" t="n">
        <v>320.524</v>
      </c>
      <c r="C131" s="115">
        <f>IF(OR(B131="",B130=""),"",B131/B130-1)</f>
        <v/>
      </c>
      <c r="D131" s="115">
        <f>IF(B131="","",IFERROR(B131/INDEX($B$2:$B$800,MATCH(DATE(YEAR(A131)-1,12,1),$A$2:$A$800,0))-1,""))</f>
        <v/>
      </c>
      <c r="E131" s="115">
        <f>IF(B131="","",IFERROR(B131/INDEX($B$2:$B$800,MATCH(DATE(YEAR(A131)-1,MONTH(A131),1),$A$2:$A$800,0))-1,""))</f>
        <v/>
      </c>
    </row>
    <row r="132">
      <c r="A132" s="114" t="n">
        <v>38504</v>
      </c>
      <c r="B132" s="47" t="n">
        <v>322.974</v>
      </c>
      <c r="C132" s="115">
        <f>IF(OR(B132="",B131=""),"",B132/B131-1)</f>
        <v/>
      </c>
      <c r="D132" s="115">
        <f>IF(B132="","",IFERROR(B132/INDEX($B$2:$B$800,MATCH(DATE(YEAR(A132)-1,12,1),$A$2:$A$800,0))-1,""))</f>
        <v/>
      </c>
      <c r="E132" s="115">
        <f>IF(B132="","",IFERROR(B132/INDEX($B$2:$B$800,MATCH(DATE(YEAR(A132)-1,MONTH(A132),1),$A$2:$A$800,0))-1,""))</f>
        <v/>
      </c>
    </row>
    <row r="133">
      <c r="A133" s="114" t="n">
        <v>38534</v>
      </c>
      <c r="B133" s="47" t="n">
        <v>323.332</v>
      </c>
      <c r="C133" s="115">
        <f>IF(OR(B133="",B132=""),"",B133/B132-1)</f>
        <v/>
      </c>
      <c r="D133" s="115">
        <f>IF(B133="","",IFERROR(B133/INDEX($B$2:$B$800,MATCH(DATE(YEAR(A133)-1,12,1),$A$2:$A$800,0))-1,""))</f>
        <v/>
      </c>
      <c r="E133" s="115">
        <f>IF(B133="","",IFERROR(B133/INDEX($B$2:$B$800,MATCH(DATE(YEAR(A133)-1,MONTH(A133),1),$A$2:$A$800,0))-1,""))</f>
        <v/>
      </c>
    </row>
    <row r="134">
      <c r="A134" s="114" t="n">
        <v>38565</v>
      </c>
      <c r="B134" s="47" t="n">
        <v>323.382</v>
      </c>
      <c r="C134" s="115">
        <f>IF(OR(B134="",B133=""),"",B134/B133-1)</f>
        <v/>
      </c>
      <c r="D134" s="115">
        <f>IF(B134="","",IFERROR(B134/INDEX($B$2:$B$800,MATCH(DATE(YEAR(A134)-1,12,1),$A$2:$A$800,0))-1,""))</f>
        <v/>
      </c>
      <c r="E134" s="115">
        <f>IF(B134="","",IFERROR(B134/INDEX($B$2:$B$800,MATCH(DATE(YEAR(A134)-1,MONTH(A134),1),$A$2:$A$800,0))-1,""))</f>
        <v/>
      </c>
    </row>
    <row r="135">
      <c r="A135" s="114" t="n">
        <v>38596</v>
      </c>
      <c r="B135" s="47" t="n">
        <v>324.164</v>
      </c>
      <c r="C135" s="115">
        <f>IF(OR(B135="",B134=""),"",B135/B134-1)</f>
        <v/>
      </c>
      <c r="D135" s="115">
        <f>IF(B135="","",IFERROR(B135/INDEX($B$2:$B$800,MATCH(DATE(YEAR(A135)-1,12,1),$A$2:$A$800,0))-1,""))</f>
        <v/>
      </c>
      <c r="E135" s="115">
        <f>IF(B135="","",IFERROR(B135/INDEX($B$2:$B$800,MATCH(DATE(YEAR(A135)-1,MONTH(A135),1),$A$2:$A$800,0))-1,""))</f>
        <v/>
      </c>
    </row>
    <row r="136">
      <c r="A136" s="114" t="n">
        <v>38626</v>
      </c>
      <c r="B136" s="47" t="n">
        <v>324.782</v>
      </c>
      <c r="C136" s="115">
        <f>IF(OR(B136="",B135=""),"",B136/B135-1)</f>
        <v/>
      </c>
      <c r="D136" s="115">
        <f>IF(B136="","",IFERROR(B136/INDEX($B$2:$B$800,MATCH(DATE(YEAR(A136)-1,12,1),$A$2:$A$800,0))-1,""))</f>
        <v/>
      </c>
      <c r="E136" s="115">
        <f>IF(B136="","",IFERROR(B136/INDEX($B$2:$B$800,MATCH(DATE(YEAR(A136)-1,MONTH(A136),1),$A$2:$A$800,0))-1,""))</f>
        <v/>
      </c>
    </row>
    <row r="137">
      <c r="A137" s="114" t="n">
        <v>38657</v>
      </c>
      <c r="B137" s="47" t="n">
        <v>325.703</v>
      </c>
      <c r="C137" s="115">
        <f>IF(OR(B137="",B136=""),"",B137/B136-1)</f>
        <v/>
      </c>
      <c r="D137" s="115">
        <f>IF(B137="","",IFERROR(B137/INDEX($B$2:$B$800,MATCH(DATE(YEAR(A137)-1,12,1),$A$2:$A$800,0))-1,""))</f>
        <v/>
      </c>
      <c r="E137" s="115">
        <f>IF(B137="","",IFERROR(B137/INDEX($B$2:$B$800,MATCH(DATE(YEAR(A137)-1,MONTH(A137),1),$A$2:$A$800,0))-1,""))</f>
        <v/>
      </c>
    </row>
    <row r="138">
      <c r="A138" s="114" t="n">
        <v>38687</v>
      </c>
      <c r="B138" s="47" t="n">
        <v>326.915</v>
      </c>
      <c r="C138" s="115">
        <f>IF(OR(B138="",B137=""),"",B138/B137-1)</f>
        <v/>
      </c>
      <c r="D138" s="115">
        <f>IF(B138="","",IFERROR(B138/INDEX($B$2:$B$800,MATCH(DATE(YEAR(A138)-1,12,1),$A$2:$A$800,0))-1,""))</f>
        <v/>
      </c>
      <c r="E138" s="115">
        <f>IF(B138="","",IFERROR(B138/INDEX($B$2:$B$800,MATCH(DATE(YEAR(A138)-1,MONTH(A138),1),$A$2:$A$800,0))-1,""))</f>
        <v/>
      </c>
    </row>
    <row r="139">
      <c r="A139" s="114" t="n">
        <v>38718</v>
      </c>
      <c r="B139" s="47" t="n">
        <v>328.042</v>
      </c>
      <c r="C139" s="115">
        <f>IF(OR(B139="",B138=""),"",B139/B138-1)</f>
        <v/>
      </c>
      <c r="D139" s="115">
        <f>IF(B139="","",IFERROR(B139/INDEX($B$2:$B$800,MATCH(DATE(YEAR(A139)-1,12,1),$A$2:$A$800,0))-1,""))</f>
        <v/>
      </c>
      <c r="E139" s="115">
        <f>IF(B139="","",IFERROR(B139/INDEX($B$2:$B$800,MATCH(DATE(YEAR(A139)-1,MONTH(A139),1),$A$2:$A$800,0))-1,""))</f>
        <v/>
      </c>
    </row>
    <row r="140">
      <c r="A140" s="114" t="n">
        <v>38749</v>
      </c>
      <c r="B140" s="47" t="n">
        <v>328.651</v>
      </c>
      <c r="C140" s="115">
        <f>IF(OR(B140="",B139=""),"",B140/B139-1)</f>
        <v/>
      </c>
      <c r="D140" s="115">
        <f>IF(B140="","",IFERROR(B140/INDEX($B$2:$B$800,MATCH(DATE(YEAR(A140)-1,12,1),$A$2:$A$800,0))-1,""))</f>
        <v/>
      </c>
      <c r="E140" s="115">
        <f>IF(B140="","",IFERROR(B140/INDEX($B$2:$B$800,MATCH(DATE(YEAR(A140)-1,MONTH(A140),1),$A$2:$A$800,0))-1,""))</f>
        <v/>
      </c>
    </row>
    <row r="141">
      <c r="A141" s="114" t="n">
        <v>38777</v>
      </c>
      <c r="B141" s="47" t="n">
        <v>329.32</v>
      </c>
      <c r="C141" s="115">
        <f>IF(OR(B141="",B140=""),"",B141/B140-1)</f>
        <v/>
      </c>
      <c r="D141" s="115">
        <f>IF(B141="","",IFERROR(B141/INDEX($B$2:$B$800,MATCH(DATE(YEAR(A141)-1,12,1),$A$2:$A$800,0))-1,""))</f>
        <v/>
      </c>
      <c r="E141" s="115">
        <f>IF(B141="","",IFERROR(B141/INDEX($B$2:$B$800,MATCH(DATE(YEAR(A141)-1,MONTH(A141),1),$A$2:$A$800,0))-1,""))</f>
        <v/>
      </c>
    </row>
    <row r="142">
      <c r="A142" s="114" t="n">
        <v>38808</v>
      </c>
      <c r="B142" s="47" t="n">
        <v>330.501</v>
      </c>
      <c r="C142" s="115">
        <f>IF(OR(B142="",B141=""),"",B142/B141-1)</f>
        <v/>
      </c>
      <c r="D142" s="115">
        <f>IF(B142="","",IFERROR(B142/INDEX($B$2:$B$800,MATCH(DATE(YEAR(A142)-1,12,1),$A$2:$A$800,0))-1,""))</f>
        <v/>
      </c>
      <c r="E142" s="115">
        <f>IF(B142="","",IFERROR(B142/INDEX($B$2:$B$800,MATCH(DATE(YEAR(A142)-1,MONTH(A142),1),$A$2:$A$800,0))-1,""))</f>
        <v/>
      </c>
    </row>
    <row r="143">
      <c r="A143" s="114" t="n">
        <v>38838</v>
      </c>
      <c r="B143" s="47" t="n">
        <v>334.867</v>
      </c>
      <c r="C143" s="115">
        <f>IF(OR(B143="",B142=""),"",B143/B142-1)</f>
        <v/>
      </c>
      <c r="D143" s="115">
        <f>IF(B143="","",IFERROR(B143/INDEX($B$2:$B$800,MATCH(DATE(YEAR(A143)-1,12,1),$A$2:$A$800,0))-1,""))</f>
        <v/>
      </c>
      <c r="E143" s="115">
        <f>IF(B143="","",IFERROR(B143/INDEX($B$2:$B$800,MATCH(DATE(YEAR(A143)-1,MONTH(A143),1),$A$2:$A$800,0))-1,""))</f>
        <v/>
      </c>
    </row>
    <row r="144">
      <c r="A144" s="114" t="n">
        <v>38869</v>
      </c>
      <c r="B144" s="47" t="n">
        <v>337.892</v>
      </c>
      <c r="C144" s="115">
        <f>IF(OR(B144="",B143=""),"",B144/B143-1)</f>
        <v/>
      </c>
      <c r="D144" s="115">
        <f>IF(B144="","",IFERROR(B144/INDEX($B$2:$B$800,MATCH(DATE(YEAR(A144)-1,12,1),$A$2:$A$800,0))-1,""))</f>
        <v/>
      </c>
      <c r="E144" s="115">
        <f>IF(B144="","",IFERROR(B144/INDEX($B$2:$B$800,MATCH(DATE(YEAR(A144)-1,MONTH(A144),1),$A$2:$A$800,0))-1,""))</f>
        <v/>
      </c>
    </row>
    <row r="145">
      <c r="A145" s="114" t="n">
        <v>38899</v>
      </c>
      <c r="B145" s="47" t="n">
        <v>339.484</v>
      </c>
      <c r="C145" s="115">
        <f>IF(OR(B145="",B144=""),"",B145/B144-1)</f>
        <v/>
      </c>
      <c r="D145" s="115">
        <f>IF(B145="","",IFERROR(B145/INDEX($B$2:$B$800,MATCH(DATE(YEAR(A145)-1,12,1),$A$2:$A$800,0))-1,""))</f>
        <v/>
      </c>
      <c r="E145" s="115">
        <f>IF(B145="","",IFERROR(B145/INDEX($B$2:$B$800,MATCH(DATE(YEAR(A145)-1,MONTH(A145),1),$A$2:$A$800,0))-1,""))</f>
        <v/>
      </c>
    </row>
    <row r="146">
      <c r="A146" s="114" t="n">
        <v>38930</v>
      </c>
      <c r="B146" s="47" t="n">
        <v>340.283</v>
      </c>
      <c r="C146" s="115">
        <f>IF(OR(B146="",B145=""),"",B146/B145-1)</f>
        <v/>
      </c>
      <c r="D146" s="115">
        <f>IF(B146="","",IFERROR(B146/INDEX($B$2:$B$800,MATCH(DATE(YEAR(A146)-1,12,1),$A$2:$A$800,0))-1,""))</f>
        <v/>
      </c>
      <c r="E146" s="115">
        <f>IF(B146="","",IFERROR(B146/INDEX($B$2:$B$800,MATCH(DATE(YEAR(A146)-1,MONTH(A146),1),$A$2:$A$800,0))-1,""))</f>
        <v/>
      </c>
    </row>
    <row r="147">
      <c r="A147" s="114" t="n">
        <v>38961</v>
      </c>
      <c r="B147" s="47" t="n">
        <v>340.67</v>
      </c>
      <c r="C147" s="115">
        <f>IF(OR(B147="",B146=""),"",B147/B146-1)</f>
        <v/>
      </c>
      <c r="D147" s="115">
        <f>IF(B147="","",IFERROR(B147/INDEX($B$2:$B$800,MATCH(DATE(YEAR(A147)-1,12,1),$A$2:$A$800,0))-1,""))</f>
        <v/>
      </c>
      <c r="E147" s="115">
        <f>IF(B147="","",IFERROR(B147/INDEX($B$2:$B$800,MATCH(DATE(YEAR(A147)-1,MONTH(A147),1),$A$2:$A$800,0))-1,""))</f>
        <v/>
      </c>
    </row>
    <row r="148">
      <c r="A148" s="114" t="n">
        <v>38991</v>
      </c>
      <c r="B148" s="47" t="n">
        <v>341.369</v>
      </c>
      <c r="C148" s="115">
        <f>IF(OR(B148="",B147=""),"",B148/B147-1)</f>
        <v/>
      </c>
      <c r="D148" s="115">
        <f>IF(B148="","",IFERROR(B148/INDEX($B$2:$B$800,MATCH(DATE(YEAR(A148)-1,12,1),$A$2:$A$800,0))-1,""))</f>
        <v/>
      </c>
      <c r="E148" s="115">
        <f>IF(B148="","",IFERROR(B148/INDEX($B$2:$B$800,MATCH(DATE(YEAR(A148)-1,MONTH(A148),1),$A$2:$A$800,0))-1,""))</f>
        <v/>
      </c>
    </row>
    <row r="149">
      <c r="A149" s="114" t="n">
        <v>39022</v>
      </c>
      <c r="B149" s="47" t="n">
        <v>342.159</v>
      </c>
      <c r="C149" s="115">
        <f>IF(OR(B149="",B148=""),"",B149/B148-1)</f>
        <v/>
      </c>
      <c r="D149" s="115">
        <f>IF(B149="","",IFERROR(B149/INDEX($B$2:$B$800,MATCH(DATE(YEAR(A149)-1,12,1),$A$2:$A$800,0))-1,""))</f>
        <v/>
      </c>
      <c r="E149" s="115">
        <f>IF(B149="","",IFERROR(B149/INDEX($B$2:$B$800,MATCH(DATE(YEAR(A149)-1,MONTH(A149),1),$A$2:$A$800,0))-1,""))</f>
        <v/>
      </c>
    </row>
    <row r="150">
      <c r="A150" s="114" t="n">
        <v>39052</v>
      </c>
      <c r="B150" s="47" t="n">
        <v>343.401</v>
      </c>
      <c r="C150" s="115">
        <f>IF(OR(B150="",B149=""),"",B150/B149-1)</f>
        <v/>
      </c>
      <c r="D150" s="115">
        <f>IF(B150="","",IFERROR(B150/INDEX($B$2:$B$800,MATCH(DATE(YEAR(A150)-1,12,1),$A$2:$A$800,0))-1,""))</f>
        <v/>
      </c>
      <c r="E150" s="115">
        <f>IF(B150="","",IFERROR(B150/INDEX($B$2:$B$800,MATCH(DATE(YEAR(A150)-1,MONTH(A150),1),$A$2:$A$800,0))-1,""))</f>
        <v/>
      </c>
    </row>
    <row r="151">
      <c r="A151" s="114" t="n">
        <v>39083</v>
      </c>
      <c r="B151" s="47" t="n">
        <v>344.943</v>
      </c>
      <c r="C151" s="115">
        <f>IF(OR(B151="",B150=""),"",B151/B150-1)</f>
        <v/>
      </c>
      <c r="D151" s="115">
        <f>IF(B151="","",IFERROR(B151/INDEX($B$2:$B$800,MATCH(DATE(YEAR(A151)-1,12,1),$A$2:$A$800,0))-1,""))</f>
        <v/>
      </c>
      <c r="E151" s="115">
        <f>IF(B151="","",IFERROR(B151/INDEX($B$2:$B$800,MATCH(DATE(YEAR(A151)-1,MONTH(A151),1),$A$2:$A$800,0))-1,""))</f>
        <v/>
      </c>
    </row>
    <row r="152">
      <c r="A152" s="114" t="n">
        <v>39114</v>
      </c>
      <c r="B152" s="47" t="n">
        <v>345.682</v>
      </c>
      <c r="C152" s="115">
        <f>IF(OR(B152="",B151=""),"",B152/B151-1)</f>
        <v/>
      </c>
      <c r="D152" s="115">
        <f>IF(B152="","",IFERROR(B152/INDEX($B$2:$B$800,MATCH(DATE(YEAR(A152)-1,12,1),$A$2:$A$800,0))-1,""))</f>
        <v/>
      </c>
      <c r="E152" s="115">
        <f>IF(B152="","",IFERROR(B152/INDEX($B$2:$B$800,MATCH(DATE(YEAR(A152)-1,MONTH(A152),1),$A$2:$A$800,0))-1,""))</f>
        <v/>
      </c>
    </row>
    <row r="153">
      <c r="A153" s="114" t="n">
        <v>39142</v>
      </c>
      <c r="B153" s="47" t="n">
        <v>346.617</v>
      </c>
      <c r="C153" s="115">
        <f>IF(OR(B153="",B152=""),"",B153/B152-1)</f>
        <v/>
      </c>
      <c r="D153" s="115">
        <f>IF(B153="","",IFERROR(B153/INDEX($B$2:$B$800,MATCH(DATE(YEAR(A153)-1,12,1),$A$2:$A$800,0))-1,""))</f>
        <v/>
      </c>
      <c r="E153" s="115">
        <f>IF(B153="","",IFERROR(B153/INDEX($B$2:$B$800,MATCH(DATE(YEAR(A153)-1,MONTH(A153),1),$A$2:$A$800,0))-1,""))</f>
        <v/>
      </c>
    </row>
    <row r="154">
      <c r="A154" s="114" t="n">
        <v>39173</v>
      </c>
      <c r="B154" s="47" t="n">
        <v>348.194</v>
      </c>
      <c r="C154" s="115">
        <f>IF(OR(B154="",B153=""),"",B154/B153-1)</f>
        <v/>
      </c>
      <c r="D154" s="115">
        <f>IF(B154="","",IFERROR(B154/INDEX($B$2:$B$800,MATCH(DATE(YEAR(A154)-1,12,1),$A$2:$A$800,0))-1,""))</f>
        <v/>
      </c>
      <c r="E154" s="115">
        <f>IF(B154="","",IFERROR(B154/INDEX($B$2:$B$800,MATCH(DATE(YEAR(A154)-1,MONTH(A154),1),$A$2:$A$800,0))-1,""))</f>
        <v/>
      </c>
    </row>
    <row r="155">
      <c r="A155" s="114" t="n">
        <v>39203</v>
      </c>
      <c r="B155" s="47" t="n">
        <v>352.204</v>
      </c>
      <c r="C155" s="115">
        <f>IF(OR(B155="",B154=""),"",B155/B154-1)</f>
        <v/>
      </c>
      <c r="D155" s="115">
        <f>IF(B155="","",IFERROR(B155/INDEX($B$2:$B$800,MATCH(DATE(YEAR(A155)-1,12,1),$A$2:$A$800,0))-1,""))</f>
        <v/>
      </c>
      <c r="E155" s="115">
        <f>IF(B155="","",IFERROR(B155/INDEX($B$2:$B$800,MATCH(DATE(YEAR(A155)-1,MONTH(A155),1),$A$2:$A$800,0))-1,""))</f>
        <v/>
      </c>
    </row>
    <row r="156">
      <c r="A156" s="114" t="n">
        <v>39234</v>
      </c>
      <c r="B156" s="47" t="n">
        <v>355.456</v>
      </c>
      <c r="C156" s="115">
        <f>IF(OR(B156="",B155=""),"",B156/B155-1)</f>
        <v/>
      </c>
      <c r="D156" s="115">
        <f>IF(B156="","",IFERROR(B156/INDEX($B$2:$B$800,MATCH(DATE(YEAR(A156)-1,12,1),$A$2:$A$800,0))-1,""))</f>
        <v/>
      </c>
      <c r="E156" s="115">
        <f>IF(B156="","",IFERROR(B156/INDEX($B$2:$B$800,MATCH(DATE(YEAR(A156)-1,MONTH(A156),1),$A$2:$A$800,0))-1,""))</f>
        <v/>
      </c>
    </row>
    <row r="157">
      <c r="A157" s="114" t="n">
        <v>39264</v>
      </c>
      <c r="B157" s="47" t="n">
        <v>356.545</v>
      </c>
      <c r="C157" s="115">
        <f>IF(OR(B157="",B156=""),"",B157/B156-1)</f>
        <v/>
      </c>
      <c r="D157" s="115">
        <f>IF(B157="","",IFERROR(B157/INDEX($B$2:$B$800,MATCH(DATE(YEAR(A157)-1,12,1),$A$2:$A$800,0))-1,""))</f>
        <v/>
      </c>
      <c r="E157" s="115">
        <f>IF(B157="","",IFERROR(B157/INDEX($B$2:$B$800,MATCH(DATE(YEAR(A157)-1,MONTH(A157),1),$A$2:$A$800,0))-1,""))</f>
        <v/>
      </c>
    </row>
    <row r="158">
      <c r="A158" s="114" t="n">
        <v>39295</v>
      </c>
      <c r="B158" s="47" t="n">
        <v>357.467</v>
      </c>
      <c r="C158" s="115">
        <f>IF(OR(B158="",B157=""),"",B158/B157-1)</f>
        <v/>
      </c>
      <c r="D158" s="115">
        <f>IF(B158="","",IFERROR(B158/INDEX($B$2:$B$800,MATCH(DATE(YEAR(A158)-1,12,1),$A$2:$A$800,0))-1,""))</f>
        <v/>
      </c>
      <c r="E158" s="115">
        <f>IF(B158="","",IFERROR(B158/INDEX($B$2:$B$800,MATCH(DATE(YEAR(A158)-1,MONTH(A158),1),$A$2:$A$800,0))-1,""))</f>
        <v/>
      </c>
    </row>
    <row r="159">
      <c r="A159" s="114" t="n">
        <v>39326</v>
      </c>
      <c r="B159" s="47" t="n">
        <v>359.276</v>
      </c>
      <c r="C159" s="115">
        <f>IF(OR(B159="",B158=""),"",B159/B158-1)</f>
        <v/>
      </c>
      <c r="D159" s="115">
        <f>IF(B159="","",IFERROR(B159/INDEX($B$2:$B$800,MATCH(DATE(YEAR(A159)-1,12,1),$A$2:$A$800,0))-1,""))</f>
        <v/>
      </c>
      <c r="E159" s="115">
        <f>IF(B159="","",IFERROR(B159/INDEX($B$2:$B$800,MATCH(DATE(YEAR(A159)-1,MONTH(A159),1),$A$2:$A$800,0))-1,""))</f>
        <v/>
      </c>
    </row>
    <row r="160">
      <c r="A160" s="114" t="n">
        <v>39356</v>
      </c>
      <c r="B160" s="47" t="n">
        <v>361.102</v>
      </c>
      <c r="C160" s="115">
        <f>IF(OR(B160="",B159=""),"",B160/B159-1)</f>
        <v/>
      </c>
      <c r="D160" s="115">
        <f>IF(B160="","",IFERROR(B160/INDEX($B$2:$B$800,MATCH(DATE(YEAR(A160)-1,12,1),$A$2:$A$800,0))-1,""))</f>
        <v/>
      </c>
      <c r="E160" s="115">
        <f>IF(B160="","",IFERROR(B160/INDEX($B$2:$B$800,MATCH(DATE(YEAR(A160)-1,MONTH(A160),1),$A$2:$A$800,0))-1,""))</f>
        <v/>
      </c>
    </row>
    <row r="161">
      <c r="A161" s="114" t="n">
        <v>39387</v>
      </c>
      <c r="B161" s="47" t="n">
        <v>362.403</v>
      </c>
      <c r="C161" s="115">
        <f>IF(OR(B161="",B160=""),"",B161/B160-1)</f>
        <v/>
      </c>
      <c r="D161" s="115">
        <f>IF(B161="","",IFERROR(B161/INDEX($B$2:$B$800,MATCH(DATE(YEAR(A161)-1,12,1),$A$2:$A$800,0))-1,""))</f>
        <v/>
      </c>
      <c r="E161" s="115">
        <f>IF(B161="","",IFERROR(B161/INDEX($B$2:$B$800,MATCH(DATE(YEAR(A161)-1,MONTH(A161),1),$A$2:$A$800,0))-1,""))</f>
        <v/>
      </c>
    </row>
    <row r="162">
      <c r="A162" s="114" t="n">
        <v>39417</v>
      </c>
      <c r="B162" s="47" t="n">
        <v>364.525</v>
      </c>
      <c r="C162" s="115">
        <f>IF(OR(B162="",B161=""),"",B162/B161-1)</f>
        <v/>
      </c>
      <c r="D162" s="115">
        <f>IF(B162="","",IFERROR(B162/INDEX($B$2:$B$800,MATCH(DATE(YEAR(A162)-1,12,1),$A$2:$A$800,0))-1,""))</f>
        <v/>
      </c>
      <c r="E162" s="115">
        <f>IF(B162="","",IFERROR(B162/INDEX($B$2:$B$800,MATCH(DATE(YEAR(A162)-1,MONTH(A162),1),$A$2:$A$800,0))-1,""))</f>
        <v/>
      </c>
    </row>
    <row r="163">
      <c r="A163" s="114" t="n">
        <v>39448</v>
      </c>
      <c r="B163" s="47" t="n">
        <v>365.906</v>
      </c>
      <c r="C163" s="115">
        <f>IF(OR(B163="",B162=""),"",B163/B162-1)</f>
        <v/>
      </c>
      <c r="D163" s="115">
        <f>IF(B163="","",IFERROR(B163/INDEX($B$2:$B$800,MATCH(DATE(YEAR(A163)-1,12,1),$A$2:$A$800,0))-1,""))</f>
        <v/>
      </c>
      <c r="E163" s="115">
        <f>IF(B163="","",IFERROR(B163/INDEX($B$2:$B$800,MATCH(DATE(YEAR(A163)-1,MONTH(A163),1),$A$2:$A$800,0))-1,""))</f>
        <v/>
      </c>
    </row>
    <row r="164">
      <c r="A164" s="114" t="n">
        <v>39479</v>
      </c>
      <c r="B164" s="47" t="n">
        <v>367.382</v>
      </c>
      <c r="C164" s="115">
        <f>IF(OR(B164="",B163=""),"",B164/B163-1)</f>
        <v/>
      </c>
      <c r="D164" s="115">
        <f>IF(B164="","",IFERROR(B164/INDEX($B$2:$B$800,MATCH(DATE(YEAR(A164)-1,12,1),$A$2:$A$800,0))-1,""))</f>
        <v/>
      </c>
      <c r="E164" s="115">
        <f>IF(B164="","",IFERROR(B164/INDEX($B$2:$B$800,MATCH(DATE(YEAR(A164)-1,MONTH(A164),1),$A$2:$A$800,0))-1,""))</f>
        <v/>
      </c>
    </row>
    <row r="165">
      <c r="A165" s="114" t="n">
        <v>39508</v>
      </c>
      <c r="B165" s="47" t="n">
        <v>369.812</v>
      </c>
      <c r="C165" s="115">
        <f>IF(OR(B165="",B164=""),"",B165/B164-1)</f>
        <v/>
      </c>
      <c r="D165" s="115">
        <f>IF(B165="","",IFERROR(B165/INDEX($B$2:$B$800,MATCH(DATE(YEAR(A165)-1,12,1),$A$2:$A$800,0))-1,""))</f>
        <v/>
      </c>
      <c r="E165" s="115">
        <f>IF(B165="","",IFERROR(B165/INDEX($B$2:$B$800,MATCH(DATE(YEAR(A165)-1,MONTH(A165),1),$A$2:$A$800,0))-1,""))</f>
        <v/>
      </c>
    </row>
    <row r="166">
      <c r="A166" s="114" t="n">
        <v>39539</v>
      </c>
      <c r="B166" s="47" t="n">
        <v>373.031</v>
      </c>
      <c r="C166" s="115">
        <f>IF(OR(B166="",B165=""),"",B166/B165-1)</f>
        <v/>
      </c>
      <c r="D166" s="115">
        <f>IF(B166="","",IFERROR(B166/INDEX($B$2:$B$800,MATCH(DATE(YEAR(A166)-1,12,1),$A$2:$A$800,0))-1,""))</f>
        <v/>
      </c>
      <c r="E166" s="115">
        <f>IF(B166="","",IFERROR(B166/INDEX($B$2:$B$800,MATCH(DATE(YEAR(A166)-1,MONTH(A166),1),$A$2:$A$800,0))-1,""))</f>
        <v/>
      </c>
    </row>
    <row r="167">
      <c r="A167" s="114" t="n">
        <v>39569</v>
      </c>
      <c r="B167" s="47" t="n">
        <v>380.582</v>
      </c>
      <c r="C167" s="115">
        <f>IF(OR(B167="",B166=""),"",B167/B166-1)</f>
        <v/>
      </c>
      <c r="D167" s="115">
        <f>IF(B167="","",IFERROR(B167/INDEX($B$2:$B$800,MATCH(DATE(YEAR(A167)-1,12,1),$A$2:$A$800,0))-1,""))</f>
        <v/>
      </c>
      <c r="E167" s="115">
        <f>IF(B167="","",IFERROR(B167/INDEX($B$2:$B$800,MATCH(DATE(YEAR(A167)-1,MONTH(A167),1),$A$2:$A$800,0))-1,""))</f>
        <v/>
      </c>
    </row>
    <row r="168">
      <c r="A168" s="114" t="n">
        <v>39600</v>
      </c>
      <c r="B168" s="47" t="n">
        <v>387.906</v>
      </c>
      <c r="C168" s="115">
        <f>IF(OR(B168="",B167=""),"",B168/B167-1)</f>
        <v/>
      </c>
      <c r="D168" s="115">
        <f>IF(B168="","",IFERROR(B168/INDEX($B$2:$B$800,MATCH(DATE(YEAR(A168)-1,12,1),$A$2:$A$800,0))-1,""))</f>
        <v/>
      </c>
      <c r="E168" s="115">
        <f>IF(B168="","",IFERROR(B168/INDEX($B$2:$B$800,MATCH(DATE(YEAR(A168)-1,MONTH(A168),1),$A$2:$A$800,0))-1,""))</f>
        <v/>
      </c>
    </row>
    <row r="169">
      <c r="A169" s="114" t="n">
        <v>39630</v>
      </c>
      <c r="B169" s="47" t="n">
        <v>393.556</v>
      </c>
      <c r="C169" s="115">
        <f>IF(OR(B169="",B168=""),"",B169/B168-1)</f>
        <v/>
      </c>
      <c r="D169" s="115">
        <f>IF(B169="","",IFERROR(B169/INDEX($B$2:$B$800,MATCH(DATE(YEAR(A169)-1,12,1),$A$2:$A$800,0))-1,""))</f>
        <v/>
      </c>
      <c r="E169" s="115">
        <f>IF(B169="","",IFERROR(B169/INDEX($B$2:$B$800,MATCH(DATE(YEAR(A169)-1,MONTH(A169),1),$A$2:$A$800,0))-1,""))</f>
        <v/>
      </c>
    </row>
    <row r="170">
      <c r="A170" s="114" t="n">
        <v>39661</v>
      </c>
      <c r="B170" s="47" t="n">
        <v>398.202</v>
      </c>
      <c r="C170" s="115">
        <f>IF(OR(B170="",B169=""),"",B170/B169-1)</f>
        <v/>
      </c>
      <c r="D170" s="115">
        <f>IF(B170="","",IFERROR(B170/INDEX($B$2:$B$800,MATCH(DATE(YEAR(A170)-1,12,1),$A$2:$A$800,0))-1,""))</f>
        <v/>
      </c>
      <c r="E170" s="115">
        <f>IF(B170="","",IFERROR(B170/INDEX($B$2:$B$800,MATCH(DATE(YEAR(A170)-1,MONTH(A170),1),$A$2:$A$800,0))-1,""))</f>
        <v/>
      </c>
    </row>
    <row r="171">
      <c r="A171" s="114" t="n">
        <v>39692</v>
      </c>
      <c r="B171" s="47" t="n">
        <v>401.975</v>
      </c>
      <c r="C171" s="115">
        <f>IF(OR(B171="",B170=""),"",B171/B170-1)</f>
        <v/>
      </c>
      <c r="D171" s="115">
        <f>IF(B171="","",IFERROR(B171/INDEX($B$2:$B$800,MATCH(DATE(YEAR(A171)-1,12,1),$A$2:$A$800,0))-1,""))</f>
        <v/>
      </c>
      <c r="E171" s="115">
        <f>IF(B171="","",IFERROR(B171/INDEX($B$2:$B$800,MATCH(DATE(YEAR(A171)-1,MONTH(A171),1),$A$2:$A$800,0))-1,""))</f>
        <v/>
      </c>
    </row>
    <row r="172">
      <c r="A172" s="114" t="n">
        <v>39722</v>
      </c>
      <c r="B172" s="47" t="n">
        <v>405.09</v>
      </c>
      <c r="C172" s="115">
        <f>IF(OR(B172="",B171=""),"",B172/B171-1)</f>
        <v/>
      </c>
      <c r="D172" s="115">
        <f>IF(B172="","",IFERROR(B172/INDEX($B$2:$B$800,MATCH(DATE(YEAR(A172)-1,12,1),$A$2:$A$800,0))-1,""))</f>
        <v/>
      </c>
      <c r="E172" s="115">
        <f>IF(B172="","",IFERROR(B172/INDEX($B$2:$B$800,MATCH(DATE(YEAR(A172)-1,MONTH(A172),1),$A$2:$A$800,0))-1,""))</f>
        <v/>
      </c>
    </row>
    <row r="173">
      <c r="A173" s="114" t="n">
        <v>39753</v>
      </c>
      <c r="B173" s="47" t="n">
        <v>407.109</v>
      </c>
      <c r="C173" s="115">
        <f>IF(OR(B173="",B172=""),"",B173/B172-1)</f>
        <v/>
      </c>
      <c r="D173" s="115">
        <f>IF(B173="","",IFERROR(B173/INDEX($B$2:$B$800,MATCH(DATE(YEAR(A173)-1,12,1),$A$2:$A$800,0))-1,""))</f>
        <v/>
      </c>
      <c r="E173" s="115">
        <f>IF(B173="","",IFERROR(B173/INDEX($B$2:$B$800,MATCH(DATE(YEAR(A173)-1,MONTH(A173),1),$A$2:$A$800,0))-1,""))</f>
        <v/>
      </c>
    </row>
    <row r="174">
      <c r="A174" s="114" t="n">
        <v>39783</v>
      </c>
      <c r="B174" s="47" t="n">
        <v>407.807</v>
      </c>
      <c r="C174" s="115">
        <f>IF(OR(B174="",B173=""),"",B174/B173-1)</f>
        <v/>
      </c>
      <c r="D174" s="115">
        <f>IF(B174="","",IFERROR(B174/INDEX($B$2:$B$800,MATCH(DATE(YEAR(A174)-1,12,1),$A$2:$A$800,0))-1,""))</f>
        <v/>
      </c>
      <c r="E174" s="115">
        <f>IF(B174="","",IFERROR(B174/INDEX($B$2:$B$800,MATCH(DATE(YEAR(A174)-1,MONTH(A174),1),$A$2:$A$800,0))-1,""))</f>
        <v/>
      </c>
    </row>
    <row r="175">
      <c r="A175" s="114" t="n">
        <v>39814</v>
      </c>
      <c r="B175" s="47" t="n">
        <v>409.166</v>
      </c>
      <c r="C175" s="115">
        <f>IF(OR(B175="",B174=""),"",B175/B174-1)</f>
        <v/>
      </c>
      <c r="D175" s="115">
        <f>IF(B175="","",IFERROR(B175/INDEX($B$2:$B$800,MATCH(DATE(YEAR(A175)-1,12,1),$A$2:$A$800,0))-1,""))</f>
        <v/>
      </c>
      <c r="E175" s="115">
        <f>IF(B175="","",IFERROR(B175/INDEX($B$2:$B$800,MATCH(DATE(YEAR(A175)-1,MONTH(A175),1),$A$2:$A$800,0))-1,""))</f>
        <v/>
      </c>
    </row>
    <row r="176">
      <c r="A176" s="114" t="n">
        <v>39845</v>
      </c>
      <c r="B176" s="47" t="n">
        <v>410.262</v>
      </c>
      <c r="C176" s="115">
        <f>IF(OR(B176="",B175=""),"",B176/B175-1)</f>
        <v/>
      </c>
      <c r="D176" s="115">
        <f>IF(B176="","",IFERROR(B176/INDEX($B$2:$B$800,MATCH(DATE(YEAR(A176)-1,12,1),$A$2:$A$800,0))-1,""))</f>
        <v/>
      </c>
      <c r="E176" s="115">
        <f>IF(B176="","",IFERROR(B176/INDEX($B$2:$B$800,MATCH(DATE(YEAR(A176)-1,MONTH(A176),1),$A$2:$A$800,0))-1,""))</f>
        <v/>
      </c>
    </row>
    <row r="177">
      <c r="A177" s="114" t="n">
        <v>39873</v>
      </c>
      <c r="B177" s="47" t="n">
        <v>409.216</v>
      </c>
      <c r="C177" s="115">
        <f>IF(OR(B177="",B176=""),"",B177/B176-1)</f>
        <v/>
      </c>
      <c r="D177" s="115">
        <f>IF(B177="","",IFERROR(B177/INDEX($B$2:$B$800,MATCH(DATE(YEAR(A177)-1,12,1),$A$2:$A$800,0))-1,""))</f>
        <v/>
      </c>
      <c r="E177" s="115">
        <f>IF(B177="","",IFERROR(B177/INDEX($B$2:$B$800,MATCH(DATE(YEAR(A177)-1,MONTH(A177),1),$A$2:$A$800,0))-1,""))</f>
        <v/>
      </c>
    </row>
    <row r="178">
      <c r="A178" s="114" t="n">
        <v>39904</v>
      </c>
      <c r="B178" s="47" t="n">
        <v>409.042</v>
      </c>
      <c r="C178" s="115">
        <f>IF(OR(B178="",B177=""),"",B178/B177-1)</f>
        <v/>
      </c>
      <c r="D178" s="115">
        <f>IF(B178="","",IFERROR(B178/INDEX($B$2:$B$800,MATCH(DATE(YEAR(A178)-1,12,1),$A$2:$A$800,0))-1,""))</f>
        <v/>
      </c>
      <c r="E178" s="115">
        <f>IF(B178="","",IFERROR(B178/INDEX($B$2:$B$800,MATCH(DATE(YEAR(A178)-1,MONTH(A178),1),$A$2:$A$800,0))-1,""))</f>
        <v/>
      </c>
    </row>
    <row r="179">
      <c r="A179" s="114" t="n">
        <v>39934</v>
      </c>
      <c r="B179" s="47" t="n">
        <v>414.742</v>
      </c>
      <c r="C179" s="115">
        <f>IF(OR(B179="",B178=""),"",B179/B178-1)</f>
        <v/>
      </c>
      <c r="D179" s="115">
        <f>IF(B179="","",IFERROR(B179/INDEX($B$2:$B$800,MATCH(DATE(YEAR(A179)-1,12,1),$A$2:$A$800,0))-1,""))</f>
        <v/>
      </c>
      <c r="E179" s="115">
        <f>IF(B179="","",IFERROR(B179/INDEX($B$2:$B$800,MATCH(DATE(YEAR(A179)-1,MONTH(A179),1),$A$2:$A$800,0))-1,""))</f>
        <v/>
      </c>
    </row>
    <row r="180">
      <c r="A180" s="114" t="n">
        <v>39965</v>
      </c>
      <c r="B180" s="47" t="n">
        <v>417.657</v>
      </c>
      <c r="C180" s="115">
        <f>IF(OR(B180="",B179=""),"",B180/B179-1)</f>
        <v/>
      </c>
      <c r="D180" s="115">
        <f>IF(B180="","",IFERROR(B180/INDEX($B$2:$B$800,MATCH(DATE(YEAR(A180)-1,12,1),$A$2:$A$800,0))-1,""))</f>
        <v/>
      </c>
      <c r="E180" s="115">
        <f>IF(B180="","",IFERROR(B180/INDEX($B$2:$B$800,MATCH(DATE(YEAR(A180)-1,MONTH(A180),1),$A$2:$A$800,0))-1,""))</f>
        <v/>
      </c>
    </row>
    <row r="181">
      <c r="A181" s="114" t="n">
        <v>39995</v>
      </c>
      <c r="B181" s="47" t="n">
        <v>418.757</v>
      </c>
      <c r="C181" s="115">
        <f>IF(OR(B181="",B180=""),"",B181/B180-1)</f>
        <v/>
      </c>
      <c r="D181" s="115">
        <f>IF(B181="","",IFERROR(B181/INDEX($B$2:$B$800,MATCH(DATE(YEAR(A181)-1,12,1),$A$2:$A$800,0))-1,""))</f>
        <v/>
      </c>
      <c r="E181" s="115">
        <f>IF(B181="","",IFERROR(B181/INDEX($B$2:$B$800,MATCH(DATE(YEAR(A181)-1,MONTH(A181),1),$A$2:$A$800,0))-1,""))</f>
        <v/>
      </c>
    </row>
    <row r="182">
      <c r="A182" s="114" t="n">
        <v>40026</v>
      </c>
      <c r="B182" s="47" t="n">
        <v>418.528</v>
      </c>
      <c r="C182" s="115">
        <f>IF(OR(B182="",B181=""),"",B182/B181-1)</f>
        <v/>
      </c>
      <c r="D182" s="115">
        <f>IF(B182="","",IFERROR(B182/INDEX($B$2:$B$800,MATCH(DATE(YEAR(A182)-1,12,1),$A$2:$A$800,0))-1,""))</f>
        <v/>
      </c>
      <c r="E182" s="115">
        <f>IF(B182="","",IFERROR(B182/INDEX($B$2:$B$800,MATCH(DATE(YEAR(A182)-1,MONTH(A182),1),$A$2:$A$800,0))-1,""))</f>
        <v/>
      </c>
    </row>
    <row r="183">
      <c r="A183" s="114" t="n">
        <v>40057</v>
      </c>
      <c r="B183" s="47" t="n">
        <v>419.147</v>
      </c>
      <c r="C183" s="115">
        <f>IF(OR(B183="",B182=""),"",B183/B182-1)</f>
        <v/>
      </c>
      <c r="D183" s="115">
        <f>IF(B183="","",IFERROR(B183/INDEX($B$2:$B$800,MATCH(DATE(YEAR(A183)-1,12,1),$A$2:$A$800,0))-1,""))</f>
        <v/>
      </c>
      <c r="E183" s="115">
        <f>IF(B183="","",IFERROR(B183/INDEX($B$2:$B$800,MATCH(DATE(YEAR(A183)-1,MONTH(A183),1),$A$2:$A$800,0))-1,""))</f>
        <v/>
      </c>
    </row>
    <row r="184">
      <c r="A184" s="114" t="n">
        <v>40087</v>
      </c>
      <c r="B184" s="47" t="n">
        <v>419.405</v>
      </c>
      <c r="C184" s="115">
        <f>IF(OR(B184="",B183=""),"",B184/B183-1)</f>
        <v/>
      </c>
      <c r="D184" s="115">
        <f>IF(B184="","",IFERROR(B184/INDEX($B$2:$B$800,MATCH(DATE(YEAR(A184)-1,12,1),$A$2:$A$800,0))-1,""))</f>
        <v/>
      </c>
      <c r="E184" s="115">
        <f>IF(B184="","",IFERROR(B184/INDEX($B$2:$B$800,MATCH(DATE(YEAR(A184)-1,MONTH(A184),1),$A$2:$A$800,0))-1,""))</f>
        <v/>
      </c>
    </row>
    <row r="185">
      <c r="A185" s="114" t="n">
        <v>40118</v>
      </c>
      <c r="B185" s="47" t="n">
        <v>420.635</v>
      </c>
      <c r="C185" s="115">
        <f>IF(OR(B185="",B184=""),"",B185/B184-1)</f>
        <v/>
      </c>
      <c r="D185" s="115">
        <f>IF(B185="","",IFERROR(B185/INDEX($B$2:$B$800,MATCH(DATE(YEAR(A185)-1,12,1),$A$2:$A$800,0))-1,""))</f>
        <v/>
      </c>
      <c r="E185" s="115">
        <f>IF(B185="","",IFERROR(B185/INDEX($B$2:$B$800,MATCH(DATE(YEAR(A185)-1,MONTH(A185),1),$A$2:$A$800,0))-1,""))</f>
        <v/>
      </c>
    </row>
    <row r="186">
      <c r="A186" s="114" t="n">
        <v>40148</v>
      </c>
      <c r="B186" s="47" t="n">
        <v>421.051</v>
      </c>
      <c r="C186" s="115">
        <f>IF(OR(B186="",B185=""),"",B186/B185-1)</f>
        <v/>
      </c>
      <c r="D186" s="115">
        <f>IF(B186="","",IFERROR(B186/INDEX($B$2:$B$800,MATCH(DATE(YEAR(A186)-1,12,1),$A$2:$A$800,0))-1,""))</f>
        <v/>
      </c>
      <c r="E186" s="115">
        <f>IF(B186="","",IFERROR(B186/INDEX($B$2:$B$800,MATCH(DATE(YEAR(A186)-1,MONTH(A186),1),$A$2:$A$800,0))-1,""))</f>
        <v/>
      </c>
    </row>
    <row r="187">
      <c r="A187" s="114" t="n">
        <v>40179</v>
      </c>
      <c r="B187" s="47" t="n">
        <v>423.74</v>
      </c>
      <c r="C187" s="115">
        <f>IF(OR(B187="",B186=""),"",B187/B186-1)</f>
        <v/>
      </c>
      <c r="D187" s="115">
        <f>IF(B187="","",IFERROR(B187/INDEX($B$2:$B$800,MATCH(DATE(YEAR(A187)-1,12,1),$A$2:$A$800,0))-1,""))</f>
        <v/>
      </c>
      <c r="E187" s="115">
        <f>IF(B187="","",IFERROR(B187/INDEX($B$2:$B$800,MATCH(DATE(YEAR(A187)-1,MONTH(A187),1),$A$2:$A$800,0))-1,""))</f>
        <v/>
      </c>
    </row>
    <row r="188">
      <c r="A188" s="114" t="n">
        <v>40210</v>
      </c>
      <c r="B188" s="47" t="n">
        <v>425.268</v>
      </c>
      <c r="C188" s="115">
        <f>IF(OR(B188="",B187=""),"",B188/B187-1)</f>
        <v/>
      </c>
      <c r="D188" s="115">
        <f>IF(B188="","",IFERROR(B188/INDEX($B$2:$B$800,MATCH(DATE(YEAR(A188)-1,12,1),$A$2:$A$800,0))-1,""))</f>
        <v/>
      </c>
      <c r="E188" s="115">
        <f>IF(B188="","",IFERROR(B188/INDEX($B$2:$B$800,MATCH(DATE(YEAR(A188)-1,MONTH(A188),1),$A$2:$A$800,0))-1,""))</f>
        <v/>
      </c>
    </row>
    <row r="189">
      <c r="A189" s="114" t="n">
        <v>40238</v>
      </c>
      <c r="B189" s="47" t="n">
        <v>428.476</v>
      </c>
      <c r="C189" s="115">
        <f>IF(OR(B189="",B188=""),"",B189/B188-1)</f>
        <v/>
      </c>
      <c r="D189" s="115">
        <f>IF(B189="","",IFERROR(B189/INDEX($B$2:$B$800,MATCH(DATE(YEAR(A189)-1,12,1),$A$2:$A$800,0))-1,""))</f>
        <v/>
      </c>
      <c r="E189" s="115">
        <f>IF(B189="","",IFERROR(B189/INDEX($B$2:$B$800,MATCH(DATE(YEAR(A189)-1,MONTH(A189),1),$A$2:$A$800,0))-1,""))</f>
        <v/>
      </c>
    </row>
    <row r="190">
      <c r="A190" s="114" t="n">
        <v>40269</v>
      </c>
      <c r="B190" s="47" t="n">
        <v>432.079</v>
      </c>
      <c r="C190" s="115">
        <f>IF(OR(B190="",B189=""),"",B190/B189-1)</f>
        <v/>
      </c>
      <c r="D190" s="115">
        <f>IF(B190="","",IFERROR(B190/INDEX($B$2:$B$800,MATCH(DATE(YEAR(A190)-1,12,1),$A$2:$A$800,0))-1,""))</f>
        <v/>
      </c>
      <c r="E190" s="115">
        <f>IF(B190="","",IFERROR(B190/INDEX($B$2:$B$800,MATCH(DATE(YEAR(A190)-1,MONTH(A190),1),$A$2:$A$800,0))-1,""))</f>
        <v/>
      </c>
    </row>
    <row r="191">
      <c r="A191" s="114" t="n">
        <v>40299</v>
      </c>
      <c r="B191" s="47" t="n">
        <v>439.914</v>
      </c>
      <c r="C191" s="115">
        <f>IF(OR(B191="",B190=""),"",B191/B190-1)</f>
        <v/>
      </c>
      <c r="D191" s="115">
        <f>IF(B191="","",IFERROR(B191/INDEX($B$2:$B$800,MATCH(DATE(YEAR(A191)-1,12,1),$A$2:$A$800,0))-1,""))</f>
        <v/>
      </c>
      <c r="E191" s="115">
        <f>IF(B191="","",IFERROR(B191/INDEX($B$2:$B$800,MATCH(DATE(YEAR(A191)-1,MONTH(A191),1),$A$2:$A$800,0))-1,""))</f>
        <v/>
      </c>
    </row>
    <row r="192">
      <c r="A192" s="114" t="n">
        <v>40330</v>
      </c>
      <c r="B192" s="47" t="n">
        <v>444.718</v>
      </c>
      <c r="C192" s="115">
        <f>IF(OR(B192="",B191=""),"",B192/B191-1)</f>
        <v/>
      </c>
      <c r="D192" s="115">
        <f>IF(B192="","",IFERROR(B192/INDEX($B$2:$B$800,MATCH(DATE(YEAR(A192)-1,12,1),$A$2:$A$800,0))-1,""))</f>
        <v/>
      </c>
      <c r="E192" s="115">
        <f>IF(B192="","",IFERROR(B192/INDEX($B$2:$B$800,MATCH(DATE(YEAR(A192)-1,MONTH(A192),1),$A$2:$A$800,0))-1,""))</f>
        <v/>
      </c>
    </row>
    <row r="193">
      <c r="A193" s="114" t="n">
        <v>40360</v>
      </c>
      <c r="B193" s="47" t="n">
        <v>446.688</v>
      </c>
      <c r="C193" s="115">
        <f>IF(OR(B193="",B192=""),"",B193/B192-1)</f>
        <v/>
      </c>
      <c r="D193" s="115">
        <f>IF(B193="","",IFERROR(B193/INDEX($B$2:$B$800,MATCH(DATE(YEAR(A193)-1,12,1),$A$2:$A$800,0))-1,""))</f>
        <v/>
      </c>
      <c r="E193" s="115">
        <f>IF(B193="","",IFERROR(B193/INDEX($B$2:$B$800,MATCH(DATE(YEAR(A193)-1,MONTH(A193),1),$A$2:$A$800,0))-1,""))</f>
        <v/>
      </c>
    </row>
    <row r="194">
      <c r="A194" s="114" t="n">
        <v>40391</v>
      </c>
      <c r="B194" s="47" t="n">
        <v>447.296</v>
      </c>
      <c r="C194" s="115">
        <f>IF(OR(B194="",B193=""),"",B194/B193-1)</f>
        <v/>
      </c>
      <c r="D194" s="115">
        <f>IF(B194="","",IFERROR(B194/INDEX($B$2:$B$800,MATCH(DATE(YEAR(A194)-1,12,1),$A$2:$A$800,0))-1,""))</f>
        <v/>
      </c>
      <c r="E194" s="115">
        <f>IF(B194="","",IFERROR(B194/INDEX($B$2:$B$800,MATCH(DATE(YEAR(A194)-1,MONTH(A194),1),$A$2:$A$800,0))-1,""))</f>
        <v/>
      </c>
    </row>
    <row r="195">
      <c r="A195" s="114" t="n">
        <v>40422</v>
      </c>
      <c r="B195" s="47" t="n">
        <v>448.222</v>
      </c>
      <c r="C195" s="115">
        <f>IF(OR(B195="",B194=""),"",B195/B194-1)</f>
        <v/>
      </c>
      <c r="D195" s="115">
        <f>IF(B195="","",IFERROR(B195/INDEX($B$2:$B$800,MATCH(DATE(YEAR(A195)-1,12,1),$A$2:$A$800,0))-1,""))</f>
        <v/>
      </c>
      <c r="E195" s="115">
        <f>IF(B195="","",IFERROR(B195/INDEX($B$2:$B$800,MATCH(DATE(YEAR(A195)-1,MONTH(A195),1),$A$2:$A$800,0))-1,""))</f>
        <v/>
      </c>
    </row>
    <row r="196">
      <c r="A196" s="114" t="n">
        <v>40452</v>
      </c>
      <c r="B196" s="47" t="n">
        <v>449.103</v>
      </c>
      <c r="C196" s="115">
        <f>IF(OR(B196="",B195=""),"",B196/B195-1)</f>
        <v/>
      </c>
      <c r="D196" s="115">
        <f>IF(B196="","",IFERROR(B196/INDEX($B$2:$B$800,MATCH(DATE(YEAR(A196)-1,12,1),$A$2:$A$800,0))-1,""))</f>
        <v/>
      </c>
      <c r="E196" s="115">
        <f>IF(B196="","",IFERROR(B196/INDEX($B$2:$B$800,MATCH(DATE(YEAR(A196)-1,MONTH(A196),1),$A$2:$A$800,0))-1,""))</f>
        <v/>
      </c>
    </row>
    <row r="197">
      <c r="A197" s="114" t="n">
        <v>40483</v>
      </c>
      <c r="B197" s="47" t="n">
        <v>450.763</v>
      </c>
      <c r="C197" s="115">
        <f>IF(OR(B197="",B196=""),"",B197/B196-1)</f>
        <v/>
      </c>
      <c r="D197" s="115">
        <f>IF(B197="","",IFERROR(B197/INDEX($B$2:$B$800,MATCH(DATE(YEAR(A197)-1,12,1),$A$2:$A$800,0))-1,""))</f>
        <v/>
      </c>
      <c r="E197" s="115">
        <f>IF(B197="","",IFERROR(B197/INDEX($B$2:$B$800,MATCH(DATE(YEAR(A197)-1,MONTH(A197),1),$A$2:$A$800,0))-1,""))</f>
        <v/>
      </c>
    </row>
    <row r="198">
      <c r="A198" s="114" t="n">
        <v>40513</v>
      </c>
      <c r="B198" s="47" t="n">
        <v>453.766</v>
      </c>
      <c r="C198" s="115">
        <f>IF(OR(B198="",B197=""),"",B198/B197-1)</f>
        <v/>
      </c>
      <c r="D198" s="115">
        <f>IF(B198="","",IFERROR(B198/INDEX($B$2:$B$800,MATCH(DATE(YEAR(A198)-1,12,1),$A$2:$A$800,0))-1,""))</f>
        <v/>
      </c>
      <c r="E198" s="115">
        <f>IF(B198="","",IFERROR(B198/INDEX($B$2:$B$800,MATCH(DATE(YEAR(A198)-1,MONTH(A198),1),$A$2:$A$800,0))-1,""))</f>
        <v/>
      </c>
    </row>
    <row r="199">
      <c r="A199" s="114" t="n">
        <v>40544</v>
      </c>
      <c r="B199" s="47" t="n">
        <v>455.619</v>
      </c>
      <c r="C199" s="115">
        <f>IF(OR(B199="",B198=""),"",B199/B198-1)</f>
        <v/>
      </c>
      <c r="D199" s="115">
        <f>IF(B199="","",IFERROR(B199/INDEX($B$2:$B$800,MATCH(DATE(YEAR(A199)-1,12,1),$A$2:$A$800,0))-1,""))</f>
        <v/>
      </c>
      <c r="E199" s="115">
        <f>IF(B199="","",IFERROR(B199/INDEX($B$2:$B$800,MATCH(DATE(YEAR(A199)-1,MONTH(A199),1),$A$2:$A$800,0))-1,""))</f>
        <v/>
      </c>
    </row>
    <row r="200">
      <c r="A200" s="114" t="n">
        <v>40575</v>
      </c>
      <c r="B200" s="47" t="n">
        <v>456.917</v>
      </c>
      <c r="C200" s="115">
        <f>IF(OR(B200="",B199=""),"",B200/B199-1)</f>
        <v/>
      </c>
      <c r="D200" s="115">
        <f>IF(B200="","",IFERROR(B200/INDEX($B$2:$B$800,MATCH(DATE(YEAR(A200)-1,12,1),$A$2:$A$800,0))-1,""))</f>
        <v/>
      </c>
      <c r="E200" s="115">
        <f>IF(B200="","",IFERROR(B200/INDEX($B$2:$B$800,MATCH(DATE(YEAR(A200)-1,MONTH(A200),1),$A$2:$A$800,0))-1,""))</f>
        <v/>
      </c>
    </row>
    <row r="201">
      <c r="A201" s="114" t="n">
        <v>40603</v>
      </c>
      <c r="B201" s="47" t="n">
        <v>458.887</v>
      </c>
      <c r="C201" s="115">
        <f>IF(OR(B201="",B200=""),"",B201/B200-1)</f>
        <v/>
      </c>
      <c r="D201" s="115">
        <f>IF(B201="","",IFERROR(B201/INDEX($B$2:$B$800,MATCH(DATE(YEAR(A201)-1,12,1),$A$2:$A$800,0))-1,""))</f>
        <v/>
      </c>
      <c r="E201" s="115">
        <f>IF(B201="","",IFERROR(B201/INDEX($B$2:$B$800,MATCH(DATE(YEAR(A201)-1,MONTH(A201),1),$A$2:$A$800,0))-1,""))</f>
        <v/>
      </c>
    </row>
    <row r="202">
      <c r="A202" s="114" t="n">
        <v>40634</v>
      </c>
      <c r="B202" s="47" t="n">
        <v>463.766</v>
      </c>
      <c r="C202" s="115">
        <f>IF(OR(B202="",B201=""),"",B202/B201-1)</f>
        <v/>
      </c>
      <c r="D202" s="115">
        <f>IF(B202="","",IFERROR(B202/INDEX($B$2:$B$800,MATCH(DATE(YEAR(A202)-1,12,1),$A$2:$A$800,0))-1,""))</f>
        <v/>
      </c>
      <c r="E202" s="115">
        <f>IF(B202="","",IFERROR(B202/INDEX($B$2:$B$800,MATCH(DATE(YEAR(A202)-1,MONTH(A202),1),$A$2:$A$800,0))-1,""))</f>
        <v/>
      </c>
    </row>
    <row r="203">
      <c r="A203" s="114" t="n">
        <v>40664</v>
      </c>
      <c r="B203" s="47" t="n">
        <v>477.405</v>
      </c>
      <c r="C203" s="115">
        <f>IF(OR(B203="",B202=""),"",B203/B202-1)</f>
        <v/>
      </c>
      <c r="D203" s="115">
        <f>IF(B203="","",IFERROR(B203/INDEX($B$2:$B$800,MATCH(DATE(YEAR(A203)-1,12,1),$A$2:$A$800,0))-1,""))</f>
        <v/>
      </c>
      <c r="E203" s="115">
        <f>IF(B203="","",IFERROR(B203/INDEX($B$2:$B$800,MATCH(DATE(YEAR(A203)-1,MONTH(A203),1),$A$2:$A$800,0))-1,""))</f>
        <v/>
      </c>
    </row>
    <row r="204">
      <c r="A204" s="114" t="n">
        <v>40695</v>
      </c>
      <c r="B204" s="47" t="n">
        <v>479.183</v>
      </c>
      <c r="C204" s="115">
        <f>IF(OR(B204="",B203=""),"",B204/B203-1)</f>
        <v/>
      </c>
      <c r="D204" s="115">
        <f>IF(B204="","",IFERROR(B204/INDEX($B$2:$B$800,MATCH(DATE(YEAR(A204)-1,12,1),$A$2:$A$800,0))-1,""))</f>
        <v/>
      </c>
      <c r="E204" s="115">
        <f>IF(B204="","",IFERROR(B204/INDEX($B$2:$B$800,MATCH(DATE(YEAR(A204)-1,MONTH(A204),1),$A$2:$A$800,0))-1,""))</f>
        <v/>
      </c>
    </row>
    <row r="205">
      <c r="A205" s="114" t="n">
        <v>40726</v>
      </c>
      <c r="B205" s="47" t="n">
        <v>481.33</v>
      </c>
      <c r="C205" s="115">
        <f>IF(OR(B205="",B204=""),"",B205/B204-1)</f>
        <v/>
      </c>
      <c r="D205" s="115">
        <f>IF(B205="","",IFERROR(B205/INDEX($B$2:$B$800,MATCH(DATE(YEAR(A205)-1,12,1),$A$2:$A$800,0))-1,""))</f>
        <v/>
      </c>
      <c r="E205" s="115">
        <f>IF(B205="","",IFERROR(B205/INDEX($B$2:$B$800,MATCH(DATE(YEAR(A205)-1,MONTH(A205),1),$A$2:$A$800,0))-1,""))</f>
        <v/>
      </c>
    </row>
    <row r="206">
      <c r="A206" s="114" t="n">
        <v>40756</v>
      </c>
      <c r="B206" s="47" t="n">
        <v>481.966</v>
      </c>
      <c r="C206" s="115">
        <f>IF(OR(B206="",B205=""),"",B206/B205-1)</f>
        <v/>
      </c>
      <c r="D206" s="115">
        <f>IF(B206="","",IFERROR(B206/INDEX($B$2:$B$800,MATCH(DATE(YEAR(A206)-1,12,1),$A$2:$A$800,0))-1,""))</f>
        <v/>
      </c>
      <c r="E206" s="115">
        <f>IF(B206="","",IFERROR(B206/INDEX($B$2:$B$800,MATCH(DATE(YEAR(A206)-1,MONTH(A206),1),$A$2:$A$800,0))-1,""))</f>
        <v/>
      </c>
    </row>
    <row r="207">
      <c r="A207" s="114" t="n">
        <v>40787</v>
      </c>
      <c r="B207" s="47" t="n">
        <v>482.658</v>
      </c>
      <c r="C207" s="115">
        <f>IF(OR(B207="",B206=""),"",B207/B206-1)</f>
        <v/>
      </c>
      <c r="D207" s="115">
        <f>IF(B207="","",IFERROR(B207/INDEX($B$2:$B$800,MATCH(DATE(YEAR(A207)-1,12,1),$A$2:$A$800,0))-1,""))</f>
        <v/>
      </c>
      <c r="E207" s="115">
        <f>IF(B207="","",IFERROR(B207/INDEX($B$2:$B$800,MATCH(DATE(YEAR(A207)-1,MONTH(A207),1),$A$2:$A$800,0))-1,""))</f>
        <v/>
      </c>
    </row>
    <row r="208">
      <c r="A208" s="114" t="n">
        <v>40817</v>
      </c>
      <c r="B208" s="47" t="n">
        <v>483.758</v>
      </c>
      <c r="C208" s="115">
        <f>IF(OR(B208="",B207=""),"",B208/B207-1)</f>
        <v/>
      </c>
      <c r="D208" s="115">
        <f>IF(B208="","",IFERROR(B208/INDEX($B$2:$B$800,MATCH(DATE(YEAR(A208)-1,12,1),$A$2:$A$800,0))-1,""))</f>
        <v/>
      </c>
      <c r="E208" s="115">
        <f>IF(B208="","",IFERROR(B208/INDEX($B$2:$B$800,MATCH(DATE(YEAR(A208)-1,MONTH(A208),1),$A$2:$A$800,0))-1,""))</f>
        <v/>
      </c>
    </row>
    <row r="209">
      <c r="A209" s="114" t="n">
        <v>40848</v>
      </c>
      <c r="B209" s="47" t="n">
        <v>487.221</v>
      </c>
      <c r="C209" s="115">
        <f>IF(OR(B209="",B208=""),"",B209/B208-1)</f>
        <v/>
      </c>
      <c r="D209" s="115">
        <f>IF(B209="","",IFERROR(B209/INDEX($B$2:$B$800,MATCH(DATE(YEAR(A209)-1,12,1),$A$2:$A$800,0))-1,""))</f>
        <v/>
      </c>
      <c r="E209" s="115">
        <f>IF(B209="","",IFERROR(B209/INDEX($B$2:$B$800,MATCH(DATE(YEAR(A209)-1,MONTH(A209),1),$A$2:$A$800,0))-1,""))</f>
        <v/>
      </c>
    </row>
    <row r="210">
      <c r="A210" s="114" t="n">
        <v>40878</v>
      </c>
      <c r="B210" s="47" t="n">
        <v>487.749</v>
      </c>
      <c r="C210" s="115">
        <f>IF(OR(B210="",B209=""),"",B210/B209-1)</f>
        <v/>
      </c>
      <c r="D210" s="115">
        <f>IF(B210="","",IFERROR(B210/INDEX($B$2:$B$800,MATCH(DATE(YEAR(A210)-1,12,1),$A$2:$A$800,0))-1,""))</f>
        <v/>
      </c>
      <c r="E210" s="115">
        <f>IF(B210="","",IFERROR(B210/INDEX($B$2:$B$800,MATCH(DATE(YEAR(A210)-1,MONTH(A210),1),$A$2:$A$800,0))-1,""))</f>
        <v/>
      </c>
    </row>
    <row r="211">
      <c r="A211" s="114" t="n">
        <v>40909</v>
      </c>
      <c r="B211" s="47" t="n">
        <v>492.106</v>
      </c>
      <c r="C211" s="115">
        <f>IF(OR(B211="",B210=""),"",B211/B210-1)</f>
        <v/>
      </c>
      <c r="D211" s="115">
        <f>IF(B211="","",IFERROR(B211/INDEX($B$2:$B$800,MATCH(DATE(YEAR(A211)-1,12,1),$A$2:$A$800,0))-1,""))</f>
        <v/>
      </c>
      <c r="E211" s="115">
        <f>IF(B211="","",IFERROR(B211/INDEX($B$2:$B$800,MATCH(DATE(YEAR(A211)-1,MONTH(A211),1),$A$2:$A$800,0))-1,""))</f>
        <v/>
      </c>
    </row>
    <row r="212">
      <c r="A212" s="114" t="n">
        <v>40940</v>
      </c>
      <c r="B212" s="47" t="n">
        <v>493.584</v>
      </c>
      <c r="C212" s="115">
        <f>IF(OR(B212="",B211=""),"",B212/B211-1)</f>
        <v/>
      </c>
      <c r="D212" s="115">
        <f>IF(B212="","",IFERROR(B212/INDEX($B$2:$B$800,MATCH(DATE(YEAR(A212)-1,12,1),$A$2:$A$800,0))-1,""))</f>
        <v/>
      </c>
      <c r="E212" s="115">
        <f>IF(B212="","",IFERROR(B212/INDEX($B$2:$B$800,MATCH(DATE(YEAR(A212)-1,MONTH(A212),1),$A$2:$A$800,0))-1,""))</f>
        <v/>
      </c>
    </row>
    <row r="213">
      <c r="A213" s="114" t="n">
        <v>40969</v>
      </c>
      <c r="B213" s="47" t="n">
        <v>496.079</v>
      </c>
      <c r="C213" s="115">
        <f>IF(OR(B213="",B212=""),"",B213/B212-1)</f>
        <v/>
      </c>
      <c r="D213" s="115">
        <f>IF(B213="","",IFERROR(B213/INDEX($B$2:$B$800,MATCH(DATE(YEAR(A213)-1,12,1),$A$2:$A$800,0))-1,""))</f>
        <v/>
      </c>
      <c r="E213" s="115">
        <f>IF(B213="","",IFERROR(B213/INDEX($B$2:$B$800,MATCH(DATE(YEAR(A213)-1,MONTH(A213),1),$A$2:$A$800,0))-1,""))</f>
        <v/>
      </c>
    </row>
    <row r="214">
      <c r="A214" s="114" t="n">
        <v>41000</v>
      </c>
      <c r="B214" s="47" t="n">
        <v>499.791</v>
      </c>
      <c r="C214" s="115">
        <f>IF(OR(B214="",B213=""),"",B214/B213-1)</f>
        <v/>
      </c>
      <c r="D214" s="115">
        <f>IF(B214="","",IFERROR(B214/INDEX($B$2:$B$800,MATCH(DATE(YEAR(A214)-1,12,1),$A$2:$A$800,0))-1,""))</f>
        <v/>
      </c>
      <c r="E214" s="115">
        <f>IF(B214="","",IFERROR(B214/INDEX($B$2:$B$800,MATCH(DATE(YEAR(A214)-1,MONTH(A214),1),$A$2:$A$800,0))-1,""))</f>
        <v/>
      </c>
    </row>
    <row r="215">
      <c r="A215" s="114" t="n">
        <v>41030</v>
      </c>
      <c r="B215" s="47" t="n">
        <v>509.184</v>
      </c>
      <c r="C215" s="115">
        <f>IF(OR(B215="",B214=""),"",B215/B214-1)</f>
        <v/>
      </c>
      <c r="D215" s="115">
        <f>IF(B215="","",IFERROR(B215/INDEX($B$2:$B$800,MATCH(DATE(YEAR(A215)-1,12,1),$A$2:$A$800,0))-1,""))</f>
        <v/>
      </c>
      <c r="E215" s="115">
        <f>IF(B215="","",IFERROR(B215/INDEX($B$2:$B$800,MATCH(DATE(YEAR(A215)-1,MONTH(A215),1),$A$2:$A$800,0))-1,""))</f>
        <v/>
      </c>
    </row>
    <row r="216">
      <c r="A216" s="114" t="n">
        <v>41061</v>
      </c>
      <c r="B216" s="47" t="n">
        <v>512.903</v>
      </c>
      <c r="C216" s="115">
        <f>IF(OR(B216="",B215=""),"",B216/B215-1)</f>
        <v/>
      </c>
      <c r="D216" s="115">
        <f>IF(B216="","",IFERROR(B216/INDEX($B$2:$B$800,MATCH(DATE(YEAR(A216)-1,12,1),$A$2:$A$800,0))-1,""))</f>
        <v/>
      </c>
      <c r="E216" s="115">
        <f>IF(B216="","",IFERROR(B216/INDEX($B$2:$B$800,MATCH(DATE(YEAR(A216)-1,MONTH(A216),1),$A$2:$A$800,0))-1,""))</f>
        <v/>
      </c>
    </row>
    <row r="217">
      <c r="A217" s="114" t="n">
        <v>41091</v>
      </c>
      <c r="B217" s="47" t="n">
        <v>516.318</v>
      </c>
      <c r="C217" s="115">
        <f>IF(OR(B217="",B216=""),"",B217/B216-1)</f>
        <v/>
      </c>
      <c r="D217" s="115">
        <f>IF(B217="","",IFERROR(B217/INDEX($B$2:$B$800,MATCH(DATE(YEAR(A217)-1,12,1),$A$2:$A$800,0))-1,""))</f>
        <v/>
      </c>
      <c r="E217" s="115">
        <f>IF(B217="","",IFERROR(B217/INDEX($B$2:$B$800,MATCH(DATE(YEAR(A217)-1,MONTH(A217),1),$A$2:$A$800,0))-1,""))</f>
        <v/>
      </c>
    </row>
    <row r="218">
      <c r="A218" s="114" t="n">
        <v>41122</v>
      </c>
      <c r="B218" s="47" t="n">
        <v>517.657</v>
      </c>
      <c r="C218" s="115">
        <f>IF(OR(B218="",B217=""),"",B218/B217-1)</f>
        <v/>
      </c>
      <c r="D218" s="115">
        <f>IF(B218="","",IFERROR(B218/INDEX($B$2:$B$800,MATCH(DATE(YEAR(A218)-1,12,1),$A$2:$A$800,0))-1,""))</f>
        <v/>
      </c>
      <c r="E218" s="115">
        <f>IF(B218="","",IFERROR(B218/INDEX($B$2:$B$800,MATCH(DATE(YEAR(A218)-1,MONTH(A218),1),$A$2:$A$800,0))-1,""))</f>
        <v/>
      </c>
    </row>
    <row r="219">
      <c r="A219" s="114" t="n">
        <v>41153</v>
      </c>
      <c r="B219" s="47" t="n">
        <v>518.816</v>
      </c>
      <c r="C219" s="115">
        <f>IF(OR(B219="",B218=""),"",B219/B218-1)</f>
        <v/>
      </c>
      <c r="D219" s="115">
        <f>IF(B219="","",IFERROR(B219/INDEX($B$2:$B$800,MATCH(DATE(YEAR(A219)-1,12,1),$A$2:$A$800,0))-1,""))</f>
        <v/>
      </c>
      <c r="E219" s="115">
        <f>IF(B219="","",IFERROR(B219/INDEX($B$2:$B$800,MATCH(DATE(YEAR(A219)-1,MONTH(A219),1),$A$2:$A$800,0))-1,""))</f>
        <v/>
      </c>
    </row>
    <row r="220">
      <c r="A220" s="114" t="n">
        <v>41183</v>
      </c>
      <c r="B220" s="47" t="n">
        <v>519.907</v>
      </c>
      <c r="C220" s="115">
        <f>IF(OR(B220="",B219=""),"",B220/B219-1)</f>
        <v/>
      </c>
      <c r="D220" s="115">
        <f>IF(B220="","",IFERROR(B220/INDEX($B$2:$B$800,MATCH(DATE(YEAR(A220)-1,12,1),$A$2:$A$800,0))-1,""))</f>
        <v/>
      </c>
      <c r="E220" s="115">
        <f>IF(B220="","",IFERROR(B220/INDEX($B$2:$B$800,MATCH(DATE(YEAR(A220)-1,MONTH(A220),1),$A$2:$A$800,0))-1,""))</f>
        <v/>
      </c>
    </row>
    <row r="221">
      <c r="A221" s="114" t="n">
        <v>41214</v>
      </c>
      <c r="B221" s="47" t="n">
        <v>521.638</v>
      </c>
      <c r="C221" s="115">
        <f>IF(OR(B221="",B220=""),"",B221/B220-1)</f>
        <v/>
      </c>
      <c r="D221" s="115">
        <f>IF(B221="","",IFERROR(B221/INDEX($B$2:$B$800,MATCH(DATE(YEAR(A221)-1,12,1),$A$2:$A$800,0))-1,""))</f>
        <v/>
      </c>
      <c r="E221" s="115">
        <f>IF(B221="","",IFERROR(B221/INDEX($B$2:$B$800,MATCH(DATE(YEAR(A221)-1,MONTH(A221),1),$A$2:$A$800,0))-1,""))</f>
        <v/>
      </c>
    </row>
    <row r="222">
      <c r="A222" s="114" t="n">
        <v>41244</v>
      </c>
      <c r="B222" s="47" t="n">
        <v>522.474</v>
      </c>
      <c r="C222" s="115">
        <f>IF(OR(B222="",B221=""),"",B222/B221-1)</f>
        <v/>
      </c>
      <c r="D222" s="115">
        <f>IF(B222="","",IFERROR(B222/INDEX($B$2:$B$800,MATCH(DATE(YEAR(A222)-1,12,1),$A$2:$A$800,0))-1,""))</f>
        <v/>
      </c>
      <c r="E222" s="115">
        <f>IF(B222="","",IFERROR(B222/INDEX($B$2:$B$800,MATCH(DATE(YEAR(A222)-1,MONTH(A222),1),$A$2:$A$800,0))-1,""))</f>
        <v/>
      </c>
    </row>
    <row r="223">
      <c r="A223" s="114" t="n">
        <v>41275</v>
      </c>
      <c r="B223" s="47" t="n">
        <v>525.85</v>
      </c>
      <c r="C223" s="115">
        <f>IF(OR(B223="",B222=""),"",B223/B222-1)</f>
        <v/>
      </c>
      <c r="D223" s="115">
        <f>IF(B223="","",IFERROR(B223/INDEX($B$2:$B$800,MATCH(DATE(YEAR(A223)-1,12,1),$A$2:$A$800,0))-1,""))</f>
        <v/>
      </c>
      <c r="E223" s="115">
        <f>IF(B223="","",IFERROR(B223/INDEX($B$2:$B$800,MATCH(DATE(YEAR(A223)-1,MONTH(A223),1),$A$2:$A$800,0))-1,""))</f>
        <v/>
      </c>
    </row>
    <row r="224">
      <c r="A224" s="114" t="n">
        <v>41306</v>
      </c>
      <c r="B224" s="47" t="n">
        <v>529.029</v>
      </c>
      <c r="C224" s="115">
        <f>IF(OR(B224="",B223=""),"",B224/B223-1)</f>
        <v/>
      </c>
      <c r="D224" s="115">
        <f>IF(B224="","",IFERROR(B224/INDEX($B$2:$B$800,MATCH(DATE(YEAR(A224)-1,12,1),$A$2:$A$800,0))-1,""))</f>
        <v/>
      </c>
      <c r="E224" s="115">
        <f>IF(B224="","",IFERROR(B224/INDEX($B$2:$B$800,MATCH(DATE(YEAR(A224)-1,MONTH(A224),1),$A$2:$A$800,0))-1,""))</f>
        <v/>
      </c>
    </row>
    <row r="225">
      <c r="A225" s="114" t="n">
        <v>41334</v>
      </c>
      <c r="B225" s="47" t="n">
        <v>531.691</v>
      </c>
      <c r="C225" s="115">
        <f>IF(OR(B225="",B224=""),"",B225/B224-1)</f>
        <v/>
      </c>
      <c r="D225" s="115">
        <f>IF(B225="","",IFERROR(B225/INDEX($B$2:$B$800,MATCH(DATE(YEAR(A225)-1,12,1),$A$2:$A$800,0))-1,""))</f>
        <v/>
      </c>
      <c r="E225" s="115">
        <f>IF(B225="","",IFERROR(B225/INDEX($B$2:$B$800,MATCH(DATE(YEAR(A225)-1,MONTH(A225),1),$A$2:$A$800,0))-1,""))</f>
        <v/>
      </c>
    </row>
    <row r="226">
      <c r="A226" s="114" t="n">
        <v>41365</v>
      </c>
      <c r="B226" s="47" t="n">
        <v>535.601</v>
      </c>
      <c r="C226" s="115">
        <f>IF(OR(B226="",B225=""),"",B226/B225-1)</f>
        <v/>
      </c>
      <c r="D226" s="115">
        <f>IF(B226="","",IFERROR(B226/INDEX($B$2:$B$800,MATCH(DATE(YEAR(A226)-1,12,1),$A$2:$A$800,0))-1,""))</f>
        <v/>
      </c>
      <c r="E226" s="115">
        <f>IF(B226="","",IFERROR(B226/INDEX($B$2:$B$800,MATCH(DATE(YEAR(A226)-1,MONTH(A226),1),$A$2:$A$800,0))-1,""))</f>
        <v/>
      </c>
    </row>
    <row r="227">
      <c r="A227" s="114" t="n">
        <v>41395</v>
      </c>
      <c r="B227" s="47" t="n">
        <v>547.655</v>
      </c>
      <c r="C227" s="115">
        <f>IF(OR(B227="",B226=""),"",B227/B226-1)</f>
        <v/>
      </c>
      <c r="D227" s="115">
        <f>IF(B227="","",IFERROR(B227/INDEX($B$2:$B$800,MATCH(DATE(YEAR(A227)-1,12,1),$A$2:$A$800,0))-1,""))</f>
        <v/>
      </c>
      <c r="E227" s="115">
        <f>IF(B227="","",IFERROR(B227/INDEX($B$2:$B$800,MATCH(DATE(YEAR(A227)-1,MONTH(A227),1),$A$2:$A$800,0))-1,""))</f>
        <v/>
      </c>
    </row>
    <row r="228">
      <c r="A228" s="114" t="n">
        <v>41426</v>
      </c>
      <c r="B228" s="47" t="n">
        <v>553.948</v>
      </c>
      <c r="C228" s="115">
        <f>IF(OR(B228="",B227=""),"",B228/B227-1)</f>
        <v/>
      </c>
      <c r="D228" s="115">
        <f>IF(B228="","",IFERROR(B228/INDEX($B$2:$B$800,MATCH(DATE(YEAR(A228)-1,12,1),$A$2:$A$800,0))-1,""))</f>
        <v/>
      </c>
      <c r="E228" s="115">
        <f>IF(B228="","",IFERROR(B228/INDEX($B$2:$B$800,MATCH(DATE(YEAR(A228)-1,MONTH(A228),1),$A$2:$A$800,0))-1,""))</f>
        <v/>
      </c>
    </row>
    <row r="229">
      <c r="A229" s="114" t="n">
        <v>41456</v>
      </c>
      <c r="B229" s="47" t="n">
        <v>556.6</v>
      </c>
      <c r="C229" s="115">
        <f>IF(OR(B229="",B228=""),"",B229/B228-1)</f>
        <v/>
      </c>
      <c r="D229" s="115">
        <f>IF(B229="","",IFERROR(B229/INDEX($B$2:$B$800,MATCH(DATE(YEAR(A229)-1,12,1),$A$2:$A$800,0))-1,""))</f>
        <v/>
      </c>
      <c r="E229" s="115">
        <f>IF(B229="","",IFERROR(B229/INDEX($B$2:$B$800,MATCH(DATE(YEAR(A229)-1,MONTH(A229),1),$A$2:$A$800,0))-1,""))</f>
        <v/>
      </c>
    </row>
    <row r="230">
      <c r="A230" s="114" t="n">
        <v>41487</v>
      </c>
      <c r="B230" s="47" t="n">
        <v>558.34</v>
      </c>
      <c r="C230" s="115">
        <f>IF(OR(B230="",B229=""),"",B230/B229-1)</f>
        <v/>
      </c>
      <c r="D230" s="115">
        <f>IF(B230="","",IFERROR(B230/INDEX($B$2:$B$800,MATCH(DATE(YEAR(A230)-1,12,1),$A$2:$A$800,0))-1,""))</f>
        <v/>
      </c>
      <c r="E230" s="115">
        <f>IF(B230="","",IFERROR(B230/INDEX($B$2:$B$800,MATCH(DATE(YEAR(A230)-1,MONTH(A230),1),$A$2:$A$800,0))-1,""))</f>
        <v/>
      </c>
    </row>
    <row r="231">
      <c r="A231" s="114" t="n">
        <v>41518</v>
      </c>
      <c r="B231" s="47" t="n">
        <v>560.7670000000001</v>
      </c>
      <c r="C231" s="115">
        <f>IF(OR(B231="",B230=""),"",B231/B230-1)</f>
        <v/>
      </c>
      <c r="D231" s="115">
        <f>IF(B231="","",IFERROR(B231/INDEX($B$2:$B$800,MATCH(DATE(YEAR(A231)-1,12,1),$A$2:$A$800,0))-1,""))</f>
        <v/>
      </c>
      <c r="E231" s="115">
        <f>IF(B231="","",IFERROR(B231/INDEX($B$2:$B$800,MATCH(DATE(YEAR(A231)-1,MONTH(A231),1),$A$2:$A$800,0))-1,""))</f>
        <v/>
      </c>
    </row>
    <row r="232">
      <c r="A232" s="114" t="n">
        <v>41548</v>
      </c>
      <c r="B232" s="47" t="n">
        <v>562.241</v>
      </c>
      <c r="C232" s="115">
        <f>IF(OR(B232="",B231=""),"",B232/B231-1)</f>
        <v/>
      </c>
      <c r="D232" s="115">
        <f>IF(B232="","",IFERROR(B232/INDEX($B$2:$B$800,MATCH(DATE(YEAR(A232)-1,12,1),$A$2:$A$800,0))-1,""))</f>
        <v/>
      </c>
      <c r="E232" s="115">
        <f>IF(B232="","",IFERROR(B232/INDEX($B$2:$B$800,MATCH(DATE(YEAR(A232)-1,MONTH(A232),1),$A$2:$A$800,0))-1,""))</f>
        <v/>
      </c>
    </row>
    <row r="233">
      <c r="A233" s="114" t="n">
        <v>41579</v>
      </c>
      <c r="B233" s="47" t="n">
        <v>564.201</v>
      </c>
      <c r="C233" s="115">
        <f>IF(OR(B233="",B232=""),"",B233/B232-1)</f>
        <v/>
      </c>
      <c r="D233" s="115">
        <f>IF(B233="","",IFERROR(B233/INDEX($B$2:$B$800,MATCH(DATE(YEAR(A233)-1,12,1),$A$2:$A$800,0))-1,""))</f>
        <v/>
      </c>
      <c r="E233" s="115">
        <f>IF(B233="","",IFERROR(B233/INDEX($B$2:$B$800,MATCH(DATE(YEAR(A233)-1,MONTH(A233),1),$A$2:$A$800,0))-1,""))</f>
        <v/>
      </c>
    </row>
    <row r="234">
      <c r="A234" s="114" t="n">
        <v>41609</v>
      </c>
      <c r="B234" s="47" t="n">
        <v>564.765</v>
      </c>
      <c r="C234" s="115">
        <f>IF(OR(B234="",B233=""),"",B234/B233-1)</f>
        <v/>
      </c>
      <c r="D234" s="115">
        <f>IF(B234="","",IFERROR(B234/INDEX($B$2:$B$800,MATCH(DATE(YEAR(A234)-1,12,1),$A$2:$A$800,0))-1,""))</f>
        <v/>
      </c>
      <c r="E234" s="115">
        <f>IF(B234="","",IFERROR(B234/INDEX($B$2:$B$800,MATCH(DATE(YEAR(A234)-1,MONTH(A234),1),$A$2:$A$800,0))-1,""))</f>
        <v/>
      </c>
    </row>
    <row r="235">
      <c r="A235" s="114" t="n">
        <v>41640</v>
      </c>
      <c r="B235" s="47" t="n">
        <v>569.72</v>
      </c>
      <c r="C235" s="115">
        <f>IF(OR(B235="",B234=""),"",B235/B234-1)</f>
        <v/>
      </c>
      <c r="D235" s="115">
        <f>IF(B235="","",IFERROR(B235/INDEX($B$2:$B$800,MATCH(DATE(YEAR(A235)-1,12,1),$A$2:$A$800,0))-1,""))</f>
        <v/>
      </c>
      <c r="E235" s="115">
        <f>IF(B235="","",IFERROR(B235/INDEX($B$2:$B$800,MATCH(DATE(YEAR(A235)-1,MONTH(A235),1),$A$2:$A$800,0))-1,""))</f>
        <v/>
      </c>
    </row>
    <row r="236">
      <c r="A236" s="114" t="n">
        <v>41671</v>
      </c>
      <c r="B236" s="47" t="n">
        <v>571.577</v>
      </c>
      <c r="C236" s="115">
        <f>IF(OR(B236="",B235=""),"",B236/B235-1)</f>
        <v/>
      </c>
      <c r="D236" s="115">
        <f>IF(B236="","",IFERROR(B236/INDEX($B$2:$B$800,MATCH(DATE(YEAR(A236)-1,12,1),$A$2:$A$800,0))-1,""))</f>
        <v/>
      </c>
      <c r="E236" s="115">
        <f>IF(B236="","",IFERROR(B236/INDEX($B$2:$B$800,MATCH(DATE(YEAR(A236)-1,MONTH(A236),1),$A$2:$A$800,0))-1,""))</f>
        <v/>
      </c>
    </row>
    <row r="237">
      <c r="A237" s="114" t="n">
        <v>41699</v>
      </c>
      <c r="B237" s="47" t="n">
        <v>573.1559999999999</v>
      </c>
      <c r="C237" s="115">
        <f>IF(OR(B237="",B236=""),"",B237/B236-1)</f>
        <v/>
      </c>
      <c r="D237" s="115">
        <f>IF(B237="","",IFERROR(B237/INDEX($B$2:$B$800,MATCH(DATE(YEAR(A237)-1,12,1),$A$2:$A$800,0))-1,""))</f>
        <v/>
      </c>
      <c r="E237" s="115">
        <f>IF(B237="","",IFERROR(B237/INDEX($B$2:$B$800,MATCH(DATE(YEAR(A237)-1,MONTH(A237),1),$A$2:$A$800,0))-1,""))</f>
        <v/>
      </c>
    </row>
    <row r="238">
      <c r="A238" s="114" t="n">
        <v>41730</v>
      </c>
      <c r="B238" s="47" t="n">
        <v>578.224</v>
      </c>
      <c r="C238" s="115">
        <f>IF(OR(B238="",B237=""),"",B238/B237-1)</f>
        <v/>
      </c>
      <c r="D238" s="115">
        <f>IF(B238="","",IFERROR(B238/INDEX($B$2:$B$800,MATCH(DATE(YEAR(A238)-1,12,1),$A$2:$A$800,0))-1,""))</f>
        <v/>
      </c>
      <c r="E238" s="115">
        <f>IF(B238="","",IFERROR(B238/INDEX($B$2:$B$800,MATCH(DATE(YEAR(A238)-1,MONTH(A238),1),$A$2:$A$800,0))-1,""))</f>
        <v/>
      </c>
    </row>
    <row r="239">
      <c r="A239" s="114" t="n">
        <v>41760</v>
      </c>
      <c r="B239" s="47" t="n">
        <v>590.099</v>
      </c>
      <c r="C239" s="115">
        <f>IF(OR(B239="",B238=""),"",B239/B238-1)</f>
        <v/>
      </c>
      <c r="D239" s="115">
        <f>IF(B239="","",IFERROR(B239/INDEX($B$2:$B$800,MATCH(DATE(YEAR(A239)-1,12,1),$A$2:$A$800,0))-1,""))</f>
        <v/>
      </c>
      <c r="E239" s="115">
        <f>IF(B239="","",IFERROR(B239/INDEX($B$2:$B$800,MATCH(DATE(YEAR(A239)-1,MONTH(A239),1),$A$2:$A$800,0))-1,""))</f>
        <v/>
      </c>
    </row>
    <row r="240">
      <c r="A240" s="114" t="n">
        <v>41791</v>
      </c>
      <c r="B240" s="47" t="n">
        <v>594.013</v>
      </c>
      <c r="C240" s="115">
        <f>IF(OR(B240="",B239=""),"",B240/B239-1)</f>
        <v/>
      </c>
      <c r="D240" s="115">
        <f>IF(B240="","",IFERROR(B240/INDEX($B$2:$B$800,MATCH(DATE(YEAR(A240)-1,12,1),$A$2:$A$800,0))-1,""))</f>
        <v/>
      </c>
      <c r="E240" s="115">
        <f>IF(B240="","",IFERROR(B240/INDEX($B$2:$B$800,MATCH(DATE(YEAR(A240)-1,MONTH(A240),1),$A$2:$A$800,0))-1,""))</f>
        <v/>
      </c>
    </row>
    <row r="241">
      <c r="A241" s="114" t="n">
        <v>41821</v>
      </c>
      <c r="B241" s="47" t="n">
        <v>598.441</v>
      </c>
      <c r="C241" s="115">
        <f>IF(OR(B241="",B240=""),"",B241/B240-1)</f>
        <v/>
      </c>
      <c r="D241" s="115">
        <f>IF(B241="","",IFERROR(B241/INDEX($B$2:$B$800,MATCH(DATE(YEAR(A241)-1,12,1),$A$2:$A$800,0))-1,""))</f>
        <v/>
      </c>
      <c r="E241" s="115">
        <f>IF(B241="","",IFERROR(B241/INDEX($B$2:$B$800,MATCH(DATE(YEAR(A241)-1,MONTH(A241),1),$A$2:$A$800,0))-1,""))</f>
        <v/>
      </c>
    </row>
    <row r="242">
      <c r="A242" s="114" t="n">
        <v>41852</v>
      </c>
      <c r="B242" s="47" t="n">
        <v>598.898</v>
      </c>
      <c r="C242" s="115">
        <f>IF(OR(B242="",B241=""),"",B242/B241-1)</f>
        <v/>
      </c>
      <c r="D242" s="115">
        <f>IF(B242="","",IFERROR(B242/INDEX($B$2:$B$800,MATCH(DATE(YEAR(A242)-1,12,1),$A$2:$A$800,0))-1,""))</f>
        <v/>
      </c>
      <c r="E242" s="115">
        <f>IF(B242="","",IFERROR(B242/INDEX($B$2:$B$800,MATCH(DATE(YEAR(A242)-1,MONTH(A242),1),$A$2:$A$800,0))-1,""))</f>
        <v/>
      </c>
    </row>
    <row r="243">
      <c r="A243" s="114" t="n">
        <v>41883</v>
      </c>
      <c r="B243" s="47" t="n">
        <v>599.823</v>
      </c>
      <c r="C243" s="115">
        <f>IF(OR(B243="",B242=""),"",B243/B242-1)</f>
        <v/>
      </c>
      <c r="D243" s="115">
        <f>IF(B243="","",IFERROR(B243/INDEX($B$2:$B$800,MATCH(DATE(YEAR(A243)-1,12,1),$A$2:$A$800,0))-1,""))</f>
        <v/>
      </c>
      <c r="E243" s="115">
        <f>IF(B243="","",IFERROR(B243/INDEX($B$2:$B$800,MATCH(DATE(YEAR(A243)-1,MONTH(A243),1),$A$2:$A$800,0))-1,""))</f>
        <v/>
      </c>
    </row>
    <row r="244">
      <c r="A244" s="114" t="n">
        <v>41913</v>
      </c>
      <c r="B244" s="47" t="n">
        <v>600.865</v>
      </c>
      <c r="C244" s="115">
        <f>IF(OR(B244="",B243=""),"",B244/B243-1)</f>
        <v/>
      </c>
      <c r="D244" s="115">
        <f>IF(B244="","",IFERROR(B244/INDEX($B$2:$B$800,MATCH(DATE(YEAR(A244)-1,12,1),$A$2:$A$800,0))-1,""))</f>
        <v/>
      </c>
      <c r="E244" s="115">
        <f>IF(B244="","",IFERROR(B244/INDEX($B$2:$B$800,MATCH(DATE(YEAR(A244)-1,MONTH(A244),1),$A$2:$A$800,0))-1,""))</f>
        <v/>
      </c>
    </row>
    <row r="245">
      <c r="A245" s="114" t="n">
        <v>41944</v>
      </c>
      <c r="B245" s="47" t="n">
        <v>603.524</v>
      </c>
      <c r="C245" s="115">
        <f>IF(OR(B245="",B244=""),"",B245/B244-1)</f>
        <v/>
      </c>
      <c r="D245" s="115">
        <f>IF(B245="","",IFERROR(B245/INDEX($B$2:$B$800,MATCH(DATE(YEAR(A245)-1,12,1),$A$2:$A$800,0))-1,""))</f>
        <v/>
      </c>
      <c r="E245" s="115">
        <f>IF(B245="","",IFERROR(B245/INDEX($B$2:$B$800,MATCH(DATE(YEAR(A245)-1,MONTH(A245),1),$A$2:$A$800,0))-1,""))</f>
        <v/>
      </c>
    </row>
    <row r="246">
      <c r="A246" s="114" t="n">
        <v>41974</v>
      </c>
      <c r="B246" s="47" t="n">
        <v>604.026</v>
      </c>
      <c r="C246" s="115">
        <f>IF(OR(B246="",B245=""),"",B246/B245-1)</f>
        <v/>
      </c>
      <c r="D246" s="115">
        <f>IF(B246="","",IFERROR(B246/INDEX($B$2:$B$800,MATCH(DATE(YEAR(A246)-1,12,1),$A$2:$A$800,0))-1,""))</f>
        <v/>
      </c>
      <c r="E246" s="115">
        <f>IF(B246="","",IFERROR(B246/INDEX($B$2:$B$800,MATCH(DATE(YEAR(A246)-1,MONTH(A246),1),$A$2:$A$800,0))-1,""))</f>
        <v/>
      </c>
    </row>
    <row r="247">
      <c r="A247" s="114" t="n">
        <v>42005</v>
      </c>
      <c r="B247" s="47" t="n">
        <v>609.568</v>
      </c>
      <c r="C247" s="115">
        <f>IF(OR(B247="",B246=""),"",B247/B246-1)</f>
        <v/>
      </c>
      <c r="D247" s="115">
        <f>IF(B247="","",IFERROR(B247/INDEX($B$2:$B$800,MATCH(DATE(YEAR(A247)-1,12,1),$A$2:$A$800,0))-1,""))</f>
        <v/>
      </c>
      <c r="E247" s="115">
        <f>IF(B247="","",IFERROR(B247/INDEX($B$2:$B$800,MATCH(DATE(YEAR(A247)-1,MONTH(A247),1),$A$2:$A$800,0))-1,""))</f>
        <v/>
      </c>
    </row>
    <row r="248">
      <c r="A248" s="114" t="n">
        <v>42036</v>
      </c>
      <c r="B248" s="47" t="n">
        <v>611.447</v>
      </c>
      <c r="C248" s="115">
        <f>IF(OR(B248="",B247=""),"",B248/B247-1)</f>
        <v/>
      </c>
      <c r="D248" s="115">
        <f>IF(B248="","",IFERROR(B248/INDEX($B$2:$B$800,MATCH(DATE(YEAR(A248)-1,12,1),$A$2:$A$800,0))-1,""))</f>
        <v/>
      </c>
      <c r="E248" s="115">
        <f>IF(B248="","",IFERROR(B248/INDEX($B$2:$B$800,MATCH(DATE(YEAR(A248)-1,MONTH(A248),1),$A$2:$A$800,0))-1,""))</f>
        <v/>
      </c>
    </row>
    <row r="249">
      <c r="A249" s="114" t="n">
        <v>42064</v>
      </c>
      <c r="B249" s="47" t="n">
        <v>615.248</v>
      </c>
      <c r="C249" s="115">
        <f>IF(OR(B249="",B248=""),"",B249/B248-1)</f>
        <v/>
      </c>
      <c r="D249" s="115">
        <f>IF(B249="","",IFERROR(B249/INDEX($B$2:$B$800,MATCH(DATE(YEAR(A249)-1,12,1),$A$2:$A$800,0))-1,""))</f>
        <v/>
      </c>
      <c r="E249" s="115">
        <f>IF(B249="","",IFERROR(B249/INDEX($B$2:$B$800,MATCH(DATE(YEAR(A249)-1,MONTH(A249),1),$A$2:$A$800,0))-1,""))</f>
        <v/>
      </c>
    </row>
    <row r="250">
      <c r="A250" s="114" t="n">
        <v>42095</v>
      </c>
      <c r="B250" s="47" t="n">
        <v>618.0599999999999</v>
      </c>
      <c r="C250" s="115">
        <f>IF(OR(B250="",B249=""),"",B250/B249-1)</f>
        <v/>
      </c>
      <c r="D250" s="115">
        <f>IF(B250="","",IFERROR(B250/INDEX($B$2:$B$800,MATCH(DATE(YEAR(A250)-1,12,1),$A$2:$A$800,0))-1,""))</f>
        <v/>
      </c>
      <c r="E250" s="115">
        <f>IF(B250="","",IFERROR(B250/INDEX($B$2:$B$800,MATCH(DATE(YEAR(A250)-1,MONTH(A250),1),$A$2:$A$800,0))-1,""))</f>
        <v/>
      </c>
    </row>
    <row r="251">
      <c r="A251" s="114" t="n">
        <v>42125</v>
      </c>
      <c r="B251" s="47" t="n">
        <v>623.951</v>
      </c>
      <c r="C251" s="115">
        <f>IF(OR(B251="",B250=""),"",B251/B250-1)</f>
        <v/>
      </c>
      <c r="D251" s="115">
        <f>IF(B251="","",IFERROR(B251/INDEX($B$2:$B$800,MATCH(DATE(YEAR(A251)-1,12,1),$A$2:$A$800,0))-1,""))</f>
        <v/>
      </c>
      <c r="E251" s="115">
        <f>IF(B251="","",IFERROR(B251/INDEX($B$2:$B$800,MATCH(DATE(YEAR(A251)-1,MONTH(A251),1),$A$2:$A$800,0))-1,""))</f>
        <v/>
      </c>
    </row>
    <row r="252">
      <c r="A252" s="114" t="n">
        <v>42156</v>
      </c>
      <c r="B252" s="47" t="n">
        <v>635.403</v>
      </c>
      <c r="C252" s="115">
        <f>IF(OR(B252="",B251=""),"",B252/B251-1)</f>
        <v/>
      </c>
      <c r="D252" s="115">
        <f>IF(B252="","",IFERROR(B252/INDEX($B$2:$B$800,MATCH(DATE(YEAR(A252)-1,12,1),$A$2:$A$800,0))-1,""))</f>
        <v/>
      </c>
      <c r="E252" s="115">
        <f>IF(B252="","",IFERROR(B252/INDEX($B$2:$B$800,MATCH(DATE(YEAR(A252)-1,MONTH(A252),1),$A$2:$A$800,0))-1,""))</f>
        <v/>
      </c>
    </row>
    <row r="253">
      <c r="A253" s="114" t="n">
        <v>42186</v>
      </c>
      <c r="B253" s="47" t="n">
        <v>638.88</v>
      </c>
      <c r="C253" s="115">
        <f>IF(OR(B253="",B252=""),"",B253/B252-1)</f>
        <v/>
      </c>
      <c r="D253" s="115">
        <f>IF(B253="","",IFERROR(B253/INDEX($B$2:$B$800,MATCH(DATE(YEAR(A253)-1,12,1),$A$2:$A$800,0))-1,""))</f>
        <v/>
      </c>
      <c r="E253" s="115">
        <f>IF(B253="","",IFERROR(B253/INDEX($B$2:$B$800,MATCH(DATE(YEAR(A253)-1,MONTH(A253),1),$A$2:$A$800,0))-1,""))</f>
        <v/>
      </c>
    </row>
    <row r="254">
      <c r="A254" s="114" t="n">
        <v>42217</v>
      </c>
      <c r="B254" s="47" t="n">
        <v>642.644</v>
      </c>
      <c r="C254" s="115">
        <f>IF(OR(B254="",B253=""),"",B254/B253-1)</f>
        <v/>
      </c>
      <c r="D254" s="115">
        <f>IF(B254="","",IFERROR(B254/INDEX($B$2:$B$800,MATCH(DATE(YEAR(A254)-1,12,1),$A$2:$A$800,0))-1,""))</f>
        <v/>
      </c>
      <c r="E254" s="115">
        <f>IF(B254="","",IFERROR(B254/INDEX($B$2:$B$800,MATCH(DATE(YEAR(A254)-1,MONTH(A254),1),$A$2:$A$800,0))-1,""))</f>
        <v/>
      </c>
    </row>
    <row r="255">
      <c r="A255" s="114" t="n">
        <v>42248</v>
      </c>
      <c r="B255" s="47" t="n">
        <v>644.046</v>
      </c>
      <c r="C255" s="115">
        <f>IF(OR(B255="",B254=""),"",B255/B254-1)</f>
        <v/>
      </c>
      <c r="D255" s="115">
        <f>IF(B255="","",IFERROR(B255/INDEX($B$2:$B$800,MATCH(DATE(YEAR(A255)-1,12,1),$A$2:$A$800,0))-1,""))</f>
        <v/>
      </c>
      <c r="E255" s="115">
        <f>IF(B255="","",IFERROR(B255/INDEX($B$2:$B$800,MATCH(DATE(YEAR(A255)-1,MONTH(A255),1),$A$2:$A$800,0))-1,""))</f>
        <v/>
      </c>
    </row>
    <row r="256">
      <c r="A256" s="114" t="n">
        <v>42278</v>
      </c>
      <c r="B256" s="47" t="n">
        <v>646.355</v>
      </c>
      <c r="C256" s="115">
        <f>IF(OR(B256="",B255=""),"",B256/B255-1)</f>
        <v/>
      </c>
      <c r="D256" s="115">
        <f>IF(B256="","",IFERROR(B256/INDEX($B$2:$B$800,MATCH(DATE(YEAR(A256)-1,12,1),$A$2:$A$800,0))-1,""))</f>
        <v/>
      </c>
      <c r="E256" s="115">
        <f>IF(B256="","",IFERROR(B256/INDEX($B$2:$B$800,MATCH(DATE(YEAR(A256)-1,MONTH(A256),1),$A$2:$A$800,0))-1,""))</f>
        <v/>
      </c>
    </row>
    <row r="257">
      <c r="A257" s="114" t="n">
        <v>42309</v>
      </c>
      <c r="B257" s="47" t="n">
        <v>648.542</v>
      </c>
      <c r="C257" s="115">
        <f>IF(OR(B257="",B256=""),"",B257/B256-1)</f>
        <v/>
      </c>
      <c r="D257" s="115">
        <f>IF(B257="","",IFERROR(B257/INDEX($B$2:$B$800,MATCH(DATE(YEAR(A257)-1,12,1),$A$2:$A$800,0))-1,""))</f>
        <v/>
      </c>
      <c r="E257" s="115">
        <f>IF(B257="","",IFERROR(B257/INDEX($B$2:$B$800,MATCH(DATE(YEAR(A257)-1,MONTH(A257),1),$A$2:$A$800,0))-1,""))</f>
        <v/>
      </c>
    </row>
    <row r="258">
      <c r="A258" s="114" t="n">
        <v>42339</v>
      </c>
      <c r="B258" s="47" t="n">
        <v>649.216</v>
      </c>
      <c r="C258" s="115">
        <f>IF(OR(B258="",B257=""),"",B258/B257-1)</f>
        <v/>
      </c>
      <c r="D258" s="115">
        <f>IF(B258="","",IFERROR(B258/INDEX($B$2:$B$800,MATCH(DATE(YEAR(A258)-1,12,1),$A$2:$A$800,0))-1,""))</f>
        <v/>
      </c>
      <c r="E258" s="115">
        <f>IF(B258="","",IFERROR(B258/INDEX($B$2:$B$800,MATCH(DATE(YEAR(A258)-1,MONTH(A258),1),$A$2:$A$800,0))-1,""))</f>
        <v/>
      </c>
    </row>
    <row r="259">
      <c r="A259" s="114" t="n">
        <v>42370</v>
      </c>
      <c r="B259" s="47" t="n">
        <v>651.759</v>
      </c>
      <c r="C259" s="115">
        <f>IF(OR(B259="",B258=""),"",B259/B258-1)</f>
        <v/>
      </c>
      <c r="D259" s="115">
        <f>IF(B259="","",IFERROR(B259/INDEX($B$2:$B$800,MATCH(DATE(YEAR(A259)-1,12,1),$A$2:$A$800,0))-1,""))</f>
        <v/>
      </c>
      <c r="E259" s="115">
        <f>IF(B259="","",IFERROR(B259/INDEX($B$2:$B$800,MATCH(DATE(YEAR(A259)-1,MONTH(A259),1),$A$2:$A$800,0))-1,""))</f>
        <v/>
      </c>
    </row>
    <row r="260">
      <c r="A260" s="114" t="n">
        <v>42401</v>
      </c>
      <c r="B260" s="47" t="n">
        <v>655.263</v>
      </c>
      <c r="C260" s="115">
        <f>IF(OR(B260="",B259=""),"",B260/B259-1)</f>
        <v/>
      </c>
      <c r="D260" s="115">
        <f>IF(B260="","",IFERROR(B260/INDEX($B$2:$B$800,MATCH(DATE(YEAR(A260)-1,12,1),$A$2:$A$800,0))-1,""))</f>
        <v/>
      </c>
      <c r="E260" s="115">
        <f>IF(B260="","",IFERROR(B260/INDEX($B$2:$B$800,MATCH(DATE(YEAR(A260)-1,MONTH(A260),1),$A$2:$A$800,0))-1,""))</f>
        <v/>
      </c>
    </row>
    <row r="261">
      <c r="A261" s="114" t="n">
        <v>42430</v>
      </c>
      <c r="B261" s="47" t="n">
        <v>659.446</v>
      </c>
      <c r="C261" s="115">
        <f>IF(OR(B261="",B260=""),"",B261/B260-1)</f>
        <v/>
      </c>
      <c r="D261" s="115">
        <f>IF(B261="","",IFERROR(B261/INDEX($B$2:$B$800,MATCH(DATE(YEAR(A261)-1,12,1),$A$2:$A$800,0))-1,""))</f>
        <v/>
      </c>
      <c r="E261" s="115">
        <f>IF(B261="","",IFERROR(B261/INDEX($B$2:$B$800,MATCH(DATE(YEAR(A261)-1,MONTH(A261),1),$A$2:$A$800,0))-1,""))</f>
        <v/>
      </c>
    </row>
    <row r="262">
      <c r="A262" s="114" t="n">
        <v>42461</v>
      </c>
      <c r="B262" s="47" t="n">
        <v>663.057</v>
      </c>
      <c r="C262" s="115">
        <f>IF(OR(B262="",B261=""),"",B262/B261-1)</f>
        <v/>
      </c>
      <c r="D262" s="115">
        <f>IF(B262="","",IFERROR(B262/INDEX($B$2:$B$800,MATCH(DATE(YEAR(A262)-1,12,1),$A$2:$A$800,0))-1,""))</f>
        <v/>
      </c>
      <c r="E262" s="115">
        <f>IF(B262="","",IFERROR(B262/INDEX($B$2:$B$800,MATCH(DATE(YEAR(A262)-1,MONTH(A262),1),$A$2:$A$800,0))-1,""))</f>
        <v/>
      </c>
    </row>
    <row r="263">
      <c r="A263" s="114" t="n">
        <v>42491</v>
      </c>
      <c r="B263" s="47" t="n">
        <v>663.61</v>
      </c>
      <c r="C263" s="115">
        <f>IF(OR(B263="",B262=""),"",B263/B262-1)</f>
        <v/>
      </c>
      <c r="D263" s="115">
        <f>IF(B263="","",IFERROR(B263/INDEX($B$2:$B$800,MATCH(DATE(YEAR(A263)-1,12,1),$A$2:$A$800,0))-1,""))</f>
        <v/>
      </c>
      <c r="E263" s="115">
        <f>IF(B263="","",IFERROR(B263/INDEX($B$2:$B$800,MATCH(DATE(YEAR(A263)-1,MONTH(A263),1),$A$2:$A$800,0))-1,""))</f>
        <v/>
      </c>
    </row>
    <row r="264">
      <c r="A264" s="114" t="n">
        <v>42522</v>
      </c>
      <c r="B264" s="47" t="n">
        <v>676.42</v>
      </c>
      <c r="C264" s="115">
        <f>IF(OR(B264="",B263=""),"",B264/B263-1)</f>
        <v/>
      </c>
      <c r="D264" s="115">
        <f>IF(B264="","",IFERROR(B264/INDEX($B$2:$B$800,MATCH(DATE(YEAR(A264)-1,12,1),$A$2:$A$800,0))-1,""))</f>
        <v/>
      </c>
      <c r="E264" s="115">
        <f>IF(B264="","",IFERROR(B264/INDEX($B$2:$B$800,MATCH(DATE(YEAR(A264)-1,MONTH(A264),1),$A$2:$A$800,0))-1,""))</f>
        <v/>
      </c>
    </row>
    <row r="265">
      <c r="A265" s="114" t="n">
        <v>42552</v>
      </c>
      <c r="B265" s="47" t="n">
        <v>679.751</v>
      </c>
      <c r="C265" s="115">
        <f>IF(OR(B265="",B264=""),"",B265/B264-1)</f>
        <v/>
      </c>
      <c r="D265" s="115">
        <f>IF(B265="","",IFERROR(B265/INDEX($B$2:$B$800,MATCH(DATE(YEAR(A265)-1,12,1),$A$2:$A$800,0))-1,""))</f>
        <v/>
      </c>
      <c r="E265" s="115">
        <f>IF(B265="","",IFERROR(B265/INDEX($B$2:$B$800,MATCH(DATE(YEAR(A265)-1,MONTH(A265),1),$A$2:$A$800,0))-1,""))</f>
        <v/>
      </c>
    </row>
    <row r="266">
      <c r="A266" s="114" t="n">
        <v>42583</v>
      </c>
      <c r="B266" s="47" t="n">
        <v>681.756</v>
      </c>
      <c r="C266" s="115">
        <f>IF(OR(B266="",B265=""),"",B266/B265-1)</f>
        <v/>
      </c>
      <c r="D266" s="115">
        <f>IF(B266="","",IFERROR(B266/INDEX($B$2:$B$800,MATCH(DATE(YEAR(A266)-1,12,1),$A$2:$A$800,0))-1,""))</f>
        <v/>
      </c>
      <c r="E266" s="115">
        <f>IF(B266="","",IFERROR(B266/INDEX($B$2:$B$800,MATCH(DATE(YEAR(A266)-1,MONTH(A266),1),$A$2:$A$800,0))-1,""))</f>
        <v/>
      </c>
    </row>
    <row r="267">
      <c r="A267" s="114" t="n">
        <v>42614</v>
      </c>
      <c r="B267" s="47" t="n">
        <v>684.025</v>
      </c>
      <c r="C267" s="115">
        <f>IF(OR(B267="",B266=""),"",B267/B266-1)</f>
        <v/>
      </c>
      <c r="D267" s="115">
        <f>IF(B267="","",IFERROR(B267/INDEX($B$2:$B$800,MATCH(DATE(YEAR(A267)-1,12,1),$A$2:$A$800,0))-1,""))</f>
        <v/>
      </c>
      <c r="E267" s="115">
        <f>IF(B267="","",IFERROR(B267/INDEX($B$2:$B$800,MATCH(DATE(YEAR(A267)-1,MONTH(A267),1),$A$2:$A$800,0))-1,""))</f>
        <v/>
      </c>
    </row>
    <row r="268">
      <c r="A268" s="114" t="n">
        <v>42644</v>
      </c>
      <c r="B268" s="47" t="n">
        <v>685.489</v>
      </c>
      <c r="C268" s="115">
        <f>IF(OR(B268="",B267=""),"",B268/B267-1)</f>
        <v/>
      </c>
      <c r="D268" s="115">
        <f>IF(B268="","",IFERROR(B268/INDEX($B$2:$B$800,MATCH(DATE(YEAR(A268)-1,12,1),$A$2:$A$800,0))-1,""))</f>
        <v/>
      </c>
      <c r="E268" s="115">
        <f>IF(B268="","",IFERROR(B268/INDEX($B$2:$B$800,MATCH(DATE(YEAR(A268)-1,MONTH(A268),1),$A$2:$A$800,0))-1,""))</f>
        <v/>
      </c>
    </row>
    <row r="269">
      <c r="A269" s="114" t="n">
        <v>42675</v>
      </c>
      <c r="B269" s="47" t="n">
        <v>686.607</v>
      </c>
      <c r="C269" s="115">
        <f>IF(OR(B269="",B268=""),"",B269/B268-1)</f>
        <v/>
      </c>
      <c r="D269" s="115">
        <f>IF(B269="","",IFERROR(B269/INDEX($B$2:$B$800,MATCH(DATE(YEAR(A269)-1,12,1),$A$2:$A$800,0))-1,""))</f>
        <v/>
      </c>
      <c r="E269" s="115">
        <f>IF(B269="","",IFERROR(B269/INDEX($B$2:$B$800,MATCH(DATE(YEAR(A269)-1,MONTH(A269),1),$A$2:$A$800,0))-1,""))</f>
        <v/>
      </c>
    </row>
    <row r="270">
      <c r="A270" s="114" t="n">
        <v>42705</v>
      </c>
      <c r="B270" s="47" t="n">
        <v>688.985</v>
      </c>
      <c r="C270" s="115">
        <f>IF(OR(B270="",B269=""),"",B270/B269-1)</f>
        <v/>
      </c>
      <c r="D270" s="115">
        <f>IF(B270="","",IFERROR(B270/INDEX($B$2:$B$800,MATCH(DATE(YEAR(A270)-1,12,1),$A$2:$A$800,0))-1,""))</f>
        <v/>
      </c>
      <c r="E270" s="115">
        <f>IF(B270="","",IFERROR(B270/INDEX($B$2:$B$800,MATCH(DATE(YEAR(A270)-1,MONTH(A270),1),$A$2:$A$800,0))-1,""))</f>
        <v/>
      </c>
    </row>
    <row r="271">
      <c r="A271" s="114" t="n">
        <v>42736</v>
      </c>
      <c r="B271" s="47" t="n">
        <v>691.792</v>
      </c>
      <c r="C271" s="115">
        <f>IF(OR(B271="",B270=""),"",B271/B270-1)</f>
        <v/>
      </c>
      <c r="D271" s="115">
        <f>IF(B271="","",IFERROR(B271/INDEX($B$2:$B$800,MATCH(DATE(YEAR(A271)-1,12,1),$A$2:$A$800,0))-1,""))</f>
        <v/>
      </c>
      <c r="E271" s="115">
        <f>IF(B271="","",IFERROR(B271/INDEX($B$2:$B$800,MATCH(DATE(YEAR(A271)-1,MONTH(A271),1),$A$2:$A$800,0))-1,""))</f>
        <v/>
      </c>
    </row>
    <row r="272">
      <c r="A272" s="114" t="n">
        <v>42767</v>
      </c>
      <c r="B272" s="47" t="n">
        <v>696.314</v>
      </c>
      <c r="C272" s="115">
        <f>IF(OR(B272="",B271=""),"",B272/B271-1)</f>
        <v/>
      </c>
      <c r="D272" s="115">
        <f>IF(B272="","",IFERROR(B272/INDEX($B$2:$B$800,MATCH(DATE(YEAR(A272)-1,12,1),$A$2:$A$800,0))-1,""))</f>
        <v/>
      </c>
      <c r="E272" s="115">
        <f>IF(B272="","",IFERROR(B272/INDEX($B$2:$B$800,MATCH(DATE(YEAR(A272)-1,MONTH(A272),1),$A$2:$A$800,0))-1,""))</f>
        <v/>
      </c>
    </row>
    <row r="273">
      <c r="A273" s="114" t="n">
        <v>42795</v>
      </c>
      <c r="B273" s="47" t="n">
        <v>697.41</v>
      </c>
      <c r="C273" s="115">
        <f>IF(OR(B273="",B272=""),"",B273/B272-1)</f>
        <v/>
      </c>
      <c r="D273" s="115">
        <f>IF(B273="","",IFERROR(B273/INDEX($B$2:$B$800,MATCH(DATE(YEAR(A273)-1,12,1),$A$2:$A$800,0))-1,""))</f>
        <v/>
      </c>
      <c r="E273" s="115">
        <f>IF(B273="","",IFERROR(B273/INDEX($B$2:$B$800,MATCH(DATE(YEAR(A273)-1,MONTH(A273),1),$A$2:$A$800,0))-1,""))</f>
        <v/>
      </c>
    </row>
    <row r="274">
      <c r="A274" s="114" t="n">
        <v>42826</v>
      </c>
      <c r="B274" s="47" t="n">
        <v>697.244</v>
      </c>
      <c r="C274" s="115">
        <f>IF(OR(B274="",B273=""),"",B274/B273-1)</f>
        <v/>
      </c>
      <c r="D274" s="115">
        <f>IF(B274="","",IFERROR(B274/INDEX($B$2:$B$800,MATCH(DATE(YEAR(A274)-1,12,1),$A$2:$A$800,0))-1,""))</f>
        <v/>
      </c>
      <c r="E274" s="115">
        <f>IF(B274="","",IFERROR(B274/INDEX($B$2:$B$800,MATCH(DATE(YEAR(A274)-1,MONTH(A274),1),$A$2:$A$800,0))-1,""))</f>
        <v/>
      </c>
    </row>
    <row r="275">
      <c r="A275" s="114" t="n">
        <v>42856</v>
      </c>
      <c r="B275" s="47" t="n">
        <v>701.664</v>
      </c>
      <c r="C275" s="115">
        <f>IF(OR(B275="",B274=""),"",B275/B274-1)</f>
        <v/>
      </c>
      <c r="D275" s="115">
        <f>IF(B275="","",IFERROR(B275/INDEX($B$2:$B$800,MATCH(DATE(YEAR(A275)-1,12,1),$A$2:$A$800,0))-1,""))</f>
        <v/>
      </c>
      <c r="E275" s="115">
        <f>IF(B275="","",IFERROR(B275/INDEX($B$2:$B$800,MATCH(DATE(YEAR(A275)-1,MONTH(A275),1),$A$2:$A$800,0))-1,""))</f>
        <v/>
      </c>
    </row>
    <row r="276">
      <c r="A276" s="114" t="n">
        <v>42887</v>
      </c>
      <c r="B276" s="47" t="n">
        <v>708.197</v>
      </c>
      <c r="C276" s="115">
        <f>IF(OR(B276="",B275=""),"",B276/B275-1)</f>
        <v/>
      </c>
      <c r="D276" s="115">
        <f>IF(B276="","",IFERROR(B276/INDEX($B$2:$B$800,MATCH(DATE(YEAR(A276)-1,12,1),$A$2:$A$800,0))-1,""))</f>
        <v/>
      </c>
      <c r="E276" s="115">
        <f>IF(B276="","",IFERROR(B276/INDEX($B$2:$B$800,MATCH(DATE(YEAR(A276)-1,MONTH(A276),1),$A$2:$A$800,0))-1,""))</f>
        <v/>
      </c>
    </row>
    <row r="277">
      <c r="A277" s="114" t="n">
        <v>42917</v>
      </c>
      <c r="B277" s="47" t="n">
        <v>710.355</v>
      </c>
      <c r="C277" s="115">
        <f>IF(OR(B277="",B276=""),"",B277/B276-1)</f>
        <v/>
      </c>
      <c r="D277" s="115">
        <f>IF(B277="","",IFERROR(B277/INDEX($B$2:$B$800,MATCH(DATE(YEAR(A277)-1,12,1),$A$2:$A$800,0))-1,""))</f>
        <v/>
      </c>
      <c r="E277" s="115">
        <f>IF(B277="","",IFERROR(B277/INDEX($B$2:$B$800,MATCH(DATE(YEAR(A277)-1,MONTH(A277),1),$A$2:$A$800,0))-1,""))</f>
        <v/>
      </c>
    </row>
    <row r="278">
      <c r="A278" s="114" t="n">
        <v>42948</v>
      </c>
      <c r="B278" s="47" t="n">
        <v>712.884</v>
      </c>
      <c r="C278" s="115">
        <f>IF(OR(B278="",B277=""),"",B278/B277-1)</f>
        <v/>
      </c>
      <c r="D278" s="115">
        <f>IF(B278="","",IFERROR(B278/INDEX($B$2:$B$800,MATCH(DATE(YEAR(A278)-1,12,1),$A$2:$A$800,0))-1,""))</f>
        <v/>
      </c>
      <c r="E278" s="115">
        <f>IF(B278="","",IFERROR(B278/INDEX($B$2:$B$800,MATCH(DATE(YEAR(A278)-1,MONTH(A278),1),$A$2:$A$800,0))-1,""))</f>
        <v/>
      </c>
    </row>
    <row r="279">
      <c r="A279" s="114" t="n">
        <v>42979</v>
      </c>
      <c r="B279" s="47" t="n">
        <v>713.33</v>
      </c>
      <c r="C279" s="115">
        <f>IF(OR(B279="",B278=""),"",B279/B278-1)</f>
        <v/>
      </c>
      <c r="D279" s="115">
        <f>IF(B279="","",IFERROR(B279/INDEX($B$2:$B$800,MATCH(DATE(YEAR(A279)-1,12,1),$A$2:$A$800,0))-1,""))</f>
        <v/>
      </c>
      <c r="E279" s="115">
        <f>IF(B279="","",IFERROR(B279/INDEX($B$2:$B$800,MATCH(DATE(YEAR(A279)-1,MONTH(A279),1),$A$2:$A$800,0))-1,""))</f>
        <v/>
      </c>
    </row>
    <row r="280">
      <c r="A280" s="114" t="n">
        <v>43009</v>
      </c>
      <c r="B280" s="47" t="n">
        <v>715.527</v>
      </c>
      <c r="C280" s="115">
        <f>IF(OR(B280="",B279=""),"",B280/B279-1)</f>
        <v/>
      </c>
      <c r="D280" s="115">
        <f>IF(B280="","",IFERROR(B280/INDEX($B$2:$B$800,MATCH(DATE(YEAR(A280)-1,12,1),$A$2:$A$800,0))-1,""))</f>
        <v/>
      </c>
      <c r="E280" s="115">
        <f>IF(B280="","",IFERROR(B280/INDEX($B$2:$B$800,MATCH(DATE(YEAR(A280)-1,MONTH(A280),1),$A$2:$A$800,0))-1,""))</f>
        <v/>
      </c>
    </row>
    <row r="281">
      <c r="A281" s="114" t="n">
        <v>43040</v>
      </c>
      <c r="B281" s="47" t="n">
        <v>717.751</v>
      </c>
      <c r="C281" s="115">
        <f>IF(OR(B281="",B280=""),"",B281/B280-1)</f>
        <v/>
      </c>
      <c r="D281" s="115">
        <f>IF(B281="","",IFERROR(B281/INDEX($B$2:$B$800,MATCH(DATE(YEAR(A281)-1,12,1),$A$2:$A$800,0))-1,""))</f>
        <v/>
      </c>
      <c r="E281" s="115">
        <f>IF(B281="","",IFERROR(B281/INDEX($B$2:$B$800,MATCH(DATE(YEAR(A281)-1,MONTH(A281),1),$A$2:$A$800,0))-1,""))</f>
        <v/>
      </c>
    </row>
    <row r="282">
      <c r="A282" s="114" t="n">
        <v>43070</v>
      </c>
      <c r="B282" s="47" t="n">
        <v>718.276</v>
      </c>
      <c r="C282" s="115">
        <f>IF(OR(B282="",B281=""),"",B282/B281-1)</f>
        <v/>
      </c>
      <c r="D282" s="115">
        <f>IF(B282="","",IFERROR(B282/INDEX($B$2:$B$800,MATCH(DATE(YEAR(A282)-1,12,1),$A$2:$A$800,0))-1,""))</f>
        <v/>
      </c>
      <c r="E282" s="115">
        <f>IF(B282="","",IFERROR(B282/INDEX($B$2:$B$800,MATCH(DATE(YEAR(A282)-1,MONTH(A282),1),$A$2:$A$800,0))-1,""))</f>
        <v/>
      </c>
    </row>
    <row r="283">
      <c r="A283" s="114" t="n">
        <v>43101</v>
      </c>
      <c r="B283" s="47" t="n">
        <v>720.495</v>
      </c>
      <c r="C283" s="115">
        <f>IF(OR(B283="",B282=""),"",B283/B282-1)</f>
        <v/>
      </c>
      <c r="D283" s="115">
        <f>IF(B283="","",IFERROR(B283/INDEX($B$2:$B$800,MATCH(DATE(YEAR(A283)-1,12,1),$A$2:$A$800,0))-1,""))</f>
        <v/>
      </c>
      <c r="E283" s="115">
        <f>IF(B283="","",IFERROR(B283/INDEX($B$2:$B$800,MATCH(DATE(YEAR(A283)-1,MONTH(A283),1),$A$2:$A$800,0))-1,""))</f>
        <v/>
      </c>
    </row>
    <row r="284">
      <c r="A284" s="114" t="n">
        <v>43132</v>
      </c>
      <c r="B284" s="47" t="n">
        <v>721.414</v>
      </c>
      <c r="C284" s="115">
        <f>IF(OR(B284="",B283=""),"",B284/B283-1)</f>
        <v/>
      </c>
      <c r="D284" s="115">
        <f>IF(B284="","",IFERROR(B284/INDEX($B$2:$B$800,MATCH(DATE(YEAR(A284)-1,12,1),$A$2:$A$800,0))-1,""))</f>
        <v/>
      </c>
      <c r="E284" s="115">
        <f>IF(B284="","",IFERROR(B284/INDEX($B$2:$B$800,MATCH(DATE(YEAR(A284)-1,MONTH(A284),1),$A$2:$A$800,0))-1,""))</f>
        <v/>
      </c>
    </row>
    <row r="285">
      <c r="A285" s="114" t="n">
        <v>43160</v>
      </c>
      <c r="B285" s="47" t="n">
        <v>723.163</v>
      </c>
      <c r="C285" s="115">
        <f>IF(OR(B285="",B284=""),"",B285/B284-1)</f>
        <v/>
      </c>
      <c r="D285" s="115">
        <f>IF(B285="","",IFERROR(B285/INDEX($B$2:$B$800,MATCH(DATE(YEAR(A285)-1,12,1),$A$2:$A$800,0))-1,""))</f>
        <v/>
      </c>
      <c r="E285" s="115">
        <f>IF(B285="","",IFERROR(B285/INDEX($B$2:$B$800,MATCH(DATE(YEAR(A285)-1,MONTH(A285),1),$A$2:$A$800,0))-1,""))</f>
        <v/>
      </c>
    </row>
    <row r="286">
      <c r="A286" s="114" t="n">
        <v>43191</v>
      </c>
      <c r="B286" s="47" t="n">
        <v>725.245</v>
      </c>
      <c r="C286" s="115">
        <f>IF(OR(B286="",B285=""),"",B286/B285-1)</f>
        <v/>
      </c>
      <c r="D286" s="115">
        <f>IF(B286="","",IFERROR(B286/INDEX($B$2:$B$800,MATCH(DATE(YEAR(A286)-1,12,1),$A$2:$A$800,0))-1,""))</f>
        <v/>
      </c>
      <c r="E286" s="115">
        <f>IF(B286="","",IFERROR(B286/INDEX($B$2:$B$800,MATCH(DATE(YEAR(A286)-1,MONTH(A286),1),$A$2:$A$800,0))-1,""))</f>
        <v/>
      </c>
    </row>
    <row r="287">
      <c r="A287" s="114" t="n">
        <v>43221</v>
      </c>
      <c r="B287" s="47" t="n">
        <v>726.923</v>
      </c>
      <c r="C287" s="115">
        <f>IF(OR(B287="",B286=""),"",B287/B286-1)</f>
        <v/>
      </c>
      <c r="D287" s="115">
        <f>IF(B287="","",IFERROR(B287/INDEX($B$2:$B$800,MATCH(DATE(YEAR(A287)-1,12,1),$A$2:$A$800,0))-1,""))</f>
        <v/>
      </c>
      <c r="E287" s="115">
        <f>IF(B287="","",IFERROR(B287/INDEX($B$2:$B$800,MATCH(DATE(YEAR(A287)-1,MONTH(A287),1),$A$2:$A$800,0))-1,""))</f>
        <v/>
      </c>
    </row>
    <row r="288">
      <c r="A288" s="114" t="n">
        <v>43252</v>
      </c>
      <c r="B288" s="47" t="n">
        <v>733.984</v>
      </c>
      <c r="C288" s="115">
        <f>IF(OR(B288="",B287=""),"",B288/B287-1)</f>
        <v/>
      </c>
      <c r="D288" s="115">
        <f>IF(B288="","",IFERROR(B288/INDEX($B$2:$B$800,MATCH(DATE(YEAR(A288)-1,12,1),$A$2:$A$800,0))-1,""))</f>
        <v/>
      </c>
      <c r="E288" s="115">
        <f>IF(B288="","",IFERROR(B288/INDEX($B$2:$B$800,MATCH(DATE(YEAR(A288)-1,MONTH(A288),1),$A$2:$A$800,0))-1,""))</f>
        <v/>
      </c>
    </row>
    <row r="289">
      <c r="A289" s="114" t="n">
        <v>43282</v>
      </c>
      <c r="B289" s="47" t="n">
        <v>738.487</v>
      </c>
      <c r="C289" s="115">
        <f>IF(OR(B289="",B288=""),"",B289/B288-1)</f>
        <v/>
      </c>
      <c r="D289" s="115">
        <f>IF(B289="","",IFERROR(B289/INDEX($B$2:$B$800,MATCH(DATE(YEAR(A289)-1,12,1),$A$2:$A$800,0))-1,""))</f>
        <v/>
      </c>
      <c r="E289" s="115">
        <f>IF(B289="","",IFERROR(B289/INDEX($B$2:$B$800,MATCH(DATE(YEAR(A289)-1,MONTH(A289),1),$A$2:$A$800,0))-1,""))</f>
        <v/>
      </c>
    </row>
    <row r="290">
      <c r="A290" s="114" t="n">
        <v>43313</v>
      </c>
      <c r="B290" s="47" t="n">
        <v>739.583</v>
      </c>
      <c r="C290" s="115">
        <f>IF(OR(B290="",B289=""),"",B290/B289-1)</f>
        <v/>
      </c>
      <c r="D290" s="115">
        <f>IF(B290="","",IFERROR(B290/INDEX($B$2:$B$800,MATCH(DATE(YEAR(A290)-1,12,1),$A$2:$A$800,0))-1,""))</f>
        <v/>
      </c>
      <c r="E290" s="115">
        <f>IF(B290="","",IFERROR(B290/INDEX($B$2:$B$800,MATCH(DATE(YEAR(A290)-1,MONTH(A290),1),$A$2:$A$800,0))-1,""))</f>
        <v/>
      </c>
    </row>
    <row r="291">
      <c r="A291" s="114" t="n">
        <v>43344</v>
      </c>
      <c r="B291" s="47" t="n">
        <v>741.3049999999999</v>
      </c>
      <c r="C291" s="115">
        <f>IF(OR(B291="",B290=""),"",B291/B290-1)</f>
        <v/>
      </c>
      <c r="D291" s="115">
        <f>IF(B291="","",IFERROR(B291/INDEX($B$2:$B$800,MATCH(DATE(YEAR(A291)-1,12,1),$A$2:$A$800,0))-1,""))</f>
        <v/>
      </c>
      <c r="E291" s="115">
        <f>IF(B291="","",IFERROR(B291/INDEX($B$2:$B$800,MATCH(DATE(YEAR(A291)-1,MONTH(A291),1),$A$2:$A$800,0))-1,""))</f>
        <v/>
      </c>
    </row>
    <row r="292">
      <c r="A292" s="114" t="n">
        <v>43374</v>
      </c>
      <c r="B292" s="47" t="n">
        <v>743.866</v>
      </c>
      <c r="C292" s="115">
        <f>IF(OR(B292="",B291=""),"",B292/B291-1)</f>
        <v/>
      </c>
      <c r="D292" s="115">
        <f>IF(B292="","",IFERROR(B292/INDEX($B$2:$B$800,MATCH(DATE(YEAR(A292)-1,12,1),$A$2:$A$800,0))-1,""))</f>
        <v/>
      </c>
      <c r="E292" s="115">
        <f>IF(B292="","",IFERROR(B292/INDEX($B$2:$B$800,MATCH(DATE(YEAR(A292)-1,MONTH(A292),1),$A$2:$A$800,0))-1,""))</f>
        <v/>
      </c>
    </row>
    <row r="293">
      <c r="A293" s="114" t="n">
        <v>43405</v>
      </c>
      <c r="B293" s="47" t="n">
        <v>744.865</v>
      </c>
      <c r="C293" s="115">
        <f>IF(OR(B293="",B292=""),"",B293/B292-1)</f>
        <v/>
      </c>
      <c r="D293" s="115">
        <f>IF(B293="","",IFERROR(B293/INDEX($B$2:$B$800,MATCH(DATE(YEAR(A293)-1,12,1),$A$2:$A$800,0))-1,""))</f>
        <v/>
      </c>
      <c r="E293" s="115">
        <f>IF(B293="","",IFERROR(B293/INDEX($B$2:$B$800,MATCH(DATE(YEAR(A293)-1,MONTH(A293),1),$A$2:$A$800,0))-1,""))</f>
        <v/>
      </c>
    </row>
    <row r="294">
      <c r="A294" s="114" t="n">
        <v>43435</v>
      </c>
      <c r="B294" s="47" t="n">
        <v>745.856</v>
      </c>
      <c r="C294" s="115">
        <f>IF(OR(B294="",B293=""),"",B294/B293-1)</f>
        <v/>
      </c>
      <c r="D294" s="115">
        <f>IF(B294="","",IFERROR(B294/INDEX($B$2:$B$800,MATCH(DATE(YEAR(A294)-1,12,1),$A$2:$A$800,0))-1,""))</f>
        <v/>
      </c>
      <c r="E294" s="115">
        <f>IF(B294="","",IFERROR(B294/INDEX($B$2:$B$800,MATCH(DATE(YEAR(A294)-1,MONTH(A294),1),$A$2:$A$800,0))-1,""))</f>
        <v/>
      </c>
    </row>
    <row r="295">
      <c r="A295" s="114" t="n">
        <v>43466</v>
      </c>
      <c r="B295" s="47" t="n">
        <v>749.5170000000001</v>
      </c>
      <c r="C295" s="115">
        <f>IF(OR(B295="",B294=""),"",B295/B294-1)</f>
        <v/>
      </c>
      <c r="D295" s="115">
        <f>IF(B295="","",IFERROR(B295/INDEX($B$2:$B$800,MATCH(DATE(YEAR(A295)-1,12,1),$A$2:$A$800,0))-1,""))</f>
        <v/>
      </c>
      <c r="E295" s="115">
        <f>IF(B295="","",IFERROR(B295/INDEX($B$2:$B$800,MATCH(DATE(YEAR(A295)-1,MONTH(A295),1),$A$2:$A$800,0))-1,""))</f>
        <v/>
      </c>
    </row>
    <row r="296">
      <c r="A296" s="114" t="n">
        <v>43497</v>
      </c>
      <c r="B296" s="47" t="n">
        <v>750.1799999999999</v>
      </c>
      <c r="C296" s="115">
        <f>IF(OR(B296="",B295=""),"",B296/B295-1)</f>
        <v/>
      </c>
      <c r="D296" s="115">
        <f>IF(B296="","",IFERROR(B296/INDEX($B$2:$B$800,MATCH(DATE(YEAR(A296)-1,12,1),$A$2:$A$800,0))-1,""))</f>
        <v/>
      </c>
      <c r="E296" s="115">
        <f>IF(B296="","",IFERROR(B296/INDEX($B$2:$B$800,MATCH(DATE(YEAR(A296)-1,MONTH(A296),1),$A$2:$A$800,0))-1,""))</f>
        <v/>
      </c>
    </row>
    <row r="297">
      <c r="A297" s="114" t="n">
        <v>43525</v>
      </c>
      <c r="B297" s="47" t="n">
        <v>752.524</v>
      </c>
      <c r="C297" s="115">
        <f>IF(OR(B297="",B296=""),"",B297/B296-1)</f>
        <v/>
      </c>
      <c r="D297" s="115">
        <f>IF(B297="","",IFERROR(B297/INDEX($B$2:$B$800,MATCH(DATE(YEAR(A297)-1,12,1),$A$2:$A$800,0))-1,""))</f>
        <v/>
      </c>
      <c r="E297" s="115">
        <f>IF(B297="","",IFERROR(B297/INDEX($B$2:$B$800,MATCH(DATE(YEAR(A297)-1,MONTH(A297),1),$A$2:$A$800,0))-1,""))</f>
        <v/>
      </c>
    </row>
    <row r="298">
      <c r="A298" s="114" t="n">
        <v>43556</v>
      </c>
      <c r="B298" s="47" t="n">
        <v>755.373</v>
      </c>
      <c r="C298" s="115">
        <f>IF(OR(B298="",B297=""),"",B298/B297-1)</f>
        <v/>
      </c>
      <c r="D298" s="115">
        <f>IF(B298="","",IFERROR(B298/INDEX($B$2:$B$800,MATCH(DATE(YEAR(A298)-1,12,1),$A$2:$A$800,0))-1,""))</f>
        <v/>
      </c>
      <c r="E298" s="115">
        <f>IF(B298="","",IFERROR(B298/INDEX($B$2:$B$800,MATCH(DATE(YEAR(A298)-1,MONTH(A298),1),$A$2:$A$800,0))-1,""))</f>
        <v/>
      </c>
    </row>
    <row r="299">
      <c r="A299" s="114" t="n">
        <v>43586</v>
      </c>
      <c r="B299" s="47" t="n">
        <v>755.625</v>
      </c>
      <c r="C299" s="115">
        <f>IF(OR(B299="",B298=""),"",B299/B298-1)</f>
        <v/>
      </c>
      <c r="D299" s="115">
        <f>IF(B299="","",IFERROR(B299/INDEX($B$2:$B$800,MATCH(DATE(YEAR(A299)-1,12,1),$A$2:$A$800,0))-1,""))</f>
        <v/>
      </c>
      <c r="E299" s="115">
        <f>IF(B299="","",IFERROR(B299/INDEX($B$2:$B$800,MATCH(DATE(YEAR(A299)-1,MONTH(A299),1),$A$2:$A$800,0))-1,""))</f>
        <v/>
      </c>
    </row>
    <row r="300">
      <c r="A300" s="114" t="n">
        <v>43617</v>
      </c>
      <c r="B300" s="47" t="n">
        <v>762.304</v>
      </c>
      <c r="C300" s="115">
        <f>IF(OR(B300="",B299=""),"",B300/B299-1)</f>
        <v/>
      </c>
      <c r="D300" s="115">
        <f>IF(B300="","",IFERROR(B300/INDEX($B$2:$B$800,MATCH(DATE(YEAR(A300)-1,12,1),$A$2:$A$800,0))-1,""))</f>
        <v/>
      </c>
      <c r="E300" s="115">
        <f>IF(B300="","",IFERROR(B300/INDEX($B$2:$B$800,MATCH(DATE(YEAR(A300)-1,MONTH(A300),1),$A$2:$A$800,0))-1,""))</f>
        <v/>
      </c>
    </row>
    <row r="301">
      <c r="A301" s="114" t="n">
        <v>43647</v>
      </c>
      <c r="B301" s="47" t="n">
        <v>766.699</v>
      </c>
      <c r="C301" s="115">
        <f>IF(OR(B301="",B300=""),"",B301/B300-1)</f>
        <v/>
      </c>
      <c r="D301" s="115">
        <f>IF(B301="","",IFERROR(B301/INDEX($B$2:$B$800,MATCH(DATE(YEAR(A301)-1,12,1),$A$2:$A$800,0))-1,""))</f>
        <v/>
      </c>
      <c r="E301" s="115">
        <f>IF(B301="","",IFERROR(B301/INDEX($B$2:$B$800,MATCH(DATE(YEAR(A301)-1,MONTH(A301),1),$A$2:$A$800,0))-1,""))</f>
        <v/>
      </c>
    </row>
    <row r="302">
      <c r="A302" s="114" t="n">
        <v>43678</v>
      </c>
      <c r="B302" s="47" t="n">
        <v>769.951</v>
      </c>
      <c r="C302" s="115">
        <f>IF(OR(B302="",B301=""),"",B302/B301-1)</f>
        <v/>
      </c>
      <c r="D302" s="115">
        <f>IF(B302="","",IFERROR(B302/INDEX($B$2:$B$800,MATCH(DATE(YEAR(A302)-1,12,1),$A$2:$A$800,0))-1,""))</f>
        <v/>
      </c>
      <c r="E302" s="115">
        <f>IF(B302="","",IFERROR(B302/INDEX($B$2:$B$800,MATCH(DATE(YEAR(A302)-1,MONTH(A302),1),$A$2:$A$800,0))-1,""))</f>
        <v/>
      </c>
    </row>
    <row r="303">
      <c r="A303" s="114" t="n">
        <v>43709</v>
      </c>
      <c r="B303" s="47" t="n">
        <v>773.52</v>
      </c>
      <c r="C303" s="115">
        <f>IF(OR(B303="",B302=""),"",B303/B302-1)</f>
        <v/>
      </c>
      <c r="D303" s="115">
        <f>IF(B303="","",IFERROR(B303/INDEX($B$2:$B$800,MATCH(DATE(YEAR(A303)-1,12,1),$A$2:$A$800,0))-1,""))</f>
        <v/>
      </c>
      <c r="E303" s="115">
        <f>IF(B303="","",IFERROR(B303/INDEX($B$2:$B$800,MATCH(DATE(YEAR(A303)-1,MONTH(A303),1),$A$2:$A$800,0))-1,""))</f>
        <v/>
      </c>
    </row>
    <row r="304">
      <c r="A304" s="114" t="n">
        <v>43739</v>
      </c>
      <c r="B304" s="47" t="n">
        <v>774.939</v>
      </c>
      <c r="C304" s="115">
        <f>IF(OR(B304="",B303=""),"",B304/B303-1)</f>
        <v/>
      </c>
      <c r="D304" s="115">
        <f>IF(B304="","",IFERROR(B304/INDEX($B$2:$B$800,MATCH(DATE(YEAR(A304)-1,12,1),$A$2:$A$800,0))-1,""))</f>
        <v/>
      </c>
      <c r="E304" s="115">
        <f>IF(B304="","",IFERROR(B304/INDEX($B$2:$B$800,MATCH(DATE(YEAR(A304)-1,MONTH(A304),1),$A$2:$A$800,0))-1,""))</f>
        <v/>
      </c>
    </row>
    <row r="305">
      <c r="A305" s="114" t="n">
        <v>43770</v>
      </c>
      <c r="B305" s="47" t="n">
        <v>775.225</v>
      </c>
      <c r="C305" s="115">
        <f>IF(OR(B305="",B304=""),"",B305/B304-1)</f>
        <v/>
      </c>
      <c r="D305" s="115">
        <f>IF(B305="","",IFERROR(B305/INDEX($B$2:$B$800,MATCH(DATE(YEAR(A305)-1,12,1),$A$2:$A$800,0))-1,""))</f>
        <v/>
      </c>
      <c r="E305" s="115">
        <f>IF(B305="","",IFERROR(B305/INDEX($B$2:$B$800,MATCH(DATE(YEAR(A305)-1,MONTH(A305),1),$A$2:$A$800,0))-1,""))</f>
        <v/>
      </c>
    </row>
    <row r="306">
      <c r="A306" s="114" t="n">
        <v>43800</v>
      </c>
      <c r="B306" s="47" t="n">
        <v>776.8390000000001</v>
      </c>
      <c r="C306" s="115">
        <f>IF(OR(B306="",B305=""),"",B306/B305-1)</f>
        <v/>
      </c>
      <c r="D306" s="115">
        <f>IF(B306="","",IFERROR(B306/INDEX($B$2:$B$800,MATCH(DATE(YEAR(A306)-1,12,1),$A$2:$A$800,0))-1,""))</f>
        <v/>
      </c>
      <c r="E306" s="115">
        <f>IF(B306="","",IFERROR(B306/INDEX($B$2:$B$800,MATCH(DATE(YEAR(A306)-1,MONTH(A306),1),$A$2:$A$800,0))-1,""))</f>
        <v/>
      </c>
    </row>
    <row r="307">
      <c r="A307" s="114" t="n">
        <v>43831</v>
      </c>
      <c r="B307" s="47" t="n">
        <v>779.766</v>
      </c>
      <c r="C307" s="115">
        <f>IF(OR(B307="",B306=""),"",B307/B306-1)</f>
        <v/>
      </c>
      <c r="D307" s="115">
        <f>IF(B307="","",IFERROR(B307/INDEX($B$2:$B$800,MATCH(DATE(YEAR(A307)-1,12,1),$A$2:$A$800,0))-1,""))</f>
        <v/>
      </c>
      <c r="E307" s="115">
        <f>IF(B307="","",IFERROR(B307/INDEX($B$2:$B$800,MATCH(DATE(YEAR(A307)-1,MONTH(A307),1),$A$2:$A$800,0))-1,""))</f>
        <v/>
      </c>
    </row>
    <row r="308">
      <c r="A308" s="114" t="n">
        <v>43862</v>
      </c>
      <c r="B308" s="47" t="n">
        <v>782.336</v>
      </c>
      <c r="C308" s="115">
        <f>IF(OR(B308="",B307=""),"",B308/B307-1)</f>
        <v/>
      </c>
      <c r="D308" s="115">
        <f>IF(B308="","",IFERROR(B308/INDEX($B$2:$B$800,MATCH(DATE(YEAR(A308)-1,12,1),$A$2:$A$800,0))-1,""))</f>
        <v/>
      </c>
      <c r="E308" s="115">
        <f>IF(B308="","",IFERROR(B308/INDEX($B$2:$B$800,MATCH(DATE(YEAR(A308)-1,MONTH(A308),1),$A$2:$A$800,0))-1,""))</f>
        <v/>
      </c>
    </row>
    <row r="309">
      <c r="A309" s="114" t="n">
        <v>43891</v>
      </c>
      <c r="B309" s="47" t="n">
        <v>784.338</v>
      </c>
      <c r="C309" s="115">
        <f>IF(OR(B309="",B308=""),"",B309/B308-1)</f>
        <v/>
      </c>
      <c r="D309" s="115">
        <f>IF(B309="","",IFERROR(B309/INDEX($B$2:$B$800,MATCH(DATE(YEAR(A309)-1,12,1),$A$2:$A$800,0))-1,""))</f>
        <v/>
      </c>
      <c r="E309" s="115">
        <f>IF(B309="","",IFERROR(B309/INDEX($B$2:$B$800,MATCH(DATE(YEAR(A309)-1,MONTH(A309),1),$A$2:$A$800,0))-1,""))</f>
        <v/>
      </c>
    </row>
    <row r="310">
      <c r="A310" s="114" t="n">
        <v>43922</v>
      </c>
      <c r="B310" s="47" t="n">
        <v>786.0700000000001</v>
      </c>
      <c r="C310" s="115">
        <f>IF(OR(B310="",B309=""),"",B310/B309-1)</f>
        <v/>
      </c>
      <c r="D310" s="115">
        <f>IF(B310="","",IFERROR(B310/INDEX($B$2:$B$800,MATCH(DATE(YEAR(A310)-1,12,1),$A$2:$A$800,0))-1,""))</f>
        <v/>
      </c>
      <c r="E310" s="115">
        <f>IF(B310="","",IFERROR(B310/INDEX($B$2:$B$800,MATCH(DATE(YEAR(A310)-1,MONTH(A310),1),$A$2:$A$800,0))-1,""))</f>
        <v/>
      </c>
    </row>
    <row r="311">
      <c r="A311" s="114" t="n">
        <v>43952</v>
      </c>
      <c r="B311" s="47" t="n">
        <v>787.6660000000001</v>
      </c>
      <c r="C311" s="115">
        <f>IF(OR(B311="",B310=""),"",B311/B310-1)</f>
        <v/>
      </c>
      <c r="D311" s="115">
        <f>IF(B311="","",IFERROR(B311/INDEX($B$2:$B$800,MATCH(DATE(YEAR(A311)-1,12,1),$A$2:$A$800,0))-1,""))</f>
        <v/>
      </c>
      <c r="E311" s="115">
        <f>IF(B311="","",IFERROR(B311/INDEX($B$2:$B$800,MATCH(DATE(YEAR(A311)-1,MONTH(A311),1),$A$2:$A$800,0))-1,""))</f>
        <v/>
      </c>
    </row>
    <row r="312">
      <c r="A312" s="114" t="n">
        <v>43983</v>
      </c>
      <c r="B312" s="47" t="n">
        <v>790.331</v>
      </c>
      <c r="C312" s="115">
        <f>IF(OR(B312="",B311=""),"",B312/B311-1)</f>
        <v/>
      </c>
      <c r="D312" s="115">
        <f>IF(B312="","",IFERROR(B312/INDEX($B$2:$B$800,MATCH(DATE(YEAR(A312)-1,12,1),$A$2:$A$800,0))-1,""))</f>
        <v/>
      </c>
      <c r="E312" s="115">
        <f>IF(B312="","",IFERROR(B312/INDEX($B$2:$B$800,MATCH(DATE(YEAR(A312)-1,MONTH(A312),1),$A$2:$A$800,0))-1,""))</f>
        <v/>
      </c>
    </row>
    <row r="313">
      <c r="A313" s="114" t="n">
        <v>44013</v>
      </c>
      <c r="B313" s="47" t="n">
        <v>799.5890000000001</v>
      </c>
      <c r="C313" s="115">
        <f>IF(OR(B313="",B312=""),"",B313/B312-1)</f>
        <v/>
      </c>
      <c r="D313" s="115">
        <f>IF(B313="","",IFERROR(B313/INDEX($B$2:$B$800,MATCH(DATE(YEAR(A313)-1,12,1),$A$2:$A$800,0))-1,""))</f>
        <v/>
      </c>
      <c r="E313" s="115">
        <f>IF(B313="","",IFERROR(B313/INDEX($B$2:$B$800,MATCH(DATE(YEAR(A313)-1,MONTH(A313),1),$A$2:$A$800,0))-1,""))</f>
        <v/>
      </c>
    </row>
    <row r="314">
      <c r="A314" s="114" t="n">
        <v>44044</v>
      </c>
      <c r="B314" s="47" t="n">
        <v>805.356</v>
      </c>
      <c r="C314" s="115">
        <f>IF(OR(B314="",B313=""),"",B314/B313-1)</f>
        <v/>
      </c>
      <c r="D314" s="115">
        <f>IF(B314="","",IFERROR(B314/INDEX($B$2:$B$800,MATCH(DATE(YEAR(A314)-1,12,1),$A$2:$A$800,0))-1,""))</f>
        <v/>
      </c>
      <c r="E314" s="115">
        <f>IF(B314="","",IFERROR(B314/INDEX($B$2:$B$800,MATCH(DATE(YEAR(A314)-1,MONTH(A314),1),$A$2:$A$800,0))-1,""))</f>
        <v/>
      </c>
    </row>
    <row r="315">
      <c r="A315" s="114" t="n">
        <v>44075</v>
      </c>
      <c r="B315" s="47" t="n">
        <v>814.701</v>
      </c>
      <c r="C315" s="115">
        <f>IF(OR(B315="",B314=""),"",B315/B314-1)</f>
        <v/>
      </c>
      <c r="D315" s="115">
        <f>IF(B315="","",IFERROR(B315/INDEX($B$2:$B$800,MATCH(DATE(YEAR(A315)-1,12,1),$A$2:$A$800,0))-1,""))</f>
        <v/>
      </c>
      <c r="E315" s="115">
        <f>IF(B315="","",IFERROR(B315/INDEX($B$2:$B$800,MATCH(DATE(YEAR(A315)-1,MONTH(A315),1),$A$2:$A$800,0))-1,""))</f>
        <v/>
      </c>
    </row>
    <row r="316">
      <c r="A316" s="114" t="n">
        <v>44105</v>
      </c>
      <c r="B316" s="47" t="n">
        <v>828.778</v>
      </c>
      <c r="C316" s="115">
        <f>IF(OR(B316="",B315=""),"",B316/B315-1)</f>
        <v/>
      </c>
      <c r="D316" s="115">
        <f>IF(B316="","",IFERROR(B316/INDEX($B$2:$B$800,MATCH(DATE(YEAR(A316)-1,12,1),$A$2:$A$800,0))-1,""))</f>
        <v/>
      </c>
      <c r="E316" s="115">
        <f>IF(B316="","",IFERROR(B316/INDEX($B$2:$B$800,MATCH(DATE(YEAR(A316)-1,MONTH(A316),1),$A$2:$A$800,0))-1,""))</f>
        <v/>
      </c>
    </row>
    <row r="317">
      <c r="A317" s="114" t="n">
        <v>44136</v>
      </c>
      <c r="B317" s="47" t="n">
        <v>839.3819999999999</v>
      </c>
      <c r="C317" s="115">
        <f>IF(OR(B317="",B316=""),"",B317/B316-1)</f>
        <v/>
      </c>
      <c r="D317" s="115">
        <f>IF(B317="","",IFERROR(B317/INDEX($B$2:$B$800,MATCH(DATE(YEAR(A317)-1,12,1),$A$2:$A$800,0))-1,""))</f>
        <v/>
      </c>
      <c r="E317" s="115">
        <f>IF(B317="","",IFERROR(B317/INDEX($B$2:$B$800,MATCH(DATE(YEAR(A317)-1,MONTH(A317),1),$A$2:$A$800,0))-1,""))</f>
        <v/>
      </c>
    </row>
    <row r="318">
      <c r="A318" s="114" t="n">
        <v>44166</v>
      </c>
      <c r="B318" s="47" t="n">
        <v>845.268</v>
      </c>
      <c r="C318" s="115">
        <f>IF(OR(B318="",B317=""),"",B318/B317-1)</f>
        <v/>
      </c>
      <c r="D318" s="115">
        <f>IF(B318="","",IFERROR(B318/INDEX($B$2:$B$800,MATCH(DATE(YEAR(A318)-1,12,1),$A$2:$A$800,0))-1,""))</f>
        <v/>
      </c>
      <c r="E318" s="115">
        <f>IF(B318="","",IFERROR(B318/INDEX($B$2:$B$800,MATCH(DATE(YEAR(A318)-1,MONTH(A318),1),$A$2:$A$800,0))-1,""))</f>
        <v/>
      </c>
    </row>
    <row r="319">
      <c r="A319" s="114" t="n">
        <v>44197</v>
      </c>
      <c r="B319" s="47" t="n">
        <v>852.809</v>
      </c>
      <c r="C319" s="115">
        <f>IF(OR(B319="",B318=""),"",B319/B318-1)</f>
        <v/>
      </c>
      <c r="D319" s="115">
        <f>IF(B319="","",IFERROR(B319/INDEX($B$2:$B$800,MATCH(DATE(YEAR(A319)-1,12,1),$A$2:$A$800,0))-1,""))</f>
        <v/>
      </c>
      <c r="E319" s="115">
        <f>IF(B319="","",IFERROR(B319/INDEX($B$2:$B$800,MATCH(DATE(YEAR(A319)-1,MONTH(A319),1),$A$2:$A$800,0))-1,""))</f>
        <v/>
      </c>
    </row>
    <row r="320">
      <c r="A320" s="114" t="n">
        <v>44228</v>
      </c>
      <c r="B320" s="47" t="n">
        <v>868.929</v>
      </c>
      <c r="C320" s="115">
        <f>IF(OR(B320="",B319=""),"",B320/B319-1)</f>
        <v/>
      </c>
      <c r="D320" s="115">
        <f>IF(B320="","",IFERROR(B320/INDEX($B$2:$B$800,MATCH(DATE(YEAR(A320)-1,12,1),$A$2:$A$800,0))-1,""))</f>
        <v/>
      </c>
      <c r="E320" s="115">
        <f>IF(B320="","",IFERROR(B320/INDEX($B$2:$B$800,MATCH(DATE(YEAR(A320)-1,MONTH(A320),1),$A$2:$A$800,0))-1,""))</f>
        <v/>
      </c>
    </row>
    <row r="321">
      <c r="A321" s="114" t="n">
        <v>44256</v>
      </c>
      <c r="B321" s="47" t="n">
        <v>880.265</v>
      </c>
      <c r="C321" s="115">
        <f>IF(OR(B321="",B320=""),"",B321/B320-1)</f>
        <v/>
      </c>
      <c r="D321" s="115">
        <f>IF(B321="","",IFERROR(B321/INDEX($B$2:$B$800,MATCH(DATE(YEAR(A321)-1,12,1),$A$2:$A$800,0))-1,""))</f>
        <v/>
      </c>
      <c r="E321" s="115">
        <f>IF(B321="","",IFERROR(B321/INDEX($B$2:$B$800,MATCH(DATE(YEAR(A321)-1,MONTH(A321),1),$A$2:$A$800,0))-1,""))</f>
        <v/>
      </c>
    </row>
    <row r="322">
      <c r="A322" s="114" t="n">
        <v>44287</v>
      </c>
      <c r="B322" s="47" t="n">
        <v>888.191</v>
      </c>
      <c r="C322" s="115">
        <f>IF(OR(B322="",B321=""),"",B322/B321-1)</f>
        <v/>
      </c>
      <c r="D322" s="115">
        <f>IF(B322="","",IFERROR(B322/INDEX($B$2:$B$800,MATCH(DATE(YEAR(A322)-1,12,1),$A$2:$A$800,0))-1,""))</f>
        <v/>
      </c>
      <c r="E322" s="115">
        <f>IF(B322="","",IFERROR(B322/INDEX($B$2:$B$800,MATCH(DATE(YEAR(A322)-1,MONTH(A322),1),$A$2:$A$800,0))-1,""))</f>
        <v/>
      </c>
    </row>
    <row r="323">
      <c r="A323" s="114" t="n">
        <v>44317</v>
      </c>
      <c r="B323" s="47" t="n">
        <v>907.899</v>
      </c>
      <c r="C323" s="115">
        <f>IF(OR(B323="",B322=""),"",B323/B322-1)</f>
        <v/>
      </c>
      <c r="D323" s="115">
        <f>IF(B323="","",IFERROR(B323/INDEX($B$2:$B$800,MATCH(DATE(YEAR(A323)-1,12,1),$A$2:$A$800,0))-1,""))</f>
        <v/>
      </c>
      <c r="E323" s="115">
        <f>IF(B323="","",IFERROR(B323/INDEX($B$2:$B$800,MATCH(DATE(YEAR(A323)-1,MONTH(A323),1),$A$2:$A$800,0))-1,""))</f>
        <v/>
      </c>
    </row>
    <row r="324">
      <c r="A324" s="114" t="n">
        <v>44348</v>
      </c>
      <c r="B324" s="47" t="n">
        <v>927.5119999999999</v>
      </c>
      <c r="C324" s="115">
        <f>IF(OR(B324="",B323=""),"",B324/B323-1)</f>
        <v/>
      </c>
      <c r="D324" s="115">
        <f>IF(B324="","",IFERROR(B324/INDEX($B$2:$B$800,MATCH(DATE(YEAR(A324)-1,12,1),$A$2:$A$800,0))-1,""))</f>
        <v/>
      </c>
      <c r="E324" s="115">
        <f>IF(B324="","",IFERROR(B324/INDEX($B$2:$B$800,MATCH(DATE(YEAR(A324)-1,MONTH(A324),1),$A$2:$A$800,0))-1,""))</f>
        <v/>
      </c>
    </row>
    <row r="325">
      <c r="A325" s="114" t="n">
        <v>44378</v>
      </c>
      <c r="B325" s="47" t="n">
        <v>935.359</v>
      </c>
      <c r="C325" s="115">
        <f>IF(OR(B325="",B324=""),"",B325/B324-1)</f>
        <v/>
      </c>
      <c r="D325" s="115">
        <f>IF(B325="","",IFERROR(B325/INDEX($B$2:$B$800,MATCH(DATE(YEAR(A325)-1,12,1),$A$2:$A$800,0))-1,""))</f>
        <v/>
      </c>
      <c r="E325" s="115">
        <f>IF(B325="","",IFERROR(B325/INDEX($B$2:$B$800,MATCH(DATE(YEAR(A325)-1,MONTH(A325),1),$A$2:$A$800,0))-1,""))</f>
        <v/>
      </c>
    </row>
    <row r="326">
      <c r="A326" s="114" t="n">
        <v>44409</v>
      </c>
      <c r="B326" s="47" t="n">
        <v>939.699</v>
      </c>
      <c r="C326" s="115">
        <f>IF(OR(B326="",B325=""),"",B326/B325-1)</f>
        <v/>
      </c>
      <c r="D326" s="115">
        <f>IF(B326="","",IFERROR(B326/INDEX($B$2:$B$800,MATCH(DATE(YEAR(A326)-1,12,1),$A$2:$A$800,0))-1,""))</f>
        <v/>
      </c>
      <c r="E326" s="115">
        <f>IF(B326="","",IFERROR(B326/INDEX($B$2:$B$800,MATCH(DATE(YEAR(A326)-1,MONTH(A326),1),$A$2:$A$800,0))-1,""))</f>
        <v/>
      </c>
    </row>
    <row r="327">
      <c r="A327" s="114" t="n">
        <v>44440</v>
      </c>
      <c r="B327" s="47" t="n">
        <v>944.52</v>
      </c>
      <c r="C327" s="115">
        <f>IF(OR(B327="",B326=""),"",B327/B326-1)</f>
        <v/>
      </c>
      <c r="D327" s="115">
        <f>IF(B327="","",IFERROR(B327/INDEX($B$2:$B$800,MATCH(DATE(YEAR(A327)-1,12,1),$A$2:$A$800,0))-1,""))</f>
        <v/>
      </c>
      <c r="E327" s="115">
        <f>IF(B327="","",IFERROR(B327/INDEX($B$2:$B$800,MATCH(DATE(YEAR(A327)-1,MONTH(A327),1),$A$2:$A$800,0))-1,""))</f>
        <v/>
      </c>
    </row>
    <row r="328">
      <c r="A328" s="114" t="n">
        <v>44470</v>
      </c>
      <c r="B328" s="47" t="n">
        <v>952.596</v>
      </c>
      <c r="C328" s="115">
        <f>IF(OR(B328="",B327=""),"",B328/B327-1)</f>
        <v/>
      </c>
      <c r="D328" s="115">
        <f>IF(B328="","",IFERROR(B328/INDEX($B$2:$B$800,MATCH(DATE(YEAR(A328)-1,12,1),$A$2:$A$800,0))-1,""))</f>
        <v/>
      </c>
      <c r="E328" s="115">
        <f>IF(B328="","",IFERROR(B328/INDEX($B$2:$B$800,MATCH(DATE(YEAR(A328)-1,MONTH(A328),1),$A$2:$A$800,0))-1,""))</f>
        <v/>
      </c>
    </row>
    <row r="329">
      <c r="A329" s="114" t="n">
        <v>44501</v>
      </c>
      <c r="B329" s="47" t="n">
        <v>959.001</v>
      </c>
      <c r="C329" s="115">
        <f>IF(OR(B329="",B328=""),"",B329/B328-1)</f>
        <v/>
      </c>
      <c r="D329" s="115">
        <f>IF(B329="","",IFERROR(B329/INDEX($B$2:$B$800,MATCH(DATE(YEAR(A329)-1,12,1),$A$2:$A$800,0))-1,""))</f>
        <v/>
      </c>
      <c r="E329" s="115">
        <f>IF(B329="","",IFERROR(B329/INDEX($B$2:$B$800,MATCH(DATE(YEAR(A329)-1,MONTH(A329),1),$A$2:$A$800,0))-1,""))</f>
        <v/>
      </c>
    </row>
    <row r="330">
      <c r="A330" s="114" t="n">
        <v>44531</v>
      </c>
      <c r="B330" s="47" t="n">
        <v>962.321</v>
      </c>
      <c r="C330" s="115">
        <f>IF(OR(B330="",B329=""),"",B330/B329-1)</f>
        <v/>
      </c>
      <c r="D330" s="115">
        <f>IF(B330="","",IFERROR(B330/INDEX($B$2:$B$800,MATCH(DATE(YEAR(A330)-1,12,1),$A$2:$A$800,0))-1,""))</f>
        <v/>
      </c>
      <c r="E330" s="115">
        <f>IF(B330="","",IFERROR(B330/INDEX($B$2:$B$800,MATCH(DATE(YEAR(A330)-1,MONTH(A330),1),$A$2:$A$800,0))-1,""))</f>
        <v/>
      </c>
    </row>
    <row r="331">
      <c r="A331" s="114" t="n">
        <v>44562</v>
      </c>
      <c r="B331" s="47" t="n">
        <v>969.184</v>
      </c>
      <c r="C331" s="115">
        <f>IF(OR(B331="",B330=""),"",B331/B330-1)</f>
        <v/>
      </c>
      <c r="D331" s="115">
        <f>IF(B331="","",IFERROR(B331/INDEX($B$2:$B$800,MATCH(DATE(YEAR(A331)-1,12,1),$A$2:$A$800,0))-1,""))</f>
        <v/>
      </c>
      <c r="E331" s="115">
        <f>IF(B331="","",IFERROR(B331/INDEX($B$2:$B$800,MATCH(DATE(YEAR(A331)-1,MONTH(A331),1),$A$2:$A$800,0))-1,""))</f>
        <v/>
      </c>
    </row>
    <row r="332">
      <c r="A332" s="114" t="n">
        <v>44593</v>
      </c>
      <c r="B332" s="47" t="n">
        <v>972.904</v>
      </c>
      <c r="C332" s="115">
        <f>IF(OR(B332="",B331=""),"",B332/B331-1)</f>
        <v/>
      </c>
      <c r="D332" s="115">
        <f>IF(B332="","",IFERROR(B332/INDEX($B$2:$B$800,MATCH(DATE(YEAR(A332)-1,12,1),$A$2:$A$800,0))-1,""))</f>
        <v/>
      </c>
      <c r="E332" s="115">
        <f>IF(B332="","",IFERROR(B332/INDEX($B$2:$B$800,MATCH(DATE(YEAR(A332)-1,MONTH(A332),1),$A$2:$A$800,0))-1,""))</f>
        <v/>
      </c>
    </row>
    <row r="333">
      <c r="A333" s="114" t="n">
        <v>44621</v>
      </c>
      <c r="B333" s="47" t="n">
        <v>981.244</v>
      </c>
      <c r="C333" s="115">
        <f>IF(OR(B333="",B332=""),"",B333/B332-1)</f>
        <v/>
      </c>
      <c r="D333" s="115">
        <f>IF(B333="","",IFERROR(B333/INDEX($B$2:$B$800,MATCH(DATE(YEAR(A333)-1,12,1),$A$2:$A$800,0))-1,""))</f>
        <v/>
      </c>
      <c r="E333" s="115">
        <f>IF(B333="","",IFERROR(B333/INDEX($B$2:$B$800,MATCH(DATE(YEAR(A333)-1,MONTH(A333),1),$A$2:$A$800,0))-1,""))</f>
        <v/>
      </c>
    </row>
    <row r="334">
      <c r="A334" s="114" t="n">
        <v>44652</v>
      </c>
      <c r="B334" s="47" t="n">
        <v>990.543</v>
      </c>
      <c r="C334" s="115">
        <f>IF(OR(B334="",B333=""),"",B334/B333-1)</f>
        <v/>
      </c>
      <c r="D334" s="115">
        <f>IF(B334="","",IFERROR(B334/INDEX($B$2:$B$800,MATCH(DATE(YEAR(A334)-1,12,1),$A$2:$A$800,0))-1,""))</f>
        <v/>
      </c>
      <c r="E334" s="115">
        <f>IF(B334="","",IFERROR(B334/INDEX($B$2:$B$800,MATCH(DATE(YEAR(A334)-1,MONTH(A334),1),$A$2:$A$800,0))-1,""))</f>
        <v/>
      </c>
    </row>
    <row r="335">
      <c r="A335" s="114" t="n">
        <v>44682</v>
      </c>
      <c r="B335" s="47" t="n">
        <v>1013.164</v>
      </c>
      <c r="C335" s="115">
        <f>IF(OR(B335="",B334=""),"",B335/B334-1)</f>
        <v/>
      </c>
      <c r="D335" s="115">
        <f>IF(B335="","",IFERROR(B335/INDEX($B$2:$B$800,MATCH(DATE(YEAR(A335)-1,12,1),$A$2:$A$800,0))-1,""))</f>
        <v/>
      </c>
      <c r="E335" s="115">
        <f>IF(B335="","",IFERROR(B335/INDEX($B$2:$B$800,MATCH(DATE(YEAR(A335)-1,MONTH(A335),1),$A$2:$A$800,0))-1,""))</f>
        <v/>
      </c>
    </row>
    <row r="336">
      <c r="A336" s="114" t="n">
        <v>44713</v>
      </c>
      <c r="B336" s="47" t="n">
        <v>1034.824</v>
      </c>
      <c r="C336" s="115">
        <f>IF(OR(B336="",B335=""),"",B336/B335-1)</f>
        <v/>
      </c>
      <c r="D336" s="115">
        <f>IF(B336="","",IFERROR(B336/INDEX($B$2:$B$800,MATCH(DATE(YEAR(A336)-1,12,1),$A$2:$A$800,0))-1,""))</f>
        <v/>
      </c>
      <c r="E336" s="115">
        <f>IF(B336="","",IFERROR(B336/INDEX($B$2:$B$800,MATCH(DATE(YEAR(A336)-1,MONTH(A336),1),$A$2:$A$800,0))-1,""))</f>
        <v/>
      </c>
    </row>
    <row r="337">
      <c r="A337" s="114" t="n">
        <v>44743</v>
      </c>
      <c r="B337" s="47" t="n">
        <v>1043.76</v>
      </c>
      <c r="C337" s="115">
        <f>IF(OR(B337="",B336=""),"",B337/B336-1)</f>
        <v/>
      </c>
      <c r="D337" s="115">
        <f>IF(B337="","",IFERROR(B337/INDEX($B$2:$B$800,MATCH(DATE(YEAR(A337)-1,12,1),$A$2:$A$800,0))-1,""))</f>
        <v/>
      </c>
      <c r="E337" s="115">
        <f>IF(B337="","",IFERROR(B337/INDEX($B$2:$B$800,MATCH(DATE(YEAR(A337)-1,MONTH(A337),1),$A$2:$A$800,0))-1,""))</f>
        <v/>
      </c>
    </row>
    <row r="338">
      <c r="A338" s="114" t="n">
        <v>44774</v>
      </c>
      <c r="B338" s="47" t="n">
        <v>1044.679</v>
      </c>
      <c r="C338" s="115">
        <f>IF(OR(B338="",B337=""),"",B338/B337-1)</f>
        <v/>
      </c>
      <c r="D338" s="115">
        <f>IF(B338="","",IFERROR(B338/INDEX($B$2:$B$800,MATCH(DATE(YEAR(A338)-1,12,1),$A$2:$A$800,0))-1,""))</f>
        <v/>
      </c>
      <c r="E338" s="115">
        <f>IF(B338="","",IFERROR(B338/INDEX($B$2:$B$800,MATCH(DATE(YEAR(A338)-1,MONTH(A338),1),$A$2:$A$800,0))-1,""))</f>
        <v/>
      </c>
    </row>
    <row r="339">
      <c r="A339" s="114" t="n">
        <v>44805</v>
      </c>
      <c r="B339" s="47" t="n">
        <v>1045.616</v>
      </c>
      <c r="C339" s="115">
        <f>IF(OR(B339="",B338=""),"",B339/B338-1)</f>
        <v/>
      </c>
      <c r="D339" s="115">
        <f>IF(B339="","",IFERROR(B339/INDEX($B$2:$B$800,MATCH(DATE(YEAR(A339)-1,12,1),$A$2:$A$800,0))-1,""))</f>
        <v/>
      </c>
      <c r="E339" s="115">
        <f>IF(B339="","",IFERROR(B339/INDEX($B$2:$B$800,MATCH(DATE(YEAR(A339)-1,MONTH(A339),1),$A$2:$A$800,0))-1,""))</f>
        <v/>
      </c>
    </row>
    <row r="340">
      <c r="A340" s="114" t="n">
        <v>44835</v>
      </c>
      <c r="B340" s="47" t="n">
        <v>1046.896</v>
      </c>
      <c r="C340" s="115">
        <f>IF(OR(B340="",B339=""),"",B340/B339-1)</f>
        <v/>
      </c>
      <c r="D340" s="115">
        <f>IF(B340="","",IFERROR(B340/INDEX($B$2:$B$800,MATCH(DATE(YEAR(A340)-1,12,1),$A$2:$A$800,0))-1,""))</f>
        <v/>
      </c>
      <c r="E340" s="115">
        <f>IF(B340="","",IFERROR(B340/INDEX($B$2:$B$800,MATCH(DATE(YEAR(A340)-1,MONTH(A340),1),$A$2:$A$800,0))-1,""))</f>
        <v/>
      </c>
    </row>
    <row r="341">
      <c r="A341" s="114" t="n">
        <v>44866</v>
      </c>
      <c r="B341" s="47" t="n">
        <v>1050.701</v>
      </c>
      <c r="C341" s="115">
        <f>IF(OR(B341="",B340=""),"",B341/B340-1)</f>
        <v/>
      </c>
      <c r="D341" s="115">
        <f>IF(B341="","",IFERROR(B341/INDEX($B$2:$B$800,MATCH(DATE(YEAR(A341)-1,12,1),$A$2:$A$800,0))-1,""))</f>
        <v/>
      </c>
      <c r="E341" s="115">
        <f>IF(B341="","",IFERROR(B341/INDEX($B$2:$B$800,MATCH(DATE(YEAR(A341)-1,MONTH(A341),1),$A$2:$A$800,0))-1,""))</f>
        <v/>
      </c>
    </row>
    <row r="342">
      <c r="A342" s="114" t="n">
        <v>44896</v>
      </c>
      <c r="B342" s="47" t="n">
        <v>1051.632</v>
      </c>
      <c r="C342" s="115">
        <f>IF(OR(B342="",B341=""),"",B342/B341-1)</f>
        <v/>
      </c>
      <c r="D342" s="115">
        <f>IF(B342="","",IFERROR(B342/INDEX($B$2:$B$800,MATCH(DATE(YEAR(A342)-1,12,1),$A$2:$A$800,0))-1,""))</f>
        <v/>
      </c>
      <c r="E342" s="115">
        <f>IF(B342="","",IFERROR(B342/INDEX($B$2:$B$800,MATCH(DATE(YEAR(A342)-1,MONTH(A342),1),$A$2:$A$800,0))-1,""))</f>
        <v/>
      </c>
    </row>
    <row r="343">
      <c r="A343" s="114" t="n">
        <v>44927</v>
      </c>
      <c r="B343" s="47" t="n">
        <v>1056.418</v>
      </c>
      <c r="C343" s="115">
        <f>IF(OR(B343="",B342=""),"",B343/B342-1)</f>
        <v/>
      </c>
      <c r="D343" s="115">
        <f>IF(B343="","",IFERROR(B343/INDEX($B$2:$B$800,MATCH(DATE(YEAR(A343)-1,12,1),$A$2:$A$800,0))-1,""))</f>
        <v/>
      </c>
      <c r="E343" s="115">
        <f>IF(B343="","",IFERROR(B343/INDEX($B$2:$B$800,MATCH(DATE(YEAR(A343)-1,MONTH(A343),1),$A$2:$A$800,0))-1,""))</f>
        <v/>
      </c>
    </row>
    <row r="344">
      <c r="A344" s="114" t="n">
        <v>44958</v>
      </c>
      <c r="B344" s="47" t="n">
        <v>1056.896</v>
      </c>
      <c r="C344" s="115">
        <f>IF(OR(B344="",B343=""),"",B344/B343-1)</f>
        <v/>
      </c>
      <c r="D344" s="115">
        <f>IF(B344="","",IFERROR(B344/INDEX($B$2:$B$800,MATCH(DATE(YEAR(A344)-1,12,1),$A$2:$A$800,0))-1,""))</f>
        <v/>
      </c>
      <c r="E344" s="115">
        <f>IF(B344="","",IFERROR(B344/INDEX($B$2:$B$800,MATCH(DATE(YEAR(A344)-1,MONTH(A344),1),$A$2:$A$800,0))-1,""))</f>
        <v/>
      </c>
    </row>
    <row r="345">
      <c r="A345" s="114" t="n">
        <v>44986</v>
      </c>
      <c r="B345" s="47" t="n">
        <v>1060.116</v>
      </c>
      <c r="C345" s="115">
        <f>IF(OR(B345="",B344=""),"",B345/B344-1)</f>
        <v/>
      </c>
      <c r="D345" s="115">
        <f>IF(B345="","",IFERROR(B345/INDEX($B$2:$B$800,MATCH(DATE(YEAR(A345)-1,12,1),$A$2:$A$800,0))-1,""))</f>
        <v/>
      </c>
      <c r="E345" s="115">
        <f>IF(B345="","",IFERROR(B345/INDEX($B$2:$B$800,MATCH(DATE(YEAR(A345)-1,MONTH(A345),1),$A$2:$A$800,0))-1,""))</f>
        <v/>
      </c>
    </row>
    <row r="346">
      <c r="A346" s="114" t="n">
        <v>45017</v>
      </c>
      <c r="B346" s="47" t="n">
        <v>1061.635</v>
      </c>
      <c r="C346" s="115">
        <f>IF(OR(B346="",B345=""),"",B346/B345-1)</f>
        <v/>
      </c>
      <c r="D346" s="115">
        <f>IF(B346="","",IFERROR(B346/INDEX($B$2:$B$800,MATCH(DATE(YEAR(A346)-1,12,1),$A$2:$A$800,0))-1,""))</f>
        <v/>
      </c>
      <c r="E346" s="115">
        <f>IF(B346="","",IFERROR(B346/INDEX($B$2:$B$800,MATCH(DATE(YEAR(A346)-1,MONTH(A346),1),$A$2:$A$800,0))-1,""))</f>
        <v/>
      </c>
    </row>
    <row r="347">
      <c r="A347" s="114" t="n">
        <v>45047</v>
      </c>
      <c r="B347" s="47" t="n">
        <v>1067.919</v>
      </c>
      <c r="C347" s="115">
        <f>IF(OR(B347="",B346=""),"",B347/B346-1)</f>
        <v/>
      </c>
      <c r="D347" s="115">
        <f>IF(B347="","",IFERROR(B347/INDEX($B$2:$B$800,MATCH(DATE(YEAR(A347)-1,12,1),$A$2:$A$800,0))-1,""))</f>
        <v/>
      </c>
      <c r="E347" s="115">
        <f>IF(B347="","",IFERROR(B347/INDEX($B$2:$B$800,MATCH(DATE(YEAR(A347)-1,MONTH(A347),1),$A$2:$A$800,0))-1,""))</f>
        <v/>
      </c>
    </row>
    <row r="348">
      <c r="A348" s="114" t="n">
        <v>45078</v>
      </c>
      <c r="B348" s="47" t="n">
        <v>1075.54</v>
      </c>
      <c r="C348" s="115">
        <f>IF(OR(B348="",B347=""),"",B348/B347-1)</f>
        <v/>
      </c>
      <c r="D348" s="115">
        <f>IF(B348="","",IFERROR(B348/INDEX($B$2:$B$800,MATCH(DATE(YEAR(A348)-1,12,1),$A$2:$A$800,0))-1,""))</f>
        <v/>
      </c>
      <c r="E348" s="115">
        <f>IF(B348="","",IFERROR(B348/INDEX($B$2:$B$800,MATCH(DATE(YEAR(A348)-1,MONTH(A348),1),$A$2:$A$800,0))-1,""))</f>
        <v/>
      </c>
    </row>
    <row r="349">
      <c r="A349" s="114" t="n">
        <v>45108</v>
      </c>
      <c r="B349" s="47" t="n">
        <v>1076.626</v>
      </c>
      <c r="C349" s="115">
        <f>IF(OR(B349="",B348=""),"",B349/B348-1)</f>
        <v/>
      </c>
      <c r="D349" s="115">
        <f>IF(B349="","",IFERROR(B349/INDEX($B$2:$B$800,MATCH(DATE(YEAR(A349)-1,12,1),$A$2:$A$800,0))-1,""))</f>
        <v/>
      </c>
      <c r="E349" s="115">
        <f>IF(B349="","",IFERROR(B349/INDEX($B$2:$B$800,MATCH(DATE(YEAR(A349)-1,MONTH(A349),1),$A$2:$A$800,0))-1,""))</f>
        <v/>
      </c>
    </row>
    <row r="350">
      <c r="A350" s="114" t="n">
        <v>45139</v>
      </c>
      <c r="B350" s="47" t="n">
        <v>1078.412</v>
      </c>
      <c r="C350" s="115">
        <f>IF(OR(B350="",B349=""),"",B350/B349-1)</f>
        <v/>
      </c>
      <c r="D350" s="115">
        <f>IF(B350="","",IFERROR(B350/INDEX($B$2:$B$800,MATCH(DATE(YEAR(A350)-1,12,1),$A$2:$A$800,0))-1,""))</f>
        <v/>
      </c>
      <c r="E350" s="115">
        <f>IF(B350="","",IFERROR(B350/INDEX($B$2:$B$800,MATCH(DATE(YEAR(A350)-1,MONTH(A350),1),$A$2:$A$800,0))-1,""))</f>
        <v/>
      </c>
    </row>
    <row r="351">
      <c r="A351" s="114" t="n">
        <v>45170</v>
      </c>
      <c r="B351" s="47" t="n">
        <v>1082.104</v>
      </c>
      <c r="C351" s="115">
        <f>IF(OR(B351="",B350=""),"",B351/B350-1)</f>
        <v/>
      </c>
      <c r="D351" s="115">
        <f>IF(B351="","",IFERROR(B351/INDEX($B$2:$B$800,MATCH(DATE(YEAR(A351)-1,12,1),$A$2:$A$800,0))-1,""))</f>
        <v/>
      </c>
      <c r="E351" s="115">
        <f>IF(B351="","",IFERROR(B351/INDEX($B$2:$B$800,MATCH(DATE(YEAR(A351)-1,MONTH(A351),1),$A$2:$A$800,0))-1,""))</f>
        <v/>
      </c>
    </row>
    <row r="352">
      <c r="A352" s="114" t="n">
        <v>45200</v>
      </c>
      <c r="B352" s="47" t="n">
        <v>1084.242</v>
      </c>
      <c r="C352" s="115">
        <f>IF(OR(B352="",B351=""),"",B352/B351-1)</f>
        <v/>
      </c>
      <c r="D352" s="115">
        <f>IF(B352="","",IFERROR(B352/INDEX($B$2:$B$800,MATCH(DATE(YEAR(A352)-1,12,1),$A$2:$A$800,0))-1,""))</f>
        <v/>
      </c>
      <c r="E352" s="115">
        <f>IF(B352="","",IFERROR(B352/INDEX($B$2:$B$800,MATCH(DATE(YEAR(A352)-1,MONTH(A352),1),$A$2:$A$800,0))-1,""))</f>
        <v/>
      </c>
    </row>
    <row r="353">
      <c r="A353" s="114" t="n">
        <v>45231</v>
      </c>
      <c r="B353" s="47" t="n">
        <v>1084.986</v>
      </c>
      <c r="C353" s="115">
        <f>IF(OR(B353="",B352=""),"",B353/B352-1)</f>
        <v/>
      </c>
      <c r="D353" s="115">
        <f>IF(B353="","",IFERROR(B353/INDEX($B$2:$B$800,MATCH(DATE(YEAR(A353)-1,12,1),$A$2:$A$800,0))-1,""))</f>
        <v/>
      </c>
      <c r="E353" s="115">
        <f>IF(B353="","",IFERROR(B353/INDEX($B$2:$B$800,MATCH(DATE(YEAR(A353)-1,MONTH(A353),1),$A$2:$A$800,0))-1,""))</f>
        <v/>
      </c>
    </row>
    <row r="354">
      <c r="A354" s="114" t="n">
        <v>45261</v>
      </c>
      <c r="B354" s="47" t="n">
        <v>1088.312</v>
      </c>
      <c r="C354" s="115">
        <f>IF(OR(B354="",B353=""),"",B354/B353-1)</f>
        <v/>
      </c>
      <c r="D354" s="115">
        <f>IF(B354="","",IFERROR(B354/INDEX($B$2:$B$800,MATCH(DATE(YEAR(A354)-1,12,1),$A$2:$A$800,0))-1,""))</f>
        <v/>
      </c>
      <c r="E354" s="115">
        <f>IF(B354="","",IFERROR(B354/INDEX($B$2:$B$800,MATCH(DATE(YEAR(A354)-1,MONTH(A354),1),$A$2:$A$800,0))-1,""))</f>
        <v/>
      </c>
    </row>
    <row r="355">
      <c r="A355" s="114" t="n">
        <v>45292</v>
      </c>
      <c r="B355" s="47" t="n">
        <v>1091.25</v>
      </c>
      <c r="C355" s="115">
        <f>IF(OR(B355="",B354=""),"",B355/B354-1)</f>
        <v/>
      </c>
      <c r="D355" s="115">
        <f>IF(B355="","",IFERROR(B355/INDEX($B$2:$B$800,MATCH(DATE(YEAR(A355)-1,12,1),$A$2:$A$800,0))-1,""))</f>
        <v/>
      </c>
      <c r="E355" s="115">
        <f>IF(B355="","",IFERROR(B355/INDEX($B$2:$B$800,MATCH(DATE(YEAR(A355)-1,MONTH(A355),1),$A$2:$A$800,0))-1,""))</f>
        <v/>
      </c>
    </row>
    <row r="356">
      <c r="A356" s="114" t="n">
        <v>45323</v>
      </c>
      <c r="B356" s="47" t="n">
        <v>1092.685</v>
      </c>
      <c r="C356" s="115">
        <f>IF(OR(B356="",B355=""),"",B356/B355-1)</f>
        <v/>
      </c>
      <c r="D356" s="115">
        <f>IF(B356="","",IFERROR(B356/INDEX($B$2:$B$800,MATCH(DATE(YEAR(A356)-1,12,1),$A$2:$A$800,0))-1,""))</f>
        <v/>
      </c>
      <c r="E356" s="115">
        <f>IF(B356="","",IFERROR(B356/INDEX($B$2:$B$800,MATCH(DATE(YEAR(A356)-1,MONTH(A356),1),$A$2:$A$800,0))-1,""))</f>
        <v/>
      </c>
    </row>
    <row r="357">
      <c r="A357" s="114" t="n">
        <v>45352</v>
      </c>
      <c r="B357" s="47" t="n">
        <v>1095.738</v>
      </c>
      <c r="C357" s="115">
        <f>IF(OR(B357="",B356=""),"",B357/B356-1)</f>
        <v/>
      </c>
      <c r="D357" s="115">
        <f>IF(B357="","",IFERROR(B357/INDEX($B$2:$B$800,MATCH(DATE(YEAR(A357)-1,12,1),$A$2:$A$800,0))-1,""))</f>
        <v/>
      </c>
      <c r="E357" s="115">
        <f>IF(B357="","",IFERROR(B357/INDEX($B$2:$B$800,MATCH(DATE(YEAR(A357)-1,MONTH(A357),1),$A$2:$A$800,0))-1,""))</f>
        <v/>
      </c>
    </row>
    <row r="358">
      <c r="A358" s="114" t="n">
        <v>45383</v>
      </c>
      <c r="B358" s="47" t="n">
        <v>1101.389</v>
      </c>
      <c r="C358" s="115">
        <f>IF(OR(B358="",B357=""),"",B358/B357-1)</f>
        <v/>
      </c>
      <c r="D358" s="115">
        <f>IF(B358="","",IFERROR(B358/INDEX($B$2:$B$800,MATCH(DATE(YEAR(A358)-1,12,1),$A$2:$A$800,0))-1,""))</f>
        <v/>
      </c>
      <c r="E358" s="115">
        <f>IF(B358="","",IFERROR(B358/INDEX($B$2:$B$800,MATCH(DATE(YEAR(A358)-1,MONTH(A358),1),$A$2:$A$800,0))-1,""))</f>
        <v/>
      </c>
    </row>
    <row r="359">
      <c r="A359" s="114" t="n">
        <v>45413</v>
      </c>
      <c r="B359" s="47" t="n">
        <v>1110.887</v>
      </c>
      <c r="C359" s="115">
        <f>IF(OR(B359="",B358=""),"",B359/B358-1)</f>
        <v/>
      </c>
      <c r="D359" s="115">
        <f>IF(B359="","",IFERROR(B359/INDEX($B$2:$B$800,MATCH(DATE(YEAR(A359)-1,12,1),$A$2:$A$800,0))-1,""))</f>
        <v/>
      </c>
      <c r="E359" s="115">
        <f>IF(B359="","",IFERROR(B359/INDEX($B$2:$B$800,MATCH(DATE(YEAR(A359)-1,MONTH(A359),1),$A$2:$A$800,0))-1,""))</f>
        <v/>
      </c>
    </row>
    <row r="360">
      <c r="A360" s="114" t="n">
        <v>45444</v>
      </c>
      <c r="B360" s="47" t="n">
        <v>1118.827</v>
      </c>
      <c r="C360" s="115">
        <f>IF(OR(B360="",B359=""),"",B360/B359-1)</f>
        <v/>
      </c>
      <c r="D360" s="115">
        <f>IF(B360="","",IFERROR(B360/INDEX($B$2:$B$800,MATCH(DATE(YEAR(A360)-1,12,1),$A$2:$A$800,0))-1,""))</f>
        <v/>
      </c>
      <c r="E360" s="115">
        <f>IF(B360="","",IFERROR(B360/INDEX($B$2:$B$800,MATCH(DATE(YEAR(A360)-1,MONTH(A360),1),$A$2:$A$800,0))-1,""))</f>
        <v/>
      </c>
    </row>
    <row r="361">
      <c r="A361" s="114" t="n">
        <v>45474</v>
      </c>
      <c r="B361" s="47" t="n">
        <v>1126.916</v>
      </c>
      <c r="C361" s="115">
        <f>IF(OR(B361="",B360=""),"",B361/B360-1)</f>
        <v/>
      </c>
      <c r="D361" s="115">
        <f>IF(B361="","",IFERROR(B361/INDEX($B$2:$B$800,MATCH(DATE(YEAR(A361)-1,12,1),$A$2:$A$800,0))-1,""))</f>
        <v/>
      </c>
      <c r="E361" s="115">
        <f>IF(B361="","",IFERROR(B361/INDEX($B$2:$B$800,MATCH(DATE(YEAR(A361)-1,MONTH(A361),1),$A$2:$A$800,0))-1,""))</f>
        <v/>
      </c>
    </row>
    <row r="362">
      <c r="A362" s="114" t="n">
        <v>45505</v>
      </c>
      <c r="B362" s="47" t="n">
        <v>1134.775</v>
      </c>
      <c r="C362" s="115">
        <f>IF(OR(B362="",B361=""),"",B362/B361-1)</f>
        <v/>
      </c>
      <c r="D362" s="115">
        <f>IF(B362="","",IFERROR(B362/INDEX($B$2:$B$800,MATCH(DATE(YEAR(A362)-1,12,1),$A$2:$A$800,0))-1,""))</f>
        <v/>
      </c>
      <c r="E362" s="115">
        <f>IF(B362="","",IFERROR(B362/INDEX($B$2:$B$800,MATCH(DATE(YEAR(A362)-1,MONTH(A362),1),$A$2:$A$800,0))-1,""))</f>
        <v/>
      </c>
    </row>
    <row r="363">
      <c r="A363" s="114" t="n">
        <v>45536</v>
      </c>
      <c r="B363" s="47" t="n">
        <v>1141.398</v>
      </c>
      <c r="C363" s="115">
        <f>IF(OR(B363="",B362=""),"",B363/B362-1)</f>
        <v/>
      </c>
      <c r="D363" s="115">
        <f>IF(B363="","",IFERROR(B363/INDEX($B$2:$B$800,MATCH(DATE(YEAR(A363)-1,12,1),$A$2:$A$800,0))-1,""))</f>
        <v/>
      </c>
      <c r="E363" s="115">
        <f>IF(B363="","",IFERROR(B363/INDEX($B$2:$B$800,MATCH(DATE(YEAR(A363)-1,MONTH(A363),1),$A$2:$A$800,0))-1,""))</f>
        <v/>
      </c>
    </row>
    <row r="364">
      <c r="A364" s="114" t="n">
        <v>45566</v>
      </c>
      <c r="B364" s="47" t="n">
        <v>1149.17</v>
      </c>
      <c r="C364" s="115">
        <f>IF(OR(B364="",B363=""),"",B364/B363-1)</f>
        <v/>
      </c>
      <c r="D364" s="115">
        <f>IF(B364="","",IFERROR(B364/INDEX($B$2:$B$800,MATCH(DATE(YEAR(A364)-1,12,1),$A$2:$A$800,0))-1,""))</f>
        <v/>
      </c>
      <c r="E364" s="115">
        <f>IF(B364="","",IFERROR(B364/INDEX($B$2:$B$800,MATCH(DATE(YEAR(A364)-1,MONTH(A364),1),$A$2:$A$800,0))-1,""))</f>
        <v/>
      </c>
    </row>
    <row r="365">
      <c r="A365" s="114" t="n">
        <v>45597</v>
      </c>
      <c r="B365" s="47" t="n">
        <v>1153.725</v>
      </c>
      <c r="C365" s="115">
        <f>IF(OR(B365="",B364=""),"",B365/B364-1)</f>
        <v/>
      </c>
      <c r="D365" s="115">
        <f>IF(B365="","",IFERROR(B365/INDEX($B$2:$B$800,MATCH(DATE(YEAR(A365)-1,12,1),$A$2:$A$800,0))-1,""))</f>
        <v/>
      </c>
      <c r="E365" s="115">
        <f>IF(B365="","",IFERROR(B365/INDEX($B$2:$B$800,MATCH(DATE(YEAR(A365)-1,MONTH(A365),1),$A$2:$A$800,0))-1,""))</f>
        <v/>
      </c>
    </row>
    <row r="366">
      <c r="A366" s="114" t="n">
        <v>45627</v>
      </c>
      <c r="B366" s="47" t="n">
        <v>1159.536</v>
      </c>
      <c r="C366" s="115">
        <f>IF(OR(B366="",B365=""),"",B366/B365-1)</f>
        <v/>
      </c>
      <c r="D366" s="115">
        <f>IF(B366="","",IFERROR(B366/INDEX($B$2:$B$800,MATCH(DATE(YEAR(A366)-1,12,1),$A$2:$A$800,0))-1,""))</f>
        <v/>
      </c>
      <c r="E366" s="115">
        <f>IF(B366="","",IFERROR(B366/INDEX($B$2:$B$800,MATCH(DATE(YEAR(A366)-1,MONTH(A366),1),$A$2:$A$800,0))-1,""))</f>
        <v/>
      </c>
    </row>
    <row r="367">
      <c r="A367" s="114" t="n">
        <v>45658</v>
      </c>
      <c r="B367" s="47" t="n">
        <v>1169.116</v>
      </c>
      <c r="C367" s="115">
        <f>IF(OR(B367="",B366=""),"",B367/B366-1)</f>
        <v/>
      </c>
      <c r="D367" s="115">
        <f>IF(B367="","",IFERROR(B367/INDEX($B$2:$B$800,MATCH(DATE(YEAR(A367)-1,12,1),$A$2:$A$800,0))-1,""))</f>
        <v/>
      </c>
      <c r="E367" s="115">
        <f>IF(B367="","",IFERROR(B367/INDEX($B$2:$B$800,MATCH(DATE(YEAR(A367)-1,MONTH(A367),1),$A$2:$A$800,0))-1,""))</f>
        <v/>
      </c>
    </row>
    <row r="368">
      <c r="A368" s="114" t="n">
        <v>45689</v>
      </c>
      <c r="B368" s="47" t="n">
        <v>1173.775</v>
      </c>
      <c r="C368" s="115">
        <f>IF(OR(B368="",B367=""),"",B368/B367-1)</f>
        <v/>
      </c>
      <c r="D368" s="115">
        <f>IF(B368="","",IFERROR(B368/INDEX($B$2:$B$800,MATCH(DATE(YEAR(A368)-1,12,1),$A$2:$A$800,0))-1,""))</f>
        <v/>
      </c>
      <c r="E368" s="115">
        <f>IF(B368="","",IFERROR(B368/INDEX($B$2:$B$800,MATCH(DATE(YEAR(A368)-1,MONTH(A368),1),$A$2:$A$800,0))-1,""))</f>
        <v/>
      </c>
    </row>
    <row r="369">
      <c r="A369" s="114" t="n">
        <v>45717</v>
      </c>
      <c r="B369" s="47" t="n">
        <v>1178.386</v>
      </c>
      <c r="C369" s="115">
        <f>IF(OR(B369="",B368=""),"",B369/B368-1)</f>
        <v/>
      </c>
      <c r="D369" s="115">
        <f>IF(B369="","",IFERROR(B369/INDEX($B$2:$B$800,MATCH(DATE(YEAR(A369)-1,12,1),$A$2:$A$800,0))-1,""))</f>
        <v/>
      </c>
      <c r="E369" s="115">
        <f>IF(B369="","",IFERROR(B369/INDEX($B$2:$B$800,MATCH(DATE(YEAR(A369)-1,MONTH(A369),1),$A$2:$A$800,0))-1,""))</f>
        <v/>
      </c>
    </row>
    <row r="370">
      <c r="A370" s="114" t="n">
        <v>45748</v>
      </c>
      <c r="B370" s="47" t="n">
        <v>1184.462</v>
      </c>
      <c r="C370" s="115">
        <f>IF(OR(B370="",B369=""),"",B370/B369-1)</f>
        <v/>
      </c>
      <c r="D370" s="115">
        <f>IF(B370="","",IFERROR(B370/INDEX($B$2:$B$800,MATCH(DATE(YEAR(A370)-1,12,1),$A$2:$A$800,0))-1,""))</f>
        <v/>
      </c>
      <c r="E370" s="115">
        <f>IF(B370="","",IFERROR(B370/INDEX($B$2:$B$800,MATCH(DATE(YEAR(A370)-1,MONTH(A370),1),$A$2:$A$800,0))-1,""))</f>
        <v/>
      </c>
    </row>
    <row r="371">
      <c r="A371" s="114" t="n">
        <v>45778</v>
      </c>
      <c r="B371" s="47" t="n">
        <v>1191.327</v>
      </c>
      <c r="C371" s="115">
        <f>IF(OR(B371="",B370=""),"",B371/B370-1)</f>
        <v/>
      </c>
      <c r="D371" s="115">
        <f>IF(B371="","",IFERROR(B371/INDEX($B$2:$B$800,MATCH(DATE(YEAR(A371)-1,12,1),$A$2:$A$800,0))-1,""))</f>
        <v/>
      </c>
      <c r="E371" s="115">
        <f>IF(B371="","",IFERROR(B371/INDEX($B$2:$B$800,MATCH(DATE(YEAR(A371)-1,MONTH(A371),1),$A$2:$A$800,0))-1,""))</f>
        <v/>
      </c>
    </row>
    <row r="372">
      <c r="A372" s="114" t="n">
        <v>45809</v>
      </c>
      <c r="B372" s="47" t="n">
        <v>1199.509</v>
      </c>
      <c r="C372" s="115">
        <f>IF(OR(B372="",B371=""),"",B372/B371-1)</f>
        <v/>
      </c>
      <c r="D372" s="115">
        <f>IF(B372="","",IFERROR(B372/INDEX($B$2:$B$800,MATCH(DATE(YEAR(A372)-1,12,1),$A$2:$A$800,0))-1,""))</f>
        <v/>
      </c>
      <c r="E372" s="115">
        <f>IF(B372="","",IFERROR(B372/INDEX($B$2:$B$800,MATCH(DATE(YEAR(A372)-1,MONTH(A372),1),$A$2:$A$800,0))-1,""))</f>
        <v/>
      </c>
    </row>
    <row r="373">
      <c r="A373" s="114" t="n">
        <v>45839</v>
      </c>
      <c r="B373" s="47" t="n">
        <v>1210.471</v>
      </c>
      <c r="C373" s="115">
        <f>IF(OR(B373="",B372=""),"",B373/B372-1)</f>
        <v/>
      </c>
      <c r="D373" s="115">
        <f>IF(B373="","",IFERROR(B373/INDEX($B$2:$B$800,MATCH(DATE(YEAR(A373)-1,12,1),$A$2:$A$800,0))-1,""))</f>
        <v/>
      </c>
      <c r="E373" s="115">
        <f>IF(B373="","",IFERROR(B373/INDEX($B$2:$B$800,MATCH(DATE(YEAR(A373)-1,MONTH(A373),1),$A$2:$A$800,0))-1,""))</f>
        <v/>
      </c>
    </row>
    <row r="374">
      <c r="A374" s="114" t="n">
        <v>45870</v>
      </c>
      <c r="B374" s="47" t="n">
        <v>1216.706</v>
      </c>
      <c r="C374" s="115">
        <f>IF(OR(B374="",B373=""),"",B374/B373-1)</f>
        <v/>
      </c>
      <c r="D374" s="115">
        <f>IF(B374="","",IFERROR(B374/INDEX($B$2:$B$800,MATCH(DATE(YEAR(A374)-1,12,1),$A$2:$A$800,0))-1,""))</f>
        <v/>
      </c>
      <c r="E374" s="115">
        <f>IF(B374="","",IFERROR(B374/INDEX($B$2:$B$800,MATCH(DATE(YEAR(A374)-1,MONTH(A374),1),$A$2:$A$800,0))-1,""))</f>
        <v/>
      </c>
    </row>
    <row r="375">
      <c r="A375" s="114" t="n">
        <v>45901</v>
      </c>
      <c r="B375" s="47" t="n">
        <v>1218.747</v>
      </c>
      <c r="C375" s="115">
        <f>IF(OR(B375="",B374=""),"",B375/B374-1)</f>
        <v/>
      </c>
      <c r="D375" s="115">
        <f>IF(B375="","",IFERROR(B375/INDEX($B$2:$B$800,MATCH(DATE(YEAR(A375)-1,12,1),$A$2:$A$800,0))-1,""))</f>
        <v/>
      </c>
      <c r="E375" s="115">
        <f>IF(B375="","",IFERROR(B375/INDEX($B$2:$B$800,MATCH(DATE(YEAR(A375)-1,MONTH(A375),1),$A$2:$A$800,0))-1,""))</f>
        <v/>
      </c>
    </row>
    <row r="376">
      <c r="A376" s="114" t="n">
        <v>45931</v>
      </c>
      <c r="B376" s="47" t="n">
        <v>1222.356</v>
      </c>
      <c r="C376" s="115">
        <f>IF(OR(B376="",B375=""),"",B376/B375-1)</f>
        <v/>
      </c>
      <c r="D376" s="115">
        <f>IF(B376="","",IFERROR(B376/INDEX($B$2:$B$800,MATCH(DATE(YEAR(A376)-1,12,1),$A$2:$A$800,0))-1,""))</f>
        <v/>
      </c>
      <c r="E376" s="115">
        <f>IF(B376="","",IFERROR(B376/INDEX($B$2:$B$800,MATCH(DATE(YEAR(A376)-1,MONTH(A376),1),$A$2:$A$800,0))-1,""))</f>
        <v/>
      </c>
    </row>
    <row r="377">
      <c r="A377" s="114" t="n">
        <v>45962</v>
      </c>
      <c r="B377" s="47" t="n">
        <v>1225.633</v>
      </c>
      <c r="C377" s="115">
        <f>IF(OR(B377="",B376=""),"",B377/B376-1)</f>
        <v/>
      </c>
      <c r="D377" s="115">
        <f>IF(B377="","",IFERROR(B377/INDEX($B$2:$B$800,MATCH(DATE(YEAR(A377)-1,12,1),$A$2:$A$800,0))-1,""))</f>
        <v/>
      </c>
      <c r="E377" s="115">
        <f>IF(B377="","",IFERROR(B377/INDEX($B$2:$B$800,MATCH(DATE(YEAR(A377)-1,MONTH(A377),1),$A$2:$A$800,0))-1,""))</f>
        <v/>
      </c>
    </row>
    <row r="378">
      <c r="A378" s="114" t="n">
        <v>45992</v>
      </c>
      <c r="B378" s="47" t="n">
        <v>1228.161</v>
      </c>
      <c r="C378" s="115">
        <f>IF(OR(B378="",B377=""),"",B378/B377-1)</f>
        <v/>
      </c>
      <c r="D378" s="115">
        <f>IF(B378="","",IFERROR(B378/INDEX($B$2:$B$800,MATCH(DATE(YEAR(A378)-1,12,1),$A$2:$A$800,0))-1,""))</f>
        <v/>
      </c>
      <c r="E378" s="115">
        <f>IF(B378="","",IFERROR(B378/INDEX($B$2:$B$800,MATCH(DATE(YEAR(A378)-1,MONTH(A378),1),$A$2:$A$800,0))-1,""))</f>
        <v/>
      </c>
    </row>
    <row r="379">
      <c r="A379" s="114" t="n">
        <v>46023</v>
      </c>
      <c r="B379" s="47" t="n">
        <v>1237.036</v>
      </c>
      <c r="C379" s="115">
        <f>IF(OR(B379="",B378=""),"",B379/B378-1)</f>
        <v/>
      </c>
      <c r="D379" s="115">
        <f>IF(B379="","",IFERROR(B379/INDEX($B$2:$B$800,MATCH(DATE(YEAR(A379)-1,12,1),$A$2:$A$800,0))-1,""))</f>
        <v/>
      </c>
      <c r="E379" s="115">
        <f>IF(B379="","",IFERROR(B379/INDEX($B$2:$B$800,MATCH(DATE(YEAR(A379)-1,MONTH(A379),1),$A$2:$A$800,0))-1,""))</f>
        <v/>
      </c>
    </row>
    <row r="380">
      <c r="A380" s="114" t="n">
        <v>46054</v>
      </c>
      <c r="B380" s="47" t="n">
        <v>1240.481</v>
      </c>
      <c r="C380" s="115">
        <f>IF(OR(B380="",B379=""),"",B380/B379-1)</f>
        <v/>
      </c>
      <c r="D380" s="115">
        <f>IF(B380="","",IFERROR(B380/INDEX($B$2:$B$800,MATCH(DATE(YEAR(A380)-1,12,1),$A$2:$A$800,0))-1,""))</f>
        <v/>
      </c>
      <c r="E380" s="115">
        <f>IF(B380="","",IFERROR(B380/INDEX($B$2:$B$800,MATCH(DATE(YEAR(A380)-1,MONTH(A380),1),$A$2:$A$800,0))-1,""))</f>
        <v/>
      </c>
    </row>
    <row r="381">
      <c r="A381" s="114" t="n">
        <v>46082</v>
      </c>
      <c r="B381" s="47" t="n">
        <v>1247.181</v>
      </c>
      <c r="C381" s="115">
        <f>IF(OR(B381="",B380=""),"",B381/B380-1)</f>
        <v/>
      </c>
      <c r="D381" s="115">
        <f>IF(B381="","",IFERROR(B381/INDEX($B$2:$B$800,MATCH(DATE(YEAR(A381)-1,12,1),$A$2:$A$800,0))-1,""))</f>
        <v/>
      </c>
      <c r="E381" s="115">
        <f>IF(B381="","",IFERROR(B381/INDEX($B$2:$B$800,MATCH(DATE(YEAR(A381)-1,MONTH(A381),1),$A$2:$A$800,0))-1,""))</f>
        <v/>
      </c>
    </row>
    <row r="382">
      <c r="A382" s="114" t="n">
        <v>46113</v>
      </c>
      <c r="B382" s="47" t="n">
        <v>1259.652</v>
      </c>
      <c r="C382" s="115">
        <f>IF(OR(B382="",B381=""),"",B382/B381-1)</f>
        <v/>
      </c>
      <c r="D382" s="115">
        <f>IF(B382="","",IFERROR(B382/INDEX($B$2:$B$800,MATCH(DATE(YEAR(A382)-1,12,1),$A$2:$A$800,0))-1,""))</f>
        <v/>
      </c>
      <c r="E382" s="115">
        <f>IF(B382="","",IFERROR(B382/INDEX($B$2:$B$800,MATCH(DATE(YEAR(A382)-1,MONTH(A382),1),$A$2:$A$800,0))-1,""))</f>
        <v/>
      </c>
    </row>
    <row r="383">
      <c r="A383" s="114" t="n">
        <v>46143</v>
      </c>
      <c r="B383" s="47" t="n">
        <v>1270.695</v>
      </c>
      <c r="C383" s="115">
        <f>IF(OR(B383="",B382=""),"",B383/B382-1)</f>
        <v/>
      </c>
      <c r="D383" s="115">
        <f>IF(B383="","",IFERROR(B383/INDEX($B$2:$B$800,MATCH(DATE(YEAR(A383)-1,12,1),$A$2:$A$800,0))-1,""))</f>
        <v/>
      </c>
      <c r="E383" s="115">
        <f>IF(B383="","",IFERROR(B383/INDEX($B$2:$B$800,MATCH(DATE(YEAR(A383)-1,MONTH(A383),1),$A$2:$A$800,0))-1,""))</f>
        <v/>
      </c>
    </row>
    <row r="384">
      <c r="A384" s="114" t="n">
        <v>46174</v>
      </c>
      <c r="B384" s="47" t="n">
        <v>1280.641</v>
      </c>
      <c r="C384" s="115">
        <f>IF(OR(B384="",B383=""),"",B384/B383-1)</f>
        <v/>
      </c>
      <c r="D384" s="115">
        <f>IF(B384="","",IFERROR(B384/INDEX($B$2:$B$800,MATCH(DATE(YEAR(A384)-1,12,1),$A$2:$A$800,0))-1,""))</f>
        <v/>
      </c>
      <c r="E384" s="115">
        <f>IF(B384="","",IFERROR(B384/INDEX($B$2:$B$800,MATCH(DATE(YEAR(A384)-1,MONTH(A384),1),$A$2:$A$800,0))-1,""))</f>
        <v/>
      </c>
    </row>
    <row r="385">
      <c r="A385" s="114" t="n">
        <v>46204</v>
      </c>
      <c r="B385" s="47" t="n">
        <v>1288.431</v>
      </c>
      <c r="C385" s="115">
        <f>IF(OR(B385="",B384=""),"",B385/B384-1)</f>
        <v/>
      </c>
      <c r="D385" s="115">
        <f>IF(B385="","",IFERROR(B385/INDEX($B$2:$B$800,MATCH(DATE(YEAR(A385)-1,12,1),$A$2:$A$800,0))-1,""))</f>
        <v/>
      </c>
      <c r="E385" s="115">
        <f>IF(B385="","",IFERROR(B385/INDEX($B$2:$B$800,MATCH(DATE(YEAR(A385)-1,MONTH(A385),1),$A$2:$A$800,0))-1,""))</f>
        <v/>
      </c>
    </row>
    <row r="386">
      <c r="A386" s="114" t="n">
        <v>46235</v>
      </c>
      <c r="B386" s="47" t="n">
        <v>1296.889</v>
      </c>
      <c r="C386" s="115">
        <f>IF(OR(B386="",B385=""),"",B386/B385-1)</f>
        <v/>
      </c>
      <c r="D386" s="115">
        <f>IF(B386="","",IFERROR(B386/INDEX($B$2:$B$800,MATCH(DATE(YEAR(A386)-1,12,1),$A$2:$A$800,0))-1,""))</f>
        <v/>
      </c>
      <c r="E386" s="115">
        <f>IF(B386="","",IFERROR(B386/INDEX($B$2:$B$800,MATCH(DATE(YEAR(A386)-1,MONTH(A386),1),$A$2:$A$800,0))-1,""))</f>
        <v/>
      </c>
    </row>
    <row r="387">
      <c r="A387" s="117" t="n"/>
      <c r="B387" s="118" t="n"/>
      <c r="C387" s="115">
        <f>IF(OR(B387="",B386=""),"",B387/B386-1)</f>
        <v/>
      </c>
      <c r="D387" s="115">
        <f>IF(B387="","",IFERROR(B387/INDEX($B$2:$B$800,MATCH(DATE(YEAR(A387)-1,12,1),$A$2:$A$800,0))-1,""))</f>
        <v/>
      </c>
      <c r="E387" s="115">
        <f>IF(B387="","",IFERROR(B387/INDEX($B$2:$B$800,MATCH(DATE(YEAR(A387)-1,MONTH(A387),1),$A$2:$A$800,0))-1,""))</f>
        <v/>
      </c>
    </row>
    <row r="388">
      <c r="A388" s="117" t="n"/>
      <c r="B388" s="118" t="n"/>
      <c r="C388" s="115">
        <f>IF(OR(B388="",B387=""),"",B388/B387-1)</f>
        <v/>
      </c>
      <c r="D388" s="115">
        <f>IF(B388="","",IFERROR(B388/INDEX($B$2:$B$800,MATCH(DATE(YEAR(A388)-1,12,1),$A$2:$A$800,0))-1,""))</f>
        <v/>
      </c>
      <c r="E388" s="115">
        <f>IF(B388="","",IFERROR(B388/INDEX($B$2:$B$800,MATCH(DATE(YEAR(A388)-1,MONTH(A388),1),$A$2:$A$800,0))-1,""))</f>
        <v/>
      </c>
    </row>
    <row r="389">
      <c r="A389" s="117" t="n"/>
      <c r="B389" s="118" t="n"/>
      <c r="C389" s="115">
        <f>IF(OR(B389="",B388=""),"",B389/B388-1)</f>
        <v/>
      </c>
      <c r="D389" s="115">
        <f>IF(B389="","",IFERROR(B389/INDEX($B$2:$B$800,MATCH(DATE(YEAR(A389)-1,12,1),$A$2:$A$800,0))-1,""))</f>
        <v/>
      </c>
      <c r="E389" s="115">
        <f>IF(B389="","",IFERROR(B389/INDEX($B$2:$B$800,MATCH(DATE(YEAR(A389)-1,MONTH(A389),1),$A$2:$A$800,0))-1,""))</f>
        <v/>
      </c>
    </row>
    <row r="390">
      <c r="A390" s="117" t="n"/>
      <c r="B390" s="118" t="n"/>
      <c r="C390" s="115">
        <f>IF(OR(B390="",B389=""),"",B390/B389-1)</f>
        <v/>
      </c>
      <c r="D390" s="115">
        <f>IF(B390="","",IFERROR(B390/INDEX($B$2:$B$800,MATCH(DATE(YEAR(A390)-1,12,1),$A$2:$A$800,0))-1,""))</f>
        <v/>
      </c>
      <c r="E390" s="115">
        <f>IF(B390="","",IFERROR(B390/INDEX($B$2:$B$800,MATCH(DATE(YEAR(A390)-1,MONTH(A390),1),$A$2:$A$800,0))-1,""))</f>
        <v/>
      </c>
    </row>
    <row r="391">
      <c r="A391" s="117" t="n"/>
      <c r="B391" s="118" t="n"/>
      <c r="C391" s="115">
        <f>IF(OR(B391="",B390=""),"",B391/B390-1)</f>
        <v/>
      </c>
      <c r="D391" s="115">
        <f>IF(B391="","",IFERROR(B391/INDEX($B$2:$B$800,MATCH(DATE(YEAR(A391)-1,12,1),$A$2:$A$800,0))-1,""))</f>
        <v/>
      </c>
      <c r="E391" s="115">
        <f>IF(B391="","",IFERROR(B391/INDEX($B$2:$B$800,MATCH(DATE(YEAR(A391)-1,MONTH(A391),1),$A$2:$A$800,0))-1,""))</f>
        <v/>
      </c>
    </row>
    <row r="392">
      <c r="A392" s="117" t="n"/>
      <c r="B392" s="118" t="n"/>
      <c r="C392" s="115">
        <f>IF(OR(B392="",B391=""),"",B392/B391-1)</f>
        <v/>
      </c>
      <c r="D392" s="115">
        <f>IF(B392="","",IFERROR(B392/INDEX($B$2:$B$800,MATCH(DATE(YEAR(A392)-1,12,1),$A$2:$A$800,0))-1,""))</f>
        <v/>
      </c>
      <c r="E392" s="115">
        <f>IF(B392="","",IFERROR(B392/INDEX($B$2:$B$800,MATCH(DATE(YEAR(A392)-1,MONTH(A392),1),$A$2:$A$800,0))-1,""))</f>
        <v/>
      </c>
    </row>
    <row r="393">
      <c r="A393" s="117" t="n"/>
      <c r="B393" s="118" t="n"/>
      <c r="C393" s="115">
        <f>IF(OR(B393="",B392=""),"",B393/B392-1)</f>
        <v/>
      </c>
      <c r="D393" s="115">
        <f>IF(B393="","",IFERROR(B393/INDEX($B$2:$B$800,MATCH(DATE(YEAR(A393)-1,12,1),$A$2:$A$800,0))-1,""))</f>
        <v/>
      </c>
      <c r="E393" s="115">
        <f>IF(B393="","",IFERROR(B393/INDEX($B$2:$B$800,MATCH(DATE(YEAR(A393)-1,MONTH(A393),1),$A$2:$A$800,0))-1,""))</f>
        <v/>
      </c>
    </row>
    <row r="394">
      <c r="A394" s="117" t="n"/>
      <c r="B394" s="118" t="n"/>
      <c r="C394" s="115">
        <f>IF(OR(B394="",B393=""),"",B394/B393-1)</f>
        <v/>
      </c>
      <c r="D394" s="115">
        <f>IF(B394="","",IFERROR(B394/INDEX($B$2:$B$800,MATCH(DATE(YEAR(A394)-1,12,1),$A$2:$A$800,0))-1,""))</f>
        <v/>
      </c>
      <c r="E394" s="115">
        <f>IF(B394="","",IFERROR(B394/INDEX($B$2:$B$800,MATCH(DATE(YEAR(A394)-1,MONTH(A394),1),$A$2:$A$800,0))-1,""))</f>
        <v/>
      </c>
    </row>
    <row r="395">
      <c r="A395" s="117" t="n"/>
      <c r="B395" s="118" t="n"/>
      <c r="C395" s="115">
        <f>IF(OR(B395="",B394=""),"",B395/B394-1)</f>
        <v/>
      </c>
      <c r="D395" s="115">
        <f>IF(B395="","",IFERROR(B395/INDEX($B$2:$B$800,MATCH(DATE(YEAR(A395)-1,12,1),$A$2:$A$800,0))-1,""))</f>
        <v/>
      </c>
      <c r="E395" s="115">
        <f>IF(B395="","",IFERROR(B395/INDEX($B$2:$B$800,MATCH(DATE(YEAR(A395)-1,MONTH(A395),1),$A$2:$A$800,0))-1,""))</f>
        <v/>
      </c>
    </row>
    <row r="396">
      <c r="A396" s="117" t="n"/>
      <c r="B396" s="118" t="n"/>
      <c r="C396" s="115">
        <f>IF(OR(B396="",B395=""),"",B396/B395-1)</f>
        <v/>
      </c>
      <c r="D396" s="115">
        <f>IF(B396="","",IFERROR(B396/INDEX($B$2:$B$800,MATCH(DATE(YEAR(A396)-1,12,1),$A$2:$A$800,0))-1,""))</f>
        <v/>
      </c>
      <c r="E396" s="115">
        <f>IF(B396="","",IFERROR(B396/INDEX($B$2:$B$800,MATCH(DATE(YEAR(A396)-1,MONTH(A396),1),$A$2:$A$800,0))-1,""))</f>
        <v/>
      </c>
    </row>
    <row r="397">
      <c r="A397" s="117" t="n"/>
      <c r="B397" s="118" t="n"/>
      <c r="C397" s="115">
        <f>IF(OR(B397="",B396=""),"",B397/B396-1)</f>
        <v/>
      </c>
      <c r="D397" s="115">
        <f>IF(B397="","",IFERROR(B397/INDEX($B$2:$B$800,MATCH(DATE(YEAR(A397)-1,12,1),$A$2:$A$800,0))-1,""))</f>
        <v/>
      </c>
      <c r="E397" s="115">
        <f>IF(B397="","",IFERROR(B397/INDEX($B$2:$B$800,MATCH(DATE(YEAR(A397)-1,MONTH(A397),1),$A$2:$A$800,0))-1,""))</f>
        <v/>
      </c>
    </row>
    <row r="398">
      <c r="A398" s="117" t="n"/>
      <c r="B398" s="118" t="n"/>
      <c r="C398" s="115">
        <f>IF(OR(B398="",B397=""),"",B398/B397-1)</f>
        <v/>
      </c>
      <c r="D398" s="115">
        <f>IF(B398="","",IFERROR(B398/INDEX($B$2:$B$800,MATCH(DATE(YEAR(A398)-1,12,1),$A$2:$A$800,0))-1,""))</f>
        <v/>
      </c>
      <c r="E398" s="115">
        <f>IF(B398="","",IFERROR(B398/INDEX($B$2:$B$800,MATCH(DATE(YEAR(A398)-1,MONTH(A398),1),$A$2:$A$800,0))-1,""))</f>
        <v/>
      </c>
    </row>
    <row r="399">
      <c r="A399" s="117" t="n"/>
      <c r="B399" s="118" t="n"/>
      <c r="C399" s="115">
        <f>IF(OR(B399="",B398=""),"",B399/B398-1)</f>
        <v/>
      </c>
      <c r="D399" s="115">
        <f>IF(B399="","",IFERROR(B399/INDEX($B$2:$B$800,MATCH(DATE(YEAR(A399)-1,12,1),$A$2:$A$800,0))-1,""))</f>
        <v/>
      </c>
      <c r="E399" s="115">
        <f>IF(B399="","",IFERROR(B399/INDEX($B$2:$B$800,MATCH(DATE(YEAR(A399)-1,MONTH(A399),1),$A$2:$A$800,0))-1,""))</f>
        <v/>
      </c>
    </row>
    <row r="400">
      <c r="A400" s="117" t="n"/>
      <c r="B400" s="118" t="n"/>
      <c r="C400" s="115">
        <f>IF(OR(B400="",B399=""),"",B400/B399-1)</f>
        <v/>
      </c>
      <c r="D400" s="115">
        <f>IF(B400="","",IFERROR(B400/INDEX($B$2:$B$800,MATCH(DATE(YEAR(A400)-1,12,1),$A$2:$A$800,0))-1,""))</f>
        <v/>
      </c>
      <c r="E400" s="115">
        <f>IF(B400="","",IFERROR(B400/INDEX($B$2:$B$800,MATCH(DATE(YEAR(A400)-1,MONTH(A400),1),$A$2:$A$800,0))-1,""))</f>
        <v/>
      </c>
    </row>
    <row r="401">
      <c r="A401" s="117" t="n"/>
      <c r="B401" s="118" t="n"/>
      <c r="C401" s="115">
        <f>IF(OR(B401="",B400=""),"",B401/B400-1)</f>
        <v/>
      </c>
      <c r="D401" s="115">
        <f>IF(B401="","",IFERROR(B401/INDEX($B$2:$B$800,MATCH(DATE(YEAR(A401)-1,12,1),$A$2:$A$800,0))-1,""))</f>
        <v/>
      </c>
      <c r="E401" s="115">
        <f>IF(B401="","",IFERROR(B401/INDEX($B$2:$B$800,MATCH(DATE(YEAR(A401)-1,MONTH(A401),1),$A$2:$A$800,0))-1,""))</f>
        <v/>
      </c>
    </row>
    <row r="402">
      <c r="A402" s="117" t="n"/>
      <c r="B402" s="118" t="n"/>
      <c r="C402" s="115">
        <f>IF(OR(B402="",B401=""),"",B402/B401-1)</f>
        <v/>
      </c>
      <c r="D402" s="115">
        <f>IF(B402="","",IFERROR(B402/INDEX($B$2:$B$800,MATCH(DATE(YEAR(A402)-1,12,1),$A$2:$A$800,0))-1,""))</f>
        <v/>
      </c>
      <c r="E402" s="115">
        <f>IF(B402="","",IFERROR(B402/INDEX($B$2:$B$800,MATCH(DATE(YEAR(A402)-1,MONTH(A402),1),$A$2:$A$800,0))-1,""))</f>
        <v/>
      </c>
    </row>
    <row r="403">
      <c r="A403" s="117" t="n"/>
      <c r="B403" s="118" t="n"/>
      <c r="C403" s="115">
        <f>IF(OR(B403="",B402=""),"",B403/B402-1)</f>
        <v/>
      </c>
      <c r="D403" s="115">
        <f>IF(B403="","",IFERROR(B403/INDEX($B$2:$B$800,MATCH(DATE(YEAR(A403)-1,12,1),$A$2:$A$800,0))-1,""))</f>
        <v/>
      </c>
      <c r="E403" s="115">
        <f>IF(B403="","",IFERROR(B403/INDEX($B$2:$B$800,MATCH(DATE(YEAR(A403)-1,MONTH(A403),1),$A$2:$A$800,0))-1,""))</f>
        <v/>
      </c>
    </row>
    <row r="404">
      <c r="A404" s="117" t="n"/>
      <c r="B404" s="118" t="n"/>
      <c r="C404" s="115">
        <f>IF(OR(B404="",B403=""),"",B404/B403-1)</f>
        <v/>
      </c>
      <c r="D404" s="115">
        <f>IF(B404="","",IFERROR(B404/INDEX($B$2:$B$800,MATCH(DATE(YEAR(A404)-1,12,1),$A$2:$A$800,0))-1,""))</f>
        <v/>
      </c>
      <c r="E404" s="115">
        <f>IF(B404="","",IFERROR(B404/INDEX($B$2:$B$800,MATCH(DATE(YEAR(A404)-1,MONTH(A404),1),$A$2:$A$800,0))-1,""))</f>
        <v/>
      </c>
    </row>
    <row r="405">
      <c r="A405" s="117" t="n"/>
      <c r="B405" s="118" t="n"/>
      <c r="C405" s="115">
        <f>IF(OR(B405="",B404=""),"",B405/B404-1)</f>
        <v/>
      </c>
      <c r="D405" s="115">
        <f>IF(B405="","",IFERROR(B405/INDEX($B$2:$B$800,MATCH(DATE(YEAR(A405)-1,12,1),$A$2:$A$800,0))-1,""))</f>
        <v/>
      </c>
      <c r="E405" s="115">
        <f>IF(B405="","",IFERROR(B405/INDEX($B$2:$B$800,MATCH(DATE(YEAR(A405)-1,MONTH(A405),1),$A$2:$A$800,0))-1,""))</f>
        <v/>
      </c>
    </row>
    <row r="406">
      <c r="A406" s="117" t="n"/>
      <c r="B406" s="118" t="n"/>
      <c r="C406" s="115">
        <f>IF(OR(B406="",B405=""),"",B406/B405-1)</f>
        <v/>
      </c>
      <c r="D406" s="115">
        <f>IF(B406="","",IFERROR(B406/INDEX($B$2:$B$800,MATCH(DATE(YEAR(A406)-1,12,1),$A$2:$A$800,0))-1,""))</f>
        <v/>
      </c>
      <c r="E406" s="115">
        <f>IF(B406="","",IFERROR(B406/INDEX($B$2:$B$800,MATCH(DATE(YEAR(A406)-1,MONTH(A406),1),$A$2:$A$800,0))-1,""))</f>
        <v/>
      </c>
    </row>
    <row r="407">
      <c r="A407" s="117" t="n"/>
      <c r="B407" s="118" t="n"/>
      <c r="C407" s="115">
        <f>IF(OR(B407="",B406=""),"",B407/B406-1)</f>
        <v/>
      </c>
      <c r="D407" s="115">
        <f>IF(B407="","",IFERROR(B407/INDEX($B$2:$B$800,MATCH(DATE(YEAR(A407)-1,12,1),$A$2:$A$800,0))-1,""))</f>
        <v/>
      </c>
      <c r="E407" s="115">
        <f>IF(B407="","",IFERROR(B407/INDEX($B$2:$B$800,MATCH(DATE(YEAR(A407)-1,MONTH(A407),1),$A$2:$A$800,0))-1,""))</f>
        <v/>
      </c>
    </row>
    <row r="408">
      <c r="A408" s="117" t="n"/>
      <c r="B408" s="118" t="n"/>
      <c r="C408" s="115">
        <f>IF(OR(B408="",B407=""),"",B408/B407-1)</f>
        <v/>
      </c>
      <c r="D408" s="115">
        <f>IF(B408="","",IFERROR(B408/INDEX($B$2:$B$800,MATCH(DATE(YEAR(A408)-1,12,1),$A$2:$A$800,0))-1,""))</f>
        <v/>
      </c>
      <c r="E408" s="115">
        <f>IF(B408="","",IFERROR(B408/INDEX($B$2:$B$800,MATCH(DATE(YEAR(A408)-1,MONTH(A408),1),$A$2:$A$800,0))-1,""))</f>
        <v/>
      </c>
    </row>
    <row r="409">
      <c r="A409" s="117" t="n"/>
      <c r="B409" s="118" t="n"/>
      <c r="C409" s="115">
        <f>IF(OR(B409="",B408=""),"",B409/B408-1)</f>
        <v/>
      </c>
      <c r="D409" s="115">
        <f>IF(B409="","",IFERROR(B409/INDEX($B$2:$B$800,MATCH(DATE(YEAR(A409)-1,12,1),$A$2:$A$800,0))-1,""))</f>
        <v/>
      </c>
      <c r="E409" s="115">
        <f>IF(B409="","",IFERROR(B409/INDEX($B$2:$B$800,MATCH(DATE(YEAR(A409)-1,MONTH(A409),1),$A$2:$A$800,0))-1,""))</f>
        <v/>
      </c>
    </row>
    <row r="410">
      <c r="A410" s="117" t="n"/>
      <c r="B410" s="118" t="n"/>
      <c r="C410" s="115">
        <f>IF(OR(B410="",B409=""),"",B410/B409-1)</f>
        <v/>
      </c>
      <c r="D410" s="115">
        <f>IF(B410="","",IFERROR(B410/INDEX($B$2:$B$800,MATCH(DATE(YEAR(A410)-1,12,1),$A$2:$A$800,0))-1,""))</f>
        <v/>
      </c>
      <c r="E410" s="115">
        <f>IF(B410="","",IFERROR(B410/INDEX($B$2:$B$800,MATCH(DATE(YEAR(A410)-1,MONTH(A410),1),$A$2:$A$800,0))-1,""))</f>
        <v/>
      </c>
    </row>
    <row r="411">
      <c r="A411" s="117" t="n"/>
      <c r="B411" s="118" t="n"/>
      <c r="C411" s="115">
        <f>IF(OR(B411="",B410=""),"",B411/B410-1)</f>
        <v/>
      </c>
      <c r="D411" s="115">
        <f>IF(B411="","",IFERROR(B411/INDEX($B$2:$B$800,MATCH(DATE(YEAR(A411)-1,12,1),$A$2:$A$800,0))-1,""))</f>
        <v/>
      </c>
      <c r="E411" s="115">
        <f>IF(B411="","",IFERROR(B411/INDEX($B$2:$B$800,MATCH(DATE(YEAR(A411)-1,MONTH(A411),1),$A$2:$A$800,0))-1,""))</f>
        <v/>
      </c>
    </row>
    <row r="412">
      <c r="A412" s="117" t="n"/>
      <c r="B412" s="118" t="n"/>
      <c r="C412" s="115">
        <f>IF(OR(B412="",B411=""),"",B412/B411-1)</f>
        <v/>
      </c>
      <c r="D412" s="115">
        <f>IF(B412="","",IFERROR(B412/INDEX($B$2:$B$800,MATCH(DATE(YEAR(A412)-1,12,1),$A$2:$A$800,0))-1,""))</f>
        <v/>
      </c>
      <c r="E412" s="115">
        <f>IF(B412="","",IFERROR(B412/INDEX($B$2:$B$800,MATCH(DATE(YEAR(A412)-1,MONTH(A412),1),$A$2:$A$800,0))-1,""))</f>
        <v/>
      </c>
    </row>
    <row r="413">
      <c r="A413" s="117" t="n"/>
      <c r="B413" s="118" t="n"/>
      <c r="C413" s="115">
        <f>IF(OR(B413="",B412=""),"",B413/B412-1)</f>
        <v/>
      </c>
      <c r="D413" s="115">
        <f>IF(B413="","",IFERROR(B413/INDEX($B$2:$B$800,MATCH(DATE(YEAR(A413)-1,12,1),$A$2:$A$800,0))-1,""))</f>
        <v/>
      </c>
      <c r="E413" s="115">
        <f>IF(B413="","",IFERROR(B413/INDEX($B$2:$B$800,MATCH(DATE(YEAR(A413)-1,MONTH(A413),1),$A$2:$A$800,0))-1,""))</f>
        <v/>
      </c>
    </row>
    <row r="414">
      <c r="A414" s="117" t="n"/>
      <c r="B414" s="118" t="n"/>
      <c r="C414" s="115">
        <f>IF(OR(B414="",B413=""),"",B414/B413-1)</f>
        <v/>
      </c>
      <c r="D414" s="115">
        <f>IF(B414="","",IFERROR(B414/INDEX($B$2:$B$800,MATCH(DATE(YEAR(A414)-1,12,1),$A$2:$A$800,0))-1,""))</f>
        <v/>
      </c>
      <c r="E414" s="115">
        <f>IF(B414="","",IFERROR(B414/INDEX($B$2:$B$800,MATCH(DATE(YEAR(A414)-1,MONTH(A414),1),$A$2:$A$800,0))-1,""))</f>
        <v/>
      </c>
    </row>
    <row r="415">
      <c r="A415" s="117" t="n"/>
      <c r="B415" s="118" t="n"/>
      <c r="C415" s="115">
        <f>IF(OR(B415="",B414=""),"",B415/B414-1)</f>
        <v/>
      </c>
      <c r="D415" s="115">
        <f>IF(B415="","",IFERROR(B415/INDEX($B$2:$B$800,MATCH(DATE(YEAR(A415)-1,12,1),$A$2:$A$800,0))-1,""))</f>
        <v/>
      </c>
      <c r="E415" s="115">
        <f>IF(B415="","",IFERROR(B415/INDEX($B$2:$B$800,MATCH(DATE(YEAR(A415)-1,MONTH(A415),1),$A$2:$A$800,0))-1,""))</f>
        <v/>
      </c>
    </row>
    <row r="416">
      <c r="A416" s="117" t="n"/>
      <c r="B416" s="118" t="n"/>
      <c r="C416" s="115">
        <f>IF(OR(B416="",B415=""),"",B416/B415-1)</f>
        <v/>
      </c>
      <c r="D416" s="115">
        <f>IF(B416="","",IFERROR(B416/INDEX($B$2:$B$800,MATCH(DATE(YEAR(A416)-1,12,1),$A$2:$A$800,0))-1,""))</f>
        <v/>
      </c>
      <c r="E416" s="115">
        <f>IF(B416="","",IFERROR(B416/INDEX($B$2:$B$800,MATCH(DATE(YEAR(A416)-1,MONTH(A416),1),$A$2:$A$800,0))-1,""))</f>
        <v/>
      </c>
    </row>
    <row r="417">
      <c r="A417" s="117" t="n"/>
      <c r="B417" s="118" t="n"/>
      <c r="C417" s="115">
        <f>IF(OR(B417="",B416=""),"",B417/B416-1)</f>
        <v/>
      </c>
      <c r="D417" s="115">
        <f>IF(B417="","",IFERROR(B417/INDEX($B$2:$B$800,MATCH(DATE(YEAR(A417)-1,12,1),$A$2:$A$800,0))-1,""))</f>
        <v/>
      </c>
      <c r="E417" s="115">
        <f>IF(B417="","",IFERROR(B417/INDEX($B$2:$B$800,MATCH(DATE(YEAR(A417)-1,MONTH(A417),1),$A$2:$A$800,0))-1,""))</f>
        <v/>
      </c>
    </row>
    <row r="418">
      <c r="A418" s="117" t="n"/>
      <c r="B418" s="118" t="n"/>
      <c r="C418" s="115">
        <f>IF(OR(B418="",B417=""),"",B418/B417-1)</f>
        <v/>
      </c>
      <c r="D418" s="115">
        <f>IF(B418="","",IFERROR(B418/INDEX($B$2:$B$800,MATCH(DATE(YEAR(A418)-1,12,1),$A$2:$A$800,0))-1,""))</f>
        <v/>
      </c>
      <c r="E418" s="115">
        <f>IF(B418="","",IFERROR(B418/INDEX($B$2:$B$800,MATCH(DATE(YEAR(A418)-1,MONTH(A418),1),$A$2:$A$800,0))-1,""))</f>
        <v/>
      </c>
    </row>
    <row r="419">
      <c r="A419" s="117" t="n"/>
      <c r="B419" s="118" t="n"/>
      <c r="C419" s="115">
        <f>IF(OR(B419="",B418=""),"",B419/B418-1)</f>
        <v/>
      </c>
      <c r="D419" s="115">
        <f>IF(B419="","",IFERROR(B419/INDEX($B$2:$B$800,MATCH(DATE(YEAR(A419)-1,12,1),$A$2:$A$800,0))-1,""))</f>
        <v/>
      </c>
      <c r="E419" s="115">
        <f>IF(B419="","",IFERROR(B419/INDEX($B$2:$B$800,MATCH(DATE(YEAR(A419)-1,MONTH(A419),1),$A$2:$A$800,0))-1,""))</f>
        <v/>
      </c>
    </row>
    <row r="420">
      <c r="A420" s="117" t="n"/>
      <c r="B420" s="118" t="n"/>
      <c r="C420" s="115">
        <f>IF(OR(B420="",B419=""),"",B420/B419-1)</f>
        <v/>
      </c>
      <c r="D420" s="115">
        <f>IF(B420="","",IFERROR(B420/INDEX($B$2:$B$800,MATCH(DATE(YEAR(A420)-1,12,1),$A$2:$A$800,0))-1,""))</f>
        <v/>
      </c>
      <c r="E420" s="115">
        <f>IF(B420="","",IFERROR(B420/INDEX($B$2:$B$800,MATCH(DATE(YEAR(A420)-1,MONTH(A420),1),$A$2:$A$800,0))-1,""))</f>
        <v/>
      </c>
    </row>
    <row r="421">
      <c r="A421" s="117" t="n"/>
      <c r="B421" s="118" t="n"/>
      <c r="C421" s="115">
        <f>IF(OR(B421="",B420=""),"",B421/B420-1)</f>
        <v/>
      </c>
      <c r="D421" s="115">
        <f>IF(B421="","",IFERROR(B421/INDEX($B$2:$B$800,MATCH(DATE(YEAR(A421)-1,12,1),$A$2:$A$800,0))-1,""))</f>
        <v/>
      </c>
      <c r="E421" s="115">
        <f>IF(B421="","",IFERROR(B421/INDEX($B$2:$B$800,MATCH(DATE(YEAR(A421)-1,MONTH(A421),1),$A$2:$A$800,0))-1,""))</f>
        <v/>
      </c>
    </row>
    <row r="422">
      <c r="A422" s="117" t="n"/>
      <c r="B422" s="118" t="n"/>
      <c r="C422" s="115">
        <f>IF(OR(B422="",B421=""),"",B422/B421-1)</f>
        <v/>
      </c>
      <c r="D422" s="115">
        <f>IF(B422="","",IFERROR(B422/INDEX($B$2:$B$800,MATCH(DATE(YEAR(A422)-1,12,1),$A$2:$A$800,0))-1,""))</f>
        <v/>
      </c>
      <c r="E422" s="115">
        <f>IF(B422="","",IFERROR(B422/INDEX($B$2:$B$800,MATCH(DATE(YEAR(A422)-1,MONTH(A422),1),$A$2:$A$800,0))-1,""))</f>
        <v/>
      </c>
    </row>
    <row r="423">
      <c r="A423" s="117" t="n"/>
      <c r="B423" s="118" t="n"/>
      <c r="C423" s="115">
        <f>IF(OR(B423="",B422=""),"",B423/B422-1)</f>
        <v/>
      </c>
      <c r="D423" s="115">
        <f>IF(B423="","",IFERROR(B423/INDEX($B$2:$B$800,MATCH(DATE(YEAR(A423)-1,12,1),$A$2:$A$800,0))-1,""))</f>
        <v/>
      </c>
      <c r="E423" s="115">
        <f>IF(B423="","",IFERROR(B423/INDEX($B$2:$B$800,MATCH(DATE(YEAR(A423)-1,MONTH(A423),1),$A$2:$A$800,0))-1,""))</f>
        <v/>
      </c>
    </row>
    <row r="424">
      <c r="A424" s="117" t="n"/>
      <c r="B424" s="118" t="n"/>
      <c r="C424" s="115">
        <f>IF(OR(B424="",B423=""),"",B424/B423-1)</f>
        <v/>
      </c>
      <c r="D424" s="115">
        <f>IF(B424="","",IFERROR(B424/INDEX($B$2:$B$800,MATCH(DATE(YEAR(A424)-1,12,1),$A$2:$A$800,0))-1,""))</f>
        <v/>
      </c>
      <c r="E424" s="115">
        <f>IF(B424="","",IFERROR(B424/INDEX($B$2:$B$800,MATCH(DATE(YEAR(A424)-1,MONTH(A424),1),$A$2:$A$800,0))-1,""))</f>
        <v/>
      </c>
    </row>
    <row r="425">
      <c r="A425" s="117" t="n"/>
      <c r="B425" s="118" t="n"/>
      <c r="C425" s="115">
        <f>IF(OR(B425="",B424=""),"",B425/B424-1)</f>
        <v/>
      </c>
      <c r="D425" s="115">
        <f>IF(B425="","",IFERROR(B425/INDEX($B$2:$B$800,MATCH(DATE(YEAR(A425)-1,12,1),$A$2:$A$800,0))-1,""))</f>
        <v/>
      </c>
      <c r="E425" s="115">
        <f>IF(B425="","",IFERROR(B425/INDEX($B$2:$B$800,MATCH(DATE(YEAR(A425)-1,MONTH(A425),1),$A$2:$A$800,0))-1,""))</f>
        <v/>
      </c>
    </row>
    <row r="426">
      <c r="A426" s="117" t="n"/>
      <c r="B426" s="118" t="n"/>
      <c r="C426" s="115">
        <f>IF(OR(B426="",B425=""),"",B426/B425-1)</f>
        <v/>
      </c>
      <c r="D426" s="115">
        <f>IF(B426="","",IFERROR(B426/INDEX($B$2:$B$800,MATCH(DATE(YEAR(A426)-1,12,1),$A$2:$A$800,0))-1,""))</f>
        <v/>
      </c>
      <c r="E426" s="115">
        <f>IF(B426="","",IFERROR(B426/INDEX($B$2:$B$800,MATCH(DATE(YEAR(A426)-1,MONTH(A426),1),$A$2:$A$800,0))-1,""))</f>
        <v/>
      </c>
    </row>
    <row r="427">
      <c r="A427" s="117" t="n"/>
      <c r="B427" s="118" t="n"/>
      <c r="C427" s="115">
        <f>IF(OR(B427="",B426=""),"",B427/B426-1)</f>
        <v/>
      </c>
      <c r="D427" s="115">
        <f>IF(B427="","",IFERROR(B427/INDEX($B$2:$B$800,MATCH(DATE(YEAR(A427)-1,12,1),$A$2:$A$800,0))-1,""))</f>
        <v/>
      </c>
      <c r="E427" s="115">
        <f>IF(B427="","",IFERROR(B427/INDEX($B$2:$B$800,MATCH(DATE(YEAR(A427)-1,MONTH(A427),1),$A$2:$A$800,0))-1,""))</f>
        <v/>
      </c>
    </row>
    <row r="428">
      <c r="A428" s="117" t="n"/>
      <c r="B428" s="118" t="n"/>
      <c r="C428" s="115">
        <f>IF(OR(B428="",B427=""),"",B428/B427-1)</f>
        <v/>
      </c>
      <c r="D428" s="115">
        <f>IF(B428="","",IFERROR(B428/INDEX($B$2:$B$800,MATCH(DATE(YEAR(A428)-1,12,1),$A$2:$A$800,0))-1,""))</f>
        <v/>
      </c>
      <c r="E428" s="115">
        <f>IF(B428="","",IFERROR(B428/INDEX($B$2:$B$800,MATCH(DATE(YEAR(A428)-1,MONTH(A428),1),$A$2:$A$800,0))-1,""))</f>
        <v/>
      </c>
    </row>
    <row r="429">
      <c r="A429" s="117" t="n"/>
      <c r="B429" s="118" t="n"/>
      <c r="C429" s="115">
        <f>IF(OR(B429="",B428=""),"",B429/B428-1)</f>
        <v/>
      </c>
      <c r="D429" s="115">
        <f>IF(B429="","",IFERROR(B429/INDEX($B$2:$B$800,MATCH(DATE(YEAR(A429)-1,12,1),$A$2:$A$800,0))-1,""))</f>
        <v/>
      </c>
      <c r="E429" s="115">
        <f>IF(B429="","",IFERROR(B429/INDEX($B$2:$B$800,MATCH(DATE(YEAR(A429)-1,MONTH(A429),1),$A$2:$A$800,0))-1,""))</f>
        <v/>
      </c>
    </row>
    <row r="430">
      <c r="A430" s="117" t="n"/>
      <c r="B430" s="118" t="n"/>
      <c r="C430" s="115">
        <f>IF(OR(B430="",B429=""),"",B430/B429-1)</f>
        <v/>
      </c>
      <c r="D430" s="115">
        <f>IF(B430="","",IFERROR(B430/INDEX($B$2:$B$800,MATCH(DATE(YEAR(A430)-1,12,1),$A$2:$A$800,0))-1,""))</f>
        <v/>
      </c>
      <c r="E430" s="115">
        <f>IF(B430="","",IFERROR(B430/INDEX($B$2:$B$800,MATCH(DATE(YEAR(A430)-1,MONTH(A430),1),$A$2:$A$800,0))-1,""))</f>
        <v/>
      </c>
    </row>
    <row r="431">
      <c r="A431" s="117" t="n"/>
      <c r="B431" s="118" t="n"/>
      <c r="C431" s="115">
        <f>IF(OR(B431="",B430=""),"",B431/B430-1)</f>
        <v/>
      </c>
      <c r="D431" s="115">
        <f>IF(B431="","",IFERROR(B431/INDEX($B$2:$B$800,MATCH(DATE(YEAR(A431)-1,12,1),$A$2:$A$800,0))-1,""))</f>
        <v/>
      </c>
      <c r="E431" s="115">
        <f>IF(B431="","",IFERROR(B431/INDEX($B$2:$B$800,MATCH(DATE(YEAR(A431)-1,MONTH(A431),1),$A$2:$A$800,0))-1,""))</f>
        <v/>
      </c>
    </row>
    <row r="432">
      <c r="A432" s="117" t="n"/>
      <c r="B432" s="118" t="n"/>
      <c r="C432" s="115">
        <f>IF(OR(B432="",B431=""),"",B432/B431-1)</f>
        <v/>
      </c>
      <c r="D432" s="115">
        <f>IF(B432="","",IFERROR(B432/INDEX($B$2:$B$800,MATCH(DATE(YEAR(A432)-1,12,1),$A$2:$A$800,0))-1,""))</f>
        <v/>
      </c>
      <c r="E432" s="115">
        <f>IF(B432="","",IFERROR(B432/INDEX($B$2:$B$800,MATCH(DATE(YEAR(A432)-1,MONTH(A432),1),$A$2:$A$800,0))-1,""))</f>
        <v/>
      </c>
    </row>
    <row r="433">
      <c r="A433" s="117" t="n"/>
      <c r="B433" s="118" t="n"/>
      <c r="C433" s="115">
        <f>IF(OR(B433="",B432=""),"",B433/B432-1)</f>
        <v/>
      </c>
      <c r="D433" s="115">
        <f>IF(B433="","",IFERROR(B433/INDEX($B$2:$B$800,MATCH(DATE(YEAR(A433)-1,12,1),$A$2:$A$800,0))-1,""))</f>
        <v/>
      </c>
      <c r="E433" s="115">
        <f>IF(B433="","",IFERROR(B433/INDEX($B$2:$B$800,MATCH(DATE(YEAR(A433)-1,MONTH(A433),1),$A$2:$A$800,0))-1,""))</f>
        <v/>
      </c>
    </row>
    <row r="434">
      <c r="A434" s="117" t="n"/>
      <c r="B434" s="118" t="n"/>
      <c r="C434" s="115">
        <f>IF(OR(B434="",B433=""),"",B434/B433-1)</f>
        <v/>
      </c>
      <c r="D434" s="115">
        <f>IF(B434="","",IFERROR(B434/INDEX($B$2:$B$800,MATCH(DATE(YEAR(A434)-1,12,1),$A$2:$A$800,0))-1,""))</f>
        <v/>
      </c>
      <c r="E434" s="115">
        <f>IF(B434="","",IFERROR(B434/INDEX($B$2:$B$800,MATCH(DATE(YEAR(A434)-1,MONTH(A434),1),$A$2:$A$800,0))-1,""))</f>
        <v/>
      </c>
    </row>
    <row r="435">
      <c r="A435" s="117" t="n"/>
      <c r="B435" s="118" t="n"/>
      <c r="C435" s="115">
        <f>IF(OR(B435="",B434=""),"",B435/B434-1)</f>
        <v/>
      </c>
      <c r="D435" s="115">
        <f>IF(B435="","",IFERROR(B435/INDEX($B$2:$B$800,MATCH(DATE(YEAR(A435)-1,12,1),$A$2:$A$800,0))-1,""))</f>
        <v/>
      </c>
      <c r="E435" s="115">
        <f>IF(B435="","",IFERROR(B435/INDEX($B$2:$B$800,MATCH(DATE(YEAR(A435)-1,MONTH(A435),1),$A$2:$A$800,0))-1,""))</f>
        <v/>
      </c>
    </row>
    <row r="436">
      <c r="A436" s="117" t="n"/>
      <c r="B436" s="118" t="n"/>
      <c r="C436" s="115">
        <f>IF(OR(B436="",B435=""),"",B436/B435-1)</f>
        <v/>
      </c>
      <c r="D436" s="115">
        <f>IF(B436="","",IFERROR(B436/INDEX($B$2:$B$800,MATCH(DATE(YEAR(A436)-1,12,1),$A$2:$A$800,0))-1,""))</f>
        <v/>
      </c>
      <c r="E436" s="115">
        <f>IF(B436="","",IFERROR(B436/INDEX($B$2:$B$800,MATCH(DATE(YEAR(A436)-1,MONTH(A436),1),$A$2:$A$800,0))-1,""))</f>
        <v/>
      </c>
    </row>
    <row r="437">
      <c r="A437" s="117" t="n"/>
      <c r="B437" s="118" t="n"/>
      <c r="C437" s="115">
        <f>IF(OR(B437="",B436=""),"",B437/B436-1)</f>
        <v/>
      </c>
      <c r="D437" s="115">
        <f>IF(B437="","",IFERROR(B437/INDEX($B$2:$B$800,MATCH(DATE(YEAR(A437)-1,12,1),$A$2:$A$800,0))-1,""))</f>
        <v/>
      </c>
      <c r="E437" s="115">
        <f>IF(B437="","",IFERROR(B437/INDEX($B$2:$B$800,MATCH(DATE(YEAR(A437)-1,MONTH(A437),1),$A$2:$A$800,0))-1,""))</f>
        <v/>
      </c>
    </row>
    <row r="438">
      <c r="A438" s="117" t="n"/>
      <c r="B438" s="118" t="n"/>
      <c r="C438" s="115">
        <f>IF(OR(B438="",B437=""),"",B438/B437-1)</f>
        <v/>
      </c>
      <c r="D438" s="115">
        <f>IF(B438="","",IFERROR(B438/INDEX($B$2:$B$800,MATCH(DATE(YEAR(A438)-1,12,1),$A$2:$A$800,0))-1,""))</f>
        <v/>
      </c>
      <c r="E438" s="115">
        <f>IF(B438="","",IFERROR(B438/INDEX($B$2:$B$800,MATCH(DATE(YEAR(A438)-1,MONTH(A438),1),$A$2:$A$800,0))-1,""))</f>
        <v/>
      </c>
    </row>
    <row r="439">
      <c r="A439" s="117" t="n"/>
      <c r="B439" s="118" t="n"/>
      <c r="C439" s="115">
        <f>IF(OR(B439="",B438=""),"",B439/B438-1)</f>
        <v/>
      </c>
      <c r="D439" s="115">
        <f>IF(B439="","",IFERROR(B439/INDEX($B$2:$B$800,MATCH(DATE(YEAR(A439)-1,12,1),$A$2:$A$800,0))-1,""))</f>
        <v/>
      </c>
      <c r="E439" s="115">
        <f>IF(B439="","",IFERROR(B439/INDEX($B$2:$B$800,MATCH(DATE(YEAR(A439)-1,MONTH(A439),1),$A$2:$A$800,0))-1,""))</f>
        <v/>
      </c>
    </row>
    <row r="440">
      <c r="A440" s="117" t="n"/>
      <c r="B440" s="118" t="n"/>
      <c r="C440" s="115">
        <f>IF(OR(B440="",B439=""),"",B440/B439-1)</f>
        <v/>
      </c>
      <c r="D440" s="115">
        <f>IF(B440="","",IFERROR(B440/INDEX($B$2:$B$800,MATCH(DATE(YEAR(A440)-1,12,1),$A$2:$A$800,0))-1,""))</f>
        <v/>
      </c>
      <c r="E440" s="115">
        <f>IF(B440="","",IFERROR(B440/INDEX($B$2:$B$800,MATCH(DATE(YEAR(A440)-1,MONTH(A440),1),$A$2:$A$800,0))-1,""))</f>
        <v/>
      </c>
    </row>
    <row r="441">
      <c r="A441" s="117" t="n"/>
      <c r="B441" s="118" t="n"/>
      <c r="C441" s="115">
        <f>IF(OR(B441="",B440=""),"",B441/B440-1)</f>
        <v/>
      </c>
      <c r="D441" s="115">
        <f>IF(B441="","",IFERROR(B441/INDEX($B$2:$B$800,MATCH(DATE(YEAR(A441)-1,12,1),$A$2:$A$800,0))-1,""))</f>
        <v/>
      </c>
      <c r="E441" s="115">
        <f>IF(B441="","",IFERROR(B441/INDEX($B$2:$B$800,MATCH(DATE(YEAR(A441)-1,MONTH(A441),1),$A$2:$A$800,0))-1,""))</f>
        <v/>
      </c>
    </row>
    <row r="442">
      <c r="A442" s="117" t="n"/>
      <c r="B442" s="118" t="n"/>
      <c r="C442" s="115">
        <f>IF(OR(B442="",B441=""),"",B442/B441-1)</f>
        <v/>
      </c>
      <c r="D442" s="115">
        <f>IF(B442="","",IFERROR(B442/INDEX($B$2:$B$800,MATCH(DATE(YEAR(A442)-1,12,1),$A$2:$A$800,0))-1,""))</f>
        <v/>
      </c>
      <c r="E442" s="115">
        <f>IF(B442="","",IFERROR(B442/INDEX($B$2:$B$800,MATCH(DATE(YEAR(A442)-1,MONTH(A442),1),$A$2:$A$800,0))-1,""))</f>
        <v/>
      </c>
    </row>
    <row r="443">
      <c r="A443" s="117" t="n"/>
      <c r="B443" s="118" t="n"/>
      <c r="C443" s="115">
        <f>IF(OR(B443="",B442=""),"",B443/B442-1)</f>
        <v/>
      </c>
      <c r="D443" s="115">
        <f>IF(B443="","",IFERROR(B443/INDEX($B$2:$B$800,MATCH(DATE(YEAR(A443)-1,12,1),$A$2:$A$800,0))-1,""))</f>
        <v/>
      </c>
      <c r="E443" s="115">
        <f>IF(B443="","",IFERROR(B443/INDEX($B$2:$B$800,MATCH(DATE(YEAR(A443)-1,MONTH(A443),1),$A$2:$A$800,0))-1,""))</f>
        <v/>
      </c>
    </row>
    <row r="444">
      <c r="A444" s="117" t="n"/>
      <c r="B444" s="118" t="n"/>
      <c r="C444" s="115">
        <f>IF(OR(B444="",B443=""),"",B444/B443-1)</f>
        <v/>
      </c>
      <c r="D444" s="115">
        <f>IF(B444="","",IFERROR(B444/INDEX($B$2:$B$800,MATCH(DATE(YEAR(A444)-1,12,1),$A$2:$A$800,0))-1,""))</f>
        <v/>
      </c>
      <c r="E444" s="115">
        <f>IF(B444="","",IFERROR(B444/INDEX($B$2:$B$800,MATCH(DATE(YEAR(A444)-1,MONTH(A444),1),$A$2:$A$800,0))-1,""))</f>
        <v/>
      </c>
    </row>
    <row r="445">
      <c r="A445" s="117" t="n"/>
      <c r="B445" s="118" t="n"/>
      <c r="C445" s="115">
        <f>IF(OR(B445="",B444=""),"",B445/B444-1)</f>
        <v/>
      </c>
      <c r="D445" s="115">
        <f>IF(B445="","",IFERROR(B445/INDEX($B$2:$B$800,MATCH(DATE(YEAR(A445)-1,12,1),$A$2:$A$800,0))-1,""))</f>
        <v/>
      </c>
      <c r="E445" s="115">
        <f>IF(B445="","",IFERROR(B445/INDEX($B$2:$B$800,MATCH(DATE(YEAR(A445)-1,MONTH(A445),1),$A$2:$A$800,0))-1,""))</f>
        <v/>
      </c>
    </row>
    <row r="446">
      <c r="A446" s="117" t="n"/>
      <c r="B446" s="118" t="n"/>
      <c r="C446" s="115">
        <f>IF(OR(B446="",B445=""),"",B446/B445-1)</f>
        <v/>
      </c>
      <c r="D446" s="115">
        <f>IF(B446="","",IFERROR(B446/INDEX($B$2:$B$800,MATCH(DATE(YEAR(A446)-1,12,1),$A$2:$A$800,0))-1,""))</f>
        <v/>
      </c>
      <c r="E446" s="115">
        <f>IF(B446="","",IFERROR(B446/INDEX($B$2:$B$800,MATCH(DATE(YEAR(A446)-1,MONTH(A446),1),$A$2:$A$800,0))-1,""))</f>
        <v/>
      </c>
    </row>
    <row r="447">
      <c r="A447" s="117" t="n"/>
      <c r="B447" s="118" t="n"/>
      <c r="C447" s="115">
        <f>IF(OR(B447="",B446=""),"",B447/B446-1)</f>
        <v/>
      </c>
      <c r="D447" s="115">
        <f>IF(B447="","",IFERROR(B447/INDEX($B$2:$B$800,MATCH(DATE(YEAR(A447)-1,12,1),$A$2:$A$800,0))-1,""))</f>
        <v/>
      </c>
      <c r="E447" s="115">
        <f>IF(B447="","",IFERROR(B447/INDEX($B$2:$B$800,MATCH(DATE(YEAR(A447)-1,MONTH(A447),1),$A$2:$A$800,0))-1,""))</f>
        <v/>
      </c>
    </row>
    <row r="448">
      <c r="A448" s="117" t="n"/>
      <c r="B448" s="118" t="n"/>
      <c r="C448" s="115">
        <f>IF(OR(B448="",B447=""),"",B448/B447-1)</f>
        <v/>
      </c>
      <c r="D448" s="115">
        <f>IF(B448="","",IFERROR(B448/INDEX($B$2:$B$800,MATCH(DATE(YEAR(A448)-1,12,1),$A$2:$A$800,0))-1,""))</f>
        <v/>
      </c>
      <c r="E448" s="115">
        <f>IF(B448="","",IFERROR(B448/INDEX($B$2:$B$800,MATCH(DATE(YEAR(A448)-1,MONTH(A448),1),$A$2:$A$800,0))-1,""))</f>
        <v/>
      </c>
    </row>
    <row r="449">
      <c r="A449" s="117" t="n"/>
      <c r="B449" s="118" t="n"/>
      <c r="C449" s="115">
        <f>IF(OR(B449="",B448=""),"",B449/B448-1)</f>
        <v/>
      </c>
      <c r="D449" s="115">
        <f>IF(B449="","",IFERROR(B449/INDEX($B$2:$B$800,MATCH(DATE(YEAR(A449)-1,12,1),$A$2:$A$800,0))-1,""))</f>
        <v/>
      </c>
      <c r="E449" s="115">
        <f>IF(B449="","",IFERROR(B449/INDEX($B$2:$B$800,MATCH(DATE(YEAR(A449)-1,MONTH(A449),1),$A$2:$A$800,0))-1,""))</f>
        <v/>
      </c>
    </row>
    <row r="450">
      <c r="A450" s="117" t="n"/>
      <c r="B450" s="118" t="n"/>
      <c r="C450" s="115">
        <f>IF(OR(B450="",B449=""),"",B450/B449-1)</f>
        <v/>
      </c>
      <c r="D450" s="115">
        <f>IF(B450="","",IFERROR(B450/INDEX($B$2:$B$800,MATCH(DATE(YEAR(A450)-1,12,1),$A$2:$A$800,0))-1,""))</f>
        <v/>
      </c>
      <c r="E450" s="115">
        <f>IF(B450="","",IFERROR(B450/INDEX($B$2:$B$800,MATCH(DATE(YEAR(A450)-1,MONTH(A450),1),$A$2:$A$800,0))-1,""))</f>
        <v/>
      </c>
    </row>
    <row r="451">
      <c r="A451" s="117" t="n"/>
      <c r="B451" s="118" t="n"/>
      <c r="C451" s="115">
        <f>IF(OR(B451="",B450=""),"",B451/B450-1)</f>
        <v/>
      </c>
      <c r="D451" s="115">
        <f>IF(B451="","",IFERROR(B451/INDEX($B$2:$B$800,MATCH(DATE(YEAR(A451)-1,12,1),$A$2:$A$800,0))-1,""))</f>
        <v/>
      </c>
      <c r="E451" s="115">
        <f>IF(B451="","",IFERROR(B451/INDEX($B$2:$B$800,MATCH(DATE(YEAR(A451)-1,MONTH(A451),1),$A$2:$A$800,0))-1,""))</f>
        <v/>
      </c>
    </row>
    <row r="452">
      <c r="A452" s="117" t="n"/>
      <c r="B452" s="118" t="n"/>
      <c r="C452" s="115">
        <f>IF(OR(B452="",B451=""),"",B452/B451-1)</f>
        <v/>
      </c>
      <c r="D452" s="115">
        <f>IF(B452="","",IFERROR(B452/INDEX($B$2:$B$800,MATCH(DATE(YEAR(A452)-1,12,1),$A$2:$A$800,0))-1,""))</f>
        <v/>
      </c>
      <c r="E452" s="115">
        <f>IF(B452="","",IFERROR(B452/INDEX($B$2:$B$800,MATCH(DATE(YEAR(A452)-1,MONTH(A452),1),$A$2:$A$800,0))-1,""))</f>
        <v/>
      </c>
    </row>
    <row r="453">
      <c r="A453" s="117" t="n"/>
      <c r="B453" s="118" t="n"/>
      <c r="C453" s="115">
        <f>IF(OR(B453="",B452=""),"",B453/B452-1)</f>
        <v/>
      </c>
      <c r="D453" s="115">
        <f>IF(B453="","",IFERROR(B453/INDEX($B$2:$B$800,MATCH(DATE(YEAR(A453)-1,12,1),$A$2:$A$800,0))-1,""))</f>
        <v/>
      </c>
      <c r="E453" s="115">
        <f>IF(B453="","",IFERROR(B453/INDEX($B$2:$B$800,MATCH(DATE(YEAR(A453)-1,MONTH(A453),1),$A$2:$A$800,0))-1,""))</f>
        <v/>
      </c>
    </row>
    <row r="454">
      <c r="A454" s="117" t="n"/>
      <c r="B454" s="118" t="n"/>
      <c r="C454" s="115">
        <f>IF(OR(B454="",B453=""),"",B454/B453-1)</f>
        <v/>
      </c>
      <c r="D454" s="115">
        <f>IF(B454="","",IFERROR(B454/INDEX($B$2:$B$800,MATCH(DATE(YEAR(A454)-1,12,1),$A$2:$A$800,0))-1,""))</f>
        <v/>
      </c>
      <c r="E454" s="115">
        <f>IF(B454="","",IFERROR(B454/INDEX($B$2:$B$800,MATCH(DATE(YEAR(A454)-1,MONTH(A454),1),$A$2:$A$800,0))-1,""))</f>
        <v/>
      </c>
    </row>
    <row r="455">
      <c r="A455" s="117" t="n"/>
      <c r="B455" s="118" t="n"/>
      <c r="C455" s="115">
        <f>IF(OR(B455="",B454=""),"",B455/B454-1)</f>
        <v/>
      </c>
      <c r="D455" s="115">
        <f>IF(B455="","",IFERROR(B455/INDEX($B$2:$B$800,MATCH(DATE(YEAR(A455)-1,12,1),$A$2:$A$800,0))-1,""))</f>
        <v/>
      </c>
      <c r="E455" s="115">
        <f>IF(B455="","",IFERROR(B455/INDEX($B$2:$B$800,MATCH(DATE(YEAR(A455)-1,MONTH(A455),1),$A$2:$A$800,0))-1,""))</f>
        <v/>
      </c>
    </row>
    <row r="456">
      <c r="A456" s="117" t="n"/>
      <c r="B456" s="118" t="n"/>
      <c r="C456" s="115">
        <f>IF(OR(B456="",B455=""),"",B456/B455-1)</f>
        <v/>
      </c>
      <c r="D456" s="115">
        <f>IF(B456="","",IFERROR(B456/INDEX($B$2:$B$800,MATCH(DATE(YEAR(A456)-1,12,1),$A$2:$A$800,0))-1,""))</f>
        <v/>
      </c>
      <c r="E456" s="115">
        <f>IF(B456="","",IFERROR(B456/INDEX($B$2:$B$800,MATCH(DATE(YEAR(A456)-1,MONTH(A456),1),$A$2:$A$800,0))-1,""))</f>
        <v/>
      </c>
    </row>
    <row r="457">
      <c r="A457" s="117" t="n"/>
      <c r="B457" s="118" t="n"/>
      <c r="C457" s="115">
        <f>IF(OR(B457="",B456=""),"",B457/B456-1)</f>
        <v/>
      </c>
      <c r="D457" s="115">
        <f>IF(B457="","",IFERROR(B457/INDEX($B$2:$B$800,MATCH(DATE(YEAR(A457)-1,12,1),$A$2:$A$800,0))-1,""))</f>
        <v/>
      </c>
      <c r="E457" s="115">
        <f>IF(B457="","",IFERROR(B457/INDEX($B$2:$B$800,MATCH(DATE(YEAR(A457)-1,MONTH(A457),1),$A$2:$A$800,0))-1,""))</f>
        <v/>
      </c>
    </row>
    <row r="458">
      <c r="A458" s="117" t="n"/>
      <c r="B458" s="118" t="n"/>
      <c r="C458" s="115">
        <f>IF(OR(B458="",B457=""),"",B458/B457-1)</f>
        <v/>
      </c>
      <c r="D458" s="115">
        <f>IF(B458="","",IFERROR(B458/INDEX($B$2:$B$800,MATCH(DATE(YEAR(A458)-1,12,1),$A$2:$A$800,0))-1,""))</f>
        <v/>
      </c>
      <c r="E458" s="115">
        <f>IF(B458="","",IFERROR(B458/INDEX($B$2:$B$800,MATCH(DATE(YEAR(A458)-1,MONTH(A458),1),$A$2:$A$800,0))-1,""))</f>
        <v/>
      </c>
    </row>
    <row r="459">
      <c r="A459" s="117" t="n"/>
      <c r="B459" s="118" t="n"/>
      <c r="C459" s="115">
        <f>IF(OR(B459="",B458=""),"",B459/B458-1)</f>
        <v/>
      </c>
      <c r="D459" s="115">
        <f>IF(B459="","",IFERROR(B459/INDEX($B$2:$B$800,MATCH(DATE(YEAR(A459)-1,12,1),$A$2:$A$800,0))-1,""))</f>
        <v/>
      </c>
      <c r="E459" s="115">
        <f>IF(B459="","",IFERROR(B459/INDEX($B$2:$B$800,MATCH(DATE(YEAR(A459)-1,MONTH(A459),1),$A$2:$A$800,0))-1,""))</f>
        <v/>
      </c>
    </row>
    <row r="460">
      <c r="A460" s="117" t="n"/>
      <c r="B460" s="118" t="n"/>
      <c r="C460" s="115">
        <f>IF(OR(B460="",B459=""),"",B460/B459-1)</f>
        <v/>
      </c>
      <c r="D460" s="115">
        <f>IF(B460="","",IFERROR(B460/INDEX($B$2:$B$800,MATCH(DATE(YEAR(A460)-1,12,1),$A$2:$A$800,0))-1,""))</f>
        <v/>
      </c>
      <c r="E460" s="115">
        <f>IF(B460="","",IFERROR(B460/INDEX($B$2:$B$800,MATCH(DATE(YEAR(A460)-1,MONTH(A460),1),$A$2:$A$800,0))-1,""))</f>
        <v/>
      </c>
    </row>
    <row r="461">
      <c r="A461" s="117" t="n"/>
      <c r="B461" s="118" t="n"/>
      <c r="C461" s="115">
        <f>IF(OR(B461="",B460=""),"",B461/B460-1)</f>
        <v/>
      </c>
      <c r="D461" s="115">
        <f>IF(B461="","",IFERROR(B461/INDEX($B$2:$B$800,MATCH(DATE(YEAR(A461)-1,12,1),$A$2:$A$800,0))-1,""))</f>
        <v/>
      </c>
      <c r="E461" s="115">
        <f>IF(B461="","",IFERROR(B461/INDEX($B$2:$B$800,MATCH(DATE(YEAR(A461)-1,MONTH(A461),1),$A$2:$A$800,0))-1,""))</f>
        <v/>
      </c>
    </row>
    <row r="462">
      <c r="A462" s="117" t="n"/>
      <c r="B462" s="118" t="n"/>
      <c r="C462" s="115">
        <f>IF(OR(B462="",B461=""),"",B462/B461-1)</f>
        <v/>
      </c>
      <c r="D462" s="115">
        <f>IF(B462="","",IFERROR(B462/INDEX($B$2:$B$800,MATCH(DATE(YEAR(A462)-1,12,1),$A$2:$A$800,0))-1,""))</f>
        <v/>
      </c>
      <c r="E462" s="115">
        <f>IF(B462="","",IFERROR(B462/INDEX($B$2:$B$800,MATCH(DATE(YEAR(A462)-1,MONTH(A462),1),$A$2:$A$800,0))-1,""))</f>
        <v/>
      </c>
    </row>
    <row r="463">
      <c r="A463" s="117" t="n"/>
      <c r="B463" s="118" t="n"/>
      <c r="C463" s="115">
        <f>IF(OR(B463="",B462=""),"",B463/B462-1)</f>
        <v/>
      </c>
      <c r="D463" s="115">
        <f>IF(B463="","",IFERROR(B463/INDEX($B$2:$B$800,MATCH(DATE(YEAR(A463)-1,12,1),$A$2:$A$800,0))-1,""))</f>
        <v/>
      </c>
      <c r="E463" s="115">
        <f>IF(B463="","",IFERROR(B463/INDEX($B$2:$B$800,MATCH(DATE(YEAR(A463)-1,MONTH(A463),1),$A$2:$A$800,0))-1,""))</f>
        <v/>
      </c>
    </row>
    <row r="464">
      <c r="A464" s="117" t="n"/>
      <c r="B464" s="118" t="n"/>
      <c r="C464" s="115">
        <f>IF(OR(B464="",B463=""),"",B464/B463-1)</f>
        <v/>
      </c>
      <c r="D464" s="115">
        <f>IF(B464="","",IFERROR(B464/INDEX($B$2:$B$800,MATCH(DATE(YEAR(A464)-1,12,1),$A$2:$A$800,0))-1,""))</f>
        <v/>
      </c>
      <c r="E464" s="115">
        <f>IF(B464="","",IFERROR(B464/INDEX($B$2:$B$800,MATCH(DATE(YEAR(A464)-1,MONTH(A464),1),$A$2:$A$800,0))-1,""))</f>
        <v/>
      </c>
    </row>
    <row r="465">
      <c r="A465" s="117" t="n"/>
      <c r="B465" s="118" t="n"/>
      <c r="C465" s="115">
        <f>IF(OR(B465="",B464=""),"",B465/B464-1)</f>
        <v/>
      </c>
      <c r="D465" s="115">
        <f>IF(B465="","",IFERROR(B465/INDEX($B$2:$B$800,MATCH(DATE(YEAR(A465)-1,12,1),$A$2:$A$800,0))-1,""))</f>
        <v/>
      </c>
      <c r="E465" s="115">
        <f>IF(B465="","",IFERROR(B465/INDEX($B$2:$B$800,MATCH(DATE(YEAR(A465)-1,MONTH(A465),1),$A$2:$A$800,0))-1,""))</f>
        <v/>
      </c>
    </row>
    <row r="466">
      <c r="A466" s="117" t="n"/>
      <c r="B466" s="118" t="n"/>
      <c r="C466" s="115">
        <f>IF(OR(B466="",B465=""),"",B466/B465-1)</f>
        <v/>
      </c>
      <c r="D466" s="115">
        <f>IF(B466="","",IFERROR(B466/INDEX($B$2:$B$800,MATCH(DATE(YEAR(A466)-1,12,1),$A$2:$A$800,0))-1,""))</f>
        <v/>
      </c>
      <c r="E466" s="115">
        <f>IF(B466="","",IFERROR(B466/INDEX($B$2:$B$800,MATCH(DATE(YEAR(A466)-1,MONTH(A466),1),$A$2:$A$800,0))-1,""))</f>
        <v/>
      </c>
    </row>
    <row r="467">
      <c r="A467" s="117" t="n"/>
      <c r="B467" s="118" t="n"/>
      <c r="C467" s="115">
        <f>IF(OR(B467="",B466=""),"",B467/B466-1)</f>
        <v/>
      </c>
      <c r="D467" s="115">
        <f>IF(B467="","",IFERROR(B467/INDEX($B$2:$B$800,MATCH(DATE(YEAR(A467)-1,12,1),$A$2:$A$800,0))-1,""))</f>
        <v/>
      </c>
      <c r="E467" s="115">
        <f>IF(B467="","",IFERROR(B467/INDEX($B$2:$B$800,MATCH(DATE(YEAR(A467)-1,MONTH(A467),1),$A$2:$A$800,0))-1,""))</f>
        <v/>
      </c>
    </row>
    <row r="468">
      <c r="A468" s="117" t="n"/>
      <c r="B468" s="118" t="n"/>
      <c r="C468" s="115">
        <f>IF(OR(B468="",B467=""),"",B468/B467-1)</f>
        <v/>
      </c>
      <c r="D468" s="115">
        <f>IF(B468="","",IFERROR(B468/INDEX($B$2:$B$800,MATCH(DATE(YEAR(A468)-1,12,1),$A$2:$A$800,0))-1,""))</f>
        <v/>
      </c>
      <c r="E468" s="115">
        <f>IF(B468="","",IFERROR(B468/INDEX($B$2:$B$800,MATCH(DATE(YEAR(A468)-1,MONTH(A468),1),$A$2:$A$800,0))-1,""))</f>
        <v/>
      </c>
    </row>
    <row r="469">
      <c r="A469" s="117" t="n"/>
      <c r="B469" s="118" t="n"/>
      <c r="C469" s="115">
        <f>IF(OR(B469="",B468=""),"",B469/B468-1)</f>
        <v/>
      </c>
      <c r="D469" s="115">
        <f>IF(B469="","",IFERROR(B469/INDEX($B$2:$B$800,MATCH(DATE(YEAR(A469)-1,12,1),$A$2:$A$800,0))-1,""))</f>
        <v/>
      </c>
      <c r="E469" s="115">
        <f>IF(B469="","",IFERROR(B469/INDEX($B$2:$B$800,MATCH(DATE(YEAR(A469)-1,MONTH(A469),1),$A$2:$A$800,0))-1,""))</f>
        <v/>
      </c>
    </row>
    <row r="470">
      <c r="A470" s="117" t="n"/>
      <c r="B470" s="118" t="n"/>
      <c r="C470" s="115">
        <f>IF(OR(B470="",B469=""),"",B470/B469-1)</f>
        <v/>
      </c>
      <c r="D470" s="115">
        <f>IF(B470="","",IFERROR(B470/INDEX($B$2:$B$800,MATCH(DATE(YEAR(A470)-1,12,1),$A$2:$A$800,0))-1,""))</f>
        <v/>
      </c>
      <c r="E470" s="115">
        <f>IF(B470="","",IFERROR(B470/INDEX($B$2:$B$800,MATCH(DATE(YEAR(A470)-1,MONTH(A470),1),$A$2:$A$800,0))-1,""))</f>
        <v/>
      </c>
    </row>
    <row r="471">
      <c r="A471" s="117" t="n"/>
      <c r="B471" s="118" t="n"/>
      <c r="C471" s="115">
        <f>IF(OR(B471="",B470=""),"",B471/B470-1)</f>
        <v/>
      </c>
      <c r="D471" s="115">
        <f>IF(B471="","",IFERROR(B471/INDEX($B$2:$B$800,MATCH(DATE(YEAR(A471)-1,12,1),$A$2:$A$800,0))-1,""))</f>
        <v/>
      </c>
      <c r="E471" s="115">
        <f>IF(B471="","",IFERROR(B471/INDEX($B$2:$B$800,MATCH(DATE(YEAR(A471)-1,MONTH(A471),1),$A$2:$A$800,0))-1,""))</f>
        <v/>
      </c>
    </row>
    <row r="472">
      <c r="A472" s="117" t="n"/>
      <c r="B472" s="118" t="n"/>
      <c r="C472" s="115">
        <f>IF(OR(B472="",B471=""),"",B472/B471-1)</f>
        <v/>
      </c>
      <c r="D472" s="115">
        <f>IF(B472="","",IFERROR(B472/INDEX($B$2:$B$800,MATCH(DATE(YEAR(A472)-1,12,1),$A$2:$A$800,0))-1,""))</f>
        <v/>
      </c>
      <c r="E472" s="115">
        <f>IF(B472="","",IFERROR(B472/INDEX($B$2:$B$800,MATCH(DATE(YEAR(A472)-1,MONTH(A472),1),$A$2:$A$800,0))-1,""))</f>
        <v/>
      </c>
    </row>
    <row r="473">
      <c r="A473" s="117" t="n"/>
      <c r="B473" s="118" t="n"/>
      <c r="C473" s="115">
        <f>IF(OR(B473="",B472=""),"",B473/B472-1)</f>
        <v/>
      </c>
      <c r="D473" s="115">
        <f>IF(B473="","",IFERROR(B473/INDEX($B$2:$B$800,MATCH(DATE(YEAR(A473)-1,12,1),$A$2:$A$800,0))-1,""))</f>
        <v/>
      </c>
      <c r="E473" s="115">
        <f>IF(B473="","",IFERROR(B473/INDEX($B$2:$B$800,MATCH(DATE(YEAR(A473)-1,MONTH(A473),1),$A$2:$A$800,0))-1,""))</f>
        <v/>
      </c>
    </row>
    <row r="474">
      <c r="A474" s="117" t="n"/>
      <c r="B474" s="118" t="n"/>
      <c r="C474" s="115">
        <f>IF(OR(B474="",B473=""),"",B474/B473-1)</f>
        <v/>
      </c>
      <c r="D474" s="115">
        <f>IF(B474="","",IFERROR(B474/INDEX($B$2:$B$800,MATCH(DATE(YEAR(A474)-1,12,1),$A$2:$A$800,0))-1,""))</f>
        <v/>
      </c>
      <c r="E474" s="115">
        <f>IF(B474="","",IFERROR(B474/INDEX($B$2:$B$800,MATCH(DATE(YEAR(A474)-1,MONTH(A474),1),$A$2:$A$800,0))-1,""))</f>
        <v/>
      </c>
    </row>
    <row r="475">
      <c r="A475" s="117" t="n"/>
      <c r="B475" s="118" t="n"/>
      <c r="C475" s="115">
        <f>IF(OR(B475="",B474=""),"",B475/B474-1)</f>
        <v/>
      </c>
      <c r="D475" s="115">
        <f>IF(B475="","",IFERROR(B475/INDEX($B$2:$B$800,MATCH(DATE(YEAR(A475)-1,12,1),$A$2:$A$800,0))-1,""))</f>
        <v/>
      </c>
      <c r="E475" s="115">
        <f>IF(B475="","",IFERROR(B475/INDEX($B$2:$B$800,MATCH(DATE(YEAR(A475)-1,MONTH(A475),1),$A$2:$A$800,0))-1,""))</f>
        <v/>
      </c>
    </row>
    <row r="476">
      <c r="A476" s="117" t="n"/>
      <c r="B476" s="118" t="n"/>
      <c r="C476" s="115">
        <f>IF(OR(B476="",B475=""),"",B476/B475-1)</f>
        <v/>
      </c>
      <c r="D476" s="115">
        <f>IF(B476="","",IFERROR(B476/INDEX($B$2:$B$800,MATCH(DATE(YEAR(A476)-1,12,1),$A$2:$A$800,0))-1,""))</f>
        <v/>
      </c>
      <c r="E476" s="115">
        <f>IF(B476="","",IFERROR(B476/INDEX($B$2:$B$800,MATCH(DATE(YEAR(A476)-1,MONTH(A476),1),$A$2:$A$800,0))-1,""))</f>
        <v/>
      </c>
    </row>
    <row r="477">
      <c r="A477" s="117" t="n"/>
      <c r="B477" s="118" t="n"/>
      <c r="C477" s="115">
        <f>IF(OR(B477="",B476=""),"",B477/B476-1)</f>
        <v/>
      </c>
      <c r="D477" s="115">
        <f>IF(B477="","",IFERROR(B477/INDEX($B$2:$B$800,MATCH(DATE(YEAR(A477)-1,12,1),$A$2:$A$800,0))-1,""))</f>
        <v/>
      </c>
      <c r="E477" s="115">
        <f>IF(B477="","",IFERROR(B477/INDEX($B$2:$B$800,MATCH(DATE(YEAR(A477)-1,MONTH(A477),1),$A$2:$A$800,0))-1,""))</f>
        <v/>
      </c>
    </row>
    <row r="478">
      <c r="A478" s="117" t="n"/>
      <c r="B478" s="118" t="n"/>
      <c r="C478" s="115">
        <f>IF(OR(B478="",B477=""),"",B478/B477-1)</f>
        <v/>
      </c>
      <c r="D478" s="115">
        <f>IF(B478="","",IFERROR(B478/INDEX($B$2:$B$800,MATCH(DATE(YEAR(A478)-1,12,1),$A$2:$A$800,0))-1,""))</f>
        <v/>
      </c>
      <c r="E478" s="115">
        <f>IF(B478="","",IFERROR(B478/INDEX($B$2:$B$800,MATCH(DATE(YEAR(A478)-1,MONTH(A478),1),$A$2:$A$800,0))-1,""))</f>
        <v/>
      </c>
    </row>
    <row r="479">
      <c r="A479" s="117" t="n"/>
      <c r="B479" s="118" t="n"/>
      <c r="C479" s="115">
        <f>IF(OR(B479="",B478=""),"",B479/B478-1)</f>
        <v/>
      </c>
      <c r="D479" s="115">
        <f>IF(B479="","",IFERROR(B479/INDEX($B$2:$B$800,MATCH(DATE(YEAR(A479)-1,12,1),$A$2:$A$800,0))-1,""))</f>
        <v/>
      </c>
      <c r="E479" s="115">
        <f>IF(B479="","",IFERROR(B479/INDEX($B$2:$B$800,MATCH(DATE(YEAR(A479)-1,MONTH(A479),1),$A$2:$A$800,0))-1,""))</f>
        <v/>
      </c>
    </row>
    <row r="480">
      <c r="A480" s="117" t="n"/>
      <c r="B480" s="118" t="n"/>
      <c r="C480" s="115">
        <f>IF(OR(B480="",B479=""),"",B480/B479-1)</f>
        <v/>
      </c>
      <c r="D480" s="115">
        <f>IF(B480="","",IFERROR(B480/INDEX($B$2:$B$800,MATCH(DATE(YEAR(A480)-1,12,1),$A$2:$A$800,0))-1,""))</f>
        <v/>
      </c>
      <c r="E480" s="115">
        <f>IF(B480="","",IFERROR(B480/INDEX($B$2:$B$800,MATCH(DATE(YEAR(A480)-1,MONTH(A480),1),$A$2:$A$800,0))-1,""))</f>
        <v/>
      </c>
    </row>
    <row r="481">
      <c r="A481" s="117" t="n"/>
      <c r="B481" s="118" t="n"/>
      <c r="C481" s="115">
        <f>IF(OR(B481="",B480=""),"",B481/B480-1)</f>
        <v/>
      </c>
      <c r="D481" s="115">
        <f>IF(B481="","",IFERROR(B481/INDEX($B$2:$B$800,MATCH(DATE(YEAR(A481)-1,12,1),$A$2:$A$800,0))-1,""))</f>
        <v/>
      </c>
      <c r="E481" s="115">
        <f>IF(B481="","",IFERROR(B481/INDEX($B$2:$B$800,MATCH(DATE(YEAR(A481)-1,MONTH(A481),1),$A$2:$A$800,0))-1,""))</f>
        <v/>
      </c>
    </row>
    <row r="482">
      <c r="A482" s="117" t="n"/>
      <c r="B482" s="118" t="n"/>
      <c r="C482" s="115">
        <f>IF(OR(B482="",B481=""),"",B482/B481-1)</f>
        <v/>
      </c>
      <c r="D482" s="115">
        <f>IF(B482="","",IFERROR(B482/INDEX($B$2:$B$800,MATCH(DATE(YEAR(A482)-1,12,1),$A$2:$A$800,0))-1,""))</f>
        <v/>
      </c>
      <c r="E482" s="115">
        <f>IF(B482="","",IFERROR(B482/INDEX($B$2:$B$800,MATCH(DATE(YEAR(A482)-1,MONTH(A482),1),$A$2:$A$800,0))-1,""))</f>
        <v/>
      </c>
    </row>
    <row r="483">
      <c r="A483" s="117" t="n"/>
      <c r="B483" s="118" t="n"/>
      <c r="C483" s="115">
        <f>IF(OR(B483="",B482=""),"",B483/B482-1)</f>
        <v/>
      </c>
      <c r="D483" s="115">
        <f>IF(B483="","",IFERROR(B483/INDEX($B$2:$B$800,MATCH(DATE(YEAR(A483)-1,12,1),$A$2:$A$800,0))-1,""))</f>
        <v/>
      </c>
      <c r="E483" s="115">
        <f>IF(B483="","",IFERROR(B483/INDEX($B$2:$B$800,MATCH(DATE(YEAR(A483)-1,MONTH(A483),1),$A$2:$A$800,0))-1,""))</f>
        <v/>
      </c>
    </row>
    <row r="484">
      <c r="A484" s="117" t="n"/>
      <c r="B484" s="118" t="n"/>
      <c r="C484" s="115">
        <f>IF(OR(B484="",B483=""),"",B484/B483-1)</f>
        <v/>
      </c>
      <c r="D484" s="115">
        <f>IF(B484="","",IFERROR(B484/INDEX($B$2:$B$800,MATCH(DATE(YEAR(A484)-1,12,1),$A$2:$A$800,0))-1,""))</f>
        <v/>
      </c>
      <c r="E484" s="115">
        <f>IF(B484="","",IFERROR(B484/INDEX($B$2:$B$800,MATCH(DATE(YEAR(A484)-1,MONTH(A484),1),$A$2:$A$800,0))-1,""))</f>
        <v/>
      </c>
    </row>
    <row r="485">
      <c r="A485" s="117" t="n"/>
      <c r="B485" s="118" t="n"/>
      <c r="C485" s="115">
        <f>IF(OR(B485="",B484=""),"",B485/B484-1)</f>
        <v/>
      </c>
      <c r="D485" s="115">
        <f>IF(B485="","",IFERROR(B485/INDEX($B$2:$B$800,MATCH(DATE(YEAR(A485)-1,12,1),$A$2:$A$800,0))-1,""))</f>
        <v/>
      </c>
      <c r="E485" s="115">
        <f>IF(B485="","",IFERROR(B485/INDEX($B$2:$B$800,MATCH(DATE(YEAR(A485)-1,MONTH(A485),1),$A$2:$A$800,0))-1,""))</f>
        <v/>
      </c>
    </row>
    <row r="486">
      <c r="A486" s="117" t="n"/>
      <c r="B486" s="118" t="n"/>
      <c r="C486" s="115">
        <f>IF(OR(B486="",B485=""),"",B486/B485-1)</f>
        <v/>
      </c>
      <c r="D486" s="115">
        <f>IF(B486="","",IFERROR(B486/INDEX($B$2:$B$800,MATCH(DATE(YEAR(A486)-1,12,1),$A$2:$A$800,0))-1,""))</f>
        <v/>
      </c>
      <c r="E486" s="115">
        <f>IF(B486="","",IFERROR(B486/INDEX($B$2:$B$800,MATCH(DATE(YEAR(A486)-1,MONTH(A486),1),$A$2:$A$800,0))-1,""))</f>
        <v/>
      </c>
    </row>
    <row r="487">
      <c r="A487" s="117" t="n"/>
      <c r="B487" s="118" t="n"/>
      <c r="C487" s="115">
        <f>IF(OR(B487="",B486=""),"",B487/B486-1)</f>
        <v/>
      </c>
      <c r="D487" s="115">
        <f>IF(B487="","",IFERROR(B487/INDEX($B$2:$B$800,MATCH(DATE(YEAR(A487)-1,12,1),$A$2:$A$800,0))-1,""))</f>
        <v/>
      </c>
      <c r="E487" s="115">
        <f>IF(B487="","",IFERROR(B487/INDEX($B$2:$B$800,MATCH(DATE(YEAR(A487)-1,MONTH(A487),1),$A$2:$A$800,0))-1,""))</f>
        <v/>
      </c>
    </row>
    <row r="488">
      <c r="A488" s="117" t="n"/>
      <c r="B488" s="118" t="n"/>
      <c r="C488" s="115">
        <f>IF(OR(B488="",B487=""),"",B488/B487-1)</f>
        <v/>
      </c>
      <c r="D488" s="115">
        <f>IF(B488="","",IFERROR(B488/INDEX($B$2:$B$800,MATCH(DATE(YEAR(A488)-1,12,1),$A$2:$A$800,0))-1,""))</f>
        <v/>
      </c>
      <c r="E488" s="115">
        <f>IF(B488="","",IFERROR(B488/INDEX($B$2:$B$800,MATCH(DATE(YEAR(A488)-1,MONTH(A488),1),$A$2:$A$800,0))-1,""))</f>
        <v/>
      </c>
    </row>
    <row r="489">
      <c r="A489" s="117" t="n"/>
      <c r="B489" s="118" t="n"/>
      <c r="C489" s="115">
        <f>IF(OR(B489="",B488=""),"",B489/B488-1)</f>
        <v/>
      </c>
      <c r="D489" s="115">
        <f>IF(B489="","",IFERROR(B489/INDEX($B$2:$B$800,MATCH(DATE(YEAR(A489)-1,12,1),$A$2:$A$800,0))-1,""))</f>
        <v/>
      </c>
      <c r="E489" s="115">
        <f>IF(B489="","",IFERROR(B489/INDEX($B$2:$B$800,MATCH(DATE(YEAR(A489)-1,MONTH(A489),1),$A$2:$A$800,0))-1,""))</f>
        <v/>
      </c>
    </row>
    <row r="490">
      <c r="A490" s="117" t="n"/>
      <c r="B490" s="118" t="n"/>
      <c r="C490" s="115">
        <f>IF(OR(B490="",B489=""),"",B490/B489-1)</f>
        <v/>
      </c>
      <c r="D490" s="115">
        <f>IF(B490="","",IFERROR(B490/INDEX($B$2:$B$800,MATCH(DATE(YEAR(A490)-1,12,1),$A$2:$A$800,0))-1,""))</f>
        <v/>
      </c>
      <c r="E490" s="115">
        <f>IF(B490="","",IFERROR(B490/INDEX($B$2:$B$800,MATCH(DATE(YEAR(A490)-1,MONTH(A490),1),$A$2:$A$800,0))-1,""))</f>
        <v/>
      </c>
    </row>
    <row r="491">
      <c r="A491" s="117" t="n"/>
      <c r="B491" s="118" t="n"/>
      <c r="C491" s="115">
        <f>IF(OR(B491="",B490=""),"",B491/B490-1)</f>
        <v/>
      </c>
      <c r="D491" s="115">
        <f>IF(B491="","",IFERROR(B491/INDEX($B$2:$B$800,MATCH(DATE(YEAR(A491)-1,12,1),$A$2:$A$800,0))-1,""))</f>
        <v/>
      </c>
      <c r="E491" s="115">
        <f>IF(B491="","",IFERROR(B491/INDEX($B$2:$B$800,MATCH(DATE(YEAR(A491)-1,MONTH(A491),1),$A$2:$A$800,0))-1,""))</f>
        <v/>
      </c>
    </row>
    <row r="492">
      <c r="A492" s="117" t="n"/>
      <c r="B492" s="118" t="n"/>
      <c r="C492" s="115">
        <f>IF(OR(B492="",B491=""),"",B492/B491-1)</f>
        <v/>
      </c>
      <c r="D492" s="115">
        <f>IF(B492="","",IFERROR(B492/INDEX($B$2:$B$800,MATCH(DATE(YEAR(A492)-1,12,1),$A$2:$A$800,0))-1,""))</f>
        <v/>
      </c>
      <c r="E492" s="115">
        <f>IF(B492="","",IFERROR(B492/INDEX($B$2:$B$800,MATCH(DATE(YEAR(A492)-1,MONTH(A492),1),$A$2:$A$800,0))-1,""))</f>
        <v/>
      </c>
    </row>
    <row r="493">
      <c r="A493" s="117" t="n"/>
      <c r="B493" s="118" t="n"/>
      <c r="C493" s="115">
        <f>IF(OR(B493="",B492=""),"",B493/B492-1)</f>
        <v/>
      </c>
      <c r="D493" s="115">
        <f>IF(B493="","",IFERROR(B493/INDEX($B$2:$B$800,MATCH(DATE(YEAR(A493)-1,12,1),$A$2:$A$800,0))-1,""))</f>
        <v/>
      </c>
      <c r="E493" s="115">
        <f>IF(B493="","",IFERROR(B493/INDEX($B$2:$B$800,MATCH(DATE(YEAR(A493)-1,MONTH(A493),1),$A$2:$A$800,0))-1,""))</f>
        <v/>
      </c>
    </row>
    <row r="494">
      <c r="A494" s="117" t="n"/>
      <c r="B494" s="118" t="n"/>
      <c r="C494" s="115">
        <f>IF(OR(B494="",B493=""),"",B494/B493-1)</f>
        <v/>
      </c>
      <c r="D494" s="115">
        <f>IF(B494="","",IFERROR(B494/INDEX($B$2:$B$800,MATCH(DATE(YEAR(A494)-1,12,1),$A$2:$A$800,0))-1,""))</f>
        <v/>
      </c>
      <c r="E494" s="115">
        <f>IF(B494="","",IFERROR(B494/INDEX($B$2:$B$800,MATCH(DATE(YEAR(A494)-1,MONTH(A494),1),$A$2:$A$800,0))-1,""))</f>
        <v/>
      </c>
    </row>
    <row r="495">
      <c r="A495" s="117" t="n"/>
      <c r="B495" s="118" t="n"/>
      <c r="C495" s="115">
        <f>IF(OR(B495="",B494=""),"",B495/B494-1)</f>
        <v/>
      </c>
      <c r="D495" s="115">
        <f>IF(B495="","",IFERROR(B495/INDEX($B$2:$B$800,MATCH(DATE(YEAR(A495)-1,12,1),$A$2:$A$800,0))-1,""))</f>
        <v/>
      </c>
      <c r="E495" s="115">
        <f>IF(B495="","",IFERROR(B495/INDEX($B$2:$B$800,MATCH(DATE(YEAR(A495)-1,MONTH(A495),1),$A$2:$A$800,0))-1,""))</f>
        <v/>
      </c>
    </row>
    <row r="496">
      <c r="A496" s="117" t="n"/>
      <c r="B496" s="118" t="n"/>
      <c r="C496" s="115">
        <f>IF(OR(B496="",B495=""),"",B496/B495-1)</f>
        <v/>
      </c>
      <c r="D496" s="115">
        <f>IF(B496="","",IFERROR(B496/INDEX($B$2:$B$800,MATCH(DATE(YEAR(A496)-1,12,1),$A$2:$A$800,0))-1,""))</f>
        <v/>
      </c>
      <c r="E496" s="115">
        <f>IF(B496="","",IFERROR(B496/INDEX($B$2:$B$800,MATCH(DATE(YEAR(A496)-1,MONTH(A496),1),$A$2:$A$800,0))-1,""))</f>
        <v/>
      </c>
    </row>
    <row r="497">
      <c r="A497" s="117" t="n"/>
      <c r="B497" s="118" t="n"/>
      <c r="C497" s="115">
        <f>IF(OR(B497="",B496=""),"",B497/B496-1)</f>
        <v/>
      </c>
      <c r="D497" s="115">
        <f>IF(B497="","",IFERROR(B497/INDEX($B$2:$B$800,MATCH(DATE(YEAR(A497)-1,12,1),$A$2:$A$800,0))-1,""))</f>
        <v/>
      </c>
      <c r="E497" s="115">
        <f>IF(B497="","",IFERROR(B497/INDEX($B$2:$B$800,MATCH(DATE(YEAR(A497)-1,MONTH(A497),1),$A$2:$A$800,0))-1,""))</f>
        <v/>
      </c>
    </row>
    <row r="498">
      <c r="A498" s="117" t="n"/>
      <c r="B498" s="118" t="n"/>
      <c r="C498" s="115">
        <f>IF(OR(B498="",B497=""),"",B498/B497-1)</f>
        <v/>
      </c>
      <c r="D498" s="115">
        <f>IF(B498="","",IFERROR(B498/INDEX($B$2:$B$800,MATCH(DATE(YEAR(A498)-1,12,1),$A$2:$A$800,0))-1,""))</f>
        <v/>
      </c>
      <c r="E498" s="115">
        <f>IF(B498="","",IFERROR(B498/INDEX($B$2:$B$800,MATCH(DATE(YEAR(A498)-1,MONTH(A498),1),$A$2:$A$800,0))-1,""))</f>
        <v/>
      </c>
    </row>
    <row r="499">
      <c r="A499" s="117" t="n"/>
      <c r="B499" s="118" t="n"/>
      <c r="C499" s="115">
        <f>IF(OR(B499="",B498=""),"",B499/B498-1)</f>
        <v/>
      </c>
      <c r="D499" s="115">
        <f>IF(B499="","",IFERROR(B499/INDEX($B$2:$B$800,MATCH(DATE(YEAR(A499)-1,12,1),$A$2:$A$800,0))-1,""))</f>
        <v/>
      </c>
      <c r="E499" s="115">
        <f>IF(B499="","",IFERROR(B499/INDEX($B$2:$B$800,MATCH(DATE(YEAR(A499)-1,MONTH(A499),1),$A$2:$A$800,0))-1,""))</f>
        <v/>
      </c>
    </row>
    <row r="500">
      <c r="A500" s="117" t="n"/>
      <c r="B500" s="118" t="n"/>
      <c r="C500" s="115">
        <f>IF(OR(B500="",B499=""),"",B500/B499-1)</f>
        <v/>
      </c>
      <c r="D500" s="115">
        <f>IF(B500="","",IFERROR(B500/INDEX($B$2:$B$800,MATCH(DATE(YEAR(A500)-1,12,1),$A$2:$A$800,0))-1,""))</f>
        <v/>
      </c>
      <c r="E500" s="115">
        <f>IF(B500="","",IFERROR(B500/INDEX($B$2:$B$800,MATCH(DATE(YEAR(A500)-1,MONTH(A500),1),$A$2:$A$800,0))-1,""))</f>
        <v/>
      </c>
    </row>
    <row r="501">
      <c r="A501" s="117" t="n"/>
      <c r="B501" s="118" t="n"/>
      <c r="C501" s="115">
        <f>IF(OR(B501="",B500=""),"",B501/B500-1)</f>
        <v/>
      </c>
      <c r="D501" s="115">
        <f>IF(B501="","",IFERROR(B501/INDEX($B$2:$B$800,MATCH(DATE(YEAR(A501)-1,12,1),$A$2:$A$800,0))-1,""))</f>
        <v/>
      </c>
      <c r="E501" s="115">
        <f>IF(B501="","",IFERROR(B501/INDEX($B$2:$B$800,MATCH(DATE(YEAR(A501)-1,MONTH(A501),1),$A$2:$A$800,0))-1,""))</f>
        <v/>
      </c>
    </row>
    <row r="502">
      <c r="A502" s="117" t="n"/>
      <c r="B502" s="118" t="n"/>
      <c r="C502" s="115">
        <f>IF(OR(B502="",B501=""),"",B502/B501-1)</f>
        <v/>
      </c>
      <c r="D502" s="115">
        <f>IF(B502="","",IFERROR(B502/INDEX($B$2:$B$800,MATCH(DATE(YEAR(A502)-1,12,1),$A$2:$A$800,0))-1,""))</f>
        <v/>
      </c>
      <c r="E502" s="115">
        <f>IF(B502="","",IFERROR(B502/INDEX($B$2:$B$800,MATCH(DATE(YEAR(A502)-1,MONTH(A502),1),$A$2:$A$800,0))-1,""))</f>
        <v/>
      </c>
    </row>
    <row r="503">
      <c r="A503" s="117" t="n"/>
      <c r="B503" s="118" t="n"/>
      <c r="C503" s="115">
        <f>IF(OR(B503="",B502=""),"",B503/B502-1)</f>
        <v/>
      </c>
      <c r="D503" s="115">
        <f>IF(B503="","",IFERROR(B503/INDEX($B$2:$B$800,MATCH(DATE(YEAR(A503)-1,12,1),$A$2:$A$800,0))-1,""))</f>
        <v/>
      </c>
      <c r="E503" s="115">
        <f>IF(B503="","",IFERROR(B503/INDEX($B$2:$B$800,MATCH(DATE(YEAR(A503)-1,MONTH(A503),1),$A$2:$A$800,0))-1,""))</f>
        <v/>
      </c>
    </row>
    <row r="504">
      <c r="A504" s="117" t="n"/>
      <c r="B504" s="118" t="n"/>
      <c r="C504" s="115">
        <f>IF(OR(B504="",B503=""),"",B504/B503-1)</f>
        <v/>
      </c>
      <c r="D504" s="115">
        <f>IF(B504="","",IFERROR(B504/INDEX($B$2:$B$800,MATCH(DATE(YEAR(A504)-1,12,1),$A$2:$A$800,0))-1,""))</f>
        <v/>
      </c>
      <c r="E504" s="115">
        <f>IF(B504="","",IFERROR(B504/INDEX($B$2:$B$800,MATCH(DATE(YEAR(A504)-1,MONTH(A504),1),$A$2:$A$800,0))-1,""))</f>
        <v/>
      </c>
    </row>
    <row r="505">
      <c r="A505" s="117" t="n"/>
      <c r="B505" s="118" t="n"/>
      <c r="C505" s="115">
        <f>IF(OR(B505="",B504=""),"",B505/B504-1)</f>
        <v/>
      </c>
      <c r="D505" s="115">
        <f>IF(B505="","",IFERROR(B505/INDEX($B$2:$B$800,MATCH(DATE(YEAR(A505)-1,12,1),$A$2:$A$800,0))-1,""))</f>
        <v/>
      </c>
      <c r="E505" s="115">
        <f>IF(B505="","",IFERROR(B505/INDEX($B$2:$B$800,MATCH(DATE(YEAR(A505)-1,MONTH(A505),1),$A$2:$A$800,0))-1,""))</f>
        <v/>
      </c>
    </row>
    <row r="506">
      <c r="A506" s="117" t="n"/>
      <c r="B506" s="118" t="n"/>
      <c r="C506" s="115">
        <f>IF(OR(B506="",B505=""),"",B506/B505-1)</f>
        <v/>
      </c>
      <c r="D506" s="115">
        <f>IF(B506="","",IFERROR(B506/INDEX($B$2:$B$800,MATCH(DATE(YEAR(A506)-1,12,1),$A$2:$A$800,0))-1,""))</f>
        <v/>
      </c>
      <c r="E506" s="115">
        <f>IF(B506="","",IFERROR(B506/INDEX($B$2:$B$800,MATCH(DATE(YEAR(A506)-1,MONTH(A506),1),$A$2:$A$800,0))-1,""))</f>
        <v/>
      </c>
    </row>
    <row r="507">
      <c r="A507" s="117" t="n"/>
      <c r="B507" s="118" t="n"/>
      <c r="C507" s="115">
        <f>IF(OR(B507="",B506=""),"",B507/B506-1)</f>
        <v/>
      </c>
      <c r="D507" s="115">
        <f>IF(B507="","",IFERROR(B507/INDEX($B$2:$B$800,MATCH(DATE(YEAR(A507)-1,12,1),$A$2:$A$800,0))-1,""))</f>
        <v/>
      </c>
      <c r="E507" s="115">
        <f>IF(B507="","",IFERROR(B507/INDEX($B$2:$B$800,MATCH(DATE(YEAR(A507)-1,MONTH(A507),1),$A$2:$A$800,0))-1,""))</f>
        <v/>
      </c>
    </row>
    <row r="508">
      <c r="A508" s="117" t="n"/>
      <c r="B508" s="118" t="n"/>
      <c r="C508" s="115">
        <f>IF(OR(B508="",B507=""),"",B508/B507-1)</f>
        <v/>
      </c>
      <c r="D508" s="115">
        <f>IF(B508="","",IFERROR(B508/INDEX($B$2:$B$800,MATCH(DATE(YEAR(A508)-1,12,1),$A$2:$A$800,0))-1,""))</f>
        <v/>
      </c>
      <c r="E508" s="115">
        <f>IF(B508="","",IFERROR(B508/INDEX($B$2:$B$800,MATCH(DATE(YEAR(A508)-1,MONTH(A508),1),$A$2:$A$800,0))-1,""))</f>
        <v/>
      </c>
    </row>
    <row r="509">
      <c r="A509" s="117" t="n"/>
      <c r="B509" s="118" t="n"/>
      <c r="C509" s="115">
        <f>IF(OR(B509="",B508=""),"",B509/B508-1)</f>
        <v/>
      </c>
      <c r="D509" s="115">
        <f>IF(B509="","",IFERROR(B509/INDEX($B$2:$B$800,MATCH(DATE(YEAR(A509)-1,12,1),$A$2:$A$800,0))-1,""))</f>
        <v/>
      </c>
      <c r="E509" s="115">
        <f>IF(B509="","",IFERROR(B509/INDEX($B$2:$B$800,MATCH(DATE(YEAR(A509)-1,MONTH(A509),1),$A$2:$A$800,0))-1,""))</f>
        <v/>
      </c>
    </row>
    <row r="510">
      <c r="A510" s="117" t="n"/>
      <c r="B510" s="118" t="n"/>
      <c r="C510" s="115">
        <f>IF(OR(B510="",B509=""),"",B510/B509-1)</f>
        <v/>
      </c>
      <c r="D510" s="115">
        <f>IF(B510="","",IFERROR(B510/INDEX($B$2:$B$800,MATCH(DATE(YEAR(A510)-1,12,1),$A$2:$A$800,0))-1,""))</f>
        <v/>
      </c>
      <c r="E510" s="115">
        <f>IF(B510="","",IFERROR(B510/INDEX($B$2:$B$800,MATCH(DATE(YEAR(A510)-1,MONTH(A510),1),$A$2:$A$800,0))-1,""))</f>
        <v/>
      </c>
    </row>
    <row r="511">
      <c r="A511" s="117" t="n"/>
      <c r="B511" s="118" t="n"/>
      <c r="C511" s="115">
        <f>IF(OR(B511="",B510=""),"",B511/B510-1)</f>
        <v/>
      </c>
      <c r="D511" s="115">
        <f>IF(B511="","",IFERROR(B511/INDEX($B$2:$B$800,MATCH(DATE(YEAR(A511)-1,12,1),$A$2:$A$800,0))-1,""))</f>
        <v/>
      </c>
      <c r="E511" s="115">
        <f>IF(B511="","",IFERROR(B511/INDEX($B$2:$B$800,MATCH(DATE(YEAR(A511)-1,MONTH(A511),1),$A$2:$A$800,0))-1,""))</f>
        <v/>
      </c>
    </row>
    <row r="512">
      <c r="A512" s="117" t="n"/>
      <c r="B512" s="118" t="n"/>
      <c r="C512" s="115">
        <f>IF(OR(B512="",B511=""),"",B512/B511-1)</f>
        <v/>
      </c>
      <c r="D512" s="115">
        <f>IF(B512="","",IFERROR(B512/INDEX($B$2:$B$800,MATCH(DATE(YEAR(A512)-1,12,1),$A$2:$A$800,0))-1,""))</f>
        <v/>
      </c>
      <c r="E512" s="115">
        <f>IF(B512="","",IFERROR(B512/INDEX($B$2:$B$800,MATCH(DATE(YEAR(A512)-1,MONTH(A512),1),$A$2:$A$800,0))-1,""))</f>
        <v/>
      </c>
    </row>
    <row r="513">
      <c r="A513" s="117" t="n"/>
      <c r="B513" s="118" t="n"/>
      <c r="C513" s="115">
        <f>IF(OR(B513="",B512=""),"",B513/B512-1)</f>
        <v/>
      </c>
      <c r="D513" s="115">
        <f>IF(B513="","",IFERROR(B513/INDEX($B$2:$B$800,MATCH(DATE(YEAR(A513)-1,12,1),$A$2:$A$800,0))-1,""))</f>
        <v/>
      </c>
      <c r="E513" s="115">
        <f>IF(B513="","",IFERROR(B513/INDEX($B$2:$B$800,MATCH(DATE(YEAR(A513)-1,MONTH(A513),1),$A$2:$A$800,0))-1,""))</f>
        <v/>
      </c>
    </row>
    <row r="514">
      <c r="A514" s="117" t="n"/>
      <c r="B514" s="118" t="n"/>
      <c r="C514" s="115">
        <f>IF(OR(B514="",B513=""),"",B514/B513-1)</f>
        <v/>
      </c>
      <c r="D514" s="115">
        <f>IF(B514="","",IFERROR(B514/INDEX($B$2:$B$800,MATCH(DATE(YEAR(A514)-1,12,1),$A$2:$A$800,0))-1,""))</f>
        <v/>
      </c>
      <c r="E514" s="115">
        <f>IF(B514="","",IFERROR(B514/INDEX($B$2:$B$800,MATCH(DATE(YEAR(A514)-1,MONTH(A514),1),$A$2:$A$800,0))-1,""))</f>
        <v/>
      </c>
    </row>
    <row r="515">
      <c r="A515" s="117" t="n"/>
      <c r="B515" s="118" t="n"/>
      <c r="C515" s="115">
        <f>IF(OR(B515="",B514=""),"",B515/B514-1)</f>
        <v/>
      </c>
      <c r="D515" s="115">
        <f>IF(B515="","",IFERROR(B515/INDEX($B$2:$B$800,MATCH(DATE(YEAR(A515)-1,12,1),$A$2:$A$800,0))-1,""))</f>
        <v/>
      </c>
      <c r="E515" s="115">
        <f>IF(B515="","",IFERROR(B515/INDEX($B$2:$B$800,MATCH(DATE(YEAR(A515)-1,MONTH(A515),1),$A$2:$A$800,0))-1,""))</f>
        <v/>
      </c>
    </row>
    <row r="516">
      <c r="A516" s="117" t="n"/>
      <c r="B516" s="118" t="n"/>
      <c r="C516" s="115">
        <f>IF(OR(B516="",B515=""),"",B516/B515-1)</f>
        <v/>
      </c>
      <c r="D516" s="115">
        <f>IF(B516="","",IFERROR(B516/INDEX($B$2:$B$800,MATCH(DATE(YEAR(A516)-1,12,1),$A$2:$A$800,0))-1,""))</f>
        <v/>
      </c>
      <c r="E516" s="115">
        <f>IF(B516="","",IFERROR(B516/INDEX($B$2:$B$800,MATCH(DATE(YEAR(A516)-1,MONTH(A516),1),$A$2:$A$800,0))-1,""))</f>
        <v/>
      </c>
    </row>
    <row r="517">
      <c r="A517" s="117" t="n"/>
      <c r="B517" s="118" t="n"/>
      <c r="C517" s="115">
        <f>IF(OR(B517="",B516=""),"",B517/B516-1)</f>
        <v/>
      </c>
      <c r="D517" s="115">
        <f>IF(B517="","",IFERROR(B517/INDEX($B$2:$B$800,MATCH(DATE(YEAR(A517)-1,12,1),$A$2:$A$800,0))-1,""))</f>
        <v/>
      </c>
      <c r="E517" s="115">
        <f>IF(B517="","",IFERROR(B517/INDEX($B$2:$B$800,MATCH(DATE(YEAR(A517)-1,MONTH(A517),1),$A$2:$A$800,0))-1,""))</f>
        <v/>
      </c>
    </row>
    <row r="518">
      <c r="A518" s="117" t="n"/>
      <c r="B518" s="118" t="n"/>
      <c r="C518" s="115">
        <f>IF(OR(B518="",B517=""),"",B518/B517-1)</f>
        <v/>
      </c>
      <c r="D518" s="115">
        <f>IF(B518="","",IFERROR(B518/INDEX($B$2:$B$800,MATCH(DATE(YEAR(A518)-1,12,1),$A$2:$A$800,0))-1,""))</f>
        <v/>
      </c>
      <c r="E518" s="115">
        <f>IF(B518="","",IFERROR(B518/INDEX($B$2:$B$800,MATCH(DATE(YEAR(A518)-1,MONTH(A518),1),$A$2:$A$800,0))-1,""))</f>
        <v/>
      </c>
    </row>
    <row r="519">
      <c r="A519" s="117" t="n"/>
      <c r="B519" s="118" t="n"/>
      <c r="C519" s="115">
        <f>IF(OR(B519="",B518=""),"",B519/B518-1)</f>
        <v/>
      </c>
      <c r="D519" s="115">
        <f>IF(B519="","",IFERROR(B519/INDEX($B$2:$B$800,MATCH(DATE(YEAR(A519)-1,12,1),$A$2:$A$800,0))-1,""))</f>
        <v/>
      </c>
      <c r="E519" s="115">
        <f>IF(B519="","",IFERROR(B519/INDEX($B$2:$B$800,MATCH(DATE(YEAR(A519)-1,MONTH(A519),1),$A$2:$A$800,0))-1,""))</f>
        <v/>
      </c>
    </row>
    <row r="520">
      <c r="A520" s="117" t="n"/>
      <c r="B520" s="118" t="n"/>
      <c r="C520" s="115">
        <f>IF(OR(B520="",B519=""),"",B520/B519-1)</f>
        <v/>
      </c>
      <c r="D520" s="115">
        <f>IF(B520="","",IFERROR(B520/INDEX($B$2:$B$800,MATCH(DATE(YEAR(A520)-1,12,1),$A$2:$A$800,0))-1,""))</f>
        <v/>
      </c>
      <c r="E520" s="115">
        <f>IF(B520="","",IFERROR(B520/INDEX($B$2:$B$800,MATCH(DATE(YEAR(A520)-1,MONTH(A520),1),$A$2:$A$800,0))-1,""))</f>
        <v/>
      </c>
    </row>
    <row r="521">
      <c r="A521" s="117" t="n"/>
      <c r="B521" s="118" t="n"/>
      <c r="C521" s="115">
        <f>IF(OR(B521="",B520=""),"",B521/B520-1)</f>
        <v/>
      </c>
      <c r="D521" s="115">
        <f>IF(B521="","",IFERROR(B521/INDEX($B$2:$B$800,MATCH(DATE(YEAR(A521)-1,12,1),$A$2:$A$800,0))-1,""))</f>
        <v/>
      </c>
      <c r="E521" s="115">
        <f>IF(B521="","",IFERROR(B521/INDEX($B$2:$B$800,MATCH(DATE(YEAR(A521)-1,MONTH(A521),1),$A$2:$A$800,0))-1,""))</f>
        <v/>
      </c>
    </row>
    <row r="522">
      <c r="A522" s="117" t="n"/>
      <c r="B522" s="118" t="n"/>
      <c r="C522" s="115">
        <f>IF(OR(B522="",B521=""),"",B522/B521-1)</f>
        <v/>
      </c>
      <c r="D522" s="115">
        <f>IF(B522="","",IFERROR(B522/INDEX($B$2:$B$800,MATCH(DATE(YEAR(A522)-1,12,1),$A$2:$A$800,0))-1,""))</f>
        <v/>
      </c>
      <c r="E522" s="115">
        <f>IF(B522="","",IFERROR(B522/INDEX($B$2:$B$800,MATCH(DATE(YEAR(A522)-1,MONTH(A522),1),$A$2:$A$800,0))-1,""))</f>
        <v/>
      </c>
    </row>
    <row r="523">
      <c r="A523" s="117" t="n"/>
      <c r="B523" s="118" t="n"/>
      <c r="C523" s="115">
        <f>IF(OR(B523="",B522=""),"",B523/B522-1)</f>
        <v/>
      </c>
      <c r="D523" s="115">
        <f>IF(B523="","",IFERROR(B523/INDEX($B$2:$B$800,MATCH(DATE(YEAR(A523)-1,12,1),$A$2:$A$800,0))-1,""))</f>
        <v/>
      </c>
      <c r="E523" s="115">
        <f>IF(B523="","",IFERROR(B523/INDEX($B$2:$B$800,MATCH(DATE(YEAR(A523)-1,MONTH(A523),1),$A$2:$A$800,0))-1,""))</f>
        <v/>
      </c>
    </row>
    <row r="524">
      <c r="A524" s="117" t="n"/>
      <c r="B524" s="118" t="n"/>
      <c r="C524" s="115">
        <f>IF(OR(B524="",B523=""),"",B524/B523-1)</f>
        <v/>
      </c>
      <c r="D524" s="115">
        <f>IF(B524="","",IFERROR(B524/INDEX($B$2:$B$800,MATCH(DATE(YEAR(A524)-1,12,1),$A$2:$A$800,0))-1,""))</f>
        <v/>
      </c>
      <c r="E524" s="115">
        <f>IF(B524="","",IFERROR(B524/INDEX($B$2:$B$800,MATCH(DATE(YEAR(A524)-1,MONTH(A524),1),$A$2:$A$800,0))-1,""))</f>
        <v/>
      </c>
    </row>
    <row r="525">
      <c r="A525" s="117" t="n"/>
      <c r="B525" s="118" t="n"/>
      <c r="C525" s="115">
        <f>IF(OR(B525="",B524=""),"",B525/B524-1)</f>
        <v/>
      </c>
      <c r="D525" s="115">
        <f>IF(B525="","",IFERROR(B525/INDEX($B$2:$B$800,MATCH(DATE(YEAR(A525)-1,12,1),$A$2:$A$800,0))-1,""))</f>
        <v/>
      </c>
      <c r="E525" s="115">
        <f>IF(B525="","",IFERROR(B525/INDEX($B$2:$B$800,MATCH(DATE(YEAR(A525)-1,MONTH(A525),1),$A$2:$A$800,0))-1,""))</f>
        <v/>
      </c>
    </row>
    <row r="526">
      <c r="A526" s="117" t="n"/>
      <c r="B526" s="118" t="n"/>
      <c r="C526" s="115">
        <f>IF(OR(B526="",B525=""),"",B526/B525-1)</f>
        <v/>
      </c>
      <c r="D526" s="115">
        <f>IF(B526="","",IFERROR(B526/INDEX($B$2:$B$800,MATCH(DATE(YEAR(A526)-1,12,1),$A$2:$A$800,0))-1,""))</f>
        <v/>
      </c>
      <c r="E526" s="115">
        <f>IF(B526="","",IFERROR(B526/INDEX($B$2:$B$800,MATCH(DATE(YEAR(A526)-1,MONTH(A526),1),$A$2:$A$800,0))-1,""))</f>
        <v/>
      </c>
    </row>
    <row r="527">
      <c r="A527" s="117" t="n"/>
      <c r="B527" s="118" t="n"/>
      <c r="C527" s="115">
        <f>IF(OR(B527="",B526=""),"",B527/B526-1)</f>
        <v/>
      </c>
      <c r="D527" s="115">
        <f>IF(B527="","",IFERROR(B527/INDEX($B$2:$B$800,MATCH(DATE(YEAR(A527)-1,12,1),$A$2:$A$800,0))-1,""))</f>
        <v/>
      </c>
      <c r="E527" s="115">
        <f>IF(B527="","",IFERROR(B527/INDEX($B$2:$B$800,MATCH(DATE(YEAR(A527)-1,MONTH(A527),1),$A$2:$A$800,0))-1,""))</f>
        <v/>
      </c>
    </row>
    <row r="528">
      <c r="A528" s="117" t="n"/>
      <c r="B528" s="118" t="n"/>
      <c r="C528" s="115">
        <f>IF(OR(B528="",B527=""),"",B528/B527-1)</f>
        <v/>
      </c>
      <c r="D528" s="115">
        <f>IF(B528="","",IFERROR(B528/INDEX($B$2:$B$800,MATCH(DATE(YEAR(A528)-1,12,1),$A$2:$A$800,0))-1,""))</f>
        <v/>
      </c>
      <c r="E528" s="115">
        <f>IF(B528="","",IFERROR(B528/INDEX($B$2:$B$800,MATCH(DATE(YEAR(A528)-1,MONTH(A528),1),$A$2:$A$800,0))-1,""))</f>
        <v/>
      </c>
    </row>
    <row r="529">
      <c r="A529" s="117" t="n"/>
      <c r="B529" s="118" t="n"/>
      <c r="C529" s="115">
        <f>IF(OR(B529="",B528=""),"",B529/B528-1)</f>
        <v/>
      </c>
      <c r="D529" s="115">
        <f>IF(B529="","",IFERROR(B529/INDEX($B$2:$B$800,MATCH(DATE(YEAR(A529)-1,12,1),$A$2:$A$800,0))-1,""))</f>
        <v/>
      </c>
      <c r="E529" s="115">
        <f>IF(B529="","",IFERROR(B529/INDEX($B$2:$B$800,MATCH(DATE(YEAR(A529)-1,MONTH(A529),1),$A$2:$A$800,0))-1,""))</f>
        <v/>
      </c>
    </row>
    <row r="530">
      <c r="A530" s="117" t="n"/>
      <c r="B530" s="118" t="n"/>
      <c r="C530" s="115">
        <f>IF(OR(B530="",B529=""),"",B530/B529-1)</f>
        <v/>
      </c>
      <c r="D530" s="115">
        <f>IF(B530="","",IFERROR(B530/INDEX($B$2:$B$800,MATCH(DATE(YEAR(A530)-1,12,1),$A$2:$A$800,0))-1,""))</f>
        <v/>
      </c>
      <c r="E530" s="115">
        <f>IF(B530="","",IFERROR(B530/INDEX($B$2:$B$800,MATCH(DATE(YEAR(A530)-1,MONTH(A530),1),$A$2:$A$800,0))-1,""))</f>
        <v/>
      </c>
    </row>
    <row r="531">
      <c r="A531" s="117" t="n"/>
      <c r="B531" s="118" t="n"/>
      <c r="C531" s="115">
        <f>IF(OR(B531="",B530=""),"",B531/B530-1)</f>
        <v/>
      </c>
      <c r="D531" s="115">
        <f>IF(B531="","",IFERROR(B531/INDEX($B$2:$B$800,MATCH(DATE(YEAR(A531)-1,12,1),$A$2:$A$800,0))-1,""))</f>
        <v/>
      </c>
      <c r="E531" s="115">
        <f>IF(B531="","",IFERROR(B531/INDEX($B$2:$B$800,MATCH(DATE(YEAR(A531)-1,MONTH(A531),1),$A$2:$A$800,0))-1,""))</f>
        <v/>
      </c>
    </row>
    <row r="532">
      <c r="A532" s="117" t="n"/>
      <c r="B532" s="118" t="n"/>
      <c r="C532" s="115">
        <f>IF(OR(B532="",B531=""),"",B532/B531-1)</f>
        <v/>
      </c>
      <c r="D532" s="115">
        <f>IF(B532="","",IFERROR(B532/INDEX($B$2:$B$800,MATCH(DATE(YEAR(A532)-1,12,1),$A$2:$A$800,0))-1,""))</f>
        <v/>
      </c>
      <c r="E532" s="115">
        <f>IF(B532="","",IFERROR(B532/INDEX($B$2:$B$800,MATCH(DATE(YEAR(A532)-1,MONTH(A532),1),$A$2:$A$800,0))-1,""))</f>
        <v/>
      </c>
    </row>
    <row r="533">
      <c r="A533" s="117" t="n"/>
      <c r="B533" s="118" t="n"/>
      <c r="C533" s="115">
        <f>IF(OR(B533="",B532=""),"",B533/B532-1)</f>
        <v/>
      </c>
      <c r="D533" s="115">
        <f>IF(B533="","",IFERROR(B533/INDEX($B$2:$B$800,MATCH(DATE(YEAR(A533)-1,12,1),$A$2:$A$800,0))-1,""))</f>
        <v/>
      </c>
      <c r="E533" s="115">
        <f>IF(B533="","",IFERROR(B533/INDEX($B$2:$B$800,MATCH(DATE(YEAR(A533)-1,MONTH(A533),1),$A$2:$A$800,0))-1,""))</f>
        <v/>
      </c>
    </row>
    <row r="534">
      <c r="A534" s="117" t="n"/>
      <c r="B534" s="118" t="n"/>
      <c r="C534" s="115">
        <f>IF(OR(B534="",B533=""),"",B534/B533-1)</f>
        <v/>
      </c>
      <c r="D534" s="115">
        <f>IF(B534="","",IFERROR(B534/INDEX($B$2:$B$800,MATCH(DATE(YEAR(A534)-1,12,1),$A$2:$A$800,0))-1,""))</f>
        <v/>
      </c>
      <c r="E534" s="115">
        <f>IF(B534="","",IFERROR(B534/INDEX($B$2:$B$800,MATCH(DATE(YEAR(A534)-1,MONTH(A534),1),$A$2:$A$800,0))-1,""))</f>
        <v/>
      </c>
    </row>
    <row r="535">
      <c r="A535" s="117" t="n"/>
      <c r="B535" s="118" t="n"/>
      <c r="C535" s="115">
        <f>IF(OR(B535="",B534=""),"",B535/B534-1)</f>
        <v/>
      </c>
      <c r="D535" s="115">
        <f>IF(B535="","",IFERROR(B535/INDEX($B$2:$B$800,MATCH(DATE(YEAR(A535)-1,12,1),$A$2:$A$800,0))-1,""))</f>
        <v/>
      </c>
      <c r="E535" s="115">
        <f>IF(B535="","",IFERROR(B535/INDEX($B$2:$B$800,MATCH(DATE(YEAR(A535)-1,MONTH(A535),1),$A$2:$A$800,0))-1,""))</f>
        <v/>
      </c>
    </row>
    <row r="536">
      <c r="A536" s="117" t="n"/>
      <c r="B536" s="118" t="n"/>
      <c r="C536" s="115">
        <f>IF(OR(B536="",B535=""),"",B536/B535-1)</f>
        <v/>
      </c>
      <c r="D536" s="115">
        <f>IF(B536="","",IFERROR(B536/INDEX($B$2:$B$800,MATCH(DATE(YEAR(A536)-1,12,1),$A$2:$A$800,0))-1,""))</f>
        <v/>
      </c>
      <c r="E536" s="115">
        <f>IF(B536="","",IFERROR(B536/INDEX($B$2:$B$800,MATCH(DATE(YEAR(A536)-1,MONTH(A536),1),$A$2:$A$800,0))-1,""))</f>
        <v/>
      </c>
    </row>
    <row r="537">
      <c r="A537" s="117" t="n"/>
      <c r="B537" s="118" t="n"/>
      <c r="C537" s="115">
        <f>IF(OR(B537="",B536=""),"",B537/B536-1)</f>
        <v/>
      </c>
      <c r="D537" s="115">
        <f>IF(B537="","",IFERROR(B537/INDEX($B$2:$B$800,MATCH(DATE(YEAR(A537)-1,12,1),$A$2:$A$800,0))-1,""))</f>
        <v/>
      </c>
      <c r="E537" s="115">
        <f>IF(B537="","",IFERROR(B537/INDEX($B$2:$B$800,MATCH(DATE(YEAR(A537)-1,MONTH(A537),1),$A$2:$A$800,0))-1,""))</f>
        <v/>
      </c>
    </row>
    <row r="538">
      <c r="A538" s="117" t="n"/>
      <c r="B538" s="118" t="n"/>
      <c r="C538" s="115">
        <f>IF(OR(B538="",B537=""),"",B538/B537-1)</f>
        <v/>
      </c>
      <c r="D538" s="115">
        <f>IF(B538="","",IFERROR(B538/INDEX($B$2:$B$800,MATCH(DATE(YEAR(A538)-1,12,1),$A$2:$A$800,0))-1,""))</f>
        <v/>
      </c>
      <c r="E538" s="115">
        <f>IF(B538="","",IFERROR(B538/INDEX($B$2:$B$800,MATCH(DATE(YEAR(A538)-1,MONTH(A538),1),$A$2:$A$800,0))-1,""))</f>
        <v/>
      </c>
    </row>
    <row r="539">
      <c r="A539" s="117" t="n"/>
      <c r="B539" s="118" t="n"/>
      <c r="C539" s="115">
        <f>IF(OR(B539="",B538=""),"",B539/B538-1)</f>
        <v/>
      </c>
      <c r="D539" s="115">
        <f>IF(B539="","",IFERROR(B539/INDEX($B$2:$B$800,MATCH(DATE(YEAR(A539)-1,12,1),$A$2:$A$800,0))-1,""))</f>
        <v/>
      </c>
      <c r="E539" s="115">
        <f>IF(B539="","",IFERROR(B539/INDEX($B$2:$B$800,MATCH(DATE(YEAR(A539)-1,MONTH(A539),1),$A$2:$A$800,0))-1,""))</f>
        <v/>
      </c>
    </row>
    <row r="540">
      <c r="A540" s="117" t="n"/>
      <c r="B540" s="118" t="n"/>
      <c r="C540" s="115">
        <f>IF(OR(B540="",B539=""),"",B540/B539-1)</f>
        <v/>
      </c>
      <c r="D540" s="115">
        <f>IF(B540="","",IFERROR(B540/INDEX($B$2:$B$800,MATCH(DATE(YEAR(A540)-1,12,1),$A$2:$A$800,0))-1,""))</f>
        <v/>
      </c>
      <c r="E540" s="115">
        <f>IF(B540="","",IFERROR(B540/INDEX($B$2:$B$800,MATCH(DATE(YEAR(A540)-1,MONTH(A540),1),$A$2:$A$800,0))-1,""))</f>
        <v/>
      </c>
    </row>
    <row r="541">
      <c r="A541" s="117" t="n"/>
      <c r="B541" s="118" t="n"/>
      <c r="C541" s="115">
        <f>IF(OR(B541="",B540=""),"",B541/B540-1)</f>
        <v/>
      </c>
      <c r="D541" s="115">
        <f>IF(B541="","",IFERROR(B541/INDEX($B$2:$B$800,MATCH(DATE(YEAR(A541)-1,12,1),$A$2:$A$800,0))-1,""))</f>
        <v/>
      </c>
      <c r="E541" s="115">
        <f>IF(B541="","",IFERROR(B541/INDEX($B$2:$B$800,MATCH(DATE(YEAR(A541)-1,MONTH(A541),1),$A$2:$A$800,0))-1,""))</f>
        <v/>
      </c>
    </row>
    <row r="542">
      <c r="A542" s="117" t="n"/>
      <c r="B542" s="118" t="n"/>
      <c r="C542" s="115">
        <f>IF(OR(B542="",B541=""),"",B542/B541-1)</f>
        <v/>
      </c>
      <c r="D542" s="115">
        <f>IF(B542="","",IFERROR(B542/INDEX($B$2:$B$800,MATCH(DATE(YEAR(A542)-1,12,1),$A$2:$A$800,0))-1,""))</f>
        <v/>
      </c>
      <c r="E542" s="115">
        <f>IF(B542="","",IFERROR(B542/INDEX($B$2:$B$800,MATCH(DATE(YEAR(A542)-1,MONTH(A542),1),$A$2:$A$800,0))-1,""))</f>
        <v/>
      </c>
    </row>
    <row r="543">
      <c r="A543" s="117" t="n"/>
      <c r="B543" s="118" t="n"/>
      <c r="C543" s="115">
        <f>IF(OR(B543="",B542=""),"",B543/B542-1)</f>
        <v/>
      </c>
      <c r="D543" s="115">
        <f>IF(B543="","",IFERROR(B543/INDEX($B$2:$B$800,MATCH(DATE(YEAR(A543)-1,12,1),$A$2:$A$800,0))-1,""))</f>
        <v/>
      </c>
      <c r="E543" s="115">
        <f>IF(B543="","",IFERROR(B543/INDEX($B$2:$B$800,MATCH(DATE(YEAR(A543)-1,MONTH(A543),1),$A$2:$A$800,0))-1,""))</f>
        <v/>
      </c>
    </row>
    <row r="544">
      <c r="A544" s="117" t="n"/>
      <c r="B544" s="118" t="n"/>
      <c r="C544" s="115">
        <f>IF(OR(B544="",B543=""),"",B544/B543-1)</f>
        <v/>
      </c>
      <c r="D544" s="115">
        <f>IF(B544="","",IFERROR(B544/INDEX($B$2:$B$800,MATCH(DATE(YEAR(A544)-1,12,1),$A$2:$A$800,0))-1,""))</f>
        <v/>
      </c>
      <c r="E544" s="115">
        <f>IF(B544="","",IFERROR(B544/INDEX($B$2:$B$800,MATCH(DATE(YEAR(A544)-1,MONTH(A544),1),$A$2:$A$800,0))-1,""))</f>
        <v/>
      </c>
    </row>
    <row r="545">
      <c r="A545" s="117" t="n"/>
      <c r="B545" s="118" t="n"/>
      <c r="C545" s="115">
        <f>IF(OR(B545="",B544=""),"",B545/B544-1)</f>
        <v/>
      </c>
      <c r="D545" s="115">
        <f>IF(B545="","",IFERROR(B545/INDEX($B$2:$B$800,MATCH(DATE(YEAR(A545)-1,12,1),$A$2:$A$800,0))-1,""))</f>
        <v/>
      </c>
      <c r="E545" s="115">
        <f>IF(B545="","",IFERROR(B545/INDEX($B$2:$B$800,MATCH(DATE(YEAR(A545)-1,MONTH(A545),1),$A$2:$A$800,0))-1,""))</f>
        <v/>
      </c>
    </row>
    <row r="546">
      <c r="A546" s="117" t="n"/>
      <c r="B546" s="118" t="n"/>
      <c r="C546" s="115">
        <f>IF(OR(B546="",B545=""),"",B546/B545-1)</f>
        <v/>
      </c>
      <c r="D546" s="115">
        <f>IF(B546="","",IFERROR(B546/INDEX($B$2:$B$800,MATCH(DATE(YEAR(A546)-1,12,1),$A$2:$A$800,0))-1,""))</f>
        <v/>
      </c>
      <c r="E546" s="115">
        <f>IF(B546="","",IFERROR(B546/INDEX($B$2:$B$800,MATCH(DATE(YEAR(A546)-1,MONTH(A546),1),$A$2:$A$800,0))-1,""))</f>
        <v/>
      </c>
    </row>
    <row r="547">
      <c r="A547" s="117" t="n"/>
      <c r="B547" s="118" t="n"/>
      <c r="C547" s="115">
        <f>IF(OR(B547="",B546=""),"",B547/B546-1)</f>
        <v/>
      </c>
      <c r="D547" s="115">
        <f>IF(B547="","",IFERROR(B547/INDEX($B$2:$B$800,MATCH(DATE(YEAR(A547)-1,12,1),$A$2:$A$800,0))-1,""))</f>
        <v/>
      </c>
      <c r="E547" s="115">
        <f>IF(B547="","",IFERROR(B547/INDEX($B$2:$B$800,MATCH(DATE(YEAR(A547)-1,MONTH(A547),1),$A$2:$A$800,0))-1,""))</f>
        <v/>
      </c>
    </row>
    <row r="548">
      <c r="A548" s="117" t="n"/>
      <c r="B548" s="118" t="n"/>
      <c r="C548" s="115">
        <f>IF(OR(B548="",B547=""),"",B548/B547-1)</f>
        <v/>
      </c>
      <c r="D548" s="115">
        <f>IF(B548="","",IFERROR(B548/INDEX($B$2:$B$800,MATCH(DATE(YEAR(A548)-1,12,1),$A$2:$A$800,0))-1,""))</f>
        <v/>
      </c>
      <c r="E548" s="115">
        <f>IF(B548="","",IFERROR(B548/INDEX($B$2:$B$800,MATCH(DATE(YEAR(A548)-1,MONTH(A548),1),$A$2:$A$800,0))-1,""))</f>
        <v/>
      </c>
    </row>
    <row r="549">
      <c r="A549" s="117" t="n"/>
      <c r="B549" s="118" t="n"/>
      <c r="C549" s="115">
        <f>IF(OR(B549="",B548=""),"",B549/B548-1)</f>
        <v/>
      </c>
      <c r="D549" s="115">
        <f>IF(B549="","",IFERROR(B549/INDEX($B$2:$B$800,MATCH(DATE(YEAR(A549)-1,12,1),$A$2:$A$800,0))-1,""))</f>
        <v/>
      </c>
      <c r="E549" s="115">
        <f>IF(B549="","",IFERROR(B549/INDEX($B$2:$B$800,MATCH(DATE(YEAR(A549)-1,MONTH(A549),1),$A$2:$A$800,0))-1,""))</f>
        <v/>
      </c>
    </row>
    <row r="550">
      <c r="A550" s="117" t="n"/>
      <c r="B550" s="118" t="n"/>
      <c r="C550" s="115">
        <f>IF(OR(B550="",B549=""),"",B550/B549-1)</f>
        <v/>
      </c>
      <c r="D550" s="115">
        <f>IF(B550="","",IFERROR(B550/INDEX($B$2:$B$800,MATCH(DATE(YEAR(A550)-1,12,1),$A$2:$A$800,0))-1,""))</f>
        <v/>
      </c>
      <c r="E550" s="115">
        <f>IF(B550="","",IFERROR(B550/INDEX($B$2:$B$800,MATCH(DATE(YEAR(A550)-1,MONTH(A550),1),$A$2:$A$800,0))-1,""))</f>
        <v/>
      </c>
    </row>
    <row r="551">
      <c r="A551" s="117" t="n"/>
      <c r="B551" s="118" t="n"/>
      <c r="C551" s="115">
        <f>IF(OR(B551="",B550=""),"",B551/B550-1)</f>
        <v/>
      </c>
      <c r="D551" s="115">
        <f>IF(B551="","",IFERROR(B551/INDEX($B$2:$B$800,MATCH(DATE(YEAR(A551)-1,12,1),$A$2:$A$800,0))-1,""))</f>
        <v/>
      </c>
      <c r="E551" s="115">
        <f>IF(B551="","",IFERROR(B551/INDEX($B$2:$B$800,MATCH(DATE(YEAR(A551)-1,MONTH(A551),1),$A$2:$A$800,0))-1,""))</f>
        <v/>
      </c>
    </row>
    <row r="552">
      <c r="A552" s="117" t="n"/>
      <c r="B552" s="118" t="n"/>
      <c r="C552" s="115">
        <f>IF(OR(B552="",B551=""),"",B552/B551-1)</f>
        <v/>
      </c>
      <c r="D552" s="115">
        <f>IF(B552="","",IFERROR(B552/INDEX($B$2:$B$800,MATCH(DATE(YEAR(A552)-1,12,1),$A$2:$A$800,0))-1,""))</f>
        <v/>
      </c>
      <c r="E552" s="115">
        <f>IF(B552="","",IFERROR(B552/INDEX($B$2:$B$800,MATCH(DATE(YEAR(A552)-1,MONTH(A552),1),$A$2:$A$800,0))-1,""))</f>
        <v/>
      </c>
    </row>
    <row r="553">
      <c r="A553" s="117" t="n"/>
      <c r="B553" s="118" t="n"/>
      <c r="C553" s="115">
        <f>IF(OR(B553="",B552=""),"",B553/B552-1)</f>
        <v/>
      </c>
      <c r="D553" s="115">
        <f>IF(B553="","",IFERROR(B553/INDEX($B$2:$B$800,MATCH(DATE(YEAR(A553)-1,12,1),$A$2:$A$800,0))-1,""))</f>
        <v/>
      </c>
      <c r="E553" s="115">
        <f>IF(B553="","",IFERROR(B553/INDEX($B$2:$B$800,MATCH(DATE(YEAR(A553)-1,MONTH(A553),1),$A$2:$A$800,0))-1,""))</f>
        <v/>
      </c>
    </row>
    <row r="554">
      <c r="A554" s="117" t="n"/>
      <c r="B554" s="118" t="n"/>
      <c r="C554" s="115">
        <f>IF(OR(B554="",B553=""),"",B554/B553-1)</f>
        <v/>
      </c>
      <c r="D554" s="115">
        <f>IF(B554="","",IFERROR(B554/INDEX($B$2:$B$800,MATCH(DATE(YEAR(A554)-1,12,1),$A$2:$A$800,0))-1,""))</f>
        <v/>
      </c>
      <c r="E554" s="115">
        <f>IF(B554="","",IFERROR(B554/INDEX($B$2:$B$800,MATCH(DATE(YEAR(A554)-1,MONTH(A554),1),$A$2:$A$800,0))-1,""))</f>
        <v/>
      </c>
    </row>
    <row r="555">
      <c r="A555" s="117" t="n"/>
      <c r="B555" s="118" t="n"/>
      <c r="C555" s="115">
        <f>IF(OR(B555="",B554=""),"",B555/B554-1)</f>
        <v/>
      </c>
      <c r="D555" s="115">
        <f>IF(B555="","",IFERROR(B555/INDEX($B$2:$B$800,MATCH(DATE(YEAR(A555)-1,12,1),$A$2:$A$800,0))-1,""))</f>
        <v/>
      </c>
      <c r="E555" s="115">
        <f>IF(B555="","",IFERROR(B555/INDEX($B$2:$B$800,MATCH(DATE(YEAR(A555)-1,MONTH(A555),1),$A$2:$A$800,0))-1,""))</f>
        <v/>
      </c>
    </row>
    <row r="556">
      <c r="A556" s="117" t="n"/>
      <c r="B556" s="118" t="n"/>
      <c r="C556" s="115">
        <f>IF(OR(B556="",B555=""),"",B556/B555-1)</f>
        <v/>
      </c>
      <c r="D556" s="115">
        <f>IF(B556="","",IFERROR(B556/INDEX($B$2:$B$800,MATCH(DATE(YEAR(A556)-1,12,1),$A$2:$A$800,0))-1,""))</f>
        <v/>
      </c>
      <c r="E556" s="115">
        <f>IF(B556="","",IFERROR(B556/INDEX($B$2:$B$800,MATCH(DATE(YEAR(A556)-1,MONTH(A556),1),$A$2:$A$800,0))-1,""))</f>
        <v/>
      </c>
    </row>
    <row r="557">
      <c r="A557" s="117" t="n"/>
      <c r="B557" s="118" t="n"/>
      <c r="C557" s="115">
        <f>IF(OR(B557="",B556=""),"",B557/B556-1)</f>
        <v/>
      </c>
      <c r="D557" s="115">
        <f>IF(B557="","",IFERROR(B557/INDEX($B$2:$B$800,MATCH(DATE(YEAR(A557)-1,12,1),$A$2:$A$800,0))-1,""))</f>
        <v/>
      </c>
      <c r="E557" s="115">
        <f>IF(B557="","",IFERROR(B557/INDEX($B$2:$B$800,MATCH(DATE(YEAR(A557)-1,MONTH(A557),1),$A$2:$A$800,0))-1,""))</f>
        <v/>
      </c>
    </row>
    <row r="558">
      <c r="A558" s="117" t="n"/>
      <c r="B558" s="118" t="n"/>
      <c r="C558" s="115">
        <f>IF(OR(B558="",B557=""),"",B558/B557-1)</f>
        <v/>
      </c>
      <c r="D558" s="115">
        <f>IF(B558="","",IFERROR(B558/INDEX($B$2:$B$800,MATCH(DATE(YEAR(A558)-1,12,1),$A$2:$A$800,0))-1,""))</f>
        <v/>
      </c>
      <c r="E558" s="115">
        <f>IF(B558="","",IFERROR(B558/INDEX($B$2:$B$800,MATCH(DATE(YEAR(A558)-1,MONTH(A558),1),$A$2:$A$800,0))-1,""))</f>
        <v/>
      </c>
    </row>
    <row r="559">
      <c r="A559" s="117" t="n"/>
      <c r="B559" s="118" t="n"/>
      <c r="C559" s="115">
        <f>IF(OR(B559="",B558=""),"",B559/B558-1)</f>
        <v/>
      </c>
      <c r="D559" s="115">
        <f>IF(B559="","",IFERROR(B559/INDEX($B$2:$B$800,MATCH(DATE(YEAR(A559)-1,12,1),$A$2:$A$800,0))-1,""))</f>
        <v/>
      </c>
      <c r="E559" s="115">
        <f>IF(B559="","",IFERROR(B559/INDEX($B$2:$B$800,MATCH(DATE(YEAR(A559)-1,MONTH(A559),1),$A$2:$A$800,0))-1,""))</f>
        <v/>
      </c>
    </row>
    <row r="560">
      <c r="A560" s="117" t="n"/>
      <c r="B560" s="118" t="n"/>
      <c r="C560" s="115">
        <f>IF(OR(B560="",B559=""),"",B560/B559-1)</f>
        <v/>
      </c>
      <c r="D560" s="115">
        <f>IF(B560="","",IFERROR(B560/INDEX($B$2:$B$800,MATCH(DATE(YEAR(A560)-1,12,1),$A$2:$A$800,0))-1,""))</f>
        <v/>
      </c>
      <c r="E560" s="115">
        <f>IF(B560="","",IFERROR(B560/INDEX($B$2:$B$800,MATCH(DATE(YEAR(A560)-1,MONTH(A560),1),$A$2:$A$800,0))-1,""))</f>
        <v/>
      </c>
    </row>
    <row r="561">
      <c r="A561" s="117" t="n"/>
      <c r="B561" s="118" t="n"/>
      <c r="C561" s="115">
        <f>IF(OR(B561="",B560=""),"",B561/B560-1)</f>
        <v/>
      </c>
      <c r="D561" s="115">
        <f>IF(B561="","",IFERROR(B561/INDEX($B$2:$B$800,MATCH(DATE(YEAR(A561)-1,12,1),$A$2:$A$800,0))-1,""))</f>
        <v/>
      </c>
      <c r="E561" s="115">
        <f>IF(B561="","",IFERROR(B561/INDEX($B$2:$B$800,MATCH(DATE(YEAR(A561)-1,MONTH(A561),1),$A$2:$A$800,0))-1,""))</f>
        <v/>
      </c>
    </row>
    <row r="562">
      <c r="A562" s="117" t="n"/>
      <c r="B562" s="118" t="n"/>
      <c r="C562" s="115">
        <f>IF(OR(B562="",B561=""),"",B562/B561-1)</f>
        <v/>
      </c>
      <c r="D562" s="115">
        <f>IF(B562="","",IFERROR(B562/INDEX($B$2:$B$800,MATCH(DATE(YEAR(A562)-1,12,1),$A$2:$A$800,0))-1,""))</f>
        <v/>
      </c>
      <c r="E562" s="115">
        <f>IF(B562="","",IFERROR(B562/INDEX($B$2:$B$800,MATCH(DATE(YEAR(A562)-1,MONTH(A562),1),$A$2:$A$800,0))-1,""))</f>
        <v/>
      </c>
    </row>
    <row r="563">
      <c r="A563" s="117" t="n"/>
      <c r="B563" s="118" t="n"/>
      <c r="C563" s="115">
        <f>IF(OR(B563="",B562=""),"",B563/B562-1)</f>
        <v/>
      </c>
      <c r="D563" s="115">
        <f>IF(B563="","",IFERROR(B563/INDEX($B$2:$B$800,MATCH(DATE(YEAR(A563)-1,12,1),$A$2:$A$800,0))-1,""))</f>
        <v/>
      </c>
      <c r="E563" s="115">
        <f>IF(B563="","",IFERROR(B563/INDEX($B$2:$B$800,MATCH(DATE(YEAR(A563)-1,MONTH(A563),1),$A$2:$A$800,0))-1,""))</f>
        <v/>
      </c>
    </row>
    <row r="564">
      <c r="A564" s="117" t="n"/>
      <c r="B564" s="118" t="n"/>
      <c r="C564" s="115">
        <f>IF(OR(B564="",B563=""),"",B564/B563-1)</f>
        <v/>
      </c>
      <c r="D564" s="115">
        <f>IF(B564="","",IFERROR(B564/INDEX($B$2:$B$800,MATCH(DATE(YEAR(A564)-1,12,1),$A$2:$A$800,0))-1,""))</f>
        <v/>
      </c>
      <c r="E564" s="115">
        <f>IF(B564="","",IFERROR(B564/INDEX($B$2:$B$800,MATCH(DATE(YEAR(A564)-1,MONTH(A564),1),$A$2:$A$800,0))-1,""))</f>
        <v/>
      </c>
    </row>
    <row r="565">
      <c r="A565" s="117" t="n"/>
      <c r="B565" s="118" t="n"/>
      <c r="C565" s="115">
        <f>IF(OR(B565="",B564=""),"",B565/B564-1)</f>
        <v/>
      </c>
      <c r="D565" s="115">
        <f>IF(B565="","",IFERROR(B565/INDEX($B$2:$B$800,MATCH(DATE(YEAR(A565)-1,12,1),$A$2:$A$800,0))-1,""))</f>
        <v/>
      </c>
      <c r="E565" s="115">
        <f>IF(B565="","",IFERROR(B565/INDEX($B$2:$B$800,MATCH(DATE(YEAR(A565)-1,MONTH(A565),1),$A$2:$A$800,0))-1,""))</f>
        <v/>
      </c>
    </row>
    <row r="566">
      <c r="A566" s="117" t="n"/>
      <c r="B566" s="118" t="n"/>
      <c r="C566" s="115">
        <f>IF(OR(B566="",B565=""),"",B566/B565-1)</f>
        <v/>
      </c>
      <c r="D566" s="115">
        <f>IF(B566="","",IFERROR(B566/INDEX($B$2:$B$800,MATCH(DATE(YEAR(A566)-1,12,1),$A$2:$A$800,0))-1,""))</f>
        <v/>
      </c>
      <c r="E566" s="115">
        <f>IF(B566="","",IFERROR(B566/INDEX($B$2:$B$800,MATCH(DATE(YEAR(A566)-1,MONTH(A566),1),$A$2:$A$800,0))-1,""))</f>
        <v/>
      </c>
    </row>
    <row r="567">
      <c r="A567" s="117" t="n"/>
      <c r="B567" s="118" t="n"/>
      <c r="C567" s="115">
        <f>IF(OR(B567="",B566=""),"",B567/B566-1)</f>
        <v/>
      </c>
      <c r="D567" s="115">
        <f>IF(B567="","",IFERROR(B567/INDEX($B$2:$B$800,MATCH(DATE(YEAR(A567)-1,12,1),$A$2:$A$800,0))-1,""))</f>
        <v/>
      </c>
      <c r="E567" s="115">
        <f>IF(B567="","",IFERROR(B567/INDEX($B$2:$B$800,MATCH(DATE(YEAR(A567)-1,MONTH(A567),1),$A$2:$A$800,0))-1,""))</f>
        <v/>
      </c>
    </row>
    <row r="568">
      <c r="A568" s="117" t="n"/>
      <c r="B568" s="118" t="n"/>
      <c r="C568" s="115">
        <f>IF(OR(B568="",B567=""),"",B568/B567-1)</f>
        <v/>
      </c>
      <c r="D568" s="115">
        <f>IF(B568="","",IFERROR(B568/INDEX($B$2:$B$800,MATCH(DATE(YEAR(A568)-1,12,1),$A$2:$A$800,0))-1,""))</f>
        <v/>
      </c>
      <c r="E568" s="115">
        <f>IF(B568="","",IFERROR(B568/INDEX($B$2:$B$800,MATCH(DATE(YEAR(A568)-1,MONTH(A568),1),$A$2:$A$800,0))-1,""))</f>
        <v/>
      </c>
    </row>
    <row r="569">
      <c r="A569" s="117" t="n"/>
      <c r="B569" s="118" t="n"/>
      <c r="C569" s="115">
        <f>IF(OR(B569="",B568=""),"",B569/B568-1)</f>
        <v/>
      </c>
      <c r="D569" s="115">
        <f>IF(B569="","",IFERROR(B569/INDEX($B$2:$B$800,MATCH(DATE(YEAR(A569)-1,12,1),$A$2:$A$800,0))-1,""))</f>
        <v/>
      </c>
      <c r="E569" s="115">
        <f>IF(B569="","",IFERROR(B569/INDEX($B$2:$B$800,MATCH(DATE(YEAR(A569)-1,MONTH(A569),1),$A$2:$A$800,0))-1,""))</f>
        <v/>
      </c>
    </row>
    <row r="570">
      <c r="A570" s="117" t="n"/>
      <c r="B570" s="118" t="n"/>
      <c r="C570" s="115">
        <f>IF(OR(B570="",B569=""),"",B570/B569-1)</f>
        <v/>
      </c>
      <c r="D570" s="115">
        <f>IF(B570="","",IFERROR(B570/INDEX($B$2:$B$800,MATCH(DATE(YEAR(A570)-1,12,1),$A$2:$A$800,0))-1,""))</f>
        <v/>
      </c>
      <c r="E570" s="115">
        <f>IF(B570="","",IFERROR(B570/INDEX($B$2:$B$800,MATCH(DATE(YEAR(A570)-1,MONTH(A570),1),$A$2:$A$800,0))-1,""))</f>
        <v/>
      </c>
    </row>
    <row r="571">
      <c r="A571" s="117" t="n"/>
      <c r="B571" s="118" t="n"/>
      <c r="C571" s="115">
        <f>IF(OR(B571="",B570=""),"",B571/B570-1)</f>
        <v/>
      </c>
      <c r="D571" s="115">
        <f>IF(B571="","",IFERROR(B571/INDEX($B$2:$B$800,MATCH(DATE(YEAR(A571)-1,12,1),$A$2:$A$800,0))-1,""))</f>
        <v/>
      </c>
      <c r="E571" s="115">
        <f>IF(B571="","",IFERROR(B571/INDEX($B$2:$B$800,MATCH(DATE(YEAR(A571)-1,MONTH(A571),1),$A$2:$A$800,0))-1,""))</f>
        <v/>
      </c>
    </row>
    <row r="572">
      <c r="A572" s="117" t="n"/>
      <c r="B572" s="118" t="n"/>
      <c r="C572" s="115">
        <f>IF(OR(B572="",B571=""),"",B572/B571-1)</f>
        <v/>
      </c>
      <c r="D572" s="115">
        <f>IF(B572="","",IFERROR(B572/INDEX($B$2:$B$800,MATCH(DATE(YEAR(A572)-1,12,1),$A$2:$A$800,0))-1,""))</f>
        <v/>
      </c>
      <c r="E572" s="115">
        <f>IF(B572="","",IFERROR(B572/INDEX($B$2:$B$800,MATCH(DATE(YEAR(A572)-1,MONTH(A572),1),$A$2:$A$800,0))-1,""))</f>
        <v/>
      </c>
    </row>
    <row r="573">
      <c r="A573" s="117" t="n"/>
      <c r="B573" s="118" t="n"/>
      <c r="C573" s="115">
        <f>IF(OR(B573="",B572=""),"",B573/B572-1)</f>
        <v/>
      </c>
      <c r="D573" s="115">
        <f>IF(B573="","",IFERROR(B573/INDEX($B$2:$B$800,MATCH(DATE(YEAR(A573)-1,12,1),$A$2:$A$800,0))-1,""))</f>
        <v/>
      </c>
      <c r="E573" s="115">
        <f>IF(B573="","",IFERROR(B573/INDEX($B$2:$B$800,MATCH(DATE(YEAR(A573)-1,MONTH(A573),1),$A$2:$A$800,0))-1,""))</f>
        <v/>
      </c>
    </row>
    <row r="574">
      <c r="A574" s="117" t="n"/>
      <c r="B574" s="118" t="n"/>
      <c r="C574" s="115">
        <f>IF(OR(B574="",B573=""),"",B574/B573-1)</f>
        <v/>
      </c>
      <c r="D574" s="115">
        <f>IF(B574="","",IFERROR(B574/INDEX($B$2:$B$800,MATCH(DATE(YEAR(A574)-1,12,1),$A$2:$A$800,0))-1,""))</f>
        <v/>
      </c>
      <c r="E574" s="115">
        <f>IF(B574="","",IFERROR(B574/INDEX($B$2:$B$800,MATCH(DATE(YEAR(A574)-1,MONTH(A574),1),$A$2:$A$800,0))-1,""))</f>
        <v/>
      </c>
    </row>
    <row r="575">
      <c r="A575" s="117" t="n"/>
      <c r="B575" s="118" t="n"/>
      <c r="C575" s="115">
        <f>IF(OR(B575="",B574=""),"",B575/B574-1)</f>
        <v/>
      </c>
      <c r="D575" s="115">
        <f>IF(B575="","",IFERROR(B575/INDEX($B$2:$B$800,MATCH(DATE(YEAR(A575)-1,12,1),$A$2:$A$800,0))-1,""))</f>
        <v/>
      </c>
      <c r="E575" s="115">
        <f>IF(B575="","",IFERROR(B575/INDEX($B$2:$B$800,MATCH(DATE(YEAR(A575)-1,MONTH(A575),1),$A$2:$A$800,0))-1,""))</f>
        <v/>
      </c>
    </row>
    <row r="576">
      <c r="A576" s="117" t="n"/>
      <c r="B576" s="118" t="n"/>
      <c r="C576" s="115">
        <f>IF(OR(B576="",B575=""),"",B576/B575-1)</f>
        <v/>
      </c>
      <c r="D576" s="115">
        <f>IF(B576="","",IFERROR(B576/INDEX($B$2:$B$800,MATCH(DATE(YEAR(A576)-1,12,1),$A$2:$A$800,0))-1,""))</f>
        <v/>
      </c>
      <c r="E576" s="115">
        <f>IF(B576="","",IFERROR(B576/INDEX($B$2:$B$800,MATCH(DATE(YEAR(A576)-1,MONTH(A576),1),$A$2:$A$800,0))-1,""))</f>
        <v/>
      </c>
    </row>
    <row r="577">
      <c r="A577" s="117" t="n"/>
      <c r="B577" s="118" t="n"/>
      <c r="C577" s="115">
        <f>IF(OR(B577="",B576=""),"",B577/B576-1)</f>
        <v/>
      </c>
      <c r="D577" s="115">
        <f>IF(B577="","",IFERROR(B577/INDEX($B$2:$B$800,MATCH(DATE(YEAR(A577)-1,12,1),$A$2:$A$800,0))-1,""))</f>
        <v/>
      </c>
      <c r="E577" s="115">
        <f>IF(B577="","",IFERROR(B577/INDEX($B$2:$B$800,MATCH(DATE(YEAR(A577)-1,MONTH(A577),1),$A$2:$A$800,0))-1,""))</f>
        <v/>
      </c>
    </row>
    <row r="578">
      <c r="A578" s="117" t="n"/>
      <c r="B578" s="118" t="n"/>
      <c r="C578" s="115">
        <f>IF(OR(B578="",B577=""),"",B578/B577-1)</f>
        <v/>
      </c>
      <c r="D578" s="115">
        <f>IF(B578="","",IFERROR(B578/INDEX($B$2:$B$800,MATCH(DATE(YEAR(A578)-1,12,1),$A$2:$A$800,0))-1,""))</f>
        <v/>
      </c>
      <c r="E578" s="115">
        <f>IF(B578="","",IFERROR(B578/INDEX($B$2:$B$800,MATCH(DATE(YEAR(A578)-1,MONTH(A578),1),$A$2:$A$800,0))-1,""))</f>
        <v/>
      </c>
    </row>
    <row r="579">
      <c r="A579" s="117" t="n"/>
      <c r="B579" s="118" t="n"/>
      <c r="C579" s="115">
        <f>IF(OR(B579="",B578=""),"",B579/B578-1)</f>
        <v/>
      </c>
      <c r="D579" s="115">
        <f>IF(B579="","",IFERROR(B579/INDEX($B$2:$B$800,MATCH(DATE(YEAR(A579)-1,12,1),$A$2:$A$800,0))-1,""))</f>
        <v/>
      </c>
      <c r="E579" s="115">
        <f>IF(B579="","",IFERROR(B579/INDEX($B$2:$B$800,MATCH(DATE(YEAR(A579)-1,MONTH(A579),1),$A$2:$A$800,0))-1,""))</f>
        <v/>
      </c>
    </row>
    <row r="580">
      <c r="A580" s="117" t="n"/>
      <c r="B580" s="118" t="n"/>
      <c r="C580" s="115">
        <f>IF(OR(B580="",B579=""),"",B580/B579-1)</f>
        <v/>
      </c>
      <c r="D580" s="115">
        <f>IF(B580="","",IFERROR(B580/INDEX($B$2:$B$800,MATCH(DATE(YEAR(A580)-1,12,1),$A$2:$A$800,0))-1,""))</f>
        <v/>
      </c>
      <c r="E580" s="115">
        <f>IF(B580="","",IFERROR(B580/INDEX($B$2:$B$800,MATCH(DATE(YEAR(A580)-1,MONTH(A580),1),$A$2:$A$800,0))-1,""))</f>
        <v/>
      </c>
    </row>
    <row r="581">
      <c r="A581" s="117" t="n"/>
      <c r="B581" s="118" t="n"/>
      <c r="C581" s="115">
        <f>IF(OR(B581="",B580=""),"",B581/B580-1)</f>
        <v/>
      </c>
      <c r="D581" s="115">
        <f>IF(B581="","",IFERROR(B581/INDEX($B$2:$B$800,MATCH(DATE(YEAR(A581)-1,12,1),$A$2:$A$800,0))-1,""))</f>
        <v/>
      </c>
      <c r="E581" s="115">
        <f>IF(B581="","",IFERROR(B581/INDEX($B$2:$B$800,MATCH(DATE(YEAR(A581)-1,MONTH(A581),1),$A$2:$A$800,0))-1,""))</f>
        <v/>
      </c>
    </row>
    <row r="582">
      <c r="A582" s="117" t="n"/>
      <c r="B582" s="118" t="n"/>
      <c r="C582" s="115">
        <f>IF(OR(B582="",B581=""),"",B582/B581-1)</f>
        <v/>
      </c>
      <c r="D582" s="115">
        <f>IF(B582="","",IFERROR(B582/INDEX($B$2:$B$800,MATCH(DATE(YEAR(A582)-1,12,1),$A$2:$A$800,0))-1,""))</f>
        <v/>
      </c>
      <c r="E582" s="115">
        <f>IF(B582="","",IFERROR(B582/INDEX($B$2:$B$800,MATCH(DATE(YEAR(A582)-1,MONTH(A582),1),$A$2:$A$800,0))-1,""))</f>
        <v/>
      </c>
    </row>
    <row r="583">
      <c r="A583" s="117" t="n"/>
      <c r="B583" s="118" t="n"/>
      <c r="C583" s="115">
        <f>IF(OR(B583="",B582=""),"",B583/B582-1)</f>
        <v/>
      </c>
      <c r="D583" s="115">
        <f>IF(B583="","",IFERROR(B583/INDEX($B$2:$B$800,MATCH(DATE(YEAR(A583)-1,12,1),$A$2:$A$800,0))-1,""))</f>
        <v/>
      </c>
      <c r="E583" s="115">
        <f>IF(B583="","",IFERROR(B583/INDEX($B$2:$B$800,MATCH(DATE(YEAR(A583)-1,MONTH(A583),1),$A$2:$A$800,0))-1,""))</f>
        <v/>
      </c>
    </row>
    <row r="584">
      <c r="A584" s="117" t="n"/>
      <c r="B584" s="118" t="n"/>
      <c r="C584" s="115">
        <f>IF(OR(B584="",B583=""),"",B584/B583-1)</f>
        <v/>
      </c>
      <c r="D584" s="115">
        <f>IF(B584="","",IFERROR(B584/INDEX($B$2:$B$800,MATCH(DATE(YEAR(A584)-1,12,1),$A$2:$A$800,0))-1,""))</f>
        <v/>
      </c>
      <c r="E584" s="115">
        <f>IF(B584="","",IFERROR(B584/INDEX($B$2:$B$800,MATCH(DATE(YEAR(A584)-1,MONTH(A584),1),$A$2:$A$800,0))-1,""))</f>
        <v/>
      </c>
    </row>
    <row r="585">
      <c r="A585" s="117" t="n"/>
      <c r="B585" s="118" t="n"/>
      <c r="C585" s="115">
        <f>IF(OR(B585="",B584=""),"",B585/B584-1)</f>
        <v/>
      </c>
      <c r="D585" s="115">
        <f>IF(B585="","",IFERROR(B585/INDEX($B$2:$B$800,MATCH(DATE(YEAR(A585)-1,12,1),$A$2:$A$800,0))-1,""))</f>
        <v/>
      </c>
      <c r="E585" s="115">
        <f>IF(B585="","",IFERROR(B585/INDEX($B$2:$B$800,MATCH(DATE(YEAR(A585)-1,MONTH(A585),1),$A$2:$A$800,0))-1,""))</f>
        <v/>
      </c>
    </row>
    <row r="586">
      <c r="A586" s="117" t="n"/>
      <c r="B586" s="118" t="n"/>
      <c r="C586" s="115">
        <f>IF(OR(B586="",B585=""),"",B586/B585-1)</f>
        <v/>
      </c>
      <c r="D586" s="115">
        <f>IF(B586="","",IFERROR(B586/INDEX($B$2:$B$800,MATCH(DATE(YEAR(A586)-1,12,1),$A$2:$A$800,0))-1,""))</f>
        <v/>
      </c>
      <c r="E586" s="115">
        <f>IF(B586="","",IFERROR(B586/INDEX($B$2:$B$800,MATCH(DATE(YEAR(A586)-1,MONTH(A586),1),$A$2:$A$800,0))-1,""))</f>
        <v/>
      </c>
    </row>
    <row r="587">
      <c r="A587" s="117" t="n"/>
      <c r="B587" s="118" t="n"/>
      <c r="C587" s="115">
        <f>IF(OR(B587="",B586=""),"",B587/B586-1)</f>
        <v/>
      </c>
      <c r="D587" s="115">
        <f>IF(B587="","",IFERROR(B587/INDEX($B$2:$B$800,MATCH(DATE(YEAR(A587)-1,12,1),$A$2:$A$800,0))-1,""))</f>
        <v/>
      </c>
      <c r="E587" s="115">
        <f>IF(B587="","",IFERROR(B587/INDEX($B$2:$B$800,MATCH(DATE(YEAR(A587)-1,MONTH(A587),1),$A$2:$A$800,0))-1,""))</f>
        <v/>
      </c>
    </row>
    <row r="588">
      <c r="A588" s="117" t="n"/>
      <c r="B588" s="118" t="n"/>
      <c r="C588" s="115">
        <f>IF(OR(B588="",B587=""),"",B588/B587-1)</f>
        <v/>
      </c>
      <c r="D588" s="115">
        <f>IF(B588="","",IFERROR(B588/INDEX($B$2:$B$800,MATCH(DATE(YEAR(A588)-1,12,1),$A$2:$A$800,0))-1,""))</f>
        <v/>
      </c>
      <c r="E588" s="115">
        <f>IF(B588="","",IFERROR(B588/INDEX($B$2:$B$800,MATCH(DATE(YEAR(A588)-1,MONTH(A588),1),$A$2:$A$800,0))-1,""))</f>
        <v/>
      </c>
    </row>
    <row r="589">
      <c r="A589" s="117" t="n"/>
      <c r="B589" s="118" t="n"/>
      <c r="C589" s="115">
        <f>IF(OR(B589="",B588=""),"",B589/B588-1)</f>
        <v/>
      </c>
      <c r="D589" s="115">
        <f>IF(B589="","",IFERROR(B589/INDEX($B$2:$B$800,MATCH(DATE(YEAR(A589)-1,12,1),$A$2:$A$800,0))-1,""))</f>
        <v/>
      </c>
      <c r="E589" s="115">
        <f>IF(B589="","",IFERROR(B589/INDEX($B$2:$B$800,MATCH(DATE(YEAR(A589)-1,MONTH(A589),1),$A$2:$A$800,0))-1,""))</f>
        <v/>
      </c>
    </row>
    <row r="590">
      <c r="A590" s="117" t="n"/>
      <c r="B590" s="118" t="n"/>
      <c r="C590" s="115">
        <f>IF(OR(B590="",B589=""),"",B590/B589-1)</f>
        <v/>
      </c>
      <c r="D590" s="115">
        <f>IF(B590="","",IFERROR(B590/INDEX($B$2:$B$800,MATCH(DATE(YEAR(A590)-1,12,1),$A$2:$A$800,0))-1,""))</f>
        <v/>
      </c>
      <c r="E590" s="115">
        <f>IF(B590="","",IFERROR(B590/INDEX($B$2:$B$800,MATCH(DATE(YEAR(A590)-1,MONTH(A590),1),$A$2:$A$800,0))-1,""))</f>
        <v/>
      </c>
    </row>
    <row r="591">
      <c r="A591" s="117" t="n"/>
      <c r="B591" s="118" t="n"/>
      <c r="C591" s="115">
        <f>IF(OR(B591="",B590=""),"",B591/B590-1)</f>
        <v/>
      </c>
      <c r="D591" s="115">
        <f>IF(B591="","",IFERROR(B591/INDEX($B$2:$B$800,MATCH(DATE(YEAR(A591)-1,12,1),$A$2:$A$800,0))-1,""))</f>
        <v/>
      </c>
      <c r="E591" s="115">
        <f>IF(B591="","",IFERROR(B591/INDEX($B$2:$B$800,MATCH(DATE(YEAR(A591)-1,MONTH(A591),1),$A$2:$A$800,0))-1,""))</f>
        <v/>
      </c>
    </row>
    <row r="592">
      <c r="A592" s="117" t="n"/>
      <c r="B592" s="118" t="n"/>
      <c r="C592" s="115">
        <f>IF(OR(B592="",B591=""),"",B592/B591-1)</f>
        <v/>
      </c>
      <c r="D592" s="115">
        <f>IF(B592="","",IFERROR(B592/INDEX($B$2:$B$800,MATCH(DATE(YEAR(A592)-1,12,1),$A$2:$A$800,0))-1,""))</f>
        <v/>
      </c>
      <c r="E592" s="115">
        <f>IF(B592="","",IFERROR(B592/INDEX($B$2:$B$800,MATCH(DATE(YEAR(A592)-1,MONTH(A592),1),$A$2:$A$800,0))-1,""))</f>
        <v/>
      </c>
    </row>
    <row r="593">
      <c r="A593" s="117" t="n"/>
      <c r="B593" s="118" t="n"/>
      <c r="C593" s="115">
        <f>IF(OR(B593="",B592=""),"",B593/B592-1)</f>
        <v/>
      </c>
      <c r="D593" s="115">
        <f>IF(B593="","",IFERROR(B593/INDEX($B$2:$B$800,MATCH(DATE(YEAR(A593)-1,12,1),$A$2:$A$800,0))-1,""))</f>
        <v/>
      </c>
      <c r="E593" s="115">
        <f>IF(B593="","",IFERROR(B593/INDEX($B$2:$B$800,MATCH(DATE(YEAR(A593)-1,MONTH(A593),1),$A$2:$A$800,0))-1,""))</f>
        <v/>
      </c>
    </row>
    <row r="594">
      <c r="A594" s="117" t="n"/>
      <c r="B594" s="118" t="n"/>
      <c r="C594" s="115">
        <f>IF(OR(B594="",B593=""),"",B594/B593-1)</f>
        <v/>
      </c>
      <c r="D594" s="115">
        <f>IF(B594="","",IFERROR(B594/INDEX($B$2:$B$800,MATCH(DATE(YEAR(A594)-1,12,1),$A$2:$A$800,0))-1,""))</f>
        <v/>
      </c>
      <c r="E594" s="115">
        <f>IF(B594="","",IFERROR(B594/INDEX($B$2:$B$800,MATCH(DATE(YEAR(A594)-1,MONTH(A594),1),$A$2:$A$800,0))-1,""))</f>
        <v/>
      </c>
    </row>
    <row r="595">
      <c r="A595" s="117" t="n"/>
      <c r="B595" s="118" t="n"/>
      <c r="C595" s="115">
        <f>IF(OR(B595="",B594=""),"",B595/B594-1)</f>
        <v/>
      </c>
      <c r="D595" s="115">
        <f>IF(B595="","",IFERROR(B595/INDEX($B$2:$B$800,MATCH(DATE(YEAR(A595)-1,12,1),$A$2:$A$800,0))-1,""))</f>
        <v/>
      </c>
      <c r="E595" s="115">
        <f>IF(B595="","",IFERROR(B595/INDEX($B$2:$B$800,MATCH(DATE(YEAR(A595)-1,MONTH(A595),1),$A$2:$A$800,0))-1,""))</f>
        <v/>
      </c>
    </row>
    <row r="596">
      <c r="A596" s="117" t="n"/>
      <c r="B596" s="118" t="n"/>
      <c r="C596" s="115">
        <f>IF(OR(B596="",B595=""),"",B596/B595-1)</f>
        <v/>
      </c>
      <c r="D596" s="115">
        <f>IF(B596="","",IFERROR(B596/INDEX($B$2:$B$800,MATCH(DATE(YEAR(A596)-1,12,1),$A$2:$A$800,0))-1,""))</f>
        <v/>
      </c>
      <c r="E596" s="115">
        <f>IF(B596="","",IFERROR(B596/INDEX($B$2:$B$800,MATCH(DATE(YEAR(A596)-1,MONTH(A596),1),$A$2:$A$800,0))-1,""))</f>
        <v/>
      </c>
    </row>
    <row r="597">
      <c r="A597" s="117" t="n"/>
      <c r="B597" s="118" t="n"/>
      <c r="C597" s="115">
        <f>IF(OR(B597="",B596=""),"",B597/B596-1)</f>
        <v/>
      </c>
      <c r="D597" s="115">
        <f>IF(B597="","",IFERROR(B597/INDEX($B$2:$B$800,MATCH(DATE(YEAR(A597)-1,12,1),$A$2:$A$800,0))-1,""))</f>
        <v/>
      </c>
      <c r="E597" s="115">
        <f>IF(B597="","",IFERROR(B597/INDEX($B$2:$B$800,MATCH(DATE(YEAR(A597)-1,MONTH(A597),1),$A$2:$A$800,0))-1,""))</f>
        <v/>
      </c>
    </row>
    <row r="598">
      <c r="A598" s="117" t="n"/>
      <c r="B598" s="118" t="n"/>
      <c r="C598" s="115">
        <f>IF(OR(B598="",B597=""),"",B598/B597-1)</f>
        <v/>
      </c>
      <c r="D598" s="115">
        <f>IF(B598="","",IFERROR(B598/INDEX($B$2:$B$800,MATCH(DATE(YEAR(A598)-1,12,1),$A$2:$A$800,0))-1,""))</f>
        <v/>
      </c>
      <c r="E598" s="115">
        <f>IF(B598="","",IFERROR(B598/INDEX($B$2:$B$800,MATCH(DATE(YEAR(A598)-1,MONTH(A598),1),$A$2:$A$800,0))-1,""))</f>
        <v/>
      </c>
    </row>
    <row r="599">
      <c r="A599" s="117" t="n"/>
      <c r="B599" s="118" t="n"/>
      <c r="C599" s="115">
        <f>IF(OR(B599="",B598=""),"",B599/B598-1)</f>
        <v/>
      </c>
      <c r="D599" s="115">
        <f>IF(B599="","",IFERROR(B599/INDEX($B$2:$B$800,MATCH(DATE(YEAR(A599)-1,12,1),$A$2:$A$800,0))-1,""))</f>
        <v/>
      </c>
      <c r="E599" s="115">
        <f>IF(B599="","",IFERROR(B599/INDEX($B$2:$B$800,MATCH(DATE(YEAR(A599)-1,MONTH(A599),1),$A$2:$A$800,0))-1,""))</f>
        <v/>
      </c>
    </row>
    <row r="600">
      <c r="A600" s="117" t="n"/>
      <c r="B600" s="118" t="n"/>
      <c r="C600" s="115">
        <f>IF(OR(B600="",B599=""),"",B600/B599-1)</f>
        <v/>
      </c>
      <c r="D600" s="115">
        <f>IF(B600="","",IFERROR(B600/INDEX($B$2:$B$800,MATCH(DATE(YEAR(A600)-1,12,1),$A$2:$A$800,0))-1,""))</f>
        <v/>
      </c>
      <c r="E600" s="115">
        <f>IF(B600="","",IFERROR(B600/INDEX($B$2:$B$800,MATCH(DATE(YEAR(A600)-1,MONTH(A600),1),$A$2:$A$800,0))-1,""))</f>
        <v/>
      </c>
    </row>
    <row r="601">
      <c r="A601" s="117" t="n"/>
      <c r="B601" s="118" t="n"/>
      <c r="C601" s="115">
        <f>IF(OR(B601="",B600=""),"",B601/B600-1)</f>
        <v/>
      </c>
      <c r="D601" s="115">
        <f>IF(B601="","",IFERROR(B601/INDEX($B$2:$B$800,MATCH(DATE(YEAR(A601)-1,12,1),$A$2:$A$800,0))-1,""))</f>
        <v/>
      </c>
      <c r="E601" s="115">
        <f>IF(B601="","",IFERROR(B601/INDEX($B$2:$B$800,MATCH(DATE(YEAR(A601)-1,MONTH(A601),1),$A$2:$A$800,0))-1,""))</f>
        <v/>
      </c>
    </row>
    <row r="602">
      <c r="A602" s="117" t="n"/>
      <c r="B602" s="118" t="n"/>
      <c r="C602" s="115">
        <f>IF(OR(B602="",B601=""),"",B602/B601-1)</f>
        <v/>
      </c>
      <c r="D602" s="115">
        <f>IF(B602="","",IFERROR(B602/INDEX($B$2:$B$800,MATCH(DATE(YEAR(A602)-1,12,1),$A$2:$A$800,0))-1,""))</f>
        <v/>
      </c>
      <c r="E602" s="115">
        <f>IF(B602="","",IFERROR(B602/INDEX($B$2:$B$800,MATCH(DATE(YEAR(A602)-1,MONTH(A602),1),$A$2:$A$800,0))-1,""))</f>
        <v/>
      </c>
    </row>
    <row r="603">
      <c r="A603" s="117" t="n"/>
      <c r="B603" s="118" t="n"/>
      <c r="C603" s="115">
        <f>IF(OR(B603="",B602=""),"",B603/B602-1)</f>
        <v/>
      </c>
      <c r="D603" s="115">
        <f>IF(B603="","",IFERROR(B603/INDEX($B$2:$B$800,MATCH(DATE(YEAR(A603)-1,12,1),$A$2:$A$800,0))-1,""))</f>
        <v/>
      </c>
      <c r="E603" s="115">
        <f>IF(B603="","",IFERROR(B603/INDEX($B$2:$B$800,MATCH(DATE(YEAR(A603)-1,MONTH(A603),1),$A$2:$A$800,0))-1,""))</f>
        <v/>
      </c>
    </row>
    <row r="604">
      <c r="A604" s="117" t="n"/>
      <c r="B604" s="118" t="n"/>
      <c r="C604" s="115">
        <f>IF(OR(B604="",B603=""),"",B604/B603-1)</f>
        <v/>
      </c>
      <c r="D604" s="115">
        <f>IF(B604="","",IFERROR(B604/INDEX($B$2:$B$800,MATCH(DATE(YEAR(A604)-1,12,1),$A$2:$A$800,0))-1,""))</f>
        <v/>
      </c>
      <c r="E604" s="115">
        <f>IF(B604="","",IFERROR(B604/INDEX($B$2:$B$800,MATCH(DATE(YEAR(A604)-1,MONTH(A604),1),$A$2:$A$800,0))-1,""))</f>
        <v/>
      </c>
    </row>
    <row r="605">
      <c r="A605" s="117" t="n"/>
      <c r="B605" s="118" t="n"/>
      <c r="C605" s="115">
        <f>IF(OR(B605="",B604=""),"",B605/B604-1)</f>
        <v/>
      </c>
      <c r="D605" s="115">
        <f>IF(B605="","",IFERROR(B605/INDEX($B$2:$B$800,MATCH(DATE(YEAR(A605)-1,12,1),$A$2:$A$800,0))-1,""))</f>
        <v/>
      </c>
      <c r="E605" s="115">
        <f>IF(B605="","",IFERROR(B605/INDEX($B$2:$B$800,MATCH(DATE(YEAR(A605)-1,MONTH(A605),1),$A$2:$A$800,0))-1,""))</f>
        <v/>
      </c>
    </row>
    <row r="606">
      <c r="A606" s="117" t="n"/>
      <c r="B606" s="118" t="n"/>
      <c r="C606" s="115">
        <f>IF(OR(B606="",B605=""),"",B606/B605-1)</f>
        <v/>
      </c>
      <c r="D606" s="115">
        <f>IF(B606="","",IFERROR(B606/INDEX($B$2:$B$800,MATCH(DATE(YEAR(A606)-1,12,1),$A$2:$A$800,0))-1,""))</f>
        <v/>
      </c>
      <c r="E606" s="115">
        <f>IF(B606="","",IFERROR(B606/INDEX($B$2:$B$800,MATCH(DATE(YEAR(A606)-1,MONTH(A606),1),$A$2:$A$800,0))-1,""))</f>
        <v/>
      </c>
    </row>
    <row r="607">
      <c r="A607" s="117" t="n"/>
      <c r="B607" s="118" t="n"/>
      <c r="C607" s="115">
        <f>IF(OR(B607="",B606=""),"",B607/B606-1)</f>
        <v/>
      </c>
      <c r="D607" s="115">
        <f>IF(B607="","",IFERROR(B607/INDEX($B$2:$B$800,MATCH(DATE(YEAR(A607)-1,12,1),$A$2:$A$800,0))-1,""))</f>
        <v/>
      </c>
      <c r="E607" s="115">
        <f>IF(B607="","",IFERROR(B607/INDEX($B$2:$B$800,MATCH(DATE(YEAR(A607)-1,MONTH(A607),1),$A$2:$A$800,0))-1,""))</f>
        <v/>
      </c>
    </row>
    <row r="608">
      <c r="A608" s="117" t="n"/>
      <c r="B608" s="118" t="n"/>
      <c r="C608" s="115">
        <f>IF(OR(B608="",B607=""),"",B608/B607-1)</f>
        <v/>
      </c>
      <c r="D608" s="115">
        <f>IF(B608="","",IFERROR(B608/INDEX($B$2:$B$800,MATCH(DATE(YEAR(A608)-1,12,1),$A$2:$A$800,0))-1,""))</f>
        <v/>
      </c>
      <c r="E608" s="115">
        <f>IF(B608="","",IFERROR(B608/INDEX($B$2:$B$800,MATCH(DATE(YEAR(A608)-1,MONTH(A608),1),$A$2:$A$800,0))-1,""))</f>
        <v/>
      </c>
    </row>
    <row r="609">
      <c r="A609" s="117" t="n"/>
      <c r="B609" s="118" t="n"/>
      <c r="C609" s="115">
        <f>IF(OR(B609="",B608=""),"",B609/B608-1)</f>
        <v/>
      </c>
      <c r="D609" s="115">
        <f>IF(B609="","",IFERROR(B609/INDEX($B$2:$B$800,MATCH(DATE(YEAR(A609)-1,12,1),$A$2:$A$800,0))-1,""))</f>
        <v/>
      </c>
      <c r="E609" s="115">
        <f>IF(B609="","",IFERROR(B609/INDEX($B$2:$B$800,MATCH(DATE(YEAR(A609)-1,MONTH(A609),1),$A$2:$A$800,0))-1,""))</f>
        <v/>
      </c>
    </row>
    <row r="610">
      <c r="A610" s="117" t="n"/>
      <c r="B610" s="118" t="n"/>
      <c r="C610" s="115">
        <f>IF(OR(B610="",B609=""),"",B610/B609-1)</f>
        <v/>
      </c>
      <c r="D610" s="115">
        <f>IF(B610="","",IFERROR(B610/INDEX($B$2:$B$800,MATCH(DATE(YEAR(A610)-1,12,1),$A$2:$A$800,0))-1,""))</f>
        <v/>
      </c>
      <c r="E610" s="115">
        <f>IF(B610="","",IFERROR(B610/INDEX($B$2:$B$800,MATCH(DATE(YEAR(A610)-1,MONTH(A610),1),$A$2:$A$800,0))-1,""))</f>
        <v/>
      </c>
    </row>
    <row r="611">
      <c r="A611" s="117" t="n"/>
      <c r="B611" s="118" t="n"/>
      <c r="C611" s="115">
        <f>IF(OR(B611="",B610=""),"",B611/B610-1)</f>
        <v/>
      </c>
      <c r="D611" s="115">
        <f>IF(B611="","",IFERROR(B611/INDEX($B$2:$B$800,MATCH(DATE(YEAR(A611)-1,12,1),$A$2:$A$800,0))-1,""))</f>
        <v/>
      </c>
      <c r="E611" s="115">
        <f>IF(B611="","",IFERROR(B611/INDEX($B$2:$B$800,MATCH(DATE(YEAR(A611)-1,MONTH(A611),1),$A$2:$A$800,0))-1,""))</f>
        <v/>
      </c>
    </row>
    <row r="612">
      <c r="A612" s="117" t="n"/>
      <c r="B612" s="118" t="n"/>
      <c r="C612" s="115">
        <f>IF(OR(B612="",B611=""),"",B612/B611-1)</f>
        <v/>
      </c>
      <c r="D612" s="115">
        <f>IF(B612="","",IFERROR(B612/INDEX($B$2:$B$800,MATCH(DATE(YEAR(A612)-1,12,1),$A$2:$A$800,0))-1,""))</f>
        <v/>
      </c>
      <c r="E612" s="115">
        <f>IF(B612="","",IFERROR(B612/INDEX($B$2:$B$800,MATCH(DATE(YEAR(A612)-1,MONTH(A612),1),$A$2:$A$800,0))-1,""))</f>
        <v/>
      </c>
    </row>
    <row r="613">
      <c r="A613" s="117" t="n"/>
      <c r="B613" s="118" t="n"/>
      <c r="C613" s="115">
        <f>IF(OR(B613="",B612=""),"",B613/B612-1)</f>
        <v/>
      </c>
      <c r="D613" s="115">
        <f>IF(B613="","",IFERROR(B613/INDEX($B$2:$B$800,MATCH(DATE(YEAR(A613)-1,12,1),$A$2:$A$800,0))-1,""))</f>
        <v/>
      </c>
      <c r="E613" s="115">
        <f>IF(B613="","",IFERROR(B613/INDEX($B$2:$B$800,MATCH(DATE(YEAR(A613)-1,MONTH(A613),1),$A$2:$A$800,0))-1,""))</f>
        <v/>
      </c>
    </row>
    <row r="614">
      <c r="A614" s="117" t="n"/>
      <c r="B614" s="118" t="n"/>
      <c r="C614" s="115">
        <f>IF(OR(B614="",B613=""),"",B614/B613-1)</f>
        <v/>
      </c>
      <c r="D614" s="115">
        <f>IF(B614="","",IFERROR(B614/INDEX($B$2:$B$800,MATCH(DATE(YEAR(A614)-1,12,1),$A$2:$A$800,0))-1,""))</f>
        <v/>
      </c>
      <c r="E614" s="115">
        <f>IF(B614="","",IFERROR(B614/INDEX($B$2:$B$800,MATCH(DATE(YEAR(A614)-1,MONTH(A614),1),$A$2:$A$800,0))-1,""))</f>
        <v/>
      </c>
    </row>
    <row r="615">
      <c r="A615" s="117" t="n"/>
      <c r="B615" s="118" t="n"/>
      <c r="C615" s="115">
        <f>IF(OR(B615="",B614=""),"",B615/B614-1)</f>
        <v/>
      </c>
      <c r="D615" s="115">
        <f>IF(B615="","",IFERROR(B615/INDEX($B$2:$B$800,MATCH(DATE(YEAR(A615)-1,12,1),$A$2:$A$800,0))-1,""))</f>
        <v/>
      </c>
      <c r="E615" s="115">
        <f>IF(B615="","",IFERROR(B615/INDEX($B$2:$B$800,MATCH(DATE(YEAR(A615)-1,MONTH(A615),1),$A$2:$A$800,0))-1,""))</f>
        <v/>
      </c>
    </row>
    <row r="616">
      <c r="A616" s="117" t="n"/>
      <c r="B616" s="118" t="n"/>
      <c r="C616" s="115">
        <f>IF(OR(B616="",B615=""),"",B616/B615-1)</f>
        <v/>
      </c>
      <c r="D616" s="115">
        <f>IF(B616="","",IFERROR(B616/INDEX($B$2:$B$800,MATCH(DATE(YEAR(A616)-1,12,1),$A$2:$A$800,0))-1,""))</f>
        <v/>
      </c>
      <c r="E616" s="115">
        <f>IF(B616="","",IFERROR(B616/INDEX($B$2:$B$800,MATCH(DATE(YEAR(A616)-1,MONTH(A616),1),$A$2:$A$800,0))-1,""))</f>
        <v/>
      </c>
    </row>
    <row r="617">
      <c r="A617" s="117" t="n"/>
      <c r="B617" s="118" t="n"/>
      <c r="C617" s="115">
        <f>IF(OR(B617="",B616=""),"",B617/B616-1)</f>
        <v/>
      </c>
      <c r="D617" s="115">
        <f>IF(B617="","",IFERROR(B617/INDEX($B$2:$B$800,MATCH(DATE(YEAR(A617)-1,12,1),$A$2:$A$800,0))-1,""))</f>
        <v/>
      </c>
      <c r="E617" s="115">
        <f>IF(B617="","",IFERROR(B617/INDEX($B$2:$B$800,MATCH(DATE(YEAR(A617)-1,MONTH(A617),1),$A$2:$A$800,0))-1,""))</f>
        <v/>
      </c>
    </row>
    <row r="618">
      <c r="A618" s="117" t="n"/>
      <c r="B618" s="118" t="n"/>
      <c r="C618" s="115">
        <f>IF(OR(B618="",B617=""),"",B618/B617-1)</f>
        <v/>
      </c>
      <c r="D618" s="115">
        <f>IF(B618="","",IFERROR(B618/INDEX($B$2:$B$800,MATCH(DATE(YEAR(A618)-1,12,1),$A$2:$A$800,0))-1,""))</f>
        <v/>
      </c>
      <c r="E618" s="115">
        <f>IF(B618="","",IFERROR(B618/INDEX($B$2:$B$800,MATCH(DATE(YEAR(A618)-1,MONTH(A618),1),$A$2:$A$800,0))-1,""))</f>
        <v/>
      </c>
    </row>
    <row r="619">
      <c r="A619" s="117" t="n"/>
      <c r="B619" s="118" t="n"/>
      <c r="C619" s="115">
        <f>IF(OR(B619="",B618=""),"",B619/B618-1)</f>
        <v/>
      </c>
      <c r="D619" s="115">
        <f>IF(B619="","",IFERROR(B619/INDEX($B$2:$B$800,MATCH(DATE(YEAR(A619)-1,12,1),$A$2:$A$800,0))-1,""))</f>
        <v/>
      </c>
      <c r="E619" s="115">
        <f>IF(B619="","",IFERROR(B619/INDEX($B$2:$B$800,MATCH(DATE(YEAR(A619)-1,MONTH(A619),1),$A$2:$A$800,0))-1,""))</f>
        <v/>
      </c>
    </row>
    <row r="620">
      <c r="A620" s="117" t="n"/>
      <c r="B620" s="118" t="n"/>
      <c r="C620" s="115">
        <f>IF(OR(B620="",B619=""),"",B620/B619-1)</f>
        <v/>
      </c>
      <c r="D620" s="115">
        <f>IF(B620="","",IFERROR(B620/INDEX($B$2:$B$800,MATCH(DATE(YEAR(A620)-1,12,1),$A$2:$A$800,0))-1,""))</f>
        <v/>
      </c>
      <c r="E620" s="115">
        <f>IF(B620="","",IFERROR(B620/INDEX($B$2:$B$800,MATCH(DATE(YEAR(A620)-1,MONTH(A620),1),$A$2:$A$800,0))-1,""))</f>
        <v/>
      </c>
    </row>
    <row r="621">
      <c r="A621" s="117" t="n"/>
      <c r="B621" s="118" t="n"/>
      <c r="C621" s="115">
        <f>IF(OR(B621="",B620=""),"",B621/B620-1)</f>
        <v/>
      </c>
      <c r="D621" s="115">
        <f>IF(B621="","",IFERROR(B621/INDEX($B$2:$B$800,MATCH(DATE(YEAR(A621)-1,12,1),$A$2:$A$800,0))-1,""))</f>
        <v/>
      </c>
      <c r="E621" s="115">
        <f>IF(B621="","",IFERROR(B621/INDEX($B$2:$B$800,MATCH(DATE(YEAR(A621)-1,MONTH(A621),1),$A$2:$A$800,0))-1,""))</f>
        <v/>
      </c>
    </row>
    <row r="622">
      <c r="A622" s="117" t="n"/>
      <c r="B622" s="118" t="n"/>
      <c r="C622" s="115">
        <f>IF(OR(B622="",B621=""),"",B622/B621-1)</f>
        <v/>
      </c>
      <c r="D622" s="115">
        <f>IF(B622="","",IFERROR(B622/INDEX($B$2:$B$800,MATCH(DATE(YEAR(A622)-1,12,1),$A$2:$A$800,0))-1,""))</f>
        <v/>
      </c>
      <c r="E622" s="115">
        <f>IF(B622="","",IFERROR(B622/INDEX($B$2:$B$800,MATCH(DATE(YEAR(A622)-1,MONTH(A622),1),$A$2:$A$800,0))-1,""))</f>
        <v/>
      </c>
    </row>
    <row r="623">
      <c r="A623" s="117" t="n"/>
      <c r="B623" s="118" t="n"/>
      <c r="C623" s="115">
        <f>IF(OR(B623="",B622=""),"",B623/B622-1)</f>
        <v/>
      </c>
      <c r="D623" s="115">
        <f>IF(B623="","",IFERROR(B623/INDEX($B$2:$B$800,MATCH(DATE(YEAR(A623)-1,12,1),$A$2:$A$800,0))-1,""))</f>
        <v/>
      </c>
      <c r="E623" s="115">
        <f>IF(B623="","",IFERROR(B623/INDEX($B$2:$B$800,MATCH(DATE(YEAR(A623)-1,MONTH(A623),1),$A$2:$A$800,0))-1,""))</f>
        <v/>
      </c>
    </row>
    <row r="624">
      <c r="A624" s="117" t="n"/>
      <c r="B624" s="118" t="n"/>
      <c r="C624" s="115">
        <f>IF(OR(B624="",B623=""),"",B624/B623-1)</f>
        <v/>
      </c>
      <c r="D624" s="115">
        <f>IF(B624="","",IFERROR(B624/INDEX($B$2:$B$800,MATCH(DATE(YEAR(A624)-1,12,1),$A$2:$A$800,0))-1,""))</f>
        <v/>
      </c>
      <c r="E624" s="115">
        <f>IF(B624="","",IFERROR(B624/INDEX($B$2:$B$800,MATCH(DATE(YEAR(A624)-1,MONTH(A624),1),$A$2:$A$800,0))-1,""))</f>
        <v/>
      </c>
    </row>
    <row r="625">
      <c r="A625" s="117" t="n"/>
      <c r="B625" s="118" t="n"/>
      <c r="C625" s="115">
        <f>IF(OR(B625="",B624=""),"",B625/B624-1)</f>
        <v/>
      </c>
      <c r="D625" s="115">
        <f>IF(B625="","",IFERROR(B625/INDEX($B$2:$B$800,MATCH(DATE(YEAR(A625)-1,12,1),$A$2:$A$800,0))-1,""))</f>
        <v/>
      </c>
      <c r="E625" s="115">
        <f>IF(B625="","",IFERROR(B625/INDEX($B$2:$B$800,MATCH(DATE(YEAR(A625)-1,MONTH(A625),1),$A$2:$A$800,0))-1,""))</f>
        <v/>
      </c>
    </row>
    <row r="626">
      <c r="A626" s="117" t="n"/>
      <c r="B626" s="118" t="n"/>
      <c r="C626" s="115">
        <f>IF(OR(B626="",B625=""),"",B626/B625-1)</f>
        <v/>
      </c>
      <c r="D626" s="115">
        <f>IF(B626="","",IFERROR(B626/INDEX($B$2:$B$800,MATCH(DATE(YEAR(A626)-1,12,1),$A$2:$A$800,0))-1,""))</f>
        <v/>
      </c>
      <c r="E626" s="115">
        <f>IF(B626="","",IFERROR(B626/INDEX($B$2:$B$800,MATCH(DATE(YEAR(A626)-1,MONTH(A626),1),$A$2:$A$800,0))-1,""))</f>
        <v/>
      </c>
    </row>
    <row r="627">
      <c r="A627" s="117" t="n"/>
      <c r="B627" s="118" t="n"/>
      <c r="C627" s="115">
        <f>IF(OR(B627="",B626=""),"",B627/B626-1)</f>
        <v/>
      </c>
      <c r="D627" s="115">
        <f>IF(B627="","",IFERROR(B627/INDEX($B$2:$B$800,MATCH(DATE(YEAR(A627)-1,12,1),$A$2:$A$800,0))-1,""))</f>
        <v/>
      </c>
      <c r="E627" s="115">
        <f>IF(B627="","",IFERROR(B627/INDEX($B$2:$B$800,MATCH(DATE(YEAR(A627)-1,MONTH(A627),1),$A$2:$A$800,0))-1,""))</f>
        <v/>
      </c>
    </row>
    <row r="628">
      <c r="A628" s="117" t="n"/>
      <c r="B628" s="118" t="n"/>
      <c r="C628" s="115">
        <f>IF(OR(B628="",B627=""),"",B628/B627-1)</f>
        <v/>
      </c>
      <c r="D628" s="115">
        <f>IF(B628="","",IFERROR(B628/INDEX($B$2:$B$800,MATCH(DATE(YEAR(A628)-1,12,1),$A$2:$A$800,0))-1,""))</f>
        <v/>
      </c>
      <c r="E628" s="115">
        <f>IF(B628="","",IFERROR(B628/INDEX($B$2:$B$800,MATCH(DATE(YEAR(A628)-1,MONTH(A628),1),$A$2:$A$800,0))-1,""))</f>
        <v/>
      </c>
    </row>
    <row r="629">
      <c r="A629" s="117" t="n"/>
      <c r="B629" s="118" t="n"/>
      <c r="C629" s="115">
        <f>IF(OR(B629="",B628=""),"",B629/B628-1)</f>
        <v/>
      </c>
      <c r="D629" s="115">
        <f>IF(B629="","",IFERROR(B629/INDEX($B$2:$B$800,MATCH(DATE(YEAR(A629)-1,12,1),$A$2:$A$800,0))-1,""))</f>
        <v/>
      </c>
      <c r="E629" s="115">
        <f>IF(B629="","",IFERROR(B629/INDEX($B$2:$B$800,MATCH(DATE(YEAR(A629)-1,MONTH(A629),1),$A$2:$A$800,0))-1,""))</f>
        <v/>
      </c>
    </row>
    <row r="630">
      <c r="A630" s="117" t="n"/>
      <c r="B630" s="118" t="n"/>
      <c r="C630" s="115">
        <f>IF(OR(B630="",B629=""),"",B630/B629-1)</f>
        <v/>
      </c>
      <c r="D630" s="115">
        <f>IF(B630="","",IFERROR(B630/INDEX($B$2:$B$800,MATCH(DATE(YEAR(A630)-1,12,1),$A$2:$A$800,0))-1,""))</f>
        <v/>
      </c>
      <c r="E630" s="115">
        <f>IF(B630="","",IFERROR(B630/INDEX($B$2:$B$800,MATCH(DATE(YEAR(A630)-1,MONTH(A630),1),$A$2:$A$800,0))-1,""))</f>
        <v/>
      </c>
    </row>
    <row r="631">
      <c r="A631" s="117" t="n"/>
      <c r="B631" s="118" t="n"/>
      <c r="C631" s="115">
        <f>IF(OR(B631="",B630=""),"",B631/B630-1)</f>
        <v/>
      </c>
      <c r="D631" s="115">
        <f>IF(B631="","",IFERROR(B631/INDEX($B$2:$B$800,MATCH(DATE(YEAR(A631)-1,12,1),$A$2:$A$800,0))-1,""))</f>
        <v/>
      </c>
      <c r="E631" s="115">
        <f>IF(B631="","",IFERROR(B631/INDEX($B$2:$B$800,MATCH(DATE(YEAR(A631)-1,MONTH(A631),1),$A$2:$A$800,0))-1,""))</f>
        <v/>
      </c>
    </row>
    <row r="632">
      <c r="A632" s="117" t="n"/>
      <c r="B632" s="118" t="n"/>
      <c r="C632" s="115">
        <f>IF(OR(B632="",B631=""),"",B632/B631-1)</f>
        <v/>
      </c>
      <c r="D632" s="115">
        <f>IF(B632="","",IFERROR(B632/INDEX($B$2:$B$800,MATCH(DATE(YEAR(A632)-1,12,1),$A$2:$A$800,0))-1,""))</f>
        <v/>
      </c>
      <c r="E632" s="115">
        <f>IF(B632="","",IFERROR(B632/INDEX($B$2:$B$800,MATCH(DATE(YEAR(A632)-1,MONTH(A632),1),$A$2:$A$800,0))-1,""))</f>
        <v/>
      </c>
    </row>
    <row r="633">
      <c r="A633" s="117" t="n"/>
      <c r="B633" s="118" t="n"/>
      <c r="C633" s="115">
        <f>IF(OR(B633="",B632=""),"",B633/B632-1)</f>
        <v/>
      </c>
      <c r="D633" s="115">
        <f>IF(B633="","",IFERROR(B633/INDEX($B$2:$B$800,MATCH(DATE(YEAR(A633)-1,12,1),$A$2:$A$800,0))-1,""))</f>
        <v/>
      </c>
      <c r="E633" s="115">
        <f>IF(B633="","",IFERROR(B633/INDEX($B$2:$B$800,MATCH(DATE(YEAR(A633)-1,MONTH(A633),1),$A$2:$A$800,0))-1,""))</f>
        <v/>
      </c>
    </row>
    <row r="634">
      <c r="A634" s="117" t="n"/>
      <c r="B634" s="118" t="n"/>
      <c r="C634" s="115">
        <f>IF(OR(B634="",B633=""),"",B634/B633-1)</f>
        <v/>
      </c>
      <c r="D634" s="115">
        <f>IF(B634="","",IFERROR(B634/INDEX($B$2:$B$800,MATCH(DATE(YEAR(A634)-1,12,1),$A$2:$A$800,0))-1,""))</f>
        <v/>
      </c>
      <c r="E634" s="115">
        <f>IF(B634="","",IFERROR(B634/INDEX($B$2:$B$800,MATCH(DATE(YEAR(A634)-1,MONTH(A634),1),$A$2:$A$800,0))-1,""))</f>
        <v/>
      </c>
    </row>
    <row r="635">
      <c r="A635" s="117" t="n"/>
      <c r="B635" s="118" t="n"/>
      <c r="C635" s="115">
        <f>IF(OR(B635="",B634=""),"",B635/B634-1)</f>
        <v/>
      </c>
      <c r="D635" s="115">
        <f>IF(B635="","",IFERROR(B635/INDEX($B$2:$B$800,MATCH(DATE(YEAR(A635)-1,12,1),$A$2:$A$800,0))-1,""))</f>
        <v/>
      </c>
      <c r="E635" s="115">
        <f>IF(B635="","",IFERROR(B635/INDEX($B$2:$B$800,MATCH(DATE(YEAR(A635)-1,MONTH(A635),1),$A$2:$A$800,0))-1,""))</f>
        <v/>
      </c>
    </row>
    <row r="636">
      <c r="A636" s="117" t="n"/>
      <c r="B636" s="118" t="n"/>
      <c r="C636" s="115">
        <f>IF(OR(B636="",B635=""),"",B636/B635-1)</f>
        <v/>
      </c>
      <c r="D636" s="115">
        <f>IF(B636="","",IFERROR(B636/INDEX($B$2:$B$800,MATCH(DATE(YEAR(A636)-1,12,1),$A$2:$A$800,0))-1,""))</f>
        <v/>
      </c>
      <c r="E636" s="115">
        <f>IF(B636="","",IFERROR(B636/INDEX($B$2:$B$800,MATCH(DATE(YEAR(A636)-1,MONTH(A636),1),$A$2:$A$800,0))-1,""))</f>
        <v/>
      </c>
    </row>
    <row r="637">
      <c r="A637" s="117" t="n"/>
      <c r="B637" s="118" t="n"/>
      <c r="C637" s="115">
        <f>IF(OR(B637="",B636=""),"",B637/B636-1)</f>
        <v/>
      </c>
      <c r="D637" s="115">
        <f>IF(B637="","",IFERROR(B637/INDEX($B$2:$B$800,MATCH(DATE(YEAR(A637)-1,12,1),$A$2:$A$800,0))-1,""))</f>
        <v/>
      </c>
      <c r="E637" s="115">
        <f>IF(B637="","",IFERROR(B637/INDEX($B$2:$B$800,MATCH(DATE(YEAR(A637)-1,MONTH(A637),1),$A$2:$A$800,0))-1,""))</f>
        <v/>
      </c>
    </row>
    <row r="638">
      <c r="A638" s="117" t="n"/>
      <c r="B638" s="118" t="n"/>
      <c r="C638" s="115">
        <f>IF(OR(B638="",B637=""),"",B638/B637-1)</f>
        <v/>
      </c>
      <c r="D638" s="115">
        <f>IF(B638="","",IFERROR(B638/INDEX($B$2:$B$800,MATCH(DATE(YEAR(A638)-1,12,1),$A$2:$A$800,0))-1,""))</f>
        <v/>
      </c>
      <c r="E638" s="115">
        <f>IF(B638="","",IFERROR(B638/INDEX($B$2:$B$800,MATCH(DATE(YEAR(A638)-1,MONTH(A638),1),$A$2:$A$800,0))-1,""))</f>
        <v/>
      </c>
    </row>
    <row r="639">
      <c r="A639" s="117" t="n"/>
      <c r="B639" s="118" t="n"/>
      <c r="C639" s="115">
        <f>IF(OR(B639="",B638=""),"",B639/B638-1)</f>
        <v/>
      </c>
      <c r="D639" s="115">
        <f>IF(B639="","",IFERROR(B639/INDEX($B$2:$B$800,MATCH(DATE(YEAR(A639)-1,12,1),$A$2:$A$800,0))-1,""))</f>
        <v/>
      </c>
      <c r="E639" s="115">
        <f>IF(B639="","",IFERROR(B639/INDEX($B$2:$B$800,MATCH(DATE(YEAR(A639)-1,MONTH(A639),1),$A$2:$A$800,0))-1,""))</f>
        <v/>
      </c>
    </row>
    <row r="640">
      <c r="A640" s="117" t="n"/>
      <c r="B640" s="118" t="n"/>
      <c r="C640" s="115">
        <f>IF(OR(B640="",B639=""),"",B640/B639-1)</f>
        <v/>
      </c>
      <c r="D640" s="115">
        <f>IF(B640="","",IFERROR(B640/INDEX($B$2:$B$800,MATCH(DATE(YEAR(A640)-1,12,1),$A$2:$A$800,0))-1,""))</f>
        <v/>
      </c>
      <c r="E640" s="115">
        <f>IF(B640="","",IFERROR(B640/INDEX($B$2:$B$800,MATCH(DATE(YEAR(A640)-1,MONTH(A640),1),$A$2:$A$800,0))-1,""))</f>
        <v/>
      </c>
    </row>
    <row r="641">
      <c r="A641" s="117" t="n"/>
      <c r="B641" s="118" t="n"/>
      <c r="C641" s="115">
        <f>IF(OR(B641="",B640=""),"",B641/B640-1)</f>
        <v/>
      </c>
      <c r="D641" s="115">
        <f>IF(B641="","",IFERROR(B641/INDEX($B$2:$B$800,MATCH(DATE(YEAR(A641)-1,12,1),$A$2:$A$800,0))-1,""))</f>
        <v/>
      </c>
      <c r="E641" s="115">
        <f>IF(B641="","",IFERROR(B641/INDEX($B$2:$B$800,MATCH(DATE(YEAR(A641)-1,MONTH(A641),1),$A$2:$A$800,0))-1,""))</f>
        <v/>
      </c>
    </row>
    <row r="642">
      <c r="A642" s="117" t="n"/>
      <c r="B642" s="118" t="n"/>
      <c r="C642" s="115">
        <f>IF(OR(B642="",B641=""),"",B642/B641-1)</f>
        <v/>
      </c>
      <c r="D642" s="115">
        <f>IF(B642="","",IFERROR(B642/INDEX($B$2:$B$800,MATCH(DATE(YEAR(A642)-1,12,1),$A$2:$A$800,0))-1,""))</f>
        <v/>
      </c>
      <c r="E642" s="115">
        <f>IF(B642="","",IFERROR(B642/INDEX($B$2:$B$800,MATCH(DATE(YEAR(A642)-1,MONTH(A642),1),$A$2:$A$800,0))-1,""))</f>
        <v/>
      </c>
    </row>
    <row r="643">
      <c r="A643" s="117" t="n"/>
      <c r="B643" s="118" t="n"/>
      <c r="C643" s="115">
        <f>IF(OR(B643="",B642=""),"",B643/B642-1)</f>
        <v/>
      </c>
      <c r="D643" s="115">
        <f>IF(B643="","",IFERROR(B643/INDEX($B$2:$B$800,MATCH(DATE(YEAR(A643)-1,12,1),$A$2:$A$800,0))-1,""))</f>
        <v/>
      </c>
      <c r="E643" s="115">
        <f>IF(B643="","",IFERROR(B643/INDEX($B$2:$B$800,MATCH(DATE(YEAR(A643)-1,MONTH(A643),1),$A$2:$A$800,0))-1,""))</f>
        <v/>
      </c>
    </row>
    <row r="644">
      <c r="A644" s="117" t="n"/>
      <c r="B644" s="118" t="n"/>
      <c r="C644" s="115">
        <f>IF(OR(B644="",B643=""),"",B644/B643-1)</f>
        <v/>
      </c>
      <c r="D644" s="115">
        <f>IF(B644="","",IFERROR(B644/INDEX($B$2:$B$800,MATCH(DATE(YEAR(A644)-1,12,1),$A$2:$A$800,0))-1,""))</f>
        <v/>
      </c>
      <c r="E644" s="115">
        <f>IF(B644="","",IFERROR(B644/INDEX($B$2:$B$800,MATCH(DATE(YEAR(A644)-1,MONTH(A644),1),$A$2:$A$800,0))-1,""))</f>
        <v/>
      </c>
    </row>
    <row r="645">
      <c r="A645" s="117" t="n"/>
      <c r="B645" s="118" t="n"/>
      <c r="C645" s="115">
        <f>IF(OR(B645="",B644=""),"",B645/B644-1)</f>
        <v/>
      </c>
      <c r="D645" s="115">
        <f>IF(B645="","",IFERROR(B645/INDEX($B$2:$B$800,MATCH(DATE(YEAR(A645)-1,12,1),$A$2:$A$800,0))-1,""))</f>
        <v/>
      </c>
      <c r="E645" s="115">
        <f>IF(B645="","",IFERROR(B645/INDEX($B$2:$B$800,MATCH(DATE(YEAR(A645)-1,MONTH(A645),1),$A$2:$A$800,0))-1,""))</f>
        <v/>
      </c>
    </row>
    <row r="646">
      <c r="A646" s="117" t="n"/>
      <c r="B646" s="118" t="n"/>
      <c r="C646" s="115">
        <f>IF(OR(B646="",B645=""),"",B646/B645-1)</f>
        <v/>
      </c>
      <c r="D646" s="115">
        <f>IF(B646="","",IFERROR(B646/INDEX($B$2:$B$800,MATCH(DATE(YEAR(A646)-1,12,1),$A$2:$A$800,0))-1,""))</f>
        <v/>
      </c>
      <c r="E646" s="115">
        <f>IF(B646="","",IFERROR(B646/INDEX($B$2:$B$800,MATCH(DATE(YEAR(A646)-1,MONTH(A646),1),$A$2:$A$800,0))-1,""))</f>
        <v/>
      </c>
    </row>
    <row r="647">
      <c r="A647" s="117" t="n"/>
      <c r="B647" s="118" t="n"/>
      <c r="C647" s="115">
        <f>IF(OR(B647="",B646=""),"",B647/B646-1)</f>
        <v/>
      </c>
      <c r="D647" s="115">
        <f>IF(B647="","",IFERROR(B647/INDEX($B$2:$B$800,MATCH(DATE(YEAR(A647)-1,12,1),$A$2:$A$800,0))-1,""))</f>
        <v/>
      </c>
      <c r="E647" s="115">
        <f>IF(B647="","",IFERROR(B647/INDEX($B$2:$B$800,MATCH(DATE(YEAR(A647)-1,MONTH(A647),1),$A$2:$A$800,0))-1,""))</f>
        <v/>
      </c>
    </row>
    <row r="648">
      <c r="A648" s="117" t="n"/>
      <c r="B648" s="118" t="n"/>
      <c r="C648" s="115">
        <f>IF(OR(B648="",B647=""),"",B648/B647-1)</f>
        <v/>
      </c>
      <c r="D648" s="115">
        <f>IF(B648="","",IFERROR(B648/INDEX($B$2:$B$800,MATCH(DATE(YEAR(A648)-1,12,1),$A$2:$A$800,0))-1,""))</f>
        <v/>
      </c>
      <c r="E648" s="115">
        <f>IF(B648="","",IFERROR(B648/INDEX($B$2:$B$800,MATCH(DATE(YEAR(A648)-1,MONTH(A648),1),$A$2:$A$800,0))-1,""))</f>
        <v/>
      </c>
    </row>
    <row r="649">
      <c r="A649" s="117" t="n"/>
      <c r="B649" s="118" t="n"/>
      <c r="C649" s="115">
        <f>IF(OR(B649="",B648=""),"",B649/B648-1)</f>
        <v/>
      </c>
      <c r="D649" s="115">
        <f>IF(B649="","",IFERROR(B649/INDEX($B$2:$B$800,MATCH(DATE(YEAR(A649)-1,12,1),$A$2:$A$800,0))-1,""))</f>
        <v/>
      </c>
      <c r="E649" s="115">
        <f>IF(B649="","",IFERROR(B649/INDEX($B$2:$B$800,MATCH(DATE(YEAR(A649)-1,MONTH(A649),1),$A$2:$A$800,0))-1,""))</f>
        <v/>
      </c>
    </row>
    <row r="650">
      <c r="A650" s="117" t="n"/>
      <c r="B650" s="118" t="n"/>
      <c r="C650" s="115">
        <f>IF(OR(B650="",B649=""),"",B650/B649-1)</f>
        <v/>
      </c>
      <c r="D650" s="115">
        <f>IF(B650="","",IFERROR(B650/INDEX($B$2:$B$800,MATCH(DATE(YEAR(A650)-1,12,1),$A$2:$A$800,0))-1,""))</f>
        <v/>
      </c>
      <c r="E650" s="115">
        <f>IF(B650="","",IFERROR(B650/INDEX($B$2:$B$800,MATCH(DATE(YEAR(A650)-1,MONTH(A650),1),$A$2:$A$800,0))-1,""))</f>
        <v/>
      </c>
    </row>
    <row r="651">
      <c r="A651" s="117" t="n"/>
      <c r="B651" s="118" t="n"/>
      <c r="C651" s="115">
        <f>IF(OR(B651="",B650=""),"",B651/B650-1)</f>
        <v/>
      </c>
      <c r="D651" s="115">
        <f>IF(B651="","",IFERROR(B651/INDEX($B$2:$B$800,MATCH(DATE(YEAR(A651)-1,12,1),$A$2:$A$800,0))-1,""))</f>
        <v/>
      </c>
      <c r="E651" s="115">
        <f>IF(B651="","",IFERROR(B651/INDEX($B$2:$B$800,MATCH(DATE(YEAR(A651)-1,MONTH(A651),1),$A$2:$A$800,0))-1,""))</f>
        <v/>
      </c>
    </row>
    <row r="652">
      <c r="A652" s="117" t="n"/>
      <c r="B652" s="118" t="n"/>
      <c r="C652" s="115">
        <f>IF(OR(B652="",B651=""),"",B652/B651-1)</f>
        <v/>
      </c>
      <c r="D652" s="115">
        <f>IF(B652="","",IFERROR(B652/INDEX($B$2:$B$800,MATCH(DATE(YEAR(A652)-1,12,1),$A$2:$A$800,0))-1,""))</f>
        <v/>
      </c>
      <c r="E652" s="115">
        <f>IF(B652="","",IFERROR(B652/INDEX($B$2:$B$800,MATCH(DATE(YEAR(A652)-1,MONTH(A652),1),$A$2:$A$800,0))-1,""))</f>
        <v/>
      </c>
    </row>
    <row r="653">
      <c r="A653" s="117" t="n"/>
      <c r="B653" s="118" t="n"/>
      <c r="C653" s="115">
        <f>IF(OR(B653="",B652=""),"",B653/B652-1)</f>
        <v/>
      </c>
      <c r="D653" s="115">
        <f>IF(B653="","",IFERROR(B653/INDEX($B$2:$B$800,MATCH(DATE(YEAR(A653)-1,12,1),$A$2:$A$800,0))-1,""))</f>
        <v/>
      </c>
      <c r="E653" s="115">
        <f>IF(B653="","",IFERROR(B653/INDEX($B$2:$B$800,MATCH(DATE(YEAR(A653)-1,MONTH(A653),1),$A$2:$A$800,0))-1,""))</f>
        <v/>
      </c>
    </row>
    <row r="654">
      <c r="A654" s="117" t="n"/>
      <c r="B654" s="118" t="n"/>
      <c r="C654" s="115">
        <f>IF(OR(B654="",B653=""),"",B654/B653-1)</f>
        <v/>
      </c>
      <c r="D654" s="115">
        <f>IF(B654="","",IFERROR(B654/INDEX($B$2:$B$800,MATCH(DATE(YEAR(A654)-1,12,1),$A$2:$A$800,0))-1,""))</f>
        <v/>
      </c>
      <c r="E654" s="115">
        <f>IF(B654="","",IFERROR(B654/INDEX($B$2:$B$800,MATCH(DATE(YEAR(A654)-1,MONTH(A654),1),$A$2:$A$800,0))-1,""))</f>
        <v/>
      </c>
    </row>
    <row r="655">
      <c r="A655" s="117" t="n"/>
      <c r="B655" s="118" t="n"/>
      <c r="C655" s="115">
        <f>IF(OR(B655="",B654=""),"",B655/B654-1)</f>
        <v/>
      </c>
      <c r="D655" s="115">
        <f>IF(B655="","",IFERROR(B655/INDEX($B$2:$B$800,MATCH(DATE(YEAR(A655)-1,12,1),$A$2:$A$800,0))-1,""))</f>
        <v/>
      </c>
      <c r="E655" s="115">
        <f>IF(B655="","",IFERROR(B655/INDEX($B$2:$B$800,MATCH(DATE(YEAR(A655)-1,MONTH(A655),1),$A$2:$A$800,0))-1,""))</f>
        <v/>
      </c>
    </row>
    <row r="656">
      <c r="A656" s="117" t="n"/>
      <c r="B656" s="118" t="n"/>
      <c r="C656" s="115">
        <f>IF(OR(B656="",B655=""),"",B656/B655-1)</f>
        <v/>
      </c>
      <c r="D656" s="115">
        <f>IF(B656="","",IFERROR(B656/INDEX($B$2:$B$800,MATCH(DATE(YEAR(A656)-1,12,1),$A$2:$A$800,0))-1,""))</f>
        <v/>
      </c>
      <c r="E656" s="115">
        <f>IF(B656="","",IFERROR(B656/INDEX($B$2:$B$800,MATCH(DATE(YEAR(A656)-1,MONTH(A656),1),$A$2:$A$800,0))-1,""))</f>
        <v/>
      </c>
    </row>
    <row r="657">
      <c r="A657" s="117" t="n"/>
      <c r="B657" s="118" t="n"/>
      <c r="C657" s="115">
        <f>IF(OR(B657="",B656=""),"",B657/B656-1)</f>
        <v/>
      </c>
      <c r="D657" s="115">
        <f>IF(B657="","",IFERROR(B657/INDEX($B$2:$B$800,MATCH(DATE(YEAR(A657)-1,12,1),$A$2:$A$800,0))-1,""))</f>
        <v/>
      </c>
      <c r="E657" s="115">
        <f>IF(B657="","",IFERROR(B657/INDEX($B$2:$B$800,MATCH(DATE(YEAR(A657)-1,MONTH(A657),1),$A$2:$A$800,0))-1,""))</f>
        <v/>
      </c>
    </row>
    <row r="658">
      <c r="A658" s="117" t="n"/>
      <c r="B658" s="118" t="n"/>
      <c r="C658" s="115">
        <f>IF(OR(B658="",B657=""),"",B658/B657-1)</f>
        <v/>
      </c>
      <c r="D658" s="115">
        <f>IF(B658="","",IFERROR(B658/INDEX($B$2:$B$800,MATCH(DATE(YEAR(A658)-1,12,1),$A$2:$A$800,0))-1,""))</f>
        <v/>
      </c>
      <c r="E658" s="115">
        <f>IF(B658="","",IFERROR(B658/INDEX($B$2:$B$800,MATCH(DATE(YEAR(A658)-1,MONTH(A658),1),$A$2:$A$800,0))-1,""))</f>
        <v/>
      </c>
    </row>
    <row r="659">
      <c r="A659" s="117" t="n"/>
      <c r="B659" s="118" t="n"/>
      <c r="C659" s="115">
        <f>IF(OR(B659="",B658=""),"",B659/B658-1)</f>
        <v/>
      </c>
      <c r="D659" s="115">
        <f>IF(B659="","",IFERROR(B659/INDEX($B$2:$B$800,MATCH(DATE(YEAR(A659)-1,12,1),$A$2:$A$800,0))-1,""))</f>
        <v/>
      </c>
      <c r="E659" s="115">
        <f>IF(B659="","",IFERROR(B659/INDEX($B$2:$B$800,MATCH(DATE(YEAR(A659)-1,MONTH(A659),1),$A$2:$A$800,0))-1,""))</f>
        <v/>
      </c>
    </row>
    <row r="660">
      <c r="A660" s="117" t="n"/>
      <c r="B660" s="118" t="n"/>
      <c r="C660" s="115">
        <f>IF(OR(B660="",B659=""),"",B660/B659-1)</f>
        <v/>
      </c>
      <c r="D660" s="115">
        <f>IF(B660="","",IFERROR(B660/INDEX($B$2:$B$800,MATCH(DATE(YEAR(A660)-1,12,1),$A$2:$A$800,0))-1,""))</f>
        <v/>
      </c>
      <c r="E660" s="115">
        <f>IF(B660="","",IFERROR(B660/INDEX($B$2:$B$800,MATCH(DATE(YEAR(A660)-1,MONTH(A660),1),$A$2:$A$800,0))-1,""))</f>
        <v/>
      </c>
    </row>
    <row r="661">
      <c r="A661" s="117" t="n"/>
      <c r="B661" s="118" t="n"/>
      <c r="C661" s="115">
        <f>IF(OR(B661="",B660=""),"",B661/B660-1)</f>
        <v/>
      </c>
      <c r="D661" s="115">
        <f>IF(B661="","",IFERROR(B661/INDEX($B$2:$B$800,MATCH(DATE(YEAR(A661)-1,12,1),$A$2:$A$800,0))-1,""))</f>
        <v/>
      </c>
      <c r="E661" s="115">
        <f>IF(B661="","",IFERROR(B661/INDEX($B$2:$B$800,MATCH(DATE(YEAR(A661)-1,MONTH(A661),1),$A$2:$A$800,0))-1,""))</f>
        <v/>
      </c>
    </row>
    <row r="662">
      <c r="A662" s="117" t="n"/>
      <c r="B662" s="118" t="n"/>
      <c r="C662" s="115">
        <f>IF(OR(B662="",B661=""),"",B662/B661-1)</f>
        <v/>
      </c>
      <c r="D662" s="115">
        <f>IF(B662="","",IFERROR(B662/INDEX($B$2:$B$800,MATCH(DATE(YEAR(A662)-1,12,1),$A$2:$A$800,0))-1,""))</f>
        <v/>
      </c>
      <c r="E662" s="115">
        <f>IF(B662="","",IFERROR(B662/INDEX($B$2:$B$800,MATCH(DATE(YEAR(A662)-1,MONTH(A662),1),$A$2:$A$800,0))-1,""))</f>
        <v/>
      </c>
    </row>
    <row r="663">
      <c r="A663" s="117" t="n"/>
      <c r="B663" s="118" t="n"/>
      <c r="C663" s="115">
        <f>IF(OR(B663="",B662=""),"",B663/B662-1)</f>
        <v/>
      </c>
      <c r="D663" s="115">
        <f>IF(B663="","",IFERROR(B663/INDEX($B$2:$B$800,MATCH(DATE(YEAR(A663)-1,12,1),$A$2:$A$800,0))-1,""))</f>
        <v/>
      </c>
      <c r="E663" s="115">
        <f>IF(B663="","",IFERROR(B663/INDEX($B$2:$B$800,MATCH(DATE(YEAR(A663)-1,MONTH(A663),1),$A$2:$A$800,0))-1,""))</f>
        <v/>
      </c>
    </row>
    <row r="664">
      <c r="A664" s="117" t="n"/>
      <c r="B664" s="118" t="n"/>
      <c r="C664" s="115">
        <f>IF(OR(B664="",B663=""),"",B664/B663-1)</f>
        <v/>
      </c>
      <c r="D664" s="115">
        <f>IF(B664="","",IFERROR(B664/INDEX($B$2:$B$800,MATCH(DATE(YEAR(A664)-1,12,1),$A$2:$A$800,0))-1,""))</f>
        <v/>
      </c>
      <c r="E664" s="115">
        <f>IF(B664="","",IFERROR(B664/INDEX($B$2:$B$800,MATCH(DATE(YEAR(A664)-1,MONTH(A664),1),$A$2:$A$800,0))-1,""))</f>
        <v/>
      </c>
    </row>
    <row r="665">
      <c r="A665" s="117" t="n"/>
      <c r="B665" s="118" t="n"/>
      <c r="C665" s="115">
        <f>IF(OR(B665="",B664=""),"",B665/B664-1)</f>
        <v/>
      </c>
      <c r="D665" s="115">
        <f>IF(B665="","",IFERROR(B665/INDEX($B$2:$B$800,MATCH(DATE(YEAR(A665)-1,12,1),$A$2:$A$800,0))-1,""))</f>
        <v/>
      </c>
      <c r="E665" s="115">
        <f>IF(B665="","",IFERROR(B665/INDEX($B$2:$B$800,MATCH(DATE(YEAR(A665)-1,MONTH(A665),1),$A$2:$A$800,0))-1,""))</f>
        <v/>
      </c>
    </row>
    <row r="666">
      <c r="A666" s="117" t="n"/>
      <c r="B666" s="118" t="n"/>
      <c r="C666" s="115">
        <f>IF(OR(B666="",B665=""),"",B666/B665-1)</f>
        <v/>
      </c>
      <c r="D666" s="115">
        <f>IF(B666="","",IFERROR(B666/INDEX($B$2:$B$800,MATCH(DATE(YEAR(A666)-1,12,1),$A$2:$A$800,0))-1,""))</f>
        <v/>
      </c>
      <c r="E666" s="115">
        <f>IF(B666="","",IFERROR(B666/INDEX($B$2:$B$800,MATCH(DATE(YEAR(A666)-1,MONTH(A666),1),$A$2:$A$800,0))-1,""))</f>
        <v/>
      </c>
    </row>
    <row r="667">
      <c r="A667" s="117" t="n"/>
      <c r="B667" s="118" t="n"/>
      <c r="C667" s="115">
        <f>IF(OR(B667="",B666=""),"",B667/B666-1)</f>
        <v/>
      </c>
      <c r="D667" s="115">
        <f>IF(B667="","",IFERROR(B667/INDEX($B$2:$B$800,MATCH(DATE(YEAR(A667)-1,12,1),$A$2:$A$800,0))-1,""))</f>
        <v/>
      </c>
      <c r="E667" s="115">
        <f>IF(B667="","",IFERROR(B667/INDEX($B$2:$B$800,MATCH(DATE(YEAR(A667)-1,MONTH(A667),1),$A$2:$A$800,0))-1,""))</f>
        <v/>
      </c>
    </row>
    <row r="668">
      <c r="A668" s="117" t="n"/>
      <c r="B668" s="118" t="n"/>
      <c r="C668" s="115">
        <f>IF(OR(B668="",B667=""),"",B668/B667-1)</f>
        <v/>
      </c>
      <c r="D668" s="115">
        <f>IF(B668="","",IFERROR(B668/INDEX($B$2:$B$800,MATCH(DATE(YEAR(A668)-1,12,1),$A$2:$A$800,0))-1,""))</f>
        <v/>
      </c>
      <c r="E668" s="115">
        <f>IF(B668="","",IFERROR(B668/INDEX($B$2:$B$800,MATCH(DATE(YEAR(A668)-1,MONTH(A668),1),$A$2:$A$800,0))-1,""))</f>
        <v/>
      </c>
    </row>
    <row r="669">
      <c r="A669" s="117" t="n"/>
      <c r="B669" s="118" t="n"/>
      <c r="C669" s="115">
        <f>IF(OR(B669="",B668=""),"",B669/B668-1)</f>
        <v/>
      </c>
      <c r="D669" s="115">
        <f>IF(B669="","",IFERROR(B669/INDEX($B$2:$B$800,MATCH(DATE(YEAR(A669)-1,12,1),$A$2:$A$800,0))-1,""))</f>
        <v/>
      </c>
      <c r="E669" s="115">
        <f>IF(B669="","",IFERROR(B669/INDEX($B$2:$B$800,MATCH(DATE(YEAR(A669)-1,MONTH(A669),1),$A$2:$A$800,0))-1,""))</f>
        <v/>
      </c>
    </row>
    <row r="670">
      <c r="A670" s="117" t="n"/>
      <c r="B670" s="118" t="n"/>
      <c r="C670" s="115">
        <f>IF(OR(B670="",B669=""),"",B670/B669-1)</f>
        <v/>
      </c>
      <c r="D670" s="115">
        <f>IF(B670="","",IFERROR(B670/INDEX($B$2:$B$800,MATCH(DATE(YEAR(A670)-1,12,1),$A$2:$A$800,0))-1,""))</f>
        <v/>
      </c>
      <c r="E670" s="115">
        <f>IF(B670="","",IFERROR(B670/INDEX($B$2:$B$800,MATCH(DATE(YEAR(A670)-1,MONTH(A670),1),$A$2:$A$800,0))-1,""))</f>
        <v/>
      </c>
    </row>
    <row r="671">
      <c r="A671" s="117" t="n"/>
      <c r="B671" s="118" t="n"/>
      <c r="C671" s="115">
        <f>IF(OR(B671="",B670=""),"",B671/B670-1)</f>
        <v/>
      </c>
      <c r="D671" s="115">
        <f>IF(B671="","",IFERROR(B671/INDEX($B$2:$B$800,MATCH(DATE(YEAR(A671)-1,12,1),$A$2:$A$800,0))-1,""))</f>
        <v/>
      </c>
      <c r="E671" s="115">
        <f>IF(B671="","",IFERROR(B671/INDEX($B$2:$B$800,MATCH(DATE(YEAR(A671)-1,MONTH(A671),1),$A$2:$A$800,0))-1,""))</f>
        <v/>
      </c>
    </row>
    <row r="672">
      <c r="A672" s="117" t="n"/>
      <c r="B672" s="118" t="n"/>
      <c r="C672" s="115">
        <f>IF(OR(B672="",B671=""),"",B672/B671-1)</f>
        <v/>
      </c>
      <c r="D672" s="115">
        <f>IF(B672="","",IFERROR(B672/INDEX($B$2:$B$800,MATCH(DATE(YEAR(A672)-1,12,1),$A$2:$A$800,0))-1,""))</f>
        <v/>
      </c>
      <c r="E672" s="115">
        <f>IF(B672="","",IFERROR(B672/INDEX($B$2:$B$800,MATCH(DATE(YEAR(A672)-1,MONTH(A672),1),$A$2:$A$800,0))-1,""))</f>
        <v/>
      </c>
    </row>
    <row r="673">
      <c r="A673" s="117" t="n"/>
      <c r="B673" s="118" t="n"/>
      <c r="C673" s="115">
        <f>IF(OR(B673="",B672=""),"",B673/B672-1)</f>
        <v/>
      </c>
      <c r="D673" s="115">
        <f>IF(B673="","",IFERROR(B673/INDEX($B$2:$B$800,MATCH(DATE(YEAR(A673)-1,12,1),$A$2:$A$800,0))-1,""))</f>
        <v/>
      </c>
      <c r="E673" s="115">
        <f>IF(B673="","",IFERROR(B673/INDEX($B$2:$B$800,MATCH(DATE(YEAR(A673)-1,MONTH(A673),1),$A$2:$A$800,0))-1,""))</f>
        <v/>
      </c>
    </row>
    <row r="674">
      <c r="A674" s="117" t="n"/>
      <c r="B674" s="118" t="n"/>
      <c r="C674" s="115">
        <f>IF(OR(B674="",B673=""),"",B674/B673-1)</f>
        <v/>
      </c>
      <c r="D674" s="115">
        <f>IF(B674="","",IFERROR(B674/INDEX($B$2:$B$800,MATCH(DATE(YEAR(A674)-1,12,1),$A$2:$A$800,0))-1,""))</f>
        <v/>
      </c>
      <c r="E674" s="115">
        <f>IF(B674="","",IFERROR(B674/INDEX($B$2:$B$800,MATCH(DATE(YEAR(A674)-1,MONTH(A674),1),$A$2:$A$800,0))-1,""))</f>
        <v/>
      </c>
    </row>
    <row r="675">
      <c r="A675" s="117" t="n"/>
      <c r="B675" s="118" t="n"/>
      <c r="C675" s="115">
        <f>IF(OR(B675="",B674=""),"",B675/B674-1)</f>
        <v/>
      </c>
      <c r="D675" s="115">
        <f>IF(B675="","",IFERROR(B675/INDEX($B$2:$B$800,MATCH(DATE(YEAR(A675)-1,12,1),$A$2:$A$800,0))-1,""))</f>
        <v/>
      </c>
      <c r="E675" s="115">
        <f>IF(B675="","",IFERROR(B675/INDEX($B$2:$B$800,MATCH(DATE(YEAR(A675)-1,MONTH(A675),1),$A$2:$A$800,0))-1,""))</f>
        <v/>
      </c>
    </row>
    <row r="676">
      <c r="A676" s="117" t="n"/>
      <c r="B676" s="118" t="n"/>
      <c r="C676" s="115">
        <f>IF(OR(B676="",B675=""),"",B676/B675-1)</f>
        <v/>
      </c>
      <c r="D676" s="115">
        <f>IF(B676="","",IFERROR(B676/INDEX($B$2:$B$800,MATCH(DATE(YEAR(A676)-1,12,1),$A$2:$A$800,0))-1,""))</f>
        <v/>
      </c>
      <c r="E676" s="115">
        <f>IF(B676="","",IFERROR(B676/INDEX($B$2:$B$800,MATCH(DATE(YEAR(A676)-1,MONTH(A676),1),$A$2:$A$800,0))-1,""))</f>
        <v/>
      </c>
    </row>
    <row r="677">
      <c r="A677" s="117" t="n"/>
      <c r="B677" s="118" t="n"/>
      <c r="C677" s="115">
        <f>IF(OR(B677="",B676=""),"",B677/B676-1)</f>
        <v/>
      </c>
      <c r="D677" s="115">
        <f>IF(B677="","",IFERROR(B677/INDEX($B$2:$B$800,MATCH(DATE(YEAR(A677)-1,12,1),$A$2:$A$800,0))-1,""))</f>
        <v/>
      </c>
      <c r="E677" s="115">
        <f>IF(B677="","",IFERROR(B677/INDEX($B$2:$B$800,MATCH(DATE(YEAR(A677)-1,MONTH(A677),1),$A$2:$A$800,0))-1,""))</f>
        <v/>
      </c>
    </row>
    <row r="678">
      <c r="A678" s="117" t="n"/>
      <c r="B678" s="118" t="n"/>
      <c r="C678" s="115">
        <f>IF(OR(B678="",B677=""),"",B678/B677-1)</f>
        <v/>
      </c>
      <c r="D678" s="115">
        <f>IF(B678="","",IFERROR(B678/INDEX($B$2:$B$800,MATCH(DATE(YEAR(A678)-1,12,1),$A$2:$A$800,0))-1,""))</f>
        <v/>
      </c>
      <c r="E678" s="115">
        <f>IF(B678="","",IFERROR(B678/INDEX($B$2:$B$800,MATCH(DATE(YEAR(A678)-1,MONTH(A678),1),$A$2:$A$800,0))-1,""))</f>
        <v/>
      </c>
    </row>
    <row r="679">
      <c r="A679" s="117" t="n"/>
      <c r="B679" s="118" t="n"/>
      <c r="C679" s="115">
        <f>IF(OR(B679="",B678=""),"",B679/B678-1)</f>
        <v/>
      </c>
      <c r="D679" s="115">
        <f>IF(B679="","",IFERROR(B679/INDEX($B$2:$B$800,MATCH(DATE(YEAR(A679)-1,12,1),$A$2:$A$800,0))-1,""))</f>
        <v/>
      </c>
      <c r="E679" s="115">
        <f>IF(B679="","",IFERROR(B679/INDEX($B$2:$B$800,MATCH(DATE(YEAR(A679)-1,MONTH(A679),1),$A$2:$A$800,0))-1,""))</f>
        <v/>
      </c>
    </row>
    <row r="680">
      <c r="A680" s="117" t="n"/>
      <c r="B680" s="118" t="n"/>
      <c r="C680" s="115">
        <f>IF(OR(B680="",B679=""),"",B680/B679-1)</f>
        <v/>
      </c>
      <c r="D680" s="115">
        <f>IF(B680="","",IFERROR(B680/INDEX($B$2:$B$800,MATCH(DATE(YEAR(A680)-1,12,1),$A$2:$A$800,0))-1,""))</f>
        <v/>
      </c>
      <c r="E680" s="115">
        <f>IF(B680="","",IFERROR(B680/INDEX($B$2:$B$800,MATCH(DATE(YEAR(A680)-1,MONTH(A680),1),$A$2:$A$800,0))-1,""))</f>
        <v/>
      </c>
    </row>
    <row r="681">
      <c r="A681" s="117" t="n"/>
      <c r="B681" s="118" t="n"/>
      <c r="C681" s="115">
        <f>IF(OR(B681="",B680=""),"",B681/B680-1)</f>
        <v/>
      </c>
      <c r="D681" s="115">
        <f>IF(B681="","",IFERROR(B681/INDEX($B$2:$B$800,MATCH(DATE(YEAR(A681)-1,12,1),$A$2:$A$800,0))-1,""))</f>
        <v/>
      </c>
      <c r="E681" s="115">
        <f>IF(B681="","",IFERROR(B681/INDEX($B$2:$B$800,MATCH(DATE(YEAR(A681)-1,MONTH(A681),1),$A$2:$A$800,0))-1,""))</f>
        <v/>
      </c>
    </row>
    <row r="682">
      <c r="A682" s="117" t="n"/>
      <c r="B682" s="118" t="n"/>
      <c r="C682" s="115">
        <f>IF(OR(B682="",B681=""),"",B682/B681-1)</f>
        <v/>
      </c>
      <c r="D682" s="115">
        <f>IF(B682="","",IFERROR(B682/INDEX($B$2:$B$800,MATCH(DATE(YEAR(A682)-1,12,1),$A$2:$A$800,0))-1,""))</f>
        <v/>
      </c>
      <c r="E682" s="115">
        <f>IF(B682="","",IFERROR(B682/INDEX($B$2:$B$800,MATCH(DATE(YEAR(A682)-1,MONTH(A682),1),$A$2:$A$800,0))-1,""))</f>
        <v/>
      </c>
    </row>
    <row r="683">
      <c r="A683" s="117" t="n"/>
      <c r="B683" s="118" t="n"/>
      <c r="C683" s="115">
        <f>IF(OR(B683="",B682=""),"",B683/B682-1)</f>
        <v/>
      </c>
      <c r="D683" s="115">
        <f>IF(B683="","",IFERROR(B683/INDEX($B$2:$B$800,MATCH(DATE(YEAR(A683)-1,12,1),$A$2:$A$800,0))-1,""))</f>
        <v/>
      </c>
      <c r="E683" s="115">
        <f>IF(B683="","",IFERROR(B683/INDEX($B$2:$B$800,MATCH(DATE(YEAR(A683)-1,MONTH(A683),1),$A$2:$A$800,0))-1,""))</f>
        <v/>
      </c>
    </row>
    <row r="684">
      <c r="A684" s="117" t="n"/>
      <c r="B684" s="118" t="n"/>
      <c r="C684" s="115">
        <f>IF(OR(B684="",B683=""),"",B684/B683-1)</f>
        <v/>
      </c>
      <c r="D684" s="115">
        <f>IF(B684="","",IFERROR(B684/INDEX($B$2:$B$800,MATCH(DATE(YEAR(A684)-1,12,1),$A$2:$A$800,0))-1,""))</f>
        <v/>
      </c>
      <c r="E684" s="115">
        <f>IF(B684="","",IFERROR(B684/INDEX($B$2:$B$800,MATCH(DATE(YEAR(A684)-1,MONTH(A684),1),$A$2:$A$800,0))-1,""))</f>
        <v/>
      </c>
    </row>
    <row r="685">
      <c r="A685" s="117" t="n"/>
      <c r="B685" s="118" t="n"/>
      <c r="C685" s="115">
        <f>IF(OR(B685="",B684=""),"",B685/B684-1)</f>
        <v/>
      </c>
      <c r="D685" s="115">
        <f>IF(B685="","",IFERROR(B685/INDEX($B$2:$B$800,MATCH(DATE(YEAR(A685)-1,12,1),$A$2:$A$800,0))-1,""))</f>
        <v/>
      </c>
      <c r="E685" s="115">
        <f>IF(B685="","",IFERROR(B685/INDEX($B$2:$B$800,MATCH(DATE(YEAR(A685)-1,MONTH(A685),1),$A$2:$A$800,0))-1,""))</f>
        <v/>
      </c>
    </row>
    <row r="686">
      <c r="A686" s="117" t="n"/>
      <c r="B686" s="118" t="n"/>
      <c r="C686" s="115">
        <f>IF(OR(B686="",B685=""),"",B686/B685-1)</f>
        <v/>
      </c>
      <c r="D686" s="115">
        <f>IF(B686="","",IFERROR(B686/INDEX($B$2:$B$800,MATCH(DATE(YEAR(A686)-1,12,1),$A$2:$A$800,0))-1,""))</f>
        <v/>
      </c>
      <c r="E686" s="115">
        <f>IF(B686="","",IFERROR(B686/INDEX($B$2:$B$800,MATCH(DATE(YEAR(A686)-1,MONTH(A686),1),$A$2:$A$800,0))-1,""))</f>
        <v/>
      </c>
    </row>
    <row r="687">
      <c r="A687" s="117" t="n"/>
      <c r="B687" s="118" t="n"/>
      <c r="C687" s="115">
        <f>IF(OR(B687="",B686=""),"",B687/B686-1)</f>
        <v/>
      </c>
      <c r="D687" s="115">
        <f>IF(B687="","",IFERROR(B687/INDEX($B$2:$B$800,MATCH(DATE(YEAR(A687)-1,12,1),$A$2:$A$800,0))-1,""))</f>
        <v/>
      </c>
      <c r="E687" s="115">
        <f>IF(B687="","",IFERROR(B687/INDEX($B$2:$B$800,MATCH(DATE(YEAR(A687)-1,MONTH(A687),1),$A$2:$A$800,0))-1,""))</f>
        <v/>
      </c>
    </row>
    <row r="688">
      <c r="A688" s="117" t="n"/>
      <c r="B688" s="118" t="n"/>
      <c r="C688" s="115">
        <f>IF(OR(B688="",B687=""),"",B688/B687-1)</f>
        <v/>
      </c>
      <c r="D688" s="115">
        <f>IF(B688="","",IFERROR(B688/INDEX($B$2:$B$800,MATCH(DATE(YEAR(A688)-1,12,1),$A$2:$A$800,0))-1,""))</f>
        <v/>
      </c>
      <c r="E688" s="115">
        <f>IF(B688="","",IFERROR(B688/INDEX($B$2:$B$800,MATCH(DATE(YEAR(A688)-1,MONTH(A688),1),$A$2:$A$800,0))-1,""))</f>
        <v/>
      </c>
    </row>
    <row r="689">
      <c r="A689" s="117" t="n"/>
      <c r="B689" s="118" t="n"/>
      <c r="C689" s="115">
        <f>IF(OR(B689="",B688=""),"",B689/B688-1)</f>
        <v/>
      </c>
      <c r="D689" s="115">
        <f>IF(B689="","",IFERROR(B689/INDEX($B$2:$B$800,MATCH(DATE(YEAR(A689)-1,12,1),$A$2:$A$800,0))-1,""))</f>
        <v/>
      </c>
      <c r="E689" s="115">
        <f>IF(B689="","",IFERROR(B689/INDEX($B$2:$B$800,MATCH(DATE(YEAR(A689)-1,MONTH(A689),1),$A$2:$A$800,0))-1,""))</f>
        <v/>
      </c>
    </row>
    <row r="690">
      <c r="A690" s="117" t="n"/>
      <c r="B690" s="118" t="n"/>
      <c r="C690" s="115">
        <f>IF(OR(B690="",B689=""),"",B690/B689-1)</f>
        <v/>
      </c>
      <c r="D690" s="115">
        <f>IF(B690="","",IFERROR(B690/INDEX($B$2:$B$800,MATCH(DATE(YEAR(A690)-1,12,1),$A$2:$A$800,0))-1,""))</f>
        <v/>
      </c>
      <c r="E690" s="115">
        <f>IF(B690="","",IFERROR(B690/INDEX($B$2:$B$800,MATCH(DATE(YEAR(A690)-1,MONTH(A690),1),$A$2:$A$800,0))-1,""))</f>
        <v/>
      </c>
    </row>
    <row r="691">
      <c r="A691" s="117" t="n"/>
      <c r="B691" s="118" t="n"/>
      <c r="C691" s="115">
        <f>IF(OR(B691="",B690=""),"",B691/B690-1)</f>
        <v/>
      </c>
      <c r="D691" s="115">
        <f>IF(B691="","",IFERROR(B691/INDEX($B$2:$B$800,MATCH(DATE(YEAR(A691)-1,12,1),$A$2:$A$800,0))-1,""))</f>
        <v/>
      </c>
      <c r="E691" s="115">
        <f>IF(B691="","",IFERROR(B691/INDEX($B$2:$B$800,MATCH(DATE(YEAR(A691)-1,MONTH(A691),1),$A$2:$A$800,0))-1,""))</f>
        <v/>
      </c>
    </row>
    <row r="692">
      <c r="A692" s="117" t="n"/>
      <c r="B692" s="118" t="n"/>
      <c r="C692" s="115">
        <f>IF(OR(B692="",B691=""),"",B692/B691-1)</f>
        <v/>
      </c>
      <c r="D692" s="115">
        <f>IF(B692="","",IFERROR(B692/INDEX($B$2:$B$800,MATCH(DATE(YEAR(A692)-1,12,1),$A$2:$A$800,0))-1,""))</f>
        <v/>
      </c>
      <c r="E692" s="115">
        <f>IF(B692="","",IFERROR(B692/INDEX($B$2:$B$800,MATCH(DATE(YEAR(A692)-1,MONTH(A692),1),$A$2:$A$800,0))-1,""))</f>
        <v/>
      </c>
    </row>
    <row r="693">
      <c r="A693" s="117" t="n"/>
      <c r="B693" s="118" t="n"/>
      <c r="C693" s="115">
        <f>IF(OR(B693="",B692=""),"",B693/B692-1)</f>
        <v/>
      </c>
      <c r="D693" s="115">
        <f>IF(B693="","",IFERROR(B693/INDEX($B$2:$B$800,MATCH(DATE(YEAR(A693)-1,12,1),$A$2:$A$800,0))-1,""))</f>
        <v/>
      </c>
      <c r="E693" s="115">
        <f>IF(B693="","",IFERROR(B693/INDEX($B$2:$B$800,MATCH(DATE(YEAR(A693)-1,MONTH(A693),1),$A$2:$A$800,0))-1,""))</f>
        <v/>
      </c>
    </row>
    <row r="694">
      <c r="A694" s="117" t="n"/>
      <c r="B694" s="118" t="n"/>
      <c r="C694" s="115">
        <f>IF(OR(B694="",B693=""),"",B694/B693-1)</f>
        <v/>
      </c>
      <c r="D694" s="115">
        <f>IF(B694="","",IFERROR(B694/INDEX($B$2:$B$800,MATCH(DATE(YEAR(A694)-1,12,1),$A$2:$A$800,0))-1,""))</f>
        <v/>
      </c>
      <c r="E694" s="115">
        <f>IF(B694="","",IFERROR(B694/INDEX($B$2:$B$800,MATCH(DATE(YEAR(A694)-1,MONTH(A694),1),$A$2:$A$800,0))-1,""))</f>
        <v/>
      </c>
    </row>
    <row r="695">
      <c r="A695" s="117" t="n"/>
      <c r="B695" s="118" t="n"/>
      <c r="C695" s="115">
        <f>IF(OR(B695="",B694=""),"",B695/B694-1)</f>
        <v/>
      </c>
      <c r="D695" s="115">
        <f>IF(B695="","",IFERROR(B695/INDEX($B$2:$B$800,MATCH(DATE(YEAR(A695)-1,12,1),$A$2:$A$800,0))-1,""))</f>
        <v/>
      </c>
      <c r="E695" s="115">
        <f>IF(B695="","",IFERROR(B695/INDEX($B$2:$B$800,MATCH(DATE(YEAR(A695)-1,MONTH(A695),1),$A$2:$A$800,0))-1,""))</f>
        <v/>
      </c>
    </row>
    <row r="696">
      <c r="A696" s="117" t="n"/>
      <c r="B696" s="118" t="n"/>
      <c r="C696" s="115">
        <f>IF(OR(B696="",B695=""),"",B696/B695-1)</f>
        <v/>
      </c>
      <c r="D696" s="115">
        <f>IF(B696="","",IFERROR(B696/INDEX($B$2:$B$800,MATCH(DATE(YEAR(A696)-1,12,1),$A$2:$A$800,0))-1,""))</f>
        <v/>
      </c>
      <c r="E696" s="115">
        <f>IF(B696="","",IFERROR(B696/INDEX($B$2:$B$800,MATCH(DATE(YEAR(A696)-1,MONTH(A696),1),$A$2:$A$800,0))-1,""))</f>
        <v/>
      </c>
    </row>
    <row r="697">
      <c r="A697" s="117" t="n"/>
      <c r="B697" s="118" t="n"/>
      <c r="C697" s="115">
        <f>IF(OR(B697="",B696=""),"",B697/B696-1)</f>
        <v/>
      </c>
      <c r="D697" s="115">
        <f>IF(B697="","",IFERROR(B697/INDEX($B$2:$B$800,MATCH(DATE(YEAR(A697)-1,12,1),$A$2:$A$800,0))-1,""))</f>
        <v/>
      </c>
      <c r="E697" s="115">
        <f>IF(B697="","",IFERROR(B697/INDEX($B$2:$B$800,MATCH(DATE(YEAR(A697)-1,MONTH(A697),1),$A$2:$A$800,0))-1,""))</f>
        <v/>
      </c>
    </row>
    <row r="698">
      <c r="A698" s="117" t="n"/>
      <c r="B698" s="118" t="n"/>
      <c r="C698" s="115">
        <f>IF(OR(B698="",B697=""),"",B698/B697-1)</f>
        <v/>
      </c>
      <c r="D698" s="115">
        <f>IF(B698="","",IFERROR(B698/INDEX($B$2:$B$800,MATCH(DATE(YEAR(A698)-1,12,1),$A$2:$A$800,0))-1,""))</f>
        <v/>
      </c>
      <c r="E698" s="115">
        <f>IF(B698="","",IFERROR(B698/INDEX($B$2:$B$800,MATCH(DATE(YEAR(A698)-1,MONTH(A698),1),$A$2:$A$800,0))-1,""))</f>
        <v/>
      </c>
    </row>
    <row r="699">
      <c r="A699" s="117" t="n"/>
      <c r="B699" s="118" t="n"/>
      <c r="C699" s="115">
        <f>IF(OR(B699="",B698=""),"",B699/B698-1)</f>
        <v/>
      </c>
      <c r="D699" s="115">
        <f>IF(B699="","",IFERROR(B699/INDEX($B$2:$B$800,MATCH(DATE(YEAR(A699)-1,12,1),$A$2:$A$800,0))-1,""))</f>
        <v/>
      </c>
      <c r="E699" s="115">
        <f>IF(B699="","",IFERROR(B699/INDEX($B$2:$B$800,MATCH(DATE(YEAR(A699)-1,MONTH(A699),1),$A$2:$A$800,0))-1,""))</f>
        <v/>
      </c>
    </row>
    <row r="700">
      <c r="A700" s="117" t="n"/>
      <c r="B700" s="118" t="n"/>
      <c r="C700" s="115">
        <f>IF(OR(B700="",B699=""),"",B700/B699-1)</f>
        <v/>
      </c>
      <c r="D700" s="115">
        <f>IF(B700="","",IFERROR(B700/INDEX($B$2:$B$800,MATCH(DATE(YEAR(A700)-1,12,1),$A$2:$A$800,0))-1,""))</f>
        <v/>
      </c>
      <c r="E700" s="115">
        <f>IF(B700="","",IFERROR(B700/INDEX($B$2:$B$800,MATCH(DATE(YEAR(A700)-1,MONTH(A700),1),$A$2:$A$800,0))-1,""))</f>
        <v/>
      </c>
    </row>
    <row r="701">
      <c r="A701" s="117" t="n"/>
      <c r="B701" s="118" t="n"/>
      <c r="C701" s="115">
        <f>IF(OR(B701="",B700=""),"",B701/B700-1)</f>
        <v/>
      </c>
      <c r="D701" s="115">
        <f>IF(B701="","",IFERROR(B701/INDEX($B$2:$B$800,MATCH(DATE(YEAR(A701)-1,12,1),$A$2:$A$800,0))-1,""))</f>
        <v/>
      </c>
      <c r="E701" s="115">
        <f>IF(B701="","",IFERROR(B701/INDEX($B$2:$B$800,MATCH(DATE(YEAR(A701)-1,MONTH(A701),1),$A$2:$A$800,0))-1,""))</f>
        <v/>
      </c>
    </row>
    <row r="702">
      <c r="A702" s="117" t="n"/>
      <c r="B702" s="118" t="n"/>
      <c r="C702" s="115">
        <f>IF(OR(B702="",B701=""),"",B702/B701-1)</f>
        <v/>
      </c>
      <c r="D702" s="115">
        <f>IF(B702="","",IFERROR(B702/INDEX($B$2:$B$800,MATCH(DATE(YEAR(A702)-1,12,1),$A$2:$A$800,0))-1,""))</f>
        <v/>
      </c>
      <c r="E702" s="115">
        <f>IF(B702="","",IFERROR(B702/INDEX($B$2:$B$800,MATCH(DATE(YEAR(A702)-1,MONTH(A702),1),$A$2:$A$800,0))-1,""))</f>
        <v/>
      </c>
    </row>
    <row r="703">
      <c r="A703" s="117" t="n"/>
      <c r="B703" s="118" t="n"/>
      <c r="C703" s="115">
        <f>IF(OR(B703="",B702=""),"",B703/B702-1)</f>
        <v/>
      </c>
      <c r="D703" s="115">
        <f>IF(B703="","",IFERROR(B703/INDEX($B$2:$B$800,MATCH(DATE(YEAR(A703)-1,12,1),$A$2:$A$800,0))-1,""))</f>
        <v/>
      </c>
      <c r="E703" s="115">
        <f>IF(B703="","",IFERROR(B703/INDEX($B$2:$B$800,MATCH(DATE(YEAR(A703)-1,MONTH(A703),1),$A$2:$A$800,0))-1,""))</f>
        <v/>
      </c>
    </row>
    <row r="704">
      <c r="A704" s="117" t="n"/>
      <c r="B704" s="118" t="n"/>
      <c r="C704" s="115">
        <f>IF(OR(B704="",B703=""),"",B704/B703-1)</f>
        <v/>
      </c>
      <c r="D704" s="115">
        <f>IF(B704="","",IFERROR(B704/INDEX($B$2:$B$800,MATCH(DATE(YEAR(A704)-1,12,1),$A$2:$A$800,0))-1,""))</f>
        <v/>
      </c>
      <c r="E704" s="115">
        <f>IF(B704="","",IFERROR(B704/INDEX($B$2:$B$800,MATCH(DATE(YEAR(A704)-1,MONTH(A704),1),$A$2:$A$800,0))-1,""))</f>
        <v/>
      </c>
    </row>
    <row r="705">
      <c r="A705" s="117" t="n"/>
      <c r="B705" s="118" t="n"/>
      <c r="C705" s="115">
        <f>IF(OR(B705="",B704=""),"",B705/B704-1)</f>
        <v/>
      </c>
      <c r="D705" s="115">
        <f>IF(B705="","",IFERROR(B705/INDEX($B$2:$B$800,MATCH(DATE(YEAR(A705)-1,12,1),$A$2:$A$800,0))-1,""))</f>
        <v/>
      </c>
      <c r="E705" s="115">
        <f>IF(B705="","",IFERROR(B705/INDEX($B$2:$B$800,MATCH(DATE(YEAR(A705)-1,MONTH(A705),1),$A$2:$A$800,0))-1,""))</f>
        <v/>
      </c>
    </row>
    <row r="706">
      <c r="A706" s="117" t="n"/>
      <c r="B706" s="118" t="n"/>
      <c r="C706" s="115">
        <f>IF(OR(B706="",B705=""),"",B706/B705-1)</f>
        <v/>
      </c>
      <c r="D706" s="115">
        <f>IF(B706="","",IFERROR(B706/INDEX($B$2:$B$800,MATCH(DATE(YEAR(A706)-1,12,1),$A$2:$A$800,0))-1,""))</f>
        <v/>
      </c>
      <c r="E706" s="115">
        <f>IF(B706="","",IFERROR(B706/INDEX($B$2:$B$800,MATCH(DATE(YEAR(A706)-1,MONTH(A706),1),$A$2:$A$800,0))-1,""))</f>
        <v/>
      </c>
    </row>
    <row r="707">
      <c r="A707" s="117" t="n"/>
      <c r="B707" s="118" t="n"/>
      <c r="C707" s="115">
        <f>IF(OR(B707="",B706=""),"",B707/B706-1)</f>
        <v/>
      </c>
      <c r="D707" s="115">
        <f>IF(B707="","",IFERROR(B707/INDEX($B$2:$B$800,MATCH(DATE(YEAR(A707)-1,12,1),$A$2:$A$800,0))-1,""))</f>
        <v/>
      </c>
      <c r="E707" s="115">
        <f>IF(B707="","",IFERROR(B707/INDEX($B$2:$B$800,MATCH(DATE(YEAR(A707)-1,MONTH(A707),1),$A$2:$A$800,0))-1,""))</f>
        <v/>
      </c>
    </row>
    <row r="708">
      <c r="A708" s="117" t="n"/>
      <c r="B708" s="118" t="n"/>
      <c r="C708" s="115">
        <f>IF(OR(B708="",B707=""),"",B708/B707-1)</f>
        <v/>
      </c>
      <c r="D708" s="115">
        <f>IF(B708="","",IFERROR(B708/INDEX($B$2:$B$800,MATCH(DATE(YEAR(A708)-1,12,1),$A$2:$A$800,0))-1,""))</f>
        <v/>
      </c>
      <c r="E708" s="115">
        <f>IF(B708="","",IFERROR(B708/INDEX($B$2:$B$800,MATCH(DATE(YEAR(A708)-1,MONTH(A708),1),$A$2:$A$800,0))-1,""))</f>
        <v/>
      </c>
    </row>
    <row r="709">
      <c r="A709" s="117" t="n"/>
      <c r="B709" s="118" t="n"/>
      <c r="C709" s="115">
        <f>IF(OR(B709="",B708=""),"",B709/B708-1)</f>
        <v/>
      </c>
      <c r="D709" s="115">
        <f>IF(B709="","",IFERROR(B709/INDEX($B$2:$B$800,MATCH(DATE(YEAR(A709)-1,12,1),$A$2:$A$800,0))-1,""))</f>
        <v/>
      </c>
      <c r="E709" s="115">
        <f>IF(B709="","",IFERROR(B709/INDEX($B$2:$B$800,MATCH(DATE(YEAR(A709)-1,MONTH(A709),1),$A$2:$A$800,0))-1,""))</f>
        <v/>
      </c>
    </row>
    <row r="710">
      <c r="A710" s="117" t="n"/>
      <c r="B710" s="118" t="n"/>
      <c r="C710" s="115">
        <f>IF(OR(B710="",B709=""),"",B710/B709-1)</f>
        <v/>
      </c>
      <c r="D710" s="115">
        <f>IF(B710="","",IFERROR(B710/INDEX($B$2:$B$800,MATCH(DATE(YEAR(A710)-1,12,1),$A$2:$A$800,0))-1,""))</f>
        <v/>
      </c>
      <c r="E710" s="115">
        <f>IF(B710="","",IFERROR(B710/INDEX($B$2:$B$800,MATCH(DATE(YEAR(A710)-1,MONTH(A710),1),$A$2:$A$800,0))-1,""))</f>
        <v/>
      </c>
    </row>
    <row r="711">
      <c r="A711" s="117" t="n"/>
      <c r="B711" s="118" t="n"/>
      <c r="C711" s="115">
        <f>IF(OR(B711="",B710=""),"",B711/B710-1)</f>
        <v/>
      </c>
      <c r="D711" s="115">
        <f>IF(B711="","",IFERROR(B711/INDEX($B$2:$B$800,MATCH(DATE(YEAR(A711)-1,12,1),$A$2:$A$800,0))-1,""))</f>
        <v/>
      </c>
      <c r="E711" s="115">
        <f>IF(B711="","",IFERROR(B711/INDEX($B$2:$B$800,MATCH(DATE(YEAR(A711)-1,MONTH(A711),1),$A$2:$A$800,0))-1,""))</f>
        <v/>
      </c>
    </row>
    <row r="712">
      <c r="A712" s="117" t="n"/>
      <c r="B712" s="118" t="n"/>
      <c r="C712" s="115">
        <f>IF(OR(B712="",B711=""),"",B712/B711-1)</f>
        <v/>
      </c>
      <c r="D712" s="115">
        <f>IF(B712="","",IFERROR(B712/INDEX($B$2:$B$800,MATCH(DATE(YEAR(A712)-1,12,1),$A$2:$A$800,0))-1,""))</f>
        <v/>
      </c>
      <c r="E712" s="115">
        <f>IF(B712="","",IFERROR(B712/INDEX($B$2:$B$800,MATCH(DATE(YEAR(A712)-1,MONTH(A712),1),$A$2:$A$800,0))-1,""))</f>
        <v/>
      </c>
    </row>
    <row r="713">
      <c r="A713" s="117" t="n"/>
      <c r="B713" s="118" t="n"/>
      <c r="C713" s="115">
        <f>IF(OR(B713="",B712=""),"",B713/B712-1)</f>
        <v/>
      </c>
      <c r="D713" s="115">
        <f>IF(B713="","",IFERROR(B713/INDEX($B$2:$B$800,MATCH(DATE(YEAR(A713)-1,12,1),$A$2:$A$800,0))-1,""))</f>
        <v/>
      </c>
      <c r="E713" s="115">
        <f>IF(B713="","",IFERROR(B713/INDEX($B$2:$B$800,MATCH(DATE(YEAR(A713)-1,MONTH(A713),1),$A$2:$A$800,0))-1,""))</f>
        <v/>
      </c>
    </row>
    <row r="714">
      <c r="A714" s="117" t="n"/>
      <c r="B714" s="118" t="n"/>
      <c r="C714" s="115">
        <f>IF(OR(B714="",B713=""),"",B714/B713-1)</f>
        <v/>
      </c>
      <c r="D714" s="115">
        <f>IF(B714="","",IFERROR(B714/INDEX($B$2:$B$800,MATCH(DATE(YEAR(A714)-1,12,1),$A$2:$A$800,0))-1,""))</f>
        <v/>
      </c>
      <c r="E714" s="115">
        <f>IF(B714="","",IFERROR(B714/INDEX($B$2:$B$800,MATCH(DATE(YEAR(A714)-1,MONTH(A714),1),$A$2:$A$800,0))-1,""))</f>
        <v/>
      </c>
    </row>
    <row r="715">
      <c r="A715" s="117" t="n"/>
      <c r="B715" s="118" t="n"/>
      <c r="C715" s="115">
        <f>IF(OR(B715="",B714=""),"",B715/B714-1)</f>
        <v/>
      </c>
      <c r="D715" s="115">
        <f>IF(B715="","",IFERROR(B715/INDEX($B$2:$B$800,MATCH(DATE(YEAR(A715)-1,12,1),$A$2:$A$800,0))-1,""))</f>
        <v/>
      </c>
      <c r="E715" s="115">
        <f>IF(B715="","",IFERROR(B715/INDEX($B$2:$B$800,MATCH(DATE(YEAR(A715)-1,MONTH(A715),1),$A$2:$A$800,0))-1,""))</f>
        <v/>
      </c>
    </row>
    <row r="716">
      <c r="A716" s="117" t="n"/>
      <c r="B716" s="118" t="n"/>
      <c r="C716" s="115">
        <f>IF(OR(B716="",B715=""),"",B716/B715-1)</f>
        <v/>
      </c>
      <c r="D716" s="115">
        <f>IF(B716="","",IFERROR(B716/INDEX($B$2:$B$800,MATCH(DATE(YEAR(A716)-1,12,1),$A$2:$A$800,0))-1,""))</f>
        <v/>
      </c>
      <c r="E716" s="115">
        <f>IF(B716="","",IFERROR(B716/INDEX($B$2:$B$800,MATCH(DATE(YEAR(A716)-1,MONTH(A716),1),$A$2:$A$800,0))-1,""))</f>
        <v/>
      </c>
    </row>
    <row r="717">
      <c r="A717" s="117" t="n"/>
      <c r="B717" s="118" t="n"/>
      <c r="C717" s="115">
        <f>IF(OR(B717="",B716=""),"",B717/B716-1)</f>
        <v/>
      </c>
      <c r="D717" s="115">
        <f>IF(B717="","",IFERROR(B717/INDEX($B$2:$B$800,MATCH(DATE(YEAR(A717)-1,12,1),$A$2:$A$800,0))-1,""))</f>
        <v/>
      </c>
      <c r="E717" s="115">
        <f>IF(B717="","",IFERROR(B717/INDEX($B$2:$B$800,MATCH(DATE(YEAR(A717)-1,MONTH(A717),1),$A$2:$A$800,0))-1,""))</f>
        <v/>
      </c>
    </row>
    <row r="718">
      <c r="A718" s="117" t="n"/>
      <c r="B718" s="118" t="n"/>
      <c r="C718" s="115">
        <f>IF(OR(B718="",B717=""),"",B718/B717-1)</f>
        <v/>
      </c>
      <c r="D718" s="115">
        <f>IF(B718="","",IFERROR(B718/INDEX($B$2:$B$800,MATCH(DATE(YEAR(A718)-1,12,1),$A$2:$A$800,0))-1,""))</f>
        <v/>
      </c>
      <c r="E718" s="115">
        <f>IF(B718="","",IFERROR(B718/INDEX($B$2:$B$800,MATCH(DATE(YEAR(A718)-1,MONTH(A718),1),$A$2:$A$800,0))-1,""))</f>
        <v/>
      </c>
    </row>
    <row r="719">
      <c r="A719" s="117" t="n"/>
      <c r="B719" s="118" t="n"/>
      <c r="C719" s="115">
        <f>IF(OR(B719="",B718=""),"",B719/B718-1)</f>
        <v/>
      </c>
      <c r="D719" s="115">
        <f>IF(B719="","",IFERROR(B719/INDEX($B$2:$B$800,MATCH(DATE(YEAR(A719)-1,12,1),$A$2:$A$800,0))-1,""))</f>
        <v/>
      </c>
      <c r="E719" s="115">
        <f>IF(B719="","",IFERROR(B719/INDEX($B$2:$B$800,MATCH(DATE(YEAR(A719)-1,MONTH(A719),1),$A$2:$A$800,0))-1,""))</f>
        <v/>
      </c>
    </row>
    <row r="720">
      <c r="A720" s="117" t="n"/>
      <c r="B720" s="118" t="n"/>
      <c r="C720" s="115">
        <f>IF(OR(B720="",B719=""),"",B720/B719-1)</f>
        <v/>
      </c>
      <c r="D720" s="115">
        <f>IF(B720="","",IFERROR(B720/INDEX($B$2:$B$800,MATCH(DATE(YEAR(A720)-1,12,1),$A$2:$A$800,0))-1,""))</f>
        <v/>
      </c>
      <c r="E720" s="115">
        <f>IF(B720="","",IFERROR(B720/INDEX($B$2:$B$800,MATCH(DATE(YEAR(A720)-1,MONTH(A720),1),$A$2:$A$800,0))-1,""))</f>
        <v/>
      </c>
    </row>
    <row r="721">
      <c r="A721" s="117" t="n"/>
      <c r="B721" s="118" t="n"/>
      <c r="C721" s="115">
        <f>IF(OR(B721="",B720=""),"",B721/B720-1)</f>
        <v/>
      </c>
      <c r="D721" s="115">
        <f>IF(B721="","",IFERROR(B721/INDEX($B$2:$B$800,MATCH(DATE(YEAR(A721)-1,12,1),$A$2:$A$800,0))-1,""))</f>
        <v/>
      </c>
      <c r="E721" s="115">
        <f>IF(B721="","",IFERROR(B721/INDEX($B$2:$B$800,MATCH(DATE(YEAR(A721)-1,MONTH(A721),1),$A$2:$A$800,0))-1,""))</f>
        <v/>
      </c>
    </row>
    <row r="722">
      <c r="A722" s="117" t="n"/>
      <c r="B722" s="118" t="n"/>
      <c r="C722" s="115">
        <f>IF(OR(B722="",B721=""),"",B722/B721-1)</f>
        <v/>
      </c>
      <c r="D722" s="115">
        <f>IF(B722="","",IFERROR(B722/INDEX($B$2:$B$800,MATCH(DATE(YEAR(A722)-1,12,1),$A$2:$A$800,0))-1,""))</f>
        <v/>
      </c>
      <c r="E722" s="115">
        <f>IF(B722="","",IFERROR(B722/INDEX($B$2:$B$800,MATCH(DATE(YEAR(A722)-1,MONTH(A722),1),$A$2:$A$800,0))-1,""))</f>
        <v/>
      </c>
    </row>
    <row r="723">
      <c r="A723" s="117" t="n"/>
      <c r="B723" s="118" t="n"/>
      <c r="C723" s="115">
        <f>IF(OR(B723="",B722=""),"",B723/B722-1)</f>
        <v/>
      </c>
      <c r="D723" s="115">
        <f>IF(B723="","",IFERROR(B723/INDEX($B$2:$B$800,MATCH(DATE(YEAR(A723)-1,12,1),$A$2:$A$800,0))-1,""))</f>
        <v/>
      </c>
      <c r="E723" s="115">
        <f>IF(B723="","",IFERROR(B723/INDEX($B$2:$B$800,MATCH(DATE(YEAR(A723)-1,MONTH(A723),1),$A$2:$A$800,0))-1,""))</f>
        <v/>
      </c>
    </row>
    <row r="724">
      <c r="A724" s="117" t="n"/>
      <c r="B724" s="118" t="n"/>
      <c r="C724" s="115">
        <f>IF(OR(B724="",B723=""),"",B724/B723-1)</f>
        <v/>
      </c>
      <c r="D724" s="115">
        <f>IF(B724="","",IFERROR(B724/INDEX($B$2:$B$800,MATCH(DATE(YEAR(A724)-1,12,1),$A$2:$A$800,0))-1,""))</f>
        <v/>
      </c>
      <c r="E724" s="115">
        <f>IF(B724="","",IFERROR(B724/INDEX($B$2:$B$800,MATCH(DATE(YEAR(A724)-1,MONTH(A724),1),$A$2:$A$800,0))-1,""))</f>
        <v/>
      </c>
    </row>
    <row r="725">
      <c r="A725" s="117" t="n"/>
      <c r="B725" s="118" t="n"/>
      <c r="C725" s="115">
        <f>IF(OR(B725="",B724=""),"",B725/B724-1)</f>
        <v/>
      </c>
      <c r="D725" s="115">
        <f>IF(B725="","",IFERROR(B725/INDEX($B$2:$B$800,MATCH(DATE(YEAR(A725)-1,12,1),$A$2:$A$800,0))-1,""))</f>
        <v/>
      </c>
      <c r="E725" s="115">
        <f>IF(B725="","",IFERROR(B725/INDEX($B$2:$B$800,MATCH(DATE(YEAR(A725)-1,MONTH(A725),1),$A$2:$A$800,0))-1,""))</f>
        <v/>
      </c>
    </row>
    <row r="726">
      <c r="A726" s="117" t="n"/>
      <c r="B726" s="118" t="n"/>
      <c r="C726" s="115">
        <f>IF(OR(B726="",B725=""),"",B726/B725-1)</f>
        <v/>
      </c>
      <c r="D726" s="115">
        <f>IF(B726="","",IFERROR(B726/INDEX($B$2:$B$800,MATCH(DATE(YEAR(A726)-1,12,1),$A$2:$A$800,0))-1,""))</f>
        <v/>
      </c>
      <c r="E726" s="115">
        <f>IF(B726="","",IFERROR(B726/INDEX($B$2:$B$800,MATCH(DATE(YEAR(A726)-1,MONTH(A726),1),$A$2:$A$800,0))-1,""))</f>
        <v/>
      </c>
    </row>
    <row r="727">
      <c r="A727" s="117" t="n"/>
      <c r="B727" s="118" t="n"/>
      <c r="C727" s="115">
        <f>IF(OR(B727="",B726=""),"",B727/B726-1)</f>
        <v/>
      </c>
      <c r="D727" s="115">
        <f>IF(B727="","",IFERROR(B727/INDEX($B$2:$B$800,MATCH(DATE(YEAR(A727)-1,12,1),$A$2:$A$800,0))-1,""))</f>
        <v/>
      </c>
      <c r="E727" s="115">
        <f>IF(B727="","",IFERROR(B727/INDEX($B$2:$B$800,MATCH(DATE(YEAR(A727)-1,MONTH(A727),1),$A$2:$A$800,0))-1,""))</f>
        <v/>
      </c>
    </row>
    <row r="728">
      <c r="A728" s="117" t="n"/>
      <c r="B728" s="118" t="n"/>
      <c r="C728" s="115">
        <f>IF(OR(B728="",B727=""),"",B728/B727-1)</f>
        <v/>
      </c>
      <c r="D728" s="115">
        <f>IF(B728="","",IFERROR(B728/INDEX($B$2:$B$800,MATCH(DATE(YEAR(A728)-1,12,1),$A$2:$A$800,0))-1,""))</f>
        <v/>
      </c>
      <c r="E728" s="115">
        <f>IF(B728="","",IFERROR(B728/INDEX($B$2:$B$800,MATCH(DATE(YEAR(A728)-1,MONTH(A728),1),$A$2:$A$800,0))-1,""))</f>
        <v/>
      </c>
    </row>
    <row r="729">
      <c r="A729" s="117" t="n"/>
      <c r="B729" s="118" t="n"/>
      <c r="C729" s="115">
        <f>IF(OR(B729="",B728=""),"",B729/B728-1)</f>
        <v/>
      </c>
      <c r="D729" s="115">
        <f>IF(B729="","",IFERROR(B729/INDEX($B$2:$B$800,MATCH(DATE(YEAR(A729)-1,12,1),$A$2:$A$800,0))-1,""))</f>
        <v/>
      </c>
      <c r="E729" s="115">
        <f>IF(B729="","",IFERROR(B729/INDEX($B$2:$B$800,MATCH(DATE(YEAR(A729)-1,MONTH(A729),1),$A$2:$A$800,0))-1,""))</f>
        <v/>
      </c>
    </row>
    <row r="730">
      <c r="A730" s="117" t="n"/>
      <c r="B730" s="118" t="n"/>
      <c r="C730" s="115">
        <f>IF(OR(B730="",B729=""),"",B730/B729-1)</f>
        <v/>
      </c>
      <c r="D730" s="115">
        <f>IF(B730="","",IFERROR(B730/INDEX($B$2:$B$800,MATCH(DATE(YEAR(A730)-1,12,1),$A$2:$A$800,0))-1,""))</f>
        <v/>
      </c>
      <c r="E730" s="115">
        <f>IF(B730="","",IFERROR(B730/INDEX($B$2:$B$800,MATCH(DATE(YEAR(A730)-1,MONTH(A730),1),$A$2:$A$800,0))-1,""))</f>
        <v/>
      </c>
    </row>
    <row r="731">
      <c r="A731" s="117" t="n"/>
      <c r="B731" s="118" t="n"/>
      <c r="C731" s="115">
        <f>IF(OR(B731="",B730=""),"",B731/B730-1)</f>
        <v/>
      </c>
      <c r="D731" s="115">
        <f>IF(B731="","",IFERROR(B731/INDEX($B$2:$B$800,MATCH(DATE(YEAR(A731)-1,12,1),$A$2:$A$800,0))-1,""))</f>
        <v/>
      </c>
      <c r="E731" s="115">
        <f>IF(B731="","",IFERROR(B731/INDEX($B$2:$B$800,MATCH(DATE(YEAR(A731)-1,MONTH(A731),1),$A$2:$A$800,0))-1,""))</f>
        <v/>
      </c>
    </row>
    <row r="732">
      <c r="A732" s="117" t="n"/>
      <c r="B732" s="118" t="n"/>
      <c r="C732" s="115">
        <f>IF(OR(B732="",B731=""),"",B732/B731-1)</f>
        <v/>
      </c>
      <c r="D732" s="115">
        <f>IF(B732="","",IFERROR(B732/INDEX($B$2:$B$800,MATCH(DATE(YEAR(A732)-1,12,1),$A$2:$A$800,0))-1,""))</f>
        <v/>
      </c>
      <c r="E732" s="115">
        <f>IF(B732="","",IFERROR(B732/INDEX($B$2:$B$800,MATCH(DATE(YEAR(A732)-1,MONTH(A732),1),$A$2:$A$800,0))-1,""))</f>
        <v/>
      </c>
    </row>
    <row r="733">
      <c r="A733" s="117" t="n"/>
      <c r="B733" s="118" t="n"/>
      <c r="C733" s="115">
        <f>IF(OR(B733="",B732=""),"",B733/B732-1)</f>
        <v/>
      </c>
      <c r="D733" s="115">
        <f>IF(B733="","",IFERROR(B733/INDEX($B$2:$B$800,MATCH(DATE(YEAR(A733)-1,12,1),$A$2:$A$800,0))-1,""))</f>
        <v/>
      </c>
      <c r="E733" s="115">
        <f>IF(B733="","",IFERROR(B733/INDEX($B$2:$B$800,MATCH(DATE(YEAR(A733)-1,MONTH(A733),1),$A$2:$A$800,0))-1,""))</f>
        <v/>
      </c>
    </row>
    <row r="734">
      <c r="A734" s="117" t="n"/>
      <c r="B734" s="118" t="n"/>
      <c r="C734" s="115">
        <f>IF(OR(B734="",B733=""),"",B734/B733-1)</f>
        <v/>
      </c>
      <c r="D734" s="115">
        <f>IF(B734="","",IFERROR(B734/INDEX($B$2:$B$800,MATCH(DATE(YEAR(A734)-1,12,1),$A$2:$A$800,0))-1,""))</f>
        <v/>
      </c>
      <c r="E734" s="115">
        <f>IF(B734="","",IFERROR(B734/INDEX($B$2:$B$800,MATCH(DATE(YEAR(A734)-1,MONTH(A734),1),$A$2:$A$800,0))-1,""))</f>
        <v/>
      </c>
    </row>
    <row r="735">
      <c r="A735" s="117" t="n"/>
      <c r="B735" s="118" t="n"/>
      <c r="C735" s="115">
        <f>IF(OR(B735="",B734=""),"",B735/B734-1)</f>
        <v/>
      </c>
      <c r="D735" s="115">
        <f>IF(B735="","",IFERROR(B735/INDEX($B$2:$B$800,MATCH(DATE(YEAR(A735)-1,12,1),$A$2:$A$800,0))-1,""))</f>
        <v/>
      </c>
      <c r="E735" s="115">
        <f>IF(B735="","",IFERROR(B735/INDEX($B$2:$B$800,MATCH(DATE(YEAR(A735)-1,MONTH(A735),1),$A$2:$A$800,0))-1,""))</f>
        <v/>
      </c>
    </row>
    <row r="736">
      <c r="A736" s="117" t="n"/>
      <c r="B736" s="118" t="n"/>
      <c r="C736" s="115">
        <f>IF(OR(B736="",B735=""),"",B736/B735-1)</f>
        <v/>
      </c>
      <c r="D736" s="115">
        <f>IF(B736="","",IFERROR(B736/INDEX($B$2:$B$800,MATCH(DATE(YEAR(A736)-1,12,1),$A$2:$A$800,0))-1,""))</f>
        <v/>
      </c>
      <c r="E736" s="115">
        <f>IF(B736="","",IFERROR(B736/INDEX($B$2:$B$800,MATCH(DATE(YEAR(A736)-1,MONTH(A736),1),$A$2:$A$800,0))-1,""))</f>
        <v/>
      </c>
    </row>
    <row r="737">
      <c r="A737" s="117" t="n"/>
      <c r="B737" s="118" t="n"/>
      <c r="C737" s="115">
        <f>IF(OR(B737="",B736=""),"",B737/B736-1)</f>
        <v/>
      </c>
      <c r="D737" s="115">
        <f>IF(B737="","",IFERROR(B737/INDEX($B$2:$B$800,MATCH(DATE(YEAR(A737)-1,12,1),$A$2:$A$800,0))-1,""))</f>
        <v/>
      </c>
      <c r="E737" s="115">
        <f>IF(B737="","",IFERROR(B737/INDEX($B$2:$B$800,MATCH(DATE(YEAR(A737)-1,MONTH(A737),1),$A$2:$A$800,0))-1,""))</f>
        <v/>
      </c>
    </row>
    <row r="738">
      <c r="A738" s="117" t="n"/>
      <c r="B738" s="118" t="n"/>
      <c r="C738" s="115">
        <f>IF(OR(B738="",B737=""),"",B738/B737-1)</f>
        <v/>
      </c>
      <c r="D738" s="115">
        <f>IF(B738="","",IFERROR(B738/INDEX($B$2:$B$800,MATCH(DATE(YEAR(A738)-1,12,1),$A$2:$A$800,0))-1,""))</f>
        <v/>
      </c>
      <c r="E738" s="115">
        <f>IF(B738="","",IFERROR(B738/INDEX($B$2:$B$800,MATCH(DATE(YEAR(A738)-1,MONTH(A738),1),$A$2:$A$800,0))-1,""))</f>
        <v/>
      </c>
    </row>
    <row r="739">
      <c r="A739" s="117" t="n"/>
      <c r="B739" s="118" t="n"/>
      <c r="C739" s="115">
        <f>IF(OR(B739="",B738=""),"",B739/B738-1)</f>
        <v/>
      </c>
      <c r="D739" s="115">
        <f>IF(B739="","",IFERROR(B739/INDEX($B$2:$B$800,MATCH(DATE(YEAR(A739)-1,12,1),$A$2:$A$800,0))-1,""))</f>
        <v/>
      </c>
      <c r="E739" s="115">
        <f>IF(B739="","",IFERROR(B739/INDEX($B$2:$B$800,MATCH(DATE(YEAR(A739)-1,MONTH(A739),1),$A$2:$A$800,0))-1,""))</f>
        <v/>
      </c>
    </row>
    <row r="740">
      <c r="A740" s="117" t="n"/>
      <c r="B740" s="118" t="n"/>
      <c r="C740" s="115">
        <f>IF(OR(B740="",B739=""),"",B740/B739-1)</f>
        <v/>
      </c>
      <c r="D740" s="115">
        <f>IF(B740="","",IFERROR(B740/INDEX($B$2:$B$800,MATCH(DATE(YEAR(A740)-1,12,1),$A$2:$A$800,0))-1,""))</f>
        <v/>
      </c>
      <c r="E740" s="115">
        <f>IF(B740="","",IFERROR(B740/INDEX($B$2:$B$800,MATCH(DATE(YEAR(A740)-1,MONTH(A740),1),$A$2:$A$800,0))-1,""))</f>
        <v/>
      </c>
    </row>
    <row r="741">
      <c r="A741" s="117" t="n"/>
      <c r="B741" s="118" t="n"/>
      <c r="C741" s="115">
        <f>IF(OR(B741="",B740=""),"",B741/B740-1)</f>
        <v/>
      </c>
      <c r="D741" s="115">
        <f>IF(B741="","",IFERROR(B741/INDEX($B$2:$B$800,MATCH(DATE(YEAR(A741)-1,12,1),$A$2:$A$800,0))-1,""))</f>
        <v/>
      </c>
      <c r="E741" s="115">
        <f>IF(B741="","",IFERROR(B741/INDEX($B$2:$B$800,MATCH(DATE(YEAR(A741)-1,MONTH(A741),1),$A$2:$A$800,0))-1,""))</f>
        <v/>
      </c>
    </row>
    <row r="742">
      <c r="A742" s="117" t="n"/>
      <c r="B742" s="118" t="n"/>
      <c r="C742" s="115">
        <f>IF(OR(B742="",B741=""),"",B742/B741-1)</f>
        <v/>
      </c>
      <c r="D742" s="115">
        <f>IF(B742="","",IFERROR(B742/INDEX($B$2:$B$800,MATCH(DATE(YEAR(A742)-1,12,1),$A$2:$A$800,0))-1,""))</f>
        <v/>
      </c>
      <c r="E742" s="115">
        <f>IF(B742="","",IFERROR(B742/INDEX($B$2:$B$800,MATCH(DATE(YEAR(A742)-1,MONTH(A742),1),$A$2:$A$800,0))-1,""))</f>
        <v/>
      </c>
    </row>
    <row r="743">
      <c r="A743" s="117" t="n"/>
      <c r="B743" s="118" t="n"/>
      <c r="C743" s="115">
        <f>IF(OR(B743="",B742=""),"",B743/B742-1)</f>
        <v/>
      </c>
      <c r="D743" s="115">
        <f>IF(B743="","",IFERROR(B743/INDEX($B$2:$B$800,MATCH(DATE(YEAR(A743)-1,12,1),$A$2:$A$800,0))-1,""))</f>
        <v/>
      </c>
      <c r="E743" s="115">
        <f>IF(B743="","",IFERROR(B743/INDEX($B$2:$B$800,MATCH(DATE(YEAR(A743)-1,MONTH(A743),1),$A$2:$A$800,0))-1,""))</f>
        <v/>
      </c>
    </row>
    <row r="744">
      <c r="A744" s="117" t="n"/>
      <c r="B744" s="118" t="n"/>
      <c r="C744" s="115">
        <f>IF(OR(B744="",B743=""),"",B744/B743-1)</f>
        <v/>
      </c>
      <c r="D744" s="115">
        <f>IF(B744="","",IFERROR(B744/INDEX($B$2:$B$800,MATCH(DATE(YEAR(A744)-1,12,1),$A$2:$A$800,0))-1,""))</f>
        <v/>
      </c>
      <c r="E744" s="115">
        <f>IF(B744="","",IFERROR(B744/INDEX($B$2:$B$800,MATCH(DATE(YEAR(A744)-1,MONTH(A744),1),$A$2:$A$800,0))-1,""))</f>
        <v/>
      </c>
    </row>
    <row r="745">
      <c r="A745" s="117" t="n"/>
      <c r="B745" s="118" t="n"/>
      <c r="C745" s="115">
        <f>IF(OR(B745="",B744=""),"",B745/B744-1)</f>
        <v/>
      </c>
      <c r="D745" s="115">
        <f>IF(B745="","",IFERROR(B745/INDEX($B$2:$B$800,MATCH(DATE(YEAR(A745)-1,12,1),$A$2:$A$800,0))-1,""))</f>
        <v/>
      </c>
      <c r="E745" s="115">
        <f>IF(B745="","",IFERROR(B745/INDEX($B$2:$B$800,MATCH(DATE(YEAR(A745)-1,MONTH(A745),1),$A$2:$A$800,0))-1,""))</f>
        <v/>
      </c>
    </row>
    <row r="746">
      <c r="A746" s="117" t="n"/>
      <c r="B746" s="118" t="n"/>
      <c r="C746" s="115">
        <f>IF(OR(B746="",B745=""),"",B746/B745-1)</f>
        <v/>
      </c>
      <c r="D746" s="115">
        <f>IF(B746="","",IFERROR(B746/INDEX($B$2:$B$800,MATCH(DATE(YEAR(A746)-1,12,1),$A$2:$A$800,0))-1,""))</f>
        <v/>
      </c>
      <c r="E746" s="115">
        <f>IF(B746="","",IFERROR(B746/INDEX($B$2:$B$800,MATCH(DATE(YEAR(A746)-1,MONTH(A746),1),$A$2:$A$800,0))-1,""))</f>
        <v/>
      </c>
    </row>
    <row r="747">
      <c r="A747" s="117" t="n"/>
      <c r="B747" s="118" t="n"/>
      <c r="C747" s="115">
        <f>IF(OR(B747="",B746=""),"",B747/B746-1)</f>
        <v/>
      </c>
      <c r="D747" s="115">
        <f>IF(B747="","",IFERROR(B747/INDEX($B$2:$B$800,MATCH(DATE(YEAR(A747)-1,12,1),$A$2:$A$800,0))-1,""))</f>
        <v/>
      </c>
      <c r="E747" s="115">
        <f>IF(B747="","",IFERROR(B747/INDEX($B$2:$B$800,MATCH(DATE(YEAR(A747)-1,MONTH(A747),1),$A$2:$A$800,0))-1,""))</f>
        <v/>
      </c>
    </row>
    <row r="748">
      <c r="A748" s="117" t="n"/>
      <c r="B748" s="118" t="n"/>
      <c r="C748" s="115">
        <f>IF(OR(B748="",B747=""),"",B748/B747-1)</f>
        <v/>
      </c>
      <c r="D748" s="115">
        <f>IF(B748="","",IFERROR(B748/INDEX($B$2:$B$800,MATCH(DATE(YEAR(A748)-1,12,1),$A$2:$A$800,0))-1,""))</f>
        <v/>
      </c>
      <c r="E748" s="115">
        <f>IF(B748="","",IFERROR(B748/INDEX($B$2:$B$800,MATCH(DATE(YEAR(A748)-1,MONTH(A748),1),$A$2:$A$800,0))-1,""))</f>
        <v/>
      </c>
    </row>
    <row r="749">
      <c r="A749" s="117" t="n"/>
      <c r="B749" s="118" t="n"/>
      <c r="C749" s="115">
        <f>IF(OR(B749="",B748=""),"",B749/B748-1)</f>
        <v/>
      </c>
      <c r="D749" s="115">
        <f>IF(B749="","",IFERROR(B749/INDEX($B$2:$B$800,MATCH(DATE(YEAR(A749)-1,12,1),$A$2:$A$800,0))-1,""))</f>
        <v/>
      </c>
      <c r="E749" s="115">
        <f>IF(B749="","",IFERROR(B749/INDEX($B$2:$B$800,MATCH(DATE(YEAR(A749)-1,MONTH(A749),1),$A$2:$A$800,0))-1,""))</f>
        <v/>
      </c>
    </row>
    <row r="750">
      <c r="A750" s="117" t="n"/>
      <c r="B750" s="118" t="n"/>
      <c r="C750" s="115">
        <f>IF(OR(B750="",B749=""),"",B750/B749-1)</f>
        <v/>
      </c>
      <c r="D750" s="115">
        <f>IF(B750="","",IFERROR(B750/INDEX($B$2:$B$800,MATCH(DATE(YEAR(A750)-1,12,1),$A$2:$A$800,0))-1,""))</f>
        <v/>
      </c>
      <c r="E750" s="115">
        <f>IF(B750="","",IFERROR(B750/INDEX($B$2:$B$800,MATCH(DATE(YEAR(A750)-1,MONTH(A750),1),$A$2:$A$800,0))-1,""))</f>
        <v/>
      </c>
    </row>
    <row r="751">
      <c r="A751" s="117" t="n"/>
      <c r="B751" s="118" t="n"/>
      <c r="C751" s="115">
        <f>IF(OR(B751="",B750=""),"",B751/B750-1)</f>
        <v/>
      </c>
      <c r="D751" s="115">
        <f>IF(B751="","",IFERROR(B751/INDEX($B$2:$B$800,MATCH(DATE(YEAR(A751)-1,12,1),$A$2:$A$800,0))-1,""))</f>
        <v/>
      </c>
      <c r="E751" s="115">
        <f>IF(B751="","",IFERROR(B751/INDEX($B$2:$B$800,MATCH(DATE(YEAR(A751)-1,MONTH(A751),1),$A$2:$A$800,0))-1,""))</f>
        <v/>
      </c>
    </row>
    <row r="752">
      <c r="A752" s="117" t="n"/>
      <c r="B752" s="118" t="n"/>
      <c r="C752" s="115">
        <f>IF(OR(B752="",B751=""),"",B752/B751-1)</f>
        <v/>
      </c>
      <c r="D752" s="115">
        <f>IF(B752="","",IFERROR(B752/INDEX($B$2:$B$800,MATCH(DATE(YEAR(A752)-1,12,1),$A$2:$A$800,0))-1,""))</f>
        <v/>
      </c>
      <c r="E752" s="115">
        <f>IF(B752="","",IFERROR(B752/INDEX($B$2:$B$800,MATCH(DATE(YEAR(A752)-1,MONTH(A752),1),$A$2:$A$800,0))-1,""))</f>
        <v/>
      </c>
    </row>
    <row r="753">
      <c r="A753" s="117" t="n"/>
      <c r="B753" s="118" t="n"/>
      <c r="C753" s="115">
        <f>IF(OR(B753="",B752=""),"",B753/B752-1)</f>
        <v/>
      </c>
      <c r="D753" s="115">
        <f>IF(B753="","",IFERROR(B753/INDEX($B$2:$B$800,MATCH(DATE(YEAR(A753)-1,12,1),$A$2:$A$800,0))-1,""))</f>
        <v/>
      </c>
      <c r="E753" s="115">
        <f>IF(B753="","",IFERROR(B753/INDEX($B$2:$B$800,MATCH(DATE(YEAR(A753)-1,MONTH(A753),1),$A$2:$A$800,0))-1,""))</f>
        <v/>
      </c>
    </row>
    <row r="754">
      <c r="A754" s="117" t="n"/>
      <c r="B754" s="118" t="n"/>
      <c r="C754" s="115">
        <f>IF(OR(B754="",B753=""),"",B754/B753-1)</f>
        <v/>
      </c>
      <c r="D754" s="115">
        <f>IF(B754="","",IFERROR(B754/INDEX($B$2:$B$800,MATCH(DATE(YEAR(A754)-1,12,1),$A$2:$A$800,0))-1,""))</f>
        <v/>
      </c>
      <c r="E754" s="115">
        <f>IF(B754="","",IFERROR(B754/INDEX($B$2:$B$800,MATCH(DATE(YEAR(A754)-1,MONTH(A754),1),$A$2:$A$800,0))-1,""))</f>
        <v/>
      </c>
    </row>
    <row r="755">
      <c r="A755" s="117" t="n"/>
      <c r="B755" s="118" t="n"/>
      <c r="C755" s="115">
        <f>IF(OR(B755="",B754=""),"",B755/B754-1)</f>
        <v/>
      </c>
      <c r="D755" s="115">
        <f>IF(B755="","",IFERROR(B755/INDEX($B$2:$B$800,MATCH(DATE(YEAR(A755)-1,12,1),$A$2:$A$800,0))-1,""))</f>
        <v/>
      </c>
      <c r="E755" s="115">
        <f>IF(B755="","",IFERROR(B755/INDEX($B$2:$B$800,MATCH(DATE(YEAR(A755)-1,MONTH(A755),1),$A$2:$A$800,0))-1,""))</f>
        <v/>
      </c>
    </row>
    <row r="756">
      <c r="A756" s="117" t="n"/>
      <c r="B756" s="118" t="n"/>
      <c r="C756" s="115">
        <f>IF(OR(B756="",B755=""),"",B756/B755-1)</f>
        <v/>
      </c>
      <c r="D756" s="115">
        <f>IF(B756="","",IFERROR(B756/INDEX($B$2:$B$800,MATCH(DATE(YEAR(A756)-1,12,1),$A$2:$A$800,0))-1,""))</f>
        <v/>
      </c>
      <c r="E756" s="115">
        <f>IF(B756="","",IFERROR(B756/INDEX($B$2:$B$800,MATCH(DATE(YEAR(A756)-1,MONTH(A756),1),$A$2:$A$800,0))-1,""))</f>
        <v/>
      </c>
    </row>
    <row r="757">
      <c r="A757" s="117" t="n"/>
      <c r="B757" s="118" t="n"/>
      <c r="C757" s="115">
        <f>IF(OR(B757="",B756=""),"",B757/B756-1)</f>
        <v/>
      </c>
      <c r="D757" s="115">
        <f>IF(B757="","",IFERROR(B757/INDEX($B$2:$B$800,MATCH(DATE(YEAR(A757)-1,12,1),$A$2:$A$800,0))-1,""))</f>
        <v/>
      </c>
      <c r="E757" s="115">
        <f>IF(B757="","",IFERROR(B757/INDEX($B$2:$B$800,MATCH(DATE(YEAR(A757)-1,MONTH(A757),1),$A$2:$A$800,0))-1,""))</f>
        <v/>
      </c>
    </row>
    <row r="758">
      <c r="A758" s="117" t="n"/>
      <c r="B758" s="118" t="n"/>
      <c r="C758" s="115">
        <f>IF(OR(B758="",B757=""),"",B758/B757-1)</f>
        <v/>
      </c>
      <c r="D758" s="115">
        <f>IF(B758="","",IFERROR(B758/INDEX($B$2:$B$800,MATCH(DATE(YEAR(A758)-1,12,1),$A$2:$A$800,0))-1,""))</f>
        <v/>
      </c>
      <c r="E758" s="115">
        <f>IF(B758="","",IFERROR(B758/INDEX($B$2:$B$800,MATCH(DATE(YEAR(A758)-1,MONTH(A758),1),$A$2:$A$800,0))-1,""))</f>
        <v/>
      </c>
    </row>
    <row r="759">
      <c r="A759" s="117" t="n"/>
      <c r="B759" s="118" t="n"/>
      <c r="C759" s="115">
        <f>IF(OR(B759="",B758=""),"",B759/B758-1)</f>
        <v/>
      </c>
      <c r="D759" s="115">
        <f>IF(B759="","",IFERROR(B759/INDEX($B$2:$B$800,MATCH(DATE(YEAR(A759)-1,12,1),$A$2:$A$800,0))-1,""))</f>
        <v/>
      </c>
      <c r="E759" s="115">
        <f>IF(B759="","",IFERROR(B759/INDEX($B$2:$B$800,MATCH(DATE(YEAR(A759)-1,MONTH(A759),1),$A$2:$A$800,0))-1,""))</f>
        <v/>
      </c>
    </row>
    <row r="760">
      <c r="A760" s="117" t="n"/>
      <c r="B760" s="118" t="n"/>
      <c r="C760" s="115">
        <f>IF(OR(B760="",B759=""),"",B760/B759-1)</f>
        <v/>
      </c>
      <c r="D760" s="115">
        <f>IF(B760="","",IFERROR(B760/INDEX($B$2:$B$800,MATCH(DATE(YEAR(A760)-1,12,1),$A$2:$A$800,0))-1,""))</f>
        <v/>
      </c>
      <c r="E760" s="115">
        <f>IF(B760="","",IFERROR(B760/INDEX($B$2:$B$800,MATCH(DATE(YEAR(A760)-1,MONTH(A760),1),$A$2:$A$800,0))-1,""))</f>
        <v/>
      </c>
    </row>
    <row r="761">
      <c r="A761" s="117" t="n"/>
      <c r="B761" s="118" t="n"/>
      <c r="C761" s="115">
        <f>IF(OR(B761="",B760=""),"",B761/B760-1)</f>
        <v/>
      </c>
      <c r="D761" s="115">
        <f>IF(B761="","",IFERROR(B761/INDEX($B$2:$B$800,MATCH(DATE(YEAR(A761)-1,12,1),$A$2:$A$800,0))-1,""))</f>
        <v/>
      </c>
      <c r="E761" s="115">
        <f>IF(B761="","",IFERROR(B761/INDEX($B$2:$B$800,MATCH(DATE(YEAR(A761)-1,MONTH(A761),1),$A$2:$A$800,0))-1,""))</f>
        <v/>
      </c>
    </row>
    <row r="762">
      <c r="A762" s="117" t="n"/>
      <c r="B762" s="118" t="n"/>
      <c r="C762" s="115">
        <f>IF(OR(B762="",B761=""),"",B762/B761-1)</f>
        <v/>
      </c>
      <c r="D762" s="115">
        <f>IF(B762="","",IFERROR(B762/INDEX($B$2:$B$800,MATCH(DATE(YEAR(A762)-1,12,1),$A$2:$A$800,0))-1,""))</f>
        <v/>
      </c>
      <c r="E762" s="115">
        <f>IF(B762="","",IFERROR(B762/INDEX($B$2:$B$800,MATCH(DATE(YEAR(A762)-1,MONTH(A762),1),$A$2:$A$800,0))-1,""))</f>
        <v/>
      </c>
    </row>
    <row r="763">
      <c r="A763" s="117" t="n"/>
      <c r="B763" s="118" t="n"/>
      <c r="C763" s="115">
        <f>IF(OR(B763="",B762=""),"",B763/B762-1)</f>
        <v/>
      </c>
      <c r="D763" s="115">
        <f>IF(B763="","",IFERROR(B763/INDEX($B$2:$B$800,MATCH(DATE(YEAR(A763)-1,12,1),$A$2:$A$800,0))-1,""))</f>
        <v/>
      </c>
      <c r="E763" s="115">
        <f>IF(B763="","",IFERROR(B763/INDEX($B$2:$B$800,MATCH(DATE(YEAR(A763)-1,MONTH(A763),1),$A$2:$A$800,0))-1,""))</f>
        <v/>
      </c>
    </row>
    <row r="764">
      <c r="A764" s="117" t="n"/>
      <c r="B764" s="118" t="n"/>
      <c r="C764" s="115">
        <f>IF(OR(B764="",B763=""),"",B764/B763-1)</f>
        <v/>
      </c>
      <c r="D764" s="115">
        <f>IF(B764="","",IFERROR(B764/INDEX($B$2:$B$800,MATCH(DATE(YEAR(A764)-1,12,1),$A$2:$A$800,0))-1,""))</f>
        <v/>
      </c>
      <c r="E764" s="115">
        <f>IF(B764="","",IFERROR(B764/INDEX($B$2:$B$800,MATCH(DATE(YEAR(A764)-1,MONTH(A764),1),$A$2:$A$800,0))-1,""))</f>
        <v/>
      </c>
    </row>
    <row r="765">
      <c r="A765" s="117" t="n"/>
      <c r="B765" s="118" t="n"/>
      <c r="C765" s="115">
        <f>IF(OR(B765="",B764=""),"",B765/B764-1)</f>
        <v/>
      </c>
      <c r="D765" s="115">
        <f>IF(B765="","",IFERROR(B765/INDEX($B$2:$B$800,MATCH(DATE(YEAR(A765)-1,12,1),$A$2:$A$800,0))-1,""))</f>
        <v/>
      </c>
      <c r="E765" s="115">
        <f>IF(B765="","",IFERROR(B765/INDEX($B$2:$B$800,MATCH(DATE(YEAR(A765)-1,MONTH(A765),1),$A$2:$A$800,0))-1,""))</f>
        <v/>
      </c>
    </row>
    <row r="766">
      <c r="A766" s="117" t="n"/>
      <c r="B766" s="118" t="n"/>
      <c r="C766" s="115">
        <f>IF(OR(B766="",B765=""),"",B766/B765-1)</f>
        <v/>
      </c>
      <c r="D766" s="115">
        <f>IF(B766="","",IFERROR(B766/INDEX($B$2:$B$800,MATCH(DATE(YEAR(A766)-1,12,1),$A$2:$A$800,0))-1,""))</f>
        <v/>
      </c>
      <c r="E766" s="115">
        <f>IF(B766="","",IFERROR(B766/INDEX($B$2:$B$800,MATCH(DATE(YEAR(A766)-1,MONTH(A766),1),$A$2:$A$800,0))-1,""))</f>
        <v/>
      </c>
    </row>
    <row r="767">
      <c r="A767" s="117" t="n"/>
      <c r="B767" s="118" t="n"/>
      <c r="C767" s="115">
        <f>IF(OR(B767="",B766=""),"",B767/B766-1)</f>
        <v/>
      </c>
      <c r="D767" s="115">
        <f>IF(B767="","",IFERROR(B767/INDEX($B$2:$B$800,MATCH(DATE(YEAR(A767)-1,12,1),$A$2:$A$800,0))-1,""))</f>
        <v/>
      </c>
      <c r="E767" s="115">
        <f>IF(B767="","",IFERROR(B767/INDEX($B$2:$B$800,MATCH(DATE(YEAR(A767)-1,MONTH(A767),1),$A$2:$A$800,0))-1,""))</f>
        <v/>
      </c>
    </row>
    <row r="768">
      <c r="A768" s="117" t="n"/>
      <c r="B768" s="118" t="n"/>
      <c r="C768" s="115">
        <f>IF(OR(B768="",B767=""),"",B768/B767-1)</f>
        <v/>
      </c>
      <c r="D768" s="115">
        <f>IF(B768="","",IFERROR(B768/INDEX($B$2:$B$800,MATCH(DATE(YEAR(A768)-1,12,1),$A$2:$A$800,0))-1,""))</f>
        <v/>
      </c>
      <c r="E768" s="115">
        <f>IF(B768="","",IFERROR(B768/INDEX($B$2:$B$800,MATCH(DATE(YEAR(A768)-1,MONTH(A768),1),$A$2:$A$800,0))-1,""))</f>
        <v/>
      </c>
    </row>
    <row r="769">
      <c r="A769" s="117" t="n"/>
      <c r="B769" s="118" t="n"/>
      <c r="C769" s="115">
        <f>IF(OR(B769="",B768=""),"",B769/B768-1)</f>
        <v/>
      </c>
      <c r="D769" s="115">
        <f>IF(B769="","",IFERROR(B769/INDEX($B$2:$B$800,MATCH(DATE(YEAR(A769)-1,12,1),$A$2:$A$800,0))-1,""))</f>
        <v/>
      </c>
      <c r="E769" s="115">
        <f>IF(B769="","",IFERROR(B769/INDEX($B$2:$B$800,MATCH(DATE(YEAR(A769)-1,MONTH(A769),1),$A$2:$A$800,0))-1,""))</f>
        <v/>
      </c>
    </row>
    <row r="770">
      <c r="A770" s="117" t="n"/>
      <c r="B770" s="118" t="n"/>
      <c r="C770" s="115">
        <f>IF(OR(B770="",B769=""),"",B770/B769-1)</f>
        <v/>
      </c>
      <c r="D770" s="115">
        <f>IF(B770="","",IFERROR(B770/INDEX($B$2:$B$800,MATCH(DATE(YEAR(A770)-1,12,1),$A$2:$A$800,0))-1,""))</f>
        <v/>
      </c>
      <c r="E770" s="115">
        <f>IF(B770="","",IFERROR(B770/INDEX($B$2:$B$800,MATCH(DATE(YEAR(A770)-1,MONTH(A770),1),$A$2:$A$800,0))-1,""))</f>
        <v/>
      </c>
    </row>
    <row r="771">
      <c r="A771" s="117" t="n"/>
      <c r="B771" s="118" t="n"/>
      <c r="C771" s="115">
        <f>IF(OR(B771="",B770=""),"",B771/B770-1)</f>
        <v/>
      </c>
      <c r="D771" s="115">
        <f>IF(B771="","",IFERROR(B771/INDEX($B$2:$B$800,MATCH(DATE(YEAR(A771)-1,12,1),$A$2:$A$800,0))-1,""))</f>
        <v/>
      </c>
      <c r="E771" s="115">
        <f>IF(B771="","",IFERROR(B771/INDEX($B$2:$B$800,MATCH(DATE(YEAR(A771)-1,MONTH(A771),1),$A$2:$A$800,0))-1,""))</f>
        <v/>
      </c>
    </row>
    <row r="772">
      <c r="A772" s="117" t="n"/>
      <c r="B772" s="118" t="n"/>
      <c r="C772" s="115">
        <f>IF(OR(B772="",B771=""),"",B772/B771-1)</f>
        <v/>
      </c>
      <c r="D772" s="115">
        <f>IF(B772="","",IFERROR(B772/INDEX($B$2:$B$800,MATCH(DATE(YEAR(A772)-1,12,1),$A$2:$A$800,0))-1,""))</f>
        <v/>
      </c>
      <c r="E772" s="115">
        <f>IF(B772="","",IFERROR(B772/INDEX($B$2:$B$800,MATCH(DATE(YEAR(A772)-1,MONTH(A772),1),$A$2:$A$800,0))-1,""))</f>
        <v/>
      </c>
    </row>
    <row r="773">
      <c r="A773" s="117" t="n"/>
      <c r="B773" s="118" t="n"/>
      <c r="C773" s="115">
        <f>IF(OR(B773="",B772=""),"",B773/B772-1)</f>
        <v/>
      </c>
      <c r="D773" s="115">
        <f>IF(B773="","",IFERROR(B773/INDEX($B$2:$B$800,MATCH(DATE(YEAR(A773)-1,12,1),$A$2:$A$800,0))-1,""))</f>
        <v/>
      </c>
      <c r="E773" s="115">
        <f>IF(B773="","",IFERROR(B773/INDEX($B$2:$B$800,MATCH(DATE(YEAR(A773)-1,MONTH(A773),1),$A$2:$A$800,0))-1,""))</f>
        <v/>
      </c>
    </row>
    <row r="774">
      <c r="A774" s="117" t="n"/>
      <c r="B774" s="118" t="n"/>
      <c r="C774" s="115">
        <f>IF(OR(B774="",B773=""),"",B774/B773-1)</f>
        <v/>
      </c>
      <c r="D774" s="115">
        <f>IF(B774="","",IFERROR(B774/INDEX($B$2:$B$800,MATCH(DATE(YEAR(A774)-1,12,1),$A$2:$A$800,0))-1,""))</f>
        <v/>
      </c>
      <c r="E774" s="115">
        <f>IF(B774="","",IFERROR(B774/INDEX($B$2:$B$800,MATCH(DATE(YEAR(A774)-1,MONTH(A774),1),$A$2:$A$800,0))-1,""))</f>
        <v/>
      </c>
    </row>
    <row r="775">
      <c r="A775" s="117" t="n"/>
      <c r="B775" s="118" t="n"/>
      <c r="C775" s="115">
        <f>IF(OR(B775="",B774=""),"",B775/B774-1)</f>
        <v/>
      </c>
      <c r="D775" s="115">
        <f>IF(B775="","",IFERROR(B775/INDEX($B$2:$B$800,MATCH(DATE(YEAR(A775)-1,12,1),$A$2:$A$800,0))-1,""))</f>
        <v/>
      </c>
      <c r="E775" s="115">
        <f>IF(B775="","",IFERROR(B775/INDEX($B$2:$B$800,MATCH(DATE(YEAR(A775)-1,MONTH(A775),1),$A$2:$A$800,0))-1,""))</f>
        <v/>
      </c>
    </row>
    <row r="776">
      <c r="A776" s="117" t="n"/>
      <c r="B776" s="118" t="n"/>
      <c r="C776" s="115">
        <f>IF(OR(B776="",B775=""),"",B776/B775-1)</f>
        <v/>
      </c>
      <c r="D776" s="115">
        <f>IF(B776="","",IFERROR(B776/INDEX($B$2:$B$800,MATCH(DATE(YEAR(A776)-1,12,1),$A$2:$A$800,0))-1,""))</f>
        <v/>
      </c>
      <c r="E776" s="115">
        <f>IF(B776="","",IFERROR(B776/INDEX($B$2:$B$800,MATCH(DATE(YEAR(A776)-1,MONTH(A776),1),$A$2:$A$800,0))-1,""))</f>
        <v/>
      </c>
    </row>
    <row r="777">
      <c r="A777" s="117" t="n"/>
      <c r="B777" s="118" t="n"/>
      <c r="C777" s="115">
        <f>IF(OR(B777="",B776=""),"",B777/B776-1)</f>
        <v/>
      </c>
      <c r="D777" s="115">
        <f>IF(B777="","",IFERROR(B777/INDEX($B$2:$B$800,MATCH(DATE(YEAR(A777)-1,12,1),$A$2:$A$800,0))-1,""))</f>
        <v/>
      </c>
      <c r="E777" s="115">
        <f>IF(B777="","",IFERROR(B777/INDEX($B$2:$B$800,MATCH(DATE(YEAR(A777)-1,MONTH(A777),1),$A$2:$A$800,0))-1,""))</f>
        <v/>
      </c>
    </row>
    <row r="778">
      <c r="A778" s="117" t="n"/>
      <c r="B778" s="118" t="n"/>
      <c r="C778" s="115">
        <f>IF(OR(B778="",B777=""),"",B778/B777-1)</f>
        <v/>
      </c>
      <c r="D778" s="115">
        <f>IF(B778="","",IFERROR(B778/INDEX($B$2:$B$800,MATCH(DATE(YEAR(A778)-1,12,1),$A$2:$A$800,0))-1,""))</f>
        <v/>
      </c>
      <c r="E778" s="115">
        <f>IF(B778="","",IFERROR(B778/INDEX($B$2:$B$800,MATCH(DATE(YEAR(A778)-1,MONTH(A778),1),$A$2:$A$800,0))-1,""))</f>
        <v/>
      </c>
    </row>
    <row r="779">
      <c r="A779" s="117" t="n"/>
      <c r="B779" s="118" t="n"/>
      <c r="C779" s="115">
        <f>IF(OR(B779="",B778=""),"",B779/B778-1)</f>
        <v/>
      </c>
      <c r="D779" s="115">
        <f>IF(B779="","",IFERROR(B779/INDEX($B$2:$B$800,MATCH(DATE(YEAR(A779)-1,12,1),$A$2:$A$800,0))-1,""))</f>
        <v/>
      </c>
      <c r="E779" s="115">
        <f>IF(B779="","",IFERROR(B779/INDEX($B$2:$B$800,MATCH(DATE(YEAR(A779)-1,MONTH(A779),1),$A$2:$A$800,0))-1,""))</f>
        <v/>
      </c>
    </row>
    <row r="780">
      <c r="A780" s="117" t="n"/>
      <c r="B780" s="118" t="n"/>
      <c r="C780" s="115">
        <f>IF(OR(B780="",B779=""),"",B780/B779-1)</f>
        <v/>
      </c>
      <c r="D780" s="115">
        <f>IF(B780="","",IFERROR(B780/INDEX($B$2:$B$800,MATCH(DATE(YEAR(A780)-1,12,1),$A$2:$A$800,0))-1,""))</f>
        <v/>
      </c>
      <c r="E780" s="115">
        <f>IF(B780="","",IFERROR(B780/INDEX($B$2:$B$800,MATCH(DATE(YEAR(A780)-1,MONTH(A780),1),$A$2:$A$800,0))-1,""))</f>
        <v/>
      </c>
    </row>
    <row r="781">
      <c r="A781" s="117" t="n"/>
      <c r="B781" s="118" t="n"/>
      <c r="C781" s="115">
        <f>IF(OR(B781="",B780=""),"",B781/B780-1)</f>
        <v/>
      </c>
      <c r="D781" s="115">
        <f>IF(B781="","",IFERROR(B781/INDEX($B$2:$B$800,MATCH(DATE(YEAR(A781)-1,12,1),$A$2:$A$800,0))-1,""))</f>
        <v/>
      </c>
      <c r="E781" s="115">
        <f>IF(B781="","",IFERROR(B781/INDEX($B$2:$B$800,MATCH(DATE(YEAR(A781)-1,MONTH(A781),1),$A$2:$A$800,0))-1,""))</f>
        <v/>
      </c>
    </row>
    <row r="782">
      <c r="A782" s="117" t="n"/>
      <c r="B782" s="118" t="n"/>
      <c r="C782" s="115">
        <f>IF(OR(B782="",B781=""),"",B782/B781-1)</f>
        <v/>
      </c>
      <c r="D782" s="115">
        <f>IF(B782="","",IFERROR(B782/INDEX($B$2:$B$800,MATCH(DATE(YEAR(A782)-1,12,1),$A$2:$A$800,0))-1,""))</f>
        <v/>
      </c>
      <c r="E782" s="115">
        <f>IF(B782="","",IFERROR(B782/INDEX($B$2:$B$800,MATCH(DATE(YEAR(A782)-1,MONTH(A782),1),$A$2:$A$800,0))-1,""))</f>
        <v/>
      </c>
    </row>
    <row r="783">
      <c r="A783" s="117" t="n"/>
      <c r="B783" s="118" t="n"/>
      <c r="C783" s="115">
        <f>IF(OR(B783="",B782=""),"",B783/B782-1)</f>
        <v/>
      </c>
      <c r="D783" s="115">
        <f>IF(B783="","",IFERROR(B783/INDEX($B$2:$B$800,MATCH(DATE(YEAR(A783)-1,12,1),$A$2:$A$800,0))-1,""))</f>
        <v/>
      </c>
      <c r="E783" s="115">
        <f>IF(B783="","",IFERROR(B783/INDEX($B$2:$B$800,MATCH(DATE(YEAR(A783)-1,MONTH(A783),1),$A$2:$A$800,0))-1,""))</f>
        <v/>
      </c>
    </row>
    <row r="784">
      <c r="A784" s="117" t="n"/>
      <c r="B784" s="118" t="n"/>
      <c r="C784" s="115">
        <f>IF(OR(B784="",B783=""),"",B784/B783-1)</f>
        <v/>
      </c>
      <c r="D784" s="115">
        <f>IF(B784="","",IFERROR(B784/INDEX($B$2:$B$800,MATCH(DATE(YEAR(A784)-1,12,1),$A$2:$A$800,0))-1,""))</f>
        <v/>
      </c>
      <c r="E784" s="115">
        <f>IF(B784="","",IFERROR(B784/INDEX($B$2:$B$800,MATCH(DATE(YEAR(A784)-1,MONTH(A784),1),$A$2:$A$800,0))-1,""))</f>
        <v/>
      </c>
    </row>
    <row r="785">
      <c r="A785" s="117" t="n"/>
      <c r="B785" s="118" t="n"/>
      <c r="C785" s="115">
        <f>IF(OR(B785="",B784=""),"",B785/B784-1)</f>
        <v/>
      </c>
      <c r="D785" s="115">
        <f>IF(B785="","",IFERROR(B785/INDEX($B$2:$B$800,MATCH(DATE(YEAR(A785)-1,12,1),$A$2:$A$800,0))-1,""))</f>
        <v/>
      </c>
      <c r="E785" s="115">
        <f>IF(B785="","",IFERROR(B785/INDEX($B$2:$B$800,MATCH(DATE(YEAR(A785)-1,MONTH(A785),1),$A$2:$A$800,0))-1,""))</f>
        <v/>
      </c>
    </row>
    <row r="786">
      <c r="A786" s="117" t="n"/>
      <c r="B786" s="118" t="n"/>
      <c r="C786" s="115">
        <f>IF(OR(B786="",B785=""),"",B786/B785-1)</f>
        <v/>
      </c>
      <c r="D786" s="115">
        <f>IF(B786="","",IFERROR(B786/INDEX($B$2:$B$800,MATCH(DATE(YEAR(A786)-1,12,1),$A$2:$A$800,0))-1,""))</f>
        <v/>
      </c>
      <c r="E786" s="115">
        <f>IF(B786="","",IFERROR(B786/INDEX($B$2:$B$800,MATCH(DATE(YEAR(A786)-1,MONTH(A786),1),$A$2:$A$800,0))-1,""))</f>
        <v/>
      </c>
    </row>
    <row r="787">
      <c r="A787" s="117" t="n"/>
      <c r="B787" s="118" t="n"/>
      <c r="C787" s="115">
        <f>IF(OR(B787="",B786=""),"",B787/B786-1)</f>
        <v/>
      </c>
      <c r="D787" s="115">
        <f>IF(B787="","",IFERROR(B787/INDEX($B$2:$B$800,MATCH(DATE(YEAR(A787)-1,12,1),$A$2:$A$800,0))-1,""))</f>
        <v/>
      </c>
      <c r="E787" s="115">
        <f>IF(B787="","",IFERROR(B787/INDEX($B$2:$B$800,MATCH(DATE(YEAR(A787)-1,MONTH(A787),1),$A$2:$A$800,0))-1,""))</f>
        <v/>
      </c>
    </row>
    <row r="788">
      <c r="A788" s="117" t="n"/>
      <c r="B788" s="118" t="n"/>
      <c r="C788" s="115">
        <f>IF(OR(B788="",B787=""),"",B788/B787-1)</f>
        <v/>
      </c>
      <c r="D788" s="115">
        <f>IF(B788="","",IFERROR(B788/INDEX($B$2:$B$800,MATCH(DATE(YEAR(A788)-1,12,1),$A$2:$A$800,0))-1,""))</f>
        <v/>
      </c>
      <c r="E788" s="115">
        <f>IF(B788="","",IFERROR(B788/INDEX($B$2:$B$800,MATCH(DATE(YEAR(A788)-1,MONTH(A788),1),$A$2:$A$800,0))-1,""))</f>
        <v/>
      </c>
    </row>
    <row r="789">
      <c r="A789" s="117" t="n"/>
      <c r="B789" s="118" t="n"/>
      <c r="C789" s="115">
        <f>IF(OR(B789="",B788=""),"",B789/B788-1)</f>
        <v/>
      </c>
      <c r="D789" s="115">
        <f>IF(B789="","",IFERROR(B789/INDEX($B$2:$B$800,MATCH(DATE(YEAR(A789)-1,12,1),$A$2:$A$800,0))-1,""))</f>
        <v/>
      </c>
      <c r="E789" s="115">
        <f>IF(B789="","",IFERROR(B789/INDEX($B$2:$B$800,MATCH(DATE(YEAR(A789)-1,MONTH(A789),1),$A$2:$A$800,0))-1,""))</f>
        <v/>
      </c>
    </row>
    <row r="790">
      <c r="A790" s="117" t="n"/>
      <c r="B790" s="118" t="n"/>
      <c r="C790" s="115">
        <f>IF(OR(B790="",B789=""),"",B790/B789-1)</f>
        <v/>
      </c>
      <c r="D790" s="115">
        <f>IF(B790="","",IFERROR(B790/INDEX($B$2:$B$800,MATCH(DATE(YEAR(A790)-1,12,1),$A$2:$A$800,0))-1,""))</f>
        <v/>
      </c>
      <c r="E790" s="115">
        <f>IF(B790="","",IFERROR(B790/INDEX($B$2:$B$800,MATCH(DATE(YEAR(A790)-1,MONTH(A790),1),$A$2:$A$800,0))-1,""))</f>
        <v/>
      </c>
    </row>
    <row r="791">
      <c r="A791" s="117" t="n"/>
      <c r="B791" s="118" t="n"/>
      <c r="C791" s="115">
        <f>IF(OR(B791="",B790=""),"",B791/B790-1)</f>
        <v/>
      </c>
      <c r="D791" s="115">
        <f>IF(B791="","",IFERROR(B791/INDEX($B$2:$B$800,MATCH(DATE(YEAR(A791)-1,12,1),$A$2:$A$800,0))-1,""))</f>
        <v/>
      </c>
      <c r="E791" s="115">
        <f>IF(B791="","",IFERROR(B791/INDEX($B$2:$B$800,MATCH(DATE(YEAR(A791)-1,MONTH(A791),1),$A$2:$A$800,0))-1,""))</f>
        <v/>
      </c>
    </row>
    <row r="792">
      <c r="A792" s="117" t="n"/>
      <c r="B792" s="118" t="n"/>
      <c r="C792" s="115">
        <f>IF(OR(B792="",B791=""),"",B792/B791-1)</f>
        <v/>
      </c>
      <c r="D792" s="115">
        <f>IF(B792="","",IFERROR(B792/INDEX($B$2:$B$800,MATCH(DATE(YEAR(A792)-1,12,1),$A$2:$A$800,0))-1,""))</f>
        <v/>
      </c>
      <c r="E792" s="115">
        <f>IF(B792="","",IFERROR(B792/INDEX($B$2:$B$800,MATCH(DATE(YEAR(A792)-1,MONTH(A792),1),$A$2:$A$800,0))-1,""))</f>
        <v/>
      </c>
    </row>
    <row r="793">
      <c r="A793" s="117" t="n"/>
      <c r="B793" s="118" t="n"/>
      <c r="C793" s="115">
        <f>IF(OR(B793="",B792=""),"",B793/B792-1)</f>
        <v/>
      </c>
      <c r="D793" s="115">
        <f>IF(B793="","",IFERROR(B793/INDEX($B$2:$B$800,MATCH(DATE(YEAR(A793)-1,12,1),$A$2:$A$800,0))-1,""))</f>
        <v/>
      </c>
      <c r="E793" s="115">
        <f>IF(B793="","",IFERROR(B793/INDEX($B$2:$B$800,MATCH(DATE(YEAR(A793)-1,MONTH(A793),1),$A$2:$A$800,0))-1,""))</f>
        <v/>
      </c>
    </row>
    <row r="794">
      <c r="A794" s="117" t="n"/>
      <c r="B794" s="118" t="n"/>
      <c r="C794" s="115">
        <f>IF(OR(B794="",B793=""),"",B794/B793-1)</f>
        <v/>
      </c>
      <c r="D794" s="115">
        <f>IF(B794="","",IFERROR(B794/INDEX($B$2:$B$800,MATCH(DATE(YEAR(A794)-1,12,1),$A$2:$A$800,0))-1,""))</f>
        <v/>
      </c>
      <c r="E794" s="115">
        <f>IF(B794="","",IFERROR(B794/INDEX($B$2:$B$800,MATCH(DATE(YEAR(A794)-1,MONTH(A794),1),$A$2:$A$800,0))-1,""))</f>
        <v/>
      </c>
    </row>
    <row r="795">
      <c r="A795" s="117" t="n"/>
      <c r="B795" s="118" t="n"/>
      <c r="C795" s="115">
        <f>IF(OR(B795="",B794=""),"",B795/B794-1)</f>
        <v/>
      </c>
      <c r="D795" s="115">
        <f>IF(B795="","",IFERROR(B795/INDEX($B$2:$B$800,MATCH(DATE(YEAR(A795)-1,12,1),$A$2:$A$800,0))-1,""))</f>
        <v/>
      </c>
      <c r="E795" s="115">
        <f>IF(B795="","",IFERROR(B795/INDEX($B$2:$B$800,MATCH(DATE(YEAR(A795)-1,MONTH(A795),1),$A$2:$A$800,0))-1,""))</f>
        <v/>
      </c>
    </row>
    <row r="796">
      <c r="A796" s="117" t="n"/>
      <c r="B796" s="118" t="n"/>
      <c r="C796" s="115">
        <f>IF(OR(B796="",B795=""),"",B796/B795-1)</f>
        <v/>
      </c>
      <c r="D796" s="115">
        <f>IF(B796="","",IFERROR(B796/INDEX($B$2:$B$800,MATCH(DATE(YEAR(A796)-1,12,1),$A$2:$A$800,0))-1,""))</f>
        <v/>
      </c>
      <c r="E796" s="115">
        <f>IF(B796="","",IFERROR(B796/INDEX($B$2:$B$800,MATCH(DATE(YEAR(A796)-1,MONTH(A796),1),$A$2:$A$800,0))-1,""))</f>
        <v/>
      </c>
    </row>
    <row r="797">
      <c r="A797" s="117" t="n"/>
      <c r="B797" s="118" t="n"/>
      <c r="C797" s="115">
        <f>IF(OR(B797="",B796=""),"",B797/B796-1)</f>
        <v/>
      </c>
      <c r="D797" s="115">
        <f>IF(B797="","",IFERROR(B797/INDEX($B$2:$B$800,MATCH(DATE(YEAR(A797)-1,12,1),$A$2:$A$800,0))-1,""))</f>
        <v/>
      </c>
      <c r="E797" s="115">
        <f>IF(B797="","",IFERROR(B797/INDEX($B$2:$B$800,MATCH(DATE(YEAR(A797)-1,MONTH(A797),1),$A$2:$A$800,0))-1,""))</f>
        <v/>
      </c>
    </row>
    <row r="798">
      <c r="A798" s="117" t="n"/>
      <c r="B798" s="118" t="n"/>
      <c r="C798" s="115">
        <f>IF(OR(B798="",B797=""),"",B798/B797-1)</f>
        <v/>
      </c>
      <c r="D798" s="115">
        <f>IF(B798="","",IFERROR(B798/INDEX($B$2:$B$800,MATCH(DATE(YEAR(A798)-1,12,1),$A$2:$A$800,0))-1,""))</f>
        <v/>
      </c>
      <c r="E798" s="115">
        <f>IF(B798="","",IFERROR(B798/INDEX($B$2:$B$800,MATCH(DATE(YEAR(A798)-1,MONTH(A798),1),$A$2:$A$800,0))-1,""))</f>
        <v/>
      </c>
    </row>
    <row r="799">
      <c r="A799" s="117" t="n"/>
      <c r="B799" s="118" t="n"/>
      <c r="C799" s="115">
        <f>IF(OR(B799="",B798=""),"",B799/B798-1)</f>
        <v/>
      </c>
      <c r="D799" s="115">
        <f>IF(B799="","",IFERROR(B799/INDEX($B$2:$B$800,MATCH(DATE(YEAR(A799)-1,12,1),$A$2:$A$800,0))-1,""))</f>
        <v/>
      </c>
      <c r="E799" s="115">
        <f>IF(B799="","",IFERROR(B799/INDEX($B$2:$B$800,MATCH(DATE(YEAR(A799)-1,MONTH(A799),1),$A$2:$A$800,0))-1,""))</f>
        <v/>
      </c>
    </row>
    <row r="800">
      <c r="A800" s="117" t="n"/>
      <c r="B800" s="118" t="n"/>
      <c r="C800" s="115">
        <f>IF(OR(B800="",B799=""),"",B800/B799-1)</f>
        <v/>
      </c>
      <c r="D800" s="115">
        <f>IF(B800="","",IFERROR(B800/INDEX($B$2:$B$800,MATCH(DATE(YEAR(A800)-1,12,1),$A$2:$A$800,0))-1,""))</f>
        <v/>
      </c>
      <c r="E800" s="115">
        <f>IF(B800="","",IFERROR(B800/INDEX($B$2:$B$800,MATCH(DATE(YEAR(A800)-1,MONTH(A800),1),$A$2:$A$800,0))-1,""))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FQ1059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Ed. Jardim exportado em 28/09/2026</t>
        </is>
      </c>
    </row>
    <row r="2">
      <c r="J2" s="2" t="inlineStr">
        <is>
          <t>31/08/2024</t>
        </is>
      </c>
      <c r="M2" s="2" t="inlineStr">
        <is>
          <t>30/09/2024</t>
        </is>
      </c>
      <c r="P2" s="2" t="inlineStr">
        <is>
          <t>31/10/2024</t>
        </is>
      </c>
      <c r="S2" s="2" t="inlineStr">
        <is>
          <t>30/11/2024</t>
        </is>
      </c>
      <c r="V2" s="2" t="inlineStr">
        <is>
          <t>31/12/2024</t>
        </is>
      </c>
      <c r="Y2" s="2" t="inlineStr">
        <is>
          <t>31/01/2025</t>
        </is>
      </c>
      <c r="AB2" s="2" t="inlineStr">
        <is>
          <t>28/02/2025</t>
        </is>
      </c>
      <c r="AE2" s="2" t="inlineStr">
        <is>
          <t>31/03/2025</t>
        </is>
      </c>
      <c r="AH2" s="2" t="inlineStr">
        <is>
          <t>30/04/2025</t>
        </is>
      </c>
      <c r="AK2" s="2" t="inlineStr">
        <is>
          <t>31/05/2025</t>
        </is>
      </c>
      <c r="AN2" s="2" t="inlineStr">
        <is>
          <t>30/06/2025</t>
        </is>
      </c>
      <c r="AQ2" s="2" t="inlineStr">
        <is>
          <t>31/07/2025</t>
        </is>
      </c>
      <c r="AT2" s="2" t="inlineStr">
        <is>
          <t>31/08/2025</t>
        </is>
      </c>
      <c r="AW2" s="2" t="inlineStr">
        <is>
          <t>30/09/2025</t>
        </is>
      </c>
      <c r="AZ2" s="2" t="inlineStr">
        <is>
          <t>31/10/2025</t>
        </is>
      </c>
      <c r="BC2" s="2" t="inlineStr">
        <is>
          <t>30/11/2025</t>
        </is>
      </c>
      <c r="BF2" s="2" t="inlineStr">
        <is>
          <t>31/12/2025</t>
        </is>
      </c>
      <c r="BI2" s="2" t="inlineStr">
        <is>
          <t>31/01/2026</t>
        </is>
      </c>
      <c r="BL2" s="2" t="inlineStr">
        <is>
          <t>28/02/2026</t>
        </is>
      </c>
      <c r="BO2" s="2" t="inlineStr">
        <is>
          <t>31/03/2026</t>
        </is>
      </c>
      <c r="BR2" s="2" t="inlineStr">
        <is>
          <t>30/04/2026</t>
        </is>
      </c>
      <c r="BU2" s="2" t="inlineStr">
        <is>
          <t>31/05/2026</t>
        </is>
      </c>
      <c r="BX2" s="2" t="inlineStr">
        <is>
          <t>30/06/2026</t>
        </is>
      </c>
      <c r="CA2" s="2" t="inlineStr">
        <is>
          <t>31/07/2026</t>
        </is>
      </c>
      <c r="CD2" s="2" t="inlineStr">
        <is>
          <t>31/08/2026</t>
        </is>
      </c>
      <c r="CG2" s="2" t="inlineStr">
        <is>
          <t>30/09/2026</t>
        </is>
      </c>
      <c r="CJ2" s="2" t="inlineStr">
        <is>
          <t>31/10/2026</t>
        </is>
      </c>
      <c r="CM2" s="2" t="inlineStr">
        <is>
          <t>30/11/2026</t>
        </is>
      </c>
      <c r="CP2" s="2" t="inlineStr">
        <is>
          <t>31/12/2026</t>
        </is>
      </c>
      <c r="CS2" s="2" t="inlineStr">
        <is>
          <t>31/01/2027</t>
        </is>
      </c>
      <c r="CV2" s="2" t="inlineStr">
        <is>
          <t>28/02/2027</t>
        </is>
      </c>
      <c r="CY2" s="2" t="inlineStr">
        <is>
          <t>31/03/2027</t>
        </is>
      </c>
      <c r="DB2" s="2" t="inlineStr">
        <is>
          <t>30/04/2027</t>
        </is>
      </c>
      <c r="DE2" s="2" t="inlineStr">
        <is>
          <t>31/05/2027</t>
        </is>
      </c>
      <c r="DH2" s="2" t="inlineStr">
        <is>
          <t>30/06/2027</t>
        </is>
      </c>
      <c r="DK2" s="2" t="inlineStr">
        <is>
          <t>31/07/2027</t>
        </is>
      </c>
      <c r="DN2" s="2" t="inlineStr">
        <is>
          <t>31/08/2027</t>
        </is>
      </c>
      <c r="DQ2" s="2" t="inlineStr">
        <is>
          <t>30/09/2027</t>
        </is>
      </c>
      <c r="DT2" s="2" t="inlineStr">
        <is>
          <t>31/10/2027</t>
        </is>
      </c>
      <c r="DW2" s="2" t="inlineStr">
        <is>
          <t>30/11/2027</t>
        </is>
      </c>
      <c r="DZ2" s="2" t="inlineStr">
        <is>
          <t>31/12/2027</t>
        </is>
      </c>
      <c r="EC2" s="2" t="inlineStr">
        <is>
          <t>31/01/2028</t>
        </is>
      </c>
      <c r="EF2" s="2" t="inlineStr">
        <is>
          <t>29/02/2028</t>
        </is>
      </c>
      <c r="EI2" s="2" t="inlineStr">
        <is>
          <t>31/03/2028</t>
        </is>
      </c>
      <c r="EL2" s="2" t="inlineStr">
        <is>
          <t>30/04/2028</t>
        </is>
      </c>
      <c r="EO2" s="2" t="inlineStr">
        <is>
          <t>31/05/2028</t>
        </is>
      </c>
      <c r="ER2" s="2" t="inlineStr">
        <is>
          <t>30/06/2028</t>
        </is>
      </c>
      <c r="EU2" s="2" t="inlineStr">
        <is>
          <t>31/07/2028</t>
        </is>
      </c>
      <c r="EX2" s="2" t="inlineStr">
        <is>
          <t>31/08/2028</t>
        </is>
      </c>
      <c r="FA2" s="2" t="inlineStr">
        <is>
          <t>30/09/2028</t>
        </is>
      </c>
      <c r="FD2" s="2" t="inlineStr">
        <is>
          <t>31/10/2028</t>
        </is>
      </c>
      <c r="FG2" s="2" t="inlineStr">
        <is>
          <t>30/11/2028</t>
        </is>
      </c>
      <c r="FJ2" s="2" t="inlineStr">
        <is>
          <t>31/12/2028</t>
        </is>
      </c>
      <c r="FM2" s="2" t="inlineStr">
        <is>
          <t>31/01/2029</t>
        </is>
      </c>
      <c r="FP2" s="2" t="inlineStr">
        <is>
          <t>28/02/2029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  <c r="ET3" s="2" t="inlineStr">
        <is>
          <t>Base</t>
        </is>
      </c>
      <c r="EU3" s="2" t="inlineStr">
        <is>
          <t>Previsto</t>
        </is>
      </c>
      <c r="EV3" s="2" t="inlineStr">
        <is>
          <t>Realizado</t>
        </is>
      </c>
      <c r="EW3" s="2" t="inlineStr">
        <is>
          <t>Base</t>
        </is>
      </c>
      <c r="EX3" s="2" t="inlineStr">
        <is>
          <t>Previsto</t>
        </is>
      </c>
      <c r="EY3" s="2" t="inlineStr">
        <is>
          <t>Realizado</t>
        </is>
      </c>
      <c r="EZ3" s="2" t="inlineStr">
        <is>
          <t>Base</t>
        </is>
      </c>
      <c r="FA3" s="2" t="inlineStr">
        <is>
          <t>Previsto</t>
        </is>
      </c>
      <c r="FB3" s="2" t="inlineStr">
        <is>
          <t>Realizado</t>
        </is>
      </c>
      <c r="FC3" s="2" t="inlineStr">
        <is>
          <t>Base</t>
        </is>
      </c>
      <c r="FD3" s="2" t="inlineStr">
        <is>
          <t>Previsto</t>
        </is>
      </c>
      <c r="FE3" s="2" t="inlineStr">
        <is>
          <t>Realizado</t>
        </is>
      </c>
      <c r="FF3" s="2" t="inlineStr">
        <is>
          <t>Base</t>
        </is>
      </c>
      <c r="FG3" s="2" t="inlineStr">
        <is>
          <t>Previsto</t>
        </is>
      </c>
      <c r="FH3" s="2" t="inlineStr">
        <is>
          <t>Realizado</t>
        </is>
      </c>
      <c r="FI3" s="2" t="inlineStr">
        <is>
          <t>Base</t>
        </is>
      </c>
      <c r="FJ3" s="2" t="inlineStr">
        <is>
          <t>Previsto</t>
        </is>
      </c>
      <c r="FK3" s="2" t="inlineStr">
        <is>
          <t>Realizado</t>
        </is>
      </c>
      <c r="FL3" s="2" t="inlineStr">
        <is>
          <t>Base</t>
        </is>
      </c>
      <c r="FM3" s="2" t="inlineStr">
        <is>
          <t>Previsto</t>
        </is>
      </c>
      <c r="FN3" s="2" t="inlineStr">
        <is>
          <t>Realizado</t>
        </is>
      </c>
      <c r="FO3" s="2" t="inlineStr">
        <is>
          <t>Base</t>
        </is>
      </c>
      <c r="FP3" s="2" t="inlineStr">
        <is>
          <t>Previsto</t>
        </is>
      </c>
      <c r="FQ3" s="2" t="inlineStr">
        <is>
          <t>Realizado</t>
        </is>
      </c>
    </row>
    <row r="4">
      <c r="A4" s="2" t="n">
        <v>1</v>
      </c>
      <c r="B4" s="2" t="inlineStr">
        <is>
          <t>00</t>
        </is>
      </c>
      <c r="C4" s="2" t="inlineStr">
        <is>
          <t>TAXA DE ADMINISTRAÇÃO</t>
        </is>
      </c>
      <c r="D4" s="2" t="inlineStr">
        <is>
          <t>-</t>
        </is>
      </c>
      <c r="E4" s="2" t="inlineStr">
        <is>
          <t>-</t>
        </is>
      </c>
      <c r="F4" s="2" t="n">
        <v>14090809.36486298</v>
      </c>
      <c r="G4" s="2" t="n">
        <v>0</v>
      </c>
      <c r="H4" s="2" t="n">
        <v>14090809.36486298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  <c r="ET4" s="2" t="n">
        <v>0</v>
      </c>
      <c r="EU4" s="2" t="n">
        <v>0</v>
      </c>
      <c r="EV4" s="2" t="n">
        <v>0</v>
      </c>
      <c r="EW4" s="2" t="n">
        <v>0</v>
      </c>
      <c r="EX4" s="2" t="n">
        <v>0</v>
      </c>
      <c r="EY4" s="2" t="n">
        <v>0</v>
      </c>
      <c r="EZ4" s="2" t="n">
        <v>0</v>
      </c>
      <c r="FA4" s="2" t="n">
        <v>0</v>
      </c>
      <c r="FB4" s="2" t="n">
        <v>0</v>
      </c>
      <c r="FC4" s="2" t="n">
        <v>0</v>
      </c>
      <c r="FD4" s="2" t="n">
        <v>0</v>
      </c>
      <c r="FE4" s="2" t="n">
        <v>0</v>
      </c>
      <c r="FF4" s="2" t="n">
        <v>0</v>
      </c>
      <c r="FG4" s="2" t="n">
        <v>0</v>
      </c>
      <c r="FH4" s="2" t="n">
        <v>0</v>
      </c>
      <c r="FI4" s="2" t="n">
        <v>0</v>
      </c>
      <c r="FJ4" s="2" t="n">
        <v>0</v>
      </c>
      <c r="FK4" s="2" t="n">
        <v>0</v>
      </c>
      <c r="FL4" s="2" t="n">
        <v>0</v>
      </c>
      <c r="FM4" s="2" t="n">
        <v>0</v>
      </c>
      <c r="FN4" s="2" t="n">
        <v>0</v>
      </c>
      <c r="FO4" s="2" t="n">
        <v>0</v>
      </c>
      <c r="FP4" s="2" t="n">
        <v>0</v>
      </c>
      <c r="FQ4" s="2" t="n">
        <v>0</v>
      </c>
    </row>
    <row r="5">
      <c r="A5" s="2" t="n">
        <v>1</v>
      </c>
      <c r="B5" s="2" t="inlineStr">
        <is>
          <t>01</t>
        </is>
      </c>
      <c r="C5" s="2" t="inlineStr">
        <is>
          <t>PROJETOS</t>
        </is>
      </c>
      <c r="D5" s="2" t="inlineStr">
        <is>
          <t>-</t>
        </is>
      </c>
      <c r="E5" s="2" t="inlineStr">
        <is>
          <t>-</t>
        </is>
      </c>
      <c r="F5" s="2" t="n">
        <v>2720799.48</v>
      </c>
      <c r="G5" s="2" t="n">
        <v>0</v>
      </c>
      <c r="H5" s="2" t="n">
        <v>2720799.48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  <c r="ET5" s="2" t="n">
        <v>0</v>
      </c>
      <c r="EU5" s="2" t="n">
        <v>0</v>
      </c>
      <c r="EV5" s="2" t="n">
        <v>0</v>
      </c>
      <c r="EW5" s="2" t="n">
        <v>0</v>
      </c>
      <c r="EX5" s="2" t="n">
        <v>0</v>
      </c>
      <c r="EY5" s="2" t="n">
        <v>0</v>
      </c>
      <c r="EZ5" s="2" t="n">
        <v>0</v>
      </c>
      <c r="FA5" s="2" t="n">
        <v>0</v>
      </c>
      <c r="FB5" s="2" t="n">
        <v>0</v>
      </c>
      <c r="FC5" s="2" t="n">
        <v>0</v>
      </c>
      <c r="FD5" s="2" t="n">
        <v>0</v>
      </c>
      <c r="FE5" s="2" t="n">
        <v>0</v>
      </c>
      <c r="FF5" s="2" t="n">
        <v>0</v>
      </c>
      <c r="FG5" s="2" t="n">
        <v>0</v>
      </c>
      <c r="FH5" s="2" t="n">
        <v>0</v>
      </c>
      <c r="FI5" s="2" t="n">
        <v>0</v>
      </c>
      <c r="FJ5" s="2" t="n">
        <v>0</v>
      </c>
      <c r="FK5" s="2" t="n">
        <v>0</v>
      </c>
      <c r="FL5" s="2" t="n">
        <v>0</v>
      </c>
      <c r="FM5" s="2" t="n">
        <v>0</v>
      </c>
      <c r="FN5" s="2" t="n">
        <v>0</v>
      </c>
      <c r="FO5" s="2" t="n">
        <v>0</v>
      </c>
      <c r="FP5" s="2" t="n">
        <v>0</v>
      </c>
      <c r="FQ5" s="2" t="n">
        <v>0</v>
      </c>
    </row>
    <row r="6">
      <c r="A6" s="2" t="n">
        <v>2</v>
      </c>
      <c r="B6" s="2" t="inlineStr">
        <is>
          <t>01.01</t>
        </is>
      </c>
      <c r="C6" s="2" t="inlineStr">
        <is>
          <t>Projetos Básicos e Executivos</t>
        </is>
      </c>
      <c r="D6" s="2" t="inlineStr">
        <is>
          <t>-</t>
        </is>
      </c>
      <c r="E6" s="2" t="inlineStr">
        <is>
          <t>-</t>
        </is>
      </c>
      <c r="F6" s="2" t="n">
        <v>2720799.48</v>
      </c>
      <c r="G6" s="2" t="n">
        <v>0</v>
      </c>
      <c r="H6" s="2" t="n">
        <v>2720799.48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  <c r="ET6" s="2" t="n">
        <v>0</v>
      </c>
      <c r="EU6" s="2" t="n">
        <v>0</v>
      </c>
      <c r="EV6" s="2" t="n">
        <v>0</v>
      </c>
      <c r="EW6" s="2" t="n">
        <v>0</v>
      </c>
      <c r="EX6" s="2" t="n">
        <v>0</v>
      </c>
      <c r="EY6" s="2" t="n">
        <v>0</v>
      </c>
      <c r="EZ6" s="2" t="n">
        <v>0</v>
      </c>
      <c r="FA6" s="2" t="n">
        <v>0</v>
      </c>
      <c r="FB6" s="2" t="n">
        <v>0</v>
      </c>
      <c r="FC6" s="2" t="n">
        <v>0</v>
      </c>
      <c r="FD6" s="2" t="n">
        <v>0</v>
      </c>
      <c r="FE6" s="2" t="n">
        <v>0</v>
      </c>
      <c r="FF6" s="2" t="n">
        <v>0</v>
      </c>
      <c r="FG6" s="2" t="n">
        <v>0</v>
      </c>
      <c r="FH6" s="2" t="n">
        <v>0</v>
      </c>
      <c r="FI6" s="2" t="n">
        <v>0</v>
      </c>
      <c r="FJ6" s="2" t="n">
        <v>0</v>
      </c>
      <c r="FK6" s="2" t="n">
        <v>0</v>
      </c>
      <c r="FL6" s="2" t="n">
        <v>0</v>
      </c>
      <c r="FM6" s="2" t="n">
        <v>0</v>
      </c>
      <c r="FN6" s="2" t="n">
        <v>0</v>
      </c>
      <c r="FO6" s="2" t="n">
        <v>0</v>
      </c>
      <c r="FP6" s="2" t="n">
        <v>0</v>
      </c>
      <c r="FQ6" s="2" t="n">
        <v>0</v>
      </c>
    </row>
    <row r="7">
      <c r="A7" s="2" t="n">
        <v>3</v>
      </c>
      <c r="B7" s="2" t="inlineStr">
        <is>
          <t>01.01.01</t>
        </is>
      </c>
      <c r="C7" s="2" t="inlineStr">
        <is>
          <t>Elaboração de projetos e consultorias - estimativa %</t>
        </is>
      </c>
      <c r="D7" s="2" t="inlineStr">
        <is>
          <t>-</t>
        </is>
      </c>
      <c r="E7" s="2" t="inlineStr">
        <is>
          <t>-</t>
        </is>
      </c>
      <c r="F7" s="2" t="n">
        <v>2720799.48</v>
      </c>
      <c r="G7" s="2" t="n">
        <v>0</v>
      </c>
      <c r="H7" s="2" t="n">
        <v>2720799.48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  <c r="ET7" s="2" t="n">
        <v>0</v>
      </c>
      <c r="EU7" s="2" t="n">
        <v>0</v>
      </c>
      <c r="EV7" s="2" t="n">
        <v>0</v>
      </c>
      <c r="EW7" s="2" t="n">
        <v>0</v>
      </c>
      <c r="EX7" s="2" t="n">
        <v>0</v>
      </c>
      <c r="EY7" s="2" t="n">
        <v>0</v>
      </c>
      <c r="EZ7" s="2" t="n">
        <v>0</v>
      </c>
      <c r="FA7" s="2" t="n">
        <v>0</v>
      </c>
      <c r="FB7" s="2" t="n">
        <v>0</v>
      </c>
      <c r="FC7" s="2" t="n">
        <v>0</v>
      </c>
      <c r="FD7" s="2" t="n">
        <v>0</v>
      </c>
      <c r="FE7" s="2" t="n">
        <v>0</v>
      </c>
      <c r="FF7" s="2" t="n">
        <v>0</v>
      </c>
      <c r="FG7" s="2" t="n">
        <v>0</v>
      </c>
      <c r="FH7" s="2" t="n">
        <v>0</v>
      </c>
      <c r="FI7" s="2" t="n">
        <v>0</v>
      </c>
      <c r="FJ7" s="2" t="n">
        <v>0</v>
      </c>
      <c r="FK7" s="2" t="n">
        <v>0</v>
      </c>
      <c r="FL7" s="2" t="n">
        <v>0</v>
      </c>
      <c r="FM7" s="2" t="n">
        <v>0</v>
      </c>
      <c r="FN7" s="2" t="n">
        <v>0</v>
      </c>
      <c r="FO7" s="2" t="n">
        <v>0</v>
      </c>
      <c r="FP7" s="2" t="n">
        <v>0</v>
      </c>
      <c r="FQ7" s="2" t="n">
        <v>0</v>
      </c>
    </row>
    <row r="8">
      <c r="A8" s="2" t="n">
        <v>1</v>
      </c>
      <c r="B8" s="2" t="inlineStr">
        <is>
          <t>02</t>
        </is>
      </c>
      <c r="C8" s="2" t="inlineStr">
        <is>
          <t>SEGURO DE OBRA</t>
        </is>
      </c>
      <c r="D8" s="2" t="inlineStr">
        <is>
          <t>-</t>
        </is>
      </c>
      <c r="E8" s="2" t="inlineStr">
        <is>
          <t>-</t>
        </is>
      </c>
      <c r="F8" s="2" t="n">
        <v>122200</v>
      </c>
      <c r="G8" s="2" t="n">
        <v>0</v>
      </c>
      <c r="H8" s="2" t="n">
        <v>122200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  <c r="ET8" s="2" t="n">
        <v>0</v>
      </c>
      <c r="EU8" s="2" t="n">
        <v>0</v>
      </c>
      <c r="EV8" s="2" t="n">
        <v>0</v>
      </c>
      <c r="EW8" s="2" t="n">
        <v>0</v>
      </c>
      <c r="EX8" s="2" t="n">
        <v>0</v>
      </c>
      <c r="EY8" s="2" t="n">
        <v>0</v>
      </c>
      <c r="EZ8" s="2" t="n">
        <v>0</v>
      </c>
      <c r="FA8" s="2" t="n">
        <v>0</v>
      </c>
      <c r="FB8" s="2" t="n">
        <v>0</v>
      </c>
      <c r="FC8" s="2" t="n">
        <v>0</v>
      </c>
      <c r="FD8" s="2" t="n">
        <v>0</v>
      </c>
      <c r="FE8" s="2" t="n">
        <v>0</v>
      </c>
      <c r="FF8" s="2" t="n">
        <v>0</v>
      </c>
      <c r="FG8" s="2" t="n">
        <v>0</v>
      </c>
      <c r="FH8" s="2" t="n">
        <v>0</v>
      </c>
      <c r="FI8" s="2" t="n">
        <v>0</v>
      </c>
      <c r="FJ8" s="2" t="n">
        <v>0</v>
      </c>
      <c r="FK8" s="2" t="n">
        <v>0</v>
      </c>
      <c r="FL8" s="2" t="n">
        <v>0</v>
      </c>
      <c r="FM8" s="2" t="n">
        <v>0</v>
      </c>
      <c r="FN8" s="2" t="n">
        <v>0</v>
      </c>
      <c r="FO8" s="2" t="n">
        <v>0</v>
      </c>
      <c r="FP8" s="2" t="n">
        <v>0</v>
      </c>
      <c r="FQ8" s="2" t="n">
        <v>0</v>
      </c>
    </row>
    <row r="9">
      <c r="A9" s="2" t="n">
        <v>2</v>
      </c>
      <c r="B9" s="2" t="inlineStr">
        <is>
          <t>02.01</t>
        </is>
      </c>
      <c r="C9" s="2" t="inlineStr">
        <is>
          <t>Despesas adminstrativas</t>
        </is>
      </c>
      <c r="D9" s="2" t="inlineStr">
        <is>
          <t>-</t>
        </is>
      </c>
      <c r="E9" s="2" t="inlineStr">
        <is>
          <t>-</t>
        </is>
      </c>
      <c r="F9" s="2" t="n">
        <v>122200</v>
      </c>
      <c r="G9" s="2" t="n">
        <v>0</v>
      </c>
      <c r="H9" s="2" t="n">
        <v>122200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  <c r="ET9" s="2" t="n">
        <v>0</v>
      </c>
      <c r="EU9" s="2" t="n">
        <v>0</v>
      </c>
      <c r="EV9" s="2" t="n">
        <v>0</v>
      </c>
      <c r="EW9" s="2" t="n">
        <v>0</v>
      </c>
      <c r="EX9" s="2" t="n">
        <v>0</v>
      </c>
      <c r="EY9" s="2" t="n">
        <v>0</v>
      </c>
      <c r="EZ9" s="2" t="n">
        <v>0</v>
      </c>
      <c r="FA9" s="2" t="n">
        <v>0</v>
      </c>
      <c r="FB9" s="2" t="n">
        <v>0</v>
      </c>
      <c r="FC9" s="2" t="n">
        <v>0</v>
      </c>
      <c r="FD9" s="2" t="n">
        <v>0</v>
      </c>
      <c r="FE9" s="2" t="n">
        <v>0</v>
      </c>
      <c r="FF9" s="2" t="n">
        <v>0</v>
      </c>
      <c r="FG9" s="2" t="n">
        <v>0</v>
      </c>
      <c r="FH9" s="2" t="n">
        <v>0</v>
      </c>
      <c r="FI9" s="2" t="n">
        <v>0</v>
      </c>
      <c r="FJ9" s="2" t="n">
        <v>0</v>
      </c>
      <c r="FK9" s="2" t="n">
        <v>0</v>
      </c>
      <c r="FL9" s="2" t="n">
        <v>0</v>
      </c>
      <c r="FM9" s="2" t="n">
        <v>0</v>
      </c>
      <c r="FN9" s="2" t="n">
        <v>0</v>
      </c>
      <c r="FO9" s="2" t="n">
        <v>0</v>
      </c>
      <c r="FP9" s="2" t="n">
        <v>0</v>
      </c>
      <c r="FQ9" s="2" t="n">
        <v>0</v>
      </c>
    </row>
    <row r="10">
      <c r="A10" s="2" t="n">
        <v>3</v>
      </c>
      <c r="B10" s="2" t="inlineStr">
        <is>
          <t>02.01.01</t>
        </is>
      </c>
      <c r="C10" s="2" t="inlineStr">
        <is>
          <t>Seguro de obra - (incorrido)</t>
        </is>
      </c>
      <c r="D10" s="2" t="inlineStr">
        <is>
          <t>-</t>
        </is>
      </c>
      <c r="E10" s="2" t="inlineStr">
        <is>
          <t>-</t>
        </is>
      </c>
      <c r="F10" s="2" t="n">
        <v>85000</v>
      </c>
      <c r="G10" s="2" t="n">
        <v>0</v>
      </c>
      <c r="H10" s="2" t="n">
        <v>85000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  <c r="ET10" s="2" t="n">
        <v>0</v>
      </c>
      <c r="EU10" s="2" t="n">
        <v>0</v>
      </c>
      <c r="EV10" s="2" t="n">
        <v>0</v>
      </c>
      <c r="EW10" s="2" t="n">
        <v>0</v>
      </c>
      <c r="EX10" s="2" t="n">
        <v>0</v>
      </c>
      <c r="EY10" s="2" t="n">
        <v>0</v>
      </c>
      <c r="EZ10" s="2" t="n">
        <v>0</v>
      </c>
      <c r="FA10" s="2" t="n">
        <v>0</v>
      </c>
      <c r="FB10" s="2" t="n">
        <v>0</v>
      </c>
      <c r="FC10" s="2" t="n">
        <v>0</v>
      </c>
      <c r="FD10" s="2" t="n">
        <v>0</v>
      </c>
      <c r="FE10" s="2" t="n">
        <v>0</v>
      </c>
      <c r="FF10" s="2" t="n">
        <v>0</v>
      </c>
      <c r="FG10" s="2" t="n">
        <v>0</v>
      </c>
      <c r="FH10" s="2" t="n">
        <v>0</v>
      </c>
      <c r="FI10" s="2" t="n">
        <v>0</v>
      </c>
      <c r="FJ10" s="2" t="n">
        <v>0</v>
      </c>
      <c r="FK10" s="2" t="n">
        <v>0</v>
      </c>
      <c r="FL10" s="2" t="n">
        <v>0</v>
      </c>
      <c r="FM10" s="2" t="n">
        <v>0</v>
      </c>
      <c r="FN10" s="2" t="n">
        <v>0</v>
      </c>
      <c r="FO10" s="2" t="n">
        <v>0</v>
      </c>
      <c r="FP10" s="2" t="n">
        <v>0</v>
      </c>
      <c r="FQ10" s="2" t="n">
        <v>0</v>
      </c>
    </row>
    <row r="11">
      <c r="A11" s="2" t="n">
        <v>3</v>
      </c>
      <c r="B11" s="2" t="inlineStr">
        <is>
          <t>02.01.02</t>
        </is>
      </c>
      <c r="C11" s="2" t="inlineStr">
        <is>
          <t>Laudo de vistoria cautelar</t>
        </is>
      </c>
      <c r="D11" s="2" t="inlineStr">
        <is>
          <t>-</t>
        </is>
      </c>
      <c r="E11" s="2" t="inlineStr">
        <is>
          <t>-</t>
        </is>
      </c>
      <c r="F11" s="2" t="n">
        <v>7200</v>
      </c>
      <c r="G11" s="2" t="n">
        <v>0</v>
      </c>
      <c r="H11" s="2" t="n">
        <v>7200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  <c r="ET11" s="2" t="n">
        <v>0</v>
      </c>
      <c r="EU11" s="2" t="n">
        <v>0</v>
      </c>
      <c r="EV11" s="2" t="n">
        <v>0</v>
      </c>
      <c r="EW11" s="2" t="n">
        <v>0</v>
      </c>
      <c r="EX11" s="2" t="n">
        <v>0</v>
      </c>
      <c r="EY11" s="2" t="n">
        <v>0</v>
      </c>
      <c r="EZ11" s="2" t="n">
        <v>0</v>
      </c>
      <c r="FA11" s="2" t="n">
        <v>0</v>
      </c>
      <c r="FB11" s="2" t="n">
        <v>0</v>
      </c>
      <c r="FC11" s="2" t="n">
        <v>0</v>
      </c>
      <c r="FD11" s="2" t="n">
        <v>0</v>
      </c>
      <c r="FE11" s="2" t="n">
        <v>0</v>
      </c>
      <c r="FF11" s="2" t="n">
        <v>0</v>
      </c>
      <c r="FG11" s="2" t="n">
        <v>0</v>
      </c>
      <c r="FH11" s="2" t="n">
        <v>0</v>
      </c>
      <c r="FI11" s="2" t="n">
        <v>0</v>
      </c>
      <c r="FJ11" s="2" t="n">
        <v>0</v>
      </c>
      <c r="FK11" s="2" t="n">
        <v>0</v>
      </c>
      <c r="FL11" s="2" t="n">
        <v>0</v>
      </c>
      <c r="FM11" s="2" t="n">
        <v>0</v>
      </c>
      <c r="FN11" s="2" t="n">
        <v>0</v>
      </c>
      <c r="FO11" s="2" t="n">
        <v>0</v>
      </c>
      <c r="FP11" s="2" t="n">
        <v>0</v>
      </c>
      <c r="FQ11" s="2" t="n">
        <v>0</v>
      </c>
    </row>
    <row r="12">
      <c r="A12" s="2" t="n">
        <v>3</v>
      </c>
      <c r="B12" s="2" t="inlineStr">
        <is>
          <t>02.01.03</t>
        </is>
      </c>
      <c r="C12" s="2" t="inlineStr">
        <is>
          <t>Seguro de obra - estimativa % (apoio Banco do Brasil) endosso</t>
        </is>
      </c>
      <c r="D12" s="2" t="inlineStr">
        <is>
          <t>-</t>
        </is>
      </c>
      <c r="E12" s="2" t="inlineStr">
        <is>
          <t>-</t>
        </is>
      </c>
      <c r="F12" s="2" t="n">
        <v>30000</v>
      </c>
      <c r="G12" s="2" t="n">
        <v>0</v>
      </c>
      <c r="H12" s="2" t="n">
        <v>30000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  <c r="ET12" s="2" t="n">
        <v>0</v>
      </c>
      <c r="EU12" s="2" t="n">
        <v>0</v>
      </c>
      <c r="EV12" s="2" t="n">
        <v>0</v>
      </c>
      <c r="EW12" s="2" t="n">
        <v>0</v>
      </c>
      <c r="EX12" s="2" t="n">
        <v>0</v>
      </c>
      <c r="EY12" s="2" t="n">
        <v>0</v>
      </c>
      <c r="EZ12" s="2" t="n">
        <v>0</v>
      </c>
      <c r="FA12" s="2" t="n">
        <v>0</v>
      </c>
      <c r="FB12" s="2" t="n">
        <v>0</v>
      </c>
      <c r="FC12" s="2" t="n">
        <v>0</v>
      </c>
      <c r="FD12" s="2" t="n">
        <v>0</v>
      </c>
      <c r="FE12" s="2" t="n">
        <v>0</v>
      </c>
      <c r="FF12" s="2" t="n">
        <v>0</v>
      </c>
      <c r="FG12" s="2" t="n">
        <v>0</v>
      </c>
      <c r="FH12" s="2" t="n">
        <v>0</v>
      </c>
      <c r="FI12" s="2" t="n">
        <v>0</v>
      </c>
      <c r="FJ12" s="2" t="n">
        <v>0</v>
      </c>
      <c r="FK12" s="2" t="n">
        <v>0</v>
      </c>
      <c r="FL12" s="2" t="n">
        <v>0</v>
      </c>
      <c r="FM12" s="2" t="n">
        <v>0</v>
      </c>
      <c r="FN12" s="2" t="n">
        <v>0</v>
      </c>
      <c r="FO12" s="2" t="n">
        <v>0</v>
      </c>
      <c r="FP12" s="2" t="n">
        <v>0</v>
      </c>
      <c r="FQ12" s="2" t="n">
        <v>0</v>
      </c>
    </row>
    <row r="13">
      <c r="A13" s="2" t="n">
        <v>1</v>
      </c>
      <c r="B13" s="2" t="inlineStr">
        <is>
          <t>03</t>
        </is>
      </c>
      <c r="C13" s="2" t="inlineStr">
        <is>
          <t>TAXAS DIVERSAS</t>
        </is>
      </c>
      <c r="D13" s="2" t="inlineStr">
        <is>
          <t>-</t>
        </is>
      </c>
      <c r="E13" s="2" t="inlineStr">
        <is>
          <t>-</t>
        </is>
      </c>
      <c r="F13" s="2" t="n">
        <v>150000</v>
      </c>
      <c r="G13" s="2" t="n">
        <v>0</v>
      </c>
      <c r="H13" s="2" t="n">
        <v>150000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  <c r="ET13" s="2" t="n">
        <v>0</v>
      </c>
      <c r="EU13" s="2" t="n">
        <v>0</v>
      </c>
      <c r="EV13" s="2" t="n">
        <v>0</v>
      </c>
      <c r="EW13" s="2" t="n">
        <v>0</v>
      </c>
      <c r="EX13" s="2" t="n">
        <v>0</v>
      </c>
      <c r="EY13" s="2" t="n">
        <v>0</v>
      </c>
      <c r="EZ13" s="2" t="n">
        <v>0</v>
      </c>
      <c r="FA13" s="2" t="n">
        <v>0</v>
      </c>
      <c r="FB13" s="2" t="n">
        <v>0</v>
      </c>
      <c r="FC13" s="2" t="n">
        <v>0</v>
      </c>
      <c r="FD13" s="2" t="n">
        <v>0</v>
      </c>
      <c r="FE13" s="2" t="n">
        <v>0</v>
      </c>
      <c r="FF13" s="2" t="n">
        <v>0</v>
      </c>
      <c r="FG13" s="2" t="n">
        <v>0</v>
      </c>
      <c r="FH13" s="2" t="n">
        <v>0</v>
      </c>
      <c r="FI13" s="2" t="n">
        <v>0</v>
      </c>
      <c r="FJ13" s="2" t="n">
        <v>0</v>
      </c>
      <c r="FK13" s="2" t="n">
        <v>0</v>
      </c>
      <c r="FL13" s="2" t="n">
        <v>0</v>
      </c>
      <c r="FM13" s="2" t="n">
        <v>0</v>
      </c>
      <c r="FN13" s="2" t="n">
        <v>0</v>
      </c>
      <c r="FO13" s="2" t="n">
        <v>0</v>
      </c>
      <c r="FP13" s="2" t="n">
        <v>0</v>
      </c>
      <c r="FQ13" s="2" t="n">
        <v>0</v>
      </c>
    </row>
    <row r="14">
      <c r="A14" s="2" t="n">
        <v>2</v>
      </c>
      <c r="B14" s="2" t="inlineStr">
        <is>
          <t>03.01</t>
        </is>
      </c>
      <c r="C14" s="2" t="inlineStr">
        <is>
          <t>Despesas Legais</t>
        </is>
      </c>
      <c r="D14" s="2" t="inlineStr">
        <is>
          <t>-</t>
        </is>
      </c>
      <c r="E14" s="2" t="inlineStr">
        <is>
          <t>-</t>
        </is>
      </c>
      <c r="F14" s="2" t="n">
        <v>150000</v>
      </c>
      <c r="G14" s="2" t="n">
        <v>0</v>
      </c>
      <c r="H14" s="2" t="n">
        <v>150000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  <c r="ET14" s="2" t="n">
        <v>0</v>
      </c>
      <c r="EU14" s="2" t="n">
        <v>0</v>
      </c>
      <c r="EV14" s="2" t="n">
        <v>0</v>
      </c>
      <c r="EW14" s="2" t="n">
        <v>0</v>
      </c>
      <c r="EX14" s="2" t="n">
        <v>0</v>
      </c>
      <c r="EY14" s="2" t="n">
        <v>0</v>
      </c>
      <c r="EZ14" s="2" t="n">
        <v>0</v>
      </c>
      <c r="FA14" s="2" t="n">
        <v>0</v>
      </c>
      <c r="FB14" s="2" t="n">
        <v>0</v>
      </c>
      <c r="FC14" s="2" t="n">
        <v>0</v>
      </c>
      <c r="FD14" s="2" t="n">
        <v>0</v>
      </c>
      <c r="FE14" s="2" t="n">
        <v>0</v>
      </c>
      <c r="FF14" s="2" t="n">
        <v>0</v>
      </c>
      <c r="FG14" s="2" t="n">
        <v>0</v>
      </c>
      <c r="FH14" s="2" t="n">
        <v>0</v>
      </c>
      <c r="FI14" s="2" t="n">
        <v>0</v>
      </c>
      <c r="FJ14" s="2" t="n">
        <v>0</v>
      </c>
      <c r="FK14" s="2" t="n">
        <v>0</v>
      </c>
      <c r="FL14" s="2" t="n">
        <v>0</v>
      </c>
      <c r="FM14" s="2" t="n">
        <v>0</v>
      </c>
      <c r="FN14" s="2" t="n">
        <v>0</v>
      </c>
      <c r="FO14" s="2" t="n">
        <v>0</v>
      </c>
      <c r="FP14" s="2" t="n">
        <v>0</v>
      </c>
      <c r="FQ14" s="2" t="n">
        <v>0</v>
      </c>
    </row>
    <row r="15">
      <c r="A15" s="2" t="n">
        <v>3</v>
      </c>
      <c r="B15" s="2" t="inlineStr">
        <is>
          <t>03.01.02</t>
        </is>
      </c>
      <c r="C15" s="2" t="inlineStr">
        <is>
          <t>Despesas legais - estimativa %</t>
        </is>
      </c>
      <c r="D15" s="2" t="inlineStr">
        <is>
          <t>-</t>
        </is>
      </c>
      <c r="E15" s="2" t="inlineStr">
        <is>
          <t>-</t>
        </is>
      </c>
      <c r="F15" s="2" t="n">
        <v>150000</v>
      </c>
      <c r="G15" s="2" t="n">
        <v>0</v>
      </c>
      <c r="H15" s="2" t="n">
        <v>150000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  <c r="ET15" s="2" t="n">
        <v>0</v>
      </c>
      <c r="EU15" s="2" t="n">
        <v>0</v>
      </c>
      <c r="EV15" s="2" t="n">
        <v>0</v>
      </c>
      <c r="EW15" s="2" t="n">
        <v>0</v>
      </c>
      <c r="EX15" s="2" t="n">
        <v>0</v>
      </c>
      <c r="EY15" s="2" t="n">
        <v>0</v>
      </c>
      <c r="EZ15" s="2" t="n">
        <v>0</v>
      </c>
      <c r="FA15" s="2" t="n">
        <v>0</v>
      </c>
      <c r="FB15" s="2" t="n">
        <v>0</v>
      </c>
      <c r="FC15" s="2" t="n">
        <v>0</v>
      </c>
      <c r="FD15" s="2" t="n">
        <v>0</v>
      </c>
      <c r="FE15" s="2" t="n">
        <v>0</v>
      </c>
      <c r="FF15" s="2" t="n">
        <v>0</v>
      </c>
      <c r="FG15" s="2" t="n">
        <v>0</v>
      </c>
      <c r="FH15" s="2" t="n">
        <v>0</v>
      </c>
      <c r="FI15" s="2" t="n">
        <v>0</v>
      </c>
      <c r="FJ15" s="2" t="n">
        <v>0</v>
      </c>
      <c r="FK15" s="2" t="n">
        <v>0</v>
      </c>
      <c r="FL15" s="2" t="n">
        <v>0</v>
      </c>
      <c r="FM15" s="2" t="n">
        <v>0</v>
      </c>
      <c r="FN15" s="2" t="n">
        <v>0</v>
      </c>
      <c r="FO15" s="2" t="n">
        <v>0</v>
      </c>
      <c r="FP15" s="2" t="n">
        <v>0</v>
      </c>
      <c r="FQ15" s="2" t="n">
        <v>0</v>
      </c>
    </row>
    <row r="16">
      <c r="A16" s="2" t="n">
        <v>1</v>
      </c>
      <c r="B16" s="2" t="inlineStr">
        <is>
          <t>04</t>
        </is>
      </c>
      <c r="C16" s="2" t="inlineStr">
        <is>
          <t>BARRACAO DE OBRA</t>
        </is>
      </c>
      <c r="D16" s="2" t="inlineStr">
        <is>
          <t>-</t>
        </is>
      </c>
      <c r="E16" s="2" t="inlineStr">
        <is>
          <t>-</t>
        </is>
      </c>
      <c r="F16" s="2" t="n">
        <v>995153.9949971043</v>
      </c>
      <c r="G16" s="2" t="n">
        <v>0</v>
      </c>
      <c r="H16" s="2" t="n">
        <v>995153.9949971043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  <c r="ET16" s="2" t="n">
        <v>0</v>
      </c>
      <c r="EU16" s="2" t="n">
        <v>0</v>
      </c>
      <c r="EV16" s="2" t="n">
        <v>0</v>
      </c>
      <c r="EW16" s="2" t="n">
        <v>0</v>
      </c>
      <c r="EX16" s="2" t="n">
        <v>0</v>
      </c>
      <c r="EY16" s="2" t="n">
        <v>0</v>
      </c>
      <c r="EZ16" s="2" t="n">
        <v>0</v>
      </c>
      <c r="FA16" s="2" t="n">
        <v>0</v>
      </c>
      <c r="FB16" s="2" t="n">
        <v>0</v>
      </c>
      <c r="FC16" s="2" t="n">
        <v>0</v>
      </c>
      <c r="FD16" s="2" t="n">
        <v>0</v>
      </c>
      <c r="FE16" s="2" t="n">
        <v>0</v>
      </c>
      <c r="FF16" s="2" t="n">
        <v>0</v>
      </c>
      <c r="FG16" s="2" t="n">
        <v>0</v>
      </c>
      <c r="FH16" s="2" t="n">
        <v>0</v>
      </c>
      <c r="FI16" s="2" t="n">
        <v>0</v>
      </c>
      <c r="FJ16" s="2" t="n">
        <v>0</v>
      </c>
      <c r="FK16" s="2" t="n">
        <v>0</v>
      </c>
      <c r="FL16" s="2" t="n">
        <v>0</v>
      </c>
      <c r="FM16" s="2" t="n">
        <v>0</v>
      </c>
      <c r="FN16" s="2" t="n">
        <v>0</v>
      </c>
      <c r="FO16" s="2" t="n">
        <v>0</v>
      </c>
      <c r="FP16" s="2" t="n">
        <v>0</v>
      </c>
      <c r="FQ16" s="2" t="n">
        <v>0</v>
      </c>
    </row>
    <row r="17">
      <c r="A17" s="2" t="n">
        <v>2</v>
      </c>
      <c r="B17" s="2" t="inlineStr">
        <is>
          <t>04.01</t>
        </is>
      </c>
      <c r="C17" s="2" t="inlineStr">
        <is>
          <t>Fechamento Lateral</t>
        </is>
      </c>
      <c r="D17" s="2" t="inlineStr">
        <is>
          <t>-</t>
        </is>
      </c>
      <c r="E17" s="2" t="inlineStr">
        <is>
          <t>-</t>
        </is>
      </c>
      <c r="F17" s="2" t="n">
        <v>103861.3251811357</v>
      </c>
      <c r="G17" s="2" t="n">
        <v>0</v>
      </c>
      <c r="H17" s="2" t="n">
        <v>103861.3251811357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  <c r="ET17" s="2" t="n">
        <v>0</v>
      </c>
      <c r="EU17" s="2" t="n">
        <v>0</v>
      </c>
      <c r="EV17" s="2" t="n">
        <v>0</v>
      </c>
      <c r="EW17" s="2" t="n">
        <v>0</v>
      </c>
      <c r="EX17" s="2" t="n">
        <v>0</v>
      </c>
      <c r="EY17" s="2" t="n">
        <v>0</v>
      </c>
      <c r="EZ17" s="2" t="n">
        <v>0</v>
      </c>
      <c r="FA17" s="2" t="n">
        <v>0</v>
      </c>
      <c r="FB17" s="2" t="n">
        <v>0</v>
      </c>
      <c r="FC17" s="2" t="n">
        <v>0</v>
      </c>
      <c r="FD17" s="2" t="n">
        <v>0</v>
      </c>
      <c r="FE17" s="2" t="n">
        <v>0</v>
      </c>
      <c r="FF17" s="2" t="n">
        <v>0</v>
      </c>
      <c r="FG17" s="2" t="n">
        <v>0</v>
      </c>
      <c r="FH17" s="2" t="n">
        <v>0</v>
      </c>
      <c r="FI17" s="2" t="n">
        <v>0</v>
      </c>
      <c r="FJ17" s="2" t="n">
        <v>0</v>
      </c>
      <c r="FK17" s="2" t="n">
        <v>0</v>
      </c>
      <c r="FL17" s="2" t="n">
        <v>0</v>
      </c>
      <c r="FM17" s="2" t="n">
        <v>0</v>
      </c>
      <c r="FN17" s="2" t="n">
        <v>0</v>
      </c>
      <c r="FO17" s="2" t="n">
        <v>0</v>
      </c>
      <c r="FP17" s="2" t="n">
        <v>0</v>
      </c>
      <c r="FQ17" s="2" t="n">
        <v>0</v>
      </c>
    </row>
    <row r="18">
      <c r="A18" s="2" t="n">
        <v>3</v>
      </c>
      <c r="B18" s="2" t="inlineStr">
        <is>
          <t>04.01.01</t>
        </is>
      </c>
      <c r="C18" s="2" t="inlineStr">
        <is>
          <t>Tapumes de telha metálica, acabamento em plotagem vinílica</t>
        </is>
      </c>
      <c r="D18" s="2" t="inlineStr">
        <is>
          <t>-</t>
        </is>
      </c>
      <c r="E18" s="2" t="inlineStr">
        <is>
          <t>-</t>
        </is>
      </c>
      <c r="F18" s="2" t="n">
        <v>99404.8251811357</v>
      </c>
      <c r="G18" s="2" t="n">
        <v>0</v>
      </c>
      <c r="H18" s="2" t="n">
        <v>99404.8251811357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  <c r="ET18" s="2" t="n">
        <v>0</v>
      </c>
      <c r="EU18" s="2" t="n">
        <v>0</v>
      </c>
      <c r="EV18" s="2" t="n">
        <v>0</v>
      </c>
      <c r="EW18" s="2" t="n">
        <v>0</v>
      </c>
      <c r="EX18" s="2" t="n">
        <v>0</v>
      </c>
      <c r="EY18" s="2" t="n">
        <v>0</v>
      </c>
      <c r="EZ18" s="2" t="n">
        <v>0</v>
      </c>
      <c r="FA18" s="2" t="n">
        <v>0</v>
      </c>
      <c r="FB18" s="2" t="n">
        <v>0</v>
      </c>
      <c r="FC18" s="2" t="n">
        <v>0</v>
      </c>
      <c r="FD18" s="2" t="n">
        <v>0</v>
      </c>
      <c r="FE18" s="2" t="n">
        <v>0</v>
      </c>
      <c r="FF18" s="2" t="n">
        <v>0</v>
      </c>
      <c r="FG18" s="2" t="n">
        <v>0</v>
      </c>
      <c r="FH18" s="2" t="n">
        <v>0</v>
      </c>
      <c r="FI18" s="2" t="n">
        <v>0</v>
      </c>
      <c r="FJ18" s="2" t="n">
        <v>0</v>
      </c>
      <c r="FK18" s="2" t="n">
        <v>0</v>
      </c>
      <c r="FL18" s="2" t="n">
        <v>0</v>
      </c>
      <c r="FM18" s="2" t="n">
        <v>0</v>
      </c>
      <c r="FN18" s="2" t="n">
        <v>0</v>
      </c>
      <c r="FO18" s="2" t="n">
        <v>0</v>
      </c>
      <c r="FP18" s="2" t="n">
        <v>0</v>
      </c>
      <c r="FQ18" s="2" t="n">
        <v>0</v>
      </c>
    </row>
    <row r="19">
      <c r="A19" s="2" t="n">
        <v>3</v>
      </c>
      <c r="B19" s="2" t="inlineStr">
        <is>
          <t>04.01.02</t>
        </is>
      </c>
      <c r="C19" s="2" t="inlineStr">
        <is>
          <t>Concertina para tapume de obras</t>
        </is>
      </c>
      <c r="D19" s="2" t="inlineStr">
        <is>
          <t>-</t>
        </is>
      </c>
      <c r="E19" s="2" t="inlineStr">
        <is>
          <t>-</t>
        </is>
      </c>
      <c r="F19" s="2" t="n">
        <v>2456.5</v>
      </c>
      <c r="G19" s="2" t="n">
        <v>0</v>
      </c>
      <c r="H19" s="2" t="n">
        <v>2456.5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  <c r="ET19" s="2" t="n">
        <v>0</v>
      </c>
      <c r="EU19" s="2" t="n">
        <v>0</v>
      </c>
      <c r="EV19" s="2" t="n">
        <v>0</v>
      </c>
      <c r="EW19" s="2" t="n">
        <v>0</v>
      </c>
      <c r="EX19" s="2" t="n">
        <v>0</v>
      </c>
      <c r="EY19" s="2" t="n">
        <v>0</v>
      </c>
      <c r="EZ19" s="2" t="n">
        <v>0</v>
      </c>
      <c r="FA19" s="2" t="n">
        <v>0</v>
      </c>
      <c r="FB19" s="2" t="n">
        <v>0</v>
      </c>
      <c r="FC19" s="2" t="n">
        <v>0</v>
      </c>
      <c r="FD19" s="2" t="n">
        <v>0</v>
      </c>
      <c r="FE19" s="2" t="n">
        <v>0</v>
      </c>
      <c r="FF19" s="2" t="n">
        <v>0</v>
      </c>
      <c r="FG19" s="2" t="n">
        <v>0</v>
      </c>
      <c r="FH19" s="2" t="n">
        <v>0</v>
      </c>
      <c r="FI19" s="2" t="n">
        <v>0</v>
      </c>
      <c r="FJ19" s="2" t="n">
        <v>0</v>
      </c>
      <c r="FK19" s="2" t="n">
        <v>0</v>
      </c>
      <c r="FL19" s="2" t="n">
        <v>0</v>
      </c>
      <c r="FM19" s="2" t="n">
        <v>0</v>
      </c>
      <c r="FN19" s="2" t="n">
        <v>0</v>
      </c>
      <c r="FO19" s="2" t="n">
        <v>0</v>
      </c>
      <c r="FP19" s="2" t="n">
        <v>0</v>
      </c>
      <c r="FQ19" s="2" t="n">
        <v>0</v>
      </c>
    </row>
    <row r="20">
      <c r="A20" s="2" t="n">
        <v>3</v>
      </c>
      <c r="B20" s="2" t="inlineStr">
        <is>
          <t>04.01.03</t>
        </is>
      </c>
      <c r="C20" s="2" t="inlineStr">
        <is>
          <t>Placas de Obra - ART padrão CREA</t>
        </is>
      </c>
      <c r="D20" s="2" t="inlineStr">
        <is>
          <t>-</t>
        </is>
      </c>
      <c r="E20" s="2" t="inlineStr">
        <is>
          <t>-</t>
        </is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  <c r="ET20" s="2" t="n">
        <v>0</v>
      </c>
      <c r="EU20" s="2" t="n">
        <v>0</v>
      </c>
      <c r="EV20" s="2" t="n">
        <v>0</v>
      </c>
      <c r="EW20" s="2" t="n">
        <v>0</v>
      </c>
      <c r="EX20" s="2" t="n">
        <v>0</v>
      </c>
      <c r="EY20" s="2" t="n">
        <v>0</v>
      </c>
      <c r="EZ20" s="2" t="n">
        <v>0</v>
      </c>
      <c r="FA20" s="2" t="n">
        <v>0</v>
      </c>
      <c r="FB20" s="2" t="n">
        <v>0</v>
      </c>
      <c r="FC20" s="2" t="n">
        <v>0</v>
      </c>
      <c r="FD20" s="2" t="n">
        <v>0</v>
      </c>
      <c r="FE20" s="2" t="n">
        <v>0</v>
      </c>
      <c r="FF20" s="2" t="n">
        <v>0</v>
      </c>
      <c r="FG20" s="2" t="n">
        <v>0</v>
      </c>
      <c r="FH20" s="2" t="n">
        <v>0</v>
      </c>
      <c r="FI20" s="2" t="n">
        <v>0</v>
      </c>
      <c r="FJ20" s="2" t="n">
        <v>0</v>
      </c>
      <c r="FK20" s="2" t="n">
        <v>0</v>
      </c>
      <c r="FL20" s="2" t="n">
        <v>0</v>
      </c>
      <c r="FM20" s="2" t="n">
        <v>0</v>
      </c>
      <c r="FN20" s="2" t="n">
        <v>0</v>
      </c>
      <c r="FO20" s="2" t="n">
        <v>0</v>
      </c>
      <c r="FP20" s="2" t="n">
        <v>0</v>
      </c>
      <c r="FQ20" s="2" t="n">
        <v>0</v>
      </c>
    </row>
    <row r="21">
      <c r="A21" s="2" t="n">
        <v>2</v>
      </c>
      <c r="B21" s="2" t="inlineStr">
        <is>
          <t>04.02</t>
        </is>
      </c>
      <c r="C21" s="2" t="inlineStr">
        <is>
          <t>Implantação do Canteiro de obras - Fase 1</t>
        </is>
      </c>
      <c r="D21" s="2" t="inlineStr">
        <is>
          <t>-</t>
        </is>
      </c>
      <c r="E21" s="2" t="inlineStr">
        <is>
          <t>-</t>
        </is>
      </c>
      <c r="F21" s="2" t="n">
        <v>456437.9103079467</v>
      </c>
      <c r="G21" s="2" t="n">
        <v>0</v>
      </c>
      <c r="H21" s="2" t="n">
        <v>456437.9103079467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  <c r="ET21" s="2" t="n">
        <v>0</v>
      </c>
      <c r="EU21" s="2" t="n">
        <v>0</v>
      </c>
      <c r="EV21" s="2" t="n">
        <v>0</v>
      </c>
      <c r="EW21" s="2" t="n">
        <v>0</v>
      </c>
      <c r="EX21" s="2" t="n">
        <v>0</v>
      </c>
      <c r="EY21" s="2" t="n">
        <v>0</v>
      </c>
      <c r="EZ21" s="2" t="n">
        <v>0</v>
      </c>
      <c r="FA21" s="2" t="n">
        <v>0</v>
      </c>
      <c r="FB21" s="2" t="n">
        <v>0</v>
      </c>
      <c r="FC21" s="2" t="n">
        <v>0</v>
      </c>
      <c r="FD21" s="2" t="n">
        <v>0</v>
      </c>
      <c r="FE21" s="2" t="n">
        <v>0</v>
      </c>
      <c r="FF21" s="2" t="n">
        <v>0</v>
      </c>
      <c r="FG21" s="2" t="n">
        <v>0</v>
      </c>
      <c r="FH21" s="2" t="n">
        <v>0</v>
      </c>
      <c r="FI21" s="2" t="n">
        <v>0</v>
      </c>
      <c r="FJ21" s="2" t="n">
        <v>0</v>
      </c>
      <c r="FK21" s="2" t="n">
        <v>0</v>
      </c>
      <c r="FL21" s="2" t="n">
        <v>0</v>
      </c>
      <c r="FM21" s="2" t="n">
        <v>0</v>
      </c>
      <c r="FN21" s="2" t="n">
        <v>0</v>
      </c>
      <c r="FO21" s="2" t="n">
        <v>0</v>
      </c>
      <c r="FP21" s="2" t="n">
        <v>0</v>
      </c>
      <c r="FQ21" s="2" t="n">
        <v>0</v>
      </c>
    </row>
    <row r="22">
      <c r="A22" s="2" t="n">
        <v>3</v>
      </c>
      <c r="B22" s="2" t="inlineStr">
        <is>
          <t>04.02.01</t>
        </is>
      </c>
      <c r="C22" s="2" t="inlineStr">
        <is>
          <t>Canteiro de madeira</t>
        </is>
      </c>
      <c r="D22" s="2" t="inlineStr">
        <is>
          <t>-</t>
        </is>
      </c>
      <c r="E22" s="2" t="inlineStr">
        <is>
          <t>-</t>
        </is>
      </c>
      <c r="F22" s="2" t="n">
        <v>456437.9103079467</v>
      </c>
      <c r="G22" s="2" t="n">
        <v>0</v>
      </c>
      <c r="H22" s="2" t="n">
        <v>456437.9103079467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  <c r="ET22" s="2" t="n">
        <v>0</v>
      </c>
      <c r="EU22" s="2" t="n">
        <v>0</v>
      </c>
      <c r="EV22" s="2" t="n">
        <v>0</v>
      </c>
      <c r="EW22" s="2" t="n">
        <v>0</v>
      </c>
      <c r="EX22" s="2" t="n">
        <v>0</v>
      </c>
      <c r="EY22" s="2" t="n">
        <v>0</v>
      </c>
      <c r="EZ22" s="2" t="n">
        <v>0</v>
      </c>
      <c r="FA22" s="2" t="n">
        <v>0</v>
      </c>
      <c r="FB22" s="2" t="n">
        <v>0</v>
      </c>
      <c r="FC22" s="2" t="n">
        <v>0</v>
      </c>
      <c r="FD22" s="2" t="n">
        <v>0</v>
      </c>
      <c r="FE22" s="2" t="n">
        <v>0</v>
      </c>
      <c r="FF22" s="2" t="n">
        <v>0</v>
      </c>
      <c r="FG22" s="2" t="n">
        <v>0</v>
      </c>
      <c r="FH22" s="2" t="n">
        <v>0</v>
      </c>
      <c r="FI22" s="2" t="n">
        <v>0</v>
      </c>
      <c r="FJ22" s="2" t="n">
        <v>0</v>
      </c>
      <c r="FK22" s="2" t="n">
        <v>0</v>
      </c>
      <c r="FL22" s="2" t="n">
        <v>0</v>
      </c>
      <c r="FM22" s="2" t="n">
        <v>0</v>
      </c>
      <c r="FN22" s="2" t="n">
        <v>0</v>
      </c>
      <c r="FO22" s="2" t="n">
        <v>0</v>
      </c>
      <c r="FP22" s="2" t="n">
        <v>0</v>
      </c>
      <c r="FQ22" s="2" t="n">
        <v>0</v>
      </c>
    </row>
    <row r="23">
      <c r="A23" s="2" t="n">
        <v>4</v>
      </c>
      <c r="B23" s="2" t="inlineStr">
        <is>
          <t>04.02.01.01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66964.57775029285</v>
      </c>
      <c r="G23" s="2" t="n">
        <v>0</v>
      </c>
      <c r="H23" s="2" t="n">
        <v>66964.57775029285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  <c r="ET23" s="2" t="n">
        <v>0</v>
      </c>
      <c r="EU23" s="2" t="n">
        <v>0</v>
      </c>
      <c r="EV23" s="2" t="n">
        <v>0</v>
      </c>
      <c r="EW23" s="2" t="n">
        <v>0</v>
      </c>
      <c r="EX23" s="2" t="n">
        <v>0</v>
      </c>
      <c r="EY23" s="2" t="n">
        <v>0</v>
      </c>
      <c r="EZ23" s="2" t="n">
        <v>0</v>
      </c>
      <c r="FA23" s="2" t="n">
        <v>0</v>
      </c>
      <c r="FB23" s="2" t="n">
        <v>0</v>
      </c>
      <c r="FC23" s="2" t="n">
        <v>0</v>
      </c>
      <c r="FD23" s="2" t="n">
        <v>0</v>
      </c>
      <c r="FE23" s="2" t="n">
        <v>0</v>
      </c>
      <c r="FF23" s="2" t="n">
        <v>0</v>
      </c>
      <c r="FG23" s="2" t="n">
        <v>0</v>
      </c>
      <c r="FH23" s="2" t="n">
        <v>0</v>
      </c>
      <c r="FI23" s="2" t="n">
        <v>0</v>
      </c>
      <c r="FJ23" s="2" t="n">
        <v>0</v>
      </c>
      <c r="FK23" s="2" t="n">
        <v>0</v>
      </c>
      <c r="FL23" s="2" t="n">
        <v>0</v>
      </c>
      <c r="FM23" s="2" t="n">
        <v>0</v>
      </c>
      <c r="FN23" s="2" t="n">
        <v>0</v>
      </c>
      <c r="FO23" s="2" t="n">
        <v>0</v>
      </c>
      <c r="FP23" s="2" t="n">
        <v>0</v>
      </c>
      <c r="FQ23" s="2" t="n">
        <v>0</v>
      </c>
    </row>
    <row r="24">
      <c r="A24" s="2" t="n">
        <v>4</v>
      </c>
      <c r="B24" s="2" t="inlineStr">
        <is>
          <t>04.02.01.02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141583.901181125</v>
      </c>
      <c r="G24" s="2" t="n">
        <v>0</v>
      </c>
      <c r="H24" s="2" t="n">
        <v>141583.901181125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  <c r="ET24" s="2" t="n">
        <v>0</v>
      </c>
      <c r="EU24" s="2" t="n">
        <v>0</v>
      </c>
      <c r="EV24" s="2" t="n">
        <v>0</v>
      </c>
      <c r="EW24" s="2" t="n">
        <v>0</v>
      </c>
      <c r="EX24" s="2" t="n">
        <v>0</v>
      </c>
      <c r="EY24" s="2" t="n">
        <v>0</v>
      </c>
      <c r="EZ24" s="2" t="n">
        <v>0</v>
      </c>
      <c r="FA24" s="2" t="n">
        <v>0</v>
      </c>
      <c r="FB24" s="2" t="n">
        <v>0</v>
      </c>
      <c r="FC24" s="2" t="n">
        <v>0</v>
      </c>
      <c r="FD24" s="2" t="n">
        <v>0</v>
      </c>
      <c r="FE24" s="2" t="n">
        <v>0</v>
      </c>
      <c r="FF24" s="2" t="n">
        <v>0</v>
      </c>
      <c r="FG24" s="2" t="n">
        <v>0</v>
      </c>
      <c r="FH24" s="2" t="n">
        <v>0</v>
      </c>
      <c r="FI24" s="2" t="n">
        <v>0</v>
      </c>
      <c r="FJ24" s="2" t="n">
        <v>0</v>
      </c>
      <c r="FK24" s="2" t="n">
        <v>0</v>
      </c>
      <c r="FL24" s="2" t="n">
        <v>0</v>
      </c>
      <c r="FM24" s="2" t="n">
        <v>0</v>
      </c>
      <c r="FN24" s="2" t="n">
        <v>0</v>
      </c>
      <c r="FO24" s="2" t="n">
        <v>0</v>
      </c>
      <c r="FP24" s="2" t="n">
        <v>0</v>
      </c>
      <c r="FQ24" s="2" t="n">
        <v>0</v>
      </c>
    </row>
    <row r="25">
      <c r="A25" s="2" t="n">
        <v>4</v>
      </c>
      <c r="B25" s="2" t="inlineStr">
        <is>
          <t>04.02.01.03</t>
        </is>
      </c>
      <c r="C25" s="2" t="inlineStr">
        <is>
          <t>Portaria / Chapeira de ponto</t>
        </is>
      </c>
      <c r="D25" s="2" t="inlineStr">
        <is>
          <t>-</t>
        </is>
      </c>
      <c r="E25" s="2" t="inlineStr">
        <is>
          <t>-</t>
        </is>
      </c>
      <c r="F25" s="2" t="n">
        <v>1638.197022942147</v>
      </c>
      <c r="G25" s="2" t="n">
        <v>0</v>
      </c>
      <c r="H25" s="2" t="n">
        <v>1638.197022942147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  <c r="ET25" s="2" t="n">
        <v>0</v>
      </c>
      <c r="EU25" s="2" t="n">
        <v>0</v>
      </c>
      <c r="EV25" s="2" t="n">
        <v>0</v>
      </c>
      <c r="EW25" s="2" t="n">
        <v>0</v>
      </c>
      <c r="EX25" s="2" t="n">
        <v>0</v>
      </c>
      <c r="EY25" s="2" t="n">
        <v>0</v>
      </c>
      <c r="EZ25" s="2" t="n">
        <v>0</v>
      </c>
      <c r="FA25" s="2" t="n">
        <v>0</v>
      </c>
      <c r="FB25" s="2" t="n">
        <v>0</v>
      </c>
      <c r="FC25" s="2" t="n">
        <v>0</v>
      </c>
      <c r="FD25" s="2" t="n">
        <v>0</v>
      </c>
      <c r="FE25" s="2" t="n">
        <v>0</v>
      </c>
      <c r="FF25" s="2" t="n">
        <v>0</v>
      </c>
      <c r="FG25" s="2" t="n">
        <v>0</v>
      </c>
      <c r="FH25" s="2" t="n">
        <v>0</v>
      </c>
      <c r="FI25" s="2" t="n">
        <v>0</v>
      </c>
      <c r="FJ25" s="2" t="n">
        <v>0</v>
      </c>
      <c r="FK25" s="2" t="n">
        <v>0</v>
      </c>
      <c r="FL25" s="2" t="n">
        <v>0</v>
      </c>
      <c r="FM25" s="2" t="n">
        <v>0</v>
      </c>
      <c r="FN25" s="2" t="n">
        <v>0</v>
      </c>
      <c r="FO25" s="2" t="n">
        <v>0</v>
      </c>
      <c r="FP25" s="2" t="n">
        <v>0</v>
      </c>
      <c r="FQ25" s="2" t="n">
        <v>0</v>
      </c>
    </row>
    <row r="26">
      <c r="A26" s="2" t="n">
        <v>4</v>
      </c>
      <c r="B26" s="2" t="inlineStr">
        <is>
          <t>04.02.01.04</t>
        </is>
      </c>
      <c r="C26" s="2" t="inlineStr">
        <is>
          <t>Refeitório / Cozinha</t>
        </is>
      </c>
      <c r="D26" s="2" t="inlineStr">
        <is>
          <t>-</t>
        </is>
      </c>
      <c r="E26" s="2" t="inlineStr">
        <is>
          <t>-</t>
        </is>
      </c>
      <c r="F26" s="2" t="n">
        <v>49145.9106882644</v>
      </c>
      <c r="G26" s="2" t="n">
        <v>0</v>
      </c>
      <c r="H26" s="2" t="n">
        <v>49145.9106882644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  <c r="ET26" s="2" t="n">
        <v>0</v>
      </c>
      <c r="EU26" s="2" t="n">
        <v>0</v>
      </c>
      <c r="EV26" s="2" t="n">
        <v>0</v>
      </c>
      <c r="EW26" s="2" t="n">
        <v>0</v>
      </c>
      <c r="EX26" s="2" t="n">
        <v>0</v>
      </c>
      <c r="EY26" s="2" t="n">
        <v>0</v>
      </c>
      <c r="EZ26" s="2" t="n">
        <v>0</v>
      </c>
      <c r="FA26" s="2" t="n">
        <v>0</v>
      </c>
      <c r="FB26" s="2" t="n">
        <v>0</v>
      </c>
      <c r="FC26" s="2" t="n">
        <v>0</v>
      </c>
      <c r="FD26" s="2" t="n">
        <v>0</v>
      </c>
      <c r="FE26" s="2" t="n">
        <v>0</v>
      </c>
      <c r="FF26" s="2" t="n">
        <v>0</v>
      </c>
      <c r="FG26" s="2" t="n">
        <v>0</v>
      </c>
      <c r="FH26" s="2" t="n">
        <v>0</v>
      </c>
      <c r="FI26" s="2" t="n">
        <v>0</v>
      </c>
      <c r="FJ26" s="2" t="n">
        <v>0</v>
      </c>
      <c r="FK26" s="2" t="n">
        <v>0</v>
      </c>
      <c r="FL26" s="2" t="n">
        <v>0</v>
      </c>
      <c r="FM26" s="2" t="n">
        <v>0</v>
      </c>
      <c r="FN26" s="2" t="n">
        <v>0</v>
      </c>
      <c r="FO26" s="2" t="n">
        <v>0</v>
      </c>
      <c r="FP26" s="2" t="n">
        <v>0</v>
      </c>
      <c r="FQ26" s="2" t="n">
        <v>0</v>
      </c>
    </row>
    <row r="27">
      <c r="A27" s="2" t="n">
        <v>4</v>
      </c>
      <c r="B27" s="2" t="inlineStr">
        <is>
          <t>04.02.01.05</t>
        </is>
      </c>
      <c r="C27" s="2" t="inlineStr">
        <is>
          <t>Almoxarifado (depósito)</t>
        </is>
      </c>
      <c r="D27" s="2" t="inlineStr">
        <is>
          <t>-</t>
        </is>
      </c>
      <c r="E27" s="2" t="inlineStr">
        <is>
          <t>-</t>
        </is>
      </c>
      <c r="F27" s="2" t="n">
        <v>32763.94045884293</v>
      </c>
      <c r="G27" s="2" t="n">
        <v>0</v>
      </c>
      <c r="H27" s="2" t="n">
        <v>32763.94045884293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  <c r="ET27" s="2" t="n">
        <v>0</v>
      </c>
      <c r="EU27" s="2" t="n">
        <v>0</v>
      </c>
      <c r="EV27" s="2" t="n">
        <v>0</v>
      </c>
      <c r="EW27" s="2" t="n">
        <v>0</v>
      </c>
      <c r="EX27" s="2" t="n">
        <v>0</v>
      </c>
      <c r="EY27" s="2" t="n">
        <v>0</v>
      </c>
      <c r="EZ27" s="2" t="n">
        <v>0</v>
      </c>
      <c r="FA27" s="2" t="n">
        <v>0</v>
      </c>
      <c r="FB27" s="2" t="n">
        <v>0</v>
      </c>
      <c r="FC27" s="2" t="n">
        <v>0</v>
      </c>
      <c r="FD27" s="2" t="n">
        <v>0</v>
      </c>
      <c r="FE27" s="2" t="n">
        <v>0</v>
      </c>
      <c r="FF27" s="2" t="n">
        <v>0</v>
      </c>
      <c r="FG27" s="2" t="n">
        <v>0</v>
      </c>
      <c r="FH27" s="2" t="n">
        <v>0</v>
      </c>
      <c r="FI27" s="2" t="n">
        <v>0</v>
      </c>
      <c r="FJ27" s="2" t="n">
        <v>0</v>
      </c>
      <c r="FK27" s="2" t="n">
        <v>0</v>
      </c>
      <c r="FL27" s="2" t="n">
        <v>0</v>
      </c>
      <c r="FM27" s="2" t="n">
        <v>0</v>
      </c>
      <c r="FN27" s="2" t="n">
        <v>0</v>
      </c>
      <c r="FO27" s="2" t="n">
        <v>0</v>
      </c>
      <c r="FP27" s="2" t="n">
        <v>0</v>
      </c>
      <c r="FQ27" s="2" t="n">
        <v>0</v>
      </c>
    </row>
    <row r="28">
      <c r="A28" s="2" t="n">
        <v>4</v>
      </c>
      <c r="B28" s="2" t="inlineStr">
        <is>
          <t>04.02.01.06</t>
        </is>
      </c>
      <c r="C28" s="2" t="inlineStr">
        <is>
          <t>Almoxarifado (área coberta externa)</t>
        </is>
      </c>
      <c r="D28" s="2" t="inlineStr">
        <is>
          <t>-</t>
        </is>
      </c>
      <c r="E28" s="2" t="inlineStr">
        <is>
          <t>-</t>
        </is>
      </c>
      <c r="F28" s="2" t="n">
        <v>14743.77320647932</v>
      </c>
      <c r="G28" s="2" t="n">
        <v>0</v>
      </c>
      <c r="H28" s="2" t="n">
        <v>14743.77320647932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  <c r="ET28" s="2" t="n">
        <v>0</v>
      </c>
      <c r="EU28" s="2" t="n">
        <v>0</v>
      </c>
      <c r="EV28" s="2" t="n">
        <v>0</v>
      </c>
      <c r="EW28" s="2" t="n">
        <v>0</v>
      </c>
      <c r="EX28" s="2" t="n">
        <v>0</v>
      </c>
      <c r="EY28" s="2" t="n">
        <v>0</v>
      </c>
      <c r="EZ28" s="2" t="n">
        <v>0</v>
      </c>
      <c r="FA28" s="2" t="n">
        <v>0</v>
      </c>
      <c r="FB28" s="2" t="n">
        <v>0</v>
      </c>
      <c r="FC28" s="2" t="n">
        <v>0</v>
      </c>
      <c r="FD28" s="2" t="n">
        <v>0</v>
      </c>
      <c r="FE28" s="2" t="n">
        <v>0</v>
      </c>
      <c r="FF28" s="2" t="n">
        <v>0</v>
      </c>
      <c r="FG28" s="2" t="n">
        <v>0</v>
      </c>
      <c r="FH28" s="2" t="n">
        <v>0</v>
      </c>
      <c r="FI28" s="2" t="n">
        <v>0</v>
      </c>
      <c r="FJ28" s="2" t="n">
        <v>0</v>
      </c>
      <c r="FK28" s="2" t="n">
        <v>0</v>
      </c>
      <c r="FL28" s="2" t="n">
        <v>0</v>
      </c>
      <c r="FM28" s="2" t="n">
        <v>0</v>
      </c>
      <c r="FN28" s="2" t="n">
        <v>0</v>
      </c>
      <c r="FO28" s="2" t="n">
        <v>0</v>
      </c>
      <c r="FP28" s="2" t="n">
        <v>0</v>
      </c>
      <c r="FQ28" s="2" t="n">
        <v>0</v>
      </c>
    </row>
    <row r="29">
      <c r="A29" s="2" t="n">
        <v>4</v>
      </c>
      <c r="B29" s="2" t="inlineStr">
        <is>
          <t>04.02.01.07</t>
        </is>
      </c>
      <c r="C29" s="2" t="inlineStr">
        <is>
          <t>Custos Incorridos (Baltazar)</t>
        </is>
      </c>
      <c r="D29" s="2" t="inlineStr">
        <is>
          <t>-</t>
        </is>
      </c>
      <c r="E29" s="2" t="inlineStr">
        <is>
          <t>-</t>
        </is>
      </c>
      <c r="F29" s="2" t="n">
        <v>149597.61</v>
      </c>
      <c r="G29" s="2" t="n">
        <v>0</v>
      </c>
      <c r="H29" s="2" t="n">
        <v>149597.61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  <c r="ET29" s="2" t="n">
        <v>0</v>
      </c>
      <c r="EU29" s="2" t="n">
        <v>0</v>
      </c>
      <c r="EV29" s="2" t="n">
        <v>0</v>
      </c>
      <c r="EW29" s="2" t="n">
        <v>0</v>
      </c>
      <c r="EX29" s="2" t="n">
        <v>0</v>
      </c>
      <c r="EY29" s="2" t="n">
        <v>0</v>
      </c>
      <c r="EZ29" s="2" t="n">
        <v>0</v>
      </c>
      <c r="FA29" s="2" t="n">
        <v>0</v>
      </c>
      <c r="FB29" s="2" t="n">
        <v>0</v>
      </c>
      <c r="FC29" s="2" t="n">
        <v>0</v>
      </c>
      <c r="FD29" s="2" t="n">
        <v>0</v>
      </c>
      <c r="FE29" s="2" t="n">
        <v>0</v>
      </c>
      <c r="FF29" s="2" t="n">
        <v>0</v>
      </c>
      <c r="FG29" s="2" t="n">
        <v>0</v>
      </c>
      <c r="FH29" s="2" t="n">
        <v>0</v>
      </c>
      <c r="FI29" s="2" t="n">
        <v>0</v>
      </c>
      <c r="FJ29" s="2" t="n">
        <v>0</v>
      </c>
      <c r="FK29" s="2" t="n">
        <v>0</v>
      </c>
      <c r="FL29" s="2" t="n">
        <v>0</v>
      </c>
      <c r="FM29" s="2" t="n">
        <v>0</v>
      </c>
      <c r="FN29" s="2" t="n">
        <v>0</v>
      </c>
      <c r="FO29" s="2" t="n">
        <v>0</v>
      </c>
      <c r="FP29" s="2" t="n">
        <v>0</v>
      </c>
      <c r="FQ29" s="2" t="n">
        <v>0</v>
      </c>
    </row>
    <row r="30">
      <c r="A30" s="2" t="n">
        <v>2</v>
      </c>
      <c r="B30" s="2" t="inlineStr">
        <is>
          <t>04.03</t>
        </is>
      </c>
      <c r="C30" s="2" t="inlineStr">
        <is>
          <t>Implantação do Canteiro de obras - Fase 2 (Transferência para dentro do edifício)</t>
        </is>
      </c>
      <c r="D30" s="2" t="inlineStr">
        <is>
          <t>-</t>
        </is>
      </c>
      <c r="E30" s="2" t="inlineStr">
        <is>
          <t>-</t>
        </is>
      </c>
      <c r="F30" s="2" t="n">
        <v>216055.7821256119</v>
      </c>
      <c r="G30" s="2" t="n">
        <v>0</v>
      </c>
      <c r="H30" s="2" t="n">
        <v>216055.7821256119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  <c r="ET30" s="2" t="n">
        <v>0</v>
      </c>
      <c r="EU30" s="2" t="n">
        <v>0</v>
      </c>
      <c r="EV30" s="2" t="n">
        <v>0</v>
      </c>
      <c r="EW30" s="2" t="n">
        <v>0</v>
      </c>
      <c r="EX30" s="2" t="n">
        <v>0</v>
      </c>
      <c r="EY30" s="2" t="n">
        <v>0</v>
      </c>
      <c r="EZ30" s="2" t="n">
        <v>0</v>
      </c>
      <c r="FA30" s="2" t="n">
        <v>0</v>
      </c>
      <c r="FB30" s="2" t="n">
        <v>0</v>
      </c>
      <c r="FC30" s="2" t="n">
        <v>0</v>
      </c>
      <c r="FD30" s="2" t="n">
        <v>0</v>
      </c>
      <c r="FE30" s="2" t="n">
        <v>0</v>
      </c>
      <c r="FF30" s="2" t="n">
        <v>0</v>
      </c>
      <c r="FG30" s="2" t="n">
        <v>0</v>
      </c>
      <c r="FH30" s="2" t="n">
        <v>0</v>
      </c>
      <c r="FI30" s="2" t="n">
        <v>0</v>
      </c>
      <c r="FJ30" s="2" t="n">
        <v>0</v>
      </c>
      <c r="FK30" s="2" t="n">
        <v>0</v>
      </c>
      <c r="FL30" s="2" t="n">
        <v>0</v>
      </c>
      <c r="FM30" s="2" t="n">
        <v>0</v>
      </c>
      <c r="FN30" s="2" t="n">
        <v>0</v>
      </c>
      <c r="FO30" s="2" t="n">
        <v>0</v>
      </c>
      <c r="FP30" s="2" t="n">
        <v>0</v>
      </c>
      <c r="FQ30" s="2" t="n">
        <v>0</v>
      </c>
    </row>
    <row r="31">
      <c r="A31" s="2" t="n">
        <v>3</v>
      </c>
      <c r="B31" s="2" t="inlineStr">
        <is>
          <t>04.03.01</t>
        </is>
      </c>
      <c r="C31" s="2" t="inlineStr">
        <is>
          <t>Canteiro de madeira</t>
        </is>
      </c>
      <c r="D31" s="2" t="inlineStr">
        <is>
          <t>-</t>
        </is>
      </c>
      <c r="E31" s="2" t="inlineStr">
        <is>
          <t>-</t>
        </is>
      </c>
      <c r="F31" s="2" t="n">
        <v>216055.7821256119</v>
      </c>
      <c r="G31" s="2" t="n">
        <v>0</v>
      </c>
      <c r="H31" s="2" t="n">
        <v>216055.7821256119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  <c r="ET31" s="2" t="n">
        <v>0</v>
      </c>
      <c r="EU31" s="2" t="n">
        <v>0</v>
      </c>
      <c r="EV31" s="2" t="n">
        <v>0</v>
      </c>
      <c r="EW31" s="2" t="n">
        <v>0</v>
      </c>
      <c r="EX31" s="2" t="n">
        <v>0</v>
      </c>
      <c r="EY31" s="2" t="n">
        <v>0</v>
      </c>
      <c r="EZ31" s="2" t="n">
        <v>0</v>
      </c>
      <c r="FA31" s="2" t="n">
        <v>0</v>
      </c>
      <c r="FB31" s="2" t="n">
        <v>0</v>
      </c>
      <c r="FC31" s="2" t="n">
        <v>0</v>
      </c>
      <c r="FD31" s="2" t="n">
        <v>0</v>
      </c>
      <c r="FE31" s="2" t="n">
        <v>0</v>
      </c>
      <c r="FF31" s="2" t="n">
        <v>0</v>
      </c>
      <c r="FG31" s="2" t="n">
        <v>0</v>
      </c>
      <c r="FH31" s="2" t="n">
        <v>0</v>
      </c>
      <c r="FI31" s="2" t="n">
        <v>0</v>
      </c>
      <c r="FJ31" s="2" t="n">
        <v>0</v>
      </c>
      <c r="FK31" s="2" t="n">
        <v>0</v>
      </c>
      <c r="FL31" s="2" t="n">
        <v>0</v>
      </c>
      <c r="FM31" s="2" t="n">
        <v>0</v>
      </c>
      <c r="FN31" s="2" t="n">
        <v>0</v>
      </c>
      <c r="FO31" s="2" t="n">
        <v>0</v>
      </c>
      <c r="FP31" s="2" t="n">
        <v>0</v>
      </c>
      <c r="FQ31" s="2" t="n">
        <v>0</v>
      </c>
    </row>
    <row r="32">
      <c r="A32" s="2" t="n">
        <v>4</v>
      </c>
      <c r="B32" s="2" t="inlineStr">
        <is>
          <t>04.03.01.01</t>
        </is>
      </c>
      <c r="C32" s="2" t="inlineStr">
        <is>
          <t>Escritórios</t>
        </is>
      </c>
      <c r="D32" s="2" t="inlineStr">
        <is>
          <t>-</t>
        </is>
      </c>
      <c r="E32" s="2" t="inlineStr">
        <is>
          <t>-</t>
        </is>
      </c>
      <c r="F32" s="2" t="n">
        <v>44812.41796209718</v>
      </c>
      <c r="G32" s="2" t="n">
        <v>0</v>
      </c>
      <c r="H32" s="2" t="n">
        <v>44812.41796209718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  <c r="ET32" s="2" t="n">
        <v>0</v>
      </c>
      <c r="EU32" s="2" t="n">
        <v>0</v>
      </c>
      <c r="EV32" s="2" t="n">
        <v>0</v>
      </c>
      <c r="EW32" s="2" t="n">
        <v>0</v>
      </c>
      <c r="EX32" s="2" t="n">
        <v>0</v>
      </c>
      <c r="EY32" s="2" t="n">
        <v>0</v>
      </c>
      <c r="EZ32" s="2" t="n">
        <v>0</v>
      </c>
      <c r="FA32" s="2" t="n">
        <v>0</v>
      </c>
      <c r="FB32" s="2" t="n">
        <v>0</v>
      </c>
      <c r="FC32" s="2" t="n">
        <v>0</v>
      </c>
      <c r="FD32" s="2" t="n">
        <v>0</v>
      </c>
      <c r="FE32" s="2" t="n">
        <v>0</v>
      </c>
      <c r="FF32" s="2" t="n">
        <v>0</v>
      </c>
      <c r="FG32" s="2" t="n">
        <v>0</v>
      </c>
      <c r="FH32" s="2" t="n">
        <v>0</v>
      </c>
      <c r="FI32" s="2" t="n">
        <v>0</v>
      </c>
      <c r="FJ32" s="2" t="n">
        <v>0</v>
      </c>
      <c r="FK32" s="2" t="n">
        <v>0</v>
      </c>
      <c r="FL32" s="2" t="n">
        <v>0</v>
      </c>
      <c r="FM32" s="2" t="n">
        <v>0</v>
      </c>
      <c r="FN32" s="2" t="n">
        <v>0</v>
      </c>
      <c r="FO32" s="2" t="n">
        <v>0</v>
      </c>
      <c r="FP32" s="2" t="n">
        <v>0</v>
      </c>
      <c r="FQ32" s="2" t="n">
        <v>0</v>
      </c>
    </row>
    <row r="33">
      <c r="A33" s="2" t="n">
        <v>4</v>
      </c>
      <c r="B33" s="2" t="inlineStr">
        <is>
          <t>04.03.01.02</t>
        </is>
      </c>
      <c r="C33" s="2" t="inlineStr">
        <is>
          <t>Banheiro/vestiário</t>
        </is>
      </c>
      <c r="D33" s="2" t="inlineStr">
        <is>
          <t>-</t>
        </is>
      </c>
      <c r="E33" s="2" t="inlineStr">
        <is>
          <t>-</t>
        </is>
      </c>
      <c r="F33" s="2" t="n">
        <v>98510.2571485223</v>
      </c>
      <c r="G33" s="2" t="n">
        <v>0</v>
      </c>
      <c r="H33" s="2" t="n">
        <v>98510.2571485223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  <c r="ET33" s="2" t="n">
        <v>0</v>
      </c>
      <c r="EU33" s="2" t="n">
        <v>0</v>
      </c>
      <c r="EV33" s="2" t="n">
        <v>0</v>
      </c>
      <c r="EW33" s="2" t="n">
        <v>0</v>
      </c>
      <c r="EX33" s="2" t="n">
        <v>0</v>
      </c>
      <c r="EY33" s="2" t="n">
        <v>0</v>
      </c>
      <c r="EZ33" s="2" t="n">
        <v>0</v>
      </c>
      <c r="FA33" s="2" t="n">
        <v>0</v>
      </c>
      <c r="FB33" s="2" t="n">
        <v>0</v>
      </c>
      <c r="FC33" s="2" t="n">
        <v>0</v>
      </c>
      <c r="FD33" s="2" t="n">
        <v>0</v>
      </c>
      <c r="FE33" s="2" t="n">
        <v>0</v>
      </c>
      <c r="FF33" s="2" t="n">
        <v>0</v>
      </c>
      <c r="FG33" s="2" t="n">
        <v>0</v>
      </c>
      <c r="FH33" s="2" t="n">
        <v>0</v>
      </c>
      <c r="FI33" s="2" t="n">
        <v>0</v>
      </c>
      <c r="FJ33" s="2" t="n">
        <v>0</v>
      </c>
      <c r="FK33" s="2" t="n">
        <v>0</v>
      </c>
      <c r="FL33" s="2" t="n">
        <v>0</v>
      </c>
      <c r="FM33" s="2" t="n">
        <v>0</v>
      </c>
      <c r="FN33" s="2" t="n">
        <v>0</v>
      </c>
      <c r="FO33" s="2" t="n">
        <v>0</v>
      </c>
      <c r="FP33" s="2" t="n">
        <v>0</v>
      </c>
      <c r="FQ33" s="2" t="n">
        <v>0</v>
      </c>
    </row>
    <row r="34">
      <c r="A34" s="2" t="n">
        <v>4</v>
      </c>
      <c r="B34" s="2" t="inlineStr">
        <is>
          <t>04.03.01.03</t>
        </is>
      </c>
      <c r="C34" s="2" t="inlineStr">
        <is>
          <t>Refeitório / Cozinha</t>
        </is>
      </c>
      <c r="D34" s="2" t="inlineStr">
        <is>
          <t>-</t>
        </is>
      </c>
      <c r="E34" s="2" t="inlineStr">
        <is>
          <t>-</t>
        </is>
      </c>
      <c r="F34" s="2" t="n">
        <v>43639.86420899544</v>
      </c>
      <c r="G34" s="2" t="n">
        <v>0</v>
      </c>
      <c r="H34" s="2" t="n">
        <v>43639.86420899544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  <c r="ET34" s="2" t="n">
        <v>0</v>
      </c>
      <c r="EU34" s="2" t="n">
        <v>0</v>
      </c>
      <c r="EV34" s="2" t="n">
        <v>0</v>
      </c>
      <c r="EW34" s="2" t="n">
        <v>0</v>
      </c>
      <c r="EX34" s="2" t="n">
        <v>0</v>
      </c>
      <c r="EY34" s="2" t="n">
        <v>0</v>
      </c>
      <c r="EZ34" s="2" t="n">
        <v>0</v>
      </c>
      <c r="FA34" s="2" t="n">
        <v>0</v>
      </c>
      <c r="FB34" s="2" t="n">
        <v>0</v>
      </c>
      <c r="FC34" s="2" t="n">
        <v>0</v>
      </c>
      <c r="FD34" s="2" t="n">
        <v>0</v>
      </c>
      <c r="FE34" s="2" t="n">
        <v>0</v>
      </c>
      <c r="FF34" s="2" t="n">
        <v>0</v>
      </c>
      <c r="FG34" s="2" t="n">
        <v>0</v>
      </c>
      <c r="FH34" s="2" t="n">
        <v>0</v>
      </c>
      <c r="FI34" s="2" t="n">
        <v>0</v>
      </c>
      <c r="FJ34" s="2" t="n">
        <v>0</v>
      </c>
      <c r="FK34" s="2" t="n">
        <v>0</v>
      </c>
      <c r="FL34" s="2" t="n">
        <v>0</v>
      </c>
      <c r="FM34" s="2" t="n">
        <v>0</v>
      </c>
      <c r="FN34" s="2" t="n">
        <v>0</v>
      </c>
      <c r="FO34" s="2" t="n">
        <v>0</v>
      </c>
      <c r="FP34" s="2" t="n">
        <v>0</v>
      </c>
      <c r="FQ34" s="2" t="n">
        <v>0</v>
      </c>
    </row>
    <row r="35">
      <c r="A35" s="2" t="n">
        <v>4</v>
      </c>
      <c r="B35" s="2" t="inlineStr">
        <is>
          <t>04.03.01.04</t>
        </is>
      </c>
      <c r="C35" s="2" t="inlineStr">
        <is>
          <t>Almoxarifado (depósito)</t>
        </is>
      </c>
      <c r="D35" s="2" t="inlineStr">
        <is>
          <t>-</t>
        </is>
      </c>
      <c r="E35" s="2" t="inlineStr">
        <is>
          <t>-</t>
        </is>
      </c>
      <c r="F35" s="2" t="n">
        <v>29093.24280599696</v>
      </c>
      <c r="G35" s="2" t="n">
        <v>0</v>
      </c>
      <c r="H35" s="2" t="n">
        <v>29093.24280599696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  <c r="ET35" s="2" t="n">
        <v>0</v>
      </c>
      <c r="EU35" s="2" t="n">
        <v>0</v>
      </c>
      <c r="EV35" s="2" t="n">
        <v>0</v>
      </c>
      <c r="EW35" s="2" t="n">
        <v>0</v>
      </c>
      <c r="EX35" s="2" t="n">
        <v>0</v>
      </c>
      <c r="EY35" s="2" t="n">
        <v>0</v>
      </c>
      <c r="EZ35" s="2" t="n">
        <v>0</v>
      </c>
      <c r="FA35" s="2" t="n">
        <v>0</v>
      </c>
      <c r="FB35" s="2" t="n">
        <v>0</v>
      </c>
      <c r="FC35" s="2" t="n">
        <v>0</v>
      </c>
      <c r="FD35" s="2" t="n">
        <v>0</v>
      </c>
      <c r="FE35" s="2" t="n">
        <v>0</v>
      </c>
      <c r="FF35" s="2" t="n">
        <v>0</v>
      </c>
      <c r="FG35" s="2" t="n">
        <v>0</v>
      </c>
      <c r="FH35" s="2" t="n">
        <v>0</v>
      </c>
      <c r="FI35" s="2" t="n">
        <v>0</v>
      </c>
      <c r="FJ35" s="2" t="n">
        <v>0</v>
      </c>
      <c r="FK35" s="2" t="n">
        <v>0</v>
      </c>
      <c r="FL35" s="2" t="n">
        <v>0</v>
      </c>
      <c r="FM35" s="2" t="n">
        <v>0</v>
      </c>
      <c r="FN35" s="2" t="n">
        <v>0</v>
      </c>
      <c r="FO35" s="2" t="n">
        <v>0</v>
      </c>
      <c r="FP35" s="2" t="n">
        <v>0</v>
      </c>
      <c r="FQ35" s="2" t="n">
        <v>0</v>
      </c>
    </row>
    <row r="36">
      <c r="A36" s="2" t="n">
        <v>2</v>
      </c>
      <c r="B36" s="2" t="inlineStr">
        <is>
          <t>04.04</t>
        </is>
      </c>
      <c r="C36" s="2" t="inlineStr">
        <is>
          <t>Instalações avancadas</t>
        </is>
      </c>
      <c r="D36" s="2" t="inlineStr">
        <is>
          <t>-</t>
        </is>
      </c>
      <c r="E36" s="2" t="inlineStr">
        <is>
          <t>-</t>
        </is>
      </c>
      <c r="F36" s="2" t="n">
        <v>17935.94568359818</v>
      </c>
      <c r="G36" s="2" t="n">
        <v>0</v>
      </c>
      <c r="H36" s="2" t="n">
        <v>17935.94568359818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  <c r="ET36" s="2" t="n">
        <v>0</v>
      </c>
      <c r="EU36" s="2" t="n">
        <v>0</v>
      </c>
      <c r="EV36" s="2" t="n">
        <v>0</v>
      </c>
      <c r="EW36" s="2" t="n">
        <v>0</v>
      </c>
      <c r="EX36" s="2" t="n">
        <v>0</v>
      </c>
      <c r="EY36" s="2" t="n">
        <v>0</v>
      </c>
      <c r="EZ36" s="2" t="n">
        <v>0</v>
      </c>
      <c r="FA36" s="2" t="n">
        <v>0</v>
      </c>
      <c r="FB36" s="2" t="n">
        <v>0</v>
      </c>
      <c r="FC36" s="2" t="n">
        <v>0</v>
      </c>
      <c r="FD36" s="2" t="n">
        <v>0</v>
      </c>
      <c r="FE36" s="2" t="n">
        <v>0</v>
      </c>
      <c r="FF36" s="2" t="n">
        <v>0</v>
      </c>
      <c r="FG36" s="2" t="n">
        <v>0</v>
      </c>
      <c r="FH36" s="2" t="n">
        <v>0</v>
      </c>
      <c r="FI36" s="2" t="n">
        <v>0</v>
      </c>
      <c r="FJ36" s="2" t="n">
        <v>0</v>
      </c>
      <c r="FK36" s="2" t="n">
        <v>0</v>
      </c>
      <c r="FL36" s="2" t="n">
        <v>0</v>
      </c>
      <c r="FM36" s="2" t="n">
        <v>0</v>
      </c>
      <c r="FN36" s="2" t="n">
        <v>0</v>
      </c>
      <c r="FO36" s="2" t="n">
        <v>0</v>
      </c>
      <c r="FP36" s="2" t="n">
        <v>0</v>
      </c>
      <c r="FQ36" s="2" t="n">
        <v>0</v>
      </c>
    </row>
    <row r="37">
      <c r="A37" s="2" t="n">
        <v>3</v>
      </c>
      <c r="B37" s="2" t="inlineStr">
        <is>
          <t>04.04.01</t>
        </is>
      </c>
      <c r="C37" s="2" t="inlineStr">
        <is>
          <t>Central de Armação</t>
        </is>
      </c>
      <c r="D37" s="2" t="inlineStr">
        <is>
          <t>-</t>
        </is>
      </c>
      <c r="E37" s="2" t="inlineStr">
        <is>
          <t>-</t>
        </is>
      </c>
      <c r="F37" s="2" t="n">
        <v>5818.648561199393</v>
      </c>
      <c r="G37" s="2" t="n">
        <v>0</v>
      </c>
      <c r="H37" s="2" t="n">
        <v>5818.648561199393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  <c r="ET37" s="2" t="n">
        <v>0</v>
      </c>
      <c r="EU37" s="2" t="n">
        <v>0</v>
      </c>
      <c r="EV37" s="2" t="n">
        <v>0</v>
      </c>
      <c r="EW37" s="2" t="n">
        <v>0</v>
      </c>
      <c r="EX37" s="2" t="n">
        <v>0</v>
      </c>
      <c r="EY37" s="2" t="n">
        <v>0</v>
      </c>
      <c r="EZ37" s="2" t="n">
        <v>0</v>
      </c>
      <c r="FA37" s="2" t="n">
        <v>0</v>
      </c>
      <c r="FB37" s="2" t="n">
        <v>0</v>
      </c>
      <c r="FC37" s="2" t="n">
        <v>0</v>
      </c>
      <c r="FD37" s="2" t="n">
        <v>0</v>
      </c>
      <c r="FE37" s="2" t="n">
        <v>0</v>
      </c>
      <c r="FF37" s="2" t="n">
        <v>0</v>
      </c>
      <c r="FG37" s="2" t="n">
        <v>0</v>
      </c>
      <c r="FH37" s="2" t="n">
        <v>0</v>
      </c>
      <c r="FI37" s="2" t="n">
        <v>0</v>
      </c>
      <c r="FJ37" s="2" t="n">
        <v>0</v>
      </c>
      <c r="FK37" s="2" t="n">
        <v>0</v>
      </c>
      <c r="FL37" s="2" t="n">
        <v>0</v>
      </c>
      <c r="FM37" s="2" t="n">
        <v>0</v>
      </c>
      <c r="FN37" s="2" t="n">
        <v>0</v>
      </c>
      <c r="FO37" s="2" t="n">
        <v>0</v>
      </c>
      <c r="FP37" s="2" t="n">
        <v>0</v>
      </c>
      <c r="FQ37" s="2" t="n">
        <v>0</v>
      </c>
    </row>
    <row r="38">
      <c r="A38" s="2" t="n">
        <v>3</v>
      </c>
      <c r="B38" s="2" t="inlineStr">
        <is>
          <t>04.04.02</t>
        </is>
      </c>
      <c r="C38" s="2" t="inlineStr">
        <is>
          <t>Central de Formas</t>
        </is>
      </c>
      <c r="D38" s="2" t="inlineStr">
        <is>
          <t>-</t>
        </is>
      </c>
      <c r="E38" s="2" t="inlineStr">
        <is>
          <t>-</t>
        </is>
      </c>
      <c r="F38" s="2" t="n">
        <v>5818.648561199393</v>
      </c>
      <c r="G38" s="2" t="n">
        <v>0</v>
      </c>
      <c r="H38" s="2" t="n">
        <v>5818.648561199393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  <c r="ET38" s="2" t="n">
        <v>0</v>
      </c>
      <c r="EU38" s="2" t="n">
        <v>0</v>
      </c>
      <c r="EV38" s="2" t="n">
        <v>0</v>
      </c>
      <c r="EW38" s="2" t="n">
        <v>0</v>
      </c>
      <c r="EX38" s="2" t="n">
        <v>0</v>
      </c>
      <c r="EY38" s="2" t="n">
        <v>0</v>
      </c>
      <c r="EZ38" s="2" t="n">
        <v>0</v>
      </c>
      <c r="FA38" s="2" t="n">
        <v>0</v>
      </c>
      <c r="FB38" s="2" t="n">
        <v>0</v>
      </c>
      <c r="FC38" s="2" t="n">
        <v>0</v>
      </c>
      <c r="FD38" s="2" t="n">
        <v>0</v>
      </c>
      <c r="FE38" s="2" t="n">
        <v>0</v>
      </c>
      <c r="FF38" s="2" t="n">
        <v>0</v>
      </c>
      <c r="FG38" s="2" t="n">
        <v>0</v>
      </c>
      <c r="FH38" s="2" t="n">
        <v>0</v>
      </c>
      <c r="FI38" s="2" t="n">
        <v>0</v>
      </c>
      <c r="FJ38" s="2" t="n">
        <v>0</v>
      </c>
      <c r="FK38" s="2" t="n">
        <v>0</v>
      </c>
      <c r="FL38" s="2" t="n">
        <v>0</v>
      </c>
      <c r="FM38" s="2" t="n">
        <v>0</v>
      </c>
      <c r="FN38" s="2" t="n">
        <v>0</v>
      </c>
      <c r="FO38" s="2" t="n">
        <v>0</v>
      </c>
      <c r="FP38" s="2" t="n">
        <v>0</v>
      </c>
      <c r="FQ38" s="2" t="n">
        <v>0</v>
      </c>
    </row>
    <row r="39">
      <c r="A39" s="2" t="n">
        <v>3</v>
      </c>
      <c r="B39" s="2" t="inlineStr">
        <is>
          <t>04.04.03</t>
        </is>
      </c>
      <c r="C39" s="2" t="inlineStr">
        <is>
          <t>Central de Argamassa</t>
        </is>
      </c>
      <c r="D39" s="2" t="inlineStr">
        <is>
          <t>-</t>
        </is>
      </c>
      <c r="E39" s="2" t="inlineStr">
        <is>
          <t>-</t>
        </is>
      </c>
      <c r="F39" s="2" t="n">
        <v>5818.648561199393</v>
      </c>
      <c r="G39" s="2" t="n">
        <v>0</v>
      </c>
      <c r="H39" s="2" t="n">
        <v>5818.648561199393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  <c r="ET39" s="2" t="n">
        <v>0</v>
      </c>
      <c r="EU39" s="2" t="n">
        <v>0</v>
      </c>
      <c r="EV39" s="2" t="n">
        <v>0</v>
      </c>
      <c r="EW39" s="2" t="n">
        <v>0</v>
      </c>
      <c r="EX39" s="2" t="n">
        <v>0</v>
      </c>
      <c r="EY39" s="2" t="n">
        <v>0</v>
      </c>
      <c r="EZ39" s="2" t="n">
        <v>0</v>
      </c>
      <c r="FA39" s="2" t="n">
        <v>0</v>
      </c>
      <c r="FB39" s="2" t="n">
        <v>0</v>
      </c>
      <c r="FC39" s="2" t="n">
        <v>0</v>
      </c>
      <c r="FD39" s="2" t="n">
        <v>0</v>
      </c>
      <c r="FE39" s="2" t="n">
        <v>0</v>
      </c>
      <c r="FF39" s="2" t="n">
        <v>0</v>
      </c>
      <c r="FG39" s="2" t="n">
        <v>0</v>
      </c>
      <c r="FH39" s="2" t="n">
        <v>0</v>
      </c>
      <c r="FI39" s="2" t="n">
        <v>0</v>
      </c>
      <c r="FJ39" s="2" t="n">
        <v>0</v>
      </c>
      <c r="FK39" s="2" t="n">
        <v>0</v>
      </c>
      <c r="FL39" s="2" t="n">
        <v>0</v>
      </c>
      <c r="FM39" s="2" t="n">
        <v>0</v>
      </c>
      <c r="FN39" s="2" t="n">
        <v>0</v>
      </c>
      <c r="FO39" s="2" t="n">
        <v>0</v>
      </c>
      <c r="FP39" s="2" t="n">
        <v>0</v>
      </c>
      <c r="FQ39" s="2" t="n">
        <v>0</v>
      </c>
    </row>
    <row r="40">
      <c r="A40" s="2" t="n">
        <v>3</v>
      </c>
      <c r="B40" s="2" t="inlineStr">
        <is>
          <t>04.04.04</t>
        </is>
      </c>
      <c r="C40" s="2" t="inlineStr">
        <is>
          <t>Extintores de Incêndio</t>
        </is>
      </c>
      <c r="D40" s="2" t="inlineStr">
        <is>
          <t>-</t>
        </is>
      </c>
      <c r="E40" s="2" t="inlineStr">
        <is>
          <t>-</t>
        </is>
      </c>
      <c r="F40" s="2" t="n">
        <v>480</v>
      </c>
      <c r="G40" s="2" t="n">
        <v>0</v>
      </c>
      <c r="H40" s="2" t="n">
        <v>480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  <c r="ET40" s="2" t="n">
        <v>0</v>
      </c>
      <c r="EU40" s="2" t="n">
        <v>0</v>
      </c>
      <c r="EV40" s="2" t="n">
        <v>0</v>
      </c>
      <c r="EW40" s="2" t="n">
        <v>0</v>
      </c>
      <c r="EX40" s="2" t="n">
        <v>0</v>
      </c>
      <c r="EY40" s="2" t="n">
        <v>0</v>
      </c>
      <c r="EZ40" s="2" t="n">
        <v>0</v>
      </c>
      <c r="FA40" s="2" t="n">
        <v>0</v>
      </c>
      <c r="FB40" s="2" t="n">
        <v>0</v>
      </c>
      <c r="FC40" s="2" t="n">
        <v>0</v>
      </c>
      <c r="FD40" s="2" t="n">
        <v>0</v>
      </c>
      <c r="FE40" s="2" t="n">
        <v>0</v>
      </c>
      <c r="FF40" s="2" t="n">
        <v>0</v>
      </c>
      <c r="FG40" s="2" t="n">
        <v>0</v>
      </c>
      <c r="FH40" s="2" t="n">
        <v>0</v>
      </c>
      <c r="FI40" s="2" t="n">
        <v>0</v>
      </c>
      <c r="FJ40" s="2" t="n">
        <v>0</v>
      </c>
      <c r="FK40" s="2" t="n">
        <v>0</v>
      </c>
      <c r="FL40" s="2" t="n">
        <v>0</v>
      </c>
      <c r="FM40" s="2" t="n">
        <v>0</v>
      </c>
      <c r="FN40" s="2" t="n">
        <v>0</v>
      </c>
      <c r="FO40" s="2" t="n">
        <v>0</v>
      </c>
      <c r="FP40" s="2" t="n">
        <v>0</v>
      </c>
      <c r="FQ40" s="2" t="n">
        <v>0</v>
      </c>
    </row>
    <row r="41">
      <c r="A41" s="2" t="n">
        <v>2</v>
      </c>
      <c r="B41" s="2" t="inlineStr">
        <is>
          <t>04.05</t>
        </is>
      </c>
      <c r="C41" s="2" t="inlineStr">
        <is>
          <t>Mobiliário para canteiro de obras</t>
        </is>
      </c>
      <c r="D41" s="2" t="inlineStr">
        <is>
          <t>-</t>
        </is>
      </c>
      <c r="E41" s="2" t="inlineStr">
        <is>
          <t>-</t>
        </is>
      </c>
      <c r="F41" s="2" t="n">
        <v>156471</v>
      </c>
      <c r="G41" s="2" t="n">
        <v>0</v>
      </c>
      <c r="H41" s="2" t="n">
        <v>156471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  <c r="ET41" s="2" t="n">
        <v>0</v>
      </c>
      <c r="EU41" s="2" t="n">
        <v>0</v>
      </c>
      <c r="EV41" s="2" t="n">
        <v>0</v>
      </c>
      <c r="EW41" s="2" t="n">
        <v>0</v>
      </c>
      <c r="EX41" s="2" t="n">
        <v>0</v>
      </c>
      <c r="EY41" s="2" t="n">
        <v>0</v>
      </c>
      <c r="EZ41" s="2" t="n">
        <v>0</v>
      </c>
      <c r="FA41" s="2" t="n">
        <v>0</v>
      </c>
      <c r="FB41" s="2" t="n">
        <v>0</v>
      </c>
      <c r="FC41" s="2" t="n">
        <v>0</v>
      </c>
      <c r="FD41" s="2" t="n">
        <v>0</v>
      </c>
      <c r="FE41" s="2" t="n">
        <v>0</v>
      </c>
      <c r="FF41" s="2" t="n">
        <v>0</v>
      </c>
      <c r="FG41" s="2" t="n">
        <v>0</v>
      </c>
      <c r="FH41" s="2" t="n">
        <v>0</v>
      </c>
      <c r="FI41" s="2" t="n">
        <v>0</v>
      </c>
      <c r="FJ41" s="2" t="n">
        <v>0</v>
      </c>
      <c r="FK41" s="2" t="n">
        <v>0</v>
      </c>
      <c r="FL41" s="2" t="n">
        <v>0</v>
      </c>
      <c r="FM41" s="2" t="n">
        <v>0</v>
      </c>
      <c r="FN41" s="2" t="n">
        <v>0</v>
      </c>
      <c r="FO41" s="2" t="n">
        <v>0</v>
      </c>
      <c r="FP41" s="2" t="n">
        <v>0</v>
      </c>
      <c r="FQ41" s="2" t="n">
        <v>0</v>
      </c>
    </row>
    <row r="42">
      <c r="A42" s="2" t="n">
        <v>3</v>
      </c>
      <c r="B42" s="2" t="inlineStr">
        <is>
          <t>04.05.01</t>
        </is>
      </c>
      <c r="C42" s="2" t="inlineStr">
        <is>
          <t>Escritório</t>
        </is>
      </c>
      <c r="D42" s="2" t="inlineStr">
        <is>
          <t>-</t>
        </is>
      </c>
      <c r="E42" s="2" t="inlineStr">
        <is>
          <t>-</t>
        </is>
      </c>
      <c r="F42" s="2" t="n">
        <v>51556</v>
      </c>
      <c r="G42" s="2" t="n">
        <v>0</v>
      </c>
      <c r="H42" s="2" t="n">
        <v>51556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  <c r="ET42" s="2" t="n">
        <v>0</v>
      </c>
      <c r="EU42" s="2" t="n">
        <v>0</v>
      </c>
      <c r="EV42" s="2" t="n">
        <v>0</v>
      </c>
      <c r="EW42" s="2" t="n">
        <v>0</v>
      </c>
      <c r="EX42" s="2" t="n">
        <v>0</v>
      </c>
      <c r="EY42" s="2" t="n">
        <v>0</v>
      </c>
      <c r="EZ42" s="2" t="n">
        <v>0</v>
      </c>
      <c r="FA42" s="2" t="n">
        <v>0</v>
      </c>
      <c r="FB42" s="2" t="n">
        <v>0</v>
      </c>
      <c r="FC42" s="2" t="n">
        <v>0</v>
      </c>
      <c r="FD42" s="2" t="n">
        <v>0</v>
      </c>
      <c r="FE42" s="2" t="n">
        <v>0</v>
      </c>
      <c r="FF42" s="2" t="n">
        <v>0</v>
      </c>
      <c r="FG42" s="2" t="n">
        <v>0</v>
      </c>
      <c r="FH42" s="2" t="n">
        <v>0</v>
      </c>
      <c r="FI42" s="2" t="n">
        <v>0</v>
      </c>
      <c r="FJ42" s="2" t="n">
        <v>0</v>
      </c>
      <c r="FK42" s="2" t="n">
        <v>0</v>
      </c>
      <c r="FL42" s="2" t="n">
        <v>0</v>
      </c>
      <c r="FM42" s="2" t="n">
        <v>0</v>
      </c>
      <c r="FN42" s="2" t="n">
        <v>0</v>
      </c>
      <c r="FO42" s="2" t="n">
        <v>0</v>
      </c>
      <c r="FP42" s="2" t="n">
        <v>0</v>
      </c>
      <c r="FQ42" s="2" t="n">
        <v>0</v>
      </c>
    </row>
    <row r="43">
      <c r="A43" s="2" t="n">
        <v>4</v>
      </c>
      <c r="B43" s="2" t="inlineStr">
        <is>
          <t>04.05.01.01</t>
        </is>
      </c>
      <c r="C43" s="2" t="inlineStr">
        <is>
          <t>Armário (arquivo)</t>
        </is>
      </c>
      <c r="D43" s="2" t="inlineStr">
        <is>
          <t>-</t>
        </is>
      </c>
      <c r="E43" s="2" t="inlineStr">
        <is>
          <t>-</t>
        </is>
      </c>
      <c r="F43" s="2" t="n">
        <v>3600</v>
      </c>
      <c r="G43" s="2" t="n">
        <v>0</v>
      </c>
      <c r="H43" s="2" t="n">
        <v>3600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  <c r="ET43" s="2" t="n">
        <v>0</v>
      </c>
      <c r="EU43" s="2" t="n">
        <v>0</v>
      </c>
      <c r="EV43" s="2" t="n">
        <v>0</v>
      </c>
      <c r="EW43" s="2" t="n">
        <v>0</v>
      </c>
      <c r="EX43" s="2" t="n">
        <v>0</v>
      </c>
      <c r="EY43" s="2" t="n">
        <v>0</v>
      </c>
      <c r="EZ43" s="2" t="n">
        <v>0</v>
      </c>
      <c r="FA43" s="2" t="n">
        <v>0</v>
      </c>
      <c r="FB43" s="2" t="n">
        <v>0</v>
      </c>
      <c r="FC43" s="2" t="n">
        <v>0</v>
      </c>
      <c r="FD43" s="2" t="n">
        <v>0</v>
      </c>
      <c r="FE43" s="2" t="n">
        <v>0</v>
      </c>
      <c r="FF43" s="2" t="n">
        <v>0</v>
      </c>
      <c r="FG43" s="2" t="n">
        <v>0</v>
      </c>
      <c r="FH43" s="2" t="n">
        <v>0</v>
      </c>
      <c r="FI43" s="2" t="n">
        <v>0</v>
      </c>
      <c r="FJ43" s="2" t="n">
        <v>0</v>
      </c>
      <c r="FK43" s="2" t="n">
        <v>0</v>
      </c>
      <c r="FL43" s="2" t="n">
        <v>0</v>
      </c>
      <c r="FM43" s="2" t="n">
        <v>0</v>
      </c>
      <c r="FN43" s="2" t="n">
        <v>0</v>
      </c>
      <c r="FO43" s="2" t="n">
        <v>0</v>
      </c>
      <c r="FP43" s="2" t="n">
        <v>0</v>
      </c>
      <c r="FQ43" s="2" t="n">
        <v>0</v>
      </c>
    </row>
    <row r="44">
      <c r="A44" s="2" t="n">
        <v>4</v>
      </c>
      <c r="B44" s="2" t="inlineStr">
        <is>
          <t>04.05.01.02</t>
        </is>
      </c>
      <c r="C44" s="2" t="inlineStr">
        <is>
          <t>Cadeira</t>
        </is>
      </c>
      <c r="D44" s="2" t="inlineStr">
        <is>
          <t>-</t>
        </is>
      </c>
      <c r="E44" s="2" t="inlineStr">
        <is>
          <t>-</t>
        </is>
      </c>
      <c r="F44" s="2" t="n">
        <v>3040</v>
      </c>
      <c r="G44" s="2" t="n">
        <v>0</v>
      </c>
      <c r="H44" s="2" t="n">
        <v>3040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  <c r="ET44" s="2" t="n">
        <v>0</v>
      </c>
      <c r="EU44" s="2" t="n">
        <v>0</v>
      </c>
      <c r="EV44" s="2" t="n">
        <v>0</v>
      </c>
      <c r="EW44" s="2" t="n">
        <v>0</v>
      </c>
      <c r="EX44" s="2" t="n">
        <v>0</v>
      </c>
      <c r="EY44" s="2" t="n">
        <v>0</v>
      </c>
      <c r="EZ44" s="2" t="n">
        <v>0</v>
      </c>
      <c r="FA44" s="2" t="n">
        <v>0</v>
      </c>
      <c r="FB44" s="2" t="n">
        <v>0</v>
      </c>
      <c r="FC44" s="2" t="n">
        <v>0</v>
      </c>
      <c r="FD44" s="2" t="n">
        <v>0</v>
      </c>
      <c r="FE44" s="2" t="n">
        <v>0</v>
      </c>
      <c r="FF44" s="2" t="n">
        <v>0</v>
      </c>
      <c r="FG44" s="2" t="n">
        <v>0</v>
      </c>
      <c r="FH44" s="2" t="n">
        <v>0</v>
      </c>
      <c r="FI44" s="2" t="n">
        <v>0</v>
      </c>
      <c r="FJ44" s="2" t="n">
        <v>0</v>
      </c>
      <c r="FK44" s="2" t="n">
        <v>0</v>
      </c>
      <c r="FL44" s="2" t="n">
        <v>0</v>
      </c>
      <c r="FM44" s="2" t="n">
        <v>0</v>
      </c>
      <c r="FN44" s="2" t="n">
        <v>0</v>
      </c>
      <c r="FO44" s="2" t="n">
        <v>0</v>
      </c>
      <c r="FP44" s="2" t="n">
        <v>0</v>
      </c>
      <c r="FQ44" s="2" t="n">
        <v>0</v>
      </c>
    </row>
    <row r="45">
      <c r="A45" s="2" t="n">
        <v>4</v>
      </c>
      <c r="B45" s="2" t="inlineStr">
        <is>
          <t>04.05.01.03</t>
        </is>
      </c>
      <c r="C45" s="2" t="inlineStr">
        <is>
          <t>Mesa</t>
        </is>
      </c>
      <c r="D45" s="2" t="inlineStr">
        <is>
          <t>-</t>
        </is>
      </c>
      <c r="E45" s="2" t="inlineStr">
        <is>
          <t>-</t>
        </is>
      </c>
      <c r="F45" s="2" t="n">
        <v>1350</v>
      </c>
      <c r="G45" s="2" t="n">
        <v>0</v>
      </c>
      <c r="H45" s="2" t="n">
        <v>1350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  <c r="ET45" s="2" t="n">
        <v>0</v>
      </c>
      <c r="EU45" s="2" t="n">
        <v>0</v>
      </c>
      <c r="EV45" s="2" t="n">
        <v>0</v>
      </c>
      <c r="EW45" s="2" t="n">
        <v>0</v>
      </c>
      <c r="EX45" s="2" t="n">
        <v>0</v>
      </c>
      <c r="EY45" s="2" t="n">
        <v>0</v>
      </c>
      <c r="EZ45" s="2" t="n">
        <v>0</v>
      </c>
      <c r="FA45" s="2" t="n">
        <v>0</v>
      </c>
      <c r="FB45" s="2" t="n">
        <v>0</v>
      </c>
      <c r="FC45" s="2" t="n">
        <v>0</v>
      </c>
      <c r="FD45" s="2" t="n">
        <v>0</v>
      </c>
      <c r="FE45" s="2" t="n">
        <v>0</v>
      </c>
      <c r="FF45" s="2" t="n">
        <v>0</v>
      </c>
      <c r="FG45" s="2" t="n">
        <v>0</v>
      </c>
      <c r="FH45" s="2" t="n">
        <v>0</v>
      </c>
      <c r="FI45" s="2" t="n">
        <v>0</v>
      </c>
      <c r="FJ45" s="2" t="n">
        <v>0</v>
      </c>
      <c r="FK45" s="2" t="n">
        <v>0</v>
      </c>
      <c r="FL45" s="2" t="n">
        <v>0</v>
      </c>
      <c r="FM45" s="2" t="n">
        <v>0</v>
      </c>
      <c r="FN45" s="2" t="n">
        <v>0</v>
      </c>
      <c r="FO45" s="2" t="n">
        <v>0</v>
      </c>
      <c r="FP45" s="2" t="n">
        <v>0</v>
      </c>
      <c r="FQ45" s="2" t="n">
        <v>0</v>
      </c>
    </row>
    <row r="46">
      <c r="A46" s="2" t="n">
        <v>4</v>
      </c>
      <c r="B46" s="2" t="inlineStr">
        <is>
          <t>04.05.01.04</t>
        </is>
      </c>
      <c r="C46" s="2" t="inlineStr">
        <is>
          <t>Mesa de reunião</t>
        </is>
      </c>
      <c r="D46" s="2" t="inlineStr">
        <is>
          <t>-</t>
        </is>
      </c>
      <c r="E46" s="2" t="inlineStr">
        <is>
          <t>-</t>
        </is>
      </c>
      <c r="F46" s="2" t="n">
        <v>500</v>
      </c>
      <c r="G46" s="2" t="n">
        <v>0</v>
      </c>
      <c r="H46" s="2" t="n">
        <v>500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  <c r="ET46" s="2" t="n">
        <v>0</v>
      </c>
      <c r="EU46" s="2" t="n">
        <v>0</v>
      </c>
      <c r="EV46" s="2" t="n">
        <v>0</v>
      </c>
      <c r="EW46" s="2" t="n">
        <v>0</v>
      </c>
      <c r="EX46" s="2" t="n">
        <v>0</v>
      </c>
      <c r="EY46" s="2" t="n">
        <v>0</v>
      </c>
      <c r="EZ46" s="2" t="n">
        <v>0</v>
      </c>
      <c r="FA46" s="2" t="n">
        <v>0</v>
      </c>
      <c r="FB46" s="2" t="n">
        <v>0</v>
      </c>
      <c r="FC46" s="2" t="n">
        <v>0</v>
      </c>
      <c r="FD46" s="2" t="n">
        <v>0</v>
      </c>
      <c r="FE46" s="2" t="n">
        <v>0</v>
      </c>
      <c r="FF46" s="2" t="n">
        <v>0</v>
      </c>
      <c r="FG46" s="2" t="n">
        <v>0</v>
      </c>
      <c r="FH46" s="2" t="n">
        <v>0</v>
      </c>
      <c r="FI46" s="2" t="n">
        <v>0</v>
      </c>
      <c r="FJ46" s="2" t="n">
        <v>0</v>
      </c>
      <c r="FK46" s="2" t="n">
        <v>0</v>
      </c>
      <c r="FL46" s="2" t="n">
        <v>0</v>
      </c>
      <c r="FM46" s="2" t="n">
        <v>0</v>
      </c>
      <c r="FN46" s="2" t="n">
        <v>0</v>
      </c>
      <c r="FO46" s="2" t="n">
        <v>0</v>
      </c>
      <c r="FP46" s="2" t="n">
        <v>0</v>
      </c>
      <c r="FQ46" s="2" t="n">
        <v>0</v>
      </c>
    </row>
    <row r="47">
      <c r="A47" s="2" t="n">
        <v>4</v>
      </c>
      <c r="B47" s="2" t="inlineStr">
        <is>
          <t>04.05.01.05</t>
        </is>
      </c>
      <c r="C47" s="2" t="inlineStr">
        <is>
          <t>Prateleira</t>
        </is>
      </c>
      <c r="D47" s="2" t="inlineStr">
        <is>
          <t>-</t>
        </is>
      </c>
      <c r="E47" s="2" t="inlineStr">
        <is>
          <t>-</t>
        </is>
      </c>
      <c r="F47" s="2" t="n">
        <v>420</v>
      </c>
      <c r="G47" s="2" t="n">
        <v>0</v>
      </c>
      <c r="H47" s="2" t="n">
        <v>420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  <c r="ET47" s="2" t="n">
        <v>0</v>
      </c>
      <c r="EU47" s="2" t="n">
        <v>0</v>
      </c>
      <c r="EV47" s="2" t="n">
        <v>0</v>
      </c>
      <c r="EW47" s="2" t="n">
        <v>0</v>
      </c>
      <c r="EX47" s="2" t="n">
        <v>0</v>
      </c>
      <c r="EY47" s="2" t="n">
        <v>0</v>
      </c>
      <c r="EZ47" s="2" t="n">
        <v>0</v>
      </c>
      <c r="FA47" s="2" t="n">
        <v>0</v>
      </c>
      <c r="FB47" s="2" t="n">
        <v>0</v>
      </c>
      <c r="FC47" s="2" t="n">
        <v>0</v>
      </c>
      <c r="FD47" s="2" t="n">
        <v>0</v>
      </c>
      <c r="FE47" s="2" t="n">
        <v>0</v>
      </c>
      <c r="FF47" s="2" t="n">
        <v>0</v>
      </c>
      <c r="FG47" s="2" t="n">
        <v>0</v>
      </c>
      <c r="FH47" s="2" t="n">
        <v>0</v>
      </c>
      <c r="FI47" s="2" t="n">
        <v>0</v>
      </c>
      <c r="FJ47" s="2" t="n">
        <v>0</v>
      </c>
      <c r="FK47" s="2" t="n">
        <v>0</v>
      </c>
      <c r="FL47" s="2" t="n">
        <v>0</v>
      </c>
      <c r="FM47" s="2" t="n">
        <v>0</v>
      </c>
      <c r="FN47" s="2" t="n">
        <v>0</v>
      </c>
      <c r="FO47" s="2" t="n">
        <v>0</v>
      </c>
      <c r="FP47" s="2" t="n">
        <v>0</v>
      </c>
      <c r="FQ47" s="2" t="n">
        <v>0</v>
      </c>
    </row>
    <row r="48">
      <c r="A48" s="2" t="n">
        <v>4</v>
      </c>
      <c r="B48" s="2" t="inlineStr">
        <is>
          <t>04.05.01.06</t>
        </is>
      </c>
      <c r="C48" s="2" t="inlineStr">
        <is>
          <t>Micro computador com impressora</t>
        </is>
      </c>
      <c r="D48" s="2" t="inlineStr">
        <is>
          <t>-</t>
        </is>
      </c>
      <c r="E48" s="2" t="inlineStr">
        <is>
          <t>-</t>
        </is>
      </c>
      <c r="F48" s="2" t="n">
        <v>18796</v>
      </c>
      <c r="G48" s="2" t="n">
        <v>0</v>
      </c>
      <c r="H48" s="2" t="n">
        <v>18796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  <c r="ET48" s="2" t="n">
        <v>0</v>
      </c>
      <c r="EU48" s="2" t="n">
        <v>0</v>
      </c>
      <c r="EV48" s="2" t="n">
        <v>0</v>
      </c>
      <c r="EW48" s="2" t="n">
        <v>0</v>
      </c>
      <c r="EX48" s="2" t="n">
        <v>0</v>
      </c>
      <c r="EY48" s="2" t="n">
        <v>0</v>
      </c>
      <c r="EZ48" s="2" t="n">
        <v>0</v>
      </c>
      <c r="FA48" s="2" t="n">
        <v>0</v>
      </c>
      <c r="FB48" s="2" t="n">
        <v>0</v>
      </c>
      <c r="FC48" s="2" t="n">
        <v>0</v>
      </c>
      <c r="FD48" s="2" t="n">
        <v>0</v>
      </c>
      <c r="FE48" s="2" t="n">
        <v>0</v>
      </c>
      <c r="FF48" s="2" t="n">
        <v>0</v>
      </c>
      <c r="FG48" s="2" t="n">
        <v>0</v>
      </c>
      <c r="FH48" s="2" t="n">
        <v>0</v>
      </c>
      <c r="FI48" s="2" t="n">
        <v>0</v>
      </c>
      <c r="FJ48" s="2" t="n">
        <v>0</v>
      </c>
      <c r="FK48" s="2" t="n">
        <v>0</v>
      </c>
      <c r="FL48" s="2" t="n">
        <v>0</v>
      </c>
      <c r="FM48" s="2" t="n">
        <v>0</v>
      </c>
      <c r="FN48" s="2" t="n">
        <v>0</v>
      </c>
      <c r="FO48" s="2" t="n">
        <v>0</v>
      </c>
      <c r="FP48" s="2" t="n">
        <v>0</v>
      </c>
      <c r="FQ48" s="2" t="n">
        <v>0</v>
      </c>
    </row>
    <row r="49">
      <c r="A49" s="2" t="n">
        <v>4</v>
      </c>
      <c r="B49" s="2" t="inlineStr">
        <is>
          <t>04.05.01.07</t>
        </is>
      </c>
      <c r="C49" s="2" t="inlineStr">
        <is>
          <t>Aparelho de ar condicionado</t>
        </is>
      </c>
      <c r="D49" s="2" t="inlineStr">
        <is>
          <t>-</t>
        </is>
      </c>
      <c r="E49" s="2" t="inlineStr">
        <is>
          <t>-</t>
        </is>
      </c>
      <c r="F49" s="2" t="n">
        <v>3750</v>
      </c>
      <c r="G49" s="2" t="n">
        <v>0</v>
      </c>
      <c r="H49" s="2" t="n">
        <v>3750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  <c r="ET49" s="2" t="n">
        <v>0</v>
      </c>
      <c r="EU49" s="2" t="n">
        <v>0</v>
      </c>
      <c r="EV49" s="2" t="n">
        <v>0</v>
      </c>
      <c r="EW49" s="2" t="n">
        <v>0</v>
      </c>
      <c r="EX49" s="2" t="n">
        <v>0</v>
      </c>
      <c r="EY49" s="2" t="n">
        <v>0</v>
      </c>
      <c r="EZ49" s="2" t="n">
        <v>0</v>
      </c>
      <c r="FA49" s="2" t="n">
        <v>0</v>
      </c>
      <c r="FB49" s="2" t="n">
        <v>0</v>
      </c>
      <c r="FC49" s="2" t="n">
        <v>0</v>
      </c>
      <c r="FD49" s="2" t="n">
        <v>0</v>
      </c>
      <c r="FE49" s="2" t="n">
        <v>0</v>
      </c>
      <c r="FF49" s="2" t="n">
        <v>0</v>
      </c>
      <c r="FG49" s="2" t="n">
        <v>0</v>
      </c>
      <c r="FH49" s="2" t="n">
        <v>0</v>
      </c>
      <c r="FI49" s="2" t="n">
        <v>0</v>
      </c>
      <c r="FJ49" s="2" t="n">
        <v>0</v>
      </c>
      <c r="FK49" s="2" t="n">
        <v>0</v>
      </c>
      <c r="FL49" s="2" t="n">
        <v>0</v>
      </c>
      <c r="FM49" s="2" t="n">
        <v>0</v>
      </c>
      <c r="FN49" s="2" t="n">
        <v>0</v>
      </c>
      <c r="FO49" s="2" t="n">
        <v>0</v>
      </c>
      <c r="FP49" s="2" t="n">
        <v>0</v>
      </c>
      <c r="FQ49" s="2" t="n">
        <v>0</v>
      </c>
    </row>
    <row r="50">
      <c r="A50" s="2" t="n">
        <v>4</v>
      </c>
      <c r="B50" s="2" t="inlineStr">
        <is>
          <t>04.05.01.08</t>
        </is>
      </c>
      <c r="C50" s="2" t="inlineStr">
        <is>
          <t>Tablet</t>
        </is>
      </c>
      <c r="D50" s="2" t="inlineStr">
        <is>
          <t>-</t>
        </is>
      </c>
      <c r="E50" s="2" t="inlineStr">
        <is>
          <t>-</t>
        </is>
      </c>
      <c r="F50" s="2" t="n">
        <v>12500</v>
      </c>
      <c r="G50" s="2" t="n">
        <v>0</v>
      </c>
      <c r="H50" s="2" t="n">
        <v>12500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  <c r="ET50" s="2" t="n">
        <v>0</v>
      </c>
      <c r="EU50" s="2" t="n">
        <v>0</v>
      </c>
      <c r="EV50" s="2" t="n">
        <v>0</v>
      </c>
      <c r="EW50" s="2" t="n">
        <v>0</v>
      </c>
      <c r="EX50" s="2" t="n">
        <v>0</v>
      </c>
      <c r="EY50" s="2" t="n">
        <v>0</v>
      </c>
      <c r="EZ50" s="2" t="n">
        <v>0</v>
      </c>
      <c r="FA50" s="2" t="n">
        <v>0</v>
      </c>
      <c r="FB50" s="2" t="n">
        <v>0</v>
      </c>
      <c r="FC50" s="2" t="n">
        <v>0</v>
      </c>
      <c r="FD50" s="2" t="n">
        <v>0</v>
      </c>
      <c r="FE50" s="2" t="n">
        <v>0</v>
      </c>
      <c r="FF50" s="2" t="n">
        <v>0</v>
      </c>
      <c r="FG50" s="2" t="n">
        <v>0</v>
      </c>
      <c r="FH50" s="2" t="n">
        <v>0</v>
      </c>
      <c r="FI50" s="2" t="n">
        <v>0</v>
      </c>
      <c r="FJ50" s="2" t="n">
        <v>0</v>
      </c>
      <c r="FK50" s="2" t="n">
        <v>0</v>
      </c>
      <c r="FL50" s="2" t="n">
        <v>0</v>
      </c>
      <c r="FM50" s="2" t="n">
        <v>0</v>
      </c>
      <c r="FN50" s="2" t="n">
        <v>0</v>
      </c>
      <c r="FO50" s="2" t="n">
        <v>0</v>
      </c>
      <c r="FP50" s="2" t="n">
        <v>0</v>
      </c>
      <c r="FQ50" s="2" t="n">
        <v>0</v>
      </c>
    </row>
    <row r="51">
      <c r="A51" s="2" t="n">
        <v>4</v>
      </c>
      <c r="B51" s="2" t="inlineStr">
        <is>
          <t>04.05.01.09</t>
        </is>
      </c>
      <c r="C51" s="2" t="inlineStr">
        <is>
          <t>Quadro Lean</t>
        </is>
      </c>
      <c r="D51" s="2" t="inlineStr">
        <is>
          <t>-</t>
        </is>
      </c>
      <c r="E51" s="2" t="inlineStr">
        <is>
          <t>-</t>
        </is>
      </c>
      <c r="F51" s="2" t="n">
        <v>5000</v>
      </c>
      <c r="G51" s="2" t="n">
        <v>0</v>
      </c>
      <c r="H51" s="2" t="n">
        <v>5000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  <c r="ET51" s="2" t="n">
        <v>0</v>
      </c>
      <c r="EU51" s="2" t="n">
        <v>0</v>
      </c>
      <c r="EV51" s="2" t="n">
        <v>0</v>
      </c>
      <c r="EW51" s="2" t="n">
        <v>0</v>
      </c>
      <c r="EX51" s="2" t="n">
        <v>0</v>
      </c>
      <c r="EY51" s="2" t="n">
        <v>0</v>
      </c>
      <c r="EZ51" s="2" t="n">
        <v>0</v>
      </c>
      <c r="FA51" s="2" t="n">
        <v>0</v>
      </c>
      <c r="FB51" s="2" t="n">
        <v>0</v>
      </c>
      <c r="FC51" s="2" t="n">
        <v>0</v>
      </c>
      <c r="FD51" s="2" t="n">
        <v>0</v>
      </c>
      <c r="FE51" s="2" t="n">
        <v>0</v>
      </c>
      <c r="FF51" s="2" t="n">
        <v>0</v>
      </c>
      <c r="FG51" s="2" t="n">
        <v>0</v>
      </c>
      <c r="FH51" s="2" t="n">
        <v>0</v>
      </c>
      <c r="FI51" s="2" t="n">
        <v>0</v>
      </c>
      <c r="FJ51" s="2" t="n">
        <v>0</v>
      </c>
      <c r="FK51" s="2" t="n">
        <v>0</v>
      </c>
      <c r="FL51" s="2" t="n">
        <v>0</v>
      </c>
      <c r="FM51" s="2" t="n">
        <v>0</v>
      </c>
      <c r="FN51" s="2" t="n">
        <v>0</v>
      </c>
      <c r="FO51" s="2" t="n">
        <v>0</v>
      </c>
      <c r="FP51" s="2" t="n">
        <v>0</v>
      </c>
      <c r="FQ51" s="2" t="n">
        <v>0</v>
      </c>
    </row>
    <row r="52">
      <c r="A52" s="2" t="n">
        <v>4</v>
      </c>
      <c r="B52" s="2" t="inlineStr">
        <is>
          <t>04.05.01.10</t>
        </is>
      </c>
      <c r="C52" s="2" t="inlineStr">
        <is>
          <t>TV 50 polegadas</t>
        </is>
      </c>
      <c r="D52" s="2" t="inlineStr">
        <is>
          <t>-</t>
        </is>
      </c>
      <c r="E52" s="2" t="inlineStr">
        <is>
          <t>-</t>
        </is>
      </c>
      <c r="F52" s="2" t="n">
        <v>2600</v>
      </c>
      <c r="G52" s="2" t="n">
        <v>0</v>
      </c>
      <c r="H52" s="2" t="n">
        <v>2600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  <c r="ET52" s="2" t="n">
        <v>0</v>
      </c>
      <c r="EU52" s="2" t="n">
        <v>0</v>
      </c>
      <c r="EV52" s="2" t="n">
        <v>0</v>
      </c>
      <c r="EW52" s="2" t="n">
        <v>0</v>
      </c>
      <c r="EX52" s="2" t="n">
        <v>0</v>
      </c>
      <c r="EY52" s="2" t="n">
        <v>0</v>
      </c>
      <c r="EZ52" s="2" t="n">
        <v>0</v>
      </c>
      <c r="FA52" s="2" t="n">
        <v>0</v>
      </c>
      <c r="FB52" s="2" t="n">
        <v>0</v>
      </c>
      <c r="FC52" s="2" t="n">
        <v>0</v>
      </c>
      <c r="FD52" s="2" t="n">
        <v>0</v>
      </c>
      <c r="FE52" s="2" t="n">
        <v>0</v>
      </c>
      <c r="FF52" s="2" t="n">
        <v>0</v>
      </c>
      <c r="FG52" s="2" t="n">
        <v>0</v>
      </c>
      <c r="FH52" s="2" t="n">
        <v>0</v>
      </c>
      <c r="FI52" s="2" t="n">
        <v>0</v>
      </c>
      <c r="FJ52" s="2" t="n">
        <v>0</v>
      </c>
      <c r="FK52" s="2" t="n">
        <v>0</v>
      </c>
      <c r="FL52" s="2" t="n">
        <v>0</v>
      </c>
      <c r="FM52" s="2" t="n">
        <v>0</v>
      </c>
      <c r="FN52" s="2" t="n">
        <v>0</v>
      </c>
      <c r="FO52" s="2" t="n">
        <v>0</v>
      </c>
      <c r="FP52" s="2" t="n">
        <v>0</v>
      </c>
      <c r="FQ52" s="2" t="n">
        <v>0</v>
      </c>
    </row>
    <row r="53">
      <c r="A53" s="2" t="n">
        <v>3</v>
      </c>
      <c r="B53" s="2" t="inlineStr">
        <is>
          <t>04.05.02</t>
        </is>
      </c>
      <c r="C53" s="2" t="inlineStr">
        <is>
          <t>Vestiário</t>
        </is>
      </c>
      <c r="D53" s="2" t="inlineStr">
        <is>
          <t>-</t>
        </is>
      </c>
      <c r="E53" s="2" t="inlineStr">
        <is>
          <t>-</t>
        </is>
      </c>
      <c r="F53" s="2" t="n">
        <v>19500</v>
      </c>
      <c r="G53" s="2" t="n">
        <v>0</v>
      </c>
      <c r="H53" s="2" t="n">
        <v>19500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  <c r="ET53" s="2" t="n">
        <v>0</v>
      </c>
      <c r="EU53" s="2" t="n">
        <v>0</v>
      </c>
      <c r="EV53" s="2" t="n">
        <v>0</v>
      </c>
      <c r="EW53" s="2" t="n">
        <v>0</v>
      </c>
      <c r="EX53" s="2" t="n">
        <v>0</v>
      </c>
      <c r="EY53" s="2" t="n">
        <v>0</v>
      </c>
      <c r="EZ53" s="2" t="n">
        <v>0</v>
      </c>
      <c r="FA53" s="2" t="n">
        <v>0</v>
      </c>
      <c r="FB53" s="2" t="n">
        <v>0</v>
      </c>
      <c r="FC53" s="2" t="n">
        <v>0</v>
      </c>
      <c r="FD53" s="2" t="n">
        <v>0</v>
      </c>
      <c r="FE53" s="2" t="n">
        <v>0</v>
      </c>
      <c r="FF53" s="2" t="n">
        <v>0</v>
      </c>
      <c r="FG53" s="2" t="n">
        <v>0</v>
      </c>
      <c r="FH53" s="2" t="n">
        <v>0</v>
      </c>
      <c r="FI53" s="2" t="n">
        <v>0</v>
      </c>
      <c r="FJ53" s="2" t="n">
        <v>0</v>
      </c>
      <c r="FK53" s="2" t="n">
        <v>0</v>
      </c>
      <c r="FL53" s="2" t="n">
        <v>0</v>
      </c>
      <c r="FM53" s="2" t="n">
        <v>0</v>
      </c>
      <c r="FN53" s="2" t="n">
        <v>0</v>
      </c>
      <c r="FO53" s="2" t="n">
        <v>0</v>
      </c>
      <c r="FP53" s="2" t="n">
        <v>0</v>
      </c>
      <c r="FQ53" s="2" t="n">
        <v>0</v>
      </c>
    </row>
    <row r="54">
      <c r="A54" s="2" t="n">
        <v>4</v>
      </c>
      <c r="B54" s="2" t="inlineStr">
        <is>
          <t>04.05.02.01</t>
        </is>
      </c>
      <c r="C54" s="2" t="inlineStr">
        <is>
          <t>Bancos</t>
        </is>
      </c>
      <c r="D54" s="2" t="inlineStr">
        <is>
          <t>-</t>
        </is>
      </c>
      <c r="E54" s="2" t="inlineStr">
        <is>
          <t>-</t>
        </is>
      </c>
      <c r="F54" s="2" t="n">
        <v>2700</v>
      </c>
      <c r="G54" s="2" t="n">
        <v>0</v>
      </c>
      <c r="H54" s="2" t="n">
        <v>2700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  <c r="ET54" s="2" t="n">
        <v>0</v>
      </c>
      <c r="EU54" s="2" t="n">
        <v>0</v>
      </c>
      <c r="EV54" s="2" t="n">
        <v>0</v>
      </c>
      <c r="EW54" s="2" t="n">
        <v>0</v>
      </c>
      <c r="EX54" s="2" t="n">
        <v>0</v>
      </c>
      <c r="EY54" s="2" t="n">
        <v>0</v>
      </c>
      <c r="EZ54" s="2" t="n">
        <v>0</v>
      </c>
      <c r="FA54" s="2" t="n">
        <v>0</v>
      </c>
      <c r="FB54" s="2" t="n">
        <v>0</v>
      </c>
      <c r="FC54" s="2" t="n">
        <v>0</v>
      </c>
      <c r="FD54" s="2" t="n">
        <v>0</v>
      </c>
      <c r="FE54" s="2" t="n">
        <v>0</v>
      </c>
      <c r="FF54" s="2" t="n">
        <v>0</v>
      </c>
      <c r="FG54" s="2" t="n">
        <v>0</v>
      </c>
      <c r="FH54" s="2" t="n">
        <v>0</v>
      </c>
      <c r="FI54" s="2" t="n">
        <v>0</v>
      </c>
      <c r="FJ54" s="2" t="n">
        <v>0</v>
      </c>
      <c r="FK54" s="2" t="n">
        <v>0</v>
      </c>
      <c r="FL54" s="2" t="n">
        <v>0</v>
      </c>
      <c r="FM54" s="2" t="n">
        <v>0</v>
      </c>
      <c r="FN54" s="2" t="n">
        <v>0</v>
      </c>
      <c r="FO54" s="2" t="n">
        <v>0</v>
      </c>
      <c r="FP54" s="2" t="n">
        <v>0</v>
      </c>
      <c r="FQ54" s="2" t="n">
        <v>0</v>
      </c>
    </row>
    <row r="55">
      <c r="A55" s="2" t="n">
        <v>4</v>
      </c>
      <c r="B55" s="2" t="inlineStr">
        <is>
          <t>04.05.02.02</t>
        </is>
      </c>
      <c r="C55" s="2" t="inlineStr">
        <is>
          <t>Armário tipo escaninho com cadeado</t>
        </is>
      </c>
      <c r="D55" s="2" t="inlineStr">
        <is>
          <t>-</t>
        </is>
      </c>
      <c r="E55" s="2" t="inlineStr">
        <is>
          <t>-</t>
        </is>
      </c>
      <c r="F55" s="2" t="n">
        <v>16800</v>
      </c>
      <c r="G55" s="2" t="n">
        <v>0</v>
      </c>
      <c r="H55" s="2" t="n">
        <v>16800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  <c r="ET55" s="2" t="n">
        <v>0</v>
      </c>
      <c r="EU55" s="2" t="n">
        <v>0</v>
      </c>
      <c r="EV55" s="2" t="n">
        <v>0</v>
      </c>
      <c r="EW55" s="2" t="n">
        <v>0</v>
      </c>
      <c r="EX55" s="2" t="n">
        <v>0</v>
      </c>
      <c r="EY55" s="2" t="n">
        <v>0</v>
      </c>
      <c r="EZ55" s="2" t="n">
        <v>0</v>
      </c>
      <c r="FA55" s="2" t="n">
        <v>0</v>
      </c>
      <c r="FB55" s="2" t="n">
        <v>0</v>
      </c>
      <c r="FC55" s="2" t="n">
        <v>0</v>
      </c>
      <c r="FD55" s="2" t="n">
        <v>0</v>
      </c>
      <c r="FE55" s="2" t="n">
        <v>0</v>
      </c>
      <c r="FF55" s="2" t="n">
        <v>0</v>
      </c>
      <c r="FG55" s="2" t="n">
        <v>0</v>
      </c>
      <c r="FH55" s="2" t="n">
        <v>0</v>
      </c>
      <c r="FI55" s="2" t="n">
        <v>0</v>
      </c>
      <c r="FJ55" s="2" t="n">
        <v>0</v>
      </c>
      <c r="FK55" s="2" t="n">
        <v>0</v>
      </c>
      <c r="FL55" s="2" t="n">
        <v>0</v>
      </c>
      <c r="FM55" s="2" t="n">
        <v>0</v>
      </c>
      <c r="FN55" s="2" t="n">
        <v>0</v>
      </c>
      <c r="FO55" s="2" t="n">
        <v>0</v>
      </c>
      <c r="FP55" s="2" t="n">
        <v>0</v>
      </c>
      <c r="FQ55" s="2" t="n">
        <v>0</v>
      </c>
    </row>
    <row r="56">
      <c r="A56" s="2" t="n">
        <v>3</v>
      </c>
      <c r="B56" s="2" t="inlineStr">
        <is>
          <t>04.05.03</t>
        </is>
      </c>
      <c r="C56" s="2" t="inlineStr">
        <is>
          <t>Chapeira de ponto</t>
        </is>
      </c>
      <c r="D56" s="2" t="inlineStr">
        <is>
          <t>-</t>
        </is>
      </c>
      <c r="E56" s="2" t="inlineStr">
        <is>
          <t>-</t>
        </is>
      </c>
      <c r="F56" s="2" t="n">
        <v>55305</v>
      </c>
      <c r="G56" s="2" t="n">
        <v>0</v>
      </c>
      <c r="H56" s="2" t="n">
        <v>55305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  <c r="ET56" s="2" t="n">
        <v>0</v>
      </c>
      <c r="EU56" s="2" t="n">
        <v>0</v>
      </c>
      <c r="EV56" s="2" t="n">
        <v>0</v>
      </c>
      <c r="EW56" s="2" t="n">
        <v>0</v>
      </c>
      <c r="EX56" s="2" t="n">
        <v>0</v>
      </c>
      <c r="EY56" s="2" t="n">
        <v>0</v>
      </c>
      <c r="EZ56" s="2" t="n">
        <v>0</v>
      </c>
      <c r="FA56" s="2" t="n">
        <v>0</v>
      </c>
      <c r="FB56" s="2" t="n">
        <v>0</v>
      </c>
      <c r="FC56" s="2" t="n">
        <v>0</v>
      </c>
      <c r="FD56" s="2" t="n">
        <v>0</v>
      </c>
      <c r="FE56" s="2" t="n">
        <v>0</v>
      </c>
      <c r="FF56" s="2" t="n">
        <v>0</v>
      </c>
      <c r="FG56" s="2" t="n">
        <v>0</v>
      </c>
      <c r="FH56" s="2" t="n">
        <v>0</v>
      </c>
      <c r="FI56" s="2" t="n">
        <v>0</v>
      </c>
      <c r="FJ56" s="2" t="n">
        <v>0</v>
      </c>
      <c r="FK56" s="2" t="n">
        <v>0</v>
      </c>
      <c r="FL56" s="2" t="n">
        <v>0</v>
      </c>
      <c r="FM56" s="2" t="n">
        <v>0</v>
      </c>
      <c r="FN56" s="2" t="n">
        <v>0</v>
      </c>
      <c r="FO56" s="2" t="n">
        <v>0</v>
      </c>
      <c r="FP56" s="2" t="n">
        <v>0</v>
      </c>
      <c r="FQ56" s="2" t="n">
        <v>0</v>
      </c>
    </row>
    <row r="57">
      <c r="A57" s="2" t="n">
        <v>4</v>
      </c>
      <c r="B57" s="2" t="inlineStr">
        <is>
          <t>04.05.03.01</t>
        </is>
      </c>
      <c r="C57" s="2" t="inlineStr">
        <is>
          <t>Cadeira</t>
        </is>
      </c>
      <c r="D57" s="2" t="inlineStr">
        <is>
          <t>-</t>
        </is>
      </c>
      <c r="E57" s="2" t="inlineStr">
        <is>
          <t>-</t>
        </is>
      </c>
      <c r="F57" s="2" t="n">
        <v>160</v>
      </c>
      <c r="G57" s="2" t="n">
        <v>0</v>
      </c>
      <c r="H57" s="2" t="n">
        <v>160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  <c r="ET57" s="2" t="n">
        <v>0</v>
      </c>
      <c r="EU57" s="2" t="n">
        <v>0</v>
      </c>
      <c r="EV57" s="2" t="n">
        <v>0</v>
      </c>
      <c r="EW57" s="2" t="n">
        <v>0</v>
      </c>
      <c r="EX57" s="2" t="n">
        <v>0</v>
      </c>
      <c r="EY57" s="2" t="n">
        <v>0</v>
      </c>
      <c r="EZ57" s="2" t="n">
        <v>0</v>
      </c>
      <c r="FA57" s="2" t="n">
        <v>0</v>
      </c>
      <c r="FB57" s="2" t="n">
        <v>0</v>
      </c>
      <c r="FC57" s="2" t="n">
        <v>0</v>
      </c>
      <c r="FD57" s="2" t="n">
        <v>0</v>
      </c>
      <c r="FE57" s="2" t="n">
        <v>0</v>
      </c>
      <c r="FF57" s="2" t="n">
        <v>0</v>
      </c>
      <c r="FG57" s="2" t="n">
        <v>0</v>
      </c>
      <c r="FH57" s="2" t="n">
        <v>0</v>
      </c>
      <c r="FI57" s="2" t="n">
        <v>0</v>
      </c>
      <c r="FJ57" s="2" t="n">
        <v>0</v>
      </c>
      <c r="FK57" s="2" t="n">
        <v>0</v>
      </c>
      <c r="FL57" s="2" t="n">
        <v>0</v>
      </c>
      <c r="FM57" s="2" t="n">
        <v>0</v>
      </c>
      <c r="FN57" s="2" t="n">
        <v>0</v>
      </c>
      <c r="FO57" s="2" t="n">
        <v>0</v>
      </c>
      <c r="FP57" s="2" t="n">
        <v>0</v>
      </c>
      <c r="FQ57" s="2" t="n">
        <v>0</v>
      </c>
    </row>
    <row r="58">
      <c r="A58" s="2" t="n">
        <v>4</v>
      </c>
      <c r="B58" s="2" t="inlineStr">
        <is>
          <t>04.05.03.02</t>
        </is>
      </c>
      <c r="C58" s="2" t="inlineStr">
        <is>
          <t>Mesa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  <c r="ET58" s="2" t="n">
        <v>0</v>
      </c>
      <c r="EU58" s="2" t="n">
        <v>0</v>
      </c>
      <c r="EV58" s="2" t="n">
        <v>0</v>
      </c>
      <c r="EW58" s="2" t="n">
        <v>0</v>
      </c>
      <c r="EX58" s="2" t="n">
        <v>0</v>
      </c>
      <c r="EY58" s="2" t="n">
        <v>0</v>
      </c>
      <c r="EZ58" s="2" t="n">
        <v>0</v>
      </c>
      <c r="FA58" s="2" t="n">
        <v>0</v>
      </c>
      <c r="FB58" s="2" t="n">
        <v>0</v>
      </c>
      <c r="FC58" s="2" t="n">
        <v>0</v>
      </c>
      <c r="FD58" s="2" t="n">
        <v>0</v>
      </c>
      <c r="FE58" s="2" t="n">
        <v>0</v>
      </c>
      <c r="FF58" s="2" t="n">
        <v>0</v>
      </c>
      <c r="FG58" s="2" t="n">
        <v>0</v>
      </c>
      <c r="FH58" s="2" t="n">
        <v>0</v>
      </c>
      <c r="FI58" s="2" t="n">
        <v>0</v>
      </c>
      <c r="FJ58" s="2" t="n">
        <v>0</v>
      </c>
      <c r="FK58" s="2" t="n">
        <v>0</v>
      </c>
      <c r="FL58" s="2" t="n">
        <v>0</v>
      </c>
      <c r="FM58" s="2" t="n">
        <v>0</v>
      </c>
      <c r="FN58" s="2" t="n">
        <v>0</v>
      </c>
      <c r="FO58" s="2" t="n">
        <v>0</v>
      </c>
      <c r="FP58" s="2" t="n">
        <v>0</v>
      </c>
      <c r="FQ58" s="2" t="n">
        <v>0</v>
      </c>
    </row>
    <row r="59">
      <c r="A59" s="2" t="n">
        <v>4</v>
      </c>
      <c r="B59" s="2" t="inlineStr">
        <is>
          <t>04.05.03.03</t>
        </is>
      </c>
      <c r="C59" s="2" t="inlineStr">
        <is>
          <t>Máquina de Ponto</t>
        </is>
      </c>
      <c r="D59" s="2" t="inlineStr">
        <is>
          <t>-</t>
        </is>
      </c>
      <c r="E59" s="2" t="inlineStr">
        <is>
          <t>-</t>
        </is>
      </c>
      <c r="F59" s="2" t="n">
        <v>1500</v>
      </c>
      <c r="G59" s="2" t="n">
        <v>0</v>
      </c>
      <c r="H59" s="2" t="n">
        <v>1500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  <c r="ET59" s="2" t="n">
        <v>0</v>
      </c>
      <c r="EU59" s="2" t="n">
        <v>0</v>
      </c>
      <c r="EV59" s="2" t="n">
        <v>0</v>
      </c>
      <c r="EW59" s="2" t="n">
        <v>0</v>
      </c>
      <c r="EX59" s="2" t="n">
        <v>0</v>
      </c>
      <c r="EY59" s="2" t="n">
        <v>0</v>
      </c>
      <c r="EZ59" s="2" t="n">
        <v>0</v>
      </c>
      <c r="FA59" s="2" t="n">
        <v>0</v>
      </c>
      <c r="FB59" s="2" t="n">
        <v>0</v>
      </c>
      <c r="FC59" s="2" t="n">
        <v>0</v>
      </c>
      <c r="FD59" s="2" t="n">
        <v>0</v>
      </c>
      <c r="FE59" s="2" t="n">
        <v>0</v>
      </c>
      <c r="FF59" s="2" t="n">
        <v>0</v>
      </c>
      <c r="FG59" s="2" t="n">
        <v>0</v>
      </c>
      <c r="FH59" s="2" t="n">
        <v>0</v>
      </c>
      <c r="FI59" s="2" t="n">
        <v>0</v>
      </c>
      <c r="FJ59" s="2" t="n">
        <v>0</v>
      </c>
      <c r="FK59" s="2" t="n">
        <v>0</v>
      </c>
      <c r="FL59" s="2" t="n">
        <v>0</v>
      </c>
      <c r="FM59" s="2" t="n">
        <v>0</v>
      </c>
      <c r="FN59" s="2" t="n">
        <v>0</v>
      </c>
      <c r="FO59" s="2" t="n">
        <v>0</v>
      </c>
      <c r="FP59" s="2" t="n">
        <v>0</v>
      </c>
      <c r="FQ59" s="2" t="n">
        <v>0</v>
      </c>
    </row>
    <row r="60">
      <c r="A60" s="2" t="n">
        <v>4</v>
      </c>
      <c r="B60" s="2" t="inlineStr">
        <is>
          <t>04.05.03.04</t>
        </is>
      </c>
      <c r="C60" s="2" t="inlineStr">
        <is>
          <t>Instalação de catracas de identificação</t>
        </is>
      </c>
      <c r="D60" s="2" t="inlineStr">
        <is>
          <t>-</t>
        </is>
      </c>
      <c r="E60" s="2" t="inlineStr">
        <is>
          <t>-</t>
        </is>
      </c>
      <c r="F60" s="2" t="n">
        <v>6470</v>
      </c>
      <c r="G60" s="2" t="n">
        <v>0</v>
      </c>
      <c r="H60" s="2" t="n">
        <v>6470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  <c r="ET60" s="2" t="n">
        <v>0</v>
      </c>
      <c r="EU60" s="2" t="n">
        <v>0</v>
      </c>
      <c r="EV60" s="2" t="n">
        <v>0</v>
      </c>
      <c r="EW60" s="2" t="n">
        <v>0</v>
      </c>
      <c r="EX60" s="2" t="n">
        <v>0</v>
      </c>
      <c r="EY60" s="2" t="n">
        <v>0</v>
      </c>
      <c r="EZ60" s="2" t="n">
        <v>0</v>
      </c>
      <c r="FA60" s="2" t="n">
        <v>0</v>
      </c>
      <c r="FB60" s="2" t="n">
        <v>0</v>
      </c>
      <c r="FC60" s="2" t="n">
        <v>0</v>
      </c>
      <c r="FD60" s="2" t="n">
        <v>0</v>
      </c>
      <c r="FE60" s="2" t="n">
        <v>0</v>
      </c>
      <c r="FF60" s="2" t="n">
        <v>0</v>
      </c>
      <c r="FG60" s="2" t="n">
        <v>0</v>
      </c>
      <c r="FH60" s="2" t="n">
        <v>0</v>
      </c>
      <c r="FI60" s="2" t="n">
        <v>0</v>
      </c>
      <c r="FJ60" s="2" t="n">
        <v>0</v>
      </c>
      <c r="FK60" s="2" t="n">
        <v>0</v>
      </c>
      <c r="FL60" s="2" t="n">
        <v>0</v>
      </c>
      <c r="FM60" s="2" t="n">
        <v>0</v>
      </c>
      <c r="FN60" s="2" t="n">
        <v>0</v>
      </c>
      <c r="FO60" s="2" t="n">
        <v>0</v>
      </c>
      <c r="FP60" s="2" t="n">
        <v>0</v>
      </c>
      <c r="FQ60" s="2" t="n">
        <v>0</v>
      </c>
    </row>
    <row r="61">
      <c r="A61" s="2" t="n">
        <v>4</v>
      </c>
      <c r="B61" s="2" t="inlineStr">
        <is>
          <t>04.05.03.05</t>
        </is>
      </c>
      <c r="C61" s="2" t="inlineStr">
        <is>
          <t>Locação mensal catracas de identificação</t>
        </is>
      </c>
      <c r="D61" s="2" t="inlineStr">
        <is>
          <t>-</t>
        </is>
      </c>
      <c r="E61" s="2" t="inlineStr">
        <is>
          <t>-</t>
        </is>
      </c>
      <c r="F61" s="2" t="n">
        <v>47025</v>
      </c>
      <c r="G61" s="2" t="n">
        <v>0</v>
      </c>
      <c r="H61" s="2" t="n">
        <v>47025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  <c r="ET61" s="2" t="n">
        <v>0</v>
      </c>
      <c r="EU61" s="2" t="n">
        <v>0</v>
      </c>
      <c r="EV61" s="2" t="n">
        <v>0</v>
      </c>
      <c r="EW61" s="2" t="n">
        <v>0</v>
      </c>
      <c r="EX61" s="2" t="n">
        <v>0</v>
      </c>
      <c r="EY61" s="2" t="n">
        <v>0</v>
      </c>
      <c r="EZ61" s="2" t="n">
        <v>0</v>
      </c>
      <c r="FA61" s="2" t="n">
        <v>0</v>
      </c>
      <c r="FB61" s="2" t="n">
        <v>0</v>
      </c>
      <c r="FC61" s="2" t="n">
        <v>0</v>
      </c>
      <c r="FD61" s="2" t="n">
        <v>0</v>
      </c>
      <c r="FE61" s="2" t="n">
        <v>0</v>
      </c>
      <c r="FF61" s="2" t="n">
        <v>0</v>
      </c>
      <c r="FG61" s="2" t="n">
        <v>0</v>
      </c>
      <c r="FH61" s="2" t="n">
        <v>0</v>
      </c>
      <c r="FI61" s="2" t="n">
        <v>0</v>
      </c>
      <c r="FJ61" s="2" t="n">
        <v>0</v>
      </c>
      <c r="FK61" s="2" t="n">
        <v>0</v>
      </c>
      <c r="FL61" s="2" t="n">
        <v>0</v>
      </c>
      <c r="FM61" s="2" t="n">
        <v>0</v>
      </c>
      <c r="FN61" s="2" t="n">
        <v>0</v>
      </c>
      <c r="FO61" s="2" t="n">
        <v>0</v>
      </c>
      <c r="FP61" s="2" t="n">
        <v>0</v>
      </c>
      <c r="FQ61" s="2" t="n">
        <v>0</v>
      </c>
    </row>
    <row r="62">
      <c r="A62" s="2" t="n">
        <v>3</v>
      </c>
      <c r="B62" s="2" t="inlineStr">
        <is>
          <t>04.05.04</t>
        </is>
      </c>
      <c r="C62" s="2" t="inlineStr">
        <is>
          <t>Refeitório/cozinha</t>
        </is>
      </c>
      <c r="D62" s="2" t="inlineStr">
        <is>
          <t>-</t>
        </is>
      </c>
      <c r="E62" s="2" t="inlineStr">
        <is>
          <t>-</t>
        </is>
      </c>
      <c r="F62" s="2" t="n">
        <v>28750</v>
      </c>
      <c r="G62" s="2" t="n">
        <v>0</v>
      </c>
      <c r="H62" s="2" t="n">
        <v>28750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  <c r="ET62" s="2" t="n">
        <v>0</v>
      </c>
      <c r="EU62" s="2" t="n">
        <v>0</v>
      </c>
      <c r="EV62" s="2" t="n">
        <v>0</v>
      </c>
      <c r="EW62" s="2" t="n">
        <v>0</v>
      </c>
      <c r="EX62" s="2" t="n">
        <v>0</v>
      </c>
      <c r="EY62" s="2" t="n">
        <v>0</v>
      </c>
      <c r="EZ62" s="2" t="n">
        <v>0</v>
      </c>
      <c r="FA62" s="2" t="n">
        <v>0</v>
      </c>
      <c r="FB62" s="2" t="n">
        <v>0</v>
      </c>
      <c r="FC62" s="2" t="n">
        <v>0</v>
      </c>
      <c r="FD62" s="2" t="n">
        <v>0</v>
      </c>
      <c r="FE62" s="2" t="n">
        <v>0</v>
      </c>
      <c r="FF62" s="2" t="n">
        <v>0</v>
      </c>
      <c r="FG62" s="2" t="n">
        <v>0</v>
      </c>
      <c r="FH62" s="2" t="n">
        <v>0</v>
      </c>
      <c r="FI62" s="2" t="n">
        <v>0</v>
      </c>
      <c r="FJ62" s="2" t="n">
        <v>0</v>
      </c>
      <c r="FK62" s="2" t="n">
        <v>0</v>
      </c>
      <c r="FL62" s="2" t="n">
        <v>0</v>
      </c>
      <c r="FM62" s="2" t="n">
        <v>0</v>
      </c>
      <c r="FN62" s="2" t="n">
        <v>0</v>
      </c>
      <c r="FO62" s="2" t="n">
        <v>0</v>
      </c>
      <c r="FP62" s="2" t="n">
        <v>0</v>
      </c>
      <c r="FQ62" s="2" t="n">
        <v>0</v>
      </c>
    </row>
    <row r="63">
      <c r="A63" s="2" t="n">
        <v>4</v>
      </c>
      <c r="B63" s="2" t="inlineStr">
        <is>
          <t>04.05.04.01</t>
        </is>
      </c>
      <c r="C63" s="2" t="inlineStr">
        <is>
          <t>Mesas com bancos fixos</t>
        </is>
      </c>
      <c r="D63" s="2" t="inlineStr">
        <is>
          <t>-</t>
        </is>
      </c>
      <c r="E63" s="2" t="inlineStr">
        <is>
          <t>-</t>
        </is>
      </c>
      <c r="F63" s="2" t="n">
        <v>16250</v>
      </c>
      <c r="G63" s="2" t="n">
        <v>0</v>
      </c>
      <c r="H63" s="2" t="n">
        <v>16250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  <c r="ET63" s="2" t="n">
        <v>0</v>
      </c>
      <c r="EU63" s="2" t="n">
        <v>0</v>
      </c>
      <c r="EV63" s="2" t="n">
        <v>0</v>
      </c>
      <c r="EW63" s="2" t="n">
        <v>0</v>
      </c>
      <c r="EX63" s="2" t="n">
        <v>0</v>
      </c>
      <c r="EY63" s="2" t="n">
        <v>0</v>
      </c>
      <c r="EZ63" s="2" t="n">
        <v>0</v>
      </c>
      <c r="FA63" s="2" t="n">
        <v>0</v>
      </c>
      <c r="FB63" s="2" t="n">
        <v>0</v>
      </c>
      <c r="FC63" s="2" t="n">
        <v>0</v>
      </c>
      <c r="FD63" s="2" t="n">
        <v>0</v>
      </c>
      <c r="FE63" s="2" t="n">
        <v>0</v>
      </c>
      <c r="FF63" s="2" t="n">
        <v>0</v>
      </c>
      <c r="FG63" s="2" t="n">
        <v>0</v>
      </c>
      <c r="FH63" s="2" t="n">
        <v>0</v>
      </c>
      <c r="FI63" s="2" t="n">
        <v>0</v>
      </c>
      <c r="FJ63" s="2" t="n">
        <v>0</v>
      </c>
      <c r="FK63" s="2" t="n">
        <v>0</v>
      </c>
      <c r="FL63" s="2" t="n">
        <v>0</v>
      </c>
      <c r="FM63" s="2" t="n">
        <v>0</v>
      </c>
      <c r="FN63" s="2" t="n">
        <v>0</v>
      </c>
      <c r="FO63" s="2" t="n">
        <v>0</v>
      </c>
      <c r="FP63" s="2" t="n">
        <v>0</v>
      </c>
      <c r="FQ63" s="2" t="n">
        <v>0</v>
      </c>
    </row>
    <row r="64">
      <c r="A64" s="2" t="n">
        <v>4</v>
      </c>
      <c r="B64" s="2" t="inlineStr">
        <is>
          <t>04.05.04.02</t>
        </is>
      </c>
      <c r="C64" s="2" t="inlineStr">
        <is>
          <t>Estufa</t>
        </is>
      </c>
      <c r="D64" s="2" t="inlineStr">
        <is>
          <t>-</t>
        </is>
      </c>
      <c r="E64" s="2" t="inlineStr">
        <is>
          <t>-</t>
        </is>
      </c>
      <c r="F64" s="2" t="n">
        <v>7499.999999999999</v>
      </c>
      <c r="G64" s="2" t="n">
        <v>0</v>
      </c>
      <c r="H64" s="2" t="n">
        <v>7499.999999999999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  <c r="ET64" s="2" t="n">
        <v>0</v>
      </c>
      <c r="EU64" s="2" t="n">
        <v>0</v>
      </c>
      <c r="EV64" s="2" t="n">
        <v>0</v>
      </c>
      <c r="EW64" s="2" t="n">
        <v>0</v>
      </c>
      <c r="EX64" s="2" t="n">
        <v>0</v>
      </c>
      <c r="EY64" s="2" t="n">
        <v>0</v>
      </c>
      <c r="EZ64" s="2" t="n">
        <v>0</v>
      </c>
      <c r="FA64" s="2" t="n">
        <v>0</v>
      </c>
      <c r="FB64" s="2" t="n">
        <v>0</v>
      </c>
      <c r="FC64" s="2" t="n">
        <v>0</v>
      </c>
      <c r="FD64" s="2" t="n">
        <v>0</v>
      </c>
      <c r="FE64" s="2" t="n">
        <v>0</v>
      </c>
      <c r="FF64" s="2" t="n">
        <v>0</v>
      </c>
      <c r="FG64" s="2" t="n">
        <v>0</v>
      </c>
      <c r="FH64" s="2" t="n">
        <v>0</v>
      </c>
      <c r="FI64" s="2" t="n">
        <v>0</v>
      </c>
      <c r="FJ64" s="2" t="n">
        <v>0</v>
      </c>
      <c r="FK64" s="2" t="n">
        <v>0</v>
      </c>
      <c r="FL64" s="2" t="n">
        <v>0</v>
      </c>
      <c r="FM64" s="2" t="n">
        <v>0</v>
      </c>
      <c r="FN64" s="2" t="n">
        <v>0</v>
      </c>
      <c r="FO64" s="2" t="n">
        <v>0</v>
      </c>
      <c r="FP64" s="2" t="n">
        <v>0</v>
      </c>
      <c r="FQ64" s="2" t="n">
        <v>0</v>
      </c>
    </row>
    <row r="65">
      <c r="A65" s="2" t="n">
        <v>4</v>
      </c>
      <c r="B65" s="2" t="inlineStr">
        <is>
          <t>04.05.04.03</t>
        </is>
      </c>
      <c r="C65" s="2" t="inlineStr">
        <is>
          <t>Geladeira</t>
        </is>
      </c>
      <c r="D65" s="2" t="inlineStr">
        <is>
          <t>-</t>
        </is>
      </c>
      <c r="E65" s="2" t="inlineStr">
        <is>
          <t>-</t>
        </is>
      </c>
      <c r="F65" s="2" t="n">
        <v>1000</v>
      </c>
      <c r="G65" s="2" t="n">
        <v>0</v>
      </c>
      <c r="H65" s="2" t="n">
        <v>1000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  <c r="ET65" s="2" t="n">
        <v>0</v>
      </c>
      <c r="EU65" s="2" t="n">
        <v>0</v>
      </c>
      <c r="EV65" s="2" t="n">
        <v>0</v>
      </c>
      <c r="EW65" s="2" t="n">
        <v>0</v>
      </c>
      <c r="EX65" s="2" t="n">
        <v>0</v>
      </c>
      <c r="EY65" s="2" t="n">
        <v>0</v>
      </c>
      <c r="EZ65" s="2" t="n">
        <v>0</v>
      </c>
      <c r="FA65" s="2" t="n">
        <v>0</v>
      </c>
      <c r="FB65" s="2" t="n">
        <v>0</v>
      </c>
      <c r="FC65" s="2" t="n">
        <v>0</v>
      </c>
      <c r="FD65" s="2" t="n">
        <v>0</v>
      </c>
      <c r="FE65" s="2" t="n">
        <v>0</v>
      </c>
      <c r="FF65" s="2" t="n">
        <v>0</v>
      </c>
      <c r="FG65" s="2" t="n">
        <v>0</v>
      </c>
      <c r="FH65" s="2" t="n">
        <v>0</v>
      </c>
      <c r="FI65" s="2" t="n">
        <v>0</v>
      </c>
      <c r="FJ65" s="2" t="n">
        <v>0</v>
      </c>
      <c r="FK65" s="2" t="n">
        <v>0</v>
      </c>
      <c r="FL65" s="2" t="n">
        <v>0</v>
      </c>
      <c r="FM65" s="2" t="n">
        <v>0</v>
      </c>
      <c r="FN65" s="2" t="n">
        <v>0</v>
      </c>
      <c r="FO65" s="2" t="n">
        <v>0</v>
      </c>
      <c r="FP65" s="2" t="n">
        <v>0</v>
      </c>
      <c r="FQ65" s="2" t="n">
        <v>0</v>
      </c>
    </row>
    <row r="66">
      <c r="A66" s="2" t="n">
        <v>4</v>
      </c>
      <c r="B66" s="2" t="inlineStr">
        <is>
          <t>04.05.04.04</t>
        </is>
      </c>
      <c r="C66" s="2" t="inlineStr">
        <is>
          <t>Bebedouro tipo ponto de água fria com filtro de carvão ativado</t>
        </is>
      </c>
      <c r="D66" s="2" t="inlineStr">
        <is>
          <t>-</t>
        </is>
      </c>
      <c r="E66" s="2" t="inlineStr">
        <is>
          <t>-</t>
        </is>
      </c>
      <c r="F66" s="2" t="n">
        <v>4000</v>
      </c>
      <c r="G66" s="2" t="n">
        <v>0</v>
      </c>
      <c r="H66" s="2" t="n">
        <v>4000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  <c r="ET66" s="2" t="n">
        <v>0</v>
      </c>
      <c r="EU66" s="2" t="n">
        <v>0</v>
      </c>
      <c r="EV66" s="2" t="n">
        <v>0</v>
      </c>
      <c r="EW66" s="2" t="n">
        <v>0</v>
      </c>
      <c r="EX66" s="2" t="n">
        <v>0</v>
      </c>
      <c r="EY66" s="2" t="n">
        <v>0</v>
      </c>
      <c r="EZ66" s="2" t="n">
        <v>0</v>
      </c>
      <c r="FA66" s="2" t="n">
        <v>0</v>
      </c>
      <c r="FB66" s="2" t="n">
        <v>0</v>
      </c>
      <c r="FC66" s="2" t="n">
        <v>0</v>
      </c>
      <c r="FD66" s="2" t="n">
        <v>0</v>
      </c>
      <c r="FE66" s="2" t="n">
        <v>0</v>
      </c>
      <c r="FF66" s="2" t="n">
        <v>0</v>
      </c>
      <c r="FG66" s="2" t="n">
        <v>0</v>
      </c>
      <c r="FH66" s="2" t="n">
        <v>0</v>
      </c>
      <c r="FI66" s="2" t="n">
        <v>0</v>
      </c>
      <c r="FJ66" s="2" t="n">
        <v>0</v>
      </c>
      <c r="FK66" s="2" t="n">
        <v>0</v>
      </c>
      <c r="FL66" s="2" t="n">
        <v>0</v>
      </c>
      <c r="FM66" s="2" t="n">
        <v>0</v>
      </c>
      <c r="FN66" s="2" t="n">
        <v>0</v>
      </c>
      <c r="FO66" s="2" t="n">
        <v>0</v>
      </c>
      <c r="FP66" s="2" t="n">
        <v>0</v>
      </c>
      <c r="FQ66" s="2" t="n">
        <v>0</v>
      </c>
    </row>
    <row r="67">
      <c r="A67" s="2" t="n">
        <v>3</v>
      </c>
      <c r="B67" s="2" t="inlineStr">
        <is>
          <t>04.05.05</t>
        </is>
      </c>
      <c r="C67" s="2" t="inlineStr">
        <is>
          <t>Almoxarifado</t>
        </is>
      </c>
      <c r="D67" s="2" t="inlineStr">
        <is>
          <t>-</t>
        </is>
      </c>
      <c r="E67" s="2" t="inlineStr">
        <is>
          <t>-</t>
        </is>
      </c>
      <c r="F67" s="2" t="n">
        <v>1360</v>
      </c>
      <c r="G67" s="2" t="n">
        <v>0</v>
      </c>
      <c r="H67" s="2" t="n">
        <v>1360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  <c r="ET67" s="2" t="n">
        <v>0</v>
      </c>
      <c r="EU67" s="2" t="n">
        <v>0</v>
      </c>
      <c r="EV67" s="2" t="n">
        <v>0</v>
      </c>
      <c r="EW67" s="2" t="n">
        <v>0</v>
      </c>
      <c r="EX67" s="2" t="n">
        <v>0</v>
      </c>
      <c r="EY67" s="2" t="n">
        <v>0</v>
      </c>
      <c r="EZ67" s="2" t="n">
        <v>0</v>
      </c>
      <c r="FA67" s="2" t="n">
        <v>0</v>
      </c>
      <c r="FB67" s="2" t="n">
        <v>0</v>
      </c>
      <c r="FC67" s="2" t="n">
        <v>0</v>
      </c>
      <c r="FD67" s="2" t="n">
        <v>0</v>
      </c>
      <c r="FE67" s="2" t="n">
        <v>0</v>
      </c>
      <c r="FF67" s="2" t="n">
        <v>0</v>
      </c>
      <c r="FG67" s="2" t="n">
        <v>0</v>
      </c>
      <c r="FH67" s="2" t="n">
        <v>0</v>
      </c>
      <c r="FI67" s="2" t="n">
        <v>0</v>
      </c>
      <c r="FJ67" s="2" t="n">
        <v>0</v>
      </c>
      <c r="FK67" s="2" t="n">
        <v>0</v>
      </c>
      <c r="FL67" s="2" t="n">
        <v>0</v>
      </c>
      <c r="FM67" s="2" t="n">
        <v>0</v>
      </c>
      <c r="FN67" s="2" t="n">
        <v>0</v>
      </c>
      <c r="FO67" s="2" t="n">
        <v>0</v>
      </c>
      <c r="FP67" s="2" t="n">
        <v>0</v>
      </c>
      <c r="FQ67" s="2" t="n">
        <v>0</v>
      </c>
    </row>
    <row r="68">
      <c r="A68" s="2" t="n">
        <v>4</v>
      </c>
      <c r="B68" s="2" t="inlineStr">
        <is>
          <t>04.05.05.01</t>
        </is>
      </c>
      <c r="C68" s="2" t="inlineStr">
        <is>
          <t>Armário (arquivo)</t>
        </is>
      </c>
      <c r="D68" s="2" t="inlineStr">
        <is>
          <t>-</t>
        </is>
      </c>
      <c r="E68" s="2" t="inlineStr">
        <is>
          <t>-</t>
        </is>
      </c>
      <c r="F68" s="2" t="n">
        <v>600</v>
      </c>
      <c r="G68" s="2" t="n">
        <v>0</v>
      </c>
      <c r="H68" s="2" t="n">
        <v>600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  <c r="ET68" s="2" t="n">
        <v>0</v>
      </c>
      <c r="EU68" s="2" t="n">
        <v>0</v>
      </c>
      <c r="EV68" s="2" t="n">
        <v>0</v>
      </c>
      <c r="EW68" s="2" t="n">
        <v>0</v>
      </c>
      <c r="EX68" s="2" t="n">
        <v>0</v>
      </c>
      <c r="EY68" s="2" t="n">
        <v>0</v>
      </c>
      <c r="EZ68" s="2" t="n">
        <v>0</v>
      </c>
      <c r="FA68" s="2" t="n">
        <v>0</v>
      </c>
      <c r="FB68" s="2" t="n">
        <v>0</v>
      </c>
      <c r="FC68" s="2" t="n">
        <v>0</v>
      </c>
      <c r="FD68" s="2" t="n">
        <v>0</v>
      </c>
      <c r="FE68" s="2" t="n">
        <v>0</v>
      </c>
      <c r="FF68" s="2" t="n">
        <v>0</v>
      </c>
      <c r="FG68" s="2" t="n">
        <v>0</v>
      </c>
      <c r="FH68" s="2" t="n">
        <v>0</v>
      </c>
      <c r="FI68" s="2" t="n">
        <v>0</v>
      </c>
      <c r="FJ68" s="2" t="n">
        <v>0</v>
      </c>
      <c r="FK68" s="2" t="n">
        <v>0</v>
      </c>
      <c r="FL68" s="2" t="n">
        <v>0</v>
      </c>
      <c r="FM68" s="2" t="n">
        <v>0</v>
      </c>
      <c r="FN68" s="2" t="n">
        <v>0</v>
      </c>
      <c r="FO68" s="2" t="n">
        <v>0</v>
      </c>
      <c r="FP68" s="2" t="n">
        <v>0</v>
      </c>
      <c r="FQ68" s="2" t="n">
        <v>0</v>
      </c>
    </row>
    <row r="69">
      <c r="A69" s="2" t="n">
        <v>4</v>
      </c>
      <c r="B69" s="2" t="inlineStr">
        <is>
          <t>04.05.05.02</t>
        </is>
      </c>
      <c r="C69" s="2" t="inlineStr">
        <is>
          <t>Cadeira</t>
        </is>
      </c>
      <c r="D69" s="2" t="inlineStr">
        <is>
          <t>-</t>
        </is>
      </c>
      <c r="E69" s="2" t="inlineStr">
        <is>
          <t>-</t>
        </is>
      </c>
      <c r="F69" s="2" t="n">
        <v>320</v>
      </c>
      <c r="G69" s="2" t="n">
        <v>0</v>
      </c>
      <c r="H69" s="2" t="n">
        <v>320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  <c r="ET69" s="2" t="n">
        <v>0</v>
      </c>
      <c r="EU69" s="2" t="n">
        <v>0</v>
      </c>
      <c r="EV69" s="2" t="n">
        <v>0</v>
      </c>
      <c r="EW69" s="2" t="n">
        <v>0</v>
      </c>
      <c r="EX69" s="2" t="n">
        <v>0</v>
      </c>
      <c r="EY69" s="2" t="n">
        <v>0</v>
      </c>
      <c r="EZ69" s="2" t="n">
        <v>0</v>
      </c>
      <c r="FA69" s="2" t="n">
        <v>0</v>
      </c>
      <c r="FB69" s="2" t="n">
        <v>0</v>
      </c>
      <c r="FC69" s="2" t="n">
        <v>0</v>
      </c>
      <c r="FD69" s="2" t="n">
        <v>0</v>
      </c>
      <c r="FE69" s="2" t="n">
        <v>0</v>
      </c>
      <c r="FF69" s="2" t="n">
        <v>0</v>
      </c>
      <c r="FG69" s="2" t="n">
        <v>0</v>
      </c>
      <c r="FH69" s="2" t="n">
        <v>0</v>
      </c>
      <c r="FI69" s="2" t="n">
        <v>0</v>
      </c>
      <c r="FJ69" s="2" t="n">
        <v>0</v>
      </c>
      <c r="FK69" s="2" t="n">
        <v>0</v>
      </c>
      <c r="FL69" s="2" t="n">
        <v>0</v>
      </c>
      <c r="FM69" s="2" t="n">
        <v>0</v>
      </c>
      <c r="FN69" s="2" t="n">
        <v>0</v>
      </c>
      <c r="FO69" s="2" t="n">
        <v>0</v>
      </c>
      <c r="FP69" s="2" t="n">
        <v>0</v>
      </c>
      <c r="FQ69" s="2" t="n">
        <v>0</v>
      </c>
    </row>
    <row r="70">
      <c r="A70" s="2" t="n">
        <v>4</v>
      </c>
      <c r="B70" s="2" t="inlineStr">
        <is>
          <t>04.05.05.03</t>
        </is>
      </c>
      <c r="C70" s="2" t="inlineStr">
        <is>
          <t>Mesa</t>
        </is>
      </c>
      <c r="D70" s="2" t="inlineStr">
        <is>
          <t>-</t>
        </is>
      </c>
      <c r="E70" s="2" t="inlineStr">
        <is>
          <t>-</t>
        </is>
      </c>
      <c r="F70" s="2" t="n">
        <v>300</v>
      </c>
      <c r="G70" s="2" t="n">
        <v>0</v>
      </c>
      <c r="H70" s="2" t="n">
        <v>300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  <c r="ET70" s="2" t="n">
        <v>0</v>
      </c>
      <c r="EU70" s="2" t="n">
        <v>0</v>
      </c>
      <c r="EV70" s="2" t="n">
        <v>0</v>
      </c>
      <c r="EW70" s="2" t="n">
        <v>0</v>
      </c>
      <c r="EX70" s="2" t="n">
        <v>0</v>
      </c>
      <c r="EY70" s="2" t="n">
        <v>0</v>
      </c>
      <c r="EZ70" s="2" t="n">
        <v>0</v>
      </c>
      <c r="FA70" s="2" t="n">
        <v>0</v>
      </c>
      <c r="FB70" s="2" t="n">
        <v>0</v>
      </c>
      <c r="FC70" s="2" t="n">
        <v>0</v>
      </c>
      <c r="FD70" s="2" t="n">
        <v>0</v>
      </c>
      <c r="FE70" s="2" t="n">
        <v>0</v>
      </c>
      <c r="FF70" s="2" t="n">
        <v>0</v>
      </c>
      <c r="FG70" s="2" t="n">
        <v>0</v>
      </c>
      <c r="FH70" s="2" t="n">
        <v>0</v>
      </c>
      <c r="FI70" s="2" t="n">
        <v>0</v>
      </c>
      <c r="FJ70" s="2" t="n">
        <v>0</v>
      </c>
      <c r="FK70" s="2" t="n">
        <v>0</v>
      </c>
      <c r="FL70" s="2" t="n">
        <v>0</v>
      </c>
      <c r="FM70" s="2" t="n">
        <v>0</v>
      </c>
      <c r="FN70" s="2" t="n">
        <v>0</v>
      </c>
      <c r="FO70" s="2" t="n">
        <v>0</v>
      </c>
      <c r="FP70" s="2" t="n">
        <v>0</v>
      </c>
      <c r="FQ70" s="2" t="n">
        <v>0</v>
      </c>
    </row>
    <row r="71">
      <c r="A71" s="2" t="n">
        <v>4</v>
      </c>
      <c r="B71" s="2" t="inlineStr">
        <is>
          <t>04.05.05.04</t>
        </is>
      </c>
      <c r="C71" s="2" t="inlineStr">
        <is>
          <t>Prateleira</t>
        </is>
      </c>
      <c r="D71" s="2" t="inlineStr">
        <is>
          <t>-</t>
        </is>
      </c>
      <c r="E71" s="2" t="inlineStr">
        <is>
          <t>-</t>
        </is>
      </c>
      <c r="F71" s="2" t="n">
        <v>140</v>
      </c>
      <c r="G71" s="2" t="n">
        <v>0</v>
      </c>
      <c r="H71" s="2" t="n">
        <v>140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  <c r="ET71" s="2" t="n">
        <v>0</v>
      </c>
      <c r="EU71" s="2" t="n">
        <v>0</v>
      </c>
      <c r="EV71" s="2" t="n">
        <v>0</v>
      </c>
      <c r="EW71" s="2" t="n">
        <v>0</v>
      </c>
      <c r="EX71" s="2" t="n">
        <v>0</v>
      </c>
      <c r="EY71" s="2" t="n">
        <v>0</v>
      </c>
      <c r="EZ71" s="2" t="n">
        <v>0</v>
      </c>
      <c r="FA71" s="2" t="n">
        <v>0</v>
      </c>
      <c r="FB71" s="2" t="n">
        <v>0</v>
      </c>
      <c r="FC71" s="2" t="n">
        <v>0</v>
      </c>
      <c r="FD71" s="2" t="n">
        <v>0</v>
      </c>
      <c r="FE71" s="2" t="n">
        <v>0</v>
      </c>
      <c r="FF71" s="2" t="n">
        <v>0</v>
      </c>
      <c r="FG71" s="2" t="n">
        <v>0</v>
      </c>
      <c r="FH71" s="2" t="n">
        <v>0</v>
      </c>
      <c r="FI71" s="2" t="n">
        <v>0</v>
      </c>
      <c r="FJ71" s="2" t="n">
        <v>0</v>
      </c>
      <c r="FK71" s="2" t="n">
        <v>0</v>
      </c>
      <c r="FL71" s="2" t="n">
        <v>0</v>
      </c>
      <c r="FM71" s="2" t="n">
        <v>0</v>
      </c>
      <c r="FN71" s="2" t="n">
        <v>0</v>
      </c>
      <c r="FO71" s="2" t="n">
        <v>0</v>
      </c>
      <c r="FP71" s="2" t="n">
        <v>0</v>
      </c>
      <c r="FQ71" s="2" t="n">
        <v>0</v>
      </c>
    </row>
    <row r="72">
      <c r="A72" s="2" t="n">
        <v>2</v>
      </c>
      <c r="B72" s="2" t="inlineStr">
        <is>
          <t>04.06</t>
        </is>
      </c>
      <c r="C72" s="2" t="inlineStr">
        <is>
          <t>Mobilização e desmobilização de canteiro de obras</t>
        </is>
      </c>
      <c r="D72" s="2" t="inlineStr">
        <is>
          <t>-</t>
        </is>
      </c>
      <c r="E72" s="2" t="inlineStr">
        <is>
          <t>-</t>
        </is>
      </c>
      <c r="F72" s="2" t="n">
        <v>20000</v>
      </c>
      <c r="G72" s="2" t="n">
        <v>0</v>
      </c>
      <c r="H72" s="2" t="n">
        <v>20000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  <c r="ET72" s="2" t="n">
        <v>0</v>
      </c>
      <c r="EU72" s="2" t="n">
        <v>0</v>
      </c>
      <c r="EV72" s="2" t="n">
        <v>0</v>
      </c>
      <c r="EW72" s="2" t="n">
        <v>0</v>
      </c>
      <c r="EX72" s="2" t="n">
        <v>0</v>
      </c>
      <c r="EY72" s="2" t="n">
        <v>0</v>
      </c>
      <c r="EZ72" s="2" t="n">
        <v>0</v>
      </c>
      <c r="FA72" s="2" t="n">
        <v>0</v>
      </c>
      <c r="FB72" s="2" t="n">
        <v>0</v>
      </c>
      <c r="FC72" s="2" t="n">
        <v>0</v>
      </c>
      <c r="FD72" s="2" t="n">
        <v>0</v>
      </c>
      <c r="FE72" s="2" t="n">
        <v>0</v>
      </c>
      <c r="FF72" s="2" t="n">
        <v>0</v>
      </c>
      <c r="FG72" s="2" t="n">
        <v>0</v>
      </c>
      <c r="FH72" s="2" t="n">
        <v>0</v>
      </c>
      <c r="FI72" s="2" t="n">
        <v>0</v>
      </c>
      <c r="FJ72" s="2" t="n">
        <v>0</v>
      </c>
      <c r="FK72" s="2" t="n">
        <v>0</v>
      </c>
      <c r="FL72" s="2" t="n">
        <v>0</v>
      </c>
      <c r="FM72" s="2" t="n">
        <v>0</v>
      </c>
      <c r="FN72" s="2" t="n">
        <v>0</v>
      </c>
      <c r="FO72" s="2" t="n">
        <v>0</v>
      </c>
      <c r="FP72" s="2" t="n">
        <v>0</v>
      </c>
      <c r="FQ72" s="2" t="n">
        <v>0</v>
      </c>
    </row>
    <row r="73">
      <c r="A73" s="2" t="n">
        <v>3</v>
      </c>
      <c r="B73" s="2" t="inlineStr">
        <is>
          <t>04.06.01</t>
        </is>
      </c>
      <c r="C73" s="2" t="inlineStr">
        <is>
          <t>Desmobilização de canteiro de obras</t>
        </is>
      </c>
      <c r="D73" s="2" t="inlineStr">
        <is>
          <t>-</t>
        </is>
      </c>
      <c r="E73" s="2" t="inlineStr">
        <is>
          <t>-</t>
        </is>
      </c>
      <c r="F73" s="2" t="n">
        <v>20000</v>
      </c>
      <c r="G73" s="2" t="n">
        <v>0</v>
      </c>
      <c r="H73" s="2" t="n">
        <v>20000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  <c r="ET73" s="2" t="n">
        <v>0</v>
      </c>
      <c r="EU73" s="2" t="n">
        <v>0</v>
      </c>
      <c r="EV73" s="2" t="n">
        <v>0</v>
      </c>
      <c r="EW73" s="2" t="n">
        <v>0</v>
      </c>
      <c r="EX73" s="2" t="n">
        <v>0</v>
      </c>
      <c r="EY73" s="2" t="n">
        <v>0</v>
      </c>
      <c r="EZ73" s="2" t="n">
        <v>0</v>
      </c>
      <c r="FA73" s="2" t="n">
        <v>0</v>
      </c>
      <c r="FB73" s="2" t="n">
        <v>0</v>
      </c>
      <c r="FC73" s="2" t="n">
        <v>0</v>
      </c>
      <c r="FD73" s="2" t="n">
        <v>0</v>
      </c>
      <c r="FE73" s="2" t="n">
        <v>0</v>
      </c>
      <c r="FF73" s="2" t="n">
        <v>0</v>
      </c>
      <c r="FG73" s="2" t="n">
        <v>0</v>
      </c>
      <c r="FH73" s="2" t="n">
        <v>0</v>
      </c>
      <c r="FI73" s="2" t="n">
        <v>0</v>
      </c>
      <c r="FJ73" s="2" t="n">
        <v>0</v>
      </c>
      <c r="FK73" s="2" t="n">
        <v>0</v>
      </c>
      <c r="FL73" s="2" t="n">
        <v>0</v>
      </c>
      <c r="FM73" s="2" t="n">
        <v>0</v>
      </c>
      <c r="FN73" s="2" t="n">
        <v>0</v>
      </c>
      <c r="FO73" s="2" t="n">
        <v>0</v>
      </c>
      <c r="FP73" s="2" t="n">
        <v>0</v>
      </c>
      <c r="FQ73" s="2" t="n">
        <v>0</v>
      </c>
    </row>
    <row r="74">
      <c r="A74" s="2" t="n">
        <v>2</v>
      </c>
      <c r="B74" s="2" t="inlineStr">
        <is>
          <t>04.07</t>
        </is>
      </c>
      <c r="C74" s="2" t="inlineStr">
        <is>
          <t>Manutenção do canteiro de obras</t>
        </is>
      </c>
      <c r="D74" s="2" t="inlineStr">
        <is>
          <t>-</t>
        </is>
      </c>
      <c r="E74" s="2" t="inlineStr">
        <is>
          <t>-</t>
        </is>
      </c>
      <c r="F74" s="2" t="n">
        <v>24392.03169881176</v>
      </c>
      <c r="G74" s="2" t="n">
        <v>0</v>
      </c>
      <c r="H74" s="2" t="n">
        <v>24392.03169881176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  <c r="ET74" s="2" t="n">
        <v>0</v>
      </c>
      <c r="EU74" s="2" t="n">
        <v>0</v>
      </c>
      <c r="EV74" s="2" t="n">
        <v>0</v>
      </c>
      <c r="EW74" s="2" t="n">
        <v>0</v>
      </c>
      <c r="EX74" s="2" t="n">
        <v>0</v>
      </c>
      <c r="EY74" s="2" t="n">
        <v>0</v>
      </c>
      <c r="EZ74" s="2" t="n">
        <v>0</v>
      </c>
      <c r="FA74" s="2" t="n">
        <v>0</v>
      </c>
      <c r="FB74" s="2" t="n">
        <v>0</v>
      </c>
      <c r="FC74" s="2" t="n">
        <v>0</v>
      </c>
      <c r="FD74" s="2" t="n">
        <v>0</v>
      </c>
      <c r="FE74" s="2" t="n">
        <v>0</v>
      </c>
      <c r="FF74" s="2" t="n">
        <v>0</v>
      </c>
      <c r="FG74" s="2" t="n">
        <v>0</v>
      </c>
      <c r="FH74" s="2" t="n">
        <v>0</v>
      </c>
      <c r="FI74" s="2" t="n">
        <v>0</v>
      </c>
      <c r="FJ74" s="2" t="n">
        <v>0</v>
      </c>
      <c r="FK74" s="2" t="n">
        <v>0</v>
      </c>
      <c r="FL74" s="2" t="n">
        <v>0</v>
      </c>
      <c r="FM74" s="2" t="n">
        <v>0</v>
      </c>
      <c r="FN74" s="2" t="n">
        <v>0</v>
      </c>
      <c r="FO74" s="2" t="n">
        <v>0</v>
      </c>
      <c r="FP74" s="2" t="n">
        <v>0</v>
      </c>
      <c r="FQ74" s="2" t="n">
        <v>0</v>
      </c>
    </row>
    <row r="75">
      <c r="A75" s="2" t="n">
        <v>3</v>
      </c>
      <c r="B75" s="2" t="inlineStr">
        <is>
          <t>04.07.01</t>
        </is>
      </c>
      <c r="C75" s="2" t="inlineStr">
        <is>
          <t>Placas de Sinalização</t>
        </is>
      </c>
      <c r="D75" s="2" t="inlineStr">
        <is>
          <t>-</t>
        </is>
      </c>
      <c r="E75" s="2" t="inlineStr">
        <is>
          <t>-</t>
        </is>
      </c>
      <c r="F75" s="2" t="n">
        <v>5000</v>
      </c>
      <c r="G75" s="2" t="n">
        <v>0</v>
      </c>
      <c r="H75" s="2" t="n">
        <v>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  <c r="ET75" s="2" t="n">
        <v>0</v>
      </c>
      <c r="EU75" s="2" t="n">
        <v>0</v>
      </c>
      <c r="EV75" s="2" t="n">
        <v>0</v>
      </c>
      <c r="EW75" s="2" t="n">
        <v>0</v>
      </c>
      <c r="EX75" s="2" t="n">
        <v>0</v>
      </c>
      <c r="EY75" s="2" t="n">
        <v>0</v>
      </c>
      <c r="EZ75" s="2" t="n">
        <v>0</v>
      </c>
      <c r="FA75" s="2" t="n">
        <v>0</v>
      </c>
      <c r="FB75" s="2" t="n">
        <v>0</v>
      </c>
      <c r="FC75" s="2" t="n">
        <v>0</v>
      </c>
      <c r="FD75" s="2" t="n">
        <v>0</v>
      </c>
      <c r="FE75" s="2" t="n">
        <v>0</v>
      </c>
      <c r="FF75" s="2" t="n">
        <v>0</v>
      </c>
      <c r="FG75" s="2" t="n">
        <v>0</v>
      </c>
      <c r="FH75" s="2" t="n">
        <v>0</v>
      </c>
      <c r="FI75" s="2" t="n">
        <v>0</v>
      </c>
      <c r="FJ75" s="2" t="n">
        <v>0</v>
      </c>
      <c r="FK75" s="2" t="n">
        <v>0</v>
      </c>
      <c r="FL75" s="2" t="n">
        <v>0</v>
      </c>
      <c r="FM75" s="2" t="n">
        <v>0</v>
      </c>
      <c r="FN75" s="2" t="n">
        <v>0</v>
      </c>
      <c r="FO75" s="2" t="n">
        <v>0</v>
      </c>
      <c r="FP75" s="2" t="n">
        <v>0</v>
      </c>
      <c r="FQ75" s="2" t="n">
        <v>0</v>
      </c>
    </row>
    <row r="76">
      <c r="A76" s="2" t="n">
        <v>3</v>
      </c>
      <c r="B76" s="2" t="inlineStr">
        <is>
          <t>04.07.02</t>
        </is>
      </c>
      <c r="C76" s="2" t="inlineStr">
        <is>
          <t>Repintura periodica de canteiro e tapumes</t>
        </is>
      </c>
      <c r="D76" s="2" t="inlineStr">
        <is>
          <t>-</t>
        </is>
      </c>
      <c r="E76" s="2" t="inlineStr">
        <is>
          <t>-</t>
        </is>
      </c>
      <c r="F76" s="2" t="n">
        <v>19392.03169881176</v>
      </c>
      <c r="G76" s="2" t="n">
        <v>0</v>
      </c>
      <c r="H76" s="2" t="n">
        <v>19392.03169881176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  <c r="ET76" s="2" t="n">
        <v>0</v>
      </c>
      <c r="EU76" s="2" t="n">
        <v>0</v>
      </c>
      <c r="EV76" s="2" t="n">
        <v>0</v>
      </c>
      <c r="EW76" s="2" t="n">
        <v>0</v>
      </c>
      <c r="EX76" s="2" t="n">
        <v>0</v>
      </c>
      <c r="EY76" s="2" t="n">
        <v>0</v>
      </c>
      <c r="EZ76" s="2" t="n">
        <v>0</v>
      </c>
      <c r="FA76" s="2" t="n">
        <v>0</v>
      </c>
      <c r="FB76" s="2" t="n">
        <v>0</v>
      </c>
      <c r="FC76" s="2" t="n">
        <v>0</v>
      </c>
      <c r="FD76" s="2" t="n">
        <v>0</v>
      </c>
      <c r="FE76" s="2" t="n">
        <v>0</v>
      </c>
      <c r="FF76" s="2" t="n">
        <v>0</v>
      </c>
      <c r="FG76" s="2" t="n">
        <v>0</v>
      </c>
      <c r="FH76" s="2" t="n">
        <v>0</v>
      </c>
      <c r="FI76" s="2" t="n">
        <v>0</v>
      </c>
      <c r="FJ76" s="2" t="n">
        <v>0</v>
      </c>
      <c r="FK76" s="2" t="n">
        <v>0</v>
      </c>
      <c r="FL76" s="2" t="n">
        <v>0</v>
      </c>
      <c r="FM76" s="2" t="n">
        <v>0</v>
      </c>
      <c r="FN76" s="2" t="n">
        <v>0</v>
      </c>
      <c r="FO76" s="2" t="n">
        <v>0</v>
      </c>
      <c r="FP76" s="2" t="n">
        <v>0</v>
      </c>
      <c r="FQ76" s="2" t="n">
        <v>0</v>
      </c>
    </row>
    <row r="77">
      <c r="A77" s="2" t="n">
        <v>1</v>
      </c>
      <c r="B77" s="2" t="inlineStr">
        <is>
          <t>05</t>
        </is>
      </c>
      <c r="C77" s="2" t="inlineStr">
        <is>
          <t>LIGAÇÕES PROVISÓRIAS AGUA, ESGOTO, ENERGIA,TELEFONE, INTERNET</t>
        </is>
      </c>
      <c r="D77" s="2" t="inlineStr">
        <is>
          <t>-</t>
        </is>
      </c>
      <c r="E77" s="2" t="inlineStr">
        <is>
          <t>-</t>
        </is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  <c r="ET77" s="2" t="n">
        <v>0</v>
      </c>
      <c r="EU77" s="2" t="n">
        <v>0</v>
      </c>
      <c r="EV77" s="2" t="n">
        <v>0</v>
      </c>
      <c r="EW77" s="2" t="n">
        <v>0</v>
      </c>
      <c r="EX77" s="2" t="n">
        <v>0</v>
      </c>
      <c r="EY77" s="2" t="n">
        <v>0</v>
      </c>
      <c r="EZ77" s="2" t="n">
        <v>0</v>
      </c>
      <c r="FA77" s="2" t="n">
        <v>0</v>
      </c>
      <c r="FB77" s="2" t="n">
        <v>0</v>
      </c>
      <c r="FC77" s="2" t="n">
        <v>0</v>
      </c>
      <c r="FD77" s="2" t="n">
        <v>0</v>
      </c>
      <c r="FE77" s="2" t="n">
        <v>0</v>
      </c>
      <c r="FF77" s="2" t="n">
        <v>0</v>
      </c>
      <c r="FG77" s="2" t="n">
        <v>0</v>
      </c>
      <c r="FH77" s="2" t="n">
        <v>0</v>
      </c>
      <c r="FI77" s="2" t="n">
        <v>0</v>
      </c>
      <c r="FJ77" s="2" t="n">
        <v>0</v>
      </c>
      <c r="FK77" s="2" t="n">
        <v>0</v>
      </c>
      <c r="FL77" s="2" t="n">
        <v>0</v>
      </c>
      <c r="FM77" s="2" t="n">
        <v>0</v>
      </c>
      <c r="FN77" s="2" t="n">
        <v>0</v>
      </c>
      <c r="FO77" s="2" t="n">
        <v>0</v>
      </c>
      <c r="FP77" s="2" t="n">
        <v>0</v>
      </c>
      <c r="FQ77" s="2" t="n">
        <v>0</v>
      </c>
    </row>
    <row r="78">
      <c r="A78" s="2" t="n">
        <v>2</v>
      </c>
      <c r="B78" s="2" t="inlineStr">
        <is>
          <t>05.01</t>
        </is>
      </c>
      <c r="C78" s="2" t="inlineStr">
        <is>
          <t>Instalacoes para canteiro de obras</t>
        </is>
      </c>
      <c r="D78" s="2" t="inlineStr">
        <is>
          <t>-</t>
        </is>
      </c>
      <c r="E78" s="2" t="inlineStr">
        <is>
          <t>-</t>
        </is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  <c r="ET78" s="2" t="n">
        <v>0</v>
      </c>
      <c r="EU78" s="2" t="n">
        <v>0</v>
      </c>
      <c r="EV78" s="2" t="n">
        <v>0</v>
      </c>
      <c r="EW78" s="2" t="n">
        <v>0</v>
      </c>
      <c r="EX78" s="2" t="n">
        <v>0</v>
      </c>
      <c r="EY78" s="2" t="n">
        <v>0</v>
      </c>
      <c r="EZ78" s="2" t="n">
        <v>0</v>
      </c>
      <c r="FA78" s="2" t="n">
        <v>0</v>
      </c>
      <c r="FB78" s="2" t="n">
        <v>0</v>
      </c>
      <c r="FC78" s="2" t="n">
        <v>0</v>
      </c>
      <c r="FD78" s="2" t="n">
        <v>0</v>
      </c>
      <c r="FE78" s="2" t="n">
        <v>0</v>
      </c>
      <c r="FF78" s="2" t="n">
        <v>0</v>
      </c>
      <c r="FG78" s="2" t="n">
        <v>0</v>
      </c>
      <c r="FH78" s="2" t="n">
        <v>0</v>
      </c>
      <c r="FI78" s="2" t="n">
        <v>0</v>
      </c>
      <c r="FJ78" s="2" t="n">
        <v>0</v>
      </c>
      <c r="FK78" s="2" t="n">
        <v>0</v>
      </c>
      <c r="FL78" s="2" t="n">
        <v>0</v>
      </c>
      <c r="FM78" s="2" t="n">
        <v>0</v>
      </c>
      <c r="FN78" s="2" t="n">
        <v>0</v>
      </c>
      <c r="FO78" s="2" t="n">
        <v>0</v>
      </c>
      <c r="FP78" s="2" t="n">
        <v>0</v>
      </c>
      <c r="FQ78" s="2" t="n">
        <v>0</v>
      </c>
    </row>
    <row r="79">
      <c r="A79" s="2" t="n">
        <v>3</v>
      </c>
      <c r="B79" s="2" t="inlineStr">
        <is>
          <t>05.01.01</t>
        </is>
      </c>
      <c r="C79" s="2" t="inlineStr">
        <is>
          <t>Ligação provisória de água</t>
        </is>
      </c>
      <c r="D79" s="2" t="inlineStr">
        <is>
          <t>-</t>
        </is>
      </c>
      <c r="E79" s="2" t="inlineStr">
        <is>
          <t>-</t>
        </is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  <c r="ET79" s="2" t="n">
        <v>0</v>
      </c>
      <c r="EU79" s="2" t="n">
        <v>0</v>
      </c>
      <c r="EV79" s="2" t="n">
        <v>0</v>
      </c>
      <c r="EW79" s="2" t="n">
        <v>0</v>
      </c>
      <c r="EX79" s="2" t="n">
        <v>0</v>
      </c>
      <c r="EY79" s="2" t="n">
        <v>0</v>
      </c>
      <c r="EZ79" s="2" t="n">
        <v>0</v>
      </c>
      <c r="FA79" s="2" t="n">
        <v>0</v>
      </c>
      <c r="FB79" s="2" t="n">
        <v>0</v>
      </c>
      <c r="FC79" s="2" t="n">
        <v>0</v>
      </c>
      <c r="FD79" s="2" t="n">
        <v>0</v>
      </c>
      <c r="FE79" s="2" t="n">
        <v>0</v>
      </c>
      <c r="FF79" s="2" t="n">
        <v>0</v>
      </c>
      <c r="FG79" s="2" t="n">
        <v>0</v>
      </c>
      <c r="FH79" s="2" t="n">
        <v>0</v>
      </c>
      <c r="FI79" s="2" t="n">
        <v>0</v>
      </c>
      <c r="FJ79" s="2" t="n">
        <v>0</v>
      </c>
      <c r="FK79" s="2" t="n">
        <v>0</v>
      </c>
      <c r="FL79" s="2" t="n">
        <v>0</v>
      </c>
      <c r="FM79" s="2" t="n">
        <v>0</v>
      </c>
      <c r="FN79" s="2" t="n">
        <v>0</v>
      </c>
      <c r="FO79" s="2" t="n">
        <v>0</v>
      </c>
      <c r="FP79" s="2" t="n">
        <v>0</v>
      </c>
      <c r="FQ79" s="2" t="n">
        <v>0</v>
      </c>
    </row>
    <row r="80">
      <c r="A80" s="2" t="n">
        <v>3</v>
      </c>
      <c r="B80" s="2" t="inlineStr">
        <is>
          <t>05.01.02</t>
        </is>
      </c>
      <c r="C80" s="2" t="inlineStr">
        <is>
          <t>Ligação provisória de energia elétrica</t>
        </is>
      </c>
      <c r="D80" s="2" t="inlineStr">
        <is>
          <t>-</t>
        </is>
      </c>
      <c r="E80" s="2" t="inlineStr">
        <is>
          <t>-</t>
        </is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  <c r="ET80" s="2" t="n">
        <v>0</v>
      </c>
      <c r="EU80" s="2" t="n">
        <v>0</v>
      </c>
      <c r="EV80" s="2" t="n">
        <v>0</v>
      </c>
      <c r="EW80" s="2" t="n">
        <v>0</v>
      </c>
      <c r="EX80" s="2" t="n">
        <v>0</v>
      </c>
      <c r="EY80" s="2" t="n">
        <v>0</v>
      </c>
      <c r="EZ80" s="2" t="n">
        <v>0</v>
      </c>
      <c r="FA80" s="2" t="n">
        <v>0</v>
      </c>
      <c r="FB80" s="2" t="n">
        <v>0</v>
      </c>
      <c r="FC80" s="2" t="n">
        <v>0</v>
      </c>
      <c r="FD80" s="2" t="n">
        <v>0</v>
      </c>
      <c r="FE80" s="2" t="n">
        <v>0</v>
      </c>
      <c r="FF80" s="2" t="n">
        <v>0</v>
      </c>
      <c r="FG80" s="2" t="n">
        <v>0</v>
      </c>
      <c r="FH80" s="2" t="n">
        <v>0</v>
      </c>
      <c r="FI80" s="2" t="n">
        <v>0</v>
      </c>
      <c r="FJ80" s="2" t="n">
        <v>0</v>
      </c>
      <c r="FK80" s="2" t="n">
        <v>0</v>
      </c>
      <c r="FL80" s="2" t="n">
        <v>0</v>
      </c>
      <c r="FM80" s="2" t="n">
        <v>0</v>
      </c>
      <c r="FN80" s="2" t="n">
        <v>0</v>
      </c>
      <c r="FO80" s="2" t="n">
        <v>0</v>
      </c>
      <c r="FP80" s="2" t="n">
        <v>0</v>
      </c>
      <c r="FQ80" s="2" t="n">
        <v>0</v>
      </c>
    </row>
    <row r="81">
      <c r="A81" s="2" t="n">
        <v>3</v>
      </c>
      <c r="B81" s="2" t="inlineStr">
        <is>
          <t>05.01.03</t>
        </is>
      </c>
      <c r="C81" s="2" t="inlineStr">
        <is>
          <t>Distribuição eletrica provisoria</t>
        </is>
      </c>
      <c r="D81" s="2" t="inlineStr">
        <is>
          <t>-</t>
        </is>
      </c>
      <c r="E81" s="2" t="inlineStr">
        <is>
          <t>-</t>
        </is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  <c r="ET81" s="2" t="n">
        <v>0</v>
      </c>
      <c r="EU81" s="2" t="n">
        <v>0</v>
      </c>
      <c r="EV81" s="2" t="n">
        <v>0</v>
      </c>
      <c r="EW81" s="2" t="n">
        <v>0</v>
      </c>
      <c r="EX81" s="2" t="n">
        <v>0</v>
      </c>
      <c r="EY81" s="2" t="n">
        <v>0</v>
      </c>
      <c r="EZ81" s="2" t="n">
        <v>0</v>
      </c>
      <c r="FA81" s="2" t="n">
        <v>0</v>
      </c>
      <c r="FB81" s="2" t="n">
        <v>0</v>
      </c>
      <c r="FC81" s="2" t="n">
        <v>0</v>
      </c>
      <c r="FD81" s="2" t="n">
        <v>0</v>
      </c>
      <c r="FE81" s="2" t="n">
        <v>0</v>
      </c>
      <c r="FF81" s="2" t="n">
        <v>0</v>
      </c>
      <c r="FG81" s="2" t="n">
        <v>0</v>
      </c>
      <c r="FH81" s="2" t="n">
        <v>0</v>
      </c>
      <c r="FI81" s="2" t="n">
        <v>0</v>
      </c>
      <c r="FJ81" s="2" t="n">
        <v>0</v>
      </c>
      <c r="FK81" s="2" t="n">
        <v>0</v>
      </c>
      <c r="FL81" s="2" t="n">
        <v>0</v>
      </c>
      <c r="FM81" s="2" t="n">
        <v>0</v>
      </c>
      <c r="FN81" s="2" t="n">
        <v>0</v>
      </c>
      <c r="FO81" s="2" t="n">
        <v>0</v>
      </c>
      <c r="FP81" s="2" t="n">
        <v>0</v>
      </c>
      <c r="FQ81" s="2" t="n">
        <v>0</v>
      </c>
    </row>
    <row r="82">
      <c r="A82" s="2" t="n">
        <v>1</v>
      </c>
      <c r="B82" s="2" t="inlineStr">
        <is>
          <t>06</t>
        </is>
      </c>
      <c r="C82" s="2" t="inlineStr">
        <is>
          <t>CONSUMO DE ÁGUA, ENERGIA, TELEFONE, INTERNET</t>
        </is>
      </c>
      <c r="D82" s="2" t="inlineStr">
        <is>
          <t>-</t>
        </is>
      </c>
      <c r="E82" s="2" t="inlineStr">
        <is>
          <t>-</t>
        </is>
      </c>
      <c r="F82" s="2" t="n">
        <v>385000</v>
      </c>
      <c r="G82" s="2" t="n">
        <v>0</v>
      </c>
      <c r="H82" s="2" t="n">
        <v>385000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  <c r="ET82" s="2" t="n">
        <v>0</v>
      </c>
      <c r="EU82" s="2" t="n">
        <v>0</v>
      </c>
      <c r="EV82" s="2" t="n">
        <v>0</v>
      </c>
      <c r="EW82" s="2" t="n">
        <v>0</v>
      </c>
      <c r="EX82" s="2" t="n">
        <v>0</v>
      </c>
      <c r="EY82" s="2" t="n">
        <v>0</v>
      </c>
      <c r="EZ82" s="2" t="n">
        <v>0</v>
      </c>
      <c r="FA82" s="2" t="n">
        <v>0</v>
      </c>
      <c r="FB82" s="2" t="n">
        <v>0</v>
      </c>
      <c r="FC82" s="2" t="n">
        <v>0</v>
      </c>
      <c r="FD82" s="2" t="n">
        <v>0</v>
      </c>
      <c r="FE82" s="2" t="n">
        <v>0</v>
      </c>
      <c r="FF82" s="2" t="n">
        <v>0</v>
      </c>
      <c r="FG82" s="2" t="n">
        <v>0</v>
      </c>
      <c r="FH82" s="2" t="n">
        <v>0</v>
      </c>
      <c r="FI82" s="2" t="n">
        <v>0</v>
      </c>
      <c r="FJ82" s="2" t="n">
        <v>0</v>
      </c>
      <c r="FK82" s="2" t="n">
        <v>0</v>
      </c>
      <c r="FL82" s="2" t="n">
        <v>0</v>
      </c>
      <c r="FM82" s="2" t="n">
        <v>0</v>
      </c>
      <c r="FN82" s="2" t="n">
        <v>0</v>
      </c>
      <c r="FO82" s="2" t="n">
        <v>0</v>
      </c>
      <c r="FP82" s="2" t="n">
        <v>0</v>
      </c>
      <c r="FQ82" s="2" t="n">
        <v>0</v>
      </c>
    </row>
    <row r="83">
      <c r="A83" s="2" t="n">
        <v>2</v>
      </c>
      <c r="B83" s="2" t="inlineStr">
        <is>
          <t>06.01</t>
        </is>
      </c>
      <c r="C83" s="2" t="inlineStr">
        <is>
          <t>Conta de Água</t>
        </is>
      </c>
      <c r="D83" s="2" t="inlineStr">
        <is>
          <t>-</t>
        </is>
      </c>
      <c r="E83" s="2" t="inlineStr">
        <is>
          <t>-</t>
        </is>
      </c>
      <c r="F83" s="2" t="n">
        <v>154000</v>
      </c>
      <c r="G83" s="2" t="n">
        <v>0</v>
      </c>
      <c r="H83" s="2" t="n">
        <v>154000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  <c r="ET83" s="2" t="n">
        <v>0</v>
      </c>
      <c r="EU83" s="2" t="n">
        <v>0</v>
      </c>
      <c r="EV83" s="2" t="n">
        <v>0</v>
      </c>
      <c r="EW83" s="2" t="n">
        <v>0</v>
      </c>
      <c r="EX83" s="2" t="n">
        <v>0</v>
      </c>
      <c r="EY83" s="2" t="n">
        <v>0</v>
      </c>
      <c r="EZ83" s="2" t="n">
        <v>0</v>
      </c>
      <c r="FA83" s="2" t="n">
        <v>0</v>
      </c>
      <c r="FB83" s="2" t="n">
        <v>0</v>
      </c>
      <c r="FC83" s="2" t="n">
        <v>0</v>
      </c>
      <c r="FD83" s="2" t="n">
        <v>0</v>
      </c>
      <c r="FE83" s="2" t="n">
        <v>0</v>
      </c>
      <c r="FF83" s="2" t="n">
        <v>0</v>
      </c>
      <c r="FG83" s="2" t="n">
        <v>0</v>
      </c>
      <c r="FH83" s="2" t="n">
        <v>0</v>
      </c>
      <c r="FI83" s="2" t="n">
        <v>0</v>
      </c>
      <c r="FJ83" s="2" t="n">
        <v>0</v>
      </c>
      <c r="FK83" s="2" t="n">
        <v>0</v>
      </c>
      <c r="FL83" s="2" t="n">
        <v>0</v>
      </c>
      <c r="FM83" s="2" t="n">
        <v>0</v>
      </c>
      <c r="FN83" s="2" t="n">
        <v>0</v>
      </c>
      <c r="FO83" s="2" t="n">
        <v>0</v>
      </c>
      <c r="FP83" s="2" t="n">
        <v>0</v>
      </c>
      <c r="FQ83" s="2" t="n">
        <v>0</v>
      </c>
    </row>
    <row r="84">
      <c r="A84" s="2" t="n">
        <v>2</v>
      </c>
      <c r="B84" s="2" t="inlineStr">
        <is>
          <t>06.02</t>
        </is>
      </c>
      <c r="C84" s="2" t="inlineStr">
        <is>
          <t>Conta de Energia Elétrica</t>
        </is>
      </c>
      <c r="D84" s="2" t="inlineStr">
        <is>
          <t>-</t>
        </is>
      </c>
      <c r="E84" s="2" t="inlineStr">
        <is>
          <t>-</t>
        </is>
      </c>
      <c r="F84" s="2" t="n">
        <v>198000</v>
      </c>
      <c r="G84" s="2" t="n">
        <v>0</v>
      </c>
      <c r="H84" s="2" t="n">
        <v>198000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  <c r="ET84" s="2" t="n">
        <v>0</v>
      </c>
      <c r="EU84" s="2" t="n">
        <v>0</v>
      </c>
      <c r="EV84" s="2" t="n">
        <v>0</v>
      </c>
      <c r="EW84" s="2" t="n">
        <v>0</v>
      </c>
      <c r="EX84" s="2" t="n">
        <v>0</v>
      </c>
      <c r="EY84" s="2" t="n">
        <v>0</v>
      </c>
      <c r="EZ84" s="2" t="n">
        <v>0</v>
      </c>
      <c r="FA84" s="2" t="n">
        <v>0</v>
      </c>
      <c r="FB84" s="2" t="n">
        <v>0</v>
      </c>
      <c r="FC84" s="2" t="n">
        <v>0</v>
      </c>
      <c r="FD84" s="2" t="n">
        <v>0</v>
      </c>
      <c r="FE84" s="2" t="n">
        <v>0</v>
      </c>
      <c r="FF84" s="2" t="n">
        <v>0</v>
      </c>
      <c r="FG84" s="2" t="n">
        <v>0</v>
      </c>
      <c r="FH84" s="2" t="n">
        <v>0</v>
      </c>
      <c r="FI84" s="2" t="n">
        <v>0</v>
      </c>
      <c r="FJ84" s="2" t="n">
        <v>0</v>
      </c>
      <c r="FK84" s="2" t="n">
        <v>0</v>
      </c>
      <c r="FL84" s="2" t="n">
        <v>0</v>
      </c>
      <c r="FM84" s="2" t="n">
        <v>0</v>
      </c>
      <c r="FN84" s="2" t="n">
        <v>0</v>
      </c>
      <c r="FO84" s="2" t="n">
        <v>0</v>
      </c>
      <c r="FP84" s="2" t="n">
        <v>0</v>
      </c>
      <c r="FQ84" s="2" t="n">
        <v>0</v>
      </c>
    </row>
    <row r="85">
      <c r="A85" s="2" t="n">
        <v>2</v>
      </c>
      <c r="B85" s="2" t="inlineStr">
        <is>
          <t>06.03</t>
        </is>
      </c>
      <c r="C85" s="2" t="inlineStr">
        <is>
          <t>Celular</t>
        </is>
      </c>
      <c r="D85" s="2" t="inlineStr">
        <is>
          <t>-</t>
        </is>
      </c>
      <c r="E85" s="2" t="inlineStr">
        <is>
          <t>-</t>
        </is>
      </c>
      <c r="F85" s="2" t="n">
        <v>22000</v>
      </c>
      <c r="G85" s="2" t="n">
        <v>0</v>
      </c>
      <c r="H85" s="2" t="n">
        <v>22000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  <c r="ET85" s="2" t="n">
        <v>0</v>
      </c>
      <c r="EU85" s="2" t="n">
        <v>0</v>
      </c>
      <c r="EV85" s="2" t="n">
        <v>0</v>
      </c>
      <c r="EW85" s="2" t="n">
        <v>0</v>
      </c>
      <c r="EX85" s="2" t="n">
        <v>0</v>
      </c>
      <c r="EY85" s="2" t="n">
        <v>0</v>
      </c>
      <c r="EZ85" s="2" t="n">
        <v>0</v>
      </c>
      <c r="FA85" s="2" t="n">
        <v>0</v>
      </c>
      <c r="FB85" s="2" t="n">
        <v>0</v>
      </c>
      <c r="FC85" s="2" t="n">
        <v>0</v>
      </c>
      <c r="FD85" s="2" t="n">
        <v>0</v>
      </c>
      <c r="FE85" s="2" t="n">
        <v>0</v>
      </c>
      <c r="FF85" s="2" t="n">
        <v>0</v>
      </c>
      <c r="FG85" s="2" t="n">
        <v>0</v>
      </c>
      <c r="FH85" s="2" t="n">
        <v>0</v>
      </c>
      <c r="FI85" s="2" t="n">
        <v>0</v>
      </c>
      <c r="FJ85" s="2" t="n">
        <v>0</v>
      </c>
      <c r="FK85" s="2" t="n">
        <v>0</v>
      </c>
      <c r="FL85" s="2" t="n">
        <v>0</v>
      </c>
      <c r="FM85" s="2" t="n">
        <v>0</v>
      </c>
      <c r="FN85" s="2" t="n">
        <v>0</v>
      </c>
      <c r="FO85" s="2" t="n">
        <v>0</v>
      </c>
      <c r="FP85" s="2" t="n">
        <v>0</v>
      </c>
      <c r="FQ85" s="2" t="n">
        <v>0</v>
      </c>
    </row>
    <row r="86">
      <c r="A86" s="2" t="n">
        <v>2</v>
      </c>
      <c r="B86" s="2" t="inlineStr">
        <is>
          <t>06.04</t>
        </is>
      </c>
      <c r="C86" s="2" t="inlineStr">
        <is>
          <t>Internet</t>
        </is>
      </c>
      <c r="D86" s="2" t="inlineStr">
        <is>
          <t>-</t>
        </is>
      </c>
      <c r="E86" s="2" t="inlineStr">
        <is>
          <t>-</t>
        </is>
      </c>
      <c r="F86" s="2" t="n">
        <v>11000</v>
      </c>
      <c r="G86" s="2" t="n">
        <v>0</v>
      </c>
      <c r="H86" s="2" t="n">
        <v>11000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  <c r="ET86" s="2" t="n">
        <v>0</v>
      </c>
      <c r="EU86" s="2" t="n">
        <v>0</v>
      </c>
      <c r="EV86" s="2" t="n">
        <v>0</v>
      </c>
      <c r="EW86" s="2" t="n">
        <v>0</v>
      </c>
      <c r="EX86" s="2" t="n">
        <v>0</v>
      </c>
      <c r="EY86" s="2" t="n">
        <v>0</v>
      </c>
      <c r="EZ86" s="2" t="n">
        <v>0</v>
      </c>
      <c r="FA86" s="2" t="n">
        <v>0</v>
      </c>
      <c r="FB86" s="2" t="n">
        <v>0</v>
      </c>
      <c r="FC86" s="2" t="n">
        <v>0</v>
      </c>
      <c r="FD86" s="2" t="n">
        <v>0</v>
      </c>
      <c r="FE86" s="2" t="n">
        <v>0</v>
      </c>
      <c r="FF86" s="2" t="n">
        <v>0</v>
      </c>
      <c r="FG86" s="2" t="n">
        <v>0</v>
      </c>
      <c r="FH86" s="2" t="n">
        <v>0</v>
      </c>
      <c r="FI86" s="2" t="n">
        <v>0</v>
      </c>
      <c r="FJ86" s="2" t="n">
        <v>0</v>
      </c>
      <c r="FK86" s="2" t="n">
        <v>0</v>
      </c>
      <c r="FL86" s="2" t="n">
        <v>0</v>
      </c>
      <c r="FM86" s="2" t="n">
        <v>0</v>
      </c>
      <c r="FN86" s="2" t="n">
        <v>0</v>
      </c>
      <c r="FO86" s="2" t="n">
        <v>0</v>
      </c>
      <c r="FP86" s="2" t="n">
        <v>0</v>
      </c>
      <c r="FQ86" s="2" t="n">
        <v>0</v>
      </c>
    </row>
    <row r="87">
      <c r="A87" s="2" t="n">
        <v>1</v>
      </c>
      <c r="B87" s="2" t="inlineStr">
        <is>
          <t>07</t>
        </is>
      </c>
      <c r="C87" s="2" t="inlineStr">
        <is>
          <t>DIVERSOS</t>
        </is>
      </c>
      <c r="D87" s="2" t="inlineStr">
        <is>
          <t>-</t>
        </is>
      </c>
      <c r="E87" s="2" t="inlineStr">
        <is>
          <t>-</t>
        </is>
      </c>
      <c r="F87" s="2" t="n">
        <v>131000</v>
      </c>
      <c r="G87" s="2" t="n">
        <v>0</v>
      </c>
      <c r="H87" s="2" t="n">
        <v>131000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  <c r="ET87" s="2" t="n">
        <v>0</v>
      </c>
      <c r="EU87" s="2" t="n">
        <v>0</v>
      </c>
      <c r="EV87" s="2" t="n">
        <v>0</v>
      </c>
      <c r="EW87" s="2" t="n">
        <v>0</v>
      </c>
      <c r="EX87" s="2" t="n">
        <v>0</v>
      </c>
      <c r="EY87" s="2" t="n">
        <v>0</v>
      </c>
      <c r="EZ87" s="2" t="n">
        <v>0</v>
      </c>
      <c r="FA87" s="2" t="n">
        <v>0</v>
      </c>
      <c r="FB87" s="2" t="n">
        <v>0</v>
      </c>
      <c r="FC87" s="2" t="n">
        <v>0</v>
      </c>
      <c r="FD87" s="2" t="n">
        <v>0</v>
      </c>
      <c r="FE87" s="2" t="n">
        <v>0</v>
      </c>
      <c r="FF87" s="2" t="n">
        <v>0</v>
      </c>
      <c r="FG87" s="2" t="n">
        <v>0</v>
      </c>
      <c r="FH87" s="2" t="n">
        <v>0</v>
      </c>
      <c r="FI87" s="2" t="n">
        <v>0</v>
      </c>
      <c r="FJ87" s="2" t="n">
        <v>0</v>
      </c>
      <c r="FK87" s="2" t="n">
        <v>0</v>
      </c>
      <c r="FL87" s="2" t="n">
        <v>0</v>
      </c>
      <c r="FM87" s="2" t="n">
        <v>0</v>
      </c>
      <c r="FN87" s="2" t="n">
        <v>0</v>
      </c>
      <c r="FO87" s="2" t="n">
        <v>0</v>
      </c>
      <c r="FP87" s="2" t="n">
        <v>0</v>
      </c>
      <c r="FQ87" s="2" t="n">
        <v>0</v>
      </c>
    </row>
    <row r="88">
      <c r="A88" s="2" t="n">
        <v>2</v>
      </c>
      <c r="B88" s="2" t="inlineStr">
        <is>
          <t>07.01</t>
        </is>
      </c>
      <c r="C88" s="2" t="inlineStr">
        <is>
          <t>Caixa de obra</t>
        </is>
      </c>
      <c r="D88" s="2" t="inlineStr">
        <is>
          <t>-</t>
        </is>
      </c>
      <c r="E88" s="2" t="inlineStr">
        <is>
          <t>-</t>
        </is>
      </c>
      <c r="F88" s="2" t="n">
        <v>44000</v>
      </c>
      <c r="G88" s="2" t="n">
        <v>0</v>
      </c>
      <c r="H88" s="2" t="n">
        <v>44000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  <c r="ET88" s="2" t="n">
        <v>0</v>
      </c>
      <c r="EU88" s="2" t="n">
        <v>0</v>
      </c>
      <c r="EV88" s="2" t="n">
        <v>0</v>
      </c>
      <c r="EW88" s="2" t="n">
        <v>0</v>
      </c>
      <c r="EX88" s="2" t="n">
        <v>0</v>
      </c>
      <c r="EY88" s="2" t="n">
        <v>0</v>
      </c>
      <c r="EZ88" s="2" t="n">
        <v>0</v>
      </c>
      <c r="FA88" s="2" t="n">
        <v>0</v>
      </c>
      <c r="FB88" s="2" t="n">
        <v>0</v>
      </c>
      <c r="FC88" s="2" t="n">
        <v>0</v>
      </c>
      <c r="FD88" s="2" t="n">
        <v>0</v>
      </c>
      <c r="FE88" s="2" t="n">
        <v>0</v>
      </c>
      <c r="FF88" s="2" t="n">
        <v>0</v>
      </c>
      <c r="FG88" s="2" t="n">
        <v>0</v>
      </c>
      <c r="FH88" s="2" t="n">
        <v>0</v>
      </c>
      <c r="FI88" s="2" t="n">
        <v>0</v>
      </c>
      <c r="FJ88" s="2" t="n">
        <v>0</v>
      </c>
      <c r="FK88" s="2" t="n">
        <v>0</v>
      </c>
      <c r="FL88" s="2" t="n">
        <v>0</v>
      </c>
      <c r="FM88" s="2" t="n">
        <v>0</v>
      </c>
      <c r="FN88" s="2" t="n">
        <v>0</v>
      </c>
      <c r="FO88" s="2" t="n">
        <v>0</v>
      </c>
      <c r="FP88" s="2" t="n">
        <v>0</v>
      </c>
      <c r="FQ88" s="2" t="n">
        <v>0</v>
      </c>
    </row>
    <row r="89">
      <c r="A89" s="2" t="n">
        <v>2</v>
      </c>
      <c r="B89" s="2" t="inlineStr">
        <is>
          <t>07.02</t>
        </is>
      </c>
      <c r="C89" s="2" t="inlineStr">
        <is>
          <t>Cópias Heliográficas - Plotagens</t>
        </is>
      </c>
      <c r="D89" s="2" t="inlineStr">
        <is>
          <t>-</t>
        </is>
      </c>
      <c r="E89" s="2" t="inlineStr">
        <is>
          <t>-</t>
        </is>
      </c>
      <c r="F89" s="2" t="n">
        <v>33000</v>
      </c>
      <c r="G89" s="2" t="n">
        <v>0</v>
      </c>
      <c r="H89" s="2" t="n">
        <v>33000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  <c r="ET89" s="2" t="n">
        <v>0</v>
      </c>
      <c r="EU89" s="2" t="n">
        <v>0</v>
      </c>
      <c r="EV89" s="2" t="n">
        <v>0</v>
      </c>
      <c r="EW89" s="2" t="n">
        <v>0</v>
      </c>
      <c r="EX89" s="2" t="n">
        <v>0</v>
      </c>
      <c r="EY89" s="2" t="n">
        <v>0</v>
      </c>
      <c r="EZ89" s="2" t="n">
        <v>0</v>
      </c>
      <c r="FA89" s="2" t="n">
        <v>0</v>
      </c>
      <c r="FB89" s="2" t="n">
        <v>0</v>
      </c>
      <c r="FC89" s="2" t="n">
        <v>0</v>
      </c>
      <c r="FD89" s="2" t="n">
        <v>0</v>
      </c>
      <c r="FE89" s="2" t="n">
        <v>0</v>
      </c>
      <c r="FF89" s="2" t="n">
        <v>0</v>
      </c>
      <c r="FG89" s="2" t="n">
        <v>0</v>
      </c>
      <c r="FH89" s="2" t="n">
        <v>0</v>
      </c>
      <c r="FI89" s="2" t="n">
        <v>0</v>
      </c>
      <c r="FJ89" s="2" t="n">
        <v>0</v>
      </c>
      <c r="FK89" s="2" t="n">
        <v>0</v>
      </c>
      <c r="FL89" s="2" t="n">
        <v>0</v>
      </c>
      <c r="FM89" s="2" t="n">
        <v>0</v>
      </c>
      <c r="FN89" s="2" t="n">
        <v>0</v>
      </c>
      <c r="FO89" s="2" t="n">
        <v>0</v>
      </c>
      <c r="FP89" s="2" t="n">
        <v>0</v>
      </c>
      <c r="FQ89" s="2" t="n">
        <v>0</v>
      </c>
    </row>
    <row r="90">
      <c r="A90" s="2" t="n">
        <v>2</v>
      </c>
      <c r="B90" s="2" t="inlineStr">
        <is>
          <t>07.03</t>
        </is>
      </c>
      <c r="C90" s="2" t="inlineStr">
        <is>
          <t>Despesas Com Materiais de Escritório</t>
        </is>
      </c>
      <c r="D90" s="2" t="inlineStr">
        <is>
          <t>-</t>
        </is>
      </c>
      <c r="E90" s="2" t="inlineStr">
        <is>
          <t>-</t>
        </is>
      </c>
      <c r="F90" s="2" t="n">
        <v>22000</v>
      </c>
      <c r="G90" s="2" t="n">
        <v>0</v>
      </c>
      <c r="H90" s="2" t="n">
        <v>22000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  <c r="ET90" s="2" t="n">
        <v>0</v>
      </c>
      <c r="EU90" s="2" t="n">
        <v>0</v>
      </c>
      <c r="EV90" s="2" t="n">
        <v>0</v>
      </c>
      <c r="EW90" s="2" t="n">
        <v>0</v>
      </c>
      <c r="EX90" s="2" t="n">
        <v>0</v>
      </c>
      <c r="EY90" s="2" t="n">
        <v>0</v>
      </c>
      <c r="EZ90" s="2" t="n">
        <v>0</v>
      </c>
      <c r="FA90" s="2" t="n">
        <v>0</v>
      </c>
      <c r="FB90" s="2" t="n">
        <v>0</v>
      </c>
      <c r="FC90" s="2" t="n">
        <v>0</v>
      </c>
      <c r="FD90" s="2" t="n">
        <v>0</v>
      </c>
      <c r="FE90" s="2" t="n">
        <v>0</v>
      </c>
      <c r="FF90" s="2" t="n">
        <v>0</v>
      </c>
      <c r="FG90" s="2" t="n">
        <v>0</v>
      </c>
      <c r="FH90" s="2" t="n">
        <v>0</v>
      </c>
      <c r="FI90" s="2" t="n">
        <v>0</v>
      </c>
      <c r="FJ90" s="2" t="n">
        <v>0</v>
      </c>
      <c r="FK90" s="2" t="n">
        <v>0</v>
      </c>
      <c r="FL90" s="2" t="n">
        <v>0</v>
      </c>
      <c r="FM90" s="2" t="n">
        <v>0</v>
      </c>
      <c r="FN90" s="2" t="n">
        <v>0</v>
      </c>
      <c r="FO90" s="2" t="n">
        <v>0</v>
      </c>
      <c r="FP90" s="2" t="n">
        <v>0</v>
      </c>
      <c r="FQ90" s="2" t="n">
        <v>0</v>
      </c>
    </row>
    <row r="91">
      <c r="A91" s="2" t="n">
        <v>2</v>
      </c>
      <c r="B91" s="2" t="inlineStr">
        <is>
          <t>07.04</t>
        </is>
      </c>
      <c r="C91" s="2" t="inlineStr">
        <is>
          <t>Aquisicao de licensas de softwares</t>
        </is>
      </c>
      <c r="D91" s="2" t="inlineStr">
        <is>
          <t>-</t>
        </is>
      </c>
      <c r="E91" s="2" t="inlineStr">
        <is>
          <t>-</t>
        </is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  <c r="ET91" s="2" t="n">
        <v>0</v>
      </c>
      <c r="EU91" s="2" t="n">
        <v>0</v>
      </c>
      <c r="EV91" s="2" t="n">
        <v>0</v>
      </c>
      <c r="EW91" s="2" t="n">
        <v>0</v>
      </c>
      <c r="EX91" s="2" t="n">
        <v>0</v>
      </c>
      <c r="EY91" s="2" t="n">
        <v>0</v>
      </c>
      <c r="EZ91" s="2" t="n">
        <v>0</v>
      </c>
      <c r="FA91" s="2" t="n">
        <v>0</v>
      </c>
      <c r="FB91" s="2" t="n">
        <v>0</v>
      </c>
      <c r="FC91" s="2" t="n">
        <v>0</v>
      </c>
      <c r="FD91" s="2" t="n">
        <v>0</v>
      </c>
      <c r="FE91" s="2" t="n">
        <v>0</v>
      </c>
      <c r="FF91" s="2" t="n">
        <v>0</v>
      </c>
      <c r="FG91" s="2" t="n">
        <v>0</v>
      </c>
      <c r="FH91" s="2" t="n">
        <v>0</v>
      </c>
      <c r="FI91" s="2" t="n">
        <v>0</v>
      </c>
      <c r="FJ91" s="2" t="n">
        <v>0</v>
      </c>
      <c r="FK91" s="2" t="n">
        <v>0</v>
      </c>
      <c r="FL91" s="2" t="n">
        <v>0</v>
      </c>
      <c r="FM91" s="2" t="n">
        <v>0</v>
      </c>
      <c r="FN91" s="2" t="n">
        <v>0</v>
      </c>
      <c r="FO91" s="2" t="n">
        <v>0</v>
      </c>
      <c r="FP91" s="2" t="n">
        <v>0</v>
      </c>
      <c r="FQ91" s="2" t="n">
        <v>0</v>
      </c>
    </row>
    <row r="92">
      <c r="A92" s="2" t="n">
        <v>2</v>
      </c>
      <c r="B92" s="2" t="inlineStr">
        <is>
          <t>07.05</t>
        </is>
      </c>
      <c r="C92" s="2" t="inlineStr">
        <is>
          <t>Material de limpeza</t>
        </is>
      </c>
      <c r="D92" s="2" t="inlineStr">
        <is>
          <t>-</t>
        </is>
      </c>
      <c r="E92" s="2" t="inlineStr">
        <is>
          <t>-</t>
        </is>
      </c>
      <c r="F92" s="2" t="n">
        <v>22000</v>
      </c>
      <c r="G92" s="2" t="n">
        <v>0</v>
      </c>
      <c r="H92" s="2" t="n">
        <v>22000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  <c r="ET92" s="2" t="n">
        <v>0</v>
      </c>
      <c r="EU92" s="2" t="n">
        <v>0</v>
      </c>
      <c r="EV92" s="2" t="n">
        <v>0</v>
      </c>
      <c r="EW92" s="2" t="n">
        <v>0</v>
      </c>
      <c r="EX92" s="2" t="n">
        <v>0</v>
      </c>
      <c r="EY92" s="2" t="n">
        <v>0</v>
      </c>
      <c r="EZ92" s="2" t="n">
        <v>0</v>
      </c>
      <c r="FA92" s="2" t="n">
        <v>0</v>
      </c>
      <c r="FB92" s="2" t="n">
        <v>0</v>
      </c>
      <c r="FC92" s="2" t="n">
        <v>0</v>
      </c>
      <c r="FD92" s="2" t="n">
        <v>0</v>
      </c>
      <c r="FE92" s="2" t="n">
        <v>0</v>
      </c>
      <c r="FF92" s="2" t="n">
        <v>0</v>
      </c>
      <c r="FG92" s="2" t="n">
        <v>0</v>
      </c>
      <c r="FH92" s="2" t="n">
        <v>0</v>
      </c>
      <c r="FI92" s="2" t="n">
        <v>0</v>
      </c>
      <c r="FJ92" s="2" t="n">
        <v>0</v>
      </c>
      <c r="FK92" s="2" t="n">
        <v>0</v>
      </c>
      <c r="FL92" s="2" t="n">
        <v>0</v>
      </c>
      <c r="FM92" s="2" t="n">
        <v>0</v>
      </c>
      <c r="FN92" s="2" t="n">
        <v>0</v>
      </c>
      <c r="FO92" s="2" t="n">
        <v>0</v>
      </c>
      <c r="FP92" s="2" t="n">
        <v>0</v>
      </c>
      <c r="FQ92" s="2" t="n">
        <v>0</v>
      </c>
    </row>
    <row r="93">
      <c r="A93" s="2" t="n">
        <v>1</v>
      </c>
      <c r="B93" s="2" t="inlineStr">
        <is>
          <t>08</t>
        </is>
      </c>
      <c r="C93" s="2" t="inlineStr">
        <is>
          <t>FRETES E TRANSPORTES</t>
        </is>
      </c>
      <c r="D93" s="2" t="inlineStr">
        <is>
          <t>-</t>
        </is>
      </c>
      <c r="E93" s="2" t="inlineStr">
        <is>
          <t>-</t>
        </is>
      </c>
      <c r="F93" s="2" t="n">
        <v>742720</v>
      </c>
      <c r="G93" s="2" t="n">
        <v>0</v>
      </c>
      <c r="H93" s="2" t="n">
        <v>742720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  <c r="ET93" s="2" t="n">
        <v>0</v>
      </c>
      <c r="EU93" s="2" t="n">
        <v>0</v>
      </c>
      <c r="EV93" s="2" t="n">
        <v>0</v>
      </c>
      <c r="EW93" s="2" t="n">
        <v>0</v>
      </c>
      <c r="EX93" s="2" t="n">
        <v>0</v>
      </c>
      <c r="EY93" s="2" t="n">
        <v>0</v>
      </c>
      <c r="EZ93" s="2" t="n">
        <v>0</v>
      </c>
      <c r="FA93" s="2" t="n">
        <v>0</v>
      </c>
      <c r="FB93" s="2" t="n">
        <v>0</v>
      </c>
      <c r="FC93" s="2" t="n">
        <v>0</v>
      </c>
      <c r="FD93" s="2" t="n">
        <v>0</v>
      </c>
      <c r="FE93" s="2" t="n">
        <v>0</v>
      </c>
      <c r="FF93" s="2" t="n">
        <v>0</v>
      </c>
      <c r="FG93" s="2" t="n">
        <v>0</v>
      </c>
      <c r="FH93" s="2" t="n">
        <v>0</v>
      </c>
      <c r="FI93" s="2" t="n">
        <v>0</v>
      </c>
      <c r="FJ93" s="2" t="n">
        <v>0</v>
      </c>
      <c r="FK93" s="2" t="n">
        <v>0</v>
      </c>
      <c r="FL93" s="2" t="n">
        <v>0</v>
      </c>
      <c r="FM93" s="2" t="n">
        <v>0</v>
      </c>
      <c r="FN93" s="2" t="n">
        <v>0</v>
      </c>
      <c r="FO93" s="2" t="n">
        <v>0</v>
      </c>
      <c r="FP93" s="2" t="n">
        <v>0</v>
      </c>
      <c r="FQ93" s="2" t="n">
        <v>0</v>
      </c>
    </row>
    <row r="94">
      <c r="A94" s="2" t="n">
        <v>2</v>
      </c>
      <c r="B94" s="2" t="inlineStr">
        <is>
          <t>08.01</t>
        </is>
      </c>
      <c r="C94" s="2" t="inlineStr">
        <is>
          <t>Serviços de Entregas (motoboy)</t>
        </is>
      </c>
      <c r="D94" s="2" t="inlineStr">
        <is>
          <t>-</t>
        </is>
      </c>
      <c r="E94" s="2" t="inlineStr">
        <is>
          <t>-</t>
        </is>
      </c>
      <c r="F94" s="2" t="n">
        <v>66000</v>
      </c>
      <c r="G94" s="2" t="n">
        <v>0</v>
      </c>
      <c r="H94" s="2" t="n">
        <v>66000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  <c r="ET94" s="2" t="n">
        <v>0</v>
      </c>
      <c r="EU94" s="2" t="n">
        <v>0</v>
      </c>
      <c r="EV94" s="2" t="n">
        <v>0</v>
      </c>
      <c r="EW94" s="2" t="n">
        <v>0</v>
      </c>
      <c r="EX94" s="2" t="n">
        <v>0</v>
      </c>
      <c r="EY94" s="2" t="n">
        <v>0</v>
      </c>
      <c r="EZ94" s="2" t="n">
        <v>0</v>
      </c>
      <c r="FA94" s="2" t="n">
        <v>0</v>
      </c>
      <c r="FB94" s="2" t="n">
        <v>0</v>
      </c>
      <c r="FC94" s="2" t="n">
        <v>0</v>
      </c>
      <c r="FD94" s="2" t="n">
        <v>0</v>
      </c>
      <c r="FE94" s="2" t="n">
        <v>0</v>
      </c>
      <c r="FF94" s="2" t="n">
        <v>0</v>
      </c>
      <c r="FG94" s="2" t="n">
        <v>0</v>
      </c>
      <c r="FH94" s="2" t="n">
        <v>0</v>
      </c>
      <c r="FI94" s="2" t="n">
        <v>0</v>
      </c>
      <c r="FJ94" s="2" t="n">
        <v>0</v>
      </c>
      <c r="FK94" s="2" t="n">
        <v>0</v>
      </c>
      <c r="FL94" s="2" t="n">
        <v>0</v>
      </c>
      <c r="FM94" s="2" t="n">
        <v>0</v>
      </c>
      <c r="FN94" s="2" t="n">
        <v>0</v>
      </c>
      <c r="FO94" s="2" t="n">
        <v>0</v>
      </c>
      <c r="FP94" s="2" t="n">
        <v>0</v>
      </c>
      <c r="FQ94" s="2" t="n">
        <v>0</v>
      </c>
    </row>
    <row r="95">
      <c r="A95" s="2" t="n">
        <v>2</v>
      </c>
      <c r="B95" s="2" t="inlineStr">
        <is>
          <t>08.02</t>
        </is>
      </c>
      <c r="C95" s="2" t="inlineStr">
        <is>
          <t>Fretes Diversos</t>
        </is>
      </c>
      <c r="D95" s="2" t="inlineStr">
        <is>
          <t>-</t>
        </is>
      </c>
      <c r="E95" s="2" t="inlineStr">
        <is>
          <t>-</t>
        </is>
      </c>
      <c r="F95" s="2" t="n">
        <v>162800</v>
      </c>
      <c r="G95" s="2" t="n">
        <v>0</v>
      </c>
      <c r="H95" s="2" t="n">
        <v>162800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  <c r="ET95" s="2" t="n">
        <v>0</v>
      </c>
      <c r="EU95" s="2" t="n">
        <v>0</v>
      </c>
      <c r="EV95" s="2" t="n">
        <v>0</v>
      </c>
      <c r="EW95" s="2" t="n">
        <v>0</v>
      </c>
      <c r="EX95" s="2" t="n">
        <v>0</v>
      </c>
      <c r="EY95" s="2" t="n">
        <v>0</v>
      </c>
      <c r="EZ95" s="2" t="n">
        <v>0</v>
      </c>
      <c r="FA95" s="2" t="n">
        <v>0</v>
      </c>
      <c r="FB95" s="2" t="n">
        <v>0</v>
      </c>
      <c r="FC95" s="2" t="n">
        <v>0</v>
      </c>
      <c r="FD95" s="2" t="n">
        <v>0</v>
      </c>
      <c r="FE95" s="2" t="n">
        <v>0</v>
      </c>
      <c r="FF95" s="2" t="n">
        <v>0</v>
      </c>
      <c r="FG95" s="2" t="n">
        <v>0</v>
      </c>
      <c r="FH95" s="2" t="n">
        <v>0</v>
      </c>
      <c r="FI95" s="2" t="n">
        <v>0</v>
      </c>
      <c r="FJ95" s="2" t="n">
        <v>0</v>
      </c>
      <c r="FK95" s="2" t="n">
        <v>0</v>
      </c>
      <c r="FL95" s="2" t="n">
        <v>0</v>
      </c>
      <c r="FM95" s="2" t="n">
        <v>0</v>
      </c>
      <c r="FN95" s="2" t="n">
        <v>0</v>
      </c>
      <c r="FO95" s="2" t="n">
        <v>0</v>
      </c>
      <c r="FP95" s="2" t="n">
        <v>0</v>
      </c>
      <c r="FQ95" s="2" t="n">
        <v>0</v>
      </c>
    </row>
    <row r="96">
      <c r="A96" s="2" t="n">
        <v>2</v>
      </c>
      <c r="B96" s="2" t="inlineStr">
        <is>
          <t>08.03</t>
        </is>
      </c>
      <c r="C96" s="2" t="inlineStr">
        <is>
          <t>Limpeza de ruas com caminhão pipa</t>
        </is>
      </c>
      <c r="D96" s="2" t="inlineStr">
        <is>
          <t>-</t>
        </is>
      </c>
      <c r="E96" s="2" t="inlineStr">
        <is>
          <t>-</t>
        </is>
      </c>
      <c r="F96" s="2" t="n">
        <v>79200</v>
      </c>
      <c r="G96" s="2" t="n">
        <v>0</v>
      </c>
      <c r="H96" s="2" t="n">
        <v>79200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  <c r="ET96" s="2" t="n">
        <v>0</v>
      </c>
      <c r="EU96" s="2" t="n">
        <v>0</v>
      </c>
      <c r="EV96" s="2" t="n">
        <v>0</v>
      </c>
      <c r="EW96" s="2" t="n">
        <v>0</v>
      </c>
      <c r="EX96" s="2" t="n">
        <v>0</v>
      </c>
      <c r="EY96" s="2" t="n">
        <v>0</v>
      </c>
      <c r="EZ96" s="2" t="n">
        <v>0</v>
      </c>
      <c r="FA96" s="2" t="n">
        <v>0</v>
      </c>
      <c r="FB96" s="2" t="n">
        <v>0</v>
      </c>
      <c r="FC96" s="2" t="n">
        <v>0</v>
      </c>
      <c r="FD96" s="2" t="n">
        <v>0</v>
      </c>
      <c r="FE96" s="2" t="n">
        <v>0</v>
      </c>
      <c r="FF96" s="2" t="n">
        <v>0</v>
      </c>
      <c r="FG96" s="2" t="n">
        <v>0</v>
      </c>
      <c r="FH96" s="2" t="n">
        <v>0</v>
      </c>
      <c r="FI96" s="2" t="n">
        <v>0</v>
      </c>
      <c r="FJ96" s="2" t="n">
        <v>0</v>
      </c>
      <c r="FK96" s="2" t="n">
        <v>0</v>
      </c>
      <c r="FL96" s="2" t="n">
        <v>0</v>
      </c>
      <c r="FM96" s="2" t="n">
        <v>0</v>
      </c>
      <c r="FN96" s="2" t="n">
        <v>0</v>
      </c>
      <c r="FO96" s="2" t="n">
        <v>0</v>
      </c>
      <c r="FP96" s="2" t="n">
        <v>0</v>
      </c>
      <c r="FQ96" s="2" t="n">
        <v>0</v>
      </c>
    </row>
    <row r="97">
      <c r="A97" s="2" t="n">
        <v>2</v>
      </c>
      <c r="B97" s="2" t="inlineStr">
        <is>
          <t>08.04</t>
        </is>
      </c>
      <c r="C97" s="2" t="inlineStr">
        <is>
          <t>Caçamba para limpeza permanente de obra</t>
        </is>
      </c>
      <c r="D97" s="2" t="inlineStr">
        <is>
          <t>-</t>
        </is>
      </c>
      <c r="E97" s="2" t="inlineStr">
        <is>
          <t>-</t>
        </is>
      </c>
      <c r="F97" s="2" t="n">
        <v>434720</v>
      </c>
      <c r="G97" s="2" t="n">
        <v>0</v>
      </c>
      <c r="H97" s="2" t="n">
        <v>434720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  <c r="ET97" s="2" t="n">
        <v>0</v>
      </c>
      <c r="EU97" s="2" t="n">
        <v>0</v>
      </c>
      <c r="EV97" s="2" t="n">
        <v>0</v>
      </c>
      <c r="EW97" s="2" t="n">
        <v>0</v>
      </c>
      <c r="EX97" s="2" t="n">
        <v>0</v>
      </c>
      <c r="EY97" s="2" t="n">
        <v>0</v>
      </c>
      <c r="EZ97" s="2" t="n">
        <v>0</v>
      </c>
      <c r="FA97" s="2" t="n">
        <v>0</v>
      </c>
      <c r="FB97" s="2" t="n">
        <v>0</v>
      </c>
      <c r="FC97" s="2" t="n">
        <v>0</v>
      </c>
      <c r="FD97" s="2" t="n">
        <v>0</v>
      </c>
      <c r="FE97" s="2" t="n">
        <v>0</v>
      </c>
      <c r="FF97" s="2" t="n">
        <v>0</v>
      </c>
      <c r="FG97" s="2" t="n">
        <v>0</v>
      </c>
      <c r="FH97" s="2" t="n">
        <v>0</v>
      </c>
      <c r="FI97" s="2" t="n">
        <v>0</v>
      </c>
      <c r="FJ97" s="2" t="n">
        <v>0</v>
      </c>
      <c r="FK97" s="2" t="n">
        <v>0</v>
      </c>
      <c r="FL97" s="2" t="n">
        <v>0</v>
      </c>
      <c r="FM97" s="2" t="n">
        <v>0</v>
      </c>
      <c r="FN97" s="2" t="n">
        <v>0</v>
      </c>
      <c r="FO97" s="2" t="n">
        <v>0</v>
      </c>
      <c r="FP97" s="2" t="n">
        <v>0</v>
      </c>
      <c r="FQ97" s="2" t="n">
        <v>0</v>
      </c>
    </row>
    <row r="98">
      <c r="A98" s="2" t="n">
        <v>1</v>
      </c>
      <c r="B98" s="2" t="inlineStr">
        <is>
          <t>09</t>
        </is>
      </c>
      <c r="C98" s="2" t="inlineStr">
        <is>
          <t>CONSULTORIAS (OBRAS)</t>
        </is>
      </c>
      <c r="D98" s="2" t="inlineStr">
        <is>
          <t>-</t>
        </is>
      </c>
      <c r="E98" s="2" t="inlineStr">
        <is>
          <t>-</t>
        </is>
      </c>
      <c r="F98" s="2" t="n">
        <v>805441.86</v>
      </c>
      <c r="G98" s="2" t="n">
        <v>0</v>
      </c>
      <c r="H98" s="2" t="n">
        <v>805441.86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  <c r="ET98" s="2" t="n">
        <v>0</v>
      </c>
      <c r="EU98" s="2" t="n">
        <v>0</v>
      </c>
      <c r="EV98" s="2" t="n">
        <v>0</v>
      </c>
      <c r="EW98" s="2" t="n">
        <v>0</v>
      </c>
      <c r="EX98" s="2" t="n">
        <v>0</v>
      </c>
      <c r="EY98" s="2" t="n">
        <v>0</v>
      </c>
      <c r="EZ98" s="2" t="n">
        <v>0</v>
      </c>
      <c r="FA98" s="2" t="n">
        <v>0</v>
      </c>
      <c r="FB98" s="2" t="n">
        <v>0</v>
      </c>
      <c r="FC98" s="2" t="n">
        <v>0</v>
      </c>
      <c r="FD98" s="2" t="n">
        <v>0</v>
      </c>
      <c r="FE98" s="2" t="n">
        <v>0</v>
      </c>
      <c r="FF98" s="2" t="n">
        <v>0</v>
      </c>
      <c r="FG98" s="2" t="n">
        <v>0</v>
      </c>
      <c r="FH98" s="2" t="n">
        <v>0</v>
      </c>
      <c r="FI98" s="2" t="n">
        <v>0</v>
      </c>
      <c r="FJ98" s="2" t="n">
        <v>0</v>
      </c>
      <c r="FK98" s="2" t="n">
        <v>0</v>
      </c>
      <c r="FL98" s="2" t="n">
        <v>0</v>
      </c>
      <c r="FM98" s="2" t="n">
        <v>0</v>
      </c>
      <c r="FN98" s="2" t="n">
        <v>0</v>
      </c>
      <c r="FO98" s="2" t="n">
        <v>0</v>
      </c>
      <c r="FP98" s="2" t="n">
        <v>0</v>
      </c>
      <c r="FQ98" s="2" t="n">
        <v>0</v>
      </c>
    </row>
    <row r="99">
      <c r="A99" s="2" t="n">
        <v>2</v>
      </c>
      <c r="B99" s="2" t="inlineStr">
        <is>
          <t>09.01</t>
        </is>
      </c>
      <c r="C99" s="2" t="inlineStr">
        <is>
          <t>Controle Tecnológico</t>
        </is>
      </c>
      <c r="D99" s="2" t="inlineStr">
        <is>
          <t>-</t>
        </is>
      </c>
      <c r="E99" s="2" t="inlineStr">
        <is>
          <t>-</t>
        </is>
      </c>
      <c r="F99" s="2" t="n">
        <v>705441.86</v>
      </c>
      <c r="G99" s="2" t="n">
        <v>0</v>
      </c>
      <c r="H99" s="2" t="n">
        <v>705441.86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  <c r="ET99" s="2" t="n">
        <v>0</v>
      </c>
      <c r="EU99" s="2" t="n">
        <v>0</v>
      </c>
      <c r="EV99" s="2" t="n">
        <v>0</v>
      </c>
      <c r="EW99" s="2" t="n">
        <v>0</v>
      </c>
      <c r="EX99" s="2" t="n">
        <v>0</v>
      </c>
      <c r="EY99" s="2" t="n">
        <v>0</v>
      </c>
      <c r="EZ99" s="2" t="n">
        <v>0</v>
      </c>
      <c r="FA99" s="2" t="n">
        <v>0</v>
      </c>
      <c r="FB99" s="2" t="n">
        <v>0</v>
      </c>
      <c r="FC99" s="2" t="n">
        <v>0</v>
      </c>
      <c r="FD99" s="2" t="n">
        <v>0</v>
      </c>
      <c r="FE99" s="2" t="n">
        <v>0</v>
      </c>
      <c r="FF99" s="2" t="n">
        <v>0</v>
      </c>
      <c r="FG99" s="2" t="n">
        <v>0</v>
      </c>
      <c r="FH99" s="2" t="n">
        <v>0</v>
      </c>
      <c r="FI99" s="2" t="n">
        <v>0</v>
      </c>
      <c r="FJ99" s="2" t="n">
        <v>0</v>
      </c>
      <c r="FK99" s="2" t="n">
        <v>0</v>
      </c>
      <c r="FL99" s="2" t="n">
        <v>0</v>
      </c>
      <c r="FM99" s="2" t="n">
        <v>0</v>
      </c>
      <c r="FN99" s="2" t="n">
        <v>0</v>
      </c>
      <c r="FO99" s="2" t="n">
        <v>0</v>
      </c>
      <c r="FP99" s="2" t="n">
        <v>0</v>
      </c>
      <c r="FQ99" s="2" t="n">
        <v>0</v>
      </c>
    </row>
    <row r="100">
      <c r="A100" s="2" t="n">
        <v>3</v>
      </c>
      <c r="B100" s="2" t="inlineStr">
        <is>
          <t>09.01.01</t>
        </is>
      </c>
      <c r="C100" s="2" t="inlineStr">
        <is>
          <t>Controle Tecnológico de Concreto</t>
        </is>
      </c>
      <c r="D100" s="2" t="inlineStr">
        <is>
          <t>-</t>
        </is>
      </c>
      <c r="E100" s="2" t="inlineStr">
        <is>
          <t>-</t>
        </is>
      </c>
      <c r="F100" s="2" t="n">
        <v>148855.2</v>
      </c>
      <c r="G100" s="2" t="n">
        <v>0</v>
      </c>
      <c r="H100" s="2" t="n">
        <v>148855.2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  <c r="ET100" s="2" t="n">
        <v>0</v>
      </c>
      <c r="EU100" s="2" t="n">
        <v>0</v>
      </c>
      <c r="EV100" s="2" t="n">
        <v>0</v>
      </c>
      <c r="EW100" s="2" t="n">
        <v>0</v>
      </c>
      <c r="EX100" s="2" t="n">
        <v>0</v>
      </c>
      <c r="EY100" s="2" t="n">
        <v>0</v>
      </c>
      <c r="EZ100" s="2" t="n">
        <v>0</v>
      </c>
      <c r="FA100" s="2" t="n">
        <v>0</v>
      </c>
      <c r="FB100" s="2" t="n">
        <v>0</v>
      </c>
      <c r="FC100" s="2" t="n">
        <v>0</v>
      </c>
      <c r="FD100" s="2" t="n">
        <v>0</v>
      </c>
      <c r="FE100" s="2" t="n">
        <v>0</v>
      </c>
      <c r="FF100" s="2" t="n">
        <v>0</v>
      </c>
      <c r="FG100" s="2" t="n">
        <v>0</v>
      </c>
      <c r="FH100" s="2" t="n">
        <v>0</v>
      </c>
      <c r="FI100" s="2" t="n">
        <v>0</v>
      </c>
      <c r="FJ100" s="2" t="n">
        <v>0</v>
      </c>
      <c r="FK100" s="2" t="n">
        <v>0</v>
      </c>
      <c r="FL100" s="2" t="n">
        <v>0</v>
      </c>
      <c r="FM100" s="2" t="n">
        <v>0</v>
      </c>
      <c r="FN100" s="2" t="n">
        <v>0</v>
      </c>
      <c r="FO100" s="2" t="n">
        <v>0</v>
      </c>
      <c r="FP100" s="2" t="n">
        <v>0</v>
      </c>
      <c r="FQ100" s="2" t="n">
        <v>0</v>
      </c>
    </row>
    <row r="101">
      <c r="A101" s="2" t="n">
        <v>3</v>
      </c>
      <c r="B101" s="2" t="inlineStr">
        <is>
          <t>09.01.02</t>
        </is>
      </c>
      <c r="C101" s="2" t="inlineStr">
        <is>
          <t>Norma de desempenho - certificação de fachadas, revestimentos, desempenho termo-acústico do empreendimento</t>
        </is>
      </c>
      <c r="D101" s="2" t="inlineStr">
        <is>
          <t>-</t>
        </is>
      </c>
      <c r="E101" s="2" t="inlineStr">
        <is>
          <t>-</t>
        </is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  <c r="ET101" s="2" t="n">
        <v>0</v>
      </c>
      <c r="EU101" s="2" t="n">
        <v>0</v>
      </c>
      <c r="EV101" s="2" t="n">
        <v>0</v>
      </c>
      <c r="EW101" s="2" t="n">
        <v>0</v>
      </c>
      <c r="EX101" s="2" t="n">
        <v>0</v>
      </c>
      <c r="EY101" s="2" t="n">
        <v>0</v>
      </c>
      <c r="EZ101" s="2" t="n">
        <v>0</v>
      </c>
      <c r="FA101" s="2" t="n">
        <v>0</v>
      </c>
      <c r="FB101" s="2" t="n">
        <v>0</v>
      </c>
      <c r="FC101" s="2" t="n">
        <v>0</v>
      </c>
      <c r="FD101" s="2" t="n">
        <v>0</v>
      </c>
      <c r="FE101" s="2" t="n">
        <v>0</v>
      </c>
      <c r="FF101" s="2" t="n">
        <v>0</v>
      </c>
      <c r="FG101" s="2" t="n">
        <v>0</v>
      </c>
      <c r="FH101" s="2" t="n">
        <v>0</v>
      </c>
      <c r="FI101" s="2" t="n">
        <v>0</v>
      </c>
      <c r="FJ101" s="2" t="n">
        <v>0</v>
      </c>
      <c r="FK101" s="2" t="n">
        <v>0</v>
      </c>
      <c r="FL101" s="2" t="n">
        <v>0</v>
      </c>
      <c r="FM101" s="2" t="n">
        <v>0</v>
      </c>
      <c r="FN101" s="2" t="n">
        <v>0</v>
      </c>
      <c r="FO101" s="2" t="n">
        <v>0</v>
      </c>
      <c r="FP101" s="2" t="n">
        <v>0</v>
      </c>
      <c r="FQ101" s="2" t="n">
        <v>0</v>
      </c>
    </row>
    <row r="102">
      <c r="A102" s="2" t="n">
        <v>3</v>
      </c>
      <c r="B102" s="2" t="inlineStr">
        <is>
          <t>09.01.03</t>
        </is>
      </c>
      <c r="C102" s="2" t="inlineStr">
        <is>
          <t>Controle de obra  - Prevision</t>
        </is>
      </c>
      <c r="D102" s="2" t="inlineStr">
        <is>
          <t>-</t>
        </is>
      </c>
      <c r="E102" s="2" t="inlineStr">
        <is>
          <t>-</t>
        </is>
      </c>
      <c r="F102" s="2" t="n">
        <v>74800</v>
      </c>
      <c r="G102" s="2" t="n">
        <v>0</v>
      </c>
      <c r="H102" s="2" t="n">
        <v>74800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  <c r="ET102" s="2" t="n">
        <v>0</v>
      </c>
      <c r="EU102" s="2" t="n">
        <v>0</v>
      </c>
      <c r="EV102" s="2" t="n">
        <v>0</v>
      </c>
      <c r="EW102" s="2" t="n">
        <v>0</v>
      </c>
      <c r="EX102" s="2" t="n">
        <v>0</v>
      </c>
      <c r="EY102" s="2" t="n">
        <v>0</v>
      </c>
      <c r="EZ102" s="2" t="n">
        <v>0</v>
      </c>
      <c r="FA102" s="2" t="n">
        <v>0</v>
      </c>
      <c r="FB102" s="2" t="n">
        <v>0</v>
      </c>
      <c r="FC102" s="2" t="n">
        <v>0</v>
      </c>
      <c r="FD102" s="2" t="n">
        <v>0</v>
      </c>
      <c r="FE102" s="2" t="n">
        <v>0</v>
      </c>
      <c r="FF102" s="2" t="n">
        <v>0</v>
      </c>
      <c r="FG102" s="2" t="n">
        <v>0</v>
      </c>
      <c r="FH102" s="2" t="n">
        <v>0</v>
      </c>
      <c r="FI102" s="2" t="n">
        <v>0</v>
      </c>
      <c r="FJ102" s="2" t="n">
        <v>0</v>
      </c>
      <c r="FK102" s="2" t="n">
        <v>0</v>
      </c>
      <c r="FL102" s="2" t="n">
        <v>0</v>
      </c>
      <c r="FM102" s="2" t="n">
        <v>0</v>
      </c>
      <c r="FN102" s="2" t="n">
        <v>0</v>
      </c>
      <c r="FO102" s="2" t="n">
        <v>0</v>
      </c>
      <c r="FP102" s="2" t="n">
        <v>0</v>
      </c>
      <c r="FQ102" s="2" t="n">
        <v>0</v>
      </c>
    </row>
    <row r="103">
      <c r="A103" s="2" t="n">
        <v>3</v>
      </c>
      <c r="B103" s="2" t="inlineStr">
        <is>
          <t>09.01.04</t>
        </is>
      </c>
      <c r="C103" s="2" t="inlineStr">
        <is>
          <t>Consultoria geotécnica</t>
        </is>
      </c>
      <c r="D103" s="2" t="inlineStr">
        <is>
          <t>-</t>
        </is>
      </c>
      <c r="E103" s="2" t="inlineStr">
        <is>
          <t>-</t>
        </is>
      </c>
      <c r="F103" s="2" t="n">
        <v>82350</v>
      </c>
      <c r="G103" s="2" t="n">
        <v>0</v>
      </c>
      <c r="H103" s="2" t="n">
        <v>82350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  <c r="ET103" s="2" t="n">
        <v>0</v>
      </c>
      <c r="EU103" s="2" t="n">
        <v>0</v>
      </c>
      <c r="EV103" s="2" t="n">
        <v>0</v>
      </c>
      <c r="EW103" s="2" t="n">
        <v>0</v>
      </c>
      <c r="EX103" s="2" t="n">
        <v>0</v>
      </c>
      <c r="EY103" s="2" t="n">
        <v>0</v>
      </c>
      <c r="EZ103" s="2" t="n">
        <v>0</v>
      </c>
      <c r="FA103" s="2" t="n">
        <v>0</v>
      </c>
      <c r="FB103" s="2" t="n">
        <v>0</v>
      </c>
      <c r="FC103" s="2" t="n">
        <v>0</v>
      </c>
      <c r="FD103" s="2" t="n">
        <v>0</v>
      </c>
      <c r="FE103" s="2" t="n">
        <v>0</v>
      </c>
      <c r="FF103" s="2" t="n">
        <v>0</v>
      </c>
      <c r="FG103" s="2" t="n">
        <v>0</v>
      </c>
      <c r="FH103" s="2" t="n">
        <v>0</v>
      </c>
      <c r="FI103" s="2" t="n">
        <v>0</v>
      </c>
      <c r="FJ103" s="2" t="n">
        <v>0</v>
      </c>
      <c r="FK103" s="2" t="n">
        <v>0</v>
      </c>
      <c r="FL103" s="2" t="n">
        <v>0</v>
      </c>
      <c r="FM103" s="2" t="n">
        <v>0</v>
      </c>
      <c r="FN103" s="2" t="n">
        <v>0</v>
      </c>
      <c r="FO103" s="2" t="n">
        <v>0</v>
      </c>
      <c r="FP103" s="2" t="n">
        <v>0</v>
      </c>
      <c r="FQ103" s="2" t="n">
        <v>0</v>
      </c>
    </row>
    <row r="104">
      <c r="A104" s="2" t="n">
        <v>3</v>
      </c>
      <c r="B104" s="2" t="inlineStr">
        <is>
          <t>09.01.05</t>
        </is>
      </c>
      <c r="C104" s="2" t="inlineStr">
        <is>
          <t>Projeto de proteções coletivas</t>
        </is>
      </c>
      <c r="D104" s="2" t="inlineStr">
        <is>
          <t>-</t>
        </is>
      </c>
      <c r="E104" s="2" t="inlineStr">
        <is>
          <t>-</t>
        </is>
      </c>
      <c r="F104" s="2" t="n">
        <v>10500</v>
      </c>
      <c r="G104" s="2" t="n">
        <v>0</v>
      </c>
      <c r="H104" s="2" t="n">
        <v>10500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  <c r="ET104" s="2" t="n">
        <v>0</v>
      </c>
      <c r="EU104" s="2" t="n">
        <v>0</v>
      </c>
      <c r="EV104" s="2" t="n">
        <v>0</v>
      </c>
      <c r="EW104" s="2" t="n">
        <v>0</v>
      </c>
      <c r="EX104" s="2" t="n">
        <v>0</v>
      </c>
      <c r="EY104" s="2" t="n">
        <v>0</v>
      </c>
      <c r="EZ104" s="2" t="n">
        <v>0</v>
      </c>
      <c r="FA104" s="2" t="n">
        <v>0</v>
      </c>
      <c r="FB104" s="2" t="n">
        <v>0</v>
      </c>
      <c r="FC104" s="2" t="n">
        <v>0</v>
      </c>
      <c r="FD104" s="2" t="n">
        <v>0</v>
      </c>
      <c r="FE104" s="2" t="n">
        <v>0</v>
      </c>
      <c r="FF104" s="2" t="n">
        <v>0</v>
      </c>
      <c r="FG104" s="2" t="n">
        <v>0</v>
      </c>
      <c r="FH104" s="2" t="n">
        <v>0</v>
      </c>
      <c r="FI104" s="2" t="n">
        <v>0</v>
      </c>
      <c r="FJ104" s="2" t="n">
        <v>0</v>
      </c>
      <c r="FK104" s="2" t="n">
        <v>0</v>
      </c>
      <c r="FL104" s="2" t="n">
        <v>0</v>
      </c>
      <c r="FM104" s="2" t="n">
        <v>0</v>
      </c>
      <c r="FN104" s="2" t="n">
        <v>0</v>
      </c>
      <c r="FO104" s="2" t="n">
        <v>0</v>
      </c>
      <c r="FP104" s="2" t="n">
        <v>0</v>
      </c>
      <c r="FQ104" s="2" t="n">
        <v>0</v>
      </c>
    </row>
    <row r="105">
      <c r="A105" s="2" t="n">
        <v>3</v>
      </c>
      <c r="B105" s="2" t="inlineStr">
        <is>
          <t>09.01.06</t>
        </is>
      </c>
      <c r="C105" s="2" t="inlineStr">
        <is>
          <t>Certificação LEED GBC</t>
        </is>
      </c>
      <c r="D105" s="2" t="inlineStr">
        <is>
          <t>-</t>
        </is>
      </c>
      <c r="E105" s="2" t="inlineStr">
        <is>
          <t>-</t>
        </is>
      </c>
      <c r="F105" s="2" t="n">
        <v>55000</v>
      </c>
      <c r="G105" s="2" t="n">
        <v>0</v>
      </c>
      <c r="H105" s="2" t="n">
        <v>55000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  <c r="ET105" s="2" t="n">
        <v>0</v>
      </c>
      <c r="EU105" s="2" t="n">
        <v>0</v>
      </c>
      <c r="EV105" s="2" t="n">
        <v>0</v>
      </c>
      <c r="EW105" s="2" t="n">
        <v>0</v>
      </c>
      <c r="EX105" s="2" t="n">
        <v>0</v>
      </c>
      <c r="EY105" s="2" t="n">
        <v>0</v>
      </c>
      <c r="EZ105" s="2" t="n">
        <v>0</v>
      </c>
      <c r="FA105" s="2" t="n">
        <v>0</v>
      </c>
      <c r="FB105" s="2" t="n">
        <v>0</v>
      </c>
      <c r="FC105" s="2" t="n">
        <v>0</v>
      </c>
      <c r="FD105" s="2" t="n">
        <v>0</v>
      </c>
      <c r="FE105" s="2" t="n">
        <v>0</v>
      </c>
      <c r="FF105" s="2" t="n">
        <v>0</v>
      </c>
      <c r="FG105" s="2" t="n">
        <v>0</v>
      </c>
      <c r="FH105" s="2" t="n">
        <v>0</v>
      </c>
      <c r="FI105" s="2" t="n">
        <v>0</v>
      </c>
      <c r="FJ105" s="2" t="n">
        <v>0</v>
      </c>
      <c r="FK105" s="2" t="n">
        <v>0</v>
      </c>
      <c r="FL105" s="2" t="n">
        <v>0</v>
      </c>
      <c r="FM105" s="2" t="n">
        <v>0</v>
      </c>
      <c r="FN105" s="2" t="n">
        <v>0</v>
      </c>
      <c r="FO105" s="2" t="n">
        <v>0</v>
      </c>
      <c r="FP105" s="2" t="n">
        <v>0</v>
      </c>
      <c r="FQ105" s="2" t="n">
        <v>0</v>
      </c>
    </row>
    <row r="106">
      <c r="A106" s="2" t="n">
        <v>3</v>
      </c>
      <c r="B106" s="2" t="inlineStr">
        <is>
          <t>09.01.07</t>
        </is>
      </c>
      <c r="C106" s="2" t="inlineStr">
        <is>
          <t>Orçamento da obra</t>
        </is>
      </c>
      <c r="D106" s="2" t="inlineStr">
        <is>
          <t>-</t>
        </is>
      </c>
      <c r="E106" s="2" t="inlineStr">
        <is>
          <t>-</t>
        </is>
      </c>
      <c r="F106" s="2" t="n">
        <v>46136.66</v>
      </c>
      <c r="G106" s="2" t="n">
        <v>0</v>
      </c>
      <c r="H106" s="2" t="n">
        <v>46136.66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  <c r="ET106" s="2" t="n">
        <v>0</v>
      </c>
      <c r="EU106" s="2" t="n">
        <v>0</v>
      </c>
      <c r="EV106" s="2" t="n">
        <v>0</v>
      </c>
      <c r="EW106" s="2" t="n">
        <v>0</v>
      </c>
      <c r="EX106" s="2" t="n">
        <v>0</v>
      </c>
      <c r="EY106" s="2" t="n">
        <v>0</v>
      </c>
      <c r="EZ106" s="2" t="n">
        <v>0</v>
      </c>
      <c r="FA106" s="2" t="n">
        <v>0</v>
      </c>
      <c r="FB106" s="2" t="n">
        <v>0</v>
      </c>
      <c r="FC106" s="2" t="n">
        <v>0</v>
      </c>
      <c r="FD106" s="2" t="n">
        <v>0</v>
      </c>
      <c r="FE106" s="2" t="n">
        <v>0</v>
      </c>
      <c r="FF106" s="2" t="n">
        <v>0</v>
      </c>
      <c r="FG106" s="2" t="n">
        <v>0</v>
      </c>
      <c r="FH106" s="2" t="n">
        <v>0</v>
      </c>
      <c r="FI106" s="2" t="n">
        <v>0</v>
      </c>
      <c r="FJ106" s="2" t="n">
        <v>0</v>
      </c>
      <c r="FK106" s="2" t="n">
        <v>0</v>
      </c>
      <c r="FL106" s="2" t="n">
        <v>0</v>
      </c>
      <c r="FM106" s="2" t="n">
        <v>0</v>
      </c>
      <c r="FN106" s="2" t="n">
        <v>0</v>
      </c>
      <c r="FO106" s="2" t="n">
        <v>0</v>
      </c>
      <c r="FP106" s="2" t="n">
        <v>0</v>
      </c>
      <c r="FQ106" s="2" t="n">
        <v>0</v>
      </c>
    </row>
    <row r="107">
      <c r="A107" s="2" t="n">
        <v>3</v>
      </c>
      <c r="B107" s="2" t="inlineStr">
        <is>
          <t>09.01.08</t>
        </is>
      </c>
      <c r="C107" s="2" t="inlineStr">
        <is>
          <t>Comunicação com vizinhos</t>
        </is>
      </c>
      <c r="D107" s="2" t="inlineStr">
        <is>
          <t>-</t>
        </is>
      </c>
      <c r="E107" s="2" t="inlineStr">
        <is>
          <t>-</t>
        </is>
      </c>
      <c r="F107" s="2" t="n">
        <v>176800</v>
      </c>
      <c r="G107" s="2" t="n">
        <v>0</v>
      </c>
      <c r="H107" s="2" t="n">
        <v>176800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  <c r="ET107" s="2" t="n">
        <v>0</v>
      </c>
      <c r="EU107" s="2" t="n">
        <v>0</v>
      </c>
      <c r="EV107" s="2" t="n">
        <v>0</v>
      </c>
      <c r="EW107" s="2" t="n">
        <v>0</v>
      </c>
      <c r="EX107" s="2" t="n">
        <v>0</v>
      </c>
      <c r="EY107" s="2" t="n">
        <v>0</v>
      </c>
      <c r="EZ107" s="2" t="n">
        <v>0</v>
      </c>
      <c r="FA107" s="2" t="n">
        <v>0</v>
      </c>
      <c r="FB107" s="2" t="n">
        <v>0</v>
      </c>
      <c r="FC107" s="2" t="n">
        <v>0</v>
      </c>
      <c r="FD107" s="2" t="n">
        <v>0</v>
      </c>
      <c r="FE107" s="2" t="n">
        <v>0</v>
      </c>
      <c r="FF107" s="2" t="n">
        <v>0</v>
      </c>
      <c r="FG107" s="2" t="n">
        <v>0</v>
      </c>
      <c r="FH107" s="2" t="n">
        <v>0</v>
      </c>
      <c r="FI107" s="2" t="n">
        <v>0</v>
      </c>
      <c r="FJ107" s="2" t="n">
        <v>0</v>
      </c>
      <c r="FK107" s="2" t="n">
        <v>0</v>
      </c>
      <c r="FL107" s="2" t="n">
        <v>0</v>
      </c>
      <c r="FM107" s="2" t="n">
        <v>0</v>
      </c>
      <c r="FN107" s="2" t="n">
        <v>0</v>
      </c>
      <c r="FO107" s="2" t="n">
        <v>0</v>
      </c>
      <c r="FP107" s="2" t="n">
        <v>0</v>
      </c>
      <c r="FQ107" s="2" t="n">
        <v>0</v>
      </c>
    </row>
    <row r="108">
      <c r="A108" s="2" t="n">
        <v>3</v>
      </c>
      <c r="B108" s="2" t="inlineStr">
        <is>
          <t>09.01.09</t>
        </is>
      </c>
      <c r="C108" s="2" t="inlineStr">
        <is>
          <t>Consultoria/laudo de resfriamento de concreto (gelo nos blocos)</t>
        </is>
      </c>
      <c r="D108" s="2" t="inlineStr">
        <is>
          <t>-</t>
        </is>
      </c>
      <c r="E108" s="2" t="inlineStr">
        <is>
          <t>-</t>
        </is>
      </c>
      <c r="F108" s="2" t="n">
        <v>36000</v>
      </c>
      <c r="G108" s="2" t="n">
        <v>0</v>
      </c>
      <c r="H108" s="2" t="n">
        <v>36000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  <c r="ET108" s="2" t="n">
        <v>0</v>
      </c>
      <c r="EU108" s="2" t="n">
        <v>0</v>
      </c>
      <c r="EV108" s="2" t="n">
        <v>0</v>
      </c>
      <c r="EW108" s="2" t="n">
        <v>0</v>
      </c>
      <c r="EX108" s="2" t="n">
        <v>0</v>
      </c>
      <c r="EY108" s="2" t="n">
        <v>0</v>
      </c>
      <c r="EZ108" s="2" t="n">
        <v>0</v>
      </c>
      <c r="FA108" s="2" t="n">
        <v>0</v>
      </c>
      <c r="FB108" s="2" t="n">
        <v>0</v>
      </c>
      <c r="FC108" s="2" t="n">
        <v>0</v>
      </c>
      <c r="FD108" s="2" t="n">
        <v>0</v>
      </c>
      <c r="FE108" s="2" t="n">
        <v>0</v>
      </c>
      <c r="FF108" s="2" t="n">
        <v>0</v>
      </c>
      <c r="FG108" s="2" t="n">
        <v>0</v>
      </c>
      <c r="FH108" s="2" t="n">
        <v>0</v>
      </c>
      <c r="FI108" s="2" t="n">
        <v>0</v>
      </c>
      <c r="FJ108" s="2" t="n">
        <v>0</v>
      </c>
      <c r="FK108" s="2" t="n">
        <v>0</v>
      </c>
      <c r="FL108" s="2" t="n">
        <v>0</v>
      </c>
      <c r="FM108" s="2" t="n">
        <v>0</v>
      </c>
      <c r="FN108" s="2" t="n">
        <v>0</v>
      </c>
      <c r="FO108" s="2" t="n">
        <v>0</v>
      </c>
      <c r="FP108" s="2" t="n">
        <v>0</v>
      </c>
      <c r="FQ108" s="2" t="n">
        <v>0</v>
      </c>
    </row>
    <row r="109">
      <c r="A109" s="2" t="n">
        <v>2</v>
      </c>
      <c r="B109" s="2" t="inlineStr">
        <is>
          <t>09.02</t>
        </is>
      </c>
      <c r="C109" s="2" t="inlineStr">
        <is>
          <t>Controle Tecnológico de fundações</t>
        </is>
      </c>
      <c r="D109" s="2" t="inlineStr">
        <is>
          <t>-</t>
        </is>
      </c>
      <c r="E109" s="2" t="inlineStr">
        <is>
          <t>-</t>
        </is>
      </c>
      <c r="F109" s="2" t="n">
        <v>100000</v>
      </c>
      <c r="G109" s="2" t="n">
        <v>0</v>
      </c>
      <c r="H109" s="2" t="n">
        <v>100000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  <c r="ET109" s="2" t="n">
        <v>0</v>
      </c>
      <c r="EU109" s="2" t="n">
        <v>0</v>
      </c>
      <c r="EV109" s="2" t="n">
        <v>0</v>
      </c>
      <c r="EW109" s="2" t="n">
        <v>0</v>
      </c>
      <c r="EX109" s="2" t="n">
        <v>0</v>
      </c>
      <c r="EY109" s="2" t="n">
        <v>0</v>
      </c>
      <c r="EZ109" s="2" t="n">
        <v>0</v>
      </c>
      <c r="FA109" s="2" t="n">
        <v>0</v>
      </c>
      <c r="FB109" s="2" t="n">
        <v>0</v>
      </c>
      <c r="FC109" s="2" t="n">
        <v>0</v>
      </c>
      <c r="FD109" s="2" t="n">
        <v>0</v>
      </c>
      <c r="FE109" s="2" t="n">
        <v>0</v>
      </c>
      <c r="FF109" s="2" t="n">
        <v>0</v>
      </c>
      <c r="FG109" s="2" t="n">
        <v>0</v>
      </c>
      <c r="FH109" s="2" t="n">
        <v>0</v>
      </c>
      <c r="FI109" s="2" t="n">
        <v>0</v>
      </c>
      <c r="FJ109" s="2" t="n">
        <v>0</v>
      </c>
      <c r="FK109" s="2" t="n">
        <v>0</v>
      </c>
      <c r="FL109" s="2" t="n">
        <v>0</v>
      </c>
      <c r="FM109" s="2" t="n">
        <v>0</v>
      </c>
      <c r="FN109" s="2" t="n">
        <v>0</v>
      </c>
      <c r="FO109" s="2" t="n">
        <v>0</v>
      </c>
      <c r="FP109" s="2" t="n">
        <v>0</v>
      </c>
      <c r="FQ109" s="2" t="n">
        <v>0</v>
      </c>
    </row>
    <row r="110">
      <c r="A110" s="2" t="n">
        <v>3</v>
      </c>
      <c r="B110" s="2" t="inlineStr">
        <is>
          <t>09.02.01</t>
        </is>
      </c>
      <c r="C110" s="2" t="inlineStr">
        <is>
          <t>Prova de carga dinâmica</t>
        </is>
      </c>
      <c r="D110" s="2" t="inlineStr">
        <is>
          <t>-</t>
        </is>
      </c>
      <c r="E110" s="2" t="inlineStr">
        <is>
          <t>-</t>
        </is>
      </c>
      <c r="F110" s="2" t="n">
        <v>100000</v>
      </c>
      <c r="G110" s="2" t="n">
        <v>0</v>
      </c>
      <c r="H110" s="2" t="n">
        <v>100000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  <c r="ET110" s="2" t="n">
        <v>0</v>
      </c>
      <c r="EU110" s="2" t="n">
        <v>0</v>
      </c>
      <c r="EV110" s="2" t="n">
        <v>0</v>
      </c>
      <c r="EW110" s="2" t="n">
        <v>0</v>
      </c>
      <c r="EX110" s="2" t="n">
        <v>0</v>
      </c>
      <c r="EY110" s="2" t="n">
        <v>0</v>
      </c>
      <c r="EZ110" s="2" t="n">
        <v>0</v>
      </c>
      <c r="FA110" s="2" t="n">
        <v>0</v>
      </c>
      <c r="FB110" s="2" t="n">
        <v>0</v>
      </c>
      <c r="FC110" s="2" t="n">
        <v>0</v>
      </c>
      <c r="FD110" s="2" t="n">
        <v>0</v>
      </c>
      <c r="FE110" s="2" t="n">
        <v>0</v>
      </c>
      <c r="FF110" s="2" t="n">
        <v>0</v>
      </c>
      <c r="FG110" s="2" t="n">
        <v>0</v>
      </c>
      <c r="FH110" s="2" t="n">
        <v>0</v>
      </c>
      <c r="FI110" s="2" t="n">
        <v>0</v>
      </c>
      <c r="FJ110" s="2" t="n">
        <v>0</v>
      </c>
      <c r="FK110" s="2" t="n">
        <v>0</v>
      </c>
      <c r="FL110" s="2" t="n">
        <v>0</v>
      </c>
      <c r="FM110" s="2" t="n">
        <v>0</v>
      </c>
      <c r="FN110" s="2" t="n">
        <v>0</v>
      </c>
      <c r="FO110" s="2" t="n">
        <v>0</v>
      </c>
      <c r="FP110" s="2" t="n">
        <v>0</v>
      </c>
      <c r="FQ110" s="2" t="n">
        <v>0</v>
      </c>
    </row>
    <row r="111">
      <c r="A111" s="2" t="n">
        <v>1</v>
      </c>
      <c r="B111" s="2" t="inlineStr">
        <is>
          <t>10</t>
        </is>
      </c>
      <c r="C111" s="2" t="inlineStr">
        <is>
          <t>MÃO DE OBRA PRÓPRIA</t>
        </is>
      </c>
      <c r="D111" s="2" t="inlineStr">
        <is>
          <t>-</t>
        </is>
      </c>
      <c r="E111" s="2" t="inlineStr">
        <is>
          <t>-</t>
        </is>
      </c>
      <c r="F111" s="2" t="n">
        <v>14511646.07565028</v>
      </c>
      <c r="G111" s="2" t="n">
        <v>0</v>
      </c>
      <c r="H111" s="2" t="n">
        <v>14511646.07565028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  <c r="ET111" s="2" t="n">
        <v>0</v>
      </c>
      <c r="EU111" s="2" t="n">
        <v>0</v>
      </c>
      <c r="EV111" s="2" t="n">
        <v>0</v>
      </c>
      <c r="EW111" s="2" t="n">
        <v>0</v>
      </c>
      <c r="EX111" s="2" t="n">
        <v>0</v>
      </c>
      <c r="EY111" s="2" t="n">
        <v>0</v>
      </c>
      <c r="EZ111" s="2" t="n">
        <v>0</v>
      </c>
      <c r="FA111" s="2" t="n">
        <v>0</v>
      </c>
      <c r="FB111" s="2" t="n">
        <v>0</v>
      </c>
      <c r="FC111" s="2" t="n">
        <v>0</v>
      </c>
      <c r="FD111" s="2" t="n">
        <v>0</v>
      </c>
      <c r="FE111" s="2" t="n">
        <v>0</v>
      </c>
      <c r="FF111" s="2" t="n">
        <v>0</v>
      </c>
      <c r="FG111" s="2" t="n">
        <v>0</v>
      </c>
      <c r="FH111" s="2" t="n">
        <v>0</v>
      </c>
      <c r="FI111" s="2" t="n">
        <v>0</v>
      </c>
      <c r="FJ111" s="2" t="n">
        <v>0</v>
      </c>
      <c r="FK111" s="2" t="n">
        <v>0</v>
      </c>
      <c r="FL111" s="2" t="n">
        <v>0</v>
      </c>
      <c r="FM111" s="2" t="n">
        <v>0</v>
      </c>
      <c r="FN111" s="2" t="n">
        <v>0</v>
      </c>
      <c r="FO111" s="2" t="n">
        <v>0</v>
      </c>
      <c r="FP111" s="2" t="n">
        <v>0</v>
      </c>
      <c r="FQ111" s="2" t="n">
        <v>0</v>
      </c>
    </row>
    <row r="112">
      <c r="A112" s="2" t="n">
        <v>2</v>
      </c>
      <c r="B112" s="2" t="inlineStr">
        <is>
          <t>10.01</t>
        </is>
      </c>
      <c r="C112" s="2" t="inlineStr">
        <is>
          <t>MÃO-DE-OBRA INDIRETA</t>
        </is>
      </c>
      <c r="D112" s="2" t="inlineStr">
        <is>
          <t>-</t>
        </is>
      </c>
      <c r="E112" s="2" t="inlineStr">
        <is>
          <t>-</t>
        </is>
      </c>
      <c r="F112" s="2" t="n">
        <v>12270072.1283674</v>
      </c>
      <c r="G112" s="2" t="n">
        <v>0</v>
      </c>
      <c r="H112" s="2" t="n">
        <v>12270072.1283674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  <c r="ET112" s="2" t="n">
        <v>0</v>
      </c>
      <c r="EU112" s="2" t="n">
        <v>0</v>
      </c>
      <c r="EV112" s="2" t="n">
        <v>0</v>
      </c>
      <c r="EW112" s="2" t="n">
        <v>0</v>
      </c>
      <c r="EX112" s="2" t="n">
        <v>0</v>
      </c>
      <c r="EY112" s="2" t="n">
        <v>0</v>
      </c>
      <c r="EZ112" s="2" t="n">
        <v>0</v>
      </c>
      <c r="FA112" s="2" t="n">
        <v>0</v>
      </c>
      <c r="FB112" s="2" t="n">
        <v>0</v>
      </c>
      <c r="FC112" s="2" t="n">
        <v>0</v>
      </c>
      <c r="FD112" s="2" t="n">
        <v>0</v>
      </c>
      <c r="FE112" s="2" t="n">
        <v>0</v>
      </c>
      <c r="FF112" s="2" t="n">
        <v>0</v>
      </c>
      <c r="FG112" s="2" t="n">
        <v>0</v>
      </c>
      <c r="FH112" s="2" t="n">
        <v>0</v>
      </c>
      <c r="FI112" s="2" t="n">
        <v>0</v>
      </c>
      <c r="FJ112" s="2" t="n">
        <v>0</v>
      </c>
      <c r="FK112" s="2" t="n">
        <v>0</v>
      </c>
      <c r="FL112" s="2" t="n">
        <v>0</v>
      </c>
      <c r="FM112" s="2" t="n">
        <v>0</v>
      </c>
      <c r="FN112" s="2" t="n">
        <v>0</v>
      </c>
      <c r="FO112" s="2" t="n">
        <v>0</v>
      </c>
      <c r="FP112" s="2" t="n">
        <v>0</v>
      </c>
      <c r="FQ112" s="2" t="n">
        <v>0</v>
      </c>
    </row>
    <row r="113">
      <c r="A113" s="2" t="n">
        <v>3</v>
      </c>
      <c r="B113" s="2" t="inlineStr">
        <is>
          <t>10.01.01</t>
        </is>
      </c>
      <c r="C113" s="2" t="inlineStr">
        <is>
          <t>Segurança do trabalho</t>
        </is>
      </c>
      <c r="D113" s="2" t="inlineStr">
        <is>
          <t>-</t>
        </is>
      </c>
      <c r="E113" s="2" t="inlineStr">
        <is>
          <t>-</t>
        </is>
      </c>
      <c r="F113" s="2" t="n">
        <v>101000</v>
      </c>
      <c r="G113" s="2" t="n">
        <v>0</v>
      </c>
      <c r="H113" s="2" t="n">
        <v>101000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  <c r="ET113" s="2" t="n">
        <v>0</v>
      </c>
      <c r="EU113" s="2" t="n">
        <v>0</v>
      </c>
      <c r="EV113" s="2" t="n">
        <v>0</v>
      </c>
      <c r="EW113" s="2" t="n">
        <v>0</v>
      </c>
      <c r="EX113" s="2" t="n">
        <v>0</v>
      </c>
      <c r="EY113" s="2" t="n">
        <v>0</v>
      </c>
      <c r="EZ113" s="2" t="n">
        <v>0</v>
      </c>
      <c r="FA113" s="2" t="n">
        <v>0</v>
      </c>
      <c r="FB113" s="2" t="n">
        <v>0</v>
      </c>
      <c r="FC113" s="2" t="n">
        <v>0</v>
      </c>
      <c r="FD113" s="2" t="n">
        <v>0</v>
      </c>
      <c r="FE113" s="2" t="n">
        <v>0</v>
      </c>
      <c r="FF113" s="2" t="n">
        <v>0</v>
      </c>
      <c r="FG113" s="2" t="n">
        <v>0</v>
      </c>
      <c r="FH113" s="2" t="n">
        <v>0</v>
      </c>
      <c r="FI113" s="2" t="n">
        <v>0</v>
      </c>
      <c r="FJ113" s="2" t="n">
        <v>0</v>
      </c>
      <c r="FK113" s="2" t="n">
        <v>0</v>
      </c>
      <c r="FL113" s="2" t="n">
        <v>0</v>
      </c>
      <c r="FM113" s="2" t="n">
        <v>0</v>
      </c>
      <c r="FN113" s="2" t="n">
        <v>0</v>
      </c>
      <c r="FO113" s="2" t="n">
        <v>0</v>
      </c>
      <c r="FP113" s="2" t="n">
        <v>0</v>
      </c>
      <c r="FQ113" s="2" t="n">
        <v>0</v>
      </c>
    </row>
    <row r="114">
      <c r="A114" s="2" t="n">
        <v>4</v>
      </c>
      <c r="B114" s="2" t="inlineStr">
        <is>
          <t>10.01.01.01</t>
        </is>
      </c>
      <c r="C114" s="2" t="inlineStr">
        <is>
          <t>PCMAT</t>
        </is>
      </c>
      <c r="D114" s="2" t="inlineStr">
        <is>
          <t>-</t>
        </is>
      </c>
      <c r="E114" s="2" t="inlineStr">
        <is>
          <t>-</t>
        </is>
      </c>
      <c r="F114" s="2" t="n">
        <v>34400</v>
      </c>
      <c r="G114" s="2" t="n">
        <v>0</v>
      </c>
      <c r="H114" s="2" t="n">
        <v>34400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  <c r="ET114" s="2" t="n">
        <v>0</v>
      </c>
      <c r="EU114" s="2" t="n">
        <v>0</v>
      </c>
      <c r="EV114" s="2" t="n">
        <v>0</v>
      </c>
      <c r="EW114" s="2" t="n">
        <v>0</v>
      </c>
      <c r="EX114" s="2" t="n">
        <v>0</v>
      </c>
      <c r="EY114" s="2" t="n">
        <v>0</v>
      </c>
      <c r="EZ114" s="2" t="n">
        <v>0</v>
      </c>
      <c r="FA114" s="2" t="n">
        <v>0</v>
      </c>
      <c r="FB114" s="2" t="n">
        <v>0</v>
      </c>
      <c r="FC114" s="2" t="n">
        <v>0</v>
      </c>
      <c r="FD114" s="2" t="n">
        <v>0</v>
      </c>
      <c r="FE114" s="2" t="n">
        <v>0</v>
      </c>
      <c r="FF114" s="2" t="n">
        <v>0</v>
      </c>
      <c r="FG114" s="2" t="n">
        <v>0</v>
      </c>
      <c r="FH114" s="2" t="n">
        <v>0</v>
      </c>
      <c r="FI114" s="2" t="n">
        <v>0</v>
      </c>
      <c r="FJ114" s="2" t="n">
        <v>0</v>
      </c>
      <c r="FK114" s="2" t="n">
        <v>0</v>
      </c>
      <c r="FL114" s="2" t="n">
        <v>0</v>
      </c>
      <c r="FM114" s="2" t="n">
        <v>0</v>
      </c>
      <c r="FN114" s="2" t="n">
        <v>0</v>
      </c>
      <c r="FO114" s="2" t="n">
        <v>0</v>
      </c>
      <c r="FP114" s="2" t="n">
        <v>0</v>
      </c>
      <c r="FQ114" s="2" t="n">
        <v>0</v>
      </c>
    </row>
    <row r="115">
      <c r="A115" s="2" t="n">
        <v>4</v>
      </c>
      <c r="B115" s="2" t="inlineStr">
        <is>
          <t>10.01.01.02</t>
        </is>
      </c>
      <c r="C115" s="2" t="inlineStr">
        <is>
          <t>PCMSO</t>
        </is>
      </c>
      <c r="D115" s="2" t="inlineStr">
        <is>
          <t>-</t>
        </is>
      </c>
      <c r="E115" s="2" t="inlineStr">
        <is>
          <t>-</t>
        </is>
      </c>
      <c r="F115" s="2" t="n">
        <v>16800</v>
      </c>
      <c r="G115" s="2" t="n">
        <v>0</v>
      </c>
      <c r="H115" s="2" t="n">
        <v>16800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  <c r="ET115" s="2" t="n">
        <v>0</v>
      </c>
      <c r="EU115" s="2" t="n">
        <v>0</v>
      </c>
      <c r="EV115" s="2" t="n">
        <v>0</v>
      </c>
      <c r="EW115" s="2" t="n">
        <v>0</v>
      </c>
      <c r="EX115" s="2" t="n">
        <v>0</v>
      </c>
      <c r="EY115" s="2" t="n">
        <v>0</v>
      </c>
      <c r="EZ115" s="2" t="n">
        <v>0</v>
      </c>
      <c r="FA115" s="2" t="n">
        <v>0</v>
      </c>
      <c r="FB115" s="2" t="n">
        <v>0</v>
      </c>
      <c r="FC115" s="2" t="n">
        <v>0</v>
      </c>
      <c r="FD115" s="2" t="n">
        <v>0</v>
      </c>
      <c r="FE115" s="2" t="n">
        <v>0</v>
      </c>
      <c r="FF115" s="2" t="n">
        <v>0</v>
      </c>
      <c r="FG115" s="2" t="n">
        <v>0</v>
      </c>
      <c r="FH115" s="2" t="n">
        <v>0</v>
      </c>
      <c r="FI115" s="2" t="n">
        <v>0</v>
      </c>
      <c r="FJ115" s="2" t="n">
        <v>0</v>
      </c>
      <c r="FK115" s="2" t="n">
        <v>0</v>
      </c>
      <c r="FL115" s="2" t="n">
        <v>0</v>
      </c>
      <c r="FM115" s="2" t="n">
        <v>0</v>
      </c>
      <c r="FN115" s="2" t="n">
        <v>0</v>
      </c>
      <c r="FO115" s="2" t="n">
        <v>0</v>
      </c>
      <c r="FP115" s="2" t="n">
        <v>0</v>
      </c>
      <c r="FQ115" s="2" t="n">
        <v>0</v>
      </c>
    </row>
    <row r="116">
      <c r="A116" s="2" t="n">
        <v>4</v>
      </c>
      <c r="B116" s="2" t="inlineStr">
        <is>
          <t>10.01.01.03</t>
        </is>
      </c>
      <c r="C116" s="2" t="inlineStr">
        <is>
          <t>SIPAT</t>
        </is>
      </c>
      <c r="D116" s="2" t="inlineStr">
        <is>
          <t>-</t>
        </is>
      </c>
      <c r="E116" s="2" t="inlineStr">
        <is>
          <t>-</t>
        </is>
      </c>
      <c r="F116" s="2" t="n">
        <v>30000</v>
      </c>
      <c r="G116" s="2" t="n">
        <v>0</v>
      </c>
      <c r="H116" s="2" t="n">
        <v>30000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  <c r="ET116" s="2" t="n">
        <v>0</v>
      </c>
      <c r="EU116" s="2" t="n">
        <v>0</v>
      </c>
      <c r="EV116" s="2" t="n">
        <v>0</v>
      </c>
      <c r="EW116" s="2" t="n">
        <v>0</v>
      </c>
      <c r="EX116" s="2" t="n">
        <v>0</v>
      </c>
      <c r="EY116" s="2" t="n">
        <v>0</v>
      </c>
      <c r="EZ116" s="2" t="n">
        <v>0</v>
      </c>
      <c r="FA116" s="2" t="n">
        <v>0</v>
      </c>
      <c r="FB116" s="2" t="n">
        <v>0</v>
      </c>
      <c r="FC116" s="2" t="n">
        <v>0</v>
      </c>
      <c r="FD116" s="2" t="n">
        <v>0</v>
      </c>
      <c r="FE116" s="2" t="n">
        <v>0</v>
      </c>
      <c r="FF116" s="2" t="n">
        <v>0</v>
      </c>
      <c r="FG116" s="2" t="n">
        <v>0</v>
      </c>
      <c r="FH116" s="2" t="n">
        <v>0</v>
      </c>
      <c r="FI116" s="2" t="n">
        <v>0</v>
      </c>
      <c r="FJ116" s="2" t="n">
        <v>0</v>
      </c>
      <c r="FK116" s="2" t="n">
        <v>0</v>
      </c>
      <c r="FL116" s="2" t="n">
        <v>0</v>
      </c>
      <c r="FM116" s="2" t="n">
        <v>0</v>
      </c>
      <c r="FN116" s="2" t="n">
        <v>0</v>
      </c>
      <c r="FO116" s="2" t="n">
        <v>0</v>
      </c>
      <c r="FP116" s="2" t="n">
        <v>0</v>
      </c>
      <c r="FQ116" s="2" t="n">
        <v>0</v>
      </c>
    </row>
    <row r="117">
      <c r="A117" s="2" t="n">
        <v>4</v>
      </c>
      <c r="B117" s="2" t="inlineStr">
        <is>
          <t>10.01.01.04</t>
        </is>
      </c>
      <c r="C117" s="2" t="inlineStr">
        <is>
          <t>PGR</t>
        </is>
      </c>
      <c r="D117" s="2" t="inlineStr">
        <is>
          <t>-</t>
        </is>
      </c>
      <c r="E117" s="2" t="inlineStr">
        <is>
          <t>-</t>
        </is>
      </c>
      <c r="F117" s="2" t="n">
        <v>19800</v>
      </c>
      <c r="G117" s="2" t="n">
        <v>0</v>
      </c>
      <c r="H117" s="2" t="n">
        <v>19800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  <c r="ET117" s="2" t="n">
        <v>0</v>
      </c>
      <c r="EU117" s="2" t="n">
        <v>0</v>
      </c>
      <c r="EV117" s="2" t="n">
        <v>0</v>
      </c>
      <c r="EW117" s="2" t="n">
        <v>0</v>
      </c>
      <c r="EX117" s="2" t="n">
        <v>0</v>
      </c>
      <c r="EY117" s="2" t="n">
        <v>0</v>
      </c>
      <c r="EZ117" s="2" t="n">
        <v>0</v>
      </c>
      <c r="FA117" s="2" t="n">
        <v>0</v>
      </c>
      <c r="FB117" s="2" t="n">
        <v>0</v>
      </c>
      <c r="FC117" s="2" t="n">
        <v>0</v>
      </c>
      <c r="FD117" s="2" t="n">
        <v>0</v>
      </c>
      <c r="FE117" s="2" t="n">
        <v>0</v>
      </c>
      <c r="FF117" s="2" t="n">
        <v>0</v>
      </c>
      <c r="FG117" s="2" t="n">
        <v>0</v>
      </c>
      <c r="FH117" s="2" t="n">
        <v>0</v>
      </c>
      <c r="FI117" s="2" t="n">
        <v>0</v>
      </c>
      <c r="FJ117" s="2" t="n">
        <v>0</v>
      </c>
      <c r="FK117" s="2" t="n">
        <v>0</v>
      </c>
      <c r="FL117" s="2" t="n">
        <v>0</v>
      </c>
      <c r="FM117" s="2" t="n">
        <v>0</v>
      </c>
      <c r="FN117" s="2" t="n">
        <v>0</v>
      </c>
      <c r="FO117" s="2" t="n">
        <v>0</v>
      </c>
      <c r="FP117" s="2" t="n">
        <v>0</v>
      </c>
      <c r="FQ117" s="2" t="n">
        <v>0</v>
      </c>
    </row>
    <row r="118">
      <c r="A118" s="2" t="n">
        <v>3</v>
      </c>
      <c r="B118" s="2" t="inlineStr">
        <is>
          <t>10.01.02</t>
        </is>
      </c>
      <c r="C118" s="2" t="inlineStr">
        <is>
          <t>Equipe técnica</t>
        </is>
      </c>
      <c r="D118" s="2" t="inlineStr">
        <is>
          <t>-</t>
        </is>
      </c>
      <c r="E118" s="2" t="inlineStr">
        <is>
          <t>-</t>
        </is>
      </c>
      <c r="F118" s="2" t="n">
        <v>6360084.431340747</v>
      </c>
      <c r="G118" s="2" t="n">
        <v>0</v>
      </c>
      <c r="H118" s="2" t="n">
        <v>6360084.431340747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  <c r="ET118" s="2" t="n">
        <v>0</v>
      </c>
      <c r="EU118" s="2" t="n">
        <v>0</v>
      </c>
      <c r="EV118" s="2" t="n">
        <v>0</v>
      </c>
      <c r="EW118" s="2" t="n">
        <v>0</v>
      </c>
      <c r="EX118" s="2" t="n">
        <v>0</v>
      </c>
      <c r="EY118" s="2" t="n">
        <v>0</v>
      </c>
      <c r="EZ118" s="2" t="n">
        <v>0</v>
      </c>
      <c r="FA118" s="2" t="n">
        <v>0</v>
      </c>
      <c r="FB118" s="2" t="n">
        <v>0</v>
      </c>
      <c r="FC118" s="2" t="n">
        <v>0</v>
      </c>
      <c r="FD118" s="2" t="n">
        <v>0</v>
      </c>
      <c r="FE118" s="2" t="n">
        <v>0</v>
      </c>
      <c r="FF118" s="2" t="n">
        <v>0</v>
      </c>
      <c r="FG118" s="2" t="n">
        <v>0</v>
      </c>
      <c r="FH118" s="2" t="n">
        <v>0</v>
      </c>
      <c r="FI118" s="2" t="n">
        <v>0</v>
      </c>
      <c r="FJ118" s="2" t="n">
        <v>0</v>
      </c>
      <c r="FK118" s="2" t="n">
        <v>0</v>
      </c>
      <c r="FL118" s="2" t="n">
        <v>0</v>
      </c>
      <c r="FM118" s="2" t="n">
        <v>0</v>
      </c>
      <c r="FN118" s="2" t="n">
        <v>0</v>
      </c>
      <c r="FO118" s="2" t="n">
        <v>0</v>
      </c>
      <c r="FP118" s="2" t="n">
        <v>0</v>
      </c>
      <c r="FQ118" s="2" t="n">
        <v>0</v>
      </c>
    </row>
    <row r="119">
      <c r="A119" s="2" t="n">
        <v>4</v>
      </c>
      <c r="B119" s="2" t="inlineStr">
        <is>
          <t>10.01.02.01</t>
        </is>
      </c>
      <c r="C119" s="2" t="inlineStr">
        <is>
          <t>Gerente de contrato</t>
        </is>
      </c>
      <c r="D119" s="2" t="inlineStr">
        <is>
          <t>-</t>
        </is>
      </c>
      <c r="E119" s="2" t="inlineStr">
        <is>
          <t>-</t>
        </is>
      </c>
      <c r="F119" s="2" t="n">
        <v>824199.6467708334</v>
      </c>
      <c r="G119" s="2" t="n">
        <v>0</v>
      </c>
      <c r="H119" s="2" t="n">
        <v>824199.6467708334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  <c r="ET119" s="2" t="n">
        <v>0</v>
      </c>
      <c r="EU119" s="2" t="n">
        <v>0</v>
      </c>
      <c r="EV119" s="2" t="n">
        <v>0</v>
      </c>
      <c r="EW119" s="2" t="n">
        <v>0</v>
      </c>
      <c r="EX119" s="2" t="n">
        <v>0</v>
      </c>
      <c r="EY119" s="2" t="n">
        <v>0</v>
      </c>
      <c r="EZ119" s="2" t="n">
        <v>0</v>
      </c>
      <c r="FA119" s="2" t="n">
        <v>0</v>
      </c>
      <c r="FB119" s="2" t="n">
        <v>0</v>
      </c>
      <c r="FC119" s="2" t="n">
        <v>0</v>
      </c>
      <c r="FD119" s="2" t="n">
        <v>0</v>
      </c>
      <c r="FE119" s="2" t="n">
        <v>0</v>
      </c>
      <c r="FF119" s="2" t="n">
        <v>0</v>
      </c>
      <c r="FG119" s="2" t="n">
        <v>0</v>
      </c>
      <c r="FH119" s="2" t="n">
        <v>0</v>
      </c>
      <c r="FI119" s="2" t="n">
        <v>0</v>
      </c>
      <c r="FJ119" s="2" t="n">
        <v>0</v>
      </c>
      <c r="FK119" s="2" t="n">
        <v>0</v>
      </c>
      <c r="FL119" s="2" t="n">
        <v>0</v>
      </c>
      <c r="FM119" s="2" t="n">
        <v>0</v>
      </c>
      <c r="FN119" s="2" t="n">
        <v>0</v>
      </c>
      <c r="FO119" s="2" t="n">
        <v>0</v>
      </c>
      <c r="FP119" s="2" t="n">
        <v>0</v>
      </c>
      <c r="FQ119" s="2" t="n">
        <v>0</v>
      </c>
    </row>
    <row r="120">
      <c r="A120" s="2" t="n">
        <v>4</v>
      </c>
      <c r="B120" s="2" t="inlineStr">
        <is>
          <t>10.01.02.02</t>
        </is>
      </c>
      <c r="C120" s="2" t="inlineStr">
        <is>
          <t>Engenheiro de produção PL</t>
        </is>
      </c>
      <c r="D120" s="2" t="inlineStr">
        <is>
          <t>-</t>
        </is>
      </c>
      <c r="E120" s="2" t="inlineStr">
        <is>
          <t>-</t>
        </is>
      </c>
      <c r="F120" s="2" t="n">
        <v>675791.5989185043</v>
      </c>
      <c r="G120" s="2" t="n">
        <v>0</v>
      </c>
      <c r="H120" s="2" t="n">
        <v>675791.5989185043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  <c r="ET120" s="2" t="n">
        <v>0</v>
      </c>
      <c r="EU120" s="2" t="n">
        <v>0</v>
      </c>
      <c r="EV120" s="2" t="n">
        <v>0</v>
      </c>
      <c r="EW120" s="2" t="n">
        <v>0</v>
      </c>
      <c r="EX120" s="2" t="n">
        <v>0</v>
      </c>
      <c r="EY120" s="2" t="n">
        <v>0</v>
      </c>
      <c r="EZ120" s="2" t="n">
        <v>0</v>
      </c>
      <c r="FA120" s="2" t="n">
        <v>0</v>
      </c>
      <c r="FB120" s="2" t="n">
        <v>0</v>
      </c>
      <c r="FC120" s="2" t="n">
        <v>0</v>
      </c>
      <c r="FD120" s="2" t="n">
        <v>0</v>
      </c>
      <c r="FE120" s="2" t="n">
        <v>0</v>
      </c>
      <c r="FF120" s="2" t="n">
        <v>0</v>
      </c>
      <c r="FG120" s="2" t="n">
        <v>0</v>
      </c>
      <c r="FH120" s="2" t="n">
        <v>0</v>
      </c>
      <c r="FI120" s="2" t="n">
        <v>0</v>
      </c>
      <c r="FJ120" s="2" t="n">
        <v>0</v>
      </c>
      <c r="FK120" s="2" t="n">
        <v>0</v>
      </c>
      <c r="FL120" s="2" t="n">
        <v>0</v>
      </c>
      <c r="FM120" s="2" t="n">
        <v>0</v>
      </c>
      <c r="FN120" s="2" t="n">
        <v>0</v>
      </c>
      <c r="FO120" s="2" t="n">
        <v>0</v>
      </c>
      <c r="FP120" s="2" t="n">
        <v>0</v>
      </c>
      <c r="FQ120" s="2" t="n">
        <v>0</v>
      </c>
    </row>
    <row r="121">
      <c r="A121" s="2" t="n">
        <v>4</v>
      </c>
      <c r="B121" s="2" t="inlineStr">
        <is>
          <t>10.01.02.03</t>
        </is>
      </c>
      <c r="C121" s="2" t="inlineStr">
        <is>
          <t>Engenheiro de produção JR</t>
        </is>
      </c>
      <c r="D121" s="2" t="inlineStr">
        <is>
          <t>-</t>
        </is>
      </c>
      <c r="E121" s="2" t="inlineStr">
        <is>
          <t>-</t>
        </is>
      </c>
      <c r="F121" s="2" t="n">
        <v>819528.8717077901</v>
      </c>
      <c r="G121" s="2" t="n">
        <v>0</v>
      </c>
      <c r="H121" s="2" t="n">
        <v>819528.8717077901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  <c r="ET121" s="2" t="n">
        <v>0</v>
      </c>
      <c r="EU121" s="2" t="n">
        <v>0</v>
      </c>
      <c r="EV121" s="2" t="n">
        <v>0</v>
      </c>
      <c r="EW121" s="2" t="n">
        <v>0</v>
      </c>
      <c r="EX121" s="2" t="n">
        <v>0</v>
      </c>
      <c r="EY121" s="2" t="n">
        <v>0</v>
      </c>
      <c r="EZ121" s="2" t="n">
        <v>0</v>
      </c>
      <c r="FA121" s="2" t="n">
        <v>0</v>
      </c>
      <c r="FB121" s="2" t="n">
        <v>0</v>
      </c>
      <c r="FC121" s="2" t="n">
        <v>0</v>
      </c>
      <c r="FD121" s="2" t="n">
        <v>0</v>
      </c>
      <c r="FE121" s="2" t="n">
        <v>0</v>
      </c>
      <c r="FF121" s="2" t="n">
        <v>0</v>
      </c>
      <c r="FG121" s="2" t="n">
        <v>0</v>
      </c>
      <c r="FH121" s="2" t="n">
        <v>0</v>
      </c>
      <c r="FI121" s="2" t="n">
        <v>0</v>
      </c>
      <c r="FJ121" s="2" t="n">
        <v>0</v>
      </c>
      <c r="FK121" s="2" t="n">
        <v>0</v>
      </c>
      <c r="FL121" s="2" t="n">
        <v>0</v>
      </c>
      <c r="FM121" s="2" t="n">
        <v>0</v>
      </c>
      <c r="FN121" s="2" t="n">
        <v>0</v>
      </c>
      <c r="FO121" s="2" t="n">
        <v>0</v>
      </c>
      <c r="FP121" s="2" t="n">
        <v>0</v>
      </c>
      <c r="FQ121" s="2" t="n">
        <v>0</v>
      </c>
    </row>
    <row r="122">
      <c r="A122" s="2" t="n">
        <v>4</v>
      </c>
      <c r="B122" s="2" t="inlineStr">
        <is>
          <t>10.01.02.04</t>
        </is>
      </c>
      <c r="C122" s="2" t="inlineStr">
        <is>
          <t>Auxiliar de Engenharia</t>
        </is>
      </c>
      <c r="D122" s="2" t="inlineStr">
        <is>
          <t>-</t>
        </is>
      </c>
      <c r="E122" s="2" t="inlineStr">
        <is>
          <t>-</t>
        </is>
      </c>
      <c r="F122" s="2" t="n">
        <v>125883.6404506932</v>
      </c>
      <c r="G122" s="2" t="n">
        <v>0</v>
      </c>
      <c r="H122" s="2" t="n">
        <v>125883.6404506932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  <c r="ET122" s="2" t="n">
        <v>0</v>
      </c>
      <c r="EU122" s="2" t="n">
        <v>0</v>
      </c>
      <c r="EV122" s="2" t="n">
        <v>0</v>
      </c>
      <c r="EW122" s="2" t="n">
        <v>0</v>
      </c>
      <c r="EX122" s="2" t="n">
        <v>0</v>
      </c>
      <c r="EY122" s="2" t="n">
        <v>0</v>
      </c>
      <c r="EZ122" s="2" t="n">
        <v>0</v>
      </c>
      <c r="FA122" s="2" t="n">
        <v>0</v>
      </c>
      <c r="FB122" s="2" t="n">
        <v>0</v>
      </c>
      <c r="FC122" s="2" t="n">
        <v>0</v>
      </c>
      <c r="FD122" s="2" t="n">
        <v>0</v>
      </c>
      <c r="FE122" s="2" t="n">
        <v>0</v>
      </c>
      <c r="FF122" s="2" t="n">
        <v>0</v>
      </c>
      <c r="FG122" s="2" t="n">
        <v>0</v>
      </c>
      <c r="FH122" s="2" t="n">
        <v>0</v>
      </c>
      <c r="FI122" s="2" t="n">
        <v>0</v>
      </c>
      <c r="FJ122" s="2" t="n">
        <v>0</v>
      </c>
      <c r="FK122" s="2" t="n">
        <v>0</v>
      </c>
      <c r="FL122" s="2" t="n">
        <v>0</v>
      </c>
      <c r="FM122" s="2" t="n">
        <v>0</v>
      </c>
      <c r="FN122" s="2" t="n">
        <v>0</v>
      </c>
      <c r="FO122" s="2" t="n">
        <v>0</v>
      </c>
      <c r="FP122" s="2" t="n">
        <v>0</v>
      </c>
      <c r="FQ122" s="2" t="n">
        <v>0</v>
      </c>
    </row>
    <row r="123">
      <c r="A123" s="2" t="n">
        <v>4</v>
      </c>
      <c r="B123" s="2" t="inlineStr">
        <is>
          <t>10.01.02.05</t>
        </is>
      </c>
      <c r="C123" s="2" t="inlineStr">
        <is>
          <t>Apoio do escritório central - planejamento e orçamento, projetos, modificações, diretora de engenharia</t>
        </is>
      </c>
      <c r="D123" s="2" t="inlineStr">
        <is>
          <t>-</t>
        </is>
      </c>
      <c r="E123" s="2" t="inlineStr">
        <is>
          <t>-</t>
        </is>
      </c>
      <c r="F123" s="2" t="n">
        <v>1500000</v>
      </c>
      <c r="G123" s="2" t="n">
        <v>0</v>
      </c>
      <c r="H123" s="2" t="n">
        <v>1500000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  <c r="ET123" s="2" t="n">
        <v>0</v>
      </c>
      <c r="EU123" s="2" t="n">
        <v>0</v>
      </c>
      <c r="EV123" s="2" t="n">
        <v>0</v>
      </c>
      <c r="EW123" s="2" t="n">
        <v>0</v>
      </c>
      <c r="EX123" s="2" t="n">
        <v>0</v>
      </c>
      <c r="EY123" s="2" t="n">
        <v>0</v>
      </c>
      <c r="EZ123" s="2" t="n">
        <v>0</v>
      </c>
      <c r="FA123" s="2" t="n">
        <v>0</v>
      </c>
      <c r="FB123" s="2" t="n">
        <v>0</v>
      </c>
      <c r="FC123" s="2" t="n">
        <v>0</v>
      </c>
      <c r="FD123" s="2" t="n">
        <v>0</v>
      </c>
      <c r="FE123" s="2" t="n">
        <v>0</v>
      </c>
      <c r="FF123" s="2" t="n">
        <v>0</v>
      </c>
      <c r="FG123" s="2" t="n">
        <v>0</v>
      </c>
      <c r="FH123" s="2" t="n">
        <v>0</v>
      </c>
      <c r="FI123" s="2" t="n">
        <v>0</v>
      </c>
      <c r="FJ123" s="2" t="n">
        <v>0</v>
      </c>
      <c r="FK123" s="2" t="n">
        <v>0</v>
      </c>
      <c r="FL123" s="2" t="n">
        <v>0</v>
      </c>
      <c r="FM123" s="2" t="n">
        <v>0</v>
      </c>
      <c r="FN123" s="2" t="n">
        <v>0</v>
      </c>
      <c r="FO123" s="2" t="n">
        <v>0</v>
      </c>
      <c r="FP123" s="2" t="n">
        <v>0</v>
      </c>
      <c r="FQ123" s="2" t="n">
        <v>0</v>
      </c>
    </row>
    <row r="124">
      <c r="A124" s="2" t="n">
        <v>4</v>
      </c>
      <c r="B124" s="2" t="inlineStr">
        <is>
          <t>10.01.02.06</t>
        </is>
      </c>
      <c r="C124" s="2" t="inlineStr">
        <is>
          <t>Rateio de qualidade e segurança</t>
        </is>
      </c>
      <c r="D124" s="2" t="inlineStr">
        <is>
          <t>-</t>
        </is>
      </c>
      <c r="E124" s="2" t="inlineStr">
        <is>
          <t>-</t>
        </is>
      </c>
      <c r="F124" s="2" t="n">
        <v>659999.9999999999</v>
      </c>
      <c r="G124" s="2" t="n">
        <v>0</v>
      </c>
      <c r="H124" s="2" t="n">
        <v>659999.9999999999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  <c r="ET124" s="2" t="n">
        <v>0</v>
      </c>
      <c r="EU124" s="2" t="n">
        <v>0</v>
      </c>
      <c r="EV124" s="2" t="n">
        <v>0</v>
      </c>
      <c r="EW124" s="2" t="n">
        <v>0</v>
      </c>
      <c r="EX124" s="2" t="n">
        <v>0</v>
      </c>
      <c r="EY124" s="2" t="n">
        <v>0</v>
      </c>
      <c r="EZ124" s="2" t="n">
        <v>0</v>
      </c>
      <c r="FA124" s="2" t="n">
        <v>0</v>
      </c>
      <c r="FB124" s="2" t="n">
        <v>0</v>
      </c>
      <c r="FC124" s="2" t="n">
        <v>0</v>
      </c>
      <c r="FD124" s="2" t="n">
        <v>0</v>
      </c>
      <c r="FE124" s="2" t="n">
        <v>0</v>
      </c>
      <c r="FF124" s="2" t="n">
        <v>0</v>
      </c>
      <c r="FG124" s="2" t="n">
        <v>0</v>
      </c>
      <c r="FH124" s="2" t="n">
        <v>0</v>
      </c>
      <c r="FI124" s="2" t="n">
        <v>0</v>
      </c>
      <c r="FJ124" s="2" t="n">
        <v>0</v>
      </c>
      <c r="FK124" s="2" t="n">
        <v>0</v>
      </c>
      <c r="FL124" s="2" t="n">
        <v>0</v>
      </c>
      <c r="FM124" s="2" t="n">
        <v>0</v>
      </c>
      <c r="FN124" s="2" t="n">
        <v>0</v>
      </c>
      <c r="FO124" s="2" t="n">
        <v>0</v>
      </c>
      <c r="FP124" s="2" t="n">
        <v>0</v>
      </c>
      <c r="FQ124" s="2" t="n">
        <v>0</v>
      </c>
    </row>
    <row r="125">
      <c r="A125" s="2" t="n">
        <v>4</v>
      </c>
      <c r="B125" s="2" t="inlineStr">
        <is>
          <t>10.01.02.07</t>
        </is>
      </c>
      <c r="C125" s="2" t="inlineStr">
        <is>
          <t>Distribuição plataforma Alvo (PPLR)</t>
        </is>
      </c>
      <c r="D125" s="2" t="inlineStr">
        <is>
          <t>-</t>
        </is>
      </c>
      <c r="E125" s="2" t="inlineStr">
        <is>
          <t>-</t>
        </is>
      </c>
      <c r="F125" s="2" t="n">
        <v>919627.4594295929</v>
      </c>
      <c r="G125" s="2" t="n">
        <v>0</v>
      </c>
      <c r="H125" s="2" t="n">
        <v>919627.4594295929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  <c r="ET125" s="2" t="n">
        <v>0</v>
      </c>
      <c r="EU125" s="2" t="n">
        <v>0</v>
      </c>
      <c r="EV125" s="2" t="n">
        <v>0</v>
      </c>
      <c r="EW125" s="2" t="n">
        <v>0</v>
      </c>
      <c r="EX125" s="2" t="n">
        <v>0</v>
      </c>
      <c r="EY125" s="2" t="n">
        <v>0</v>
      </c>
      <c r="EZ125" s="2" t="n">
        <v>0</v>
      </c>
      <c r="FA125" s="2" t="n">
        <v>0</v>
      </c>
      <c r="FB125" s="2" t="n">
        <v>0</v>
      </c>
      <c r="FC125" s="2" t="n">
        <v>0</v>
      </c>
      <c r="FD125" s="2" t="n">
        <v>0</v>
      </c>
      <c r="FE125" s="2" t="n">
        <v>0</v>
      </c>
      <c r="FF125" s="2" t="n">
        <v>0</v>
      </c>
      <c r="FG125" s="2" t="n">
        <v>0</v>
      </c>
      <c r="FH125" s="2" t="n">
        <v>0</v>
      </c>
      <c r="FI125" s="2" t="n">
        <v>0</v>
      </c>
      <c r="FJ125" s="2" t="n">
        <v>0</v>
      </c>
      <c r="FK125" s="2" t="n">
        <v>0</v>
      </c>
      <c r="FL125" s="2" t="n">
        <v>0</v>
      </c>
      <c r="FM125" s="2" t="n">
        <v>0</v>
      </c>
      <c r="FN125" s="2" t="n">
        <v>0</v>
      </c>
      <c r="FO125" s="2" t="n">
        <v>0</v>
      </c>
      <c r="FP125" s="2" t="n">
        <v>0</v>
      </c>
      <c r="FQ125" s="2" t="n">
        <v>0</v>
      </c>
    </row>
    <row r="126">
      <c r="A126" s="2" t="n">
        <v>4</v>
      </c>
      <c r="B126" s="2" t="inlineStr">
        <is>
          <t>10.01.02.08</t>
        </is>
      </c>
      <c r="C126" s="2" t="inlineStr">
        <is>
          <t>Estagiário</t>
        </is>
      </c>
      <c r="D126" s="2" t="inlineStr">
        <is>
          <t>-</t>
        </is>
      </c>
      <c r="E126" s="2" t="inlineStr">
        <is>
          <t>-</t>
        </is>
      </c>
      <c r="F126" s="2" t="n">
        <v>241412.8883341667</v>
      </c>
      <c r="G126" s="2" t="n">
        <v>0</v>
      </c>
      <c r="H126" s="2" t="n">
        <v>241412.8883341667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  <c r="ET126" s="2" t="n">
        <v>0</v>
      </c>
      <c r="EU126" s="2" t="n">
        <v>0</v>
      </c>
      <c r="EV126" s="2" t="n">
        <v>0</v>
      </c>
      <c r="EW126" s="2" t="n">
        <v>0</v>
      </c>
      <c r="EX126" s="2" t="n">
        <v>0</v>
      </c>
      <c r="EY126" s="2" t="n">
        <v>0</v>
      </c>
      <c r="EZ126" s="2" t="n">
        <v>0</v>
      </c>
      <c r="FA126" s="2" t="n">
        <v>0</v>
      </c>
      <c r="FB126" s="2" t="n">
        <v>0</v>
      </c>
      <c r="FC126" s="2" t="n">
        <v>0</v>
      </c>
      <c r="FD126" s="2" t="n">
        <v>0</v>
      </c>
      <c r="FE126" s="2" t="n">
        <v>0</v>
      </c>
      <c r="FF126" s="2" t="n">
        <v>0</v>
      </c>
      <c r="FG126" s="2" t="n">
        <v>0</v>
      </c>
      <c r="FH126" s="2" t="n">
        <v>0</v>
      </c>
      <c r="FI126" s="2" t="n">
        <v>0</v>
      </c>
      <c r="FJ126" s="2" t="n">
        <v>0</v>
      </c>
      <c r="FK126" s="2" t="n">
        <v>0</v>
      </c>
      <c r="FL126" s="2" t="n">
        <v>0</v>
      </c>
      <c r="FM126" s="2" t="n">
        <v>0</v>
      </c>
      <c r="FN126" s="2" t="n">
        <v>0</v>
      </c>
      <c r="FO126" s="2" t="n">
        <v>0</v>
      </c>
      <c r="FP126" s="2" t="n">
        <v>0</v>
      </c>
      <c r="FQ126" s="2" t="n">
        <v>0</v>
      </c>
    </row>
    <row r="127">
      <c r="A127" s="2" t="n">
        <v>4</v>
      </c>
      <c r="B127" s="2" t="inlineStr">
        <is>
          <t>10.01.02.09</t>
        </is>
      </c>
      <c r="C127" s="2" t="inlineStr">
        <is>
          <t>Equipe de topografia terceirizada</t>
        </is>
      </c>
      <c r="D127" s="2" t="inlineStr">
        <is>
          <t>-</t>
        </is>
      </c>
      <c r="E127" s="2" t="inlineStr">
        <is>
          <t>-</t>
        </is>
      </c>
      <c r="F127" s="2" t="n">
        <v>222000</v>
      </c>
      <c r="G127" s="2" t="n">
        <v>0</v>
      </c>
      <c r="H127" s="2" t="n">
        <v>222000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  <c r="ET127" s="2" t="n">
        <v>0</v>
      </c>
      <c r="EU127" s="2" t="n">
        <v>0</v>
      </c>
      <c r="EV127" s="2" t="n">
        <v>0</v>
      </c>
      <c r="EW127" s="2" t="n">
        <v>0</v>
      </c>
      <c r="EX127" s="2" t="n">
        <v>0</v>
      </c>
      <c r="EY127" s="2" t="n">
        <v>0</v>
      </c>
      <c r="EZ127" s="2" t="n">
        <v>0</v>
      </c>
      <c r="FA127" s="2" t="n">
        <v>0</v>
      </c>
      <c r="FB127" s="2" t="n">
        <v>0</v>
      </c>
      <c r="FC127" s="2" t="n">
        <v>0</v>
      </c>
      <c r="FD127" s="2" t="n">
        <v>0</v>
      </c>
      <c r="FE127" s="2" t="n">
        <v>0</v>
      </c>
      <c r="FF127" s="2" t="n">
        <v>0</v>
      </c>
      <c r="FG127" s="2" t="n">
        <v>0</v>
      </c>
      <c r="FH127" s="2" t="n">
        <v>0</v>
      </c>
      <c r="FI127" s="2" t="n">
        <v>0</v>
      </c>
      <c r="FJ127" s="2" t="n">
        <v>0</v>
      </c>
      <c r="FK127" s="2" t="n">
        <v>0</v>
      </c>
      <c r="FL127" s="2" t="n">
        <v>0</v>
      </c>
      <c r="FM127" s="2" t="n">
        <v>0</v>
      </c>
      <c r="FN127" s="2" t="n">
        <v>0</v>
      </c>
      <c r="FO127" s="2" t="n">
        <v>0</v>
      </c>
      <c r="FP127" s="2" t="n">
        <v>0</v>
      </c>
      <c r="FQ127" s="2" t="n">
        <v>0</v>
      </c>
    </row>
    <row r="128">
      <c r="A128" s="2" t="n">
        <v>4</v>
      </c>
      <c r="B128" s="2" t="inlineStr">
        <is>
          <t>10.01.02.10</t>
        </is>
      </c>
      <c r="C128" s="2" t="inlineStr">
        <is>
          <t>Arquiteto - Apoio e personalização</t>
        </is>
      </c>
      <c r="D128" s="2" t="inlineStr">
        <is>
          <t>-</t>
        </is>
      </c>
      <c r="E128" s="2" t="inlineStr">
        <is>
          <t>-</t>
        </is>
      </c>
      <c r="F128" s="2" t="n">
        <v>371640.3257291666</v>
      </c>
      <c r="G128" s="2" t="n">
        <v>0</v>
      </c>
      <c r="H128" s="2" t="n">
        <v>371640.3257291666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  <c r="ET128" s="2" t="n">
        <v>0</v>
      </c>
      <c r="EU128" s="2" t="n">
        <v>0</v>
      </c>
      <c r="EV128" s="2" t="n">
        <v>0</v>
      </c>
      <c r="EW128" s="2" t="n">
        <v>0</v>
      </c>
      <c r="EX128" s="2" t="n">
        <v>0</v>
      </c>
      <c r="EY128" s="2" t="n">
        <v>0</v>
      </c>
      <c r="EZ128" s="2" t="n">
        <v>0</v>
      </c>
      <c r="FA128" s="2" t="n">
        <v>0</v>
      </c>
      <c r="FB128" s="2" t="n">
        <v>0</v>
      </c>
      <c r="FC128" s="2" t="n">
        <v>0</v>
      </c>
      <c r="FD128" s="2" t="n">
        <v>0</v>
      </c>
      <c r="FE128" s="2" t="n">
        <v>0</v>
      </c>
      <c r="FF128" s="2" t="n">
        <v>0</v>
      </c>
      <c r="FG128" s="2" t="n">
        <v>0</v>
      </c>
      <c r="FH128" s="2" t="n">
        <v>0</v>
      </c>
      <c r="FI128" s="2" t="n">
        <v>0</v>
      </c>
      <c r="FJ128" s="2" t="n">
        <v>0</v>
      </c>
      <c r="FK128" s="2" t="n">
        <v>0</v>
      </c>
      <c r="FL128" s="2" t="n">
        <v>0</v>
      </c>
      <c r="FM128" s="2" t="n">
        <v>0</v>
      </c>
      <c r="FN128" s="2" t="n">
        <v>0</v>
      </c>
      <c r="FO128" s="2" t="n">
        <v>0</v>
      </c>
      <c r="FP128" s="2" t="n">
        <v>0</v>
      </c>
      <c r="FQ128" s="2" t="n">
        <v>0</v>
      </c>
    </row>
    <row r="129">
      <c r="A129" s="2" t="n">
        <v>3</v>
      </c>
      <c r="B129" s="2" t="inlineStr">
        <is>
          <t>10.01.03</t>
        </is>
      </c>
      <c r="C129" s="2" t="inlineStr">
        <is>
          <t>Equipe de segurança e medicina do trabalho</t>
        </is>
      </c>
      <c r="D129" s="2" t="inlineStr">
        <is>
          <t>-</t>
        </is>
      </c>
      <c r="E129" s="2" t="inlineStr">
        <is>
          <t>-</t>
        </is>
      </c>
      <c r="F129" s="2" t="n">
        <v>517234.855984531</v>
      </c>
      <c r="G129" s="2" t="n">
        <v>0</v>
      </c>
      <c r="H129" s="2" t="n">
        <v>517234.855984531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  <c r="ET129" s="2" t="n">
        <v>0</v>
      </c>
      <c r="EU129" s="2" t="n">
        <v>0</v>
      </c>
      <c r="EV129" s="2" t="n">
        <v>0</v>
      </c>
      <c r="EW129" s="2" t="n">
        <v>0</v>
      </c>
      <c r="EX129" s="2" t="n">
        <v>0</v>
      </c>
      <c r="EY129" s="2" t="n">
        <v>0</v>
      </c>
      <c r="EZ129" s="2" t="n">
        <v>0</v>
      </c>
      <c r="FA129" s="2" t="n">
        <v>0</v>
      </c>
      <c r="FB129" s="2" t="n">
        <v>0</v>
      </c>
      <c r="FC129" s="2" t="n">
        <v>0</v>
      </c>
      <c r="FD129" s="2" t="n">
        <v>0</v>
      </c>
      <c r="FE129" s="2" t="n">
        <v>0</v>
      </c>
      <c r="FF129" s="2" t="n">
        <v>0</v>
      </c>
      <c r="FG129" s="2" t="n">
        <v>0</v>
      </c>
      <c r="FH129" s="2" t="n">
        <v>0</v>
      </c>
      <c r="FI129" s="2" t="n">
        <v>0</v>
      </c>
      <c r="FJ129" s="2" t="n">
        <v>0</v>
      </c>
      <c r="FK129" s="2" t="n">
        <v>0</v>
      </c>
      <c r="FL129" s="2" t="n">
        <v>0</v>
      </c>
      <c r="FM129" s="2" t="n">
        <v>0</v>
      </c>
      <c r="FN129" s="2" t="n">
        <v>0</v>
      </c>
      <c r="FO129" s="2" t="n">
        <v>0</v>
      </c>
      <c r="FP129" s="2" t="n">
        <v>0</v>
      </c>
      <c r="FQ129" s="2" t="n">
        <v>0</v>
      </c>
    </row>
    <row r="130">
      <c r="A130" s="2" t="n">
        <v>4</v>
      </c>
      <c r="B130" s="2" t="inlineStr">
        <is>
          <t>10.01.03.01</t>
        </is>
      </c>
      <c r="C130" s="2" t="inlineStr">
        <is>
          <t>Técnico de Segurança do Trabalho</t>
        </is>
      </c>
      <c r="D130" s="2" t="inlineStr">
        <is>
          <t>-</t>
        </is>
      </c>
      <c r="E130" s="2" t="inlineStr">
        <is>
          <t>-</t>
        </is>
      </c>
      <c r="F130" s="2" t="n">
        <v>449231.2254678643</v>
      </c>
      <c r="G130" s="2" t="n">
        <v>0</v>
      </c>
      <c r="H130" s="2" t="n">
        <v>449231.2254678643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  <c r="ET130" s="2" t="n">
        <v>0</v>
      </c>
      <c r="EU130" s="2" t="n">
        <v>0</v>
      </c>
      <c r="EV130" s="2" t="n">
        <v>0</v>
      </c>
      <c r="EW130" s="2" t="n">
        <v>0</v>
      </c>
      <c r="EX130" s="2" t="n">
        <v>0</v>
      </c>
      <c r="EY130" s="2" t="n">
        <v>0</v>
      </c>
      <c r="EZ130" s="2" t="n">
        <v>0</v>
      </c>
      <c r="FA130" s="2" t="n">
        <v>0</v>
      </c>
      <c r="FB130" s="2" t="n">
        <v>0</v>
      </c>
      <c r="FC130" s="2" t="n">
        <v>0</v>
      </c>
      <c r="FD130" s="2" t="n">
        <v>0</v>
      </c>
      <c r="FE130" s="2" t="n">
        <v>0</v>
      </c>
      <c r="FF130" s="2" t="n">
        <v>0</v>
      </c>
      <c r="FG130" s="2" t="n">
        <v>0</v>
      </c>
      <c r="FH130" s="2" t="n">
        <v>0</v>
      </c>
      <c r="FI130" s="2" t="n">
        <v>0</v>
      </c>
      <c r="FJ130" s="2" t="n">
        <v>0</v>
      </c>
      <c r="FK130" s="2" t="n">
        <v>0</v>
      </c>
      <c r="FL130" s="2" t="n">
        <v>0</v>
      </c>
      <c r="FM130" s="2" t="n">
        <v>0</v>
      </c>
      <c r="FN130" s="2" t="n">
        <v>0</v>
      </c>
      <c r="FO130" s="2" t="n">
        <v>0</v>
      </c>
      <c r="FP130" s="2" t="n">
        <v>0</v>
      </c>
      <c r="FQ130" s="2" t="n">
        <v>0</v>
      </c>
    </row>
    <row r="131">
      <c r="A131" s="2" t="n">
        <v>4</v>
      </c>
      <c r="B131" s="2" t="inlineStr">
        <is>
          <t>10.01.03.02</t>
        </is>
      </c>
      <c r="C131" s="2" t="inlineStr">
        <is>
          <t>Estagiário segurança do trabalho</t>
        </is>
      </c>
      <c r="D131" s="2" t="inlineStr">
        <is>
          <t>-</t>
        </is>
      </c>
      <c r="E131" s="2" t="inlineStr">
        <is>
          <t>-</t>
        </is>
      </c>
      <c r="F131" s="2" t="n">
        <v>68003.63051666666</v>
      </c>
      <c r="G131" s="2" t="n">
        <v>0</v>
      </c>
      <c r="H131" s="2" t="n">
        <v>68003.63051666666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  <c r="ET131" s="2" t="n">
        <v>0</v>
      </c>
      <c r="EU131" s="2" t="n">
        <v>0</v>
      </c>
      <c r="EV131" s="2" t="n">
        <v>0</v>
      </c>
      <c r="EW131" s="2" t="n">
        <v>0</v>
      </c>
      <c r="EX131" s="2" t="n">
        <v>0</v>
      </c>
      <c r="EY131" s="2" t="n">
        <v>0</v>
      </c>
      <c r="EZ131" s="2" t="n">
        <v>0</v>
      </c>
      <c r="FA131" s="2" t="n">
        <v>0</v>
      </c>
      <c r="FB131" s="2" t="n">
        <v>0</v>
      </c>
      <c r="FC131" s="2" t="n">
        <v>0</v>
      </c>
      <c r="FD131" s="2" t="n">
        <v>0</v>
      </c>
      <c r="FE131" s="2" t="n">
        <v>0</v>
      </c>
      <c r="FF131" s="2" t="n">
        <v>0</v>
      </c>
      <c r="FG131" s="2" t="n">
        <v>0</v>
      </c>
      <c r="FH131" s="2" t="n">
        <v>0</v>
      </c>
      <c r="FI131" s="2" t="n">
        <v>0</v>
      </c>
      <c r="FJ131" s="2" t="n">
        <v>0</v>
      </c>
      <c r="FK131" s="2" t="n">
        <v>0</v>
      </c>
      <c r="FL131" s="2" t="n">
        <v>0</v>
      </c>
      <c r="FM131" s="2" t="n">
        <v>0</v>
      </c>
      <c r="FN131" s="2" t="n">
        <v>0</v>
      </c>
      <c r="FO131" s="2" t="n">
        <v>0</v>
      </c>
      <c r="FP131" s="2" t="n">
        <v>0</v>
      </c>
      <c r="FQ131" s="2" t="n">
        <v>0</v>
      </c>
    </row>
    <row r="132">
      <c r="A132" s="2" t="n">
        <v>3</v>
      </c>
      <c r="B132" s="2" t="inlineStr">
        <is>
          <t>10.01.04</t>
        </is>
      </c>
      <c r="C132" s="2" t="inlineStr">
        <is>
          <t>Equipe administrativa</t>
        </is>
      </c>
      <c r="D132" s="2" t="inlineStr">
        <is>
          <t>-</t>
        </is>
      </c>
      <c r="E132" s="2" t="inlineStr">
        <is>
          <t>-</t>
        </is>
      </c>
      <c r="F132" s="2" t="n">
        <v>1702274.980159634</v>
      </c>
      <c r="G132" s="2" t="n">
        <v>0</v>
      </c>
      <c r="H132" s="2" t="n">
        <v>1702274.980159634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  <c r="ET132" s="2" t="n">
        <v>0</v>
      </c>
      <c r="EU132" s="2" t="n">
        <v>0</v>
      </c>
      <c r="EV132" s="2" t="n">
        <v>0</v>
      </c>
      <c r="EW132" s="2" t="n">
        <v>0</v>
      </c>
      <c r="EX132" s="2" t="n">
        <v>0</v>
      </c>
      <c r="EY132" s="2" t="n">
        <v>0</v>
      </c>
      <c r="EZ132" s="2" t="n">
        <v>0</v>
      </c>
      <c r="FA132" s="2" t="n">
        <v>0</v>
      </c>
      <c r="FB132" s="2" t="n">
        <v>0</v>
      </c>
      <c r="FC132" s="2" t="n">
        <v>0</v>
      </c>
      <c r="FD132" s="2" t="n">
        <v>0</v>
      </c>
      <c r="FE132" s="2" t="n">
        <v>0</v>
      </c>
      <c r="FF132" s="2" t="n">
        <v>0</v>
      </c>
      <c r="FG132" s="2" t="n">
        <v>0</v>
      </c>
      <c r="FH132" s="2" t="n">
        <v>0</v>
      </c>
      <c r="FI132" s="2" t="n">
        <v>0</v>
      </c>
      <c r="FJ132" s="2" t="n">
        <v>0</v>
      </c>
      <c r="FK132" s="2" t="n">
        <v>0</v>
      </c>
      <c r="FL132" s="2" t="n">
        <v>0</v>
      </c>
      <c r="FM132" s="2" t="n">
        <v>0</v>
      </c>
      <c r="FN132" s="2" t="n">
        <v>0</v>
      </c>
      <c r="FO132" s="2" t="n">
        <v>0</v>
      </c>
      <c r="FP132" s="2" t="n">
        <v>0</v>
      </c>
      <c r="FQ132" s="2" t="n">
        <v>0</v>
      </c>
    </row>
    <row r="133">
      <c r="A133" s="2" t="n">
        <v>4</v>
      </c>
      <c r="B133" s="2" t="inlineStr">
        <is>
          <t>10.01.04.01</t>
        </is>
      </c>
      <c r="C133" s="2" t="inlineStr">
        <is>
          <t>Encarregado Administrativo</t>
        </is>
      </c>
      <c r="D133" s="2" t="inlineStr">
        <is>
          <t>-</t>
        </is>
      </c>
      <c r="E133" s="2" t="inlineStr">
        <is>
          <t>-</t>
        </is>
      </c>
      <c r="F133" s="2" t="n">
        <v>506632.1879045705</v>
      </c>
      <c r="G133" s="2" t="n">
        <v>0</v>
      </c>
      <c r="H133" s="2" t="n">
        <v>506632.1879045705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  <c r="ET133" s="2" t="n">
        <v>0</v>
      </c>
      <c r="EU133" s="2" t="n">
        <v>0</v>
      </c>
      <c r="EV133" s="2" t="n">
        <v>0</v>
      </c>
      <c r="EW133" s="2" t="n">
        <v>0</v>
      </c>
      <c r="EX133" s="2" t="n">
        <v>0</v>
      </c>
      <c r="EY133" s="2" t="n">
        <v>0</v>
      </c>
      <c r="EZ133" s="2" t="n">
        <v>0</v>
      </c>
      <c r="FA133" s="2" t="n">
        <v>0</v>
      </c>
      <c r="FB133" s="2" t="n">
        <v>0</v>
      </c>
      <c r="FC133" s="2" t="n">
        <v>0</v>
      </c>
      <c r="FD133" s="2" t="n">
        <v>0</v>
      </c>
      <c r="FE133" s="2" t="n">
        <v>0</v>
      </c>
      <c r="FF133" s="2" t="n">
        <v>0</v>
      </c>
      <c r="FG133" s="2" t="n">
        <v>0</v>
      </c>
      <c r="FH133" s="2" t="n">
        <v>0</v>
      </c>
      <c r="FI133" s="2" t="n">
        <v>0</v>
      </c>
      <c r="FJ133" s="2" t="n">
        <v>0</v>
      </c>
      <c r="FK133" s="2" t="n">
        <v>0</v>
      </c>
      <c r="FL133" s="2" t="n">
        <v>0</v>
      </c>
      <c r="FM133" s="2" t="n">
        <v>0</v>
      </c>
      <c r="FN133" s="2" t="n">
        <v>0</v>
      </c>
      <c r="FO133" s="2" t="n">
        <v>0</v>
      </c>
      <c r="FP133" s="2" t="n">
        <v>0</v>
      </c>
      <c r="FQ133" s="2" t="n">
        <v>0</v>
      </c>
    </row>
    <row r="134">
      <c r="A134" s="2" t="n">
        <v>4</v>
      </c>
      <c r="B134" s="2" t="inlineStr">
        <is>
          <t>10.01.04.02</t>
        </is>
      </c>
      <c r="C134" s="2" t="inlineStr">
        <is>
          <t>Almoxarife</t>
        </is>
      </c>
      <c r="D134" s="2" t="inlineStr">
        <is>
          <t>-</t>
        </is>
      </c>
      <c r="E134" s="2" t="inlineStr">
        <is>
          <t>-</t>
        </is>
      </c>
      <c r="F134" s="2" t="n">
        <v>259384.3453735662</v>
      </c>
      <c r="G134" s="2" t="n">
        <v>0</v>
      </c>
      <c r="H134" s="2" t="n">
        <v>259384.3453735662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  <c r="ET134" s="2" t="n">
        <v>0</v>
      </c>
      <c r="EU134" s="2" t="n">
        <v>0</v>
      </c>
      <c r="EV134" s="2" t="n">
        <v>0</v>
      </c>
      <c r="EW134" s="2" t="n">
        <v>0</v>
      </c>
      <c r="EX134" s="2" t="n">
        <v>0</v>
      </c>
      <c r="EY134" s="2" t="n">
        <v>0</v>
      </c>
      <c r="EZ134" s="2" t="n">
        <v>0</v>
      </c>
      <c r="FA134" s="2" t="n">
        <v>0</v>
      </c>
      <c r="FB134" s="2" t="n">
        <v>0</v>
      </c>
      <c r="FC134" s="2" t="n">
        <v>0</v>
      </c>
      <c r="FD134" s="2" t="n">
        <v>0</v>
      </c>
      <c r="FE134" s="2" t="n">
        <v>0</v>
      </c>
      <c r="FF134" s="2" t="n">
        <v>0</v>
      </c>
      <c r="FG134" s="2" t="n">
        <v>0</v>
      </c>
      <c r="FH134" s="2" t="n">
        <v>0</v>
      </c>
      <c r="FI134" s="2" t="n">
        <v>0</v>
      </c>
      <c r="FJ134" s="2" t="n">
        <v>0</v>
      </c>
      <c r="FK134" s="2" t="n">
        <v>0</v>
      </c>
      <c r="FL134" s="2" t="n">
        <v>0</v>
      </c>
      <c r="FM134" s="2" t="n">
        <v>0</v>
      </c>
      <c r="FN134" s="2" t="n">
        <v>0</v>
      </c>
      <c r="FO134" s="2" t="n">
        <v>0</v>
      </c>
      <c r="FP134" s="2" t="n">
        <v>0</v>
      </c>
      <c r="FQ134" s="2" t="n">
        <v>0</v>
      </c>
    </row>
    <row r="135">
      <c r="A135" s="2" t="n">
        <v>4</v>
      </c>
      <c r="B135" s="2" t="inlineStr">
        <is>
          <t>10.01.04.03</t>
        </is>
      </c>
      <c r="C135" s="2" t="inlineStr">
        <is>
          <t>Auxiliar de Almoxarife</t>
        </is>
      </c>
      <c r="D135" s="2" t="inlineStr">
        <is>
          <t>-</t>
        </is>
      </c>
      <c r="E135" s="2" t="inlineStr">
        <is>
          <t>-</t>
        </is>
      </c>
      <c r="F135" s="2" t="n">
        <v>140379.7605839442</v>
      </c>
      <c r="G135" s="2" t="n">
        <v>0</v>
      </c>
      <c r="H135" s="2" t="n">
        <v>140379.7605839442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  <c r="ET135" s="2" t="n">
        <v>0</v>
      </c>
      <c r="EU135" s="2" t="n">
        <v>0</v>
      </c>
      <c r="EV135" s="2" t="n">
        <v>0</v>
      </c>
      <c r="EW135" s="2" t="n">
        <v>0</v>
      </c>
      <c r="EX135" s="2" t="n">
        <v>0</v>
      </c>
      <c r="EY135" s="2" t="n">
        <v>0</v>
      </c>
      <c r="EZ135" s="2" t="n">
        <v>0</v>
      </c>
      <c r="FA135" s="2" t="n">
        <v>0</v>
      </c>
      <c r="FB135" s="2" t="n">
        <v>0</v>
      </c>
      <c r="FC135" s="2" t="n">
        <v>0</v>
      </c>
      <c r="FD135" s="2" t="n">
        <v>0</v>
      </c>
      <c r="FE135" s="2" t="n">
        <v>0</v>
      </c>
      <c r="FF135" s="2" t="n">
        <v>0</v>
      </c>
      <c r="FG135" s="2" t="n">
        <v>0</v>
      </c>
      <c r="FH135" s="2" t="n">
        <v>0</v>
      </c>
      <c r="FI135" s="2" t="n">
        <v>0</v>
      </c>
      <c r="FJ135" s="2" t="n">
        <v>0</v>
      </c>
      <c r="FK135" s="2" t="n">
        <v>0</v>
      </c>
      <c r="FL135" s="2" t="n">
        <v>0</v>
      </c>
      <c r="FM135" s="2" t="n">
        <v>0</v>
      </c>
      <c r="FN135" s="2" t="n">
        <v>0</v>
      </c>
      <c r="FO135" s="2" t="n">
        <v>0</v>
      </c>
      <c r="FP135" s="2" t="n">
        <v>0</v>
      </c>
      <c r="FQ135" s="2" t="n">
        <v>0</v>
      </c>
    </row>
    <row r="136">
      <c r="A136" s="2" t="n">
        <v>4</v>
      </c>
      <c r="B136" s="2" t="inlineStr">
        <is>
          <t>10.01.04.04</t>
        </is>
      </c>
      <c r="C136" s="2" t="inlineStr">
        <is>
          <t>Porteiro</t>
        </is>
      </c>
      <c r="D136" s="2" t="inlineStr">
        <is>
          <t>-</t>
        </is>
      </c>
      <c r="E136" s="2" t="inlineStr">
        <is>
          <t>-</t>
        </is>
      </c>
      <c r="F136" s="2" t="n">
        <v>223958.6862975528</v>
      </c>
      <c r="G136" s="2" t="n">
        <v>0</v>
      </c>
      <c r="H136" s="2" t="n">
        <v>223958.6862975528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  <c r="ET136" s="2" t="n">
        <v>0</v>
      </c>
      <c r="EU136" s="2" t="n">
        <v>0</v>
      </c>
      <c r="EV136" s="2" t="n">
        <v>0</v>
      </c>
      <c r="EW136" s="2" t="n">
        <v>0</v>
      </c>
      <c r="EX136" s="2" t="n">
        <v>0</v>
      </c>
      <c r="EY136" s="2" t="n">
        <v>0</v>
      </c>
      <c r="EZ136" s="2" t="n">
        <v>0</v>
      </c>
      <c r="FA136" s="2" t="n">
        <v>0</v>
      </c>
      <c r="FB136" s="2" t="n">
        <v>0</v>
      </c>
      <c r="FC136" s="2" t="n">
        <v>0</v>
      </c>
      <c r="FD136" s="2" t="n">
        <v>0</v>
      </c>
      <c r="FE136" s="2" t="n">
        <v>0</v>
      </c>
      <c r="FF136" s="2" t="n">
        <v>0</v>
      </c>
      <c r="FG136" s="2" t="n">
        <v>0</v>
      </c>
      <c r="FH136" s="2" t="n">
        <v>0</v>
      </c>
      <c r="FI136" s="2" t="n">
        <v>0</v>
      </c>
      <c r="FJ136" s="2" t="n">
        <v>0</v>
      </c>
      <c r="FK136" s="2" t="n">
        <v>0</v>
      </c>
      <c r="FL136" s="2" t="n">
        <v>0</v>
      </c>
      <c r="FM136" s="2" t="n">
        <v>0</v>
      </c>
      <c r="FN136" s="2" t="n">
        <v>0</v>
      </c>
      <c r="FO136" s="2" t="n">
        <v>0</v>
      </c>
      <c r="FP136" s="2" t="n">
        <v>0</v>
      </c>
      <c r="FQ136" s="2" t="n">
        <v>0</v>
      </c>
    </row>
    <row r="137">
      <c r="A137" s="2" t="n">
        <v>4</v>
      </c>
      <c r="B137" s="2" t="inlineStr">
        <is>
          <t>10.01.04.05</t>
        </is>
      </c>
      <c r="C137" s="2" t="inlineStr">
        <is>
          <t>Vigilancia terceirizada</t>
        </is>
      </c>
      <c r="D137" s="2" t="inlineStr">
        <is>
          <t>-</t>
        </is>
      </c>
      <c r="E137" s="2" t="inlineStr">
        <is>
          <t>-</t>
        </is>
      </c>
      <c r="F137" s="2" t="n">
        <v>439920</v>
      </c>
      <c r="G137" s="2" t="n">
        <v>0</v>
      </c>
      <c r="H137" s="2" t="n">
        <v>439920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  <c r="ET137" s="2" t="n">
        <v>0</v>
      </c>
      <c r="EU137" s="2" t="n">
        <v>0</v>
      </c>
      <c r="EV137" s="2" t="n">
        <v>0</v>
      </c>
      <c r="EW137" s="2" t="n">
        <v>0</v>
      </c>
      <c r="EX137" s="2" t="n">
        <v>0</v>
      </c>
      <c r="EY137" s="2" t="n">
        <v>0</v>
      </c>
      <c r="EZ137" s="2" t="n">
        <v>0</v>
      </c>
      <c r="FA137" s="2" t="n">
        <v>0</v>
      </c>
      <c r="FB137" s="2" t="n">
        <v>0</v>
      </c>
      <c r="FC137" s="2" t="n">
        <v>0</v>
      </c>
      <c r="FD137" s="2" t="n">
        <v>0</v>
      </c>
      <c r="FE137" s="2" t="n">
        <v>0</v>
      </c>
      <c r="FF137" s="2" t="n">
        <v>0</v>
      </c>
      <c r="FG137" s="2" t="n">
        <v>0</v>
      </c>
      <c r="FH137" s="2" t="n">
        <v>0</v>
      </c>
      <c r="FI137" s="2" t="n">
        <v>0</v>
      </c>
      <c r="FJ137" s="2" t="n">
        <v>0</v>
      </c>
      <c r="FK137" s="2" t="n">
        <v>0</v>
      </c>
      <c r="FL137" s="2" t="n">
        <v>0</v>
      </c>
      <c r="FM137" s="2" t="n">
        <v>0</v>
      </c>
      <c r="FN137" s="2" t="n">
        <v>0</v>
      </c>
      <c r="FO137" s="2" t="n">
        <v>0</v>
      </c>
      <c r="FP137" s="2" t="n">
        <v>0</v>
      </c>
      <c r="FQ137" s="2" t="n">
        <v>0</v>
      </c>
    </row>
    <row r="138">
      <c r="A138" s="2" t="n">
        <v>4</v>
      </c>
      <c r="B138" s="2" t="inlineStr">
        <is>
          <t>10.01.04.06</t>
        </is>
      </c>
      <c r="C138" s="2" t="inlineStr">
        <is>
          <t>Vigia</t>
        </is>
      </c>
      <c r="D138" s="2" t="inlineStr">
        <is>
          <t>-</t>
        </is>
      </c>
      <c r="E138" s="2" t="inlineStr">
        <is>
          <t>-</t>
        </is>
      </c>
      <c r="F138" s="2" t="n">
        <v>132000</v>
      </c>
      <c r="G138" s="2" t="n">
        <v>0</v>
      </c>
      <c r="H138" s="2" t="n">
        <v>132000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  <c r="ET138" s="2" t="n">
        <v>0</v>
      </c>
      <c r="EU138" s="2" t="n">
        <v>0</v>
      </c>
      <c r="EV138" s="2" t="n">
        <v>0</v>
      </c>
      <c r="EW138" s="2" t="n">
        <v>0</v>
      </c>
      <c r="EX138" s="2" t="n">
        <v>0</v>
      </c>
      <c r="EY138" s="2" t="n">
        <v>0</v>
      </c>
      <c r="EZ138" s="2" t="n">
        <v>0</v>
      </c>
      <c r="FA138" s="2" t="n">
        <v>0</v>
      </c>
      <c r="FB138" s="2" t="n">
        <v>0</v>
      </c>
      <c r="FC138" s="2" t="n">
        <v>0</v>
      </c>
      <c r="FD138" s="2" t="n">
        <v>0</v>
      </c>
      <c r="FE138" s="2" t="n">
        <v>0</v>
      </c>
      <c r="FF138" s="2" t="n">
        <v>0</v>
      </c>
      <c r="FG138" s="2" t="n">
        <v>0</v>
      </c>
      <c r="FH138" s="2" t="n">
        <v>0</v>
      </c>
      <c r="FI138" s="2" t="n">
        <v>0</v>
      </c>
      <c r="FJ138" s="2" t="n">
        <v>0</v>
      </c>
      <c r="FK138" s="2" t="n">
        <v>0</v>
      </c>
      <c r="FL138" s="2" t="n">
        <v>0</v>
      </c>
      <c r="FM138" s="2" t="n">
        <v>0</v>
      </c>
      <c r="FN138" s="2" t="n">
        <v>0</v>
      </c>
      <c r="FO138" s="2" t="n">
        <v>0</v>
      </c>
      <c r="FP138" s="2" t="n">
        <v>0</v>
      </c>
      <c r="FQ138" s="2" t="n">
        <v>0</v>
      </c>
    </row>
    <row r="139">
      <c r="A139" s="2" t="n">
        <v>3</v>
      </c>
      <c r="B139" s="2" t="inlineStr">
        <is>
          <t>10.01.05</t>
        </is>
      </c>
      <c r="C139" s="2" t="inlineStr">
        <is>
          <t>Equipe Condutiva</t>
        </is>
      </c>
      <c r="D139" s="2" t="inlineStr">
        <is>
          <t>-</t>
        </is>
      </c>
      <c r="E139" s="2" t="inlineStr">
        <is>
          <t>-</t>
        </is>
      </c>
      <c r="F139" s="2" t="n">
        <v>2032695.514223569</v>
      </c>
      <c r="G139" s="2" t="n">
        <v>0</v>
      </c>
      <c r="H139" s="2" t="n">
        <v>2032695.514223569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  <c r="ET139" s="2" t="n">
        <v>0</v>
      </c>
      <c r="EU139" s="2" t="n">
        <v>0</v>
      </c>
      <c r="EV139" s="2" t="n">
        <v>0</v>
      </c>
      <c r="EW139" s="2" t="n">
        <v>0</v>
      </c>
      <c r="EX139" s="2" t="n">
        <v>0</v>
      </c>
      <c r="EY139" s="2" t="n">
        <v>0</v>
      </c>
      <c r="EZ139" s="2" t="n">
        <v>0</v>
      </c>
      <c r="FA139" s="2" t="n">
        <v>0</v>
      </c>
      <c r="FB139" s="2" t="n">
        <v>0</v>
      </c>
      <c r="FC139" s="2" t="n">
        <v>0</v>
      </c>
      <c r="FD139" s="2" t="n">
        <v>0</v>
      </c>
      <c r="FE139" s="2" t="n">
        <v>0</v>
      </c>
      <c r="FF139" s="2" t="n">
        <v>0</v>
      </c>
      <c r="FG139" s="2" t="n">
        <v>0</v>
      </c>
      <c r="FH139" s="2" t="n">
        <v>0</v>
      </c>
      <c r="FI139" s="2" t="n">
        <v>0</v>
      </c>
      <c r="FJ139" s="2" t="n">
        <v>0</v>
      </c>
      <c r="FK139" s="2" t="n">
        <v>0</v>
      </c>
      <c r="FL139" s="2" t="n">
        <v>0</v>
      </c>
      <c r="FM139" s="2" t="n">
        <v>0</v>
      </c>
      <c r="FN139" s="2" t="n">
        <v>0</v>
      </c>
      <c r="FO139" s="2" t="n">
        <v>0</v>
      </c>
      <c r="FP139" s="2" t="n">
        <v>0</v>
      </c>
      <c r="FQ139" s="2" t="n">
        <v>0</v>
      </c>
    </row>
    <row r="140">
      <c r="A140" s="2" t="n">
        <v>4</v>
      </c>
      <c r="B140" s="2" t="inlineStr">
        <is>
          <t>10.01.05.01</t>
        </is>
      </c>
      <c r="C140" s="2" t="inlineStr">
        <is>
          <t>Mestre de Obra</t>
        </is>
      </c>
      <c r="D140" s="2" t="inlineStr">
        <is>
          <t>-</t>
        </is>
      </c>
      <c r="E140" s="2" t="inlineStr">
        <is>
          <t>-</t>
        </is>
      </c>
      <c r="F140" s="2" t="n">
        <v>922930.2830099408</v>
      </c>
      <c r="G140" s="2" t="n">
        <v>0</v>
      </c>
      <c r="H140" s="2" t="n">
        <v>922930.2830099408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  <c r="ET140" s="2" t="n">
        <v>0</v>
      </c>
      <c r="EU140" s="2" t="n">
        <v>0</v>
      </c>
      <c r="EV140" s="2" t="n">
        <v>0</v>
      </c>
      <c r="EW140" s="2" t="n">
        <v>0</v>
      </c>
      <c r="EX140" s="2" t="n">
        <v>0</v>
      </c>
      <c r="EY140" s="2" t="n">
        <v>0</v>
      </c>
      <c r="EZ140" s="2" t="n">
        <v>0</v>
      </c>
      <c r="FA140" s="2" t="n">
        <v>0</v>
      </c>
      <c r="FB140" s="2" t="n">
        <v>0</v>
      </c>
      <c r="FC140" s="2" t="n">
        <v>0</v>
      </c>
      <c r="FD140" s="2" t="n">
        <v>0</v>
      </c>
      <c r="FE140" s="2" t="n">
        <v>0</v>
      </c>
      <c r="FF140" s="2" t="n">
        <v>0</v>
      </c>
      <c r="FG140" s="2" t="n">
        <v>0</v>
      </c>
      <c r="FH140" s="2" t="n">
        <v>0</v>
      </c>
      <c r="FI140" s="2" t="n">
        <v>0</v>
      </c>
      <c r="FJ140" s="2" t="n">
        <v>0</v>
      </c>
      <c r="FK140" s="2" t="n">
        <v>0</v>
      </c>
      <c r="FL140" s="2" t="n">
        <v>0</v>
      </c>
      <c r="FM140" s="2" t="n">
        <v>0</v>
      </c>
      <c r="FN140" s="2" t="n">
        <v>0</v>
      </c>
      <c r="FO140" s="2" t="n">
        <v>0</v>
      </c>
      <c r="FP140" s="2" t="n">
        <v>0</v>
      </c>
      <c r="FQ140" s="2" t="n">
        <v>0</v>
      </c>
    </row>
    <row r="141">
      <c r="A141" s="2" t="n">
        <v>4</v>
      </c>
      <c r="B141" s="2" t="inlineStr">
        <is>
          <t>10.01.05.02</t>
        </is>
      </c>
      <c r="C141" s="2" t="inlineStr">
        <is>
          <t>Encarregado Logistia</t>
        </is>
      </c>
      <c r="D141" s="2" t="inlineStr">
        <is>
          <t>-</t>
        </is>
      </c>
      <c r="E141" s="2" t="inlineStr">
        <is>
          <t>-</t>
        </is>
      </c>
      <c r="F141" s="2" t="n">
        <v>439906.9384990958</v>
      </c>
      <c r="G141" s="2" t="n">
        <v>0</v>
      </c>
      <c r="H141" s="2" t="n">
        <v>439906.9384990958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  <c r="ET141" s="2" t="n">
        <v>0</v>
      </c>
      <c r="EU141" s="2" t="n">
        <v>0</v>
      </c>
      <c r="EV141" s="2" t="n">
        <v>0</v>
      </c>
      <c r="EW141" s="2" t="n">
        <v>0</v>
      </c>
      <c r="EX141" s="2" t="n">
        <v>0</v>
      </c>
      <c r="EY141" s="2" t="n">
        <v>0</v>
      </c>
      <c r="EZ141" s="2" t="n">
        <v>0</v>
      </c>
      <c r="FA141" s="2" t="n">
        <v>0</v>
      </c>
      <c r="FB141" s="2" t="n">
        <v>0</v>
      </c>
      <c r="FC141" s="2" t="n">
        <v>0</v>
      </c>
      <c r="FD141" s="2" t="n">
        <v>0</v>
      </c>
      <c r="FE141" s="2" t="n">
        <v>0</v>
      </c>
      <c r="FF141" s="2" t="n">
        <v>0</v>
      </c>
      <c r="FG141" s="2" t="n">
        <v>0</v>
      </c>
      <c r="FH141" s="2" t="n">
        <v>0</v>
      </c>
      <c r="FI141" s="2" t="n">
        <v>0</v>
      </c>
      <c r="FJ141" s="2" t="n">
        <v>0</v>
      </c>
      <c r="FK141" s="2" t="n">
        <v>0</v>
      </c>
      <c r="FL141" s="2" t="n">
        <v>0</v>
      </c>
      <c r="FM141" s="2" t="n">
        <v>0</v>
      </c>
      <c r="FN141" s="2" t="n">
        <v>0</v>
      </c>
      <c r="FO141" s="2" t="n">
        <v>0</v>
      </c>
      <c r="FP141" s="2" t="n">
        <v>0</v>
      </c>
      <c r="FQ141" s="2" t="n">
        <v>0</v>
      </c>
    </row>
    <row r="142">
      <c r="A142" s="2" t="n">
        <v>4</v>
      </c>
      <c r="B142" s="2" t="inlineStr">
        <is>
          <t>10.01.05.03</t>
        </is>
      </c>
      <c r="C142" s="2" t="inlineStr">
        <is>
          <t>Encarregado Estrutura/Areia</t>
        </is>
      </c>
      <c r="D142" s="2" t="inlineStr">
        <is>
          <t>-</t>
        </is>
      </c>
      <c r="E142" s="2" t="inlineStr">
        <is>
          <t>-</t>
        </is>
      </c>
      <c r="F142" s="2" t="n">
        <v>139970.3895224396</v>
      </c>
      <c r="G142" s="2" t="n">
        <v>0</v>
      </c>
      <c r="H142" s="2" t="n">
        <v>139970.3895224396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  <c r="ET142" s="2" t="n">
        <v>0</v>
      </c>
      <c r="EU142" s="2" t="n">
        <v>0</v>
      </c>
      <c r="EV142" s="2" t="n">
        <v>0</v>
      </c>
      <c r="EW142" s="2" t="n">
        <v>0</v>
      </c>
      <c r="EX142" s="2" t="n">
        <v>0</v>
      </c>
      <c r="EY142" s="2" t="n">
        <v>0</v>
      </c>
      <c r="EZ142" s="2" t="n">
        <v>0</v>
      </c>
      <c r="FA142" s="2" t="n">
        <v>0</v>
      </c>
      <c r="FB142" s="2" t="n">
        <v>0</v>
      </c>
      <c r="FC142" s="2" t="n">
        <v>0</v>
      </c>
      <c r="FD142" s="2" t="n">
        <v>0</v>
      </c>
      <c r="FE142" s="2" t="n">
        <v>0</v>
      </c>
      <c r="FF142" s="2" t="n">
        <v>0</v>
      </c>
      <c r="FG142" s="2" t="n">
        <v>0</v>
      </c>
      <c r="FH142" s="2" t="n">
        <v>0</v>
      </c>
      <c r="FI142" s="2" t="n">
        <v>0</v>
      </c>
      <c r="FJ142" s="2" t="n">
        <v>0</v>
      </c>
      <c r="FK142" s="2" t="n">
        <v>0</v>
      </c>
      <c r="FL142" s="2" t="n">
        <v>0</v>
      </c>
      <c r="FM142" s="2" t="n">
        <v>0</v>
      </c>
      <c r="FN142" s="2" t="n">
        <v>0</v>
      </c>
      <c r="FO142" s="2" t="n">
        <v>0</v>
      </c>
      <c r="FP142" s="2" t="n">
        <v>0</v>
      </c>
      <c r="FQ142" s="2" t="n">
        <v>0</v>
      </c>
    </row>
    <row r="143">
      <c r="A143" s="2" t="n">
        <v>4</v>
      </c>
      <c r="B143" s="2" t="inlineStr">
        <is>
          <t>10.01.05.04</t>
        </is>
      </c>
      <c r="C143" s="2" t="inlineStr">
        <is>
          <t>Encarregado Acabamento</t>
        </is>
      </c>
      <c r="D143" s="2" t="inlineStr">
        <is>
          <t>-</t>
        </is>
      </c>
      <c r="E143" s="2" t="inlineStr">
        <is>
          <t>-</t>
        </is>
      </c>
      <c r="F143" s="2" t="n">
        <v>139970.3895224396</v>
      </c>
      <c r="G143" s="2" t="n">
        <v>0</v>
      </c>
      <c r="H143" s="2" t="n">
        <v>139970.3895224396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  <c r="ET143" s="2" t="n">
        <v>0</v>
      </c>
      <c r="EU143" s="2" t="n">
        <v>0</v>
      </c>
      <c r="EV143" s="2" t="n">
        <v>0</v>
      </c>
      <c r="EW143" s="2" t="n">
        <v>0</v>
      </c>
      <c r="EX143" s="2" t="n">
        <v>0</v>
      </c>
      <c r="EY143" s="2" t="n">
        <v>0</v>
      </c>
      <c r="EZ143" s="2" t="n">
        <v>0</v>
      </c>
      <c r="FA143" s="2" t="n">
        <v>0</v>
      </c>
      <c r="FB143" s="2" t="n">
        <v>0</v>
      </c>
      <c r="FC143" s="2" t="n">
        <v>0</v>
      </c>
      <c r="FD143" s="2" t="n">
        <v>0</v>
      </c>
      <c r="FE143" s="2" t="n">
        <v>0</v>
      </c>
      <c r="FF143" s="2" t="n">
        <v>0</v>
      </c>
      <c r="FG143" s="2" t="n">
        <v>0</v>
      </c>
      <c r="FH143" s="2" t="n">
        <v>0</v>
      </c>
      <c r="FI143" s="2" t="n">
        <v>0</v>
      </c>
      <c r="FJ143" s="2" t="n">
        <v>0</v>
      </c>
      <c r="FK143" s="2" t="n">
        <v>0</v>
      </c>
      <c r="FL143" s="2" t="n">
        <v>0</v>
      </c>
      <c r="FM143" s="2" t="n">
        <v>0</v>
      </c>
      <c r="FN143" s="2" t="n">
        <v>0</v>
      </c>
      <c r="FO143" s="2" t="n">
        <v>0</v>
      </c>
      <c r="FP143" s="2" t="n">
        <v>0</v>
      </c>
      <c r="FQ143" s="2" t="n">
        <v>0</v>
      </c>
    </row>
    <row r="144">
      <c r="A144" s="2" t="n">
        <v>4</v>
      </c>
      <c r="B144" s="2" t="inlineStr">
        <is>
          <t>10.01.05.05</t>
        </is>
      </c>
      <c r="C144" s="2" t="inlineStr">
        <is>
          <t>Encarregado Fachada</t>
        </is>
      </c>
      <c r="D144" s="2" t="inlineStr">
        <is>
          <t>-</t>
        </is>
      </c>
      <c r="E144" s="2" t="inlineStr">
        <is>
          <t>-</t>
        </is>
      </c>
      <c r="F144" s="2" t="n">
        <v>99978.84965888542</v>
      </c>
      <c r="G144" s="2" t="n">
        <v>0</v>
      </c>
      <c r="H144" s="2" t="n">
        <v>99978.84965888542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  <c r="ET144" s="2" t="n">
        <v>0</v>
      </c>
      <c r="EU144" s="2" t="n">
        <v>0</v>
      </c>
      <c r="EV144" s="2" t="n">
        <v>0</v>
      </c>
      <c r="EW144" s="2" t="n">
        <v>0</v>
      </c>
      <c r="EX144" s="2" t="n">
        <v>0</v>
      </c>
      <c r="EY144" s="2" t="n">
        <v>0</v>
      </c>
      <c r="EZ144" s="2" t="n">
        <v>0</v>
      </c>
      <c r="FA144" s="2" t="n">
        <v>0</v>
      </c>
      <c r="FB144" s="2" t="n">
        <v>0</v>
      </c>
      <c r="FC144" s="2" t="n">
        <v>0</v>
      </c>
      <c r="FD144" s="2" t="n">
        <v>0</v>
      </c>
      <c r="FE144" s="2" t="n">
        <v>0</v>
      </c>
      <c r="FF144" s="2" t="n">
        <v>0</v>
      </c>
      <c r="FG144" s="2" t="n">
        <v>0</v>
      </c>
      <c r="FH144" s="2" t="n">
        <v>0</v>
      </c>
      <c r="FI144" s="2" t="n">
        <v>0</v>
      </c>
      <c r="FJ144" s="2" t="n">
        <v>0</v>
      </c>
      <c r="FK144" s="2" t="n">
        <v>0</v>
      </c>
      <c r="FL144" s="2" t="n">
        <v>0</v>
      </c>
      <c r="FM144" s="2" t="n">
        <v>0</v>
      </c>
      <c r="FN144" s="2" t="n">
        <v>0</v>
      </c>
      <c r="FO144" s="2" t="n">
        <v>0</v>
      </c>
      <c r="FP144" s="2" t="n">
        <v>0</v>
      </c>
      <c r="FQ144" s="2" t="n">
        <v>0</v>
      </c>
    </row>
    <row r="145">
      <c r="A145" s="2" t="n">
        <v>4</v>
      </c>
      <c r="B145" s="2" t="inlineStr">
        <is>
          <t>10.01.05.06</t>
        </is>
      </c>
      <c r="C145" s="2" t="inlineStr">
        <is>
          <t>Encarregado Instalações</t>
        </is>
      </c>
      <c r="D145" s="2" t="inlineStr">
        <is>
          <t>-</t>
        </is>
      </c>
      <c r="E145" s="2" t="inlineStr">
        <is>
          <t>-</t>
        </is>
      </c>
      <c r="F145" s="2" t="n">
        <v>289938.6640107677</v>
      </c>
      <c r="G145" s="2" t="n">
        <v>0</v>
      </c>
      <c r="H145" s="2" t="n">
        <v>289938.6640107677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  <c r="ET145" s="2" t="n">
        <v>0</v>
      </c>
      <c r="EU145" s="2" t="n">
        <v>0</v>
      </c>
      <c r="EV145" s="2" t="n">
        <v>0</v>
      </c>
      <c r="EW145" s="2" t="n">
        <v>0</v>
      </c>
      <c r="EX145" s="2" t="n">
        <v>0</v>
      </c>
      <c r="EY145" s="2" t="n">
        <v>0</v>
      </c>
      <c r="EZ145" s="2" t="n">
        <v>0</v>
      </c>
      <c r="FA145" s="2" t="n">
        <v>0</v>
      </c>
      <c r="FB145" s="2" t="n">
        <v>0</v>
      </c>
      <c r="FC145" s="2" t="n">
        <v>0</v>
      </c>
      <c r="FD145" s="2" t="n">
        <v>0</v>
      </c>
      <c r="FE145" s="2" t="n">
        <v>0</v>
      </c>
      <c r="FF145" s="2" t="n">
        <v>0</v>
      </c>
      <c r="FG145" s="2" t="n">
        <v>0</v>
      </c>
      <c r="FH145" s="2" t="n">
        <v>0</v>
      </c>
      <c r="FI145" s="2" t="n">
        <v>0</v>
      </c>
      <c r="FJ145" s="2" t="n">
        <v>0</v>
      </c>
      <c r="FK145" s="2" t="n">
        <v>0</v>
      </c>
      <c r="FL145" s="2" t="n">
        <v>0</v>
      </c>
      <c r="FM145" s="2" t="n">
        <v>0</v>
      </c>
      <c r="FN145" s="2" t="n">
        <v>0</v>
      </c>
      <c r="FO145" s="2" t="n">
        <v>0</v>
      </c>
      <c r="FP145" s="2" t="n">
        <v>0</v>
      </c>
      <c r="FQ145" s="2" t="n">
        <v>0</v>
      </c>
    </row>
    <row r="146">
      <c r="A146" s="2" t="n">
        <v>3</v>
      </c>
      <c r="B146" s="2" t="inlineStr">
        <is>
          <t>10.01.06</t>
        </is>
      </c>
      <c r="C146" s="2" t="inlineStr">
        <is>
          <t>Equipe Limpeza e serviços gerais</t>
        </is>
      </c>
      <c r="D146" s="2" t="inlineStr">
        <is>
          <t>-</t>
        </is>
      </c>
      <c r="E146" s="2" t="inlineStr">
        <is>
          <t>-</t>
        </is>
      </c>
      <c r="F146" s="2" t="n">
        <v>1145243.282203395</v>
      </c>
      <c r="G146" s="2" t="n">
        <v>0</v>
      </c>
      <c r="H146" s="2" t="n">
        <v>1145243.282203395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  <c r="ET146" s="2" t="n">
        <v>0</v>
      </c>
      <c r="EU146" s="2" t="n">
        <v>0</v>
      </c>
      <c r="EV146" s="2" t="n">
        <v>0</v>
      </c>
      <c r="EW146" s="2" t="n">
        <v>0</v>
      </c>
      <c r="EX146" s="2" t="n">
        <v>0</v>
      </c>
      <c r="EY146" s="2" t="n">
        <v>0</v>
      </c>
      <c r="EZ146" s="2" t="n">
        <v>0</v>
      </c>
      <c r="FA146" s="2" t="n">
        <v>0</v>
      </c>
      <c r="FB146" s="2" t="n">
        <v>0</v>
      </c>
      <c r="FC146" s="2" t="n">
        <v>0</v>
      </c>
      <c r="FD146" s="2" t="n">
        <v>0</v>
      </c>
      <c r="FE146" s="2" t="n">
        <v>0</v>
      </c>
      <c r="FF146" s="2" t="n">
        <v>0</v>
      </c>
      <c r="FG146" s="2" t="n">
        <v>0</v>
      </c>
      <c r="FH146" s="2" t="n">
        <v>0</v>
      </c>
      <c r="FI146" s="2" t="n">
        <v>0</v>
      </c>
      <c r="FJ146" s="2" t="n">
        <v>0</v>
      </c>
      <c r="FK146" s="2" t="n">
        <v>0</v>
      </c>
      <c r="FL146" s="2" t="n">
        <v>0</v>
      </c>
      <c r="FM146" s="2" t="n">
        <v>0</v>
      </c>
      <c r="FN146" s="2" t="n">
        <v>0</v>
      </c>
      <c r="FO146" s="2" t="n">
        <v>0</v>
      </c>
      <c r="FP146" s="2" t="n">
        <v>0</v>
      </c>
      <c r="FQ146" s="2" t="n">
        <v>0</v>
      </c>
    </row>
    <row r="147">
      <c r="A147" s="2" t="n">
        <v>4</v>
      </c>
      <c r="B147" s="2" t="inlineStr">
        <is>
          <t>10.01.06.01</t>
        </is>
      </c>
      <c r="C147" s="2" t="inlineStr">
        <is>
          <t>Servente separador de entulho</t>
        </is>
      </c>
      <c r="D147" s="2" t="inlineStr">
        <is>
          <t>-</t>
        </is>
      </c>
      <c r="E147" s="2" t="inlineStr">
        <is>
          <t>-</t>
        </is>
      </c>
      <c r="F147" s="2" t="n">
        <v>483547.163596989</v>
      </c>
      <c r="G147" s="2" t="n">
        <v>0</v>
      </c>
      <c r="H147" s="2" t="n">
        <v>483547.163596989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  <c r="ET147" s="2" t="n">
        <v>0</v>
      </c>
      <c r="EU147" s="2" t="n">
        <v>0</v>
      </c>
      <c r="EV147" s="2" t="n">
        <v>0</v>
      </c>
      <c r="EW147" s="2" t="n">
        <v>0</v>
      </c>
      <c r="EX147" s="2" t="n">
        <v>0</v>
      </c>
      <c r="EY147" s="2" t="n">
        <v>0</v>
      </c>
      <c r="EZ147" s="2" t="n">
        <v>0</v>
      </c>
      <c r="FA147" s="2" t="n">
        <v>0</v>
      </c>
      <c r="FB147" s="2" t="n">
        <v>0</v>
      </c>
      <c r="FC147" s="2" t="n">
        <v>0</v>
      </c>
      <c r="FD147" s="2" t="n">
        <v>0</v>
      </c>
      <c r="FE147" s="2" t="n">
        <v>0</v>
      </c>
      <c r="FF147" s="2" t="n">
        <v>0</v>
      </c>
      <c r="FG147" s="2" t="n">
        <v>0</v>
      </c>
      <c r="FH147" s="2" t="n">
        <v>0</v>
      </c>
      <c r="FI147" s="2" t="n">
        <v>0</v>
      </c>
      <c r="FJ147" s="2" t="n">
        <v>0</v>
      </c>
      <c r="FK147" s="2" t="n">
        <v>0</v>
      </c>
      <c r="FL147" s="2" t="n">
        <v>0</v>
      </c>
      <c r="FM147" s="2" t="n">
        <v>0</v>
      </c>
      <c r="FN147" s="2" t="n">
        <v>0</v>
      </c>
      <c r="FO147" s="2" t="n">
        <v>0</v>
      </c>
      <c r="FP147" s="2" t="n">
        <v>0</v>
      </c>
      <c r="FQ147" s="2" t="n">
        <v>0</v>
      </c>
    </row>
    <row r="148">
      <c r="A148" s="2" t="n">
        <v>4</v>
      </c>
      <c r="B148" s="2" t="inlineStr">
        <is>
          <t>10.01.06.02</t>
        </is>
      </c>
      <c r="C148" s="2" t="inlineStr">
        <is>
          <t>Servente serviços gerais</t>
        </is>
      </c>
      <c r="D148" s="2" t="inlineStr">
        <is>
          <t>-</t>
        </is>
      </c>
      <c r="E148" s="2" t="inlineStr">
        <is>
          <t>-</t>
        </is>
      </c>
      <c r="F148" s="2" t="n">
        <v>661696.118606406</v>
      </c>
      <c r="G148" s="2" t="n">
        <v>0</v>
      </c>
      <c r="H148" s="2" t="n">
        <v>661696.118606406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  <c r="ET148" s="2" t="n">
        <v>0</v>
      </c>
      <c r="EU148" s="2" t="n">
        <v>0</v>
      </c>
      <c r="EV148" s="2" t="n">
        <v>0</v>
      </c>
      <c r="EW148" s="2" t="n">
        <v>0</v>
      </c>
      <c r="EX148" s="2" t="n">
        <v>0</v>
      </c>
      <c r="EY148" s="2" t="n">
        <v>0</v>
      </c>
      <c r="EZ148" s="2" t="n">
        <v>0</v>
      </c>
      <c r="FA148" s="2" t="n">
        <v>0</v>
      </c>
      <c r="FB148" s="2" t="n">
        <v>0</v>
      </c>
      <c r="FC148" s="2" t="n">
        <v>0</v>
      </c>
      <c r="FD148" s="2" t="n">
        <v>0</v>
      </c>
      <c r="FE148" s="2" t="n">
        <v>0</v>
      </c>
      <c r="FF148" s="2" t="n">
        <v>0</v>
      </c>
      <c r="FG148" s="2" t="n">
        <v>0</v>
      </c>
      <c r="FH148" s="2" t="n">
        <v>0</v>
      </c>
      <c r="FI148" s="2" t="n">
        <v>0</v>
      </c>
      <c r="FJ148" s="2" t="n">
        <v>0</v>
      </c>
      <c r="FK148" s="2" t="n">
        <v>0</v>
      </c>
      <c r="FL148" s="2" t="n">
        <v>0</v>
      </c>
      <c r="FM148" s="2" t="n">
        <v>0</v>
      </c>
      <c r="FN148" s="2" t="n">
        <v>0</v>
      </c>
      <c r="FO148" s="2" t="n">
        <v>0</v>
      </c>
      <c r="FP148" s="2" t="n">
        <v>0</v>
      </c>
      <c r="FQ148" s="2" t="n">
        <v>0</v>
      </c>
    </row>
    <row r="149">
      <c r="A149" s="2" t="n">
        <v>3</v>
      </c>
      <c r="B149" s="2" t="inlineStr">
        <is>
          <t>10.01.07</t>
        </is>
      </c>
      <c r="C149" s="2" t="inlineStr">
        <is>
          <t>Operadores</t>
        </is>
      </c>
      <c r="D149" s="2" t="inlineStr">
        <is>
          <t>-</t>
        </is>
      </c>
      <c r="E149" s="2" t="inlineStr">
        <is>
          <t>-</t>
        </is>
      </c>
      <c r="F149" s="2" t="n">
        <v>411539.0644555276</v>
      </c>
      <c r="G149" s="2" t="n">
        <v>0</v>
      </c>
      <c r="H149" s="2" t="n">
        <v>411539.0644555276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  <c r="ET149" s="2" t="n">
        <v>0</v>
      </c>
      <c r="EU149" s="2" t="n">
        <v>0</v>
      </c>
      <c r="EV149" s="2" t="n">
        <v>0</v>
      </c>
      <c r="EW149" s="2" t="n">
        <v>0</v>
      </c>
      <c r="EX149" s="2" t="n">
        <v>0</v>
      </c>
      <c r="EY149" s="2" t="n">
        <v>0</v>
      </c>
      <c r="EZ149" s="2" t="n">
        <v>0</v>
      </c>
      <c r="FA149" s="2" t="n">
        <v>0</v>
      </c>
      <c r="FB149" s="2" t="n">
        <v>0</v>
      </c>
      <c r="FC149" s="2" t="n">
        <v>0</v>
      </c>
      <c r="FD149" s="2" t="n">
        <v>0</v>
      </c>
      <c r="FE149" s="2" t="n">
        <v>0</v>
      </c>
      <c r="FF149" s="2" t="n">
        <v>0</v>
      </c>
      <c r="FG149" s="2" t="n">
        <v>0</v>
      </c>
      <c r="FH149" s="2" t="n">
        <v>0</v>
      </c>
      <c r="FI149" s="2" t="n">
        <v>0</v>
      </c>
      <c r="FJ149" s="2" t="n">
        <v>0</v>
      </c>
      <c r="FK149" s="2" t="n">
        <v>0</v>
      </c>
      <c r="FL149" s="2" t="n">
        <v>0</v>
      </c>
      <c r="FM149" s="2" t="n">
        <v>0</v>
      </c>
      <c r="FN149" s="2" t="n">
        <v>0</v>
      </c>
      <c r="FO149" s="2" t="n">
        <v>0</v>
      </c>
      <c r="FP149" s="2" t="n">
        <v>0</v>
      </c>
      <c r="FQ149" s="2" t="n">
        <v>0</v>
      </c>
    </row>
    <row r="150">
      <c r="A150" s="2" t="n">
        <v>4</v>
      </c>
      <c r="B150" s="2" t="inlineStr">
        <is>
          <t>10.01.07.01</t>
        </is>
      </c>
      <c r="C150" s="2" t="inlineStr">
        <is>
          <t>Operador de Betoneira</t>
        </is>
      </c>
      <c r="D150" s="2" t="inlineStr">
        <is>
          <t>-</t>
        </is>
      </c>
      <c r="E150" s="2" t="inlineStr">
        <is>
          <t>-</t>
        </is>
      </c>
      <c r="F150" s="2" t="n">
        <v>124025.4714797481</v>
      </c>
      <c r="G150" s="2" t="n">
        <v>0</v>
      </c>
      <c r="H150" s="2" t="n">
        <v>124025.4714797481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  <c r="ET150" s="2" t="n">
        <v>0</v>
      </c>
      <c r="EU150" s="2" t="n">
        <v>0</v>
      </c>
      <c r="EV150" s="2" t="n">
        <v>0</v>
      </c>
      <c r="EW150" s="2" t="n">
        <v>0</v>
      </c>
      <c r="EX150" s="2" t="n">
        <v>0</v>
      </c>
      <c r="EY150" s="2" t="n">
        <v>0</v>
      </c>
      <c r="EZ150" s="2" t="n">
        <v>0</v>
      </c>
      <c r="FA150" s="2" t="n">
        <v>0</v>
      </c>
      <c r="FB150" s="2" t="n">
        <v>0</v>
      </c>
      <c r="FC150" s="2" t="n">
        <v>0</v>
      </c>
      <c r="FD150" s="2" t="n">
        <v>0</v>
      </c>
      <c r="FE150" s="2" t="n">
        <v>0</v>
      </c>
      <c r="FF150" s="2" t="n">
        <v>0</v>
      </c>
      <c r="FG150" s="2" t="n">
        <v>0</v>
      </c>
      <c r="FH150" s="2" t="n">
        <v>0</v>
      </c>
      <c r="FI150" s="2" t="n">
        <v>0</v>
      </c>
      <c r="FJ150" s="2" t="n">
        <v>0</v>
      </c>
      <c r="FK150" s="2" t="n">
        <v>0</v>
      </c>
      <c r="FL150" s="2" t="n">
        <v>0</v>
      </c>
      <c r="FM150" s="2" t="n">
        <v>0</v>
      </c>
      <c r="FN150" s="2" t="n">
        <v>0</v>
      </c>
      <c r="FO150" s="2" t="n">
        <v>0</v>
      </c>
      <c r="FP150" s="2" t="n">
        <v>0</v>
      </c>
      <c r="FQ150" s="2" t="n">
        <v>0</v>
      </c>
    </row>
    <row r="151">
      <c r="A151" s="2" t="n">
        <v>4</v>
      </c>
      <c r="B151" s="2" t="inlineStr">
        <is>
          <t>10.01.07.02</t>
        </is>
      </c>
      <c r="C151" s="2" t="inlineStr">
        <is>
          <t>Operador de elevador de obra</t>
        </is>
      </c>
      <c r="D151" s="2" t="inlineStr">
        <is>
          <t>-</t>
        </is>
      </c>
      <c r="E151" s="2" t="inlineStr">
        <is>
          <t>-</t>
        </is>
      </c>
      <c r="F151" s="2" t="n">
        <v>95837.86432525987</v>
      </c>
      <c r="G151" s="2" t="n">
        <v>0</v>
      </c>
      <c r="H151" s="2" t="n">
        <v>95837.86432525987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  <c r="ET151" s="2" t="n">
        <v>0</v>
      </c>
      <c r="EU151" s="2" t="n">
        <v>0</v>
      </c>
      <c r="EV151" s="2" t="n">
        <v>0</v>
      </c>
      <c r="EW151" s="2" t="n">
        <v>0</v>
      </c>
      <c r="EX151" s="2" t="n">
        <v>0</v>
      </c>
      <c r="EY151" s="2" t="n">
        <v>0</v>
      </c>
      <c r="EZ151" s="2" t="n">
        <v>0</v>
      </c>
      <c r="FA151" s="2" t="n">
        <v>0</v>
      </c>
      <c r="FB151" s="2" t="n">
        <v>0</v>
      </c>
      <c r="FC151" s="2" t="n">
        <v>0</v>
      </c>
      <c r="FD151" s="2" t="n">
        <v>0</v>
      </c>
      <c r="FE151" s="2" t="n">
        <v>0</v>
      </c>
      <c r="FF151" s="2" t="n">
        <v>0</v>
      </c>
      <c r="FG151" s="2" t="n">
        <v>0</v>
      </c>
      <c r="FH151" s="2" t="n">
        <v>0</v>
      </c>
      <c r="FI151" s="2" t="n">
        <v>0</v>
      </c>
      <c r="FJ151" s="2" t="n">
        <v>0</v>
      </c>
      <c r="FK151" s="2" t="n">
        <v>0</v>
      </c>
      <c r="FL151" s="2" t="n">
        <v>0</v>
      </c>
      <c r="FM151" s="2" t="n">
        <v>0</v>
      </c>
      <c r="FN151" s="2" t="n">
        <v>0</v>
      </c>
      <c r="FO151" s="2" t="n">
        <v>0</v>
      </c>
      <c r="FP151" s="2" t="n">
        <v>0</v>
      </c>
      <c r="FQ151" s="2" t="n">
        <v>0</v>
      </c>
    </row>
    <row r="152">
      <c r="A152" s="2" t="n">
        <v>4</v>
      </c>
      <c r="B152" s="2" t="inlineStr">
        <is>
          <t>10.01.07.03</t>
        </is>
      </c>
      <c r="C152" s="2" t="inlineStr">
        <is>
          <t>Operador de mini Grua</t>
        </is>
      </c>
      <c r="D152" s="2" t="inlineStr">
        <is>
          <t>-</t>
        </is>
      </c>
      <c r="E152" s="2" t="inlineStr">
        <is>
          <t>-</t>
        </is>
      </c>
      <c r="F152" s="2" t="n">
        <v>33825.12858538584</v>
      </c>
      <c r="G152" s="2" t="n">
        <v>0</v>
      </c>
      <c r="H152" s="2" t="n">
        <v>33825.12858538584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  <c r="ET152" s="2" t="n">
        <v>0</v>
      </c>
      <c r="EU152" s="2" t="n">
        <v>0</v>
      </c>
      <c r="EV152" s="2" t="n">
        <v>0</v>
      </c>
      <c r="EW152" s="2" t="n">
        <v>0</v>
      </c>
      <c r="EX152" s="2" t="n">
        <v>0</v>
      </c>
      <c r="EY152" s="2" t="n">
        <v>0</v>
      </c>
      <c r="EZ152" s="2" t="n">
        <v>0</v>
      </c>
      <c r="FA152" s="2" t="n">
        <v>0</v>
      </c>
      <c r="FB152" s="2" t="n">
        <v>0</v>
      </c>
      <c r="FC152" s="2" t="n">
        <v>0</v>
      </c>
      <c r="FD152" s="2" t="n">
        <v>0</v>
      </c>
      <c r="FE152" s="2" t="n">
        <v>0</v>
      </c>
      <c r="FF152" s="2" t="n">
        <v>0</v>
      </c>
      <c r="FG152" s="2" t="n">
        <v>0</v>
      </c>
      <c r="FH152" s="2" t="n">
        <v>0</v>
      </c>
      <c r="FI152" s="2" t="n">
        <v>0</v>
      </c>
      <c r="FJ152" s="2" t="n">
        <v>0</v>
      </c>
      <c r="FK152" s="2" t="n">
        <v>0</v>
      </c>
      <c r="FL152" s="2" t="n">
        <v>0</v>
      </c>
      <c r="FM152" s="2" t="n">
        <v>0</v>
      </c>
      <c r="FN152" s="2" t="n">
        <v>0</v>
      </c>
      <c r="FO152" s="2" t="n">
        <v>0</v>
      </c>
      <c r="FP152" s="2" t="n">
        <v>0</v>
      </c>
      <c r="FQ152" s="2" t="n">
        <v>0</v>
      </c>
    </row>
    <row r="153">
      <c r="A153" s="2" t="n">
        <v>4</v>
      </c>
      <c r="B153" s="2" t="inlineStr">
        <is>
          <t>10.01.07.04</t>
        </is>
      </c>
      <c r="C153" s="2" t="inlineStr">
        <is>
          <t>Sinaleiro para operações com Grua</t>
        </is>
      </c>
      <c r="D153" s="2" t="inlineStr">
        <is>
          <t>-</t>
        </is>
      </c>
      <c r="E153" s="2" t="inlineStr">
        <is>
          <t>-</t>
        </is>
      </c>
      <c r="F153" s="2" t="n">
        <v>157850.6000651339</v>
      </c>
      <c r="G153" s="2" t="n">
        <v>0</v>
      </c>
      <c r="H153" s="2" t="n">
        <v>157850.6000651339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  <c r="ET153" s="2" t="n">
        <v>0</v>
      </c>
      <c r="EU153" s="2" t="n">
        <v>0</v>
      </c>
      <c r="EV153" s="2" t="n">
        <v>0</v>
      </c>
      <c r="EW153" s="2" t="n">
        <v>0</v>
      </c>
      <c r="EX153" s="2" t="n">
        <v>0</v>
      </c>
      <c r="EY153" s="2" t="n">
        <v>0</v>
      </c>
      <c r="EZ153" s="2" t="n">
        <v>0</v>
      </c>
      <c r="FA153" s="2" t="n">
        <v>0</v>
      </c>
      <c r="FB153" s="2" t="n">
        <v>0</v>
      </c>
      <c r="FC153" s="2" t="n">
        <v>0</v>
      </c>
      <c r="FD153" s="2" t="n">
        <v>0</v>
      </c>
      <c r="FE153" s="2" t="n">
        <v>0</v>
      </c>
      <c r="FF153" s="2" t="n">
        <v>0</v>
      </c>
      <c r="FG153" s="2" t="n">
        <v>0</v>
      </c>
      <c r="FH153" s="2" t="n">
        <v>0</v>
      </c>
      <c r="FI153" s="2" t="n">
        <v>0</v>
      </c>
      <c r="FJ153" s="2" t="n">
        <v>0</v>
      </c>
      <c r="FK153" s="2" t="n">
        <v>0</v>
      </c>
      <c r="FL153" s="2" t="n">
        <v>0</v>
      </c>
      <c r="FM153" s="2" t="n">
        <v>0</v>
      </c>
      <c r="FN153" s="2" t="n">
        <v>0</v>
      </c>
      <c r="FO153" s="2" t="n">
        <v>0</v>
      </c>
      <c r="FP153" s="2" t="n">
        <v>0</v>
      </c>
      <c r="FQ153" s="2" t="n">
        <v>0</v>
      </c>
    </row>
    <row r="154">
      <c r="A154" s="2" t="n">
        <v>2</v>
      </c>
      <c r="B154" s="2" t="inlineStr">
        <is>
          <t>10.02</t>
        </is>
      </c>
      <c r="C154" s="2" t="inlineStr">
        <is>
          <t>MÃO-DE-OBRA DIRETA</t>
        </is>
      </c>
      <c r="D154" s="2" t="inlineStr">
        <is>
          <t>-</t>
        </is>
      </c>
      <c r="E154" s="2" t="inlineStr">
        <is>
          <t>-</t>
        </is>
      </c>
      <c r="F154" s="2" t="n">
        <v>2241573.947282876</v>
      </c>
      <c r="G154" s="2" t="n">
        <v>0</v>
      </c>
      <c r="H154" s="2" t="n">
        <v>2241573.947282876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  <c r="ET154" s="2" t="n">
        <v>0</v>
      </c>
      <c r="EU154" s="2" t="n">
        <v>0</v>
      </c>
      <c r="EV154" s="2" t="n">
        <v>0</v>
      </c>
      <c r="EW154" s="2" t="n">
        <v>0</v>
      </c>
      <c r="EX154" s="2" t="n">
        <v>0</v>
      </c>
      <c r="EY154" s="2" t="n">
        <v>0</v>
      </c>
      <c r="EZ154" s="2" t="n">
        <v>0</v>
      </c>
      <c r="FA154" s="2" t="n">
        <v>0</v>
      </c>
      <c r="FB154" s="2" t="n">
        <v>0</v>
      </c>
      <c r="FC154" s="2" t="n">
        <v>0</v>
      </c>
      <c r="FD154" s="2" t="n">
        <v>0</v>
      </c>
      <c r="FE154" s="2" t="n">
        <v>0</v>
      </c>
      <c r="FF154" s="2" t="n">
        <v>0</v>
      </c>
      <c r="FG154" s="2" t="n">
        <v>0</v>
      </c>
      <c r="FH154" s="2" t="n">
        <v>0</v>
      </c>
      <c r="FI154" s="2" t="n">
        <v>0</v>
      </c>
      <c r="FJ154" s="2" t="n">
        <v>0</v>
      </c>
      <c r="FK154" s="2" t="n">
        <v>0</v>
      </c>
      <c r="FL154" s="2" t="n">
        <v>0</v>
      </c>
      <c r="FM154" s="2" t="n">
        <v>0</v>
      </c>
      <c r="FN154" s="2" t="n">
        <v>0</v>
      </c>
      <c r="FO154" s="2" t="n">
        <v>0</v>
      </c>
      <c r="FP154" s="2" t="n">
        <v>0</v>
      </c>
      <c r="FQ154" s="2" t="n">
        <v>0</v>
      </c>
    </row>
    <row r="155">
      <c r="A155" s="2" t="n">
        <v>3</v>
      </c>
      <c r="B155" s="2" t="inlineStr">
        <is>
          <t>10.02.01</t>
        </is>
      </c>
      <c r="C155" s="2" t="inlineStr">
        <is>
          <t>Equipe Produtiva</t>
        </is>
      </c>
      <c r="D155" s="2" t="inlineStr">
        <is>
          <t>-</t>
        </is>
      </c>
      <c r="E155" s="2" t="inlineStr">
        <is>
          <t>-</t>
        </is>
      </c>
      <c r="F155" s="2" t="n">
        <v>2241573.947282876</v>
      </c>
      <c r="G155" s="2" t="n">
        <v>0</v>
      </c>
      <c r="H155" s="2" t="n">
        <v>2241573.947282876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  <c r="ET155" s="2" t="n">
        <v>0</v>
      </c>
      <c r="EU155" s="2" t="n">
        <v>0</v>
      </c>
      <c r="EV155" s="2" t="n">
        <v>0</v>
      </c>
      <c r="EW155" s="2" t="n">
        <v>0</v>
      </c>
      <c r="EX155" s="2" t="n">
        <v>0</v>
      </c>
      <c r="EY155" s="2" t="n">
        <v>0</v>
      </c>
      <c r="EZ155" s="2" t="n">
        <v>0</v>
      </c>
      <c r="FA155" s="2" t="n">
        <v>0</v>
      </c>
      <c r="FB155" s="2" t="n">
        <v>0</v>
      </c>
      <c r="FC155" s="2" t="n">
        <v>0</v>
      </c>
      <c r="FD155" s="2" t="n">
        <v>0</v>
      </c>
      <c r="FE155" s="2" t="n">
        <v>0</v>
      </c>
      <c r="FF155" s="2" t="n">
        <v>0</v>
      </c>
      <c r="FG155" s="2" t="n">
        <v>0</v>
      </c>
      <c r="FH155" s="2" t="n">
        <v>0</v>
      </c>
      <c r="FI155" s="2" t="n">
        <v>0</v>
      </c>
      <c r="FJ155" s="2" t="n">
        <v>0</v>
      </c>
      <c r="FK155" s="2" t="n">
        <v>0</v>
      </c>
      <c r="FL155" s="2" t="n">
        <v>0</v>
      </c>
      <c r="FM155" s="2" t="n">
        <v>0</v>
      </c>
      <c r="FN155" s="2" t="n">
        <v>0</v>
      </c>
      <c r="FO155" s="2" t="n">
        <v>0</v>
      </c>
      <c r="FP155" s="2" t="n">
        <v>0</v>
      </c>
      <c r="FQ155" s="2" t="n">
        <v>0</v>
      </c>
    </row>
    <row r="156">
      <c r="A156" s="2" t="n">
        <v>4</v>
      </c>
      <c r="B156" s="2" t="inlineStr">
        <is>
          <t>10.02.01.01</t>
        </is>
      </c>
      <c r="C156" s="2" t="inlineStr">
        <is>
          <t>Carpinteiro de apoio</t>
        </is>
      </c>
      <c r="D156" s="2" t="inlineStr">
        <is>
          <t>-</t>
        </is>
      </c>
      <c r="E156" s="2" t="inlineStr">
        <is>
          <t>-</t>
        </is>
      </c>
      <c r="F156" s="2" t="n">
        <v>488939.9352378686</v>
      </c>
      <c r="G156" s="2" t="n">
        <v>0</v>
      </c>
      <c r="H156" s="2" t="n">
        <v>488939.9352378686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  <c r="ET156" s="2" t="n">
        <v>0</v>
      </c>
      <c r="EU156" s="2" t="n">
        <v>0</v>
      </c>
      <c r="EV156" s="2" t="n">
        <v>0</v>
      </c>
      <c r="EW156" s="2" t="n">
        <v>0</v>
      </c>
      <c r="EX156" s="2" t="n">
        <v>0</v>
      </c>
      <c r="EY156" s="2" t="n">
        <v>0</v>
      </c>
      <c r="EZ156" s="2" t="n">
        <v>0</v>
      </c>
      <c r="FA156" s="2" t="n">
        <v>0</v>
      </c>
      <c r="FB156" s="2" t="n">
        <v>0</v>
      </c>
      <c r="FC156" s="2" t="n">
        <v>0</v>
      </c>
      <c r="FD156" s="2" t="n">
        <v>0</v>
      </c>
      <c r="FE156" s="2" t="n">
        <v>0</v>
      </c>
      <c r="FF156" s="2" t="n">
        <v>0</v>
      </c>
      <c r="FG156" s="2" t="n">
        <v>0</v>
      </c>
      <c r="FH156" s="2" t="n">
        <v>0</v>
      </c>
      <c r="FI156" s="2" t="n">
        <v>0</v>
      </c>
      <c r="FJ156" s="2" t="n">
        <v>0</v>
      </c>
      <c r="FK156" s="2" t="n">
        <v>0</v>
      </c>
      <c r="FL156" s="2" t="n">
        <v>0</v>
      </c>
      <c r="FM156" s="2" t="n">
        <v>0</v>
      </c>
      <c r="FN156" s="2" t="n">
        <v>0</v>
      </c>
      <c r="FO156" s="2" t="n">
        <v>0</v>
      </c>
      <c r="FP156" s="2" t="n">
        <v>0</v>
      </c>
      <c r="FQ156" s="2" t="n">
        <v>0</v>
      </c>
    </row>
    <row r="157">
      <c r="A157" s="2" t="n">
        <v>4</v>
      </c>
      <c r="B157" s="2" t="inlineStr">
        <is>
          <t>10.02.01.02</t>
        </is>
      </c>
      <c r="C157" s="2" t="inlineStr">
        <is>
          <t>Oficial superior - Bombeiro</t>
        </is>
      </c>
      <c r="D157" s="2" t="inlineStr">
        <is>
          <t>-</t>
        </is>
      </c>
      <c r="E157" s="2" t="inlineStr">
        <is>
          <t>-</t>
        </is>
      </c>
      <c r="F157" s="2" t="n">
        <v>147183.2548153604</v>
      </c>
      <c r="G157" s="2" t="n">
        <v>0</v>
      </c>
      <c r="H157" s="2" t="n">
        <v>147183.2548153604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  <c r="ET157" s="2" t="n">
        <v>0</v>
      </c>
      <c r="EU157" s="2" t="n">
        <v>0</v>
      </c>
      <c r="EV157" s="2" t="n">
        <v>0</v>
      </c>
      <c r="EW157" s="2" t="n">
        <v>0</v>
      </c>
      <c r="EX157" s="2" t="n">
        <v>0</v>
      </c>
      <c r="EY157" s="2" t="n">
        <v>0</v>
      </c>
      <c r="EZ157" s="2" t="n">
        <v>0</v>
      </c>
      <c r="FA157" s="2" t="n">
        <v>0</v>
      </c>
      <c r="FB157" s="2" t="n">
        <v>0</v>
      </c>
      <c r="FC157" s="2" t="n">
        <v>0</v>
      </c>
      <c r="FD157" s="2" t="n">
        <v>0</v>
      </c>
      <c r="FE157" s="2" t="n">
        <v>0</v>
      </c>
      <c r="FF157" s="2" t="n">
        <v>0</v>
      </c>
      <c r="FG157" s="2" t="n">
        <v>0</v>
      </c>
      <c r="FH157" s="2" t="n">
        <v>0</v>
      </c>
      <c r="FI157" s="2" t="n">
        <v>0</v>
      </c>
      <c r="FJ157" s="2" t="n">
        <v>0</v>
      </c>
      <c r="FK157" s="2" t="n">
        <v>0</v>
      </c>
      <c r="FL157" s="2" t="n">
        <v>0</v>
      </c>
      <c r="FM157" s="2" t="n">
        <v>0</v>
      </c>
      <c r="FN157" s="2" t="n">
        <v>0</v>
      </c>
      <c r="FO157" s="2" t="n">
        <v>0</v>
      </c>
      <c r="FP157" s="2" t="n">
        <v>0</v>
      </c>
      <c r="FQ157" s="2" t="n">
        <v>0</v>
      </c>
    </row>
    <row r="158">
      <c r="A158" s="2" t="n">
        <v>4</v>
      </c>
      <c r="B158" s="2" t="inlineStr">
        <is>
          <t>10.02.01.03</t>
        </is>
      </c>
      <c r="C158" s="2" t="inlineStr">
        <is>
          <t>Oficial - Pedreiro</t>
        </is>
      </c>
      <c r="D158" s="2" t="inlineStr">
        <is>
          <t>-</t>
        </is>
      </c>
      <c r="E158" s="2" t="inlineStr">
        <is>
          <t>-</t>
        </is>
      </c>
      <c r="F158" s="2" t="n">
        <v>782395.1966500739</v>
      </c>
      <c r="G158" s="2" t="n">
        <v>0</v>
      </c>
      <c r="H158" s="2" t="n">
        <v>782395.1966500739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  <c r="ET158" s="2" t="n">
        <v>0</v>
      </c>
      <c r="EU158" s="2" t="n">
        <v>0</v>
      </c>
      <c r="EV158" s="2" t="n">
        <v>0</v>
      </c>
      <c r="EW158" s="2" t="n">
        <v>0</v>
      </c>
      <c r="EX158" s="2" t="n">
        <v>0</v>
      </c>
      <c r="EY158" s="2" t="n">
        <v>0</v>
      </c>
      <c r="EZ158" s="2" t="n">
        <v>0</v>
      </c>
      <c r="FA158" s="2" t="n">
        <v>0</v>
      </c>
      <c r="FB158" s="2" t="n">
        <v>0</v>
      </c>
      <c r="FC158" s="2" t="n">
        <v>0</v>
      </c>
      <c r="FD158" s="2" t="n">
        <v>0</v>
      </c>
      <c r="FE158" s="2" t="n">
        <v>0</v>
      </c>
      <c r="FF158" s="2" t="n">
        <v>0</v>
      </c>
      <c r="FG158" s="2" t="n">
        <v>0</v>
      </c>
      <c r="FH158" s="2" t="n">
        <v>0</v>
      </c>
      <c r="FI158" s="2" t="n">
        <v>0</v>
      </c>
      <c r="FJ158" s="2" t="n">
        <v>0</v>
      </c>
      <c r="FK158" s="2" t="n">
        <v>0</v>
      </c>
      <c r="FL158" s="2" t="n">
        <v>0</v>
      </c>
      <c r="FM158" s="2" t="n">
        <v>0</v>
      </c>
      <c r="FN158" s="2" t="n">
        <v>0</v>
      </c>
      <c r="FO158" s="2" t="n">
        <v>0</v>
      </c>
      <c r="FP158" s="2" t="n">
        <v>0</v>
      </c>
      <c r="FQ158" s="2" t="n">
        <v>0</v>
      </c>
    </row>
    <row r="159">
      <c r="A159" s="2" t="n">
        <v>4</v>
      </c>
      <c r="B159" s="2" t="inlineStr">
        <is>
          <t>10.02.01.04</t>
        </is>
      </c>
      <c r="C159" s="2" t="inlineStr">
        <is>
          <t>Meio-oficial - Ajudante</t>
        </is>
      </c>
      <c r="D159" s="2" t="inlineStr">
        <is>
          <t>-</t>
        </is>
      </c>
      <c r="E159" s="2" t="inlineStr">
        <is>
          <t>-</t>
        </is>
      </c>
      <c r="F159" s="2" t="n">
        <v>298788.6358375749</v>
      </c>
      <c r="G159" s="2" t="n">
        <v>0</v>
      </c>
      <c r="H159" s="2" t="n">
        <v>298788.6358375749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  <c r="ET159" s="2" t="n">
        <v>0</v>
      </c>
      <c r="EU159" s="2" t="n">
        <v>0</v>
      </c>
      <c r="EV159" s="2" t="n">
        <v>0</v>
      </c>
      <c r="EW159" s="2" t="n">
        <v>0</v>
      </c>
      <c r="EX159" s="2" t="n">
        <v>0</v>
      </c>
      <c r="EY159" s="2" t="n">
        <v>0</v>
      </c>
      <c r="EZ159" s="2" t="n">
        <v>0</v>
      </c>
      <c r="FA159" s="2" t="n">
        <v>0</v>
      </c>
      <c r="FB159" s="2" t="n">
        <v>0</v>
      </c>
      <c r="FC159" s="2" t="n">
        <v>0</v>
      </c>
      <c r="FD159" s="2" t="n">
        <v>0</v>
      </c>
      <c r="FE159" s="2" t="n">
        <v>0</v>
      </c>
      <c r="FF159" s="2" t="n">
        <v>0</v>
      </c>
      <c r="FG159" s="2" t="n">
        <v>0</v>
      </c>
      <c r="FH159" s="2" t="n">
        <v>0</v>
      </c>
      <c r="FI159" s="2" t="n">
        <v>0</v>
      </c>
      <c r="FJ159" s="2" t="n">
        <v>0</v>
      </c>
      <c r="FK159" s="2" t="n">
        <v>0</v>
      </c>
      <c r="FL159" s="2" t="n">
        <v>0</v>
      </c>
      <c r="FM159" s="2" t="n">
        <v>0</v>
      </c>
      <c r="FN159" s="2" t="n">
        <v>0</v>
      </c>
      <c r="FO159" s="2" t="n">
        <v>0</v>
      </c>
      <c r="FP159" s="2" t="n">
        <v>0</v>
      </c>
      <c r="FQ159" s="2" t="n">
        <v>0</v>
      </c>
    </row>
    <row r="160">
      <c r="A160" s="2" t="n">
        <v>4</v>
      </c>
      <c r="B160" s="2" t="inlineStr">
        <is>
          <t>10.02.01.05</t>
        </is>
      </c>
      <c r="C160" s="2" t="inlineStr">
        <is>
          <t>Servente carga e descarga</t>
        </is>
      </c>
      <c r="D160" s="2" t="inlineStr">
        <is>
          <t>-</t>
        </is>
      </c>
      <c r="E160" s="2" t="inlineStr">
        <is>
          <t>-</t>
        </is>
      </c>
      <c r="F160" s="2" t="n">
        <v>524266.9247419986</v>
      </c>
      <c r="G160" s="2" t="n">
        <v>0</v>
      </c>
      <c r="H160" s="2" t="n">
        <v>524266.9247419986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  <c r="ET160" s="2" t="n">
        <v>0</v>
      </c>
      <c r="EU160" s="2" t="n">
        <v>0</v>
      </c>
      <c r="EV160" s="2" t="n">
        <v>0</v>
      </c>
      <c r="EW160" s="2" t="n">
        <v>0</v>
      </c>
      <c r="EX160" s="2" t="n">
        <v>0</v>
      </c>
      <c r="EY160" s="2" t="n">
        <v>0</v>
      </c>
      <c r="EZ160" s="2" t="n">
        <v>0</v>
      </c>
      <c r="FA160" s="2" t="n">
        <v>0</v>
      </c>
      <c r="FB160" s="2" t="n">
        <v>0</v>
      </c>
      <c r="FC160" s="2" t="n">
        <v>0</v>
      </c>
      <c r="FD160" s="2" t="n">
        <v>0</v>
      </c>
      <c r="FE160" s="2" t="n">
        <v>0</v>
      </c>
      <c r="FF160" s="2" t="n">
        <v>0</v>
      </c>
      <c r="FG160" s="2" t="n">
        <v>0</v>
      </c>
      <c r="FH160" s="2" t="n">
        <v>0</v>
      </c>
      <c r="FI160" s="2" t="n">
        <v>0</v>
      </c>
      <c r="FJ160" s="2" t="n">
        <v>0</v>
      </c>
      <c r="FK160" s="2" t="n">
        <v>0</v>
      </c>
      <c r="FL160" s="2" t="n">
        <v>0</v>
      </c>
      <c r="FM160" s="2" t="n">
        <v>0</v>
      </c>
      <c r="FN160" s="2" t="n">
        <v>0</v>
      </c>
      <c r="FO160" s="2" t="n">
        <v>0</v>
      </c>
      <c r="FP160" s="2" t="n">
        <v>0</v>
      </c>
      <c r="FQ160" s="2" t="n">
        <v>0</v>
      </c>
    </row>
    <row r="161">
      <c r="A161" s="2" t="n">
        <v>1</v>
      </c>
      <c r="B161" s="2" t="inlineStr">
        <is>
          <t>11</t>
        </is>
      </c>
      <c r="C161" s="2" t="inlineStr">
        <is>
          <t>EQUIPAMENTOS E FERRAMENTAS</t>
        </is>
      </c>
      <c r="D161" s="2" t="inlineStr">
        <is>
          <t>-</t>
        </is>
      </c>
      <c r="E161" s="2" t="inlineStr">
        <is>
          <t>-</t>
        </is>
      </c>
      <c r="F161" s="2" t="n">
        <v>4368148.803555967</v>
      </c>
      <c r="G161" s="2" t="n">
        <v>0</v>
      </c>
      <c r="H161" s="2" t="n">
        <v>4368148.803555967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  <c r="ET161" s="2" t="n">
        <v>0</v>
      </c>
      <c r="EU161" s="2" t="n">
        <v>0</v>
      </c>
      <c r="EV161" s="2" t="n">
        <v>0</v>
      </c>
      <c r="EW161" s="2" t="n">
        <v>0</v>
      </c>
      <c r="EX161" s="2" t="n">
        <v>0</v>
      </c>
      <c r="EY161" s="2" t="n">
        <v>0</v>
      </c>
      <c r="EZ161" s="2" t="n">
        <v>0</v>
      </c>
      <c r="FA161" s="2" t="n">
        <v>0</v>
      </c>
      <c r="FB161" s="2" t="n">
        <v>0</v>
      </c>
      <c r="FC161" s="2" t="n">
        <v>0</v>
      </c>
      <c r="FD161" s="2" t="n">
        <v>0</v>
      </c>
      <c r="FE161" s="2" t="n">
        <v>0</v>
      </c>
      <c r="FF161" s="2" t="n">
        <v>0</v>
      </c>
      <c r="FG161" s="2" t="n">
        <v>0</v>
      </c>
      <c r="FH161" s="2" t="n">
        <v>0</v>
      </c>
      <c r="FI161" s="2" t="n">
        <v>0</v>
      </c>
      <c r="FJ161" s="2" t="n">
        <v>0</v>
      </c>
      <c r="FK161" s="2" t="n">
        <v>0</v>
      </c>
      <c r="FL161" s="2" t="n">
        <v>0</v>
      </c>
      <c r="FM161" s="2" t="n">
        <v>0</v>
      </c>
      <c r="FN161" s="2" t="n">
        <v>0</v>
      </c>
      <c r="FO161" s="2" t="n">
        <v>0</v>
      </c>
      <c r="FP161" s="2" t="n">
        <v>0</v>
      </c>
      <c r="FQ161" s="2" t="n">
        <v>0</v>
      </c>
    </row>
    <row r="162">
      <c r="A162" s="2" t="n">
        <v>2</v>
      </c>
      <c r="B162" s="2" t="inlineStr">
        <is>
          <t>11.01</t>
        </is>
      </c>
      <c r="C162" s="2" t="inlineStr">
        <is>
          <t>Ferramentas manuais</t>
        </is>
      </c>
      <c r="D162" s="2" t="inlineStr">
        <is>
          <t>-</t>
        </is>
      </c>
      <c r="E162" s="2" t="inlineStr">
        <is>
          <t>-</t>
        </is>
      </c>
      <c r="F162" s="2" t="n">
        <v>44000</v>
      </c>
      <c r="G162" s="2" t="n">
        <v>0</v>
      </c>
      <c r="H162" s="2" t="n">
        <v>44000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  <c r="ET162" s="2" t="n">
        <v>0</v>
      </c>
      <c r="EU162" s="2" t="n">
        <v>0</v>
      </c>
      <c r="EV162" s="2" t="n">
        <v>0</v>
      </c>
      <c r="EW162" s="2" t="n">
        <v>0</v>
      </c>
      <c r="EX162" s="2" t="n">
        <v>0</v>
      </c>
      <c r="EY162" s="2" t="n">
        <v>0</v>
      </c>
      <c r="EZ162" s="2" t="n">
        <v>0</v>
      </c>
      <c r="FA162" s="2" t="n">
        <v>0</v>
      </c>
      <c r="FB162" s="2" t="n">
        <v>0</v>
      </c>
      <c r="FC162" s="2" t="n">
        <v>0</v>
      </c>
      <c r="FD162" s="2" t="n">
        <v>0</v>
      </c>
      <c r="FE162" s="2" t="n">
        <v>0</v>
      </c>
      <c r="FF162" s="2" t="n">
        <v>0</v>
      </c>
      <c r="FG162" s="2" t="n">
        <v>0</v>
      </c>
      <c r="FH162" s="2" t="n">
        <v>0</v>
      </c>
      <c r="FI162" s="2" t="n">
        <v>0</v>
      </c>
      <c r="FJ162" s="2" t="n">
        <v>0</v>
      </c>
      <c r="FK162" s="2" t="n">
        <v>0</v>
      </c>
      <c r="FL162" s="2" t="n">
        <v>0</v>
      </c>
      <c r="FM162" s="2" t="n">
        <v>0</v>
      </c>
      <c r="FN162" s="2" t="n">
        <v>0</v>
      </c>
      <c r="FO162" s="2" t="n">
        <v>0</v>
      </c>
      <c r="FP162" s="2" t="n">
        <v>0</v>
      </c>
      <c r="FQ162" s="2" t="n">
        <v>0</v>
      </c>
    </row>
    <row r="163">
      <c r="A163" s="2" t="n">
        <v>3</v>
      </c>
      <c r="B163" s="2" t="inlineStr">
        <is>
          <t>11.01.01</t>
        </is>
      </c>
      <c r="C163" s="2" t="inlineStr">
        <is>
          <t>Aquisição de ferramentas manuais</t>
        </is>
      </c>
      <c r="D163" s="2" t="inlineStr">
        <is>
          <t>-</t>
        </is>
      </c>
      <c r="E163" s="2" t="inlineStr">
        <is>
          <t>-</t>
        </is>
      </c>
      <c r="F163" s="2" t="n">
        <v>44000</v>
      </c>
      <c r="G163" s="2" t="n">
        <v>0</v>
      </c>
      <c r="H163" s="2" t="n">
        <v>44000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  <c r="ET163" s="2" t="n">
        <v>0</v>
      </c>
      <c r="EU163" s="2" t="n">
        <v>0</v>
      </c>
      <c r="EV163" s="2" t="n">
        <v>0</v>
      </c>
      <c r="EW163" s="2" t="n">
        <v>0</v>
      </c>
      <c r="EX163" s="2" t="n">
        <v>0</v>
      </c>
      <c r="EY163" s="2" t="n">
        <v>0</v>
      </c>
      <c r="EZ163" s="2" t="n">
        <v>0</v>
      </c>
      <c r="FA163" s="2" t="n">
        <v>0</v>
      </c>
      <c r="FB163" s="2" t="n">
        <v>0</v>
      </c>
      <c r="FC163" s="2" t="n">
        <v>0</v>
      </c>
      <c r="FD163" s="2" t="n">
        <v>0</v>
      </c>
      <c r="FE163" s="2" t="n">
        <v>0</v>
      </c>
      <c r="FF163" s="2" t="n">
        <v>0</v>
      </c>
      <c r="FG163" s="2" t="n">
        <v>0</v>
      </c>
      <c r="FH163" s="2" t="n">
        <v>0</v>
      </c>
      <c r="FI163" s="2" t="n">
        <v>0</v>
      </c>
      <c r="FJ163" s="2" t="n">
        <v>0</v>
      </c>
      <c r="FK163" s="2" t="n">
        <v>0</v>
      </c>
      <c r="FL163" s="2" t="n">
        <v>0</v>
      </c>
      <c r="FM163" s="2" t="n">
        <v>0</v>
      </c>
      <c r="FN163" s="2" t="n">
        <v>0</v>
      </c>
      <c r="FO163" s="2" t="n">
        <v>0</v>
      </c>
      <c r="FP163" s="2" t="n">
        <v>0</v>
      </c>
      <c r="FQ163" s="2" t="n">
        <v>0</v>
      </c>
    </row>
    <row r="164">
      <c r="A164" s="2" t="n">
        <v>2</v>
      </c>
      <c r="B164" s="2" t="inlineStr">
        <is>
          <t>11.02</t>
        </is>
      </c>
      <c r="C164" s="2" t="inlineStr">
        <is>
          <t>Equipamentos para movimento de terra</t>
        </is>
      </c>
      <c r="D164" s="2" t="inlineStr">
        <is>
          <t>-</t>
        </is>
      </c>
      <c r="E164" s="2" t="inlineStr">
        <is>
          <t>-</t>
        </is>
      </c>
      <c r="F164" s="2" t="n">
        <v>987420</v>
      </c>
      <c r="G164" s="2" t="n">
        <v>0</v>
      </c>
      <c r="H164" s="2" t="n">
        <v>987420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  <c r="ET164" s="2" t="n">
        <v>0</v>
      </c>
      <c r="EU164" s="2" t="n">
        <v>0</v>
      </c>
      <c r="EV164" s="2" t="n">
        <v>0</v>
      </c>
      <c r="EW164" s="2" t="n">
        <v>0</v>
      </c>
      <c r="EX164" s="2" t="n">
        <v>0</v>
      </c>
      <c r="EY164" s="2" t="n">
        <v>0</v>
      </c>
      <c r="EZ164" s="2" t="n">
        <v>0</v>
      </c>
      <c r="FA164" s="2" t="n">
        <v>0</v>
      </c>
      <c r="FB164" s="2" t="n">
        <v>0</v>
      </c>
      <c r="FC164" s="2" t="n">
        <v>0</v>
      </c>
      <c r="FD164" s="2" t="n">
        <v>0</v>
      </c>
      <c r="FE164" s="2" t="n">
        <v>0</v>
      </c>
      <c r="FF164" s="2" t="n">
        <v>0</v>
      </c>
      <c r="FG164" s="2" t="n">
        <v>0</v>
      </c>
      <c r="FH164" s="2" t="n">
        <v>0</v>
      </c>
      <c r="FI164" s="2" t="n">
        <v>0</v>
      </c>
      <c r="FJ164" s="2" t="n">
        <v>0</v>
      </c>
      <c r="FK164" s="2" t="n">
        <v>0</v>
      </c>
      <c r="FL164" s="2" t="n">
        <v>0</v>
      </c>
      <c r="FM164" s="2" t="n">
        <v>0</v>
      </c>
      <c r="FN164" s="2" t="n">
        <v>0</v>
      </c>
      <c r="FO164" s="2" t="n">
        <v>0</v>
      </c>
      <c r="FP164" s="2" t="n">
        <v>0</v>
      </c>
      <c r="FQ164" s="2" t="n">
        <v>0</v>
      </c>
    </row>
    <row r="165">
      <c r="A165" s="2" t="n">
        <v>3</v>
      </c>
      <c r="B165" s="2" t="inlineStr">
        <is>
          <t>11.02.01</t>
        </is>
      </c>
      <c r="C165" s="2" t="inlineStr">
        <is>
          <t>Compactador manual tipo sapo</t>
        </is>
      </c>
      <c r="D165" s="2" t="inlineStr">
        <is>
          <t>-</t>
        </is>
      </c>
      <c r="E165" s="2" t="inlineStr">
        <is>
          <t>-</t>
        </is>
      </c>
      <c r="F165" s="2" t="n">
        <v>12420</v>
      </c>
      <c r="G165" s="2" t="n">
        <v>0</v>
      </c>
      <c r="H165" s="2" t="n">
        <v>12420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  <c r="ET165" s="2" t="n">
        <v>0</v>
      </c>
      <c r="EU165" s="2" t="n">
        <v>0</v>
      </c>
      <c r="EV165" s="2" t="n">
        <v>0</v>
      </c>
      <c r="EW165" s="2" t="n">
        <v>0</v>
      </c>
      <c r="EX165" s="2" t="n">
        <v>0</v>
      </c>
      <c r="EY165" s="2" t="n">
        <v>0</v>
      </c>
      <c r="EZ165" s="2" t="n">
        <v>0</v>
      </c>
      <c r="FA165" s="2" t="n">
        <v>0</v>
      </c>
      <c r="FB165" s="2" t="n">
        <v>0</v>
      </c>
      <c r="FC165" s="2" t="n">
        <v>0</v>
      </c>
      <c r="FD165" s="2" t="n">
        <v>0</v>
      </c>
      <c r="FE165" s="2" t="n">
        <v>0</v>
      </c>
      <c r="FF165" s="2" t="n">
        <v>0</v>
      </c>
      <c r="FG165" s="2" t="n">
        <v>0</v>
      </c>
      <c r="FH165" s="2" t="n">
        <v>0</v>
      </c>
      <c r="FI165" s="2" t="n">
        <v>0</v>
      </c>
      <c r="FJ165" s="2" t="n">
        <v>0</v>
      </c>
      <c r="FK165" s="2" t="n">
        <v>0</v>
      </c>
      <c r="FL165" s="2" t="n">
        <v>0</v>
      </c>
      <c r="FM165" s="2" t="n">
        <v>0</v>
      </c>
      <c r="FN165" s="2" t="n">
        <v>0</v>
      </c>
      <c r="FO165" s="2" t="n">
        <v>0</v>
      </c>
      <c r="FP165" s="2" t="n">
        <v>0</v>
      </c>
      <c r="FQ165" s="2" t="n">
        <v>0</v>
      </c>
    </row>
    <row r="166">
      <c r="A166" s="2" t="n">
        <v>3</v>
      </c>
      <c r="B166" s="2" t="inlineStr">
        <is>
          <t>11.02.02</t>
        </is>
      </c>
      <c r="C166" s="2" t="inlineStr">
        <is>
          <t>Trator Bob cat</t>
        </is>
      </c>
      <c r="D166" s="2" t="inlineStr">
        <is>
          <t>-</t>
        </is>
      </c>
      <c r="E166" s="2" t="inlineStr">
        <is>
          <t>-</t>
        </is>
      </c>
      <c r="F166" s="2" t="n">
        <v>450000</v>
      </c>
      <c r="G166" s="2" t="n">
        <v>0</v>
      </c>
      <c r="H166" s="2" t="n">
        <v>450000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  <c r="ET166" s="2" t="n">
        <v>0</v>
      </c>
      <c r="EU166" s="2" t="n">
        <v>0</v>
      </c>
      <c r="EV166" s="2" t="n">
        <v>0</v>
      </c>
      <c r="EW166" s="2" t="n">
        <v>0</v>
      </c>
      <c r="EX166" s="2" t="n">
        <v>0</v>
      </c>
      <c r="EY166" s="2" t="n">
        <v>0</v>
      </c>
      <c r="EZ166" s="2" t="n">
        <v>0</v>
      </c>
      <c r="FA166" s="2" t="n">
        <v>0</v>
      </c>
      <c r="FB166" s="2" t="n">
        <v>0</v>
      </c>
      <c r="FC166" s="2" t="n">
        <v>0</v>
      </c>
      <c r="FD166" s="2" t="n">
        <v>0</v>
      </c>
      <c r="FE166" s="2" t="n">
        <v>0</v>
      </c>
      <c r="FF166" s="2" t="n">
        <v>0</v>
      </c>
      <c r="FG166" s="2" t="n">
        <v>0</v>
      </c>
      <c r="FH166" s="2" t="n">
        <v>0</v>
      </c>
      <c r="FI166" s="2" t="n">
        <v>0</v>
      </c>
      <c r="FJ166" s="2" t="n">
        <v>0</v>
      </c>
      <c r="FK166" s="2" t="n">
        <v>0</v>
      </c>
      <c r="FL166" s="2" t="n">
        <v>0</v>
      </c>
      <c r="FM166" s="2" t="n">
        <v>0</v>
      </c>
      <c r="FN166" s="2" t="n">
        <v>0</v>
      </c>
      <c r="FO166" s="2" t="n">
        <v>0</v>
      </c>
      <c r="FP166" s="2" t="n">
        <v>0</v>
      </c>
      <c r="FQ166" s="2" t="n">
        <v>0</v>
      </c>
    </row>
    <row r="167">
      <c r="A167" s="2" t="n">
        <v>3</v>
      </c>
      <c r="B167" s="2" t="inlineStr">
        <is>
          <t>11.02.03</t>
        </is>
      </c>
      <c r="C167" s="2" t="inlineStr">
        <is>
          <t>Escavadeira</t>
        </is>
      </c>
      <c r="D167" s="2" t="inlineStr">
        <is>
          <t>-</t>
        </is>
      </c>
      <c r="E167" s="2" t="inlineStr">
        <is>
          <t>-</t>
        </is>
      </c>
      <c r="F167" s="2" t="n">
        <v>442000</v>
      </c>
      <c r="G167" s="2" t="n">
        <v>0</v>
      </c>
      <c r="H167" s="2" t="n">
        <v>442000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  <c r="ET167" s="2" t="n">
        <v>0</v>
      </c>
      <c r="EU167" s="2" t="n">
        <v>0</v>
      </c>
      <c r="EV167" s="2" t="n">
        <v>0</v>
      </c>
      <c r="EW167" s="2" t="n">
        <v>0</v>
      </c>
      <c r="EX167" s="2" t="n">
        <v>0</v>
      </c>
      <c r="EY167" s="2" t="n">
        <v>0</v>
      </c>
      <c r="EZ167" s="2" t="n">
        <v>0</v>
      </c>
      <c r="FA167" s="2" t="n">
        <v>0</v>
      </c>
      <c r="FB167" s="2" t="n">
        <v>0</v>
      </c>
      <c r="FC167" s="2" t="n">
        <v>0</v>
      </c>
      <c r="FD167" s="2" t="n">
        <v>0</v>
      </c>
      <c r="FE167" s="2" t="n">
        <v>0</v>
      </c>
      <c r="FF167" s="2" t="n">
        <v>0</v>
      </c>
      <c r="FG167" s="2" t="n">
        <v>0</v>
      </c>
      <c r="FH167" s="2" t="n">
        <v>0</v>
      </c>
      <c r="FI167" s="2" t="n">
        <v>0</v>
      </c>
      <c r="FJ167" s="2" t="n">
        <v>0</v>
      </c>
      <c r="FK167" s="2" t="n">
        <v>0</v>
      </c>
      <c r="FL167" s="2" t="n">
        <v>0</v>
      </c>
      <c r="FM167" s="2" t="n">
        <v>0</v>
      </c>
      <c r="FN167" s="2" t="n">
        <v>0</v>
      </c>
      <c r="FO167" s="2" t="n">
        <v>0</v>
      </c>
      <c r="FP167" s="2" t="n">
        <v>0</v>
      </c>
      <c r="FQ167" s="2" t="n">
        <v>0</v>
      </c>
    </row>
    <row r="168">
      <c r="A168" s="2" t="n">
        <v>3</v>
      </c>
      <c r="B168" s="2" t="inlineStr">
        <is>
          <t>11.02.04</t>
        </is>
      </c>
      <c r="C168" s="2" t="inlineStr">
        <is>
          <t>Retroescavadeira</t>
        </is>
      </c>
      <c r="D168" s="2" t="inlineStr">
        <is>
          <t>-</t>
        </is>
      </c>
      <c r="E168" s="2" t="inlineStr">
        <is>
          <t>-</t>
        </is>
      </c>
      <c r="F168" s="2" t="n">
        <v>83000</v>
      </c>
      <c r="G168" s="2" t="n">
        <v>0</v>
      </c>
      <c r="H168" s="2" t="n">
        <v>83000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  <c r="ET168" s="2" t="n">
        <v>0</v>
      </c>
      <c r="EU168" s="2" t="n">
        <v>0</v>
      </c>
      <c r="EV168" s="2" t="n">
        <v>0</v>
      </c>
      <c r="EW168" s="2" t="n">
        <v>0</v>
      </c>
      <c r="EX168" s="2" t="n">
        <v>0</v>
      </c>
      <c r="EY168" s="2" t="n">
        <v>0</v>
      </c>
      <c r="EZ168" s="2" t="n">
        <v>0</v>
      </c>
      <c r="FA168" s="2" t="n">
        <v>0</v>
      </c>
      <c r="FB168" s="2" t="n">
        <v>0</v>
      </c>
      <c r="FC168" s="2" t="n">
        <v>0</v>
      </c>
      <c r="FD168" s="2" t="n">
        <v>0</v>
      </c>
      <c r="FE168" s="2" t="n">
        <v>0</v>
      </c>
      <c r="FF168" s="2" t="n">
        <v>0</v>
      </c>
      <c r="FG168" s="2" t="n">
        <v>0</v>
      </c>
      <c r="FH168" s="2" t="n">
        <v>0</v>
      </c>
      <c r="FI168" s="2" t="n">
        <v>0</v>
      </c>
      <c r="FJ168" s="2" t="n">
        <v>0</v>
      </c>
      <c r="FK168" s="2" t="n">
        <v>0</v>
      </c>
      <c r="FL168" s="2" t="n">
        <v>0</v>
      </c>
      <c r="FM168" s="2" t="n">
        <v>0</v>
      </c>
      <c r="FN168" s="2" t="n">
        <v>0</v>
      </c>
      <c r="FO168" s="2" t="n">
        <v>0</v>
      </c>
      <c r="FP168" s="2" t="n">
        <v>0</v>
      </c>
      <c r="FQ168" s="2" t="n">
        <v>0</v>
      </c>
    </row>
    <row r="169">
      <c r="A169" s="2" t="n">
        <v>2</v>
      </c>
      <c r="B169" s="2" t="inlineStr">
        <is>
          <t>11.03</t>
        </is>
      </c>
      <c r="C169" s="2" t="inlineStr">
        <is>
          <t>Equipamentos para produção civil e cumprimento da NR-18</t>
        </is>
      </c>
      <c r="D169" s="2" t="inlineStr">
        <is>
          <t>-</t>
        </is>
      </c>
      <c r="E169" s="2" t="inlineStr">
        <is>
          <t>-</t>
        </is>
      </c>
      <c r="F169" s="2" t="n">
        <v>1037496.419354</v>
      </c>
      <c r="G169" s="2" t="n">
        <v>0</v>
      </c>
      <c r="H169" s="2" t="n">
        <v>1037496.419354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  <c r="ET169" s="2" t="n">
        <v>0</v>
      </c>
      <c r="EU169" s="2" t="n">
        <v>0</v>
      </c>
      <c r="EV169" s="2" t="n">
        <v>0</v>
      </c>
      <c r="EW169" s="2" t="n">
        <v>0</v>
      </c>
      <c r="EX169" s="2" t="n">
        <v>0</v>
      </c>
      <c r="EY169" s="2" t="n">
        <v>0</v>
      </c>
      <c r="EZ169" s="2" t="n">
        <v>0</v>
      </c>
      <c r="FA169" s="2" t="n">
        <v>0</v>
      </c>
      <c r="FB169" s="2" t="n">
        <v>0</v>
      </c>
      <c r="FC169" s="2" t="n">
        <v>0</v>
      </c>
      <c r="FD169" s="2" t="n">
        <v>0</v>
      </c>
      <c r="FE169" s="2" t="n">
        <v>0</v>
      </c>
      <c r="FF169" s="2" t="n">
        <v>0</v>
      </c>
      <c r="FG169" s="2" t="n">
        <v>0</v>
      </c>
      <c r="FH169" s="2" t="n">
        <v>0</v>
      </c>
      <c r="FI169" s="2" t="n">
        <v>0</v>
      </c>
      <c r="FJ169" s="2" t="n">
        <v>0</v>
      </c>
      <c r="FK169" s="2" t="n">
        <v>0</v>
      </c>
      <c r="FL169" s="2" t="n">
        <v>0</v>
      </c>
      <c r="FM169" s="2" t="n">
        <v>0</v>
      </c>
      <c r="FN169" s="2" t="n">
        <v>0</v>
      </c>
      <c r="FO169" s="2" t="n">
        <v>0</v>
      </c>
      <c r="FP169" s="2" t="n">
        <v>0</v>
      </c>
      <c r="FQ169" s="2" t="n">
        <v>0</v>
      </c>
    </row>
    <row r="170">
      <c r="A170" s="2" t="n">
        <v>3</v>
      </c>
      <c r="B170" s="2" t="inlineStr">
        <is>
          <t>11.03.01</t>
        </is>
      </c>
      <c r="C170" s="2" t="inlineStr">
        <is>
          <t>Concreto armado moldado in loco</t>
        </is>
      </c>
      <c r="D170" s="2" t="inlineStr">
        <is>
          <t>-</t>
        </is>
      </c>
      <c r="E170" s="2" t="inlineStr">
        <is>
          <t>-</t>
        </is>
      </c>
      <c r="F170" s="2" t="n">
        <v>82853</v>
      </c>
      <c r="G170" s="2" t="n">
        <v>0</v>
      </c>
      <c r="H170" s="2" t="n">
        <v>82853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  <c r="ET170" s="2" t="n">
        <v>0</v>
      </c>
      <c r="EU170" s="2" t="n">
        <v>0</v>
      </c>
      <c r="EV170" s="2" t="n">
        <v>0</v>
      </c>
      <c r="EW170" s="2" t="n">
        <v>0</v>
      </c>
      <c r="EX170" s="2" t="n">
        <v>0</v>
      </c>
      <c r="EY170" s="2" t="n">
        <v>0</v>
      </c>
      <c r="EZ170" s="2" t="n">
        <v>0</v>
      </c>
      <c r="FA170" s="2" t="n">
        <v>0</v>
      </c>
      <c r="FB170" s="2" t="n">
        <v>0</v>
      </c>
      <c r="FC170" s="2" t="n">
        <v>0</v>
      </c>
      <c r="FD170" s="2" t="n">
        <v>0</v>
      </c>
      <c r="FE170" s="2" t="n">
        <v>0</v>
      </c>
      <c r="FF170" s="2" t="n">
        <v>0</v>
      </c>
      <c r="FG170" s="2" t="n">
        <v>0</v>
      </c>
      <c r="FH170" s="2" t="n">
        <v>0</v>
      </c>
      <c r="FI170" s="2" t="n">
        <v>0</v>
      </c>
      <c r="FJ170" s="2" t="n">
        <v>0</v>
      </c>
      <c r="FK170" s="2" t="n">
        <v>0</v>
      </c>
      <c r="FL170" s="2" t="n">
        <v>0</v>
      </c>
      <c r="FM170" s="2" t="n">
        <v>0</v>
      </c>
      <c r="FN170" s="2" t="n">
        <v>0</v>
      </c>
      <c r="FO170" s="2" t="n">
        <v>0</v>
      </c>
      <c r="FP170" s="2" t="n">
        <v>0</v>
      </c>
      <c r="FQ170" s="2" t="n">
        <v>0</v>
      </c>
    </row>
    <row r="171">
      <c r="A171" s="2" t="n">
        <v>4</v>
      </c>
      <c r="B171" s="2" t="inlineStr">
        <is>
          <t>11.03.01.01</t>
        </is>
      </c>
      <c r="C171" s="2" t="inlineStr">
        <is>
          <t>Vibrador - Mangote Vibrador</t>
        </is>
      </c>
      <c r="D171" s="2" t="inlineStr">
        <is>
          <t>-</t>
        </is>
      </c>
      <c r="E171" s="2" t="inlineStr">
        <is>
          <t>-</t>
        </is>
      </c>
      <c r="F171" s="2" t="n">
        <v>27999</v>
      </c>
      <c r="G171" s="2" t="n">
        <v>0</v>
      </c>
      <c r="H171" s="2" t="n">
        <v>27999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  <c r="ET171" s="2" t="n">
        <v>0</v>
      </c>
      <c r="EU171" s="2" t="n">
        <v>0</v>
      </c>
      <c r="EV171" s="2" t="n">
        <v>0</v>
      </c>
      <c r="EW171" s="2" t="n">
        <v>0</v>
      </c>
      <c r="EX171" s="2" t="n">
        <v>0</v>
      </c>
      <c r="EY171" s="2" t="n">
        <v>0</v>
      </c>
      <c r="EZ171" s="2" t="n">
        <v>0</v>
      </c>
      <c r="FA171" s="2" t="n">
        <v>0</v>
      </c>
      <c r="FB171" s="2" t="n">
        <v>0</v>
      </c>
      <c r="FC171" s="2" t="n">
        <v>0</v>
      </c>
      <c r="FD171" s="2" t="n">
        <v>0</v>
      </c>
      <c r="FE171" s="2" t="n">
        <v>0</v>
      </c>
      <c r="FF171" s="2" t="n">
        <v>0</v>
      </c>
      <c r="FG171" s="2" t="n">
        <v>0</v>
      </c>
      <c r="FH171" s="2" t="n">
        <v>0</v>
      </c>
      <c r="FI171" s="2" t="n">
        <v>0</v>
      </c>
      <c r="FJ171" s="2" t="n">
        <v>0</v>
      </c>
      <c r="FK171" s="2" t="n">
        <v>0</v>
      </c>
      <c r="FL171" s="2" t="n">
        <v>0</v>
      </c>
      <c r="FM171" s="2" t="n">
        <v>0</v>
      </c>
      <c r="FN171" s="2" t="n">
        <v>0</v>
      </c>
      <c r="FO171" s="2" t="n">
        <v>0</v>
      </c>
      <c r="FP171" s="2" t="n">
        <v>0</v>
      </c>
      <c r="FQ171" s="2" t="n">
        <v>0</v>
      </c>
    </row>
    <row r="172">
      <c r="A172" s="2" t="n">
        <v>4</v>
      </c>
      <c r="B172" s="2" t="inlineStr">
        <is>
          <t>11.03.01.02</t>
        </is>
      </c>
      <c r="C172" s="2" t="inlineStr">
        <is>
          <t>Vibrador - Motor</t>
        </is>
      </c>
      <c r="D172" s="2" t="inlineStr">
        <is>
          <t>-</t>
        </is>
      </c>
      <c r="E172" s="2" t="inlineStr">
        <is>
          <t>-</t>
        </is>
      </c>
      <c r="F172" s="2" t="n">
        <v>34648</v>
      </c>
      <c r="G172" s="2" t="n">
        <v>0</v>
      </c>
      <c r="H172" s="2" t="n">
        <v>34648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  <c r="ET172" s="2" t="n">
        <v>0</v>
      </c>
      <c r="EU172" s="2" t="n">
        <v>0</v>
      </c>
      <c r="EV172" s="2" t="n">
        <v>0</v>
      </c>
      <c r="EW172" s="2" t="n">
        <v>0</v>
      </c>
      <c r="EX172" s="2" t="n">
        <v>0</v>
      </c>
      <c r="EY172" s="2" t="n">
        <v>0</v>
      </c>
      <c r="EZ172" s="2" t="n">
        <v>0</v>
      </c>
      <c r="FA172" s="2" t="n">
        <v>0</v>
      </c>
      <c r="FB172" s="2" t="n">
        <v>0</v>
      </c>
      <c r="FC172" s="2" t="n">
        <v>0</v>
      </c>
      <c r="FD172" s="2" t="n">
        <v>0</v>
      </c>
      <c r="FE172" s="2" t="n">
        <v>0</v>
      </c>
      <c r="FF172" s="2" t="n">
        <v>0</v>
      </c>
      <c r="FG172" s="2" t="n">
        <v>0</v>
      </c>
      <c r="FH172" s="2" t="n">
        <v>0</v>
      </c>
      <c r="FI172" s="2" t="n">
        <v>0</v>
      </c>
      <c r="FJ172" s="2" t="n">
        <v>0</v>
      </c>
      <c r="FK172" s="2" t="n">
        <v>0</v>
      </c>
      <c r="FL172" s="2" t="n">
        <v>0</v>
      </c>
      <c r="FM172" s="2" t="n">
        <v>0</v>
      </c>
      <c r="FN172" s="2" t="n">
        <v>0</v>
      </c>
      <c r="FO172" s="2" t="n">
        <v>0</v>
      </c>
      <c r="FP172" s="2" t="n">
        <v>0</v>
      </c>
      <c r="FQ172" s="2" t="n">
        <v>0</v>
      </c>
    </row>
    <row r="173">
      <c r="A173" s="2" t="n">
        <v>4</v>
      </c>
      <c r="B173" s="2" t="inlineStr">
        <is>
          <t>11.03.01.03</t>
        </is>
      </c>
      <c r="C173" s="2" t="inlineStr">
        <is>
          <t>Serra Policorte para central de armação</t>
        </is>
      </c>
      <c r="D173" s="2" t="inlineStr">
        <is>
          <t>-</t>
        </is>
      </c>
      <c r="E173" s="2" t="inlineStr">
        <is>
          <t>-</t>
        </is>
      </c>
      <c r="F173" s="2" t="n">
        <v>9350</v>
      </c>
      <c r="G173" s="2" t="n">
        <v>0</v>
      </c>
      <c r="H173" s="2" t="n">
        <v>9350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  <c r="ET173" s="2" t="n">
        <v>0</v>
      </c>
      <c r="EU173" s="2" t="n">
        <v>0</v>
      </c>
      <c r="EV173" s="2" t="n">
        <v>0</v>
      </c>
      <c r="EW173" s="2" t="n">
        <v>0</v>
      </c>
      <c r="EX173" s="2" t="n">
        <v>0</v>
      </c>
      <c r="EY173" s="2" t="n">
        <v>0</v>
      </c>
      <c r="EZ173" s="2" t="n">
        <v>0</v>
      </c>
      <c r="FA173" s="2" t="n">
        <v>0</v>
      </c>
      <c r="FB173" s="2" t="n">
        <v>0</v>
      </c>
      <c r="FC173" s="2" t="n">
        <v>0</v>
      </c>
      <c r="FD173" s="2" t="n">
        <v>0</v>
      </c>
      <c r="FE173" s="2" t="n">
        <v>0</v>
      </c>
      <c r="FF173" s="2" t="n">
        <v>0</v>
      </c>
      <c r="FG173" s="2" t="n">
        <v>0</v>
      </c>
      <c r="FH173" s="2" t="n">
        <v>0</v>
      </c>
      <c r="FI173" s="2" t="n">
        <v>0</v>
      </c>
      <c r="FJ173" s="2" t="n">
        <v>0</v>
      </c>
      <c r="FK173" s="2" t="n">
        <v>0</v>
      </c>
      <c r="FL173" s="2" t="n">
        <v>0</v>
      </c>
      <c r="FM173" s="2" t="n">
        <v>0</v>
      </c>
      <c r="FN173" s="2" t="n">
        <v>0</v>
      </c>
      <c r="FO173" s="2" t="n">
        <v>0</v>
      </c>
      <c r="FP173" s="2" t="n">
        <v>0</v>
      </c>
      <c r="FQ173" s="2" t="n">
        <v>0</v>
      </c>
    </row>
    <row r="174">
      <c r="A174" s="2" t="n">
        <v>4</v>
      </c>
      <c r="B174" s="2" t="inlineStr">
        <is>
          <t>11.03.01.04</t>
        </is>
      </c>
      <c r="C174" s="2" t="inlineStr">
        <is>
          <t>Serra de bancada para central de formas</t>
        </is>
      </c>
      <c r="D174" s="2" t="inlineStr">
        <is>
          <t>-</t>
        </is>
      </c>
      <c r="E174" s="2" t="inlineStr">
        <is>
          <t>-</t>
        </is>
      </c>
      <c r="F174" s="2" t="n">
        <v>7150</v>
      </c>
      <c r="G174" s="2" t="n">
        <v>0</v>
      </c>
      <c r="H174" s="2" t="n">
        <v>7150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  <c r="ET174" s="2" t="n">
        <v>0</v>
      </c>
      <c r="EU174" s="2" t="n">
        <v>0</v>
      </c>
      <c r="EV174" s="2" t="n">
        <v>0</v>
      </c>
      <c r="EW174" s="2" t="n">
        <v>0</v>
      </c>
      <c r="EX174" s="2" t="n">
        <v>0</v>
      </c>
      <c r="EY174" s="2" t="n">
        <v>0</v>
      </c>
      <c r="EZ174" s="2" t="n">
        <v>0</v>
      </c>
      <c r="FA174" s="2" t="n">
        <v>0</v>
      </c>
      <c r="FB174" s="2" t="n">
        <v>0</v>
      </c>
      <c r="FC174" s="2" t="n">
        <v>0</v>
      </c>
      <c r="FD174" s="2" t="n">
        <v>0</v>
      </c>
      <c r="FE174" s="2" t="n">
        <v>0</v>
      </c>
      <c r="FF174" s="2" t="n">
        <v>0</v>
      </c>
      <c r="FG174" s="2" t="n">
        <v>0</v>
      </c>
      <c r="FH174" s="2" t="n">
        <v>0</v>
      </c>
      <c r="FI174" s="2" t="n">
        <v>0</v>
      </c>
      <c r="FJ174" s="2" t="n">
        <v>0</v>
      </c>
      <c r="FK174" s="2" t="n">
        <v>0</v>
      </c>
      <c r="FL174" s="2" t="n">
        <v>0</v>
      </c>
      <c r="FM174" s="2" t="n">
        <v>0</v>
      </c>
      <c r="FN174" s="2" t="n">
        <v>0</v>
      </c>
      <c r="FO174" s="2" t="n">
        <v>0</v>
      </c>
      <c r="FP174" s="2" t="n">
        <v>0</v>
      </c>
      <c r="FQ174" s="2" t="n">
        <v>0</v>
      </c>
    </row>
    <row r="175">
      <c r="A175" s="2" t="n">
        <v>4</v>
      </c>
      <c r="B175" s="2" t="inlineStr">
        <is>
          <t>11.03.01.05</t>
        </is>
      </c>
      <c r="C175" s="2" t="inlineStr">
        <is>
          <t>Serra manual para ajuste local de formas</t>
        </is>
      </c>
      <c r="D175" s="2" t="inlineStr">
        <is>
          <t>-</t>
        </is>
      </c>
      <c r="E175" s="2" t="inlineStr">
        <is>
          <t>-</t>
        </is>
      </c>
      <c r="F175" s="2" t="n">
        <v>3706</v>
      </c>
      <c r="G175" s="2" t="n">
        <v>0</v>
      </c>
      <c r="H175" s="2" t="n">
        <v>3706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  <c r="ET175" s="2" t="n">
        <v>0</v>
      </c>
      <c r="EU175" s="2" t="n">
        <v>0</v>
      </c>
      <c r="EV175" s="2" t="n">
        <v>0</v>
      </c>
      <c r="EW175" s="2" t="n">
        <v>0</v>
      </c>
      <c r="EX175" s="2" t="n">
        <v>0</v>
      </c>
      <c r="EY175" s="2" t="n">
        <v>0</v>
      </c>
      <c r="EZ175" s="2" t="n">
        <v>0</v>
      </c>
      <c r="FA175" s="2" t="n">
        <v>0</v>
      </c>
      <c r="FB175" s="2" t="n">
        <v>0</v>
      </c>
      <c r="FC175" s="2" t="n">
        <v>0</v>
      </c>
      <c r="FD175" s="2" t="n">
        <v>0</v>
      </c>
      <c r="FE175" s="2" t="n">
        <v>0</v>
      </c>
      <c r="FF175" s="2" t="n">
        <v>0</v>
      </c>
      <c r="FG175" s="2" t="n">
        <v>0</v>
      </c>
      <c r="FH175" s="2" t="n">
        <v>0</v>
      </c>
      <c r="FI175" s="2" t="n">
        <v>0</v>
      </c>
      <c r="FJ175" s="2" t="n">
        <v>0</v>
      </c>
      <c r="FK175" s="2" t="n">
        <v>0</v>
      </c>
      <c r="FL175" s="2" t="n">
        <v>0</v>
      </c>
      <c r="FM175" s="2" t="n">
        <v>0</v>
      </c>
      <c r="FN175" s="2" t="n">
        <v>0</v>
      </c>
      <c r="FO175" s="2" t="n">
        <v>0</v>
      </c>
      <c r="FP175" s="2" t="n">
        <v>0</v>
      </c>
      <c r="FQ175" s="2" t="n">
        <v>0</v>
      </c>
    </row>
    <row r="176">
      <c r="A176" s="2" t="n">
        <v>3</v>
      </c>
      <c r="B176" s="2" t="inlineStr">
        <is>
          <t>11.03.02</t>
        </is>
      </c>
      <c r="C176" s="2" t="inlineStr">
        <is>
          <t>Demolições</t>
        </is>
      </c>
      <c r="D176" s="2" t="inlineStr">
        <is>
          <t>-</t>
        </is>
      </c>
      <c r="E176" s="2" t="inlineStr">
        <is>
          <t>-</t>
        </is>
      </c>
      <c r="F176" s="2" t="n">
        <v>113100</v>
      </c>
      <c r="G176" s="2" t="n">
        <v>0</v>
      </c>
      <c r="H176" s="2" t="n">
        <v>113100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  <c r="ET176" s="2" t="n">
        <v>0</v>
      </c>
      <c r="EU176" s="2" t="n">
        <v>0</v>
      </c>
      <c r="EV176" s="2" t="n">
        <v>0</v>
      </c>
      <c r="EW176" s="2" t="n">
        <v>0</v>
      </c>
      <c r="EX176" s="2" t="n">
        <v>0</v>
      </c>
      <c r="EY176" s="2" t="n">
        <v>0</v>
      </c>
      <c r="EZ176" s="2" t="n">
        <v>0</v>
      </c>
      <c r="FA176" s="2" t="n">
        <v>0</v>
      </c>
      <c r="FB176" s="2" t="n">
        <v>0</v>
      </c>
      <c r="FC176" s="2" t="n">
        <v>0</v>
      </c>
      <c r="FD176" s="2" t="n">
        <v>0</v>
      </c>
      <c r="FE176" s="2" t="n">
        <v>0</v>
      </c>
      <c r="FF176" s="2" t="n">
        <v>0</v>
      </c>
      <c r="FG176" s="2" t="n">
        <v>0</v>
      </c>
      <c r="FH176" s="2" t="n">
        <v>0</v>
      </c>
      <c r="FI176" s="2" t="n">
        <v>0</v>
      </c>
      <c r="FJ176" s="2" t="n">
        <v>0</v>
      </c>
      <c r="FK176" s="2" t="n">
        <v>0</v>
      </c>
      <c r="FL176" s="2" t="n">
        <v>0</v>
      </c>
      <c r="FM176" s="2" t="n">
        <v>0</v>
      </c>
      <c r="FN176" s="2" t="n">
        <v>0</v>
      </c>
      <c r="FO176" s="2" t="n">
        <v>0</v>
      </c>
      <c r="FP176" s="2" t="n">
        <v>0</v>
      </c>
      <c r="FQ176" s="2" t="n">
        <v>0</v>
      </c>
    </row>
    <row r="177">
      <c r="A177" s="2" t="n">
        <v>4</v>
      </c>
      <c r="B177" s="2" t="inlineStr">
        <is>
          <t>11.03.02.01</t>
        </is>
      </c>
      <c r="C177" s="2" t="inlineStr">
        <is>
          <t>Martelete Elétrico 30Kg</t>
        </is>
      </c>
      <c r="D177" s="2" t="inlineStr">
        <is>
          <t>-</t>
        </is>
      </c>
      <c r="E177" s="2" t="inlineStr">
        <is>
          <t>-</t>
        </is>
      </c>
      <c r="F177" s="2" t="n">
        <v>74100.00000000001</v>
      </c>
      <c r="G177" s="2" t="n">
        <v>0</v>
      </c>
      <c r="H177" s="2" t="n">
        <v>74100.00000000001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  <c r="ET177" s="2" t="n">
        <v>0</v>
      </c>
      <c r="EU177" s="2" t="n">
        <v>0</v>
      </c>
      <c r="EV177" s="2" t="n">
        <v>0</v>
      </c>
      <c r="EW177" s="2" t="n">
        <v>0</v>
      </c>
      <c r="EX177" s="2" t="n">
        <v>0</v>
      </c>
      <c r="EY177" s="2" t="n">
        <v>0</v>
      </c>
      <c r="EZ177" s="2" t="n">
        <v>0</v>
      </c>
      <c r="FA177" s="2" t="n">
        <v>0</v>
      </c>
      <c r="FB177" s="2" t="n">
        <v>0</v>
      </c>
      <c r="FC177" s="2" t="n">
        <v>0</v>
      </c>
      <c r="FD177" s="2" t="n">
        <v>0</v>
      </c>
      <c r="FE177" s="2" t="n">
        <v>0</v>
      </c>
      <c r="FF177" s="2" t="n">
        <v>0</v>
      </c>
      <c r="FG177" s="2" t="n">
        <v>0</v>
      </c>
      <c r="FH177" s="2" t="n">
        <v>0</v>
      </c>
      <c r="FI177" s="2" t="n">
        <v>0</v>
      </c>
      <c r="FJ177" s="2" t="n">
        <v>0</v>
      </c>
      <c r="FK177" s="2" t="n">
        <v>0</v>
      </c>
      <c r="FL177" s="2" t="n">
        <v>0</v>
      </c>
      <c r="FM177" s="2" t="n">
        <v>0</v>
      </c>
      <c r="FN177" s="2" t="n">
        <v>0</v>
      </c>
      <c r="FO177" s="2" t="n">
        <v>0</v>
      </c>
      <c r="FP177" s="2" t="n">
        <v>0</v>
      </c>
      <c r="FQ177" s="2" t="n">
        <v>0</v>
      </c>
    </row>
    <row r="178">
      <c r="A178" s="2" t="n">
        <v>4</v>
      </c>
      <c r="B178" s="2" t="inlineStr">
        <is>
          <t>11.03.02.02</t>
        </is>
      </c>
      <c r="C178" s="2" t="inlineStr">
        <is>
          <t>Perfuratriz elétrica de impacto para concreto</t>
        </is>
      </c>
      <c r="D178" s="2" t="inlineStr">
        <is>
          <t>-</t>
        </is>
      </c>
      <c r="E178" s="2" t="inlineStr">
        <is>
          <t>-</t>
        </is>
      </c>
      <c r="F178" s="2" t="n">
        <v>19500</v>
      </c>
      <c r="G178" s="2" t="n">
        <v>0</v>
      </c>
      <c r="H178" s="2" t="n">
        <v>19500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  <c r="ET178" s="2" t="n">
        <v>0</v>
      </c>
      <c r="EU178" s="2" t="n">
        <v>0</v>
      </c>
      <c r="EV178" s="2" t="n">
        <v>0</v>
      </c>
      <c r="EW178" s="2" t="n">
        <v>0</v>
      </c>
      <c r="EX178" s="2" t="n">
        <v>0</v>
      </c>
      <c r="EY178" s="2" t="n">
        <v>0</v>
      </c>
      <c r="EZ178" s="2" t="n">
        <v>0</v>
      </c>
      <c r="FA178" s="2" t="n">
        <v>0</v>
      </c>
      <c r="FB178" s="2" t="n">
        <v>0</v>
      </c>
      <c r="FC178" s="2" t="n">
        <v>0</v>
      </c>
      <c r="FD178" s="2" t="n">
        <v>0</v>
      </c>
      <c r="FE178" s="2" t="n">
        <v>0</v>
      </c>
      <c r="FF178" s="2" t="n">
        <v>0</v>
      </c>
      <c r="FG178" s="2" t="n">
        <v>0</v>
      </c>
      <c r="FH178" s="2" t="n">
        <v>0</v>
      </c>
      <c r="FI178" s="2" t="n">
        <v>0</v>
      </c>
      <c r="FJ178" s="2" t="n">
        <v>0</v>
      </c>
      <c r="FK178" s="2" t="n">
        <v>0</v>
      </c>
      <c r="FL178" s="2" t="n">
        <v>0</v>
      </c>
      <c r="FM178" s="2" t="n">
        <v>0</v>
      </c>
      <c r="FN178" s="2" t="n">
        <v>0</v>
      </c>
      <c r="FO178" s="2" t="n">
        <v>0</v>
      </c>
      <c r="FP178" s="2" t="n">
        <v>0</v>
      </c>
      <c r="FQ178" s="2" t="n">
        <v>0</v>
      </c>
    </row>
    <row r="179">
      <c r="A179" s="2" t="n">
        <v>4</v>
      </c>
      <c r="B179" s="2" t="inlineStr">
        <is>
          <t>11.03.02.03</t>
        </is>
      </c>
      <c r="C179" s="2" t="inlineStr">
        <is>
          <t>Martelete Pneumático</t>
        </is>
      </c>
      <c r="D179" s="2" t="inlineStr">
        <is>
          <t>-</t>
        </is>
      </c>
      <c r="E179" s="2" t="inlineStr">
        <is>
          <t>-</t>
        </is>
      </c>
      <c r="F179" s="2" t="n">
        <v>19500</v>
      </c>
      <c r="G179" s="2" t="n">
        <v>0</v>
      </c>
      <c r="H179" s="2" t="n">
        <v>19500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  <c r="ET179" s="2" t="n">
        <v>0</v>
      </c>
      <c r="EU179" s="2" t="n">
        <v>0</v>
      </c>
      <c r="EV179" s="2" t="n">
        <v>0</v>
      </c>
      <c r="EW179" s="2" t="n">
        <v>0</v>
      </c>
      <c r="EX179" s="2" t="n">
        <v>0</v>
      </c>
      <c r="EY179" s="2" t="n">
        <v>0</v>
      </c>
      <c r="EZ179" s="2" t="n">
        <v>0</v>
      </c>
      <c r="FA179" s="2" t="n">
        <v>0</v>
      </c>
      <c r="FB179" s="2" t="n">
        <v>0</v>
      </c>
      <c r="FC179" s="2" t="n">
        <v>0</v>
      </c>
      <c r="FD179" s="2" t="n">
        <v>0</v>
      </c>
      <c r="FE179" s="2" t="n">
        <v>0</v>
      </c>
      <c r="FF179" s="2" t="n">
        <v>0</v>
      </c>
      <c r="FG179" s="2" t="n">
        <v>0</v>
      </c>
      <c r="FH179" s="2" t="n">
        <v>0</v>
      </c>
      <c r="FI179" s="2" t="n">
        <v>0</v>
      </c>
      <c r="FJ179" s="2" t="n">
        <v>0</v>
      </c>
      <c r="FK179" s="2" t="n">
        <v>0</v>
      </c>
      <c r="FL179" s="2" t="n">
        <v>0</v>
      </c>
      <c r="FM179" s="2" t="n">
        <v>0</v>
      </c>
      <c r="FN179" s="2" t="n">
        <v>0</v>
      </c>
      <c r="FO179" s="2" t="n">
        <v>0</v>
      </c>
      <c r="FP179" s="2" t="n">
        <v>0</v>
      </c>
      <c r="FQ179" s="2" t="n">
        <v>0</v>
      </c>
    </row>
    <row r="180">
      <c r="A180" s="2" t="n">
        <v>3</v>
      </c>
      <c r="B180" s="2" t="inlineStr">
        <is>
          <t>11.03.03</t>
        </is>
      </c>
      <c r="C180" s="2" t="inlineStr">
        <is>
          <t>Alvenaria e acabamentos</t>
        </is>
      </c>
      <c r="D180" s="2" t="inlineStr">
        <is>
          <t>-</t>
        </is>
      </c>
      <c r="E180" s="2" t="inlineStr">
        <is>
          <t>-</t>
        </is>
      </c>
      <c r="F180" s="2" t="n">
        <v>94363</v>
      </c>
      <c r="G180" s="2" t="n">
        <v>0</v>
      </c>
      <c r="H180" s="2" t="n">
        <v>94363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  <c r="ET180" s="2" t="n">
        <v>0</v>
      </c>
      <c r="EU180" s="2" t="n">
        <v>0</v>
      </c>
      <c r="EV180" s="2" t="n">
        <v>0</v>
      </c>
      <c r="EW180" s="2" t="n">
        <v>0</v>
      </c>
      <c r="EX180" s="2" t="n">
        <v>0</v>
      </c>
      <c r="EY180" s="2" t="n">
        <v>0</v>
      </c>
      <c r="EZ180" s="2" t="n">
        <v>0</v>
      </c>
      <c r="FA180" s="2" t="n">
        <v>0</v>
      </c>
      <c r="FB180" s="2" t="n">
        <v>0</v>
      </c>
      <c r="FC180" s="2" t="n">
        <v>0</v>
      </c>
      <c r="FD180" s="2" t="n">
        <v>0</v>
      </c>
      <c r="FE180" s="2" t="n">
        <v>0</v>
      </c>
      <c r="FF180" s="2" t="n">
        <v>0</v>
      </c>
      <c r="FG180" s="2" t="n">
        <v>0</v>
      </c>
      <c r="FH180" s="2" t="n">
        <v>0</v>
      </c>
      <c r="FI180" s="2" t="n">
        <v>0</v>
      </c>
      <c r="FJ180" s="2" t="n">
        <v>0</v>
      </c>
      <c r="FK180" s="2" t="n">
        <v>0</v>
      </c>
      <c r="FL180" s="2" t="n">
        <v>0</v>
      </c>
      <c r="FM180" s="2" t="n">
        <v>0</v>
      </c>
      <c r="FN180" s="2" t="n">
        <v>0</v>
      </c>
      <c r="FO180" s="2" t="n">
        <v>0</v>
      </c>
      <c r="FP180" s="2" t="n">
        <v>0</v>
      </c>
      <c r="FQ180" s="2" t="n">
        <v>0</v>
      </c>
    </row>
    <row r="181">
      <c r="A181" s="2" t="n">
        <v>4</v>
      </c>
      <c r="B181" s="2" t="inlineStr">
        <is>
          <t>11.03.03.01</t>
        </is>
      </c>
      <c r="C181" s="2" t="inlineStr">
        <is>
          <t>Argamassadeira elétrica</t>
        </is>
      </c>
      <c r="D181" s="2" t="inlineStr">
        <is>
          <t>-</t>
        </is>
      </c>
      <c r="E181" s="2" t="inlineStr">
        <is>
          <t>-</t>
        </is>
      </c>
      <c r="F181" s="2" t="n">
        <v>26600</v>
      </c>
      <c r="G181" s="2" t="n">
        <v>0</v>
      </c>
      <c r="H181" s="2" t="n">
        <v>26600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  <c r="ET181" s="2" t="n">
        <v>0</v>
      </c>
      <c r="EU181" s="2" t="n">
        <v>0</v>
      </c>
      <c r="EV181" s="2" t="n">
        <v>0</v>
      </c>
      <c r="EW181" s="2" t="n">
        <v>0</v>
      </c>
      <c r="EX181" s="2" t="n">
        <v>0</v>
      </c>
      <c r="EY181" s="2" t="n">
        <v>0</v>
      </c>
      <c r="EZ181" s="2" t="n">
        <v>0</v>
      </c>
      <c r="FA181" s="2" t="n">
        <v>0</v>
      </c>
      <c r="FB181" s="2" t="n">
        <v>0</v>
      </c>
      <c r="FC181" s="2" t="n">
        <v>0</v>
      </c>
      <c r="FD181" s="2" t="n">
        <v>0</v>
      </c>
      <c r="FE181" s="2" t="n">
        <v>0</v>
      </c>
      <c r="FF181" s="2" t="n">
        <v>0</v>
      </c>
      <c r="FG181" s="2" t="n">
        <v>0</v>
      </c>
      <c r="FH181" s="2" t="n">
        <v>0</v>
      </c>
      <c r="FI181" s="2" t="n">
        <v>0</v>
      </c>
      <c r="FJ181" s="2" t="n">
        <v>0</v>
      </c>
      <c r="FK181" s="2" t="n">
        <v>0</v>
      </c>
      <c r="FL181" s="2" t="n">
        <v>0</v>
      </c>
      <c r="FM181" s="2" t="n">
        <v>0</v>
      </c>
      <c r="FN181" s="2" t="n">
        <v>0</v>
      </c>
      <c r="FO181" s="2" t="n">
        <v>0</v>
      </c>
      <c r="FP181" s="2" t="n">
        <v>0</v>
      </c>
      <c r="FQ181" s="2" t="n">
        <v>0</v>
      </c>
    </row>
    <row r="182">
      <c r="A182" s="2" t="n">
        <v>4</v>
      </c>
      <c r="B182" s="2" t="inlineStr">
        <is>
          <t>11.03.03.02</t>
        </is>
      </c>
      <c r="C182" s="2" t="inlineStr">
        <is>
          <t>Betoneira elétrica cap. 580L com carregador</t>
        </is>
      </c>
      <c r="D182" s="2" t="inlineStr">
        <is>
          <t>-</t>
        </is>
      </c>
      <c r="E182" s="2" t="inlineStr">
        <is>
          <t>-</t>
        </is>
      </c>
      <c r="F182" s="2" t="n">
        <v>23400</v>
      </c>
      <c r="G182" s="2" t="n">
        <v>0</v>
      </c>
      <c r="H182" s="2" t="n">
        <v>23400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  <c r="ET182" s="2" t="n">
        <v>0</v>
      </c>
      <c r="EU182" s="2" t="n">
        <v>0</v>
      </c>
      <c r="EV182" s="2" t="n">
        <v>0</v>
      </c>
      <c r="EW182" s="2" t="n">
        <v>0</v>
      </c>
      <c r="EX182" s="2" t="n">
        <v>0</v>
      </c>
      <c r="EY182" s="2" t="n">
        <v>0</v>
      </c>
      <c r="EZ182" s="2" t="n">
        <v>0</v>
      </c>
      <c r="FA182" s="2" t="n">
        <v>0</v>
      </c>
      <c r="FB182" s="2" t="n">
        <v>0</v>
      </c>
      <c r="FC182" s="2" t="n">
        <v>0</v>
      </c>
      <c r="FD182" s="2" t="n">
        <v>0</v>
      </c>
      <c r="FE182" s="2" t="n">
        <v>0</v>
      </c>
      <c r="FF182" s="2" t="n">
        <v>0</v>
      </c>
      <c r="FG182" s="2" t="n">
        <v>0</v>
      </c>
      <c r="FH182" s="2" t="n">
        <v>0</v>
      </c>
      <c r="FI182" s="2" t="n">
        <v>0</v>
      </c>
      <c r="FJ182" s="2" t="n">
        <v>0</v>
      </c>
      <c r="FK182" s="2" t="n">
        <v>0</v>
      </c>
      <c r="FL182" s="2" t="n">
        <v>0</v>
      </c>
      <c r="FM182" s="2" t="n">
        <v>0</v>
      </c>
      <c r="FN182" s="2" t="n">
        <v>0</v>
      </c>
      <c r="FO182" s="2" t="n">
        <v>0</v>
      </c>
      <c r="FP182" s="2" t="n">
        <v>0</v>
      </c>
      <c r="FQ182" s="2" t="n">
        <v>0</v>
      </c>
    </row>
    <row r="183">
      <c r="A183" s="2" t="n">
        <v>4</v>
      </c>
      <c r="B183" s="2" t="inlineStr">
        <is>
          <t>11.03.03.03</t>
        </is>
      </c>
      <c r="C183" s="2" t="inlineStr">
        <is>
          <t>Lixadeira manual</t>
        </is>
      </c>
      <c r="D183" s="2" t="inlineStr">
        <is>
          <t>-</t>
        </is>
      </c>
      <c r="E183" s="2" t="inlineStr">
        <is>
          <t>-</t>
        </is>
      </c>
      <c r="F183" s="2" t="n">
        <v>10464</v>
      </c>
      <c r="G183" s="2" t="n">
        <v>0</v>
      </c>
      <c r="H183" s="2" t="n">
        <v>10464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  <c r="ET183" s="2" t="n">
        <v>0</v>
      </c>
      <c r="EU183" s="2" t="n">
        <v>0</v>
      </c>
      <c r="EV183" s="2" t="n">
        <v>0</v>
      </c>
      <c r="EW183" s="2" t="n">
        <v>0</v>
      </c>
      <c r="EX183" s="2" t="n">
        <v>0</v>
      </c>
      <c r="EY183" s="2" t="n">
        <v>0</v>
      </c>
      <c r="EZ183" s="2" t="n">
        <v>0</v>
      </c>
      <c r="FA183" s="2" t="n">
        <v>0</v>
      </c>
      <c r="FB183" s="2" t="n">
        <v>0</v>
      </c>
      <c r="FC183" s="2" t="n">
        <v>0</v>
      </c>
      <c r="FD183" s="2" t="n">
        <v>0</v>
      </c>
      <c r="FE183" s="2" t="n">
        <v>0</v>
      </c>
      <c r="FF183" s="2" t="n">
        <v>0</v>
      </c>
      <c r="FG183" s="2" t="n">
        <v>0</v>
      </c>
      <c r="FH183" s="2" t="n">
        <v>0</v>
      </c>
      <c r="FI183" s="2" t="n">
        <v>0</v>
      </c>
      <c r="FJ183" s="2" t="n">
        <v>0</v>
      </c>
      <c r="FK183" s="2" t="n">
        <v>0</v>
      </c>
      <c r="FL183" s="2" t="n">
        <v>0</v>
      </c>
      <c r="FM183" s="2" t="n">
        <v>0</v>
      </c>
      <c r="FN183" s="2" t="n">
        <v>0</v>
      </c>
      <c r="FO183" s="2" t="n">
        <v>0</v>
      </c>
      <c r="FP183" s="2" t="n">
        <v>0</v>
      </c>
      <c r="FQ183" s="2" t="n">
        <v>0</v>
      </c>
    </row>
    <row r="184">
      <c r="A184" s="2" t="n">
        <v>4</v>
      </c>
      <c r="B184" s="2" t="inlineStr">
        <is>
          <t>11.03.03.04</t>
        </is>
      </c>
      <c r="C184" s="2" t="inlineStr">
        <is>
          <t>Furadeira  de impacto 550W/110v com mandril Ø1/2" Makita, Bosh ou similar</t>
        </is>
      </c>
      <c r="D184" s="2" t="inlineStr">
        <is>
          <t>-</t>
        </is>
      </c>
      <c r="E184" s="2" t="inlineStr">
        <is>
          <t>-</t>
        </is>
      </c>
      <c r="F184" s="2" t="n">
        <v>20928</v>
      </c>
      <c r="G184" s="2" t="n">
        <v>0</v>
      </c>
      <c r="H184" s="2" t="n">
        <v>20928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  <c r="ET184" s="2" t="n">
        <v>0</v>
      </c>
      <c r="EU184" s="2" t="n">
        <v>0</v>
      </c>
      <c r="EV184" s="2" t="n">
        <v>0</v>
      </c>
      <c r="EW184" s="2" t="n">
        <v>0</v>
      </c>
      <c r="EX184" s="2" t="n">
        <v>0</v>
      </c>
      <c r="EY184" s="2" t="n">
        <v>0</v>
      </c>
      <c r="EZ184" s="2" t="n">
        <v>0</v>
      </c>
      <c r="FA184" s="2" t="n">
        <v>0</v>
      </c>
      <c r="FB184" s="2" t="n">
        <v>0</v>
      </c>
      <c r="FC184" s="2" t="n">
        <v>0</v>
      </c>
      <c r="FD184" s="2" t="n">
        <v>0</v>
      </c>
      <c r="FE184" s="2" t="n">
        <v>0</v>
      </c>
      <c r="FF184" s="2" t="n">
        <v>0</v>
      </c>
      <c r="FG184" s="2" t="n">
        <v>0</v>
      </c>
      <c r="FH184" s="2" t="n">
        <v>0</v>
      </c>
      <c r="FI184" s="2" t="n">
        <v>0</v>
      </c>
      <c r="FJ184" s="2" t="n">
        <v>0</v>
      </c>
      <c r="FK184" s="2" t="n">
        <v>0</v>
      </c>
      <c r="FL184" s="2" t="n">
        <v>0</v>
      </c>
      <c r="FM184" s="2" t="n">
        <v>0</v>
      </c>
      <c r="FN184" s="2" t="n">
        <v>0</v>
      </c>
      <c r="FO184" s="2" t="n">
        <v>0</v>
      </c>
      <c r="FP184" s="2" t="n">
        <v>0</v>
      </c>
      <c r="FQ184" s="2" t="n">
        <v>0</v>
      </c>
    </row>
    <row r="185">
      <c r="A185" s="2" t="n">
        <v>4</v>
      </c>
      <c r="B185" s="2" t="inlineStr">
        <is>
          <t>11.03.03.05</t>
        </is>
      </c>
      <c r="C185" s="2" t="inlineStr">
        <is>
          <t>Serra mármore 1400w/220v Makita, Bosh ou similar</t>
        </is>
      </c>
      <c r="D185" s="2" t="inlineStr">
        <is>
          <t>-</t>
        </is>
      </c>
      <c r="E185" s="2" t="inlineStr">
        <is>
          <t>-</t>
        </is>
      </c>
      <c r="F185" s="2" t="n">
        <v>8829</v>
      </c>
      <c r="G185" s="2" t="n">
        <v>0</v>
      </c>
      <c r="H185" s="2" t="n">
        <v>8829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  <c r="ET185" s="2" t="n">
        <v>0</v>
      </c>
      <c r="EU185" s="2" t="n">
        <v>0</v>
      </c>
      <c r="EV185" s="2" t="n">
        <v>0</v>
      </c>
      <c r="EW185" s="2" t="n">
        <v>0</v>
      </c>
      <c r="EX185" s="2" t="n">
        <v>0</v>
      </c>
      <c r="EY185" s="2" t="n">
        <v>0</v>
      </c>
      <c r="EZ185" s="2" t="n">
        <v>0</v>
      </c>
      <c r="FA185" s="2" t="n">
        <v>0</v>
      </c>
      <c r="FB185" s="2" t="n">
        <v>0</v>
      </c>
      <c r="FC185" s="2" t="n">
        <v>0</v>
      </c>
      <c r="FD185" s="2" t="n">
        <v>0</v>
      </c>
      <c r="FE185" s="2" t="n">
        <v>0</v>
      </c>
      <c r="FF185" s="2" t="n">
        <v>0</v>
      </c>
      <c r="FG185" s="2" t="n">
        <v>0</v>
      </c>
      <c r="FH185" s="2" t="n">
        <v>0</v>
      </c>
      <c r="FI185" s="2" t="n">
        <v>0</v>
      </c>
      <c r="FJ185" s="2" t="n">
        <v>0</v>
      </c>
      <c r="FK185" s="2" t="n">
        <v>0</v>
      </c>
      <c r="FL185" s="2" t="n">
        <v>0</v>
      </c>
      <c r="FM185" s="2" t="n">
        <v>0</v>
      </c>
      <c r="FN185" s="2" t="n">
        <v>0</v>
      </c>
      <c r="FO185" s="2" t="n">
        <v>0</v>
      </c>
      <c r="FP185" s="2" t="n">
        <v>0</v>
      </c>
      <c r="FQ185" s="2" t="n">
        <v>0</v>
      </c>
    </row>
    <row r="186">
      <c r="A186" s="2" t="n">
        <v>4</v>
      </c>
      <c r="B186" s="2" t="inlineStr">
        <is>
          <t>11.03.03.06</t>
        </is>
      </c>
      <c r="C186" s="2" t="inlineStr">
        <is>
          <t>Pistola de pinos Walsiwa ou similar</t>
        </is>
      </c>
      <c r="D186" s="2" t="inlineStr">
        <is>
          <t>-</t>
        </is>
      </c>
      <c r="E186" s="2" t="inlineStr">
        <is>
          <t>-</t>
        </is>
      </c>
      <c r="F186" s="2" t="n">
        <v>4142</v>
      </c>
      <c r="G186" s="2" t="n">
        <v>0</v>
      </c>
      <c r="H186" s="2" t="n">
        <v>4142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  <c r="ET186" s="2" t="n">
        <v>0</v>
      </c>
      <c r="EU186" s="2" t="n">
        <v>0</v>
      </c>
      <c r="EV186" s="2" t="n">
        <v>0</v>
      </c>
      <c r="EW186" s="2" t="n">
        <v>0</v>
      </c>
      <c r="EX186" s="2" t="n">
        <v>0</v>
      </c>
      <c r="EY186" s="2" t="n">
        <v>0</v>
      </c>
      <c r="EZ186" s="2" t="n">
        <v>0</v>
      </c>
      <c r="FA186" s="2" t="n">
        <v>0</v>
      </c>
      <c r="FB186" s="2" t="n">
        <v>0</v>
      </c>
      <c r="FC186" s="2" t="n">
        <v>0</v>
      </c>
      <c r="FD186" s="2" t="n">
        <v>0</v>
      </c>
      <c r="FE186" s="2" t="n">
        <v>0</v>
      </c>
      <c r="FF186" s="2" t="n">
        <v>0</v>
      </c>
      <c r="FG186" s="2" t="n">
        <v>0</v>
      </c>
      <c r="FH186" s="2" t="n">
        <v>0</v>
      </c>
      <c r="FI186" s="2" t="n">
        <v>0</v>
      </c>
      <c r="FJ186" s="2" t="n">
        <v>0</v>
      </c>
      <c r="FK186" s="2" t="n">
        <v>0</v>
      </c>
      <c r="FL186" s="2" t="n">
        <v>0</v>
      </c>
      <c r="FM186" s="2" t="n">
        <v>0</v>
      </c>
      <c r="FN186" s="2" t="n">
        <v>0</v>
      </c>
      <c r="FO186" s="2" t="n">
        <v>0</v>
      </c>
      <c r="FP186" s="2" t="n">
        <v>0</v>
      </c>
      <c r="FQ186" s="2" t="n">
        <v>0</v>
      </c>
    </row>
    <row r="187">
      <c r="A187" s="2" t="n">
        <v>3</v>
      </c>
      <c r="B187" s="2" t="inlineStr">
        <is>
          <t>11.03.04</t>
        </is>
      </c>
      <c r="C187" s="2" t="inlineStr">
        <is>
          <t>Bandeja primária largura 330cm</t>
        </is>
      </c>
      <c r="D187" s="2" t="inlineStr">
        <is>
          <t>-</t>
        </is>
      </c>
      <c r="E187" s="2" t="inlineStr">
        <is>
          <t>-</t>
        </is>
      </c>
      <c r="F187" s="2" t="n">
        <v>565724.9018</v>
      </c>
      <c r="G187" s="2" t="n">
        <v>0</v>
      </c>
      <c r="H187" s="2" t="n">
        <v>565724.9018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  <c r="ET187" s="2" t="n">
        <v>0</v>
      </c>
      <c r="EU187" s="2" t="n">
        <v>0</v>
      </c>
      <c r="EV187" s="2" t="n">
        <v>0</v>
      </c>
      <c r="EW187" s="2" t="n">
        <v>0</v>
      </c>
      <c r="EX187" s="2" t="n">
        <v>0</v>
      </c>
      <c r="EY187" s="2" t="n">
        <v>0</v>
      </c>
      <c r="EZ187" s="2" t="n">
        <v>0</v>
      </c>
      <c r="FA187" s="2" t="n">
        <v>0</v>
      </c>
      <c r="FB187" s="2" t="n">
        <v>0</v>
      </c>
      <c r="FC187" s="2" t="n">
        <v>0</v>
      </c>
      <c r="FD187" s="2" t="n">
        <v>0</v>
      </c>
      <c r="FE187" s="2" t="n">
        <v>0</v>
      </c>
      <c r="FF187" s="2" t="n">
        <v>0</v>
      </c>
      <c r="FG187" s="2" t="n">
        <v>0</v>
      </c>
      <c r="FH187" s="2" t="n">
        <v>0</v>
      </c>
      <c r="FI187" s="2" t="n">
        <v>0</v>
      </c>
      <c r="FJ187" s="2" t="n">
        <v>0</v>
      </c>
      <c r="FK187" s="2" t="n">
        <v>0</v>
      </c>
      <c r="FL187" s="2" t="n">
        <v>0</v>
      </c>
      <c r="FM187" s="2" t="n">
        <v>0</v>
      </c>
      <c r="FN187" s="2" t="n">
        <v>0</v>
      </c>
      <c r="FO187" s="2" t="n">
        <v>0</v>
      </c>
      <c r="FP187" s="2" t="n">
        <v>0</v>
      </c>
      <c r="FQ187" s="2" t="n">
        <v>0</v>
      </c>
    </row>
    <row r="188">
      <c r="A188" s="2" t="n">
        <v>4</v>
      </c>
      <c r="B188" s="2" t="inlineStr">
        <is>
          <t>11.03.04.01</t>
        </is>
      </c>
      <c r="C188" s="2" t="inlineStr">
        <is>
          <t>Locação mensal de mão francesa primária</t>
        </is>
      </c>
      <c r="D188" s="2" t="inlineStr">
        <is>
          <t>-</t>
        </is>
      </c>
      <c r="E188" s="2" t="inlineStr">
        <is>
          <t>-</t>
        </is>
      </c>
      <c r="F188" s="2" t="n">
        <v>250550</v>
      </c>
      <c r="G188" s="2" t="n">
        <v>0</v>
      </c>
      <c r="H188" s="2" t="n">
        <v>250550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  <c r="ET188" s="2" t="n">
        <v>0</v>
      </c>
      <c r="EU188" s="2" t="n">
        <v>0</v>
      </c>
      <c r="EV188" s="2" t="n">
        <v>0</v>
      </c>
      <c r="EW188" s="2" t="n">
        <v>0</v>
      </c>
      <c r="EX188" s="2" t="n">
        <v>0</v>
      </c>
      <c r="EY188" s="2" t="n">
        <v>0</v>
      </c>
      <c r="EZ188" s="2" t="n">
        <v>0</v>
      </c>
      <c r="FA188" s="2" t="n">
        <v>0</v>
      </c>
      <c r="FB188" s="2" t="n">
        <v>0</v>
      </c>
      <c r="FC188" s="2" t="n">
        <v>0</v>
      </c>
      <c r="FD188" s="2" t="n">
        <v>0</v>
      </c>
      <c r="FE188" s="2" t="n">
        <v>0</v>
      </c>
      <c r="FF188" s="2" t="n">
        <v>0</v>
      </c>
      <c r="FG188" s="2" t="n">
        <v>0</v>
      </c>
      <c r="FH188" s="2" t="n">
        <v>0</v>
      </c>
      <c r="FI188" s="2" t="n">
        <v>0</v>
      </c>
      <c r="FJ188" s="2" t="n">
        <v>0</v>
      </c>
      <c r="FK188" s="2" t="n">
        <v>0</v>
      </c>
      <c r="FL188" s="2" t="n">
        <v>0</v>
      </c>
      <c r="FM188" s="2" t="n">
        <v>0</v>
      </c>
      <c r="FN188" s="2" t="n">
        <v>0</v>
      </c>
      <c r="FO188" s="2" t="n">
        <v>0</v>
      </c>
      <c r="FP188" s="2" t="n">
        <v>0</v>
      </c>
      <c r="FQ188" s="2" t="n">
        <v>0</v>
      </c>
    </row>
    <row r="189">
      <c r="A189" s="2" t="n">
        <v>4</v>
      </c>
      <c r="B189" s="2" t="inlineStr">
        <is>
          <t>11.03.04.02</t>
        </is>
      </c>
      <c r="C189" s="2" t="inlineStr">
        <is>
          <t>Mão-de-obra de montagem</t>
        </is>
      </c>
      <c r="D189" s="2" t="inlineStr">
        <is>
          <t>-</t>
        </is>
      </c>
      <c r="E189" s="2" t="inlineStr">
        <is>
          <t>-</t>
        </is>
      </c>
      <c r="F189" s="2" t="n">
        <v>114681.6</v>
      </c>
      <c r="G189" s="2" t="n">
        <v>0</v>
      </c>
      <c r="H189" s="2" t="n">
        <v>114681.6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  <c r="ET189" s="2" t="n">
        <v>0</v>
      </c>
      <c r="EU189" s="2" t="n">
        <v>0</v>
      </c>
      <c r="EV189" s="2" t="n">
        <v>0</v>
      </c>
      <c r="EW189" s="2" t="n">
        <v>0</v>
      </c>
      <c r="EX189" s="2" t="n">
        <v>0</v>
      </c>
      <c r="EY189" s="2" t="n">
        <v>0</v>
      </c>
      <c r="EZ189" s="2" t="n">
        <v>0</v>
      </c>
      <c r="FA189" s="2" t="n">
        <v>0</v>
      </c>
      <c r="FB189" s="2" t="n">
        <v>0</v>
      </c>
      <c r="FC189" s="2" t="n">
        <v>0</v>
      </c>
      <c r="FD189" s="2" t="n">
        <v>0</v>
      </c>
      <c r="FE189" s="2" t="n">
        <v>0</v>
      </c>
      <c r="FF189" s="2" t="n">
        <v>0</v>
      </c>
      <c r="FG189" s="2" t="n">
        <v>0</v>
      </c>
      <c r="FH189" s="2" t="n">
        <v>0</v>
      </c>
      <c r="FI189" s="2" t="n">
        <v>0</v>
      </c>
      <c r="FJ189" s="2" t="n">
        <v>0</v>
      </c>
      <c r="FK189" s="2" t="n">
        <v>0</v>
      </c>
      <c r="FL189" s="2" t="n">
        <v>0</v>
      </c>
      <c r="FM189" s="2" t="n">
        <v>0</v>
      </c>
      <c r="FN189" s="2" t="n">
        <v>0</v>
      </c>
      <c r="FO189" s="2" t="n">
        <v>0</v>
      </c>
      <c r="FP189" s="2" t="n">
        <v>0</v>
      </c>
      <c r="FQ189" s="2" t="n">
        <v>0</v>
      </c>
    </row>
    <row r="190">
      <c r="A190" s="2" t="n">
        <v>4</v>
      </c>
      <c r="B190" s="2" t="inlineStr">
        <is>
          <t>11.03.04.03</t>
        </is>
      </c>
      <c r="C190" s="2" t="inlineStr">
        <is>
          <t>Mão-de-obra de desmontagem</t>
        </is>
      </c>
      <c r="D190" s="2" t="inlineStr">
        <is>
          <t>-</t>
        </is>
      </c>
      <c r="E190" s="2" t="inlineStr">
        <is>
          <t>-</t>
        </is>
      </c>
      <c r="F190" s="2" t="n">
        <v>57340.8</v>
      </c>
      <c r="G190" s="2" t="n">
        <v>0</v>
      </c>
      <c r="H190" s="2" t="n">
        <v>57340.8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  <c r="ET190" s="2" t="n">
        <v>0</v>
      </c>
      <c r="EU190" s="2" t="n">
        <v>0</v>
      </c>
      <c r="EV190" s="2" t="n">
        <v>0</v>
      </c>
      <c r="EW190" s="2" t="n">
        <v>0</v>
      </c>
      <c r="EX190" s="2" t="n">
        <v>0</v>
      </c>
      <c r="EY190" s="2" t="n">
        <v>0</v>
      </c>
      <c r="EZ190" s="2" t="n">
        <v>0</v>
      </c>
      <c r="FA190" s="2" t="n">
        <v>0</v>
      </c>
      <c r="FB190" s="2" t="n">
        <v>0</v>
      </c>
      <c r="FC190" s="2" t="n">
        <v>0</v>
      </c>
      <c r="FD190" s="2" t="n">
        <v>0</v>
      </c>
      <c r="FE190" s="2" t="n">
        <v>0</v>
      </c>
      <c r="FF190" s="2" t="n">
        <v>0</v>
      </c>
      <c r="FG190" s="2" t="n">
        <v>0</v>
      </c>
      <c r="FH190" s="2" t="n">
        <v>0</v>
      </c>
      <c r="FI190" s="2" t="n">
        <v>0</v>
      </c>
      <c r="FJ190" s="2" t="n">
        <v>0</v>
      </c>
      <c r="FK190" s="2" t="n">
        <v>0</v>
      </c>
      <c r="FL190" s="2" t="n">
        <v>0</v>
      </c>
      <c r="FM190" s="2" t="n">
        <v>0</v>
      </c>
      <c r="FN190" s="2" t="n">
        <v>0</v>
      </c>
      <c r="FO190" s="2" t="n">
        <v>0</v>
      </c>
      <c r="FP190" s="2" t="n">
        <v>0</v>
      </c>
      <c r="FQ190" s="2" t="n">
        <v>0</v>
      </c>
    </row>
    <row r="191">
      <c r="A191" s="2" t="n">
        <v>4</v>
      </c>
      <c r="B191" s="2" t="inlineStr">
        <is>
          <t>11.03.04.04</t>
        </is>
      </c>
      <c r="C191" s="2" t="inlineStr">
        <is>
          <t>Madeiramento</t>
        </is>
      </c>
      <c r="D191" s="2" t="inlineStr">
        <is>
          <t>-</t>
        </is>
      </c>
      <c r="E191" s="2" t="inlineStr">
        <is>
          <t>-</t>
        </is>
      </c>
      <c r="F191" s="2" t="n">
        <v>96897.58979999999</v>
      </c>
      <c r="G191" s="2" t="n">
        <v>0</v>
      </c>
      <c r="H191" s="2" t="n">
        <v>96897.58979999999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  <c r="ET191" s="2" t="n">
        <v>0</v>
      </c>
      <c r="EU191" s="2" t="n">
        <v>0</v>
      </c>
      <c r="EV191" s="2" t="n">
        <v>0</v>
      </c>
      <c r="EW191" s="2" t="n">
        <v>0</v>
      </c>
      <c r="EX191" s="2" t="n">
        <v>0</v>
      </c>
      <c r="EY191" s="2" t="n">
        <v>0</v>
      </c>
      <c r="EZ191" s="2" t="n">
        <v>0</v>
      </c>
      <c r="FA191" s="2" t="n">
        <v>0</v>
      </c>
      <c r="FB191" s="2" t="n">
        <v>0</v>
      </c>
      <c r="FC191" s="2" t="n">
        <v>0</v>
      </c>
      <c r="FD191" s="2" t="n">
        <v>0</v>
      </c>
      <c r="FE191" s="2" t="n">
        <v>0</v>
      </c>
      <c r="FF191" s="2" t="n">
        <v>0</v>
      </c>
      <c r="FG191" s="2" t="n">
        <v>0</v>
      </c>
      <c r="FH191" s="2" t="n">
        <v>0</v>
      </c>
      <c r="FI191" s="2" t="n">
        <v>0</v>
      </c>
      <c r="FJ191" s="2" t="n">
        <v>0</v>
      </c>
      <c r="FK191" s="2" t="n">
        <v>0</v>
      </c>
      <c r="FL191" s="2" t="n">
        <v>0</v>
      </c>
      <c r="FM191" s="2" t="n">
        <v>0</v>
      </c>
      <c r="FN191" s="2" t="n">
        <v>0</v>
      </c>
      <c r="FO191" s="2" t="n">
        <v>0</v>
      </c>
      <c r="FP191" s="2" t="n">
        <v>0</v>
      </c>
      <c r="FQ191" s="2" t="n">
        <v>0</v>
      </c>
    </row>
    <row r="192">
      <c r="A192" s="2" t="n">
        <v>4</v>
      </c>
      <c r="B192" s="2" t="inlineStr">
        <is>
          <t>11.03.04.05</t>
        </is>
      </c>
      <c r="C192" s="2" t="inlineStr">
        <is>
          <t>Tela alambrado para bandeja malha 75x75 fio 2,10mm</t>
        </is>
      </c>
      <c r="D192" s="2" t="inlineStr">
        <is>
          <t>-</t>
        </is>
      </c>
      <c r="E192" s="2" t="inlineStr">
        <is>
          <t>-</t>
        </is>
      </c>
      <c r="F192" s="2" t="n">
        <v>46254.912</v>
      </c>
      <c r="G192" s="2" t="n">
        <v>0</v>
      </c>
      <c r="H192" s="2" t="n">
        <v>46254.912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  <c r="ET192" s="2" t="n">
        <v>0</v>
      </c>
      <c r="EU192" s="2" t="n">
        <v>0</v>
      </c>
      <c r="EV192" s="2" t="n">
        <v>0</v>
      </c>
      <c r="EW192" s="2" t="n">
        <v>0</v>
      </c>
      <c r="EX192" s="2" t="n">
        <v>0</v>
      </c>
      <c r="EY192" s="2" t="n">
        <v>0</v>
      </c>
      <c r="EZ192" s="2" t="n">
        <v>0</v>
      </c>
      <c r="FA192" s="2" t="n">
        <v>0</v>
      </c>
      <c r="FB192" s="2" t="n">
        <v>0</v>
      </c>
      <c r="FC192" s="2" t="n">
        <v>0</v>
      </c>
      <c r="FD192" s="2" t="n">
        <v>0</v>
      </c>
      <c r="FE192" s="2" t="n">
        <v>0</v>
      </c>
      <c r="FF192" s="2" t="n">
        <v>0</v>
      </c>
      <c r="FG192" s="2" t="n">
        <v>0</v>
      </c>
      <c r="FH192" s="2" t="n">
        <v>0</v>
      </c>
      <c r="FI192" s="2" t="n">
        <v>0</v>
      </c>
      <c r="FJ192" s="2" t="n">
        <v>0</v>
      </c>
      <c r="FK192" s="2" t="n">
        <v>0</v>
      </c>
      <c r="FL192" s="2" t="n">
        <v>0</v>
      </c>
      <c r="FM192" s="2" t="n">
        <v>0</v>
      </c>
      <c r="FN192" s="2" t="n">
        <v>0</v>
      </c>
      <c r="FO192" s="2" t="n">
        <v>0</v>
      </c>
      <c r="FP192" s="2" t="n">
        <v>0</v>
      </c>
      <c r="FQ192" s="2" t="n">
        <v>0</v>
      </c>
    </row>
    <row r="193">
      <c r="A193" s="2" t="n">
        <v>3</v>
      </c>
      <c r="B193" s="2" t="inlineStr">
        <is>
          <t>11.03.05</t>
        </is>
      </c>
      <c r="C193" s="2" t="inlineStr">
        <is>
          <t>Bandeja secundária largura 330cm - PERÍMETRO L FRONTAL (PANOS C e D do estudo de balancinho da fachada)</t>
        </is>
      </c>
      <c r="D193" s="2" t="inlineStr">
        <is>
          <t>-</t>
        </is>
      </c>
      <c r="E193" s="2" t="inlineStr">
        <is>
          <t>-</t>
        </is>
      </c>
      <c r="F193" s="2" t="n">
        <v>44864.52495000001</v>
      </c>
      <c r="G193" s="2" t="n">
        <v>0</v>
      </c>
      <c r="H193" s="2" t="n">
        <v>44864.52495000001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  <c r="ET193" s="2" t="n">
        <v>0</v>
      </c>
      <c r="EU193" s="2" t="n">
        <v>0</v>
      </c>
      <c r="EV193" s="2" t="n">
        <v>0</v>
      </c>
      <c r="EW193" s="2" t="n">
        <v>0</v>
      </c>
      <c r="EX193" s="2" t="n">
        <v>0</v>
      </c>
      <c r="EY193" s="2" t="n">
        <v>0</v>
      </c>
      <c r="EZ193" s="2" t="n">
        <v>0</v>
      </c>
      <c r="FA193" s="2" t="n">
        <v>0</v>
      </c>
      <c r="FB193" s="2" t="n">
        <v>0</v>
      </c>
      <c r="FC193" s="2" t="n">
        <v>0</v>
      </c>
      <c r="FD193" s="2" t="n">
        <v>0</v>
      </c>
      <c r="FE193" s="2" t="n">
        <v>0</v>
      </c>
      <c r="FF193" s="2" t="n">
        <v>0</v>
      </c>
      <c r="FG193" s="2" t="n">
        <v>0</v>
      </c>
      <c r="FH193" s="2" t="n">
        <v>0</v>
      </c>
      <c r="FI193" s="2" t="n">
        <v>0</v>
      </c>
      <c r="FJ193" s="2" t="n">
        <v>0</v>
      </c>
      <c r="FK193" s="2" t="n">
        <v>0</v>
      </c>
      <c r="FL193" s="2" t="n">
        <v>0</v>
      </c>
      <c r="FM193" s="2" t="n">
        <v>0</v>
      </c>
      <c r="FN193" s="2" t="n">
        <v>0</v>
      </c>
      <c r="FO193" s="2" t="n">
        <v>0</v>
      </c>
      <c r="FP193" s="2" t="n">
        <v>0</v>
      </c>
      <c r="FQ193" s="2" t="n">
        <v>0</v>
      </c>
    </row>
    <row r="194">
      <c r="A194" s="2" t="n">
        <v>4</v>
      </c>
      <c r="B194" s="2" t="inlineStr">
        <is>
          <t>11.03.05.01</t>
        </is>
      </c>
      <c r="C194" s="2" t="inlineStr">
        <is>
          <t>Locação mensal de mão francesa secundária</t>
        </is>
      </c>
      <c r="D194" s="2" t="inlineStr">
        <is>
          <t>-</t>
        </is>
      </c>
      <c r="E194" s="2" t="inlineStr">
        <is>
          <t>-</t>
        </is>
      </c>
      <c r="F194" s="2" t="n">
        <v>5250</v>
      </c>
      <c r="G194" s="2" t="n">
        <v>0</v>
      </c>
      <c r="H194" s="2" t="n">
        <v>5250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  <c r="ET194" s="2" t="n">
        <v>0</v>
      </c>
      <c r="EU194" s="2" t="n">
        <v>0</v>
      </c>
      <c r="EV194" s="2" t="n">
        <v>0</v>
      </c>
      <c r="EW194" s="2" t="n">
        <v>0</v>
      </c>
      <c r="EX194" s="2" t="n">
        <v>0</v>
      </c>
      <c r="EY194" s="2" t="n">
        <v>0</v>
      </c>
      <c r="EZ194" s="2" t="n">
        <v>0</v>
      </c>
      <c r="FA194" s="2" t="n">
        <v>0</v>
      </c>
      <c r="FB194" s="2" t="n">
        <v>0</v>
      </c>
      <c r="FC194" s="2" t="n">
        <v>0</v>
      </c>
      <c r="FD194" s="2" t="n">
        <v>0</v>
      </c>
      <c r="FE194" s="2" t="n">
        <v>0</v>
      </c>
      <c r="FF194" s="2" t="n">
        <v>0</v>
      </c>
      <c r="FG194" s="2" t="n">
        <v>0</v>
      </c>
      <c r="FH194" s="2" t="n">
        <v>0</v>
      </c>
      <c r="FI194" s="2" t="n">
        <v>0</v>
      </c>
      <c r="FJ194" s="2" t="n">
        <v>0</v>
      </c>
      <c r="FK194" s="2" t="n">
        <v>0</v>
      </c>
      <c r="FL194" s="2" t="n">
        <v>0</v>
      </c>
      <c r="FM194" s="2" t="n">
        <v>0</v>
      </c>
      <c r="FN194" s="2" t="n">
        <v>0</v>
      </c>
      <c r="FO194" s="2" t="n">
        <v>0</v>
      </c>
      <c r="FP194" s="2" t="n">
        <v>0</v>
      </c>
      <c r="FQ194" s="2" t="n">
        <v>0</v>
      </c>
    </row>
    <row r="195">
      <c r="A195" s="2" t="n">
        <v>4</v>
      </c>
      <c r="B195" s="2" t="inlineStr">
        <is>
          <t>11.03.05.02</t>
        </is>
      </c>
      <c r="C195" s="2" t="inlineStr">
        <is>
          <t>Mão-de-obra de montagem</t>
        </is>
      </c>
      <c r="D195" s="2" t="inlineStr">
        <is>
          <t>-</t>
        </is>
      </c>
      <c r="E195" s="2" t="inlineStr">
        <is>
          <t>-</t>
        </is>
      </c>
      <c r="F195" s="2" t="n">
        <v>14414.4</v>
      </c>
      <c r="G195" s="2" t="n">
        <v>0</v>
      </c>
      <c r="H195" s="2" t="n">
        <v>14414.4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  <c r="ET195" s="2" t="n">
        <v>0</v>
      </c>
      <c r="EU195" s="2" t="n">
        <v>0</v>
      </c>
      <c r="EV195" s="2" t="n">
        <v>0</v>
      </c>
      <c r="EW195" s="2" t="n">
        <v>0</v>
      </c>
      <c r="EX195" s="2" t="n">
        <v>0</v>
      </c>
      <c r="EY195" s="2" t="n">
        <v>0</v>
      </c>
      <c r="EZ195" s="2" t="n">
        <v>0</v>
      </c>
      <c r="FA195" s="2" t="n">
        <v>0</v>
      </c>
      <c r="FB195" s="2" t="n">
        <v>0</v>
      </c>
      <c r="FC195" s="2" t="n">
        <v>0</v>
      </c>
      <c r="FD195" s="2" t="n">
        <v>0</v>
      </c>
      <c r="FE195" s="2" t="n">
        <v>0</v>
      </c>
      <c r="FF195" s="2" t="n">
        <v>0</v>
      </c>
      <c r="FG195" s="2" t="n">
        <v>0</v>
      </c>
      <c r="FH195" s="2" t="n">
        <v>0</v>
      </c>
      <c r="FI195" s="2" t="n">
        <v>0</v>
      </c>
      <c r="FJ195" s="2" t="n">
        <v>0</v>
      </c>
      <c r="FK195" s="2" t="n">
        <v>0</v>
      </c>
      <c r="FL195" s="2" t="n">
        <v>0</v>
      </c>
      <c r="FM195" s="2" t="n">
        <v>0</v>
      </c>
      <c r="FN195" s="2" t="n">
        <v>0</v>
      </c>
      <c r="FO195" s="2" t="n">
        <v>0</v>
      </c>
      <c r="FP195" s="2" t="n">
        <v>0</v>
      </c>
      <c r="FQ195" s="2" t="n">
        <v>0</v>
      </c>
    </row>
    <row r="196">
      <c r="A196" s="2" t="n">
        <v>4</v>
      </c>
      <c r="B196" s="2" t="inlineStr">
        <is>
          <t>11.03.05.03</t>
        </is>
      </c>
      <c r="C196" s="2" t="inlineStr">
        <is>
          <t>Mão-de-obra de desmontagem</t>
        </is>
      </c>
      <c r="D196" s="2" t="inlineStr">
        <is>
          <t>-</t>
        </is>
      </c>
      <c r="E196" s="2" t="inlineStr">
        <is>
          <t>-</t>
        </is>
      </c>
      <c r="F196" s="2" t="n">
        <v>7207.200000000001</v>
      </c>
      <c r="G196" s="2" t="n">
        <v>0</v>
      </c>
      <c r="H196" s="2" t="n">
        <v>7207.200000000001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  <c r="ET196" s="2" t="n">
        <v>0</v>
      </c>
      <c r="EU196" s="2" t="n">
        <v>0</v>
      </c>
      <c r="EV196" s="2" t="n">
        <v>0</v>
      </c>
      <c r="EW196" s="2" t="n">
        <v>0</v>
      </c>
      <c r="EX196" s="2" t="n">
        <v>0</v>
      </c>
      <c r="EY196" s="2" t="n">
        <v>0</v>
      </c>
      <c r="EZ196" s="2" t="n">
        <v>0</v>
      </c>
      <c r="FA196" s="2" t="n">
        <v>0</v>
      </c>
      <c r="FB196" s="2" t="n">
        <v>0</v>
      </c>
      <c r="FC196" s="2" t="n">
        <v>0</v>
      </c>
      <c r="FD196" s="2" t="n">
        <v>0</v>
      </c>
      <c r="FE196" s="2" t="n">
        <v>0</v>
      </c>
      <c r="FF196" s="2" t="n">
        <v>0</v>
      </c>
      <c r="FG196" s="2" t="n">
        <v>0</v>
      </c>
      <c r="FH196" s="2" t="n">
        <v>0</v>
      </c>
      <c r="FI196" s="2" t="n">
        <v>0</v>
      </c>
      <c r="FJ196" s="2" t="n">
        <v>0</v>
      </c>
      <c r="FK196" s="2" t="n">
        <v>0</v>
      </c>
      <c r="FL196" s="2" t="n">
        <v>0</v>
      </c>
      <c r="FM196" s="2" t="n">
        <v>0</v>
      </c>
      <c r="FN196" s="2" t="n">
        <v>0</v>
      </c>
      <c r="FO196" s="2" t="n">
        <v>0</v>
      </c>
      <c r="FP196" s="2" t="n">
        <v>0</v>
      </c>
      <c r="FQ196" s="2" t="n">
        <v>0</v>
      </c>
    </row>
    <row r="197">
      <c r="A197" s="2" t="n">
        <v>4</v>
      </c>
      <c r="B197" s="2" t="inlineStr">
        <is>
          <t>11.03.05.04</t>
        </is>
      </c>
      <c r="C197" s="2" t="inlineStr">
        <is>
          <t>Madeiramento</t>
        </is>
      </c>
      <c r="D197" s="2" t="inlineStr">
        <is>
          <t>-</t>
        </is>
      </c>
      <c r="E197" s="2" t="inlineStr">
        <is>
          <t>-</t>
        </is>
      </c>
      <c r="F197" s="2" t="n">
        <v>12179.11695</v>
      </c>
      <c r="G197" s="2" t="n">
        <v>0</v>
      </c>
      <c r="H197" s="2" t="n">
        <v>12179.11695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  <c r="ET197" s="2" t="n">
        <v>0</v>
      </c>
      <c r="EU197" s="2" t="n">
        <v>0</v>
      </c>
      <c r="EV197" s="2" t="n">
        <v>0</v>
      </c>
      <c r="EW197" s="2" t="n">
        <v>0</v>
      </c>
      <c r="EX197" s="2" t="n">
        <v>0</v>
      </c>
      <c r="EY197" s="2" t="n">
        <v>0</v>
      </c>
      <c r="EZ197" s="2" t="n">
        <v>0</v>
      </c>
      <c r="FA197" s="2" t="n">
        <v>0</v>
      </c>
      <c r="FB197" s="2" t="n">
        <v>0</v>
      </c>
      <c r="FC197" s="2" t="n">
        <v>0</v>
      </c>
      <c r="FD197" s="2" t="n">
        <v>0</v>
      </c>
      <c r="FE197" s="2" t="n">
        <v>0</v>
      </c>
      <c r="FF197" s="2" t="n">
        <v>0</v>
      </c>
      <c r="FG197" s="2" t="n">
        <v>0</v>
      </c>
      <c r="FH197" s="2" t="n">
        <v>0</v>
      </c>
      <c r="FI197" s="2" t="n">
        <v>0</v>
      </c>
      <c r="FJ197" s="2" t="n">
        <v>0</v>
      </c>
      <c r="FK197" s="2" t="n">
        <v>0</v>
      </c>
      <c r="FL197" s="2" t="n">
        <v>0</v>
      </c>
      <c r="FM197" s="2" t="n">
        <v>0</v>
      </c>
      <c r="FN197" s="2" t="n">
        <v>0</v>
      </c>
      <c r="FO197" s="2" t="n">
        <v>0</v>
      </c>
      <c r="FP197" s="2" t="n">
        <v>0</v>
      </c>
      <c r="FQ197" s="2" t="n">
        <v>0</v>
      </c>
    </row>
    <row r="198">
      <c r="A198" s="2" t="n">
        <v>4</v>
      </c>
      <c r="B198" s="2" t="inlineStr">
        <is>
          <t>11.03.05.05</t>
        </is>
      </c>
      <c r="C198" s="2" t="inlineStr">
        <is>
          <t>Tela alambrado para bandeja malha 75x75 fio 2,10mm</t>
        </is>
      </c>
      <c r="D198" s="2" t="inlineStr">
        <is>
          <t>-</t>
        </is>
      </c>
      <c r="E198" s="2" t="inlineStr">
        <is>
          <t>-</t>
        </is>
      </c>
      <c r="F198" s="2" t="n">
        <v>5813.808000000001</v>
      </c>
      <c r="G198" s="2" t="n">
        <v>0</v>
      </c>
      <c r="H198" s="2" t="n">
        <v>5813.808000000001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  <c r="ET198" s="2" t="n">
        <v>0</v>
      </c>
      <c r="EU198" s="2" t="n">
        <v>0</v>
      </c>
      <c r="EV198" s="2" t="n">
        <v>0</v>
      </c>
      <c r="EW198" s="2" t="n">
        <v>0</v>
      </c>
      <c r="EX198" s="2" t="n">
        <v>0</v>
      </c>
      <c r="EY198" s="2" t="n">
        <v>0</v>
      </c>
      <c r="EZ198" s="2" t="n">
        <v>0</v>
      </c>
      <c r="FA198" s="2" t="n">
        <v>0</v>
      </c>
      <c r="FB198" s="2" t="n">
        <v>0</v>
      </c>
      <c r="FC198" s="2" t="n">
        <v>0</v>
      </c>
      <c r="FD198" s="2" t="n">
        <v>0</v>
      </c>
      <c r="FE198" s="2" t="n">
        <v>0</v>
      </c>
      <c r="FF198" s="2" t="n">
        <v>0</v>
      </c>
      <c r="FG198" s="2" t="n">
        <v>0</v>
      </c>
      <c r="FH198" s="2" t="n">
        <v>0</v>
      </c>
      <c r="FI198" s="2" t="n">
        <v>0</v>
      </c>
      <c r="FJ198" s="2" t="n">
        <v>0</v>
      </c>
      <c r="FK198" s="2" t="n">
        <v>0</v>
      </c>
      <c r="FL198" s="2" t="n">
        <v>0</v>
      </c>
      <c r="FM198" s="2" t="n">
        <v>0</v>
      </c>
      <c r="FN198" s="2" t="n">
        <v>0</v>
      </c>
      <c r="FO198" s="2" t="n">
        <v>0</v>
      </c>
      <c r="FP198" s="2" t="n">
        <v>0</v>
      </c>
      <c r="FQ198" s="2" t="n">
        <v>0</v>
      </c>
    </row>
    <row r="199">
      <c r="A199" s="2" t="n">
        <v>3</v>
      </c>
      <c r="B199" s="2" t="inlineStr">
        <is>
          <t>11.03.06</t>
        </is>
      </c>
      <c r="C199" s="2" t="inlineStr">
        <is>
          <t>Andaime para serviços internos</t>
        </is>
      </c>
      <c r="D199" s="2" t="inlineStr">
        <is>
          <t>-</t>
        </is>
      </c>
      <c r="E199" s="2" t="inlineStr">
        <is>
          <t>-</t>
        </is>
      </c>
      <c r="F199" s="2" t="n">
        <v>136590.9926039999</v>
      </c>
      <c r="G199" s="2" t="n">
        <v>0</v>
      </c>
      <c r="H199" s="2" t="n">
        <v>136590.9926039999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  <c r="ET199" s="2" t="n">
        <v>0</v>
      </c>
      <c r="EU199" s="2" t="n">
        <v>0</v>
      </c>
      <c r="EV199" s="2" t="n">
        <v>0</v>
      </c>
      <c r="EW199" s="2" t="n">
        <v>0</v>
      </c>
      <c r="EX199" s="2" t="n">
        <v>0</v>
      </c>
      <c r="EY199" s="2" t="n">
        <v>0</v>
      </c>
      <c r="EZ199" s="2" t="n">
        <v>0</v>
      </c>
      <c r="FA199" s="2" t="n">
        <v>0</v>
      </c>
      <c r="FB199" s="2" t="n">
        <v>0</v>
      </c>
      <c r="FC199" s="2" t="n">
        <v>0</v>
      </c>
      <c r="FD199" s="2" t="n">
        <v>0</v>
      </c>
      <c r="FE199" s="2" t="n">
        <v>0</v>
      </c>
      <c r="FF199" s="2" t="n">
        <v>0</v>
      </c>
      <c r="FG199" s="2" t="n">
        <v>0</v>
      </c>
      <c r="FH199" s="2" t="n">
        <v>0</v>
      </c>
      <c r="FI199" s="2" t="n">
        <v>0</v>
      </c>
      <c r="FJ199" s="2" t="n">
        <v>0</v>
      </c>
      <c r="FK199" s="2" t="n">
        <v>0</v>
      </c>
      <c r="FL199" s="2" t="n">
        <v>0</v>
      </c>
      <c r="FM199" s="2" t="n">
        <v>0</v>
      </c>
      <c r="FN199" s="2" t="n">
        <v>0</v>
      </c>
      <c r="FO199" s="2" t="n">
        <v>0</v>
      </c>
      <c r="FP199" s="2" t="n">
        <v>0</v>
      </c>
      <c r="FQ199" s="2" t="n">
        <v>0</v>
      </c>
    </row>
    <row r="200">
      <c r="A200" s="2" t="n">
        <v>4</v>
      </c>
      <c r="B200" s="2" t="inlineStr">
        <is>
          <t>11.03.06.01</t>
        </is>
      </c>
      <c r="C200" s="2" t="inlineStr">
        <is>
          <t>Locação mensal de andaimes para serviços internos</t>
        </is>
      </c>
      <c r="D200" s="2" t="inlineStr">
        <is>
          <t>-</t>
        </is>
      </c>
      <c r="E200" s="2" t="inlineStr">
        <is>
          <t>-</t>
        </is>
      </c>
      <c r="F200" s="2" t="n">
        <v>136590.9926039999</v>
      </c>
      <c r="G200" s="2" t="n">
        <v>0</v>
      </c>
      <c r="H200" s="2" t="n">
        <v>136590.9926039999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  <c r="ET200" s="2" t="n">
        <v>0</v>
      </c>
      <c r="EU200" s="2" t="n">
        <v>0</v>
      </c>
      <c r="EV200" s="2" t="n">
        <v>0</v>
      </c>
      <c r="EW200" s="2" t="n">
        <v>0</v>
      </c>
      <c r="EX200" s="2" t="n">
        <v>0</v>
      </c>
      <c r="EY200" s="2" t="n">
        <v>0</v>
      </c>
      <c r="EZ200" s="2" t="n">
        <v>0</v>
      </c>
      <c r="FA200" s="2" t="n">
        <v>0</v>
      </c>
      <c r="FB200" s="2" t="n">
        <v>0</v>
      </c>
      <c r="FC200" s="2" t="n">
        <v>0</v>
      </c>
      <c r="FD200" s="2" t="n">
        <v>0</v>
      </c>
      <c r="FE200" s="2" t="n">
        <v>0</v>
      </c>
      <c r="FF200" s="2" t="n">
        <v>0</v>
      </c>
      <c r="FG200" s="2" t="n">
        <v>0</v>
      </c>
      <c r="FH200" s="2" t="n">
        <v>0</v>
      </c>
      <c r="FI200" s="2" t="n">
        <v>0</v>
      </c>
      <c r="FJ200" s="2" t="n">
        <v>0</v>
      </c>
      <c r="FK200" s="2" t="n">
        <v>0</v>
      </c>
      <c r="FL200" s="2" t="n">
        <v>0</v>
      </c>
      <c r="FM200" s="2" t="n">
        <v>0</v>
      </c>
      <c r="FN200" s="2" t="n">
        <v>0</v>
      </c>
      <c r="FO200" s="2" t="n">
        <v>0</v>
      </c>
      <c r="FP200" s="2" t="n">
        <v>0</v>
      </c>
      <c r="FQ200" s="2" t="n">
        <v>0</v>
      </c>
    </row>
    <row r="201">
      <c r="A201" s="2" t="n">
        <v>2</v>
      </c>
      <c r="B201" s="2" t="inlineStr">
        <is>
          <t>11.04</t>
        </is>
      </c>
      <c r="C201" s="2" t="inlineStr">
        <is>
          <t>Equipamentos para apoio logístico</t>
        </is>
      </c>
      <c r="D201" s="2" t="inlineStr">
        <is>
          <t>-</t>
        </is>
      </c>
      <c r="E201" s="2" t="inlineStr">
        <is>
          <t>-</t>
        </is>
      </c>
      <c r="F201" s="2" t="n">
        <v>1287938.089199773</v>
      </c>
      <c r="G201" s="2" t="n">
        <v>0</v>
      </c>
      <c r="H201" s="2" t="n">
        <v>1287938.089199773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  <c r="ET201" s="2" t="n">
        <v>0</v>
      </c>
      <c r="EU201" s="2" t="n">
        <v>0</v>
      </c>
      <c r="EV201" s="2" t="n">
        <v>0</v>
      </c>
      <c r="EW201" s="2" t="n">
        <v>0</v>
      </c>
      <c r="EX201" s="2" t="n">
        <v>0</v>
      </c>
      <c r="EY201" s="2" t="n">
        <v>0</v>
      </c>
      <c r="EZ201" s="2" t="n">
        <v>0</v>
      </c>
      <c r="FA201" s="2" t="n">
        <v>0</v>
      </c>
      <c r="FB201" s="2" t="n">
        <v>0</v>
      </c>
      <c r="FC201" s="2" t="n">
        <v>0</v>
      </c>
      <c r="FD201" s="2" t="n">
        <v>0</v>
      </c>
      <c r="FE201" s="2" t="n">
        <v>0</v>
      </c>
      <c r="FF201" s="2" t="n">
        <v>0</v>
      </c>
      <c r="FG201" s="2" t="n">
        <v>0</v>
      </c>
      <c r="FH201" s="2" t="n">
        <v>0</v>
      </c>
      <c r="FI201" s="2" t="n">
        <v>0</v>
      </c>
      <c r="FJ201" s="2" t="n">
        <v>0</v>
      </c>
      <c r="FK201" s="2" t="n">
        <v>0</v>
      </c>
      <c r="FL201" s="2" t="n">
        <v>0</v>
      </c>
      <c r="FM201" s="2" t="n">
        <v>0</v>
      </c>
      <c r="FN201" s="2" t="n">
        <v>0</v>
      </c>
      <c r="FO201" s="2" t="n">
        <v>0</v>
      </c>
      <c r="FP201" s="2" t="n">
        <v>0</v>
      </c>
      <c r="FQ201" s="2" t="n">
        <v>0</v>
      </c>
    </row>
    <row r="202">
      <c r="A202" s="2" t="n">
        <v>3</v>
      </c>
      <c r="B202" s="2" t="inlineStr">
        <is>
          <t>11.04.01</t>
        </is>
      </c>
      <c r="C202" s="2" t="inlineStr">
        <is>
          <t>Elevador provisório - Tração por cremalheira</t>
        </is>
      </c>
      <c r="D202" s="2" t="inlineStr">
        <is>
          <t>-</t>
        </is>
      </c>
      <c r="E202" s="2" t="inlineStr">
        <is>
          <t>-</t>
        </is>
      </c>
      <c r="F202" s="2" t="n">
        <v>395542.6346543187</v>
      </c>
      <c r="G202" s="2" t="n">
        <v>0</v>
      </c>
      <c r="H202" s="2" t="n">
        <v>395542.6346543187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  <c r="ET202" s="2" t="n">
        <v>0</v>
      </c>
      <c r="EU202" s="2" t="n">
        <v>0</v>
      </c>
      <c r="EV202" s="2" t="n">
        <v>0</v>
      </c>
      <c r="EW202" s="2" t="n">
        <v>0</v>
      </c>
      <c r="EX202" s="2" t="n">
        <v>0</v>
      </c>
      <c r="EY202" s="2" t="n">
        <v>0</v>
      </c>
      <c r="EZ202" s="2" t="n">
        <v>0</v>
      </c>
      <c r="FA202" s="2" t="n">
        <v>0</v>
      </c>
      <c r="FB202" s="2" t="n">
        <v>0</v>
      </c>
      <c r="FC202" s="2" t="n">
        <v>0</v>
      </c>
      <c r="FD202" s="2" t="n">
        <v>0</v>
      </c>
      <c r="FE202" s="2" t="n">
        <v>0</v>
      </c>
      <c r="FF202" s="2" t="n">
        <v>0</v>
      </c>
      <c r="FG202" s="2" t="n">
        <v>0</v>
      </c>
      <c r="FH202" s="2" t="n">
        <v>0</v>
      </c>
      <c r="FI202" s="2" t="n">
        <v>0</v>
      </c>
      <c r="FJ202" s="2" t="n">
        <v>0</v>
      </c>
      <c r="FK202" s="2" t="n">
        <v>0</v>
      </c>
      <c r="FL202" s="2" t="n">
        <v>0</v>
      </c>
      <c r="FM202" s="2" t="n">
        <v>0</v>
      </c>
      <c r="FN202" s="2" t="n">
        <v>0</v>
      </c>
      <c r="FO202" s="2" t="n">
        <v>0</v>
      </c>
      <c r="FP202" s="2" t="n">
        <v>0</v>
      </c>
      <c r="FQ202" s="2" t="n">
        <v>0</v>
      </c>
    </row>
    <row r="203">
      <c r="A203" s="2" t="n">
        <v>4</v>
      </c>
      <c r="B203" s="2" t="inlineStr">
        <is>
          <t>11.04.01.01</t>
        </is>
      </c>
      <c r="C203" s="2" t="inlineStr">
        <is>
          <t>Locação mensal</t>
        </is>
      </c>
      <c r="D203" s="2" t="inlineStr">
        <is>
          <t>-</t>
        </is>
      </c>
      <c r="E203" s="2" t="inlineStr">
        <is>
          <t>-</t>
        </is>
      </c>
      <c r="F203" s="2" t="n">
        <v>306850</v>
      </c>
      <c r="G203" s="2" t="n">
        <v>0</v>
      </c>
      <c r="H203" s="2" t="n">
        <v>306850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  <c r="ET203" s="2" t="n">
        <v>0</v>
      </c>
      <c r="EU203" s="2" t="n">
        <v>0</v>
      </c>
      <c r="EV203" s="2" t="n">
        <v>0</v>
      </c>
      <c r="EW203" s="2" t="n">
        <v>0</v>
      </c>
      <c r="EX203" s="2" t="n">
        <v>0</v>
      </c>
      <c r="EY203" s="2" t="n">
        <v>0</v>
      </c>
      <c r="EZ203" s="2" t="n">
        <v>0</v>
      </c>
      <c r="FA203" s="2" t="n">
        <v>0</v>
      </c>
      <c r="FB203" s="2" t="n">
        <v>0</v>
      </c>
      <c r="FC203" s="2" t="n">
        <v>0</v>
      </c>
      <c r="FD203" s="2" t="n">
        <v>0</v>
      </c>
      <c r="FE203" s="2" t="n">
        <v>0</v>
      </c>
      <c r="FF203" s="2" t="n">
        <v>0</v>
      </c>
      <c r="FG203" s="2" t="n">
        <v>0</v>
      </c>
      <c r="FH203" s="2" t="n">
        <v>0</v>
      </c>
      <c r="FI203" s="2" t="n">
        <v>0</v>
      </c>
      <c r="FJ203" s="2" t="n">
        <v>0</v>
      </c>
      <c r="FK203" s="2" t="n">
        <v>0</v>
      </c>
      <c r="FL203" s="2" t="n">
        <v>0</v>
      </c>
      <c r="FM203" s="2" t="n">
        <v>0</v>
      </c>
      <c r="FN203" s="2" t="n">
        <v>0</v>
      </c>
      <c r="FO203" s="2" t="n">
        <v>0</v>
      </c>
      <c r="FP203" s="2" t="n">
        <v>0</v>
      </c>
      <c r="FQ203" s="2" t="n">
        <v>0</v>
      </c>
    </row>
    <row r="204">
      <c r="A204" s="2" t="n">
        <v>4</v>
      </c>
      <c r="B204" s="2" t="inlineStr">
        <is>
          <t>11.04.01.02</t>
        </is>
      </c>
      <c r="C204" s="2" t="inlineStr">
        <is>
          <t>Mão-de-obra de montagem</t>
        </is>
      </c>
      <c r="D204" s="2" t="inlineStr">
        <is>
          <t>-</t>
        </is>
      </c>
      <c r="E204" s="2" t="inlineStr">
        <is>
          <t>-</t>
        </is>
      </c>
      <c r="F204" s="2" t="n">
        <v>15500</v>
      </c>
      <c r="G204" s="2" t="n">
        <v>0</v>
      </c>
      <c r="H204" s="2" t="n">
        <v>15500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  <c r="ET204" s="2" t="n">
        <v>0</v>
      </c>
      <c r="EU204" s="2" t="n">
        <v>0</v>
      </c>
      <c r="EV204" s="2" t="n">
        <v>0</v>
      </c>
      <c r="EW204" s="2" t="n">
        <v>0</v>
      </c>
      <c r="EX204" s="2" t="n">
        <v>0</v>
      </c>
      <c r="EY204" s="2" t="n">
        <v>0</v>
      </c>
      <c r="EZ204" s="2" t="n">
        <v>0</v>
      </c>
      <c r="FA204" s="2" t="n">
        <v>0</v>
      </c>
      <c r="FB204" s="2" t="n">
        <v>0</v>
      </c>
      <c r="FC204" s="2" t="n">
        <v>0</v>
      </c>
      <c r="FD204" s="2" t="n">
        <v>0</v>
      </c>
      <c r="FE204" s="2" t="n">
        <v>0</v>
      </c>
      <c r="FF204" s="2" t="n">
        <v>0</v>
      </c>
      <c r="FG204" s="2" t="n">
        <v>0</v>
      </c>
      <c r="FH204" s="2" t="n">
        <v>0</v>
      </c>
      <c r="FI204" s="2" t="n">
        <v>0</v>
      </c>
      <c r="FJ204" s="2" t="n">
        <v>0</v>
      </c>
      <c r="FK204" s="2" t="n">
        <v>0</v>
      </c>
      <c r="FL204" s="2" t="n">
        <v>0</v>
      </c>
      <c r="FM204" s="2" t="n">
        <v>0</v>
      </c>
      <c r="FN204" s="2" t="n">
        <v>0</v>
      </c>
      <c r="FO204" s="2" t="n">
        <v>0</v>
      </c>
      <c r="FP204" s="2" t="n">
        <v>0</v>
      </c>
      <c r="FQ204" s="2" t="n">
        <v>0</v>
      </c>
    </row>
    <row r="205">
      <c r="A205" s="2" t="n">
        <v>4</v>
      </c>
      <c r="B205" s="2" t="inlineStr">
        <is>
          <t>11.04.01.03</t>
        </is>
      </c>
      <c r="C205" s="2" t="inlineStr">
        <is>
          <t>Mão-de-obra de desmontagem</t>
        </is>
      </c>
      <c r="D205" s="2" t="inlineStr">
        <is>
          <t>-</t>
        </is>
      </c>
      <c r="E205" s="2" t="inlineStr">
        <is>
          <t>-</t>
        </is>
      </c>
      <c r="F205" s="2" t="n">
        <v>23110</v>
      </c>
      <c r="G205" s="2" t="n">
        <v>0</v>
      </c>
      <c r="H205" s="2" t="n">
        <v>23110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  <c r="ET205" s="2" t="n">
        <v>0</v>
      </c>
      <c r="EU205" s="2" t="n">
        <v>0</v>
      </c>
      <c r="EV205" s="2" t="n">
        <v>0</v>
      </c>
      <c r="EW205" s="2" t="n">
        <v>0</v>
      </c>
      <c r="EX205" s="2" t="n">
        <v>0</v>
      </c>
      <c r="EY205" s="2" t="n">
        <v>0</v>
      </c>
      <c r="EZ205" s="2" t="n">
        <v>0</v>
      </c>
      <c r="FA205" s="2" t="n">
        <v>0</v>
      </c>
      <c r="FB205" s="2" t="n">
        <v>0</v>
      </c>
      <c r="FC205" s="2" t="n">
        <v>0</v>
      </c>
      <c r="FD205" s="2" t="n">
        <v>0</v>
      </c>
      <c r="FE205" s="2" t="n">
        <v>0</v>
      </c>
      <c r="FF205" s="2" t="n">
        <v>0</v>
      </c>
      <c r="FG205" s="2" t="n">
        <v>0</v>
      </c>
      <c r="FH205" s="2" t="n">
        <v>0</v>
      </c>
      <c r="FI205" s="2" t="n">
        <v>0</v>
      </c>
      <c r="FJ205" s="2" t="n">
        <v>0</v>
      </c>
      <c r="FK205" s="2" t="n">
        <v>0</v>
      </c>
      <c r="FL205" s="2" t="n">
        <v>0</v>
      </c>
      <c r="FM205" s="2" t="n">
        <v>0</v>
      </c>
      <c r="FN205" s="2" t="n">
        <v>0</v>
      </c>
      <c r="FO205" s="2" t="n">
        <v>0</v>
      </c>
      <c r="FP205" s="2" t="n">
        <v>0</v>
      </c>
      <c r="FQ205" s="2" t="n">
        <v>0</v>
      </c>
    </row>
    <row r="206">
      <c r="A206" s="2" t="n">
        <v>4</v>
      </c>
      <c r="B206" s="2" t="inlineStr">
        <is>
          <t>11.04.01.04</t>
        </is>
      </c>
      <c r="C206" s="2" t="inlineStr">
        <is>
          <t>Protecao do fosso do elevador e varandas</t>
        </is>
      </c>
      <c r="D206" s="2" t="inlineStr">
        <is>
          <t>-</t>
        </is>
      </c>
      <c r="E206" s="2" t="inlineStr">
        <is>
          <t>-</t>
        </is>
      </c>
      <c r="F206" s="2" t="n">
        <v>2550</v>
      </c>
      <c r="G206" s="2" t="n">
        <v>0</v>
      </c>
      <c r="H206" s="2" t="n">
        <v>2550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  <c r="ET206" s="2" t="n">
        <v>0</v>
      </c>
      <c r="EU206" s="2" t="n">
        <v>0</v>
      </c>
      <c r="EV206" s="2" t="n">
        <v>0</v>
      </c>
      <c r="EW206" s="2" t="n">
        <v>0</v>
      </c>
      <c r="EX206" s="2" t="n">
        <v>0</v>
      </c>
      <c r="EY206" s="2" t="n">
        <v>0</v>
      </c>
      <c r="EZ206" s="2" t="n">
        <v>0</v>
      </c>
      <c r="FA206" s="2" t="n">
        <v>0</v>
      </c>
      <c r="FB206" s="2" t="n">
        <v>0</v>
      </c>
      <c r="FC206" s="2" t="n">
        <v>0</v>
      </c>
      <c r="FD206" s="2" t="n">
        <v>0</v>
      </c>
      <c r="FE206" s="2" t="n">
        <v>0</v>
      </c>
      <c r="FF206" s="2" t="n">
        <v>0</v>
      </c>
      <c r="FG206" s="2" t="n">
        <v>0</v>
      </c>
      <c r="FH206" s="2" t="n">
        <v>0</v>
      </c>
      <c r="FI206" s="2" t="n">
        <v>0</v>
      </c>
      <c r="FJ206" s="2" t="n">
        <v>0</v>
      </c>
      <c r="FK206" s="2" t="n">
        <v>0</v>
      </c>
      <c r="FL206" s="2" t="n">
        <v>0</v>
      </c>
      <c r="FM206" s="2" t="n">
        <v>0</v>
      </c>
      <c r="FN206" s="2" t="n">
        <v>0</v>
      </c>
      <c r="FO206" s="2" t="n">
        <v>0</v>
      </c>
      <c r="FP206" s="2" t="n">
        <v>0</v>
      </c>
      <c r="FQ206" s="2" t="n">
        <v>0</v>
      </c>
    </row>
    <row r="207">
      <c r="A207" s="2" t="n">
        <v>4</v>
      </c>
      <c r="B207" s="2" t="inlineStr">
        <is>
          <t>11.04.01.05</t>
        </is>
      </c>
      <c r="C207" s="2" t="inlineStr">
        <is>
          <t>Bases de concreto para instalação da torre e motor</t>
        </is>
      </c>
      <c r="D207" s="2" t="inlineStr">
        <is>
          <t>-</t>
        </is>
      </c>
      <c r="E207" s="2" t="inlineStr">
        <is>
          <t>-</t>
        </is>
      </c>
      <c r="F207" s="2" t="n">
        <v>4132.634654318667</v>
      </c>
      <c r="G207" s="2" t="n">
        <v>0</v>
      </c>
      <c r="H207" s="2" t="n">
        <v>4132.634654318667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  <c r="ET207" s="2" t="n">
        <v>0</v>
      </c>
      <c r="EU207" s="2" t="n">
        <v>0</v>
      </c>
      <c r="EV207" s="2" t="n">
        <v>0</v>
      </c>
      <c r="EW207" s="2" t="n">
        <v>0</v>
      </c>
      <c r="EX207" s="2" t="n">
        <v>0</v>
      </c>
      <c r="EY207" s="2" t="n">
        <v>0</v>
      </c>
      <c r="EZ207" s="2" t="n">
        <v>0</v>
      </c>
      <c r="FA207" s="2" t="n">
        <v>0</v>
      </c>
      <c r="FB207" s="2" t="n">
        <v>0</v>
      </c>
      <c r="FC207" s="2" t="n">
        <v>0</v>
      </c>
      <c r="FD207" s="2" t="n">
        <v>0</v>
      </c>
      <c r="FE207" s="2" t="n">
        <v>0</v>
      </c>
      <c r="FF207" s="2" t="n">
        <v>0</v>
      </c>
      <c r="FG207" s="2" t="n">
        <v>0</v>
      </c>
      <c r="FH207" s="2" t="n">
        <v>0</v>
      </c>
      <c r="FI207" s="2" t="n">
        <v>0</v>
      </c>
      <c r="FJ207" s="2" t="n">
        <v>0</v>
      </c>
      <c r="FK207" s="2" t="n">
        <v>0</v>
      </c>
      <c r="FL207" s="2" t="n">
        <v>0</v>
      </c>
      <c r="FM207" s="2" t="n">
        <v>0</v>
      </c>
      <c r="FN207" s="2" t="n">
        <v>0</v>
      </c>
      <c r="FO207" s="2" t="n">
        <v>0</v>
      </c>
      <c r="FP207" s="2" t="n">
        <v>0</v>
      </c>
      <c r="FQ207" s="2" t="n">
        <v>0</v>
      </c>
    </row>
    <row r="208">
      <c r="A208" s="2" t="n">
        <v>4</v>
      </c>
      <c r="B208" s="2" t="inlineStr">
        <is>
          <t>11.04.01.06</t>
        </is>
      </c>
      <c r="C208" s="2" t="inlineStr">
        <is>
          <t>Ascensão dos elevadores</t>
        </is>
      </c>
      <c r="D208" s="2" t="inlineStr">
        <is>
          <t>-</t>
        </is>
      </c>
      <c r="E208" s="2" t="inlineStr">
        <is>
          <t>-</t>
        </is>
      </c>
      <c r="F208" s="2" t="n">
        <v>43400</v>
      </c>
      <c r="G208" s="2" t="n">
        <v>0</v>
      </c>
      <c r="H208" s="2" t="n">
        <v>43400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  <c r="ET208" s="2" t="n">
        <v>0</v>
      </c>
      <c r="EU208" s="2" t="n">
        <v>0</v>
      </c>
      <c r="EV208" s="2" t="n">
        <v>0</v>
      </c>
      <c r="EW208" s="2" t="n">
        <v>0</v>
      </c>
      <c r="EX208" s="2" t="n">
        <v>0</v>
      </c>
      <c r="EY208" s="2" t="n">
        <v>0</v>
      </c>
      <c r="EZ208" s="2" t="n">
        <v>0</v>
      </c>
      <c r="FA208" s="2" t="n">
        <v>0</v>
      </c>
      <c r="FB208" s="2" t="n">
        <v>0</v>
      </c>
      <c r="FC208" s="2" t="n">
        <v>0</v>
      </c>
      <c r="FD208" s="2" t="n">
        <v>0</v>
      </c>
      <c r="FE208" s="2" t="n">
        <v>0</v>
      </c>
      <c r="FF208" s="2" t="n">
        <v>0</v>
      </c>
      <c r="FG208" s="2" t="n">
        <v>0</v>
      </c>
      <c r="FH208" s="2" t="n">
        <v>0</v>
      </c>
      <c r="FI208" s="2" t="n">
        <v>0</v>
      </c>
      <c r="FJ208" s="2" t="n">
        <v>0</v>
      </c>
      <c r="FK208" s="2" t="n">
        <v>0</v>
      </c>
      <c r="FL208" s="2" t="n">
        <v>0</v>
      </c>
      <c r="FM208" s="2" t="n">
        <v>0</v>
      </c>
      <c r="FN208" s="2" t="n">
        <v>0</v>
      </c>
      <c r="FO208" s="2" t="n">
        <v>0</v>
      </c>
      <c r="FP208" s="2" t="n">
        <v>0</v>
      </c>
      <c r="FQ208" s="2" t="n">
        <v>0</v>
      </c>
    </row>
    <row r="209">
      <c r="A209" s="2" t="n">
        <v>3</v>
      </c>
      <c r="B209" s="2" t="inlineStr">
        <is>
          <t>11.04.02</t>
        </is>
      </c>
      <c r="C209" s="2" t="inlineStr">
        <is>
          <t>Gruas</t>
        </is>
      </c>
      <c r="D209" s="2" t="inlineStr">
        <is>
          <t>-</t>
        </is>
      </c>
      <c r="E209" s="2" t="inlineStr">
        <is>
          <t>-</t>
        </is>
      </c>
      <c r="F209" s="2" t="n">
        <v>892395.4545454546</v>
      </c>
      <c r="G209" s="2" t="n">
        <v>0</v>
      </c>
      <c r="H209" s="2" t="n">
        <v>892395.4545454546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  <c r="ET209" s="2" t="n">
        <v>0</v>
      </c>
      <c r="EU209" s="2" t="n">
        <v>0</v>
      </c>
      <c r="EV209" s="2" t="n">
        <v>0</v>
      </c>
      <c r="EW209" s="2" t="n">
        <v>0</v>
      </c>
      <c r="EX209" s="2" t="n">
        <v>0</v>
      </c>
      <c r="EY209" s="2" t="n">
        <v>0</v>
      </c>
      <c r="EZ209" s="2" t="n">
        <v>0</v>
      </c>
      <c r="FA209" s="2" t="n">
        <v>0</v>
      </c>
      <c r="FB209" s="2" t="n">
        <v>0</v>
      </c>
      <c r="FC209" s="2" t="n">
        <v>0</v>
      </c>
      <c r="FD209" s="2" t="n">
        <v>0</v>
      </c>
      <c r="FE209" s="2" t="n">
        <v>0</v>
      </c>
      <c r="FF209" s="2" t="n">
        <v>0</v>
      </c>
      <c r="FG209" s="2" t="n">
        <v>0</v>
      </c>
      <c r="FH209" s="2" t="n">
        <v>0</v>
      </c>
      <c r="FI209" s="2" t="n">
        <v>0</v>
      </c>
      <c r="FJ209" s="2" t="n">
        <v>0</v>
      </c>
      <c r="FK209" s="2" t="n">
        <v>0</v>
      </c>
      <c r="FL209" s="2" t="n">
        <v>0</v>
      </c>
      <c r="FM209" s="2" t="n">
        <v>0</v>
      </c>
      <c r="FN209" s="2" t="n">
        <v>0</v>
      </c>
      <c r="FO209" s="2" t="n">
        <v>0</v>
      </c>
      <c r="FP209" s="2" t="n">
        <v>0</v>
      </c>
      <c r="FQ209" s="2" t="n">
        <v>0</v>
      </c>
    </row>
    <row r="210">
      <c r="A210" s="2" t="n">
        <v>4</v>
      </c>
      <c r="B210" s="2" t="inlineStr">
        <is>
          <t>11.04.02.01</t>
        </is>
      </c>
      <c r="C210" s="2" t="inlineStr">
        <is>
          <t>Locação mensal</t>
        </is>
      </c>
      <c r="D210" s="2" t="inlineStr">
        <is>
          <t>-</t>
        </is>
      </c>
      <c r="E210" s="2" t="inlineStr">
        <is>
          <t>-</t>
        </is>
      </c>
      <c r="F210" s="2" t="n">
        <v>534800</v>
      </c>
      <c r="G210" s="2" t="n">
        <v>0</v>
      </c>
      <c r="H210" s="2" t="n">
        <v>534800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  <c r="ET210" s="2" t="n">
        <v>0</v>
      </c>
      <c r="EU210" s="2" t="n">
        <v>0</v>
      </c>
      <c r="EV210" s="2" t="n">
        <v>0</v>
      </c>
      <c r="EW210" s="2" t="n">
        <v>0</v>
      </c>
      <c r="EX210" s="2" t="n">
        <v>0</v>
      </c>
      <c r="EY210" s="2" t="n">
        <v>0</v>
      </c>
      <c r="EZ210" s="2" t="n">
        <v>0</v>
      </c>
      <c r="FA210" s="2" t="n">
        <v>0</v>
      </c>
      <c r="FB210" s="2" t="n">
        <v>0</v>
      </c>
      <c r="FC210" s="2" t="n">
        <v>0</v>
      </c>
      <c r="FD210" s="2" t="n">
        <v>0</v>
      </c>
      <c r="FE210" s="2" t="n">
        <v>0</v>
      </c>
      <c r="FF210" s="2" t="n">
        <v>0</v>
      </c>
      <c r="FG210" s="2" t="n">
        <v>0</v>
      </c>
      <c r="FH210" s="2" t="n">
        <v>0</v>
      </c>
      <c r="FI210" s="2" t="n">
        <v>0</v>
      </c>
      <c r="FJ210" s="2" t="n">
        <v>0</v>
      </c>
      <c r="FK210" s="2" t="n">
        <v>0</v>
      </c>
      <c r="FL210" s="2" t="n">
        <v>0</v>
      </c>
      <c r="FM210" s="2" t="n">
        <v>0</v>
      </c>
      <c r="FN210" s="2" t="n">
        <v>0</v>
      </c>
      <c r="FO210" s="2" t="n">
        <v>0</v>
      </c>
      <c r="FP210" s="2" t="n">
        <v>0</v>
      </c>
      <c r="FQ210" s="2" t="n">
        <v>0</v>
      </c>
    </row>
    <row r="211">
      <c r="A211" s="2" t="n">
        <v>4</v>
      </c>
      <c r="B211" s="2" t="inlineStr">
        <is>
          <t>11.04.02.02</t>
        </is>
      </c>
      <c r="C211" s="2" t="inlineStr">
        <is>
          <t>Locação mensal (mini grua)</t>
        </is>
      </c>
      <c r="D211" s="2" t="inlineStr">
        <is>
          <t>-</t>
        </is>
      </c>
      <c r="E211" s="2" t="inlineStr">
        <is>
          <t>-</t>
        </is>
      </c>
      <c r="F211" s="2" t="n">
        <v>72000</v>
      </c>
      <c r="G211" s="2" t="n">
        <v>0</v>
      </c>
      <c r="H211" s="2" t="n">
        <v>72000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  <c r="ET211" s="2" t="n">
        <v>0</v>
      </c>
      <c r="EU211" s="2" t="n">
        <v>0</v>
      </c>
      <c r="EV211" s="2" t="n">
        <v>0</v>
      </c>
      <c r="EW211" s="2" t="n">
        <v>0</v>
      </c>
      <c r="EX211" s="2" t="n">
        <v>0</v>
      </c>
      <c r="EY211" s="2" t="n">
        <v>0</v>
      </c>
      <c r="EZ211" s="2" t="n">
        <v>0</v>
      </c>
      <c r="FA211" s="2" t="n">
        <v>0</v>
      </c>
      <c r="FB211" s="2" t="n">
        <v>0</v>
      </c>
      <c r="FC211" s="2" t="n">
        <v>0</v>
      </c>
      <c r="FD211" s="2" t="n">
        <v>0</v>
      </c>
      <c r="FE211" s="2" t="n">
        <v>0</v>
      </c>
      <c r="FF211" s="2" t="n">
        <v>0</v>
      </c>
      <c r="FG211" s="2" t="n">
        <v>0</v>
      </c>
      <c r="FH211" s="2" t="n">
        <v>0</v>
      </c>
      <c r="FI211" s="2" t="n">
        <v>0</v>
      </c>
      <c r="FJ211" s="2" t="n">
        <v>0</v>
      </c>
      <c r="FK211" s="2" t="n">
        <v>0</v>
      </c>
      <c r="FL211" s="2" t="n">
        <v>0</v>
      </c>
      <c r="FM211" s="2" t="n">
        <v>0</v>
      </c>
      <c r="FN211" s="2" t="n">
        <v>0</v>
      </c>
      <c r="FO211" s="2" t="n">
        <v>0</v>
      </c>
      <c r="FP211" s="2" t="n">
        <v>0</v>
      </c>
      <c r="FQ211" s="2" t="n">
        <v>0</v>
      </c>
    </row>
    <row r="212">
      <c r="A212" s="2" t="n">
        <v>4</v>
      </c>
      <c r="B212" s="2" t="inlineStr">
        <is>
          <t>11.04.02.03</t>
        </is>
      </c>
      <c r="C212" s="2" t="inlineStr">
        <is>
          <t>Consultoria do calculista estrutural</t>
        </is>
      </c>
      <c r="D212" s="2" t="inlineStr">
        <is>
          <t>-</t>
        </is>
      </c>
      <c r="E212" s="2" t="inlineStr">
        <is>
          <t>-</t>
        </is>
      </c>
      <c r="F212" s="2" t="n">
        <v>2500</v>
      </c>
      <c r="G212" s="2" t="n">
        <v>0</v>
      </c>
      <c r="H212" s="2" t="n">
        <v>2500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  <c r="ET212" s="2" t="n">
        <v>0</v>
      </c>
      <c r="EU212" s="2" t="n">
        <v>0</v>
      </c>
      <c r="EV212" s="2" t="n">
        <v>0</v>
      </c>
      <c r="EW212" s="2" t="n">
        <v>0</v>
      </c>
      <c r="EX212" s="2" t="n">
        <v>0</v>
      </c>
      <c r="EY212" s="2" t="n">
        <v>0</v>
      </c>
      <c r="EZ212" s="2" t="n">
        <v>0</v>
      </c>
      <c r="FA212" s="2" t="n">
        <v>0</v>
      </c>
      <c r="FB212" s="2" t="n">
        <v>0</v>
      </c>
      <c r="FC212" s="2" t="n">
        <v>0</v>
      </c>
      <c r="FD212" s="2" t="n">
        <v>0</v>
      </c>
      <c r="FE212" s="2" t="n">
        <v>0</v>
      </c>
      <c r="FF212" s="2" t="n">
        <v>0</v>
      </c>
      <c r="FG212" s="2" t="n">
        <v>0</v>
      </c>
      <c r="FH212" s="2" t="n">
        <v>0</v>
      </c>
      <c r="FI212" s="2" t="n">
        <v>0</v>
      </c>
      <c r="FJ212" s="2" t="n">
        <v>0</v>
      </c>
      <c r="FK212" s="2" t="n">
        <v>0</v>
      </c>
      <c r="FL212" s="2" t="n">
        <v>0</v>
      </c>
      <c r="FM212" s="2" t="n">
        <v>0</v>
      </c>
      <c r="FN212" s="2" t="n">
        <v>0</v>
      </c>
      <c r="FO212" s="2" t="n">
        <v>0</v>
      </c>
      <c r="FP212" s="2" t="n">
        <v>0</v>
      </c>
      <c r="FQ212" s="2" t="n">
        <v>0</v>
      </c>
    </row>
    <row r="213">
      <c r="A213" s="2" t="n">
        <v>4</v>
      </c>
      <c r="B213" s="2" t="inlineStr">
        <is>
          <t>11.04.02.04</t>
        </is>
      </c>
      <c r="C213" s="2" t="inlineStr">
        <is>
          <t>Frete</t>
        </is>
      </c>
      <c r="D213" s="2" t="inlineStr">
        <is>
          <t>-</t>
        </is>
      </c>
      <c r="E213" s="2" t="inlineStr">
        <is>
          <t>-</t>
        </is>
      </c>
      <c r="F213" s="2" t="n">
        <v>45000</v>
      </c>
      <c r="G213" s="2" t="n">
        <v>0</v>
      </c>
      <c r="H213" s="2" t="n">
        <v>45000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  <c r="ET213" s="2" t="n">
        <v>0</v>
      </c>
      <c r="EU213" s="2" t="n">
        <v>0</v>
      </c>
      <c r="EV213" s="2" t="n">
        <v>0</v>
      </c>
      <c r="EW213" s="2" t="n">
        <v>0</v>
      </c>
      <c r="EX213" s="2" t="n">
        <v>0</v>
      </c>
      <c r="EY213" s="2" t="n">
        <v>0</v>
      </c>
      <c r="EZ213" s="2" t="n">
        <v>0</v>
      </c>
      <c r="FA213" s="2" t="n">
        <v>0</v>
      </c>
      <c r="FB213" s="2" t="n">
        <v>0</v>
      </c>
      <c r="FC213" s="2" t="n">
        <v>0</v>
      </c>
      <c r="FD213" s="2" t="n">
        <v>0</v>
      </c>
      <c r="FE213" s="2" t="n">
        <v>0</v>
      </c>
      <c r="FF213" s="2" t="n">
        <v>0</v>
      </c>
      <c r="FG213" s="2" t="n">
        <v>0</v>
      </c>
      <c r="FH213" s="2" t="n">
        <v>0</v>
      </c>
      <c r="FI213" s="2" t="n">
        <v>0</v>
      </c>
      <c r="FJ213" s="2" t="n">
        <v>0</v>
      </c>
      <c r="FK213" s="2" t="n">
        <v>0</v>
      </c>
      <c r="FL213" s="2" t="n">
        <v>0</v>
      </c>
      <c r="FM213" s="2" t="n">
        <v>0</v>
      </c>
      <c r="FN213" s="2" t="n">
        <v>0</v>
      </c>
      <c r="FO213" s="2" t="n">
        <v>0</v>
      </c>
      <c r="FP213" s="2" t="n">
        <v>0</v>
      </c>
      <c r="FQ213" s="2" t="n">
        <v>0</v>
      </c>
    </row>
    <row r="214">
      <c r="A214" s="2" t="n">
        <v>4</v>
      </c>
      <c r="B214" s="2" t="inlineStr">
        <is>
          <t>11.04.02.05</t>
        </is>
      </c>
      <c r="C214" s="2" t="inlineStr">
        <is>
          <t>Mão-de-obra de montagem</t>
        </is>
      </c>
      <c r="D214" s="2" t="inlineStr">
        <is>
          <t>-</t>
        </is>
      </c>
      <c r="E214" s="2" t="inlineStr">
        <is>
          <t>-</t>
        </is>
      </c>
      <c r="F214" s="2" t="n">
        <v>15000</v>
      </c>
      <c r="G214" s="2" t="n">
        <v>0</v>
      </c>
      <c r="H214" s="2" t="n">
        <v>15000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  <c r="ET214" s="2" t="n">
        <v>0</v>
      </c>
      <c r="EU214" s="2" t="n">
        <v>0</v>
      </c>
      <c r="EV214" s="2" t="n">
        <v>0</v>
      </c>
      <c r="EW214" s="2" t="n">
        <v>0</v>
      </c>
      <c r="EX214" s="2" t="n">
        <v>0</v>
      </c>
      <c r="EY214" s="2" t="n">
        <v>0</v>
      </c>
      <c r="EZ214" s="2" t="n">
        <v>0</v>
      </c>
      <c r="FA214" s="2" t="n">
        <v>0</v>
      </c>
      <c r="FB214" s="2" t="n">
        <v>0</v>
      </c>
      <c r="FC214" s="2" t="n">
        <v>0</v>
      </c>
      <c r="FD214" s="2" t="n">
        <v>0</v>
      </c>
      <c r="FE214" s="2" t="n">
        <v>0</v>
      </c>
      <c r="FF214" s="2" t="n">
        <v>0</v>
      </c>
      <c r="FG214" s="2" t="n">
        <v>0</v>
      </c>
      <c r="FH214" s="2" t="n">
        <v>0</v>
      </c>
      <c r="FI214" s="2" t="n">
        <v>0</v>
      </c>
      <c r="FJ214" s="2" t="n">
        <v>0</v>
      </c>
      <c r="FK214" s="2" t="n">
        <v>0</v>
      </c>
      <c r="FL214" s="2" t="n">
        <v>0</v>
      </c>
      <c r="FM214" s="2" t="n">
        <v>0</v>
      </c>
      <c r="FN214" s="2" t="n">
        <v>0</v>
      </c>
      <c r="FO214" s="2" t="n">
        <v>0</v>
      </c>
      <c r="FP214" s="2" t="n">
        <v>0</v>
      </c>
      <c r="FQ214" s="2" t="n">
        <v>0</v>
      </c>
    </row>
    <row r="215">
      <c r="A215" s="2" t="n">
        <v>4</v>
      </c>
      <c r="B215" s="2" t="inlineStr">
        <is>
          <t>11.04.02.06</t>
        </is>
      </c>
      <c r="C215" s="2" t="inlineStr">
        <is>
          <t>Acessórios para montagem</t>
        </is>
      </c>
      <c r="D215" s="2" t="inlineStr">
        <is>
          <t>-</t>
        </is>
      </c>
      <c r="E215" s="2" t="inlineStr">
        <is>
          <t>-</t>
        </is>
      </c>
      <c r="F215" s="2" t="n">
        <v>12000</v>
      </c>
      <c r="G215" s="2" t="n">
        <v>0</v>
      </c>
      <c r="H215" s="2" t="n">
        <v>12000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  <c r="ET215" s="2" t="n">
        <v>0</v>
      </c>
      <c r="EU215" s="2" t="n">
        <v>0</v>
      </c>
      <c r="EV215" s="2" t="n">
        <v>0</v>
      </c>
      <c r="EW215" s="2" t="n">
        <v>0</v>
      </c>
      <c r="EX215" s="2" t="n">
        <v>0</v>
      </c>
      <c r="EY215" s="2" t="n">
        <v>0</v>
      </c>
      <c r="EZ215" s="2" t="n">
        <v>0</v>
      </c>
      <c r="FA215" s="2" t="n">
        <v>0</v>
      </c>
      <c r="FB215" s="2" t="n">
        <v>0</v>
      </c>
      <c r="FC215" s="2" t="n">
        <v>0</v>
      </c>
      <c r="FD215" s="2" t="n">
        <v>0</v>
      </c>
      <c r="FE215" s="2" t="n">
        <v>0</v>
      </c>
      <c r="FF215" s="2" t="n">
        <v>0</v>
      </c>
      <c r="FG215" s="2" t="n">
        <v>0</v>
      </c>
      <c r="FH215" s="2" t="n">
        <v>0</v>
      </c>
      <c r="FI215" s="2" t="n">
        <v>0</v>
      </c>
      <c r="FJ215" s="2" t="n">
        <v>0</v>
      </c>
      <c r="FK215" s="2" t="n">
        <v>0</v>
      </c>
      <c r="FL215" s="2" t="n">
        <v>0</v>
      </c>
      <c r="FM215" s="2" t="n">
        <v>0</v>
      </c>
      <c r="FN215" s="2" t="n">
        <v>0</v>
      </c>
      <c r="FO215" s="2" t="n">
        <v>0</v>
      </c>
      <c r="FP215" s="2" t="n">
        <v>0</v>
      </c>
      <c r="FQ215" s="2" t="n">
        <v>0</v>
      </c>
    </row>
    <row r="216">
      <c r="A216" s="2" t="n">
        <v>4</v>
      </c>
      <c r="B216" s="2" t="inlineStr">
        <is>
          <t>11.04.02.07</t>
        </is>
      </c>
      <c r="C216" s="2" t="inlineStr">
        <is>
          <t>Telescopagem</t>
        </is>
      </c>
      <c r="D216" s="2" t="inlineStr">
        <is>
          <t>-</t>
        </is>
      </c>
      <c r="E216" s="2" t="inlineStr">
        <is>
          <t>-</t>
        </is>
      </c>
      <c r="F216" s="2" t="n">
        <v>32000</v>
      </c>
      <c r="G216" s="2" t="n">
        <v>0</v>
      </c>
      <c r="H216" s="2" t="n">
        <v>32000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  <c r="ET216" s="2" t="n">
        <v>0</v>
      </c>
      <c r="EU216" s="2" t="n">
        <v>0</v>
      </c>
      <c r="EV216" s="2" t="n">
        <v>0</v>
      </c>
      <c r="EW216" s="2" t="n">
        <v>0</v>
      </c>
      <c r="EX216" s="2" t="n">
        <v>0</v>
      </c>
      <c r="EY216" s="2" t="n">
        <v>0</v>
      </c>
      <c r="EZ216" s="2" t="n">
        <v>0</v>
      </c>
      <c r="FA216" s="2" t="n">
        <v>0</v>
      </c>
      <c r="FB216" s="2" t="n">
        <v>0</v>
      </c>
      <c r="FC216" s="2" t="n">
        <v>0</v>
      </c>
      <c r="FD216" s="2" t="n">
        <v>0</v>
      </c>
      <c r="FE216" s="2" t="n">
        <v>0</v>
      </c>
      <c r="FF216" s="2" t="n">
        <v>0</v>
      </c>
      <c r="FG216" s="2" t="n">
        <v>0</v>
      </c>
      <c r="FH216" s="2" t="n">
        <v>0</v>
      </c>
      <c r="FI216" s="2" t="n">
        <v>0</v>
      </c>
      <c r="FJ216" s="2" t="n">
        <v>0</v>
      </c>
      <c r="FK216" s="2" t="n">
        <v>0</v>
      </c>
      <c r="FL216" s="2" t="n">
        <v>0</v>
      </c>
      <c r="FM216" s="2" t="n">
        <v>0</v>
      </c>
      <c r="FN216" s="2" t="n">
        <v>0</v>
      </c>
      <c r="FO216" s="2" t="n">
        <v>0</v>
      </c>
      <c r="FP216" s="2" t="n">
        <v>0</v>
      </c>
      <c r="FQ216" s="2" t="n">
        <v>0</v>
      </c>
    </row>
    <row r="217">
      <c r="A217" s="2" t="n">
        <v>4</v>
      </c>
      <c r="B217" s="2" t="inlineStr">
        <is>
          <t>11.04.02.08</t>
        </is>
      </c>
      <c r="C217" s="2" t="inlineStr">
        <is>
          <t>Equipamentos para desmontagem - guindaste e munk</t>
        </is>
      </c>
      <c r="D217" s="2" t="inlineStr">
        <is>
          <t>-</t>
        </is>
      </c>
      <c r="E217" s="2" t="inlineStr">
        <is>
          <t>-</t>
        </is>
      </c>
      <c r="F217" s="2" t="n">
        <v>55000</v>
      </c>
      <c r="G217" s="2" t="n">
        <v>0</v>
      </c>
      <c r="H217" s="2" t="n">
        <v>55000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  <c r="ET217" s="2" t="n">
        <v>0</v>
      </c>
      <c r="EU217" s="2" t="n">
        <v>0</v>
      </c>
      <c r="EV217" s="2" t="n">
        <v>0</v>
      </c>
      <c r="EW217" s="2" t="n">
        <v>0</v>
      </c>
      <c r="EX217" s="2" t="n">
        <v>0</v>
      </c>
      <c r="EY217" s="2" t="n">
        <v>0</v>
      </c>
      <c r="EZ217" s="2" t="n">
        <v>0</v>
      </c>
      <c r="FA217" s="2" t="n">
        <v>0</v>
      </c>
      <c r="FB217" s="2" t="n">
        <v>0</v>
      </c>
      <c r="FC217" s="2" t="n">
        <v>0</v>
      </c>
      <c r="FD217" s="2" t="n">
        <v>0</v>
      </c>
      <c r="FE217" s="2" t="n">
        <v>0</v>
      </c>
      <c r="FF217" s="2" t="n">
        <v>0</v>
      </c>
      <c r="FG217" s="2" t="n">
        <v>0</v>
      </c>
      <c r="FH217" s="2" t="n">
        <v>0</v>
      </c>
      <c r="FI217" s="2" t="n">
        <v>0</v>
      </c>
      <c r="FJ217" s="2" t="n">
        <v>0</v>
      </c>
      <c r="FK217" s="2" t="n">
        <v>0</v>
      </c>
      <c r="FL217" s="2" t="n">
        <v>0</v>
      </c>
      <c r="FM217" s="2" t="n">
        <v>0</v>
      </c>
      <c r="FN217" s="2" t="n">
        <v>0</v>
      </c>
      <c r="FO217" s="2" t="n">
        <v>0</v>
      </c>
      <c r="FP217" s="2" t="n">
        <v>0</v>
      </c>
      <c r="FQ217" s="2" t="n">
        <v>0</v>
      </c>
    </row>
    <row r="218">
      <c r="A218" s="2" t="n">
        <v>4</v>
      </c>
      <c r="B218" s="2" t="inlineStr">
        <is>
          <t>11.04.02.09</t>
        </is>
      </c>
      <c r="C218" s="2" t="inlineStr">
        <is>
          <t>Mão-de-obra de desmontagem</t>
        </is>
      </c>
      <c r="D218" s="2" t="inlineStr">
        <is>
          <t>-</t>
        </is>
      </c>
      <c r="E218" s="2" t="inlineStr">
        <is>
          <t>-</t>
        </is>
      </c>
      <c r="F218" s="2" t="n">
        <v>27000</v>
      </c>
      <c r="G218" s="2" t="n">
        <v>0</v>
      </c>
      <c r="H218" s="2" t="n">
        <v>27000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  <c r="ET218" s="2" t="n">
        <v>0</v>
      </c>
      <c r="EU218" s="2" t="n">
        <v>0</v>
      </c>
      <c r="EV218" s="2" t="n">
        <v>0</v>
      </c>
      <c r="EW218" s="2" t="n">
        <v>0</v>
      </c>
      <c r="EX218" s="2" t="n">
        <v>0</v>
      </c>
      <c r="EY218" s="2" t="n">
        <v>0</v>
      </c>
      <c r="EZ218" s="2" t="n">
        <v>0</v>
      </c>
      <c r="FA218" s="2" t="n">
        <v>0</v>
      </c>
      <c r="FB218" s="2" t="n">
        <v>0</v>
      </c>
      <c r="FC218" s="2" t="n">
        <v>0</v>
      </c>
      <c r="FD218" s="2" t="n">
        <v>0</v>
      </c>
      <c r="FE218" s="2" t="n">
        <v>0</v>
      </c>
      <c r="FF218" s="2" t="n">
        <v>0</v>
      </c>
      <c r="FG218" s="2" t="n">
        <v>0</v>
      </c>
      <c r="FH218" s="2" t="n">
        <v>0</v>
      </c>
      <c r="FI218" s="2" t="n">
        <v>0</v>
      </c>
      <c r="FJ218" s="2" t="n">
        <v>0</v>
      </c>
      <c r="FK218" s="2" t="n">
        <v>0</v>
      </c>
      <c r="FL218" s="2" t="n">
        <v>0</v>
      </c>
      <c r="FM218" s="2" t="n">
        <v>0</v>
      </c>
      <c r="FN218" s="2" t="n">
        <v>0</v>
      </c>
      <c r="FO218" s="2" t="n">
        <v>0</v>
      </c>
      <c r="FP218" s="2" t="n">
        <v>0</v>
      </c>
      <c r="FQ218" s="2" t="n">
        <v>0</v>
      </c>
    </row>
    <row r="219">
      <c r="A219" s="2" t="n">
        <v>4</v>
      </c>
      <c r="B219" s="2" t="inlineStr">
        <is>
          <t>11.04.02.10</t>
        </is>
      </c>
      <c r="C219" s="2" t="inlineStr">
        <is>
          <t>Hora Extra operação da grua (depois expediente e aos sábados)</t>
        </is>
      </c>
      <c r="D219" s="2" t="inlineStr">
        <is>
          <t>-</t>
        </is>
      </c>
      <c r="E219" s="2" t="inlineStr">
        <is>
          <t>-</t>
        </is>
      </c>
      <c r="F219" s="2" t="n">
        <v>38945.45454545455</v>
      </c>
      <c r="G219" s="2" t="n">
        <v>0</v>
      </c>
      <c r="H219" s="2" t="n">
        <v>38945.45454545455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  <c r="ET219" s="2" t="n">
        <v>0</v>
      </c>
      <c r="EU219" s="2" t="n">
        <v>0</v>
      </c>
      <c r="EV219" s="2" t="n">
        <v>0</v>
      </c>
      <c r="EW219" s="2" t="n">
        <v>0</v>
      </c>
      <c r="EX219" s="2" t="n">
        <v>0</v>
      </c>
      <c r="EY219" s="2" t="n">
        <v>0</v>
      </c>
      <c r="EZ219" s="2" t="n">
        <v>0</v>
      </c>
      <c r="FA219" s="2" t="n">
        <v>0</v>
      </c>
      <c r="FB219" s="2" t="n">
        <v>0</v>
      </c>
      <c r="FC219" s="2" t="n">
        <v>0</v>
      </c>
      <c r="FD219" s="2" t="n">
        <v>0</v>
      </c>
      <c r="FE219" s="2" t="n">
        <v>0</v>
      </c>
      <c r="FF219" s="2" t="n">
        <v>0</v>
      </c>
      <c r="FG219" s="2" t="n">
        <v>0</v>
      </c>
      <c r="FH219" s="2" t="n">
        <v>0</v>
      </c>
      <c r="FI219" s="2" t="n">
        <v>0</v>
      </c>
      <c r="FJ219" s="2" t="n">
        <v>0</v>
      </c>
      <c r="FK219" s="2" t="n">
        <v>0</v>
      </c>
      <c r="FL219" s="2" t="n">
        <v>0</v>
      </c>
      <c r="FM219" s="2" t="n">
        <v>0</v>
      </c>
      <c r="FN219" s="2" t="n">
        <v>0</v>
      </c>
      <c r="FO219" s="2" t="n">
        <v>0</v>
      </c>
      <c r="FP219" s="2" t="n">
        <v>0</v>
      </c>
      <c r="FQ219" s="2" t="n">
        <v>0</v>
      </c>
    </row>
    <row r="220">
      <c r="A220" s="2" t="n">
        <v>4</v>
      </c>
      <c r="B220" s="2" t="inlineStr">
        <is>
          <t>11.04.02.11</t>
        </is>
      </c>
      <c r="C220" s="2" t="inlineStr">
        <is>
          <t>Instalações diversas (quadro elétrico, cabeamento, plataforma, miscelâneas)</t>
        </is>
      </c>
      <c r="D220" s="2" t="inlineStr">
        <is>
          <t>-</t>
        </is>
      </c>
      <c r="E220" s="2" t="inlineStr">
        <is>
          <t>-</t>
        </is>
      </c>
      <c r="F220" s="2" t="n">
        <v>58150</v>
      </c>
      <c r="G220" s="2" t="n">
        <v>0</v>
      </c>
      <c r="H220" s="2" t="n">
        <v>58150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  <c r="ET220" s="2" t="n">
        <v>0</v>
      </c>
      <c r="EU220" s="2" t="n">
        <v>0</v>
      </c>
      <c r="EV220" s="2" t="n">
        <v>0</v>
      </c>
      <c r="EW220" s="2" t="n">
        <v>0</v>
      </c>
      <c r="EX220" s="2" t="n">
        <v>0</v>
      </c>
      <c r="EY220" s="2" t="n">
        <v>0</v>
      </c>
      <c r="EZ220" s="2" t="n">
        <v>0</v>
      </c>
      <c r="FA220" s="2" t="n">
        <v>0</v>
      </c>
      <c r="FB220" s="2" t="n">
        <v>0</v>
      </c>
      <c r="FC220" s="2" t="n">
        <v>0</v>
      </c>
      <c r="FD220" s="2" t="n">
        <v>0</v>
      </c>
      <c r="FE220" s="2" t="n">
        <v>0</v>
      </c>
      <c r="FF220" s="2" t="n">
        <v>0</v>
      </c>
      <c r="FG220" s="2" t="n">
        <v>0</v>
      </c>
      <c r="FH220" s="2" t="n">
        <v>0</v>
      </c>
      <c r="FI220" s="2" t="n">
        <v>0</v>
      </c>
      <c r="FJ220" s="2" t="n">
        <v>0</v>
      </c>
      <c r="FK220" s="2" t="n">
        <v>0</v>
      </c>
      <c r="FL220" s="2" t="n">
        <v>0</v>
      </c>
      <c r="FM220" s="2" t="n">
        <v>0</v>
      </c>
      <c r="FN220" s="2" t="n">
        <v>0</v>
      </c>
      <c r="FO220" s="2" t="n">
        <v>0</v>
      </c>
      <c r="FP220" s="2" t="n">
        <v>0</v>
      </c>
      <c r="FQ220" s="2" t="n">
        <v>0</v>
      </c>
    </row>
    <row r="221">
      <c r="A221" s="2" t="n">
        <v>2</v>
      </c>
      <c r="B221" s="2" t="inlineStr">
        <is>
          <t>11.05</t>
        </is>
      </c>
      <c r="C221" s="2" t="inlineStr">
        <is>
          <t>Equipamentos para execução de fachadas</t>
        </is>
      </c>
      <c r="D221" s="2" t="inlineStr">
        <is>
          <t>-</t>
        </is>
      </c>
      <c r="E221" s="2" t="inlineStr">
        <is>
          <t>-</t>
        </is>
      </c>
      <c r="F221" s="2" t="n">
        <v>568841.1483355272</v>
      </c>
      <c r="G221" s="2" t="n">
        <v>0</v>
      </c>
      <c r="H221" s="2" t="n">
        <v>568841.1483355272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  <c r="ET221" s="2" t="n">
        <v>0</v>
      </c>
      <c r="EU221" s="2" t="n">
        <v>0</v>
      </c>
      <c r="EV221" s="2" t="n">
        <v>0</v>
      </c>
      <c r="EW221" s="2" t="n">
        <v>0</v>
      </c>
      <c r="EX221" s="2" t="n">
        <v>0</v>
      </c>
      <c r="EY221" s="2" t="n">
        <v>0</v>
      </c>
      <c r="EZ221" s="2" t="n">
        <v>0</v>
      </c>
      <c r="FA221" s="2" t="n">
        <v>0</v>
      </c>
      <c r="FB221" s="2" t="n">
        <v>0</v>
      </c>
      <c r="FC221" s="2" t="n">
        <v>0</v>
      </c>
      <c r="FD221" s="2" t="n">
        <v>0</v>
      </c>
      <c r="FE221" s="2" t="n">
        <v>0</v>
      </c>
      <c r="FF221" s="2" t="n">
        <v>0</v>
      </c>
      <c r="FG221" s="2" t="n">
        <v>0</v>
      </c>
      <c r="FH221" s="2" t="n">
        <v>0</v>
      </c>
      <c r="FI221" s="2" t="n">
        <v>0</v>
      </c>
      <c r="FJ221" s="2" t="n">
        <v>0</v>
      </c>
      <c r="FK221" s="2" t="n">
        <v>0</v>
      </c>
      <c r="FL221" s="2" t="n">
        <v>0</v>
      </c>
      <c r="FM221" s="2" t="n">
        <v>0</v>
      </c>
      <c r="FN221" s="2" t="n">
        <v>0</v>
      </c>
      <c r="FO221" s="2" t="n">
        <v>0</v>
      </c>
      <c r="FP221" s="2" t="n">
        <v>0</v>
      </c>
      <c r="FQ221" s="2" t="n">
        <v>0</v>
      </c>
    </row>
    <row r="222">
      <c r="A222" s="2" t="n">
        <v>3</v>
      </c>
      <c r="B222" s="2" t="inlineStr">
        <is>
          <t>11.05.01</t>
        </is>
      </c>
      <c r="C222" s="2" t="inlineStr">
        <is>
          <t>Diversos</t>
        </is>
      </c>
      <c r="D222" s="2" t="inlineStr">
        <is>
          <t>-</t>
        </is>
      </c>
      <c r="E222" s="2" t="inlineStr">
        <is>
          <t>-</t>
        </is>
      </c>
      <c r="F222" s="2" t="n">
        <v>2880</v>
      </c>
      <c r="G222" s="2" t="n">
        <v>0</v>
      </c>
      <c r="H222" s="2" t="n">
        <v>2880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  <c r="ET222" s="2" t="n">
        <v>0</v>
      </c>
      <c r="EU222" s="2" t="n">
        <v>0</v>
      </c>
      <c r="EV222" s="2" t="n">
        <v>0</v>
      </c>
      <c r="EW222" s="2" t="n">
        <v>0</v>
      </c>
      <c r="EX222" s="2" t="n">
        <v>0</v>
      </c>
      <c r="EY222" s="2" t="n">
        <v>0</v>
      </c>
      <c r="EZ222" s="2" t="n">
        <v>0</v>
      </c>
      <c r="FA222" s="2" t="n">
        <v>0</v>
      </c>
      <c r="FB222" s="2" t="n">
        <v>0</v>
      </c>
      <c r="FC222" s="2" t="n">
        <v>0</v>
      </c>
      <c r="FD222" s="2" t="n">
        <v>0</v>
      </c>
      <c r="FE222" s="2" t="n">
        <v>0</v>
      </c>
      <c r="FF222" s="2" t="n">
        <v>0</v>
      </c>
      <c r="FG222" s="2" t="n">
        <v>0</v>
      </c>
      <c r="FH222" s="2" t="n">
        <v>0</v>
      </c>
      <c r="FI222" s="2" t="n">
        <v>0</v>
      </c>
      <c r="FJ222" s="2" t="n">
        <v>0</v>
      </c>
      <c r="FK222" s="2" t="n">
        <v>0</v>
      </c>
      <c r="FL222" s="2" t="n">
        <v>0</v>
      </c>
      <c r="FM222" s="2" t="n">
        <v>0</v>
      </c>
      <c r="FN222" s="2" t="n">
        <v>0</v>
      </c>
      <c r="FO222" s="2" t="n">
        <v>0</v>
      </c>
      <c r="FP222" s="2" t="n">
        <v>0</v>
      </c>
      <c r="FQ222" s="2" t="n">
        <v>0</v>
      </c>
    </row>
    <row r="223">
      <c r="A223" s="2" t="n">
        <v>4</v>
      </c>
      <c r="B223" s="2" t="inlineStr">
        <is>
          <t>11.05.01.01</t>
        </is>
      </c>
      <c r="C223" s="2" t="inlineStr">
        <is>
          <t>Serra para corte de juntas em fachadas</t>
        </is>
      </c>
      <c r="D223" s="2" t="inlineStr">
        <is>
          <t>-</t>
        </is>
      </c>
      <c r="E223" s="2" t="inlineStr">
        <is>
          <t>-</t>
        </is>
      </c>
      <c r="F223" s="2" t="n">
        <v>2880</v>
      </c>
      <c r="G223" s="2" t="n">
        <v>0</v>
      </c>
      <c r="H223" s="2" t="n">
        <v>2880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  <c r="ET223" s="2" t="n">
        <v>0</v>
      </c>
      <c r="EU223" s="2" t="n">
        <v>0</v>
      </c>
      <c r="EV223" s="2" t="n">
        <v>0</v>
      </c>
      <c r="EW223" s="2" t="n">
        <v>0</v>
      </c>
      <c r="EX223" s="2" t="n">
        <v>0</v>
      </c>
      <c r="EY223" s="2" t="n">
        <v>0</v>
      </c>
      <c r="EZ223" s="2" t="n">
        <v>0</v>
      </c>
      <c r="FA223" s="2" t="n">
        <v>0</v>
      </c>
      <c r="FB223" s="2" t="n">
        <v>0</v>
      </c>
      <c r="FC223" s="2" t="n">
        <v>0</v>
      </c>
      <c r="FD223" s="2" t="n">
        <v>0</v>
      </c>
      <c r="FE223" s="2" t="n">
        <v>0</v>
      </c>
      <c r="FF223" s="2" t="n">
        <v>0</v>
      </c>
      <c r="FG223" s="2" t="n">
        <v>0</v>
      </c>
      <c r="FH223" s="2" t="n">
        <v>0</v>
      </c>
      <c r="FI223" s="2" t="n">
        <v>0</v>
      </c>
      <c r="FJ223" s="2" t="n">
        <v>0</v>
      </c>
      <c r="FK223" s="2" t="n">
        <v>0</v>
      </c>
      <c r="FL223" s="2" t="n">
        <v>0</v>
      </c>
      <c r="FM223" s="2" t="n">
        <v>0</v>
      </c>
      <c r="FN223" s="2" t="n">
        <v>0</v>
      </c>
      <c r="FO223" s="2" t="n">
        <v>0</v>
      </c>
      <c r="FP223" s="2" t="n">
        <v>0</v>
      </c>
      <c r="FQ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288051.6988273993</v>
      </c>
      <c r="G224" s="2" t="n">
        <v>0</v>
      </c>
      <c r="H224" s="2" t="n">
        <v>288051.6988273993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  <c r="ET224" s="2" t="n">
        <v>0</v>
      </c>
      <c r="EU224" s="2" t="n">
        <v>0</v>
      </c>
      <c r="EV224" s="2" t="n">
        <v>0</v>
      </c>
      <c r="EW224" s="2" t="n">
        <v>0</v>
      </c>
      <c r="EX224" s="2" t="n">
        <v>0</v>
      </c>
      <c r="EY224" s="2" t="n">
        <v>0</v>
      </c>
      <c r="EZ224" s="2" t="n">
        <v>0</v>
      </c>
      <c r="FA224" s="2" t="n">
        <v>0</v>
      </c>
      <c r="FB224" s="2" t="n">
        <v>0</v>
      </c>
      <c r="FC224" s="2" t="n">
        <v>0</v>
      </c>
      <c r="FD224" s="2" t="n">
        <v>0</v>
      </c>
      <c r="FE224" s="2" t="n">
        <v>0</v>
      </c>
      <c r="FF224" s="2" t="n">
        <v>0</v>
      </c>
      <c r="FG224" s="2" t="n">
        <v>0</v>
      </c>
      <c r="FH224" s="2" t="n">
        <v>0</v>
      </c>
      <c r="FI224" s="2" t="n">
        <v>0</v>
      </c>
      <c r="FJ224" s="2" t="n">
        <v>0</v>
      </c>
      <c r="FK224" s="2" t="n">
        <v>0</v>
      </c>
      <c r="FL224" s="2" t="n">
        <v>0</v>
      </c>
      <c r="FM224" s="2" t="n">
        <v>0</v>
      </c>
      <c r="FN224" s="2" t="n">
        <v>0</v>
      </c>
      <c r="FO224" s="2" t="n">
        <v>0</v>
      </c>
      <c r="FP224" s="2" t="n">
        <v>0</v>
      </c>
      <c r="FQ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247726.420618441</v>
      </c>
      <c r="G225" s="2" t="n">
        <v>0</v>
      </c>
      <c r="H225" s="2" t="n">
        <v>247726.420618441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  <c r="ET225" s="2" t="n">
        <v>0</v>
      </c>
      <c r="EU225" s="2" t="n">
        <v>0</v>
      </c>
      <c r="EV225" s="2" t="n">
        <v>0</v>
      </c>
      <c r="EW225" s="2" t="n">
        <v>0</v>
      </c>
      <c r="EX225" s="2" t="n">
        <v>0</v>
      </c>
      <c r="EY225" s="2" t="n">
        <v>0</v>
      </c>
      <c r="EZ225" s="2" t="n">
        <v>0</v>
      </c>
      <c r="FA225" s="2" t="n">
        <v>0</v>
      </c>
      <c r="FB225" s="2" t="n">
        <v>0</v>
      </c>
      <c r="FC225" s="2" t="n">
        <v>0</v>
      </c>
      <c r="FD225" s="2" t="n">
        <v>0</v>
      </c>
      <c r="FE225" s="2" t="n">
        <v>0</v>
      </c>
      <c r="FF225" s="2" t="n">
        <v>0</v>
      </c>
      <c r="FG225" s="2" t="n">
        <v>0</v>
      </c>
      <c r="FH225" s="2" t="n">
        <v>0</v>
      </c>
      <c r="FI225" s="2" t="n">
        <v>0</v>
      </c>
      <c r="FJ225" s="2" t="n">
        <v>0</v>
      </c>
      <c r="FK225" s="2" t="n">
        <v>0</v>
      </c>
      <c r="FL225" s="2" t="n">
        <v>0</v>
      </c>
      <c r="FM225" s="2" t="n">
        <v>0</v>
      </c>
      <c r="FN225" s="2" t="n">
        <v>0</v>
      </c>
      <c r="FO225" s="2" t="n">
        <v>0</v>
      </c>
      <c r="FP225" s="2" t="n">
        <v>0</v>
      </c>
      <c r="FQ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20162.63910447912</v>
      </c>
      <c r="G226" s="2" t="n">
        <v>0</v>
      </c>
      <c r="H226" s="2" t="n">
        <v>20162.63910447912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  <c r="ET226" s="2" t="n">
        <v>0</v>
      </c>
      <c r="EU226" s="2" t="n">
        <v>0</v>
      </c>
      <c r="EV226" s="2" t="n">
        <v>0</v>
      </c>
      <c r="EW226" s="2" t="n">
        <v>0</v>
      </c>
      <c r="EX226" s="2" t="n">
        <v>0</v>
      </c>
      <c r="EY226" s="2" t="n">
        <v>0</v>
      </c>
      <c r="EZ226" s="2" t="n">
        <v>0</v>
      </c>
      <c r="FA226" s="2" t="n">
        <v>0</v>
      </c>
      <c r="FB226" s="2" t="n">
        <v>0</v>
      </c>
      <c r="FC226" s="2" t="n">
        <v>0</v>
      </c>
      <c r="FD226" s="2" t="n">
        <v>0</v>
      </c>
      <c r="FE226" s="2" t="n">
        <v>0</v>
      </c>
      <c r="FF226" s="2" t="n">
        <v>0</v>
      </c>
      <c r="FG226" s="2" t="n">
        <v>0</v>
      </c>
      <c r="FH226" s="2" t="n">
        <v>0</v>
      </c>
      <c r="FI226" s="2" t="n">
        <v>0</v>
      </c>
      <c r="FJ226" s="2" t="n">
        <v>0</v>
      </c>
      <c r="FK226" s="2" t="n">
        <v>0</v>
      </c>
      <c r="FL226" s="2" t="n">
        <v>0</v>
      </c>
      <c r="FM226" s="2" t="n">
        <v>0</v>
      </c>
      <c r="FN226" s="2" t="n">
        <v>0</v>
      </c>
      <c r="FO226" s="2" t="n">
        <v>0</v>
      </c>
      <c r="FP226" s="2" t="n">
        <v>0</v>
      </c>
      <c r="FQ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20162.63910447912</v>
      </c>
      <c r="G227" s="2" t="n">
        <v>0</v>
      </c>
      <c r="H227" s="2" t="n">
        <v>20162.63910447912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  <c r="ET227" s="2" t="n">
        <v>0</v>
      </c>
      <c r="EU227" s="2" t="n">
        <v>0</v>
      </c>
      <c r="EV227" s="2" t="n">
        <v>0</v>
      </c>
      <c r="EW227" s="2" t="n">
        <v>0</v>
      </c>
      <c r="EX227" s="2" t="n">
        <v>0</v>
      </c>
      <c r="EY227" s="2" t="n">
        <v>0</v>
      </c>
      <c r="EZ227" s="2" t="n">
        <v>0</v>
      </c>
      <c r="FA227" s="2" t="n">
        <v>0</v>
      </c>
      <c r="FB227" s="2" t="n">
        <v>0</v>
      </c>
      <c r="FC227" s="2" t="n">
        <v>0</v>
      </c>
      <c r="FD227" s="2" t="n">
        <v>0</v>
      </c>
      <c r="FE227" s="2" t="n">
        <v>0</v>
      </c>
      <c r="FF227" s="2" t="n">
        <v>0</v>
      </c>
      <c r="FG227" s="2" t="n">
        <v>0</v>
      </c>
      <c r="FH227" s="2" t="n">
        <v>0</v>
      </c>
      <c r="FI227" s="2" t="n">
        <v>0</v>
      </c>
      <c r="FJ227" s="2" t="n">
        <v>0</v>
      </c>
      <c r="FK227" s="2" t="n">
        <v>0</v>
      </c>
      <c r="FL227" s="2" t="n">
        <v>0</v>
      </c>
      <c r="FM227" s="2" t="n">
        <v>0</v>
      </c>
      <c r="FN227" s="2" t="n">
        <v>0</v>
      </c>
      <c r="FO227" s="2" t="n">
        <v>0</v>
      </c>
      <c r="FP227" s="2" t="n">
        <v>0</v>
      </c>
      <c r="FQ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277909.4495081279</v>
      </c>
      <c r="G228" s="2" t="n">
        <v>0</v>
      </c>
      <c r="H228" s="2" t="n">
        <v>277909.4495081279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  <c r="ET228" s="2" t="n">
        <v>0</v>
      </c>
      <c r="EU228" s="2" t="n">
        <v>0</v>
      </c>
      <c r="EV228" s="2" t="n">
        <v>0</v>
      </c>
      <c r="EW228" s="2" t="n">
        <v>0</v>
      </c>
      <c r="EX228" s="2" t="n">
        <v>0</v>
      </c>
      <c r="EY228" s="2" t="n">
        <v>0</v>
      </c>
      <c r="EZ228" s="2" t="n">
        <v>0</v>
      </c>
      <c r="FA228" s="2" t="n">
        <v>0</v>
      </c>
      <c r="FB228" s="2" t="n">
        <v>0</v>
      </c>
      <c r="FC228" s="2" t="n">
        <v>0</v>
      </c>
      <c r="FD228" s="2" t="n">
        <v>0</v>
      </c>
      <c r="FE228" s="2" t="n">
        <v>0</v>
      </c>
      <c r="FF228" s="2" t="n">
        <v>0</v>
      </c>
      <c r="FG228" s="2" t="n">
        <v>0</v>
      </c>
      <c r="FH228" s="2" t="n">
        <v>0</v>
      </c>
      <c r="FI228" s="2" t="n">
        <v>0</v>
      </c>
      <c r="FJ228" s="2" t="n">
        <v>0</v>
      </c>
      <c r="FK228" s="2" t="n">
        <v>0</v>
      </c>
      <c r="FL228" s="2" t="n">
        <v>0</v>
      </c>
      <c r="FM228" s="2" t="n">
        <v>0</v>
      </c>
      <c r="FN228" s="2" t="n">
        <v>0</v>
      </c>
      <c r="FO228" s="2" t="n">
        <v>0</v>
      </c>
      <c r="FP228" s="2" t="n">
        <v>0</v>
      </c>
      <c r="FQ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180165.96</v>
      </c>
      <c r="G229" s="2" t="n">
        <v>0</v>
      </c>
      <c r="H229" s="2" t="n">
        <v>180165.96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  <c r="ET229" s="2" t="n">
        <v>0</v>
      </c>
      <c r="EU229" s="2" t="n">
        <v>0</v>
      </c>
      <c r="EV229" s="2" t="n">
        <v>0</v>
      </c>
      <c r="EW229" s="2" t="n">
        <v>0</v>
      </c>
      <c r="EX229" s="2" t="n">
        <v>0</v>
      </c>
      <c r="EY229" s="2" t="n">
        <v>0</v>
      </c>
      <c r="EZ229" s="2" t="n">
        <v>0</v>
      </c>
      <c r="FA229" s="2" t="n">
        <v>0</v>
      </c>
      <c r="FB229" s="2" t="n">
        <v>0</v>
      </c>
      <c r="FC229" s="2" t="n">
        <v>0</v>
      </c>
      <c r="FD229" s="2" t="n">
        <v>0</v>
      </c>
      <c r="FE229" s="2" t="n">
        <v>0</v>
      </c>
      <c r="FF229" s="2" t="n">
        <v>0</v>
      </c>
      <c r="FG229" s="2" t="n">
        <v>0</v>
      </c>
      <c r="FH229" s="2" t="n">
        <v>0</v>
      </c>
      <c r="FI229" s="2" t="n">
        <v>0</v>
      </c>
      <c r="FJ229" s="2" t="n">
        <v>0</v>
      </c>
      <c r="FK229" s="2" t="n">
        <v>0</v>
      </c>
      <c r="FL229" s="2" t="n">
        <v>0</v>
      </c>
      <c r="FM229" s="2" t="n">
        <v>0</v>
      </c>
      <c r="FN229" s="2" t="n">
        <v>0</v>
      </c>
      <c r="FO229" s="2" t="n">
        <v>0</v>
      </c>
      <c r="FP229" s="2" t="n">
        <v>0</v>
      </c>
      <c r="FQ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11408.07587859669</v>
      </c>
      <c r="G230" s="2" t="n">
        <v>0</v>
      </c>
      <c r="H230" s="2" t="n">
        <v>11408.07587859669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  <c r="ET230" s="2" t="n">
        <v>0</v>
      </c>
      <c r="EU230" s="2" t="n">
        <v>0</v>
      </c>
      <c r="EV230" s="2" t="n">
        <v>0</v>
      </c>
      <c r="EW230" s="2" t="n">
        <v>0</v>
      </c>
      <c r="EX230" s="2" t="n">
        <v>0</v>
      </c>
      <c r="EY230" s="2" t="n">
        <v>0</v>
      </c>
      <c r="EZ230" s="2" t="n">
        <v>0</v>
      </c>
      <c r="FA230" s="2" t="n">
        <v>0</v>
      </c>
      <c r="FB230" s="2" t="n">
        <v>0</v>
      </c>
      <c r="FC230" s="2" t="n">
        <v>0</v>
      </c>
      <c r="FD230" s="2" t="n">
        <v>0</v>
      </c>
      <c r="FE230" s="2" t="n">
        <v>0</v>
      </c>
      <c r="FF230" s="2" t="n">
        <v>0</v>
      </c>
      <c r="FG230" s="2" t="n">
        <v>0</v>
      </c>
      <c r="FH230" s="2" t="n">
        <v>0</v>
      </c>
      <c r="FI230" s="2" t="n">
        <v>0</v>
      </c>
      <c r="FJ230" s="2" t="n">
        <v>0</v>
      </c>
      <c r="FK230" s="2" t="n">
        <v>0</v>
      </c>
      <c r="FL230" s="2" t="n">
        <v>0</v>
      </c>
      <c r="FM230" s="2" t="n">
        <v>0</v>
      </c>
      <c r="FN230" s="2" t="n">
        <v>0</v>
      </c>
      <c r="FO230" s="2" t="n">
        <v>0</v>
      </c>
      <c r="FP230" s="2" t="n">
        <v>0</v>
      </c>
      <c r="FQ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11408.07587859669</v>
      </c>
      <c r="G231" s="2" t="n">
        <v>0</v>
      </c>
      <c r="H231" s="2" t="n">
        <v>11408.07587859669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  <c r="ET231" s="2" t="n">
        <v>0</v>
      </c>
      <c r="EU231" s="2" t="n">
        <v>0</v>
      </c>
      <c r="EV231" s="2" t="n">
        <v>0</v>
      </c>
      <c r="EW231" s="2" t="n">
        <v>0</v>
      </c>
      <c r="EX231" s="2" t="n">
        <v>0</v>
      </c>
      <c r="EY231" s="2" t="n">
        <v>0</v>
      </c>
      <c r="EZ231" s="2" t="n">
        <v>0</v>
      </c>
      <c r="FA231" s="2" t="n">
        <v>0</v>
      </c>
      <c r="FB231" s="2" t="n">
        <v>0</v>
      </c>
      <c r="FC231" s="2" t="n">
        <v>0</v>
      </c>
      <c r="FD231" s="2" t="n">
        <v>0</v>
      </c>
      <c r="FE231" s="2" t="n">
        <v>0</v>
      </c>
      <c r="FF231" s="2" t="n">
        <v>0</v>
      </c>
      <c r="FG231" s="2" t="n">
        <v>0</v>
      </c>
      <c r="FH231" s="2" t="n">
        <v>0</v>
      </c>
      <c r="FI231" s="2" t="n">
        <v>0</v>
      </c>
      <c r="FJ231" s="2" t="n">
        <v>0</v>
      </c>
      <c r="FK231" s="2" t="n">
        <v>0</v>
      </c>
      <c r="FL231" s="2" t="n">
        <v>0</v>
      </c>
      <c r="FM231" s="2" t="n">
        <v>0</v>
      </c>
      <c r="FN231" s="2" t="n">
        <v>0</v>
      </c>
      <c r="FO231" s="2" t="n">
        <v>0</v>
      </c>
      <c r="FP231" s="2" t="n">
        <v>0</v>
      </c>
      <c r="FQ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6600</v>
      </c>
      <c r="G232" s="2" t="n">
        <v>0</v>
      </c>
      <c r="H232" s="2" t="n">
        <v>6600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  <c r="ET232" s="2" t="n">
        <v>0</v>
      </c>
      <c r="EU232" s="2" t="n">
        <v>0</v>
      </c>
      <c r="EV232" s="2" t="n">
        <v>0</v>
      </c>
      <c r="EW232" s="2" t="n">
        <v>0</v>
      </c>
      <c r="EX232" s="2" t="n">
        <v>0</v>
      </c>
      <c r="EY232" s="2" t="n">
        <v>0</v>
      </c>
      <c r="EZ232" s="2" t="n">
        <v>0</v>
      </c>
      <c r="FA232" s="2" t="n">
        <v>0</v>
      </c>
      <c r="FB232" s="2" t="n">
        <v>0</v>
      </c>
      <c r="FC232" s="2" t="n">
        <v>0</v>
      </c>
      <c r="FD232" s="2" t="n">
        <v>0</v>
      </c>
      <c r="FE232" s="2" t="n">
        <v>0</v>
      </c>
      <c r="FF232" s="2" t="n">
        <v>0</v>
      </c>
      <c r="FG232" s="2" t="n">
        <v>0</v>
      </c>
      <c r="FH232" s="2" t="n">
        <v>0</v>
      </c>
      <c r="FI232" s="2" t="n">
        <v>0</v>
      </c>
      <c r="FJ232" s="2" t="n">
        <v>0</v>
      </c>
      <c r="FK232" s="2" t="n">
        <v>0</v>
      </c>
      <c r="FL232" s="2" t="n">
        <v>0</v>
      </c>
      <c r="FM232" s="2" t="n">
        <v>0</v>
      </c>
      <c r="FN232" s="2" t="n">
        <v>0</v>
      </c>
      <c r="FO232" s="2" t="n">
        <v>0</v>
      </c>
      <c r="FP232" s="2" t="n">
        <v>0</v>
      </c>
      <c r="FQ232" s="2" t="n">
        <v>0</v>
      </c>
    </row>
    <row r="233">
      <c r="A233" s="2" t="n">
        <v>4</v>
      </c>
      <c r="B233" s="2" t="inlineStr">
        <is>
          <t>11.05.03.05</t>
        </is>
      </c>
      <c r="C233" s="2" t="inlineStr">
        <is>
          <t>Entelamento de fachada</t>
        </is>
      </c>
      <c r="D233" s="2" t="inlineStr">
        <is>
          <t>-</t>
        </is>
      </c>
      <c r="E233" s="2" t="inlineStr">
        <is>
          <t>-</t>
        </is>
      </c>
      <c r="F233" s="2" t="n">
        <v>68327.33775093453</v>
      </c>
      <c r="G233" s="2" t="n">
        <v>0</v>
      </c>
      <c r="H233" s="2" t="n">
        <v>68327.33775093453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  <c r="ET233" s="2" t="n">
        <v>0</v>
      </c>
      <c r="EU233" s="2" t="n">
        <v>0</v>
      </c>
      <c r="EV233" s="2" t="n">
        <v>0</v>
      </c>
      <c r="EW233" s="2" t="n">
        <v>0</v>
      </c>
      <c r="EX233" s="2" t="n">
        <v>0</v>
      </c>
      <c r="EY233" s="2" t="n">
        <v>0</v>
      </c>
      <c r="EZ233" s="2" t="n">
        <v>0</v>
      </c>
      <c r="FA233" s="2" t="n">
        <v>0</v>
      </c>
      <c r="FB233" s="2" t="n">
        <v>0</v>
      </c>
      <c r="FC233" s="2" t="n">
        <v>0</v>
      </c>
      <c r="FD233" s="2" t="n">
        <v>0</v>
      </c>
      <c r="FE233" s="2" t="n">
        <v>0</v>
      </c>
      <c r="FF233" s="2" t="n">
        <v>0</v>
      </c>
      <c r="FG233" s="2" t="n">
        <v>0</v>
      </c>
      <c r="FH233" s="2" t="n">
        <v>0</v>
      </c>
      <c r="FI233" s="2" t="n">
        <v>0</v>
      </c>
      <c r="FJ233" s="2" t="n">
        <v>0</v>
      </c>
      <c r="FK233" s="2" t="n">
        <v>0</v>
      </c>
      <c r="FL233" s="2" t="n">
        <v>0</v>
      </c>
      <c r="FM233" s="2" t="n">
        <v>0</v>
      </c>
      <c r="FN233" s="2" t="n">
        <v>0</v>
      </c>
      <c r="FO233" s="2" t="n">
        <v>0</v>
      </c>
      <c r="FP233" s="2" t="n">
        <v>0</v>
      </c>
      <c r="FQ233" s="2" t="n">
        <v>0</v>
      </c>
    </row>
    <row r="234">
      <c r="A234" s="2" t="n">
        <v>2</v>
      </c>
      <c r="B234" s="2" t="inlineStr">
        <is>
          <t>11.06</t>
        </is>
      </c>
      <c r="C234" s="2" t="inlineStr">
        <is>
          <t>Equipamentos de Proteção Coletiva</t>
        </is>
      </c>
      <c r="D234" s="2" t="inlineStr">
        <is>
          <t>-</t>
        </is>
      </c>
      <c r="E234" s="2" t="inlineStr">
        <is>
          <t>-</t>
        </is>
      </c>
      <c r="F234" s="2" t="n">
        <v>442453.1466666667</v>
      </c>
      <c r="G234" s="2" t="n">
        <v>0</v>
      </c>
      <c r="H234" s="2" t="n">
        <v>442453.1466666667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  <c r="ET234" s="2" t="n">
        <v>0</v>
      </c>
      <c r="EU234" s="2" t="n">
        <v>0</v>
      </c>
      <c r="EV234" s="2" t="n">
        <v>0</v>
      </c>
      <c r="EW234" s="2" t="n">
        <v>0</v>
      </c>
      <c r="EX234" s="2" t="n">
        <v>0</v>
      </c>
      <c r="EY234" s="2" t="n">
        <v>0</v>
      </c>
      <c r="EZ234" s="2" t="n">
        <v>0</v>
      </c>
      <c r="FA234" s="2" t="n">
        <v>0</v>
      </c>
      <c r="FB234" s="2" t="n">
        <v>0</v>
      </c>
      <c r="FC234" s="2" t="n">
        <v>0</v>
      </c>
      <c r="FD234" s="2" t="n">
        <v>0</v>
      </c>
      <c r="FE234" s="2" t="n">
        <v>0</v>
      </c>
      <c r="FF234" s="2" t="n">
        <v>0</v>
      </c>
      <c r="FG234" s="2" t="n">
        <v>0</v>
      </c>
      <c r="FH234" s="2" t="n">
        <v>0</v>
      </c>
      <c r="FI234" s="2" t="n">
        <v>0</v>
      </c>
      <c r="FJ234" s="2" t="n">
        <v>0</v>
      </c>
      <c r="FK234" s="2" t="n">
        <v>0</v>
      </c>
      <c r="FL234" s="2" t="n">
        <v>0</v>
      </c>
      <c r="FM234" s="2" t="n">
        <v>0</v>
      </c>
      <c r="FN234" s="2" t="n">
        <v>0</v>
      </c>
      <c r="FO234" s="2" t="n">
        <v>0</v>
      </c>
      <c r="FP234" s="2" t="n">
        <v>0</v>
      </c>
      <c r="FQ234" s="2" t="n">
        <v>0</v>
      </c>
    </row>
    <row r="235">
      <c r="A235" s="2" t="n">
        <v>3</v>
      </c>
      <c r="B235" s="2" t="inlineStr">
        <is>
          <t>11.06.01</t>
        </is>
      </c>
      <c r="C235" s="2" t="inlineStr">
        <is>
          <t>Guarda-corpo de madeira H=120cm para proteção perimetral de lajes</t>
        </is>
      </c>
      <c r="D235" s="2" t="inlineStr">
        <is>
          <t>-</t>
        </is>
      </c>
      <c r="E235" s="2" t="inlineStr">
        <is>
          <t>-</t>
        </is>
      </c>
      <c r="F235" s="2" t="n">
        <v>99903.81333333331</v>
      </c>
      <c r="G235" s="2" t="n">
        <v>0</v>
      </c>
      <c r="H235" s="2" t="n">
        <v>99903.81333333331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  <c r="ET235" s="2" t="n">
        <v>0</v>
      </c>
      <c r="EU235" s="2" t="n">
        <v>0</v>
      </c>
      <c r="EV235" s="2" t="n">
        <v>0</v>
      </c>
      <c r="EW235" s="2" t="n">
        <v>0</v>
      </c>
      <c r="EX235" s="2" t="n">
        <v>0</v>
      </c>
      <c r="EY235" s="2" t="n">
        <v>0</v>
      </c>
      <c r="EZ235" s="2" t="n">
        <v>0</v>
      </c>
      <c r="FA235" s="2" t="n">
        <v>0</v>
      </c>
      <c r="FB235" s="2" t="n">
        <v>0</v>
      </c>
      <c r="FC235" s="2" t="n">
        <v>0</v>
      </c>
      <c r="FD235" s="2" t="n">
        <v>0</v>
      </c>
      <c r="FE235" s="2" t="n">
        <v>0</v>
      </c>
      <c r="FF235" s="2" t="n">
        <v>0</v>
      </c>
      <c r="FG235" s="2" t="n">
        <v>0</v>
      </c>
      <c r="FH235" s="2" t="n">
        <v>0</v>
      </c>
      <c r="FI235" s="2" t="n">
        <v>0</v>
      </c>
      <c r="FJ235" s="2" t="n">
        <v>0</v>
      </c>
      <c r="FK235" s="2" t="n">
        <v>0</v>
      </c>
      <c r="FL235" s="2" t="n">
        <v>0</v>
      </c>
      <c r="FM235" s="2" t="n">
        <v>0</v>
      </c>
      <c r="FN235" s="2" t="n">
        <v>0</v>
      </c>
      <c r="FO235" s="2" t="n">
        <v>0</v>
      </c>
      <c r="FP235" s="2" t="n">
        <v>0</v>
      </c>
      <c r="FQ235" s="2" t="n">
        <v>0</v>
      </c>
    </row>
    <row r="236">
      <c r="A236" s="2" t="n">
        <v>3</v>
      </c>
      <c r="B236" s="2" t="inlineStr">
        <is>
          <t>11.06.02</t>
        </is>
      </c>
      <c r="C236" s="2" t="inlineStr">
        <is>
          <t>Guarda-corpo de madeira H=120cm para proteção provisória de escadarias</t>
        </is>
      </c>
      <c r="D236" s="2" t="inlineStr">
        <is>
          <t>-</t>
        </is>
      </c>
      <c r="E236" s="2" t="inlineStr">
        <is>
          <t>-</t>
        </is>
      </c>
      <c r="F236" s="2" t="n">
        <v>7065.333333333332</v>
      </c>
      <c r="G236" s="2" t="n">
        <v>0</v>
      </c>
      <c r="H236" s="2" t="n">
        <v>7065.333333333332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  <c r="ET236" s="2" t="n">
        <v>0</v>
      </c>
      <c r="EU236" s="2" t="n">
        <v>0</v>
      </c>
      <c r="EV236" s="2" t="n">
        <v>0</v>
      </c>
      <c r="EW236" s="2" t="n">
        <v>0</v>
      </c>
      <c r="EX236" s="2" t="n">
        <v>0</v>
      </c>
      <c r="EY236" s="2" t="n">
        <v>0</v>
      </c>
      <c r="EZ236" s="2" t="n">
        <v>0</v>
      </c>
      <c r="FA236" s="2" t="n">
        <v>0</v>
      </c>
      <c r="FB236" s="2" t="n">
        <v>0</v>
      </c>
      <c r="FC236" s="2" t="n">
        <v>0</v>
      </c>
      <c r="FD236" s="2" t="n">
        <v>0</v>
      </c>
      <c r="FE236" s="2" t="n">
        <v>0</v>
      </c>
      <c r="FF236" s="2" t="n">
        <v>0</v>
      </c>
      <c r="FG236" s="2" t="n">
        <v>0</v>
      </c>
      <c r="FH236" s="2" t="n">
        <v>0</v>
      </c>
      <c r="FI236" s="2" t="n">
        <v>0</v>
      </c>
      <c r="FJ236" s="2" t="n">
        <v>0</v>
      </c>
      <c r="FK236" s="2" t="n">
        <v>0</v>
      </c>
      <c r="FL236" s="2" t="n">
        <v>0</v>
      </c>
      <c r="FM236" s="2" t="n">
        <v>0</v>
      </c>
      <c r="FN236" s="2" t="n">
        <v>0</v>
      </c>
      <c r="FO236" s="2" t="n">
        <v>0</v>
      </c>
      <c r="FP236" s="2" t="n">
        <v>0</v>
      </c>
      <c r="FQ236" s="2" t="n">
        <v>0</v>
      </c>
    </row>
    <row r="237">
      <c r="A237" s="2" t="n">
        <v>3</v>
      </c>
      <c r="B237" s="2" t="inlineStr">
        <is>
          <t>11.06.03</t>
        </is>
      </c>
      <c r="C237" s="2" t="inlineStr">
        <is>
          <t>Linha de vida - cabo de aço</t>
        </is>
      </c>
      <c r="D237" s="2" t="inlineStr">
        <is>
          <t>-</t>
        </is>
      </c>
      <c r="E237" s="2" t="inlineStr">
        <is>
          <t>-</t>
        </is>
      </c>
      <c r="F237" s="2" t="n">
        <v>75484.00000000001</v>
      </c>
      <c r="G237" s="2" t="n">
        <v>0</v>
      </c>
      <c r="H237" s="2" t="n">
        <v>75484.00000000001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  <c r="ET237" s="2" t="n">
        <v>0</v>
      </c>
      <c r="EU237" s="2" t="n">
        <v>0</v>
      </c>
      <c r="EV237" s="2" t="n">
        <v>0</v>
      </c>
      <c r="EW237" s="2" t="n">
        <v>0</v>
      </c>
      <c r="EX237" s="2" t="n">
        <v>0</v>
      </c>
      <c r="EY237" s="2" t="n">
        <v>0</v>
      </c>
      <c r="EZ237" s="2" t="n">
        <v>0</v>
      </c>
      <c r="FA237" s="2" t="n">
        <v>0</v>
      </c>
      <c r="FB237" s="2" t="n">
        <v>0</v>
      </c>
      <c r="FC237" s="2" t="n">
        <v>0</v>
      </c>
      <c r="FD237" s="2" t="n">
        <v>0</v>
      </c>
      <c r="FE237" s="2" t="n">
        <v>0</v>
      </c>
      <c r="FF237" s="2" t="n">
        <v>0</v>
      </c>
      <c r="FG237" s="2" t="n">
        <v>0</v>
      </c>
      <c r="FH237" s="2" t="n">
        <v>0</v>
      </c>
      <c r="FI237" s="2" t="n">
        <v>0</v>
      </c>
      <c r="FJ237" s="2" t="n">
        <v>0</v>
      </c>
      <c r="FK237" s="2" t="n">
        <v>0</v>
      </c>
      <c r="FL237" s="2" t="n">
        <v>0</v>
      </c>
      <c r="FM237" s="2" t="n">
        <v>0</v>
      </c>
      <c r="FN237" s="2" t="n">
        <v>0</v>
      </c>
      <c r="FO237" s="2" t="n">
        <v>0</v>
      </c>
      <c r="FP237" s="2" t="n">
        <v>0</v>
      </c>
      <c r="FQ237" s="2" t="n">
        <v>0</v>
      </c>
    </row>
    <row r="238">
      <c r="A238" s="2" t="n">
        <v>3</v>
      </c>
      <c r="B238" s="2" t="inlineStr">
        <is>
          <t>11.06.04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  <c r="ET238" s="2" t="n">
        <v>0</v>
      </c>
      <c r="EU238" s="2" t="n">
        <v>0</v>
      </c>
      <c r="EV238" s="2" t="n">
        <v>0</v>
      </c>
      <c r="EW238" s="2" t="n">
        <v>0</v>
      </c>
      <c r="EX238" s="2" t="n">
        <v>0</v>
      </c>
      <c r="EY238" s="2" t="n">
        <v>0</v>
      </c>
      <c r="EZ238" s="2" t="n">
        <v>0</v>
      </c>
      <c r="FA238" s="2" t="n">
        <v>0</v>
      </c>
      <c r="FB238" s="2" t="n">
        <v>0</v>
      </c>
      <c r="FC238" s="2" t="n">
        <v>0</v>
      </c>
      <c r="FD238" s="2" t="n">
        <v>0</v>
      </c>
      <c r="FE238" s="2" t="n">
        <v>0</v>
      </c>
      <c r="FF238" s="2" t="n">
        <v>0</v>
      </c>
      <c r="FG238" s="2" t="n">
        <v>0</v>
      </c>
      <c r="FH238" s="2" t="n">
        <v>0</v>
      </c>
      <c r="FI238" s="2" t="n">
        <v>0</v>
      </c>
      <c r="FJ238" s="2" t="n">
        <v>0</v>
      </c>
      <c r="FK238" s="2" t="n">
        <v>0</v>
      </c>
      <c r="FL238" s="2" t="n">
        <v>0</v>
      </c>
      <c r="FM238" s="2" t="n">
        <v>0</v>
      </c>
      <c r="FN238" s="2" t="n">
        <v>0</v>
      </c>
      <c r="FO238" s="2" t="n">
        <v>0</v>
      </c>
      <c r="FP238" s="2" t="n">
        <v>0</v>
      </c>
      <c r="FQ238" s="2" t="n">
        <v>0</v>
      </c>
    </row>
    <row r="239">
      <c r="A239" s="2" t="n">
        <v>3</v>
      </c>
      <c r="B239" s="2" t="inlineStr">
        <is>
          <t>11.06.05</t>
        </is>
      </c>
      <c r="C239" s="2" t="inlineStr">
        <is>
          <t>Sistema de proteção SLQA</t>
        </is>
      </c>
      <c r="D239" s="2" t="inlineStr">
        <is>
          <t>-</t>
        </is>
      </c>
      <c r="E239" s="2" t="inlineStr">
        <is>
          <t>-</t>
        </is>
      </c>
      <c r="F239" s="2" t="n">
        <v>250000</v>
      </c>
      <c r="G239" s="2" t="n">
        <v>0</v>
      </c>
      <c r="H239" s="2" t="n">
        <v>250000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  <c r="ET239" s="2" t="n">
        <v>0</v>
      </c>
      <c r="EU239" s="2" t="n">
        <v>0</v>
      </c>
      <c r="EV239" s="2" t="n">
        <v>0</v>
      </c>
      <c r="EW239" s="2" t="n">
        <v>0</v>
      </c>
      <c r="EX239" s="2" t="n">
        <v>0</v>
      </c>
      <c r="EY239" s="2" t="n">
        <v>0</v>
      </c>
      <c r="EZ239" s="2" t="n">
        <v>0</v>
      </c>
      <c r="FA239" s="2" t="n">
        <v>0</v>
      </c>
      <c r="FB239" s="2" t="n">
        <v>0</v>
      </c>
      <c r="FC239" s="2" t="n">
        <v>0</v>
      </c>
      <c r="FD239" s="2" t="n">
        <v>0</v>
      </c>
      <c r="FE239" s="2" t="n">
        <v>0</v>
      </c>
      <c r="FF239" s="2" t="n">
        <v>0</v>
      </c>
      <c r="FG239" s="2" t="n">
        <v>0</v>
      </c>
      <c r="FH239" s="2" t="n">
        <v>0</v>
      </c>
      <c r="FI239" s="2" t="n">
        <v>0</v>
      </c>
      <c r="FJ239" s="2" t="n">
        <v>0</v>
      </c>
      <c r="FK239" s="2" t="n">
        <v>0</v>
      </c>
      <c r="FL239" s="2" t="n">
        <v>0</v>
      </c>
      <c r="FM239" s="2" t="n">
        <v>0</v>
      </c>
      <c r="FN239" s="2" t="n">
        <v>0</v>
      </c>
      <c r="FO239" s="2" t="n">
        <v>0</v>
      </c>
      <c r="FP239" s="2" t="n">
        <v>0</v>
      </c>
      <c r="FQ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01/08/2024</t>
        </is>
      </c>
      <c r="E240" s="2" t="inlineStr">
        <is>
          <t>12/02/2027</t>
        </is>
      </c>
      <c r="F240" s="2" t="n">
        <v>595242.6795372651</v>
      </c>
      <c r="G240" s="2" t="n">
        <v>0</v>
      </c>
      <c r="H240" s="2" t="n">
        <v>595242.6795372651</v>
      </c>
      <c r="I240" s="2" t="n">
        <v>49.5</v>
      </c>
      <c r="J240" s="2" t="n">
        <v>49.5</v>
      </c>
      <c r="K240" s="2" t="n">
        <v>0</v>
      </c>
      <c r="L240" s="2" t="n">
        <v>90</v>
      </c>
      <c r="M240" s="2" t="n">
        <v>90</v>
      </c>
      <c r="N240" s="2" t="n">
        <v>0</v>
      </c>
      <c r="O240" s="2" t="n">
        <v>90</v>
      </c>
      <c r="P240" s="2" t="n">
        <v>90</v>
      </c>
      <c r="Q240" s="2" t="n">
        <v>0</v>
      </c>
      <c r="R240" s="2" t="n">
        <v>90</v>
      </c>
      <c r="S240" s="2" t="n">
        <v>90</v>
      </c>
      <c r="T240" s="2" t="n">
        <v>0</v>
      </c>
      <c r="U240" s="2" t="n">
        <v>90</v>
      </c>
      <c r="V240" s="2" t="n">
        <v>90</v>
      </c>
      <c r="W240" s="2" t="n">
        <v>0</v>
      </c>
      <c r="X240" s="2" t="n">
        <v>90</v>
      </c>
      <c r="Y240" s="2" t="n">
        <v>90</v>
      </c>
      <c r="Z240" s="2" t="n">
        <v>0</v>
      </c>
      <c r="AA240" s="2" t="n">
        <v>90</v>
      </c>
      <c r="AB240" s="2" t="n">
        <v>90</v>
      </c>
      <c r="AC240" s="2" t="n">
        <v>0</v>
      </c>
      <c r="AD240" s="2" t="n">
        <v>90</v>
      </c>
      <c r="AE240" s="2" t="n">
        <v>90</v>
      </c>
      <c r="AF240" s="2" t="n">
        <v>0</v>
      </c>
      <c r="AG240" s="2" t="n">
        <v>90</v>
      </c>
      <c r="AH240" s="2" t="n">
        <v>90</v>
      </c>
      <c r="AI240" s="2" t="n">
        <v>90</v>
      </c>
      <c r="AJ240" s="2" t="n">
        <v>90</v>
      </c>
      <c r="AK240" s="2" t="n">
        <v>90</v>
      </c>
      <c r="AL240" s="2" t="n">
        <v>90</v>
      </c>
      <c r="AM240" s="2" t="n">
        <v>90</v>
      </c>
      <c r="AN240" s="2" t="n">
        <v>90</v>
      </c>
      <c r="AO240" s="2" t="n">
        <v>90</v>
      </c>
      <c r="AP240" s="2" t="n">
        <v>90</v>
      </c>
      <c r="AQ240" s="2" t="n">
        <v>90</v>
      </c>
      <c r="AR240" s="2" t="n">
        <v>90</v>
      </c>
      <c r="AS240" s="2" t="n">
        <v>90</v>
      </c>
      <c r="AT240" s="2" t="n">
        <v>90</v>
      </c>
      <c r="AU240" s="2" t="n">
        <v>90</v>
      </c>
      <c r="AV240" s="2" t="n">
        <v>90</v>
      </c>
      <c r="AW240" s="2" t="n">
        <v>90</v>
      </c>
      <c r="AX240" s="2" t="n">
        <v>90</v>
      </c>
      <c r="AY240" s="2" t="n">
        <v>90</v>
      </c>
      <c r="AZ240" s="2" t="n">
        <v>90</v>
      </c>
      <c r="BA240" s="2" t="n">
        <v>90</v>
      </c>
      <c r="BB240" s="2" t="n">
        <v>90</v>
      </c>
      <c r="BC240" s="2" t="n">
        <v>90</v>
      </c>
      <c r="BD240" s="2" t="n">
        <v>90</v>
      </c>
      <c r="BE240" s="2" t="n">
        <v>90</v>
      </c>
      <c r="BF240" s="2" t="n">
        <v>90</v>
      </c>
      <c r="BG240" s="2" t="n">
        <v>90</v>
      </c>
      <c r="BH240" s="2" t="n">
        <v>90</v>
      </c>
      <c r="BI240" s="2" t="n">
        <v>90</v>
      </c>
      <c r="BJ240" s="2" t="n">
        <v>90</v>
      </c>
      <c r="BK240" s="2" t="n">
        <v>90</v>
      </c>
      <c r="BL240" s="2" t="n">
        <v>90</v>
      </c>
      <c r="BM240" s="2" t="n">
        <v>90</v>
      </c>
      <c r="BN240" s="2" t="n">
        <v>90</v>
      </c>
      <c r="BO240" s="2" t="n">
        <v>90</v>
      </c>
      <c r="BP240" s="2" t="n">
        <v>90</v>
      </c>
      <c r="BQ240" s="2" t="n">
        <v>90</v>
      </c>
      <c r="BR240" s="2" t="n">
        <v>90</v>
      </c>
      <c r="BS240" s="2" t="n">
        <v>90</v>
      </c>
      <c r="BT240" s="2" t="n">
        <v>90</v>
      </c>
      <c r="BU240" s="2" t="n">
        <v>90</v>
      </c>
      <c r="BV240" s="2" t="n">
        <v>90</v>
      </c>
      <c r="BW240" s="2" t="n">
        <v>90</v>
      </c>
      <c r="BX240" s="2" t="n">
        <v>90</v>
      </c>
      <c r="BY240" s="2" t="n">
        <v>90</v>
      </c>
      <c r="BZ240" s="2" t="n">
        <v>90</v>
      </c>
      <c r="CA240" s="2" t="n">
        <v>90</v>
      </c>
      <c r="CB240" s="2" t="n">
        <v>90</v>
      </c>
      <c r="CC240" s="2" t="n">
        <v>90</v>
      </c>
      <c r="CD240" s="2" t="n">
        <v>90</v>
      </c>
      <c r="CE240" s="2" t="n">
        <v>90</v>
      </c>
      <c r="CF240" s="2" t="n">
        <v>90</v>
      </c>
      <c r="CG240" s="2" t="n">
        <v>90</v>
      </c>
      <c r="CH240" s="2" t="n">
        <v>90</v>
      </c>
      <c r="CI240" s="2" t="n">
        <v>90</v>
      </c>
      <c r="CJ240" s="2" t="n">
        <v>90</v>
      </c>
      <c r="CK240" s="2" t="n">
        <v>90</v>
      </c>
      <c r="CL240" s="2" t="n">
        <v>90</v>
      </c>
      <c r="CM240" s="2" t="n">
        <v>90</v>
      </c>
      <c r="CN240" s="2" t="n">
        <v>90</v>
      </c>
      <c r="CO240" s="2" t="n">
        <v>90</v>
      </c>
      <c r="CP240" s="2" t="n">
        <v>90</v>
      </c>
      <c r="CQ240" s="2" t="n">
        <v>90</v>
      </c>
      <c r="CR240" s="2" t="n">
        <v>90.91</v>
      </c>
      <c r="CS240" s="2" t="n">
        <v>90.91</v>
      </c>
      <c r="CT240" s="2" t="n">
        <v>90</v>
      </c>
      <c r="CU240" s="2" t="n">
        <v>100</v>
      </c>
      <c r="CV240" s="2" t="n">
        <v>100</v>
      </c>
      <c r="CW240" s="2" t="n">
        <v>90</v>
      </c>
      <c r="CX240" s="2" t="n">
        <v>100</v>
      </c>
      <c r="CY240" s="2" t="n">
        <v>100</v>
      </c>
      <c r="CZ240" s="2" t="n">
        <v>90</v>
      </c>
      <c r="DA240" s="2" t="n">
        <v>100</v>
      </c>
      <c r="DB240" s="2" t="n">
        <v>100</v>
      </c>
      <c r="DC240" s="2" t="n">
        <v>90</v>
      </c>
      <c r="DD240" s="2" t="n">
        <v>100</v>
      </c>
      <c r="DE240" s="2" t="n">
        <v>100</v>
      </c>
      <c r="DF240" s="2" t="n">
        <v>90</v>
      </c>
      <c r="DG240" s="2" t="n">
        <v>100</v>
      </c>
      <c r="DH240" s="2" t="n">
        <v>100</v>
      </c>
      <c r="DI240" s="2" t="n">
        <v>90</v>
      </c>
      <c r="DJ240" s="2" t="n">
        <v>100</v>
      </c>
      <c r="DK240" s="2" t="n">
        <v>100</v>
      </c>
      <c r="DL240" s="2" t="n">
        <v>90</v>
      </c>
      <c r="DM240" s="2" t="n">
        <v>100</v>
      </c>
      <c r="DN240" s="2" t="n">
        <v>100</v>
      </c>
      <c r="DO240" s="2" t="n">
        <v>90</v>
      </c>
      <c r="DP240" s="2" t="n">
        <v>100</v>
      </c>
      <c r="DQ240" s="2" t="n">
        <v>100</v>
      </c>
      <c r="DR240" s="2" t="n">
        <v>90</v>
      </c>
      <c r="DS240" s="2" t="n">
        <v>100</v>
      </c>
      <c r="DT240" s="2" t="n">
        <v>100</v>
      </c>
      <c r="DU240" s="2" t="n">
        <v>90</v>
      </c>
      <c r="DV240" s="2" t="n">
        <v>100</v>
      </c>
      <c r="DW240" s="2" t="n">
        <v>100</v>
      </c>
      <c r="DX240" s="2" t="n">
        <v>90</v>
      </c>
      <c r="DY240" s="2" t="n">
        <v>100</v>
      </c>
      <c r="DZ240" s="2" t="n">
        <v>100</v>
      </c>
      <c r="EA240" s="2" t="n">
        <v>90</v>
      </c>
      <c r="EB240" s="2" t="n">
        <v>100</v>
      </c>
      <c r="EC240" s="2" t="n">
        <v>100</v>
      </c>
      <c r="ED240" s="2" t="n">
        <v>90</v>
      </c>
      <c r="EE240" s="2" t="n">
        <v>100</v>
      </c>
      <c r="EF240" s="2" t="n">
        <v>100</v>
      </c>
      <c r="EG240" s="2" t="n">
        <v>90</v>
      </c>
      <c r="EH240" s="2" t="n">
        <v>100</v>
      </c>
      <c r="EI240" s="2" t="n">
        <v>100</v>
      </c>
      <c r="EJ240" s="2" t="n">
        <v>90</v>
      </c>
      <c r="EK240" s="2" t="n">
        <v>100</v>
      </c>
      <c r="EL240" s="2" t="n">
        <v>100</v>
      </c>
      <c r="EM240" s="2" t="n">
        <v>90</v>
      </c>
      <c r="EN240" s="2" t="n">
        <v>100</v>
      </c>
      <c r="EO240" s="2" t="n">
        <v>100</v>
      </c>
      <c r="EP240" s="2" t="n">
        <v>90</v>
      </c>
      <c r="EQ240" s="2" t="n">
        <v>100</v>
      </c>
      <c r="ER240" s="2" t="n">
        <v>100</v>
      </c>
      <c r="ES240" s="2" t="n">
        <v>90</v>
      </c>
      <c r="ET240" s="2" t="n">
        <v>100</v>
      </c>
      <c r="EU240" s="2" t="n">
        <v>100</v>
      </c>
      <c r="EV240" s="2" t="n">
        <v>90</v>
      </c>
      <c r="EW240" s="2" t="n">
        <v>100</v>
      </c>
      <c r="EX240" s="2" t="n">
        <v>100</v>
      </c>
      <c r="EY240" s="2" t="n">
        <v>90</v>
      </c>
      <c r="EZ240" s="2" t="n">
        <v>100</v>
      </c>
      <c r="FA240" s="2" t="n">
        <v>100</v>
      </c>
      <c r="FB240" s="2" t="n">
        <v>90</v>
      </c>
      <c r="FC240" s="2" t="n">
        <v>100</v>
      </c>
      <c r="FD240" s="2" t="n">
        <v>100</v>
      </c>
      <c r="FE240" s="2" t="n">
        <v>90</v>
      </c>
      <c r="FF240" s="2" t="n">
        <v>100</v>
      </c>
      <c r="FG240" s="2" t="n">
        <v>100</v>
      </c>
      <c r="FH240" s="2" t="n">
        <v>90</v>
      </c>
      <c r="FI240" s="2" t="n">
        <v>100</v>
      </c>
      <c r="FJ240" s="2" t="n">
        <v>100</v>
      </c>
      <c r="FK240" s="2" t="n">
        <v>90</v>
      </c>
      <c r="FL240" s="2" t="n">
        <v>100</v>
      </c>
      <c r="FM240" s="2" t="n">
        <v>100</v>
      </c>
      <c r="FN240" s="2" t="n">
        <v>90</v>
      </c>
      <c r="FO240" s="2" t="n">
        <v>100</v>
      </c>
      <c r="FP240" s="2" t="n">
        <v>100</v>
      </c>
      <c r="FQ240" s="2" t="n">
        <v>90</v>
      </c>
    </row>
    <row r="241">
      <c r="A241" s="2" t="n">
        <v>2</v>
      </c>
      <c r="B241" s="2" t="inlineStr">
        <is>
          <t>12.01</t>
        </is>
      </c>
      <c r="C241" s="2" t="inlineStr">
        <is>
          <t>Demolições</t>
        </is>
      </c>
      <c r="D241" s="2" t="inlineStr">
        <is>
          <t>01/08/2024</t>
        </is>
      </c>
      <c r="E241" s="2" t="inlineStr">
        <is>
          <t>12/02/2027</t>
        </is>
      </c>
      <c r="F241" s="2" t="n">
        <v>549915.9</v>
      </c>
      <c r="G241" s="2" t="n">
        <v>0</v>
      </c>
      <c r="H241" s="2" t="n">
        <v>549915.9</v>
      </c>
      <c r="I241" s="2" t="n">
        <v>49.5</v>
      </c>
      <c r="J241" s="2" t="n">
        <v>49.5</v>
      </c>
      <c r="K241" s="2" t="n">
        <v>0</v>
      </c>
      <c r="L241" s="2" t="n">
        <v>90</v>
      </c>
      <c r="M241" s="2" t="n">
        <v>90</v>
      </c>
      <c r="N241" s="2" t="n">
        <v>0</v>
      </c>
      <c r="O241" s="2" t="n">
        <v>90</v>
      </c>
      <c r="P241" s="2" t="n">
        <v>90</v>
      </c>
      <c r="Q241" s="2" t="n">
        <v>0</v>
      </c>
      <c r="R241" s="2" t="n">
        <v>90</v>
      </c>
      <c r="S241" s="2" t="n">
        <v>90</v>
      </c>
      <c r="T241" s="2" t="n">
        <v>0</v>
      </c>
      <c r="U241" s="2" t="n">
        <v>90</v>
      </c>
      <c r="V241" s="2" t="n">
        <v>90</v>
      </c>
      <c r="W241" s="2" t="n">
        <v>0</v>
      </c>
      <c r="X241" s="2" t="n">
        <v>90</v>
      </c>
      <c r="Y241" s="2" t="n">
        <v>90</v>
      </c>
      <c r="Z241" s="2" t="n">
        <v>0</v>
      </c>
      <c r="AA241" s="2" t="n">
        <v>90</v>
      </c>
      <c r="AB241" s="2" t="n">
        <v>90</v>
      </c>
      <c r="AC241" s="2" t="n">
        <v>0</v>
      </c>
      <c r="AD241" s="2" t="n">
        <v>90</v>
      </c>
      <c r="AE241" s="2" t="n">
        <v>90</v>
      </c>
      <c r="AF241" s="2" t="n">
        <v>0</v>
      </c>
      <c r="AG241" s="2" t="n">
        <v>90</v>
      </c>
      <c r="AH241" s="2" t="n">
        <v>90</v>
      </c>
      <c r="AI241" s="2" t="n">
        <v>90</v>
      </c>
      <c r="AJ241" s="2" t="n">
        <v>90</v>
      </c>
      <c r="AK241" s="2" t="n">
        <v>90</v>
      </c>
      <c r="AL241" s="2" t="n">
        <v>90</v>
      </c>
      <c r="AM241" s="2" t="n">
        <v>90</v>
      </c>
      <c r="AN241" s="2" t="n">
        <v>90</v>
      </c>
      <c r="AO241" s="2" t="n">
        <v>90</v>
      </c>
      <c r="AP241" s="2" t="n">
        <v>90</v>
      </c>
      <c r="AQ241" s="2" t="n">
        <v>90</v>
      </c>
      <c r="AR241" s="2" t="n">
        <v>90</v>
      </c>
      <c r="AS241" s="2" t="n">
        <v>90</v>
      </c>
      <c r="AT241" s="2" t="n">
        <v>90</v>
      </c>
      <c r="AU241" s="2" t="n">
        <v>90</v>
      </c>
      <c r="AV241" s="2" t="n">
        <v>90</v>
      </c>
      <c r="AW241" s="2" t="n">
        <v>90</v>
      </c>
      <c r="AX241" s="2" t="n">
        <v>90</v>
      </c>
      <c r="AY241" s="2" t="n">
        <v>90</v>
      </c>
      <c r="AZ241" s="2" t="n">
        <v>90</v>
      </c>
      <c r="BA241" s="2" t="n">
        <v>90</v>
      </c>
      <c r="BB241" s="2" t="n">
        <v>90</v>
      </c>
      <c r="BC241" s="2" t="n">
        <v>90</v>
      </c>
      <c r="BD241" s="2" t="n">
        <v>90</v>
      </c>
      <c r="BE241" s="2" t="n">
        <v>90</v>
      </c>
      <c r="BF241" s="2" t="n">
        <v>90</v>
      </c>
      <c r="BG241" s="2" t="n">
        <v>90</v>
      </c>
      <c r="BH241" s="2" t="n">
        <v>90</v>
      </c>
      <c r="BI241" s="2" t="n">
        <v>90</v>
      </c>
      <c r="BJ241" s="2" t="n">
        <v>90</v>
      </c>
      <c r="BK241" s="2" t="n">
        <v>90</v>
      </c>
      <c r="BL241" s="2" t="n">
        <v>90</v>
      </c>
      <c r="BM241" s="2" t="n">
        <v>90</v>
      </c>
      <c r="BN241" s="2" t="n">
        <v>90</v>
      </c>
      <c r="BO241" s="2" t="n">
        <v>90</v>
      </c>
      <c r="BP241" s="2" t="n">
        <v>90</v>
      </c>
      <c r="BQ241" s="2" t="n">
        <v>90</v>
      </c>
      <c r="BR241" s="2" t="n">
        <v>90</v>
      </c>
      <c r="BS241" s="2" t="n">
        <v>90</v>
      </c>
      <c r="BT241" s="2" t="n">
        <v>90</v>
      </c>
      <c r="BU241" s="2" t="n">
        <v>90</v>
      </c>
      <c r="BV241" s="2" t="n">
        <v>90</v>
      </c>
      <c r="BW241" s="2" t="n">
        <v>90</v>
      </c>
      <c r="BX241" s="2" t="n">
        <v>90</v>
      </c>
      <c r="BY241" s="2" t="n">
        <v>90</v>
      </c>
      <c r="BZ241" s="2" t="n">
        <v>90</v>
      </c>
      <c r="CA241" s="2" t="n">
        <v>90</v>
      </c>
      <c r="CB241" s="2" t="n">
        <v>90</v>
      </c>
      <c r="CC241" s="2" t="n">
        <v>90</v>
      </c>
      <c r="CD241" s="2" t="n">
        <v>90</v>
      </c>
      <c r="CE241" s="2" t="n">
        <v>90</v>
      </c>
      <c r="CF241" s="2" t="n">
        <v>90</v>
      </c>
      <c r="CG241" s="2" t="n">
        <v>90</v>
      </c>
      <c r="CH241" s="2" t="n">
        <v>90</v>
      </c>
      <c r="CI241" s="2" t="n">
        <v>90</v>
      </c>
      <c r="CJ241" s="2" t="n">
        <v>90</v>
      </c>
      <c r="CK241" s="2" t="n">
        <v>90</v>
      </c>
      <c r="CL241" s="2" t="n">
        <v>90</v>
      </c>
      <c r="CM241" s="2" t="n">
        <v>90</v>
      </c>
      <c r="CN241" s="2" t="n">
        <v>90</v>
      </c>
      <c r="CO241" s="2" t="n">
        <v>90</v>
      </c>
      <c r="CP241" s="2" t="n">
        <v>90</v>
      </c>
      <c r="CQ241" s="2" t="n">
        <v>90</v>
      </c>
      <c r="CR241" s="2" t="n">
        <v>90.91</v>
      </c>
      <c r="CS241" s="2" t="n">
        <v>90.91</v>
      </c>
      <c r="CT241" s="2" t="n">
        <v>90</v>
      </c>
      <c r="CU241" s="2" t="n">
        <v>100</v>
      </c>
      <c r="CV241" s="2" t="n">
        <v>100</v>
      </c>
      <c r="CW241" s="2" t="n">
        <v>90</v>
      </c>
      <c r="CX241" s="2" t="n">
        <v>100</v>
      </c>
      <c r="CY241" s="2" t="n">
        <v>100</v>
      </c>
      <c r="CZ241" s="2" t="n">
        <v>90</v>
      </c>
      <c r="DA241" s="2" t="n">
        <v>100</v>
      </c>
      <c r="DB241" s="2" t="n">
        <v>100</v>
      </c>
      <c r="DC241" s="2" t="n">
        <v>90</v>
      </c>
      <c r="DD241" s="2" t="n">
        <v>100</v>
      </c>
      <c r="DE241" s="2" t="n">
        <v>100</v>
      </c>
      <c r="DF241" s="2" t="n">
        <v>90</v>
      </c>
      <c r="DG241" s="2" t="n">
        <v>100</v>
      </c>
      <c r="DH241" s="2" t="n">
        <v>100</v>
      </c>
      <c r="DI241" s="2" t="n">
        <v>90</v>
      </c>
      <c r="DJ241" s="2" t="n">
        <v>100</v>
      </c>
      <c r="DK241" s="2" t="n">
        <v>100</v>
      </c>
      <c r="DL241" s="2" t="n">
        <v>90</v>
      </c>
      <c r="DM241" s="2" t="n">
        <v>100</v>
      </c>
      <c r="DN241" s="2" t="n">
        <v>100</v>
      </c>
      <c r="DO241" s="2" t="n">
        <v>90</v>
      </c>
      <c r="DP241" s="2" t="n">
        <v>100</v>
      </c>
      <c r="DQ241" s="2" t="n">
        <v>100</v>
      </c>
      <c r="DR241" s="2" t="n">
        <v>90</v>
      </c>
      <c r="DS241" s="2" t="n">
        <v>100</v>
      </c>
      <c r="DT241" s="2" t="n">
        <v>100</v>
      </c>
      <c r="DU241" s="2" t="n">
        <v>90</v>
      </c>
      <c r="DV241" s="2" t="n">
        <v>100</v>
      </c>
      <c r="DW241" s="2" t="n">
        <v>100</v>
      </c>
      <c r="DX241" s="2" t="n">
        <v>90</v>
      </c>
      <c r="DY241" s="2" t="n">
        <v>100</v>
      </c>
      <c r="DZ241" s="2" t="n">
        <v>100</v>
      </c>
      <c r="EA241" s="2" t="n">
        <v>90</v>
      </c>
      <c r="EB241" s="2" t="n">
        <v>100</v>
      </c>
      <c r="EC241" s="2" t="n">
        <v>100</v>
      </c>
      <c r="ED241" s="2" t="n">
        <v>90</v>
      </c>
      <c r="EE241" s="2" t="n">
        <v>100</v>
      </c>
      <c r="EF241" s="2" t="n">
        <v>100</v>
      </c>
      <c r="EG241" s="2" t="n">
        <v>90</v>
      </c>
      <c r="EH241" s="2" t="n">
        <v>100</v>
      </c>
      <c r="EI241" s="2" t="n">
        <v>100</v>
      </c>
      <c r="EJ241" s="2" t="n">
        <v>90</v>
      </c>
      <c r="EK241" s="2" t="n">
        <v>100</v>
      </c>
      <c r="EL241" s="2" t="n">
        <v>100</v>
      </c>
      <c r="EM241" s="2" t="n">
        <v>90</v>
      </c>
      <c r="EN241" s="2" t="n">
        <v>100</v>
      </c>
      <c r="EO241" s="2" t="n">
        <v>100</v>
      </c>
      <c r="EP241" s="2" t="n">
        <v>90</v>
      </c>
      <c r="EQ241" s="2" t="n">
        <v>100</v>
      </c>
      <c r="ER241" s="2" t="n">
        <v>100</v>
      </c>
      <c r="ES241" s="2" t="n">
        <v>90</v>
      </c>
      <c r="ET241" s="2" t="n">
        <v>100</v>
      </c>
      <c r="EU241" s="2" t="n">
        <v>100</v>
      </c>
      <c r="EV241" s="2" t="n">
        <v>90</v>
      </c>
      <c r="EW241" s="2" t="n">
        <v>100</v>
      </c>
      <c r="EX241" s="2" t="n">
        <v>100</v>
      </c>
      <c r="EY241" s="2" t="n">
        <v>90</v>
      </c>
      <c r="EZ241" s="2" t="n">
        <v>100</v>
      </c>
      <c r="FA241" s="2" t="n">
        <v>100</v>
      </c>
      <c r="FB241" s="2" t="n">
        <v>90</v>
      </c>
      <c r="FC241" s="2" t="n">
        <v>100</v>
      </c>
      <c r="FD241" s="2" t="n">
        <v>100</v>
      </c>
      <c r="FE241" s="2" t="n">
        <v>90</v>
      </c>
      <c r="FF241" s="2" t="n">
        <v>100</v>
      </c>
      <c r="FG241" s="2" t="n">
        <v>100</v>
      </c>
      <c r="FH241" s="2" t="n">
        <v>90</v>
      </c>
      <c r="FI241" s="2" t="n">
        <v>100</v>
      </c>
      <c r="FJ241" s="2" t="n">
        <v>100</v>
      </c>
      <c r="FK241" s="2" t="n">
        <v>90</v>
      </c>
      <c r="FL241" s="2" t="n">
        <v>100</v>
      </c>
      <c r="FM241" s="2" t="n">
        <v>100</v>
      </c>
      <c r="FN241" s="2" t="n">
        <v>90</v>
      </c>
      <c r="FO241" s="2" t="n">
        <v>100</v>
      </c>
      <c r="FP241" s="2" t="n">
        <v>100</v>
      </c>
      <c r="FQ241" s="2" t="n">
        <v>90</v>
      </c>
    </row>
    <row r="242">
      <c r="A242" s="2" t="n">
        <v>3</v>
      </c>
      <c r="B242" s="2" t="inlineStr">
        <is>
          <t>12.01.01</t>
        </is>
      </c>
      <c r="C242" s="2" t="inlineStr">
        <is>
          <t>Demolições</t>
        </is>
      </c>
      <c r="D242" s="2" t="inlineStr">
        <is>
          <t>01/08/2024</t>
        </is>
      </c>
      <c r="E242" s="2" t="inlineStr">
        <is>
          <t>12/02/2027</t>
        </is>
      </c>
      <c r="F242" s="2" t="n">
        <v>204560</v>
      </c>
      <c r="G242" s="2" t="n">
        <v>0</v>
      </c>
      <c r="H242" s="2" t="n">
        <v>204560</v>
      </c>
      <c r="I242" s="2" t="n">
        <v>49.5</v>
      </c>
      <c r="J242" s="2" t="n">
        <v>49.5</v>
      </c>
      <c r="K242" s="2" t="n">
        <v>0</v>
      </c>
      <c r="L242" s="2" t="n">
        <v>90</v>
      </c>
      <c r="M242" s="2" t="n">
        <v>90</v>
      </c>
      <c r="N242" s="2" t="n">
        <v>0</v>
      </c>
      <c r="O242" s="2" t="n">
        <v>90</v>
      </c>
      <c r="P242" s="2" t="n">
        <v>90</v>
      </c>
      <c r="Q242" s="2" t="n">
        <v>0</v>
      </c>
      <c r="R242" s="2" t="n">
        <v>90</v>
      </c>
      <c r="S242" s="2" t="n">
        <v>90</v>
      </c>
      <c r="T242" s="2" t="n">
        <v>0</v>
      </c>
      <c r="U242" s="2" t="n">
        <v>90</v>
      </c>
      <c r="V242" s="2" t="n">
        <v>90</v>
      </c>
      <c r="W242" s="2" t="n">
        <v>0</v>
      </c>
      <c r="X242" s="2" t="n">
        <v>90</v>
      </c>
      <c r="Y242" s="2" t="n">
        <v>90</v>
      </c>
      <c r="Z242" s="2" t="n">
        <v>0</v>
      </c>
      <c r="AA242" s="2" t="n">
        <v>90</v>
      </c>
      <c r="AB242" s="2" t="n">
        <v>90</v>
      </c>
      <c r="AC242" s="2" t="n">
        <v>0</v>
      </c>
      <c r="AD242" s="2" t="n">
        <v>90</v>
      </c>
      <c r="AE242" s="2" t="n">
        <v>90</v>
      </c>
      <c r="AF242" s="2" t="n">
        <v>0</v>
      </c>
      <c r="AG242" s="2" t="n">
        <v>90</v>
      </c>
      <c r="AH242" s="2" t="n">
        <v>90</v>
      </c>
      <c r="AI242" s="2" t="n">
        <v>90</v>
      </c>
      <c r="AJ242" s="2" t="n">
        <v>90</v>
      </c>
      <c r="AK242" s="2" t="n">
        <v>90</v>
      </c>
      <c r="AL242" s="2" t="n">
        <v>90</v>
      </c>
      <c r="AM242" s="2" t="n">
        <v>90</v>
      </c>
      <c r="AN242" s="2" t="n">
        <v>90</v>
      </c>
      <c r="AO242" s="2" t="n">
        <v>90</v>
      </c>
      <c r="AP242" s="2" t="n">
        <v>90</v>
      </c>
      <c r="AQ242" s="2" t="n">
        <v>90</v>
      </c>
      <c r="AR242" s="2" t="n">
        <v>90</v>
      </c>
      <c r="AS242" s="2" t="n">
        <v>90</v>
      </c>
      <c r="AT242" s="2" t="n">
        <v>90</v>
      </c>
      <c r="AU242" s="2" t="n">
        <v>90</v>
      </c>
      <c r="AV242" s="2" t="n">
        <v>90</v>
      </c>
      <c r="AW242" s="2" t="n">
        <v>90</v>
      </c>
      <c r="AX242" s="2" t="n">
        <v>90</v>
      </c>
      <c r="AY242" s="2" t="n">
        <v>90</v>
      </c>
      <c r="AZ242" s="2" t="n">
        <v>90</v>
      </c>
      <c r="BA242" s="2" t="n">
        <v>90</v>
      </c>
      <c r="BB242" s="2" t="n">
        <v>90</v>
      </c>
      <c r="BC242" s="2" t="n">
        <v>90</v>
      </c>
      <c r="BD242" s="2" t="n">
        <v>90</v>
      </c>
      <c r="BE242" s="2" t="n">
        <v>90</v>
      </c>
      <c r="BF242" s="2" t="n">
        <v>90</v>
      </c>
      <c r="BG242" s="2" t="n">
        <v>90</v>
      </c>
      <c r="BH242" s="2" t="n">
        <v>90</v>
      </c>
      <c r="BI242" s="2" t="n">
        <v>90</v>
      </c>
      <c r="BJ242" s="2" t="n">
        <v>90</v>
      </c>
      <c r="BK242" s="2" t="n">
        <v>90</v>
      </c>
      <c r="BL242" s="2" t="n">
        <v>90</v>
      </c>
      <c r="BM242" s="2" t="n">
        <v>90</v>
      </c>
      <c r="BN242" s="2" t="n">
        <v>90</v>
      </c>
      <c r="BO242" s="2" t="n">
        <v>90</v>
      </c>
      <c r="BP242" s="2" t="n">
        <v>90</v>
      </c>
      <c r="BQ242" s="2" t="n">
        <v>90</v>
      </c>
      <c r="BR242" s="2" t="n">
        <v>90</v>
      </c>
      <c r="BS242" s="2" t="n">
        <v>90</v>
      </c>
      <c r="BT242" s="2" t="n">
        <v>90</v>
      </c>
      <c r="BU242" s="2" t="n">
        <v>90</v>
      </c>
      <c r="BV242" s="2" t="n">
        <v>90</v>
      </c>
      <c r="BW242" s="2" t="n">
        <v>90</v>
      </c>
      <c r="BX242" s="2" t="n">
        <v>90</v>
      </c>
      <c r="BY242" s="2" t="n">
        <v>90</v>
      </c>
      <c r="BZ242" s="2" t="n">
        <v>90</v>
      </c>
      <c r="CA242" s="2" t="n">
        <v>90</v>
      </c>
      <c r="CB242" s="2" t="n">
        <v>90</v>
      </c>
      <c r="CC242" s="2" t="n">
        <v>90</v>
      </c>
      <c r="CD242" s="2" t="n">
        <v>90</v>
      </c>
      <c r="CE242" s="2" t="n">
        <v>90</v>
      </c>
      <c r="CF242" s="2" t="n">
        <v>90</v>
      </c>
      <c r="CG242" s="2" t="n">
        <v>90</v>
      </c>
      <c r="CH242" s="2" t="n">
        <v>90</v>
      </c>
      <c r="CI242" s="2" t="n">
        <v>90</v>
      </c>
      <c r="CJ242" s="2" t="n">
        <v>90</v>
      </c>
      <c r="CK242" s="2" t="n">
        <v>90</v>
      </c>
      <c r="CL242" s="2" t="n">
        <v>90</v>
      </c>
      <c r="CM242" s="2" t="n">
        <v>90</v>
      </c>
      <c r="CN242" s="2" t="n">
        <v>90</v>
      </c>
      <c r="CO242" s="2" t="n">
        <v>90</v>
      </c>
      <c r="CP242" s="2" t="n">
        <v>90</v>
      </c>
      <c r="CQ242" s="2" t="n">
        <v>90</v>
      </c>
      <c r="CR242" s="2" t="n">
        <v>90.91</v>
      </c>
      <c r="CS242" s="2" t="n">
        <v>90.91</v>
      </c>
      <c r="CT242" s="2" t="n">
        <v>90</v>
      </c>
      <c r="CU242" s="2" t="n">
        <v>100</v>
      </c>
      <c r="CV242" s="2" t="n">
        <v>100</v>
      </c>
      <c r="CW242" s="2" t="n">
        <v>90</v>
      </c>
      <c r="CX242" s="2" t="n">
        <v>100</v>
      </c>
      <c r="CY242" s="2" t="n">
        <v>100</v>
      </c>
      <c r="CZ242" s="2" t="n">
        <v>90</v>
      </c>
      <c r="DA242" s="2" t="n">
        <v>100</v>
      </c>
      <c r="DB242" s="2" t="n">
        <v>100</v>
      </c>
      <c r="DC242" s="2" t="n">
        <v>90</v>
      </c>
      <c r="DD242" s="2" t="n">
        <v>100</v>
      </c>
      <c r="DE242" s="2" t="n">
        <v>100</v>
      </c>
      <c r="DF242" s="2" t="n">
        <v>90</v>
      </c>
      <c r="DG242" s="2" t="n">
        <v>100</v>
      </c>
      <c r="DH242" s="2" t="n">
        <v>100</v>
      </c>
      <c r="DI242" s="2" t="n">
        <v>90</v>
      </c>
      <c r="DJ242" s="2" t="n">
        <v>100</v>
      </c>
      <c r="DK242" s="2" t="n">
        <v>100</v>
      </c>
      <c r="DL242" s="2" t="n">
        <v>90</v>
      </c>
      <c r="DM242" s="2" t="n">
        <v>100</v>
      </c>
      <c r="DN242" s="2" t="n">
        <v>100</v>
      </c>
      <c r="DO242" s="2" t="n">
        <v>90</v>
      </c>
      <c r="DP242" s="2" t="n">
        <v>100</v>
      </c>
      <c r="DQ242" s="2" t="n">
        <v>100</v>
      </c>
      <c r="DR242" s="2" t="n">
        <v>90</v>
      </c>
      <c r="DS242" s="2" t="n">
        <v>100</v>
      </c>
      <c r="DT242" s="2" t="n">
        <v>100</v>
      </c>
      <c r="DU242" s="2" t="n">
        <v>90</v>
      </c>
      <c r="DV242" s="2" t="n">
        <v>100</v>
      </c>
      <c r="DW242" s="2" t="n">
        <v>100</v>
      </c>
      <c r="DX242" s="2" t="n">
        <v>90</v>
      </c>
      <c r="DY242" s="2" t="n">
        <v>100</v>
      </c>
      <c r="DZ242" s="2" t="n">
        <v>100</v>
      </c>
      <c r="EA242" s="2" t="n">
        <v>90</v>
      </c>
      <c r="EB242" s="2" t="n">
        <v>100</v>
      </c>
      <c r="EC242" s="2" t="n">
        <v>100</v>
      </c>
      <c r="ED242" s="2" t="n">
        <v>90</v>
      </c>
      <c r="EE242" s="2" t="n">
        <v>100</v>
      </c>
      <c r="EF242" s="2" t="n">
        <v>100</v>
      </c>
      <c r="EG242" s="2" t="n">
        <v>90</v>
      </c>
      <c r="EH242" s="2" t="n">
        <v>100</v>
      </c>
      <c r="EI242" s="2" t="n">
        <v>100</v>
      </c>
      <c r="EJ242" s="2" t="n">
        <v>90</v>
      </c>
      <c r="EK242" s="2" t="n">
        <v>100</v>
      </c>
      <c r="EL242" s="2" t="n">
        <v>100</v>
      </c>
      <c r="EM242" s="2" t="n">
        <v>90</v>
      </c>
      <c r="EN242" s="2" t="n">
        <v>100</v>
      </c>
      <c r="EO242" s="2" t="n">
        <v>100</v>
      </c>
      <c r="EP242" s="2" t="n">
        <v>90</v>
      </c>
      <c r="EQ242" s="2" t="n">
        <v>100</v>
      </c>
      <c r="ER242" s="2" t="n">
        <v>100</v>
      </c>
      <c r="ES242" s="2" t="n">
        <v>90</v>
      </c>
      <c r="ET242" s="2" t="n">
        <v>100</v>
      </c>
      <c r="EU242" s="2" t="n">
        <v>100</v>
      </c>
      <c r="EV242" s="2" t="n">
        <v>90</v>
      </c>
      <c r="EW242" s="2" t="n">
        <v>100</v>
      </c>
      <c r="EX242" s="2" t="n">
        <v>100</v>
      </c>
      <c r="EY242" s="2" t="n">
        <v>90</v>
      </c>
      <c r="EZ242" s="2" t="n">
        <v>100</v>
      </c>
      <c r="FA242" s="2" t="n">
        <v>100</v>
      </c>
      <c r="FB242" s="2" t="n">
        <v>90</v>
      </c>
      <c r="FC242" s="2" t="n">
        <v>100</v>
      </c>
      <c r="FD242" s="2" t="n">
        <v>100</v>
      </c>
      <c r="FE242" s="2" t="n">
        <v>90</v>
      </c>
      <c r="FF242" s="2" t="n">
        <v>100</v>
      </c>
      <c r="FG242" s="2" t="n">
        <v>100</v>
      </c>
      <c r="FH242" s="2" t="n">
        <v>90</v>
      </c>
      <c r="FI242" s="2" t="n">
        <v>100</v>
      </c>
      <c r="FJ242" s="2" t="n">
        <v>100</v>
      </c>
      <c r="FK242" s="2" t="n">
        <v>90</v>
      </c>
      <c r="FL242" s="2" t="n">
        <v>100</v>
      </c>
      <c r="FM242" s="2" t="n">
        <v>100</v>
      </c>
      <c r="FN242" s="2" t="n">
        <v>90</v>
      </c>
      <c r="FO242" s="2" t="n">
        <v>100</v>
      </c>
      <c r="FP242" s="2" t="n">
        <v>100</v>
      </c>
      <c r="FQ242" s="2" t="n">
        <v>90</v>
      </c>
    </row>
    <row r="243">
      <c r="A243" s="2" t="n">
        <v>3</v>
      </c>
      <c r="B243" s="2" t="inlineStr">
        <is>
          <t>12.01.02</t>
        </is>
      </c>
      <c r="C243" s="2" t="inlineStr">
        <is>
          <t>Supressão Vegetal</t>
        </is>
      </c>
      <c r="D243" s="2" t="inlineStr">
        <is>
          <t>01/08/2024</t>
        </is>
      </c>
      <c r="E243" s="2" t="inlineStr">
        <is>
          <t>12/02/2027</t>
        </is>
      </c>
      <c r="F243" s="2" t="n">
        <v>345355.9</v>
      </c>
      <c r="G243" s="2" t="n">
        <v>0</v>
      </c>
      <c r="H243" s="2" t="n">
        <v>345355.9</v>
      </c>
      <c r="I243" s="2" t="n">
        <v>49.5</v>
      </c>
      <c r="J243" s="2" t="n">
        <v>49.5</v>
      </c>
      <c r="K243" s="2" t="n">
        <v>0</v>
      </c>
      <c r="L243" s="2" t="n">
        <v>90</v>
      </c>
      <c r="M243" s="2" t="n">
        <v>90</v>
      </c>
      <c r="N243" s="2" t="n">
        <v>0</v>
      </c>
      <c r="O243" s="2" t="n">
        <v>90</v>
      </c>
      <c r="P243" s="2" t="n">
        <v>90</v>
      </c>
      <c r="Q243" s="2" t="n">
        <v>0</v>
      </c>
      <c r="R243" s="2" t="n">
        <v>90</v>
      </c>
      <c r="S243" s="2" t="n">
        <v>90</v>
      </c>
      <c r="T243" s="2" t="n">
        <v>0</v>
      </c>
      <c r="U243" s="2" t="n">
        <v>90</v>
      </c>
      <c r="V243" s="2" t="n">
        <v>90</v>
      </c>
      <c r="W243" s="2" t="n">
        <v>0</v>
      </c>
      <c r="X243" s="2" t="n">
        <v>90</v>
      </c>
      <c r="Y243" s="2" t="n">
        <v>90</v>
      </c>
      <c r="Z243" s="2" t="n">
        <v>0</v>
      </c>
      <c r="AA243" s="2" t="n">
        <v>90</v>
      </c>
      <c r="AB243" s="2" t="n">
        <v>90</v>
      </c>
      <c r="AC243" s="2" t="n">
        <v>0</v>
      </c>
      <c r="AD243" s="2" t="n">
        <v>90</v>
      </c>
      <c r="AE243" s="2" t="n">
        <v>90</v>
      </c>
      <c r="AF243" s="2" t="n">
        <v>0</v>
      </c>
      <c r="AG243" s="2" t="n">
        <v>90</v>
      </c>
      <c r="AH243" s="2" t="n">
        <v>90</v>
      </c>
      <c r="AI243" s="2" t="n">
        <v>90</v>
      </c>
      <c r="AJ243" s="2" t="n">
        <v>90</v>
      </c>
      <c r="AK243" s="2" t="n">
        <v>90</v>
      </c>
      <c r="AL243" s="2" t="n">
        <v>90</v>
      </c>
      <c r="AM243" s="2" t="n">
        <v>90</v>
      </c>
      <c r="AN243" s="2" t="n">
        <v>90</v>
      </c>
      <c r="AO243" s="2" t="n">
        <v>90</v>
      </c>
      <c r="AP243" s="2" t="n">
        <v>90</v>
      </c>
      <c r="AQ243" s="2" t="n">
        <v>90</v>
      </c>
      <c r="AR243" s="2" t="n">
        <v>90</v>
      </c>
      <c r="AS243" s="2" t="n">
        <v>90</v>
      </c>
      <c r="AT243" s="2" t="n">
        <v>90</v>
      </c>
      <c r="AU243" s="2" t="n">
        <v>90</v>
      </c>
      <c r="AV243" s="2" t="n">
        <v>90</v>
      </c>
      <c r="AW243" s="2" t="n">
        <v>90</v>
      </c>
      <c r="AX243" s="2" t="n">
        <v>90</v>
      </c>
      <c r="AY243" s="2" t="n">
        <v>90</v>
      </c>
      <c r="AZ243" s="2" t="n">
        <v>90</v>
      </c>
      <c r="BA243" s="2" t="n">
        <v>90</v>
      </c>
      <c r="BB243" s="2" t="n">
        <v>90</v>
      </c>
      <c r="BC243" s="2" t="n">
        <v>90</v>
      </c>
      <c r="BD243" s="2" t="n">
        <v>90</v>
      </c>
      <c r="BE243" s="2" t="n">
        <v>90</v>
      </c>
      <c r="BF243" s="2" t="n">
        <v>90</v>
      </c>
      <c r="BG243" s="2" t="n">
        <v>90</v>
      </c>
      <c r="BH243" s="2" t="n">
        <v>90</v>
      </c>
      <c r="BI243" s="2" t="n">
        <v>90</v>
      </c>
      <c r="BJ243" s="2" t="n">
        <v>90</v>
      </c>
      <c r="BK243" s="2" t="n">
        <v>90</v>
      </c>
      <c r="BL243" s="2" t="n">
        <v>90</v>
      </c>
      <c r="BM243" s="2" t="n">
        <v>90</v>
      </c>
      <c r="BN243" s="2" t="n">
        <v>90</v>
      </c>
      <c r="BO243" s="2" t="n">
        <v>90</v>
      </c>
      <c r="BP243" s="2" t="n">
        <v>90</v>
      </c>
      <c r="BQ243" s="2" t="n">
        <v>90</v>
      </c>
      <c r="BR243" s="2" t="n">
        <v>90</v>
      </c>
      <c r="BS243" s="2" t="n">
        <v>90</v>
      </c>
      <c r="BT243" s="2" t="n">
        <v>90</v>
      </c>
      <c r="BU243" s="2" t="n">
        <v>90</v>
      </c>
      <c r="BV243" s="2" t="n">
        <v>90</v>
      </c>
      <c r="BW243" s="2" t="n">
        <v>90</v>
      </c>
      <c r="BX243" s="2" t="n">
        <v>90</v>
      </c>
      <c r="BY243" s="2" t="n">
        <v>90</v>
      </c>
      <c r="BZ243" s="2" t="n">
        <v>90</v>
      </c>
      <c r="CA243" s="2" t="n">
        <v>90</v>
      </c>
      <c r="CB243" s="2" t="n">
        <v>90</v>
      </c>
      <c r="CC243" s="2" t="n">
        <v>90</v>
      </c>
      <c r="CD243" s="2" t="n">
        <v>90</v>
      </c>
      <c r="CE243" s="2" t="n">
        <v>90</v>
      </c>
      <c r="CF243" s="2" t="n">
        <v>90</v>
      </c>
      <c r="CG243" s="2" t="n">
        <v>90</v>
      </c>
      <c r="CH243" s="2" t="n">
        <v>90</v>
      </c>
      <c r="CI243" s="2" t="n">
        <v>90</v>
      </c>
      <c r="CJ243" s="2" t="n">
        <v>90</v>
      </c>
      <c r="CK243" s="2" t="n">
        <v>90</v>
      </c>
      <c r="CL243" s="2" t="n">
        <v>90</v>
      </c>
      <c r="CM243" s="2" t="n">
        <v>90</v>
      </c>
      <c r="CN243" s="2" t="n">
        <v>90</v>
      </c>
      <c r="CO243" s="2" t="n">
        <v>90</v>
      </c>
      <c r="CP243" s="2" t="n">
        <v>90</v>
      </c>
      <c r="CQ243" s="2" t="n">
        <v>90</v>
      </c>
      <c r="CR243" s="2" t="n">
        <v>90.91</v>
      </c>
      <c r="CS243" s="2" t="n">
        <v>90.91</v>
      </c>
      <c r="CT243" s="2" t="n">
        <v>90</v>
      </c>
      <c r="CU243" s="2" t="n">
        <v>100</v>
      </c>
      <c r="CV243" s="2" t="n">
        <v>100</v>
      </c>
      <c r="CW243" s="2" t="n">
        <v>90</v>
      </c>
      <c r="CX243" s="2" t="n">
        <v>100</v>
      </c>
      <c r="CY243" s="2" t="n">
        <v>100</v>
      </c>
      <c r="CZ243" s="2" t="n">
        <v>90</v>
      </c>
      <c r="DA243" s="2" t="n">
        <v>100</v>
      </c>
      <c r="DB243" s="2" t="n">
        <v>100</v>
      </c>
      <c r="DC243" s="2" t="n">
        <v>90</v>
      </c>
      <c r="DD243" s="2" t="n">
        <v>100</v>
      </c>
      <c r="DE243" s="2" t="n">
        <v>100</v>
      </c>
      <c r="DF243" s="2" t="n">
        <v>90</v>
      </c>
      <c r="DG243" s="2" t="n">
        <v>100</v>
      </c>
      <c r="DH243" s="2" t="n">
        <v>100</v>
      </c>
      <c r="DI243" s="2" t="n">
        <v>90</v>
      </c>
      <c r="DJ243" s="2" t="n">
        <v>100</v>
      </c>
      <c r="DK243" s="2" t="n">
        <v>100</v>
      </c>
      <c r="DL243" s="2" t="n">
        <v>90</v>
      </c>
      <c r="DM243" s="2" t="n">
        <v>100</v>
      </c>
      <c r="DN243" s="2" t="n">
        <v>100</v>
      </c>
      <c r="DO243" s="2" t="n">
        <v>90</v>
      </c>
      <c r="DP243" s="2" t="n">
        <v>100</v>
      </c>
      <c r="DQ243" s="2" t="n">
        <v>100</v>
      </c>
      <c r="DR243" s="2" t="n">
        <v>90</v>
      </c>
      <c r="DS243" s="2" t="n">
        <v>100</v>
      </c>
      <c r="DT243" s="2" t="n">
        <v>100</v>
      </c>
      <c r="DU243" s="2" t="n">
        <v>90</v>
      </c>
      <c r="DV243" s="2" t="n">
        <v>100</v>
      </c>
      <c r="DW243" s="2" t="n">
        <v>100</v>
      </c>
      <c r="DX243" s="2" t="n">
        <v>90</v>
      </c>
      <c r="DY243" s="2" t="n">
        <v>100</v>
      </c>
      <c r="DZ243" s="2" t="n">
        <v>100</v>
      </c>
      <c r="EA243" s="2" t="n">
        <v>90</v>
      </c>
      <c r="EB243" s="2" t="n">
        <v>100</v>
      </c>
      <c r="EC243" s="2" t="n">
        <v>100</v>
      </c>
      <c r="ED243" s="2" t="n">
        <v>90</v>
      </c>
      <c r="EE243" s="2" t="n">
        <v>100</v>
      </c>
      <c r="EF243" s="2" t="n">
        <v>100</v>
      </c>
      <c r="EG243" s="2" t="n">
        <v>90</v>
      </c>
      <c r="EH243" s="2" t="n">
        <v>100</v>
      </c>
      <c r="EI243" s="2" t="n">
        <v>100</v>
      </c>
      <c r="EJ243" s="2" t="n">
        <v>90</v>
      </c>
      <c r="EK243" s="2" t="n">
        <v>100</v>
      </c>
      <c r="EL243" s="2" t="n">
        <v>100</v>
      </c>
      <c r="EM243" s="2" t="n">
        <v>90</v>
      </c>
      <c r="EN243" s="2" t="n">
        <v>100</v>
      </c>
      <c r="EO243" s="2" t="n">
        <v>100</v>
      </c>
      <c r="EP243" s="2" t="n">
        <v>90</v>
      </c>
      <c r="EQ243" s="2" t="n">
        <v>100</v>
      </c>
      <c r="ER243" s="2" t="n">
        <v>100</v>
      </c>
      <c r="ES243" s="2" t="n">
        <v>90</v>
      </c>
      <c r="ET243" s="2" t="n">
        <v>100</v>
      </c>
      <c r="EU243" s="2" t="n">
        <v>100</v>
      </c>
      <c r="EV243" s="2" t="n">
        <v>90</v>
      </c>
      <c r="EW243" s="2" t="n">
        <v>100</v>
      </c>
      <c r="EX243" s="2" t="n">
        <v>100</v>
      </c>
      <c r="EY243" s="2" t="n">
        <v>90</v>
      </c>
      <c r="EZ243" s="2" t="n">
        <v>100</v>
      </c>
      <c r="FA243" s="2" t="n">
        <v>100</v>
      </c>
      <c r="FB243" s="2" t="n">
        <v>90</v>
      </c>
      <c r="FC243" s="2" t="n">
        <v>100</v>
      </c>
      <c r="FD243" s="2" t="n">
        <v>100</v>
      </c>
      <c r="FE243" s="2" t="n">
        <v>90</v>
      </c>
      <c r="FF243" s="2" t="n">
        <v>100</v>
      </c>
      <c r="FG243" s="2" t="n">
        <v>100</v>
      </c>
      <c r="FH243" s="2" t="n">
        <v>90</v>
      </c>
      <c r="FI243" s="2" t="n">
        <v>100</v>
      </c>
      <c r="FJ243" s="2" t="n">
        <v>100</v>
      </c>
      <c r="FK243" s="2" t="n">
        <v>90</v>
      </c>
      <c r="FL243" s="2" t="n">
        <v>100</v>
      </c>
      <c r="FM243" s="2" t="n">
        <v>100</v>
      </c>
      <c r="FN243" s="2" t="n">
        <v>90</v>
      </c>
      <c r="FO243" s="2" t="n">
        <v>100</v>
      </c>
      <c r="FP243" s="2" t="n">
        <v>100</v>
      </c>
      <c r="FQ243" s="2" t="n">
        <v>90</v>
      </c>
    </row>
    <row r="244">
      <c r="A244" s="2" t="n">
        <v>2</v>
      </c>
      <c r="B244" s="2" t="inlineStr">
        <is>
          <t>12.02</t>
        </is>
      </c>
      <c r="C244" s="2" t="inlineStr">
        <is>
          <t>Locação da obra</t>
        </is>
      </c>
      <c r="D244" s="2" t="inlineStr">
        <is>
          <t>01/08/2024</t>
        </is>
      </c>
      <c r="E244" s="2" t="inlineStr">
        <is>
          <t>12/02/2027</t>
        </is>
      </c>
      <c r="F244" s="2" t="n">
        <v>45326.77953726507</v>
      </c>
      <c r="G244" s="2" t="n">
        <v>0</v>
      </c>
      <c r="H244" s="2" t="n">
        <v>45326.77953726507</v>
      </c>
      <c r="I244" s="2" t="n">
        <v>49.5</v>
      </c>
      <c r="J244" s="2" t="n">
        <v>49.5</v>
      </c>
      <c r="K244" s="2" t="n">
        <v>0</v>
      </c>
      <c r="L244" s="2" t="n">
        <v>90</v>
      </c>
      <c r="M244" s="2" t="n">
        <v>90</v>
      </c>
      <c r="N244" s="2" t="n">
        <v>0</v>
      </c>
      <c r="O244" s="2" t="n">
        <v>90</v>
      </c>
      <c r="P244" s="2" t="n">
        <v>90</v>
      </c>
      <c r="Q244" s="2" t="n">
        <v>0</v>
      </c>
      <c r="R244" s="2" t="n">
        <v>90</v>
      </c>
      <c r="S244" s="2" t="n">
        <v>90</v>
      </c>
      <c r="T244" s="2" t="n">
        <v>0</v>
      </c>
      <c r="U244" s="2" t="n">
        <v>90</v>
      </c>
      <c r="V244" s="2" t="n">
        <v>90</v>
      </c>
      <c r="W244" s="2" t="n">
        <v>0</v>
      </c>
      <c r="X244" s="2" t="n">
        <v>90</v>
      </c>
      <c r="Y244" s="2" t="n">
        <v>90</v>
      </c>
      <c r="Z244" s="2" t="n">
        <v>0</v>
      </c>
      <c r="AA244" s="2" t="n">
        <v>90</v>
      </c>
      <c r="AB244" s="2" t="n">
        <v>90</v>
      </c>
      <c r="AC244" s="2" t="n">
        <v>0</v>
      </c>
      <c r="AD244" s="2" t="n">
        <v>90</v>
      </c>
      <c r="AE244" s="2" t="n">
        <v>90</v>
      </c>
      <c r="AF244" s="2" t="n">
        <v>0</v>
      </c>
      <c r="AG244" s="2" t="n">
        <v>90</v>
      </c>
      <c r="AH244" s="2" t="n">
        <v>90</v>
      </c>
      <c r="AI244" s="2" t="n">
        <v>90</v>
      </c>
      <c r="AJ244" s="2" t="n">
        <v>90</v>
      </c>
      <c r="AK244" s="2" t="n">
        <v>90</v>
      </c>
      <c r="AL244" s="2" t="n">
        <v>90</v>
      </c>
      <c r="AM244" s="2" t="n">
        <v>90</v>
      </c>
      <c r="AN244" s="2" t="n">
        <v>90</v>
      </c>
      <c r="AO244" s="2" t="n">
        <v>90</v>
      </c>
      <c r="AP244" s="2" t="n">
        <v>90</v>
      </c>
      <c r="AQ244" s="2" t="n">
        <v>90</v>
      </c>
      <c r="AR244" s="2" t="n">
        <v>90</v>
      </c>
      <c r="AS244" s="2" t="n">
        <v>90</v>
      </c>
      <c r="AT244" s="2" t="n">
        <v>90</v>
      </c>
      <c r="AU244" s="2" t="n">
        <v>90</v>
      </c>
      <c r="AV244" s="2" t="n">
        <v>90</v>
      </c>
      <c r="AW244" s="2" t="n">
        <v>90</v>
      </c>
      <c r="AX244" s="2" t="n">
        <v>90</v>
      </c>
      <c r="AY244" s="2" t="n">
        <v>90</v>
      </c>
      <c r="AZ244" s="2" t="n">
        <v>90</v>
      </c>
      <c r="BA244" s="2" t="n">
        <v>90</v>
      </c>
      <c r="BB244" s="2" t="n">
        <v>90</v>
      </c>
      <c r="BC244" s="2" t="n">
        <v>90</v>
      </c>
      <c r="BD244" s="2" t="n">
        <v>90</v>
      </c>
      <c r="BE244" s="2" t="n">
        <v>90</v>
      </c>
      <c r="BF244" s="2" t="n">
        <v>90</v>
      </c>
      <c r="BG244" s="2" t="n">
        <v>90</v>
      </c>
      <c r="BH244" s="2" t="n">
        <v>90</v>
      </c>
      <c r="BI244" s="2" t="n">
        <v>90</v>
      </c>
      <c r="BJ244" s="2" t="n">
        <v>90</v>
      </c>
      <c r="BK244" s="2" t="n">
        <v>90</v>
      </c>
      <c r="BL244" s="2" t="n">
        <v>90</v>
      </c>
      <c r="BM244" s="2" t="n">
        <v>90</v>
      </c>
      <c r="BN244" s="2" t="n">
        <v>90</v>
      </c>
      <c r="BO244" s="2" t="n">
        <v>90</v>
      </c>
      <c r="BP244" s="2" t="n">
        <v>90</v>
      </c>
      <c r="BQ244" s="2" t="n">
        <v>90</v>
      </c>
      <c r="BR244" s="2" t="n">
        <v>90</v>
      </c>
      <c r="BS244" s="2" t="n">
        <v>90</v>
      </c>
      <c r="BT244" s="2" t="n">
        <v>90</v>
      </c>
      <c r="BU244" s="2" t="n">
        <v>90</v>
      </c>
      <c r="BV244" s="2" t="n">
        <v>90</v>
      </c>
      <c r="BW244" s="2" t="n">
        <v>90</v>
      </c>
      <c r="BX244" s="2" t="n">
        <v>90</v>
      </c>
      <c r="BY244" s="2" t="n">
        <v>90</v>
      </c>
      <c r="BZ244" s="2" t="n">
        <v>90</v>
      </c>
      <c r="CA244" s="2" t="n">
        <v>90</v>
      </c>
      <c r="CB244" s="2" t="n">
        <v>90</v>
      </c>
      <c r="CC244" s="2" t="n">
        <v>90</v>
      </c>
      <c r="CD244" s="2" t="n">
        <v>90</v>
      </c>
      <c r="CE244" s="2" t="n">
        <v>90</v>
      </c>
      <c r="CF244" s="2" t="n">
        <v>90</v>
      </c>
      <c r="CG244" s="2" t="n">
        <v>90</v>
      </c>
      <c r="CH244" s="2" t="n">
        <v>90</v>
      </c>
      <c r="CI244" s="2" t="n">
        <v>90</v>
      </c>
      <c r="CJ244" s="2" t="n">
        <v>90</v>
      </c>
      <c r="CK244" s="2" t="n">
        <v>90</v>
      </c>
      <c r="CL244" s="2" t="n">
        <v>90</v>
      </c>
      <c r="CM244" s="2" t="n">
        <v>90</v>
      </c>
      <c r="CN244" s="2" t="n">
        <v>90</v>
      </c>
      <c r="CO244" s="2" t="n">
        <v>90</v>
      </c>
      <c r="CP244" s="2" t="n">
        <v>90</v>
      </c>
      <c r="CQ244" s="2" t="n">
        <v>90</v>
      </c>
      <c r="CR244" s="2" t="n">
        <v>90.91</v>
      </c>
      <c r="CS244" s="2" t="n">
        <v>90.91</v>
      </c>
      <c r="CT244" s="2" t="n">
        <v>90</v>
      </c>
      <c r="CU244" s="2" t="n">
        <v>100</v>
      </c>
      <c r="CV244" s="2" t="n">
        <v>100</v>
      </c>
      <c r="CW244" s="2" t="n">
        <v>90</v>
      </c>
      <c r="CX244" s="2" t="n">
        <v>100</v>
      </c>
      <c r="CY244" s="2" t="n">
        <v>100</v>
      </c>
      <c r="CZ244" s="2" t="n">
        <v>90</v>
      </c>
      <c r="DA244" s="2" t="n">
        <v>100</v>
      </c>
      <c r="DB244" s="2" t="n">
        <v>100</v>
      </c>
      <c r="DC244" s="2" t="n">
        <v>90</v>
      </c>
      <c r="DD244" s="2" t="n">
        <v>100</v>
      </c>
      <c r="DE244" s="2" t="n">
        <v>100</v>
      </c>
      <c r="DF244" s="2" t="n">
        <v>90</v>
      </c>
      <c r="DG244" s="2" t="n">
        <v>100</v>
      </c>
      <c r="DH244" s="2" t="n">
        <v>100</v>
      </c>
      <c r="DI244" s="2" t="n">
        <v>90</v>
      </c>
      <c r="DJ244" s="2" t="n">
        <v>100</v>
      </c>
      <c r="DK244" s="2" t="n">
        <v>100</v>
      </c>
      <c r="DL244" s="2" t="n">
        <v>90</v>
      </c>
      <c r="DM244" s="2" t="n">
        <v>100</v>
      </c>
      <c r="DN244" s="2" t="n">
        <v>100</v>
      </c>
      <c r="DO244" s="2" t="n">
        <v>90</v>
      </c>
      <c r="DP244" s="2" t="n">
        <v>100</v>
      </c>
      <c r="DQ244" s="2" t="n">
        <v>100</v>
      </c>
      <c r="DR244" s="2" t="n">
        <v>90</v>
      </c>
      <c r="DS244" s="2" t="n">
        <v>100</v>
      </c>
      <c r="DT244" s="2" t="n">
        <v>100</v>
      </c>
      <c r="DU244" s="2" t="n">
        <v>90</v>
      </c>
      <c r="DV244" s="2" t="n">
        <v>100</v>
      </c>
      <c r="DW244" s="2" t="n">
        <v>100</v>
      </c>
      <c r="DX244" s="2" t="n">
        <v>90</v>
      </c>
      <c r="DY244" s="2" t="n">
        <v>100</v>
      </c>
      <c r="DZ244" s="2" t="n">
        <v>100</v>
      </c>
      <c r="EA244" s="2" t="n">
        <v>90</v>
      </c>
      <c r="EB244" s="2" t="n">
        <v>100</v>
      </c>
      <c r="EC244" s="2" t="n">
        <v>100</v>
      </c>
      <c r="ED244" s="2" t="n">
        <v>90</v>
      </c>
      <c r="EE244" s="2" t="n">
        <v>100</v>
      </c>
      <c r="EF244" s="2" t="n">
        <v>100</v>
      </c>
      <c r="EG244" s="2" t="n">
        <v>90</v>
      </c>
      <c r="EH244" s="2" t="n">
        <v>100</v>
      </c>
      <c r="EI244" s="2" t="n">
        <v>100</v>
      </c>
      <c r="EJ244" s="2" t="n">
        <v>90</v>
      </c>
      <c r="EK244" s="2" t="n">
        <v>100</v>
      </c>
      <c r="EL244" s="2" t="n">
        <v>100</v>
      </c>
      <c r="EM244" s="2" t="n">
        <v>90</v>
      </c>
      <c r="EN244" s="2" t="n">
        <v>100</v>
      </c>
      <c r="EO244" s="2" t="n">
        <v>100</v>
      </c>
      <c r="EP244" s="2" t="n">
        <v>90</v>
      </c>
      <c r="EQ244" s="2" t="n">
        <v>100</v>
      </c>
      <c r="ER244" s="2" t="n">
        <v>100</v>
      </c>
      <c r="ES244" s="2" t="n">
        <v>90</v>
      </c>
      <c r="ET244" s="2" t="n">
        <v>100</v>
      </c>
      <c r="EU244" s="2" t="n">
        <v>100</v>
      </c>
      <c r="EV244" s="2" t="n">
        <v>90</v>
      </c>
      <c r="EW244" s="2" t="n">
        <v>100</v>
      </c>
      <c r="EX244" s="2" t="n">
        <v>100</v>
      </c>
      <c r="EY244" s="2" t="n">
        <v>90</v>
      </c>
      <c r="EZ244" s="2" t="n">
        <v>100</v>
      </c>
      <c r="FA244" s="2" t="n">
        <v>100</v>
      </c>
      <c r="FB244" s="2" t="n">
        <v>90</v>
      </c>
      <c r="FC244" s="2" t="n">
        <v>100</v>
      </c>
      <c r="FD244" s="2" t="n">
        <v>100</v>
      </c>
      <c r="FE244" s="2" t="n">
        <v>90</v>
      </c>
      <c r="FF244" s="2" t="n">
        <v>100</v>
      </c>
      <c r="FG244" s="2" t="n">
        <v>100</v>
      </c>
      <c r="FH244" s="2" t="n">
        <v>90</v>
      </c>
      <c r="FI244" s="2" t="n">
        <v>100</v>
      </c>
      <c r="FJ244" s="2" t="n">
        <v>100</v>
      </c>
      <c r="FK244" s="2" t="n">
        <v>90</v>
      </c>
      <c r="FL244" s="2" t="n">
        <v>100</v>
      </c>
      <c r="FM244" s="2" t="n">
        <v>100</v>
      </c>
      <c r="FN244" s="2" t="n">
        <v>90</v>
      </c>
      <c r="FO244" s="2" t="n">
        <v>100</v>
      </c>
      <c r="FP244" s="2" t="n">
        <v>100</v>
      </c>
      <c r="FQ244" s="2" t="n">
        <v>90</v>
      </c>
    </row>
    <row r="245">
      <c r="A245" s="2" t="n">
        <v>3</v>
      </c>
      <c r="B245" s="2" t="inlineStr">
        <is>
          <t>12.02.01</t>
        </is>
      </c>
      <c r="C245" s="2" t="inlineStr">
        <is>
          <t>Locação da obra</t>
        </is>
      </c>
      <c r="D245" s="2" t="inlineStr">
        <is>
          <t>01/08/2024</t>
        </is>
      </c>
      <c r="E245" s="2" t="inlineStr">
        <is>
          <t>12/02/2027</t>
        </is>
      </c>
      <c r="F245" s="2" t="n">
        <v>45326.77953726507</v>
      </c>
      <c r="G245" s="2" t="n">
        <v>0</v>
      </c>
      <c r="H245" s="2" t="n">
        <v>45326.77953726507</v>
      </c>
      <c r="I245" s="2" t="n">
        <v>49.5</v>
      </c>
      <c r="J245" s="2" t="n">
        <v>49.5</v>
      </c>
      <c r="K245" s="2" t="n">
        <v>0</v>
      </c>
      <c r="L245" s="2" t="n">
        <v>90</v>
      </c>
      <c r="M245" s="2" t="n">
        <v>90</v>
      </c>
      <c r="N245" s="2" t="n">
        <v>0</v>
      </c>
      <c r="O245" s="2" t="n">
        <v>90</v>
      </c>
      <c r="P245" s="2" t="n">
        <v>90</v>
      </c>
      <c r="Q245" s="2" t="n">
        <v>0</v>
      </c>
      <c r="R245" s="2" t="n">
        <v>90</v>
      </c>
      <c r="S245" s="2" t="n">
        <v>90</v>
      </c>
      <c r="T245" s="2" t="n">
        <v>0</v>
      </c>
      <c r="U245" s="2" t="n">
        <v>90</v>
      </c>
      <c r="V245" s="2" t="n">
        <v>90</v>
      </c>
      <c r="W245" s="2" t="n">
        <v>0</v>
      </c>
      <c r="X245" s="2" t="n">
        <v>90</v>
      </c>
      <c r="Y245" s="2" t="n">
        <v>90</v>
      </c>
      <c r="Z245" s="2" t="n">
        <v>0</v>
      </c>
      <c r="AA245" s="2" t="n">
        <v>90</v>
      </c>
      <c r="AB245" s="2" t="n">
        <v>90</v>
      </c>
      <c r="AC245" s="2" t="n">
        <v>0</v>
      </c>
      <c r="AD245" s="2" t="n">
        <v>90</v>
      </c>
      <c r="AE245" s="2" t="n">
        <v>90</v>
      </c>
      <c r="AF245" s="2" t="n">
        <v>0</v>
      </c>
      <c r="AG245" s="2" t="n">
        <v>90</v>
      </c>
      <c r="AH245" s="2" t="n">
        <v>90</v>
      </c>
      <c r="AI245" s="2" t="n">
        <v>90</v>
      </c>
      <c r="AJ245" s="2" t="n">
        <v>90</v>
      </c>
      <c r="AK245" s="2" t="n">
        <v>90</v>
      </c>
      <c r="AL245" s="2" t="n">
        <v>90</v>
      </c>
      <c r="AM245" s="2" t="n">
        <v>90</v>
      </c>
      <c r="AN245" s="2" t="n">
        <v>90</v>
      </c>
      <c r="AO245" s="2" t="n">
        <v>90</v>
      </c>
      <c r="AP245" s="2" t="n">
        <v>90</v>
      </c>
      <c r="AQ245" s="2" t="n">
        <v>90</v>
      </c>
      <c r="AR245" s="2" t="n">
        <v>90</v>
      </c>
      <c r="AS245" s="2" t="n">
        <v>90</v>
      </c>
      <c r="AT245" s="2" t="n">
        <v>90</v>
      </c>
      <c r="AU245" s="2" t="n">
        <v>90</v>
      </c>
      <c r="AV245" s="2" t="n">
        <v>90</v>
      </c>
      <c r="AW245" s="2" t="n">
        <v>90</v>
      </c>
      <c r="AX245" s="2" t="n">
        <v>90</v>
      </c>
      <c r="AY245" s="2" t="n">
        <v>90</v>
      </c>
      <c r="AZ245" s="2" t="n">
        <v>90</v>
      </c>
      <c r="BA245" s="2" t="n">
        <v>90</v>
      </c>
      <c r="BB245" s="2" t="n">
        <v>90</v>
      </c>
      <c r="BC245" s="2" t="n">
        <v>90</v>
      </c>
      <c r="BD245" s="2" t="n">
        <v>90</v>
      </c>
      <c r="BE245" s="2" t="n">
        <v>90</v>
      </c>
      <c r="BF245" s="2" t="n">
        <v>90</v>
      </c>
      <c r="BG245" s="2" t="n">
        <v>90</v>
      </c>
      <c r="BH245" s="2" t="n">
        <v>90</v>
      </c>
      <c r="BI245" s="2" t="n">
        <v>90</v>
      </c>
      <c r="BJ245" s="2" t="n">
        <v>90</v>
      </c>
      <c r="BK245" s="2" t="n">
        <v>90</v>
      </c>
      <c r="BL245" s="2" t="n">
        <v>90</v>
      </c>
      <c r="BM245" s="2" t="n">
        <v>90</v>
      </c>
      <c r="BN245" s="2" t="n">
        <v>90</v>
      </c>
      <c r="BO245" s="2" t="n">
        <v>90</v>
      </c>
      <c r="BP245" s="2" t="n">
        <v>90</v>
      </c>
      <c r="BQ245" s="2" t="n">
        <v>90</v>
      </c>
      <c r="BR245" s="2" t="n">
        <v>90</v>
      </c>
      <c r="BS245" s="2" t="n">
        <v>90</v>
      </c>
      <c r="BT245" s="2" t="n">
        <v>90</v>
      </c>
      <c r="BU245" s="2" t="n">
        <v>90</v>
      </c>
      <c r="BV245" s="2" t="n">
        <v>90</v>
      </c>
      <c r="BW245" s="2" t="n">
        <v>90</v>
      </c>
      <c r="BX245" s="2" t="n">
        <v>90</v>
      </c>
      <c r="BY245" s="2" t="n">
        <v>90</v>
      </c>
      <c r="BZ245" s="2" t="n">
        <v>90</v>
      </c>
      <c r="CA245" s="2" t="n">
        <v>90</v>
      </c>
      <c r="CB245" s="2" t="n">
        <v>90</v>
      </c>
      <c r="CC245" s="2" t="n">
        <v>90</v>
      </c>
      <c r="CD245" s="2" t="n">
        <v>90</v>
      </c>
      <c r="CE245" s="2" t="n">
        <v>90</v>
      </c>
      <c r="CF245" s="2" t="n">
        <v>90</v>
      </c>
      <c r="CG245" s="2" t="n">
        <v>90</v>
      </c>
      <c r="CH245" s="2" t="n">
        <v>90</v>
      </c>
      <c r="CI245" s="2" t="n">
        <v>90</v>
      </c>
      <c r="CJ245" s="2" t="n">
        <v>90</v>
      </c>
      <c r="CK245" s="2" t="n">
        <v>90</v>
      </c>
      <c r="CL245" s="2" t="n">
        <v>90</v>
      </c>
      <c r="CM245" s="2" t="n">
        <v>90</v>
      </c>
      <c r="CN245" s="2" t="n">
        <v>90</v>
      </c>
      <c r="CO245" s="2" t="n">
        <v>90</v>
      </c>
      <c r="CP245" s="2" t="n">
        <v>90</v>
      </c>
      <c r="CQ245" s="2" t="n">
        <v>90</v>
      </c>
      <c r="CR245" s="2" t="n">
        <v>90.91</v>
      </c>
      <c r="CS245" s="2" t="n">
        <v>90.91</v>
      </c>
      <c r="CT245" s="2" t="n">
        <v>90</v>
      </c>
      <c r="CU245" s="2" t="n">
        <v>100</v>
      </c>
      <c r="CV245" s="2" t="n">
        <v>100</v>
      </c>
      <c r="CW245" s="2" t="n">
        <v>90</v>
      </c>
      <c r="CX245" s="2" t="n">
        <v>100</v>
      </c>
      <c r="CY245" s="2" t="n">
        <v>100</v>
      </c>
      <c r="CZ245" s="2" t="n">
        <v>90</v>
      </c>
      <c r="DA245" s="2" t="n">
        <v>100</v>
      </c>
      <c r="DB245" s="2" t="n">
        <v>100</v>
      </c>
      <c r="DC245" s="2" t="n">
        <v>90</v>
      </c>
      <c r="DD245" s="2" t="n">
        <v>100</v>
      </c>
      <c r="DE245" s="2" t="n">
        <v>100</v>
      </c>
      <c r="DF245" s="2" t="n">
        <v>90</v>
      </c>
      <c r="DG245" s="2" t="n">
        <v>100</v>
      </c>
      <c r="DH245" s="2" t="n">
        <v>100</v>
      </c>
      <c r="DI245" s="2" t="n">
        <v>90</v>
      </c>
      <c r="DJ245" s="2" t="n">
        <v>100</v>
      </c>
      <c r="DK245" s="2" t="n">
        <v>100</v>
      </c>
      <c r="DL245" s="2" t="n">
        <v>90</v>
      </c>
      <c r="DM245" s="2" t="n">
        <v>100</v>
      </c>
      <c r="DN245" s="2" t="n">
        <v>100</v>
      </c>
      <c r="DO245" s="2" t="n">
        <v>90</v>
      </c>
      <c r="DP245" s="2" t="n">
        <v>100</v>
      </c>
      <c r="DQ245" s="2" t="n">
        <v>100</v>
      </c>
      <c r="DR245" s="2" t="n">
        <v>90</v>
      </c>
      <c r="DS245" s="2" t="n">
        <v>100</v>
      </c>
      <c r="DT245" s="2" t="n">
        <v>100</v>
      </c>
      <c r="DU245" s="2" t="n">
        <v>90</v>
      </c>
      <c r="DV245" s="2" t="n">
        <v>100</v>
      </c>
      <c r="DW245" s="2" t="n">
        <v>100</v>
      </c>
      <c r="DX245" s="2" t="n">
        <v>90</v>
      </c>
      <c r="DY245" s="2" t="n">
        <v>100</v>
      </c>
      <c r="DZ245" s="2" t="n">
        <v>100</v>
      </c>
      <c r="EA245" s="2" t="n">
        <v>90</v>
      </c>
      <c r="EB245" s="2" t="n">
        <v>100</v>
      </c>
      <c r="EC245" s="2" t="n">
        <v>100</v>
      </c>
      <c r="ED245" s="2" t="n">
        <v>90</v>
      </c>
      <c r="EE245" s="2" t="n">
        <v>100</v>
      </c>
      <c r="EF245" s="2" t="n">
        <v>100</v>
      </c>
      <c r="EG245" s="2" t="n">
        <v>90</v>
      </c>
      <c r="EH245" s="2" t="n">
        <v>100</v>
      </c>
      <c r="EI245" s="2" t="n">
        <v>100</v>
      </c>
      <c r="EJ245" s="2" t="n">
        <v>90</v>
      </c>
      <c r="EK245" s="2" t="n">
        <v>100</v>
      </c>
      <c r="EL245" s="2" t="n">
        <v>100</v>
      </c>
      <c r="EM245" s="2" t="n">
        <v>90</v>
      </c>
      <c r="EN245" s="2" t="n">
        <v>100</v>
      </c>
      <c r="EO245" s="2" t="n">
        <v>100</v>
      </c>
      <c r="EP245" s="2" t="n">
        <v>90</v>
      </c>
      <c r="EQ245" s="2" t="n">
        <v>100</v>
      </c>
      <c r="ER245" s="2" t="n">
        <v>100</v>
      </c>
      <c r="ES245" s="2" t="n">
        <v>90</v>
      </c>
      <c r="ET245" s="2" t="n">
        <v>100</v>
      </c>
      <c r="EU245" s="2" t="n">
        <v>100</v>
      </c>
      <c r="EV245" s="2" t="n">
        <v>90</v>
      </c>
      <c r="EW245" s="2" t="n">
        <v>100</v>
      </c>
      <c r="EX245" s="2" t="n">
        <v>100</v>
      </c>
      <c r="EY245" s="2" t="n">
        <v>90</v>
      </c>
      <c r="EZ245" s="2" t="n">
        <v>100</v>
      </c>
      <c r="FA245" s="2" t="n">
        <v>100</v>
      </c>
      <c r="FB245" s="2" t="n">
        <v>90</v>
      </c>
      <c r="FC245" s="2" t="n">
        <v>100</v>
      </c>
      <c r="FD245" s="2" t="n">
        <v>100</v>
      </c>
      <c r="FE245" s="2" t="n">
        <v>90</v>
      </c>
      <c r="FF245" s="2" t="n">
        <v>100</v>
      </c>
      <c r="FG245" s="2" t="n">
        <v>100</v>
      </c>
      <c r="FH245" s="2" t="n">
        <v>90</v>
      </c>
      <c r="FI245" s="2" t="n">
        <v>100</v>
      </c>
      <c r="FJ245" s="2" t="n">
        <v>100</v>
      </c>
      <c r="FK245" s="2" t="n">
        <v>90</v>
      </c>
      <c r="FL245" s="2" t="n">
        <v>100</v>
      </c>
      <c r="FM245" s="2" t="n">
        <v>100</v>
      </c>
      <c r="FN245" s="2" t="n">
        <v>90</v>
      </c>
      <c r="FO245" s="2" t="n">
        <v>100</v>
      </c>
      <c r="FP245" s="2" t="n">
        <v>100</v>
      </c>
      <c r="FQ245" s="2" t="n">
        <v>90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21/10/2024</t>
        </is>
      </c>
      <c r="E246" s="2" t="inlineStr">
        <is>
          <t>28/11/2025</t>
        </is>
      </c>
      <c r="F246" s="2" t="n">
        <v>1384152.806191559</v>
      </c>
      <c r="G246" s="2" t="n">
        <v>0</v>
      </c>
      <c r="H246" s="2" t="n">
        <v>1384152.806191559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2.51</v>
      </c>
      <c r="P246" s="2" t="n">
        <v>2.51</v>
      </c>
      <c r="Q246" s="2" t="n">
        <v>0</v>
      </c>
      <c r="R246" s="2" t="n">
        <v>20.71</v>
      </c>
      <c r="S246" s="2" t="n">
        <v>20.71</v>
      </c>
      <c r="T246" s="2" t="n">
        <v>0</v>
      </c>
      <c r="U246" s="2" t="n">
        <v>65.02</v>
      </c>
      <c r="V246" s="2" t="n">
        <v>65.02</v>
      </c>
      <c r="W246" s="2" t="n">
        <v>0</v>
      </c>
      <c r="X246" s="2" t="n">
        <v>75.52</v>
      </c>
      <c r="Y246" s="2" t="n">
        <v>75.52</v>
      </c>
      <c r="Z246" s="2" t="n">
        <v>0</v>
      </c>
      <c r="AA246" s="2" t="n">
        <v>82.65000000000001</v>
      </c>
      <c r="AB246" s="2" t="n">
        <v>82.65000000000001</v>
      </c>
      <c r="AC246" s="2" t="n">
        <v>0</v>
      </c>
      <c r="AD246" s="2" t="n">
        <v>83.36</v>
      </c>
      <c r="AE246" s="2" t="n">
        <v>83.36</v>
      </c>
      <c r="AF246" s="2" t="n">
        <v>0</v>
      </c>
      <c r="AG246" s="2" t="n">
        <v>83.36</v>
      </c>
      <c r="AH246" s="2" t="n">
        <v>83.36</v>
      </c>
      <c r="AI246" s="2" t="n">
        <v>83.36</v>
      </c>
      <c r="AJ246" s="2" t="n">
        <v>83.36</v>
      </c>
      <c r="AK246" s="2" t="n">
        <v>83.36</v>
      </c>
      <c r="AL246" s="2" t="n">
        <v>83.36</v>
      </c>
      <c r="AM246" s="2" t="n">
        <v>83.36</v>
      </c>
      <c r="AN246" s="2" t="n">
        <v>83.36</v>
      </c>
      <c r="AO246" s="2" t="n">
        <v>83.36</v>
      </c>
      <c r="AP246" s="2" t="n">
        <v>83.36</v>
      </c>
      <c r="AQ246" s="2" t="n">
        <v>83.36</v>
      </c>
      <c r="AR246" s="2" t="n">
        <v>83.36</v>
      </c>
      <c r="AS246" s="2" t="n">
        <v>83.36</v>
      </c>
      <c r="AT246" s="2" t="n">
        <v>83.36</v>
      </c>
      <c r="AU246" s="2" t="n">
        <v>83.36</v>
      </c>
      <c r="AV246" s="2" t="n">
        <v>94.04000000000001</v>
      </c>
      <c r="AW246" s="2" t="n">
        <v>94.04000000000001</v>
      </c>
      <c r="AX246" s="2" t="n">
        <v>84.78</v>
      </c>
      <c r="AY246" s="2" t="n">
        <v>94.04000000000001</v>
      </c>
      <c r="AZ246" s="2" t="n">
        <v>94.04000000000001</v>
      </c>
      <c r="BA246" s="2" t="n">
        <v>94.04000000000001</v>
      </c>
      <c r="BB246" s="2" t="n">
        <v>100</v>
      </c>
      <c r="BC246" s="2" t="n">
        <v>100</v>
      </c>
      <c r="BD246" s="2" t="n">
        <v>100</v>
      </c>
      <c r="BE246" s="2" t="n">
        <v>100</v>
      </c>
      <c r="BF246" s="2" t="n">
        <v>100</v>
      </c>
      <c r="BG246" s="2" t="n">
        <v>100</v>
      </c>
      <c r="BH246" s="2" t="n">
        <v>100</v>
      </c>
      <c r="BI246" s="2" t="n">
        <v>100</v>
      </c>
      <c r="BJ246" s="2" t="n">
        <v>100</v>
      </c>
      <c r="BK246" s="2" t="n">
        <v>100</v>
      </c>
      <c r="BL246" s="2" t="n">
        <v>100</v>
      </c>
      <c r="BM246" s="2" t="n">
        <v>100</v>
      </c>
      <c r="BN246" s="2" t="n">
        <v>100</v>
      </c>
      <c r="BO246" s="2" t="n">
        <v>100</v>
      </c>
      <c r="BP246" s="2" t="n">
        <v>100</v>
      </c>
      <c r="BQ246" s="2" t="n">
        <v>100</v>
      </c>
      <c r="BR246" s="2" t="n">
        <v>100</v>
      </c>
      <c r="BS246" s="2" t="n">
        <v>100</v>
      </c>
      <c r="BT246" s="2" t="n">
        <v>100</v>
      </c>
      <c r="BU246" s="2" t="n">
        <v>100</v>
      </c>
      <c r="BV246" s="2" t="n">
        <v>100</v>
      </c>
      <c r="BW246" s="2" t="n">
        <v>100</v>
      </c>
      <c r="BX246" s="2" t="n">
        <v>100</v>
      </c>
      <c r="BY246" s="2" t="n">
        <v>100</v>
      </c>
      <c r="BZ246" s="2" t="n">
        <v>100</v>
      </c>
      <c r="CA246" s="2" t="n">
        <v>100</v>
      </c>
      <c r="CB246" s="2" t="n">
        <v>100</v>
      </c>
      <c r="CC246" s="2" t="n">
        <v>100</v>
      </c>
      <c r="CD246" s="2" t="n">
        <v>100</v>
      </c>
      <c r="CE246" s="2" t="n">
        <v>100</v>
      </c>
      <c r="CF246" s="2" t="n">
        <v>100</v>
      </c>
      <c r="CG246" s="2" t="n">
        <v>100</v>
      </c>
      <c r="CH246" s="2" t="n">
        <v>100</v>
      </c>
      <c r="CI246" s="2" t="n">
        <v>100</v>
      </c>
      <c r="CJ246" s="2" t="n">
        <v>100</v>
      </c>
      <c r="CK246" s="2" t="n">
        <v>100</v>
      </c>
      <c r="CL246" s="2" t="n">
        <v>100</v>
      </c>
      <c r="CM246" s="2" t="n">
        <v>100</v>
      </c>
      <c r="CN246" s="2" t="n">
        <v>100</v>
      </c>
      <c r="CO246" s="2" t="n">
        <v>100</v>
      </c>
      <c r="CP246" s="2" t="n">
        <v>100</v>
      </c>
      <c r="CQ246" s="2" t="n">
        <v>100</v>
      </c>
      <c r="CR246" s="2" t="n">
        <v>100</v>
      </c>
      <c r="CS246" s="2" t="n">
        <v>100</v>
      </c>
      <c r="CT246" s="2" t="n">
        <v>100</v>
      </c>
      <c r="CU246" s="2" t="n">
        <v>100</v>
      </c>
      <c r="CV246" s="2" t="n">
        <v>100</v>
      </c>
      <c r="CW246" s="2" t="n">
        <v>100</v>
      </c>
      <c r="CX246" s="2" t="n">
        <v>100</v>
      </c>
      <c r="CY246" s="2" t="n">
        <v>100</v>
      </c>
      <c r="CZ246" s="2" t="n">
        <v>100</v>
      </c>
      <c r="DA246" s="2" t="n">
        <v>100</v>
      </c>
      <c r="DB246" s="2" t="n">
        <v>100</v>
      </c>
      <c r="DC246" s="2" t="n">
        <v>100</v>
      </c>
      <c r="DD246" s="2" t="n">
        <v>100</v>
      </c>
      <c r="DE246" s="2" t="n">
        <v>100</v>
      </c>
      <c r="DF246" s="2" t="n">
        <v>100</v>
      </c>
      <c r="DG246" s="2" t="n">
        <v>100</v>
      </c>
      <c r="DH246" s="2" t="n">
        <v>100</v>
      </c>
      <c r="DI246" s="2" t="n">
        <v>100</v>
      </c>
      <c r="DJ246" s="2" t="n">
        <v>100</v>
      </c>
      <c r="DK246" s="2" t="n">
        <v>100</v>
      </c>
      <c r="DL246" s="2" t="n">
        <v>100</v>
      </c>
      <c r="DM246" s="2" t="n">
        <v>100</v>
      </c>
      <c r="DN246" s="2" t="n">
        <v>100</v>
      </c>
      <c r="DO246" s="2" t="n">
        <v>100</v>
      </c>
      <c r="DP246" s="2" t="n">
        <v>100</v>
      </c>
      <c r="DQ246" s="2" t="n">
        <v>100</v>
      </c>
      <c r="DR246" s="2" t="n">
        <v>100</v>
      </c>
      <c r="DS246" s="2" t="n">
        <v>100</v>
      </c>
      <c r="DT246" s="2" t="n">
        <v>100</v>
      </c>
      <c r="DU246" s="2" t="n">
        <v>100</v>
      </c>
      <c r="DV246" s="2" t="n">
        <v>100</v>
      </c>
      <c r="DW246" s="2" t="n">
        <v>100</v>
      </c>
      <c r="DX246" s="2" t="n">
        <v>100</v>
      </c>
      <c r="DY246" s="2" t="n">
        <v>100</v>
      </c>
      <c r="DZ246" s="2" t="n">
        <v>100</v>
      </c>
      <c r="EA246" s="2" t="n">
        <v>100</v>
      </c>
      <c r="EB246" s="2" t="n">
        <v>100</v>
      </c>
      <c r="EC246" s="2" t="n">
        <v>100</v>
      </c>
      <c r="ED246" s="2" t="n">
        <v>100</v>
      </c>
      <c r="EE246" s="2" t="n">
        <v>100</v>
      </c>
      <c r="EF246" s="2" t="n">
        <v>100</v>
      </c>
      <c r="EG246" s="2" t="n">
        <v>100</v>
      </c>
      <c r="EH246" s="2" t="n">
        <v>100</v>
      </c>
      <c r="EI246" s="2" t="n">
        <v>100</v>
      </c>
      <c r="EJ246" s="2" t="n">
        <v>100</v>
      </c>
      <c r="EK246" s="2" t="n">
        <v>100</v>
      </c>
      <c r="EL246" s="2" t="n">
        <v>100</v>
      </c>
      <c r="EM246" s="2" t="n">
        <v>100</v>
      </c>
      <c r="EN246" s="2" t="n">
        <v>100</v>
      </c>
      <c r="EO246" s="2" t="n">
        <v>100</v>
      </c>
      <c r="EP246" s="2" t="n">
        <v>100</v>
      </c>
      <c r="EQ246" s="2" t="n">
        <v>100</v>
      </c>
      <c r="ER246" s="2" t="n">
        <v>100</v>
      </c>
      <c r="ES246" s="2" t="n">
        <v>100</v>
      </c>
      <c r="ET246" s="2" t="n">
        <v>100</v>
      </c>
      <c r="EU246" s="2" t="n">
        <v>100</v>
      </c>
      <c r="EV246" s="2" t="n">
        <v>100</v>
      </c>
      <c r="EW246" s="2" t="n">
        <v>100</v>
      </c>
      <c r="EX246" s="2" t="n">
        <v>100</v>
      </c>
      <c r="EY246" s="2" t="n">
        <v>100</v>
      </c>
      <c r="EZ246" s="2" t="n">
        <v>100</v>
      </c>
      <c r="FA246" s="2" t="n">
        <v>100</v>
      </c>
      <c r="FB246" s="2" t="n">
        <v>100</v>
      </c>
      <c r="FC246" s="2" t="n">
        <v>100</v>
      </c>
      <c r="FD246" s="2" t="n">
        <v>100</v>
      </c>
      <c r="FE246" s="2" t="n">
        <v>100</v>
      </c>
      <c r="FF246" s="2" t="n">
        <v>100</v>
      </c>
      <c r="FG246" s="2" t="n">
        <v>100</v>
      </c>
      <c r="FH246" s="2" t="n">
        <v>100</v>
      </c>
      <c r="FI246" s="2" t="n">
        <v>100</v>
      </c>
      <c r="FJ246" s="2" t="n">
        <v>100</v>
      </c>
      <c r="FK246" s="2" t="n">
        <v>100</v>
      </c>
      <c r="FL246" s="2" t="n">
        <v>100</v>
      </c>
      <c r="FM246" s="2" t="n">
        <v>100</v>
      </c>
      <c r="FN246" s="2" t="n">
        <v>100</v>
      </c>
      <c r="FO246" s="2" t="n">
        <v>100</v>
      </c>
      <c r="FP246" s="2" t="n">
        <v>100</v>
      </c>
      <c r="FQ246" s="2" t="n">
        <v>100</v>
      </c>
    </row>
    <row r="247">
      <c r="A247" s="2" t="n">
        <v>2</v>
      </c>
      <c r="B247" s="2" t="inlineStr">
        <is>
          <t>13.01</t>
        </is>
      </c>
      <c r="C247" s="2" t="inlineStr">
        <is>
          <t>Contenções</t>
        </is>
      </c>
      <c r="D247" s="2" t="inlineStr">
        <is>
          <t>21/10/2024</t>
        </is>
      </c>
      <c r="E247" s="2" t="inlineStr">
        <is>
          <t>28/11/2025</t>
        </is>
      </c>
      <c r="F247" s="2" t="n">
        <v>1384152.806191559</v>
      </c>
      <c r="G247" s="2" t="n">
        <v>0</v>
      </c>
      <c r="H247" s="2" t="n">
        <v>1384152.806191559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2.51</v>
      </c>
      <c r="P247" s="2" t="n">
        <v>2.51</v>
      </c>
      <c r="Q247" s="2" t="n">
        <v>0</v>
      </c>
      <c r="R247" s="2" t="n">
        <v>20.71</v>
      </c>
      <c r="S247" s="2" t="n">
        <v>20.71</v>
      </c>
      <c r="T247" s="2" t="n">
        <v>0</v>
      </c>
      <c r="U247" s="2" t="n">
        <v>65.02</v>
      </c>
      <c r="V247" s="2" t="n">
        <v>65.02</v>
      </c>
      <c r="W247" s="2" t="n">
        <v>0</v>
      </c>
      <c r="X247" s="2" t="n">
        <v>75.52</v>
      </c>
      <c r="Y247" s="2" t="n">
        <v>75.52</v>
      </c>
      <c r="Z247" s="2" t="n">
        <v>0</v>
      </c>
      <c r="AA247" s="2" t="n">
        <v>82.65000000000001</v>
      </c>
      <c r="AB247" s="2" t="n">
        <v>82.65000000000001</v>
      </c>
      <c r="AC247" s="2" t="n">
        <v>0</v>
      </c>
      <c r="AD247" s="2" t="n">
        <v>83.36</v>
      </c>
      <c r="AE247" s="2" t="n">
        <v>83.36</v>
      </c>
      <c r="AF247" s="2" t="n">
        <v>0</v>
      </c>
      <c r="AG247" s="2" t="n">
        <v>83.36</v>
      </c>
      <c r="AH247" s="2" t="n">
        <v>83.36</v>
      </c>
      <c r="AI247" s="2" t="n">
        <v>83.36</v>
      </c>
      <c r="AJ247" s="2" t="n">
        <v>83.36</v>
      </c>
      <c r="AK247" s="2" t="n">
        <v>83.36</v>
      </c>
      <c r="AL247" s="2" t="n">
        <v>83.36</v>
      </c>
      <c r="AM247" s="2" t="n">
        <v>83.36</v>
      </c>
      <c r="AN247" s="2" t="n">
        <v>83.36</v>
      </c>
      <c r="AO247" s="2" t="n">
        <v>83.36</v>
      </c>
      <c r="AP247" s="2" t="n">
        <v>83.36</v>
      </c>
      <c r="AQ247" s="2" t="n">
        <v>83.36</v>
      </c>
      <c r="AR247" s="2" t="n">
        <v>83.36</v>
      </c>
      <c r="AS247" s="2" t="n">
        <v>83.36</v>
      </c>
      <c r="AT247" s="2" t="n">
        <v>83.36</v>
      </c>
      <c r="AU247" s="2" t="n">
        <v>83.36</v>
      </c>
      <c r="AV247" s="2" t="n">
        <v>94.04000000000001</v>
      </c>
      <c r="AW247" s="2" t="n">
        <v>94.04000000000001</v>
      </c>
      <c r="AX247" s="2" t="n">
        <v>84.78</v>
      </c>
      <c r="AY247" s="2" t="n">
        <v>94.04000000000001</v>
      </c>
      <c r="AZ247" s="2" t="n">
        <v>94.04000000000001</v>
      </c>
      <c r="BA247" s="2" t="n">
        <v>94.04000000000001</v>
      </c>
      <c r="BB247" s="2" t="n">
        <v>100</v>
      </c>
      <c r="BC247" s="2" t="n">
        <v>100</v>
      </c>
      <c r="BD247" s="2" t="n">
        <v>100</v>
      </c>
      <c r="BE247" s="2" t="n">
        <v>100</v>
      </c>
      <c r="BF247" s="2" t="n">
        <v>100</v>
      </c>
      <c r="BG247" s="2" t="n">
        <v>100</v>
      </c>
      <c r="BH247" s="2" t="n">
        <v>100</v>
      </c>
      <c r="BI247" s="2" t="n">
        <v>100</v>
      </c>
      <c r="BJ247" s="2" t="n">
        <v>100</v>
      </c>
      <c r="BK247" s="2" t="n">
        <v>100</v>
      </c>
      <c r="BL247" s="2" t="n">
        <v>100</v>
      </c>
      <c r="BM247" s="2" t="n">
        <v>100</v>
      </c>
      <c r="BN247" s="2" t="n">
        <v>100</v>
      </c>
      <c r="BO247" s="2" t="n">
        <v>100</v>
      </c>
      <c r="BP247" s="2" t="n">
        <v>100</v>
      </c>
      <c r="BQ247" s="2" t="n">
        <v>100</v>
      </c>
      <c r="BR247" s="2" t="n">
        <v>100</v>
      </c>
      <c r="BS247" s="2" t="n">
        <v>100</v>
      </c>
      <c r="BT247" s="2" t="n">
        <v>100</v>
      </c>
      <c r="BU247" s="2" t="n">
        <v>100</v>
      </c>
      <c r="BV247" s="2" t="n">
        <v>100</v>
      </c>
      <c r="BW247" s="2" t="n">
        <v>100</v>
      </c>
      <c r="BX247" s="2" t="n">
        <v>100</v>
      </c>
      <c r="BY247" s="2" t="n">
        <v>100</v>
      </c>
      <c r="BZ247" s="2" t="n">
        <v>100</v>
      </c>
      <c r="CA247" s="2" t="n">
        <v>100</v>
      </c>
      <c r="CB247" s="2" t="n">
        <v>100</v>
      </c>
      <c r="CC247" s="2" t="n">
        <v>100</v>
      </c>
      <c r="CD247" s="2" t="n">
        <v>100</v>
      </c>
      <c r="CE247" s="2" t="n">
        <v>100</v>
      </c>
      <c r="CF247" s="2" t="n">
        <v>100</v>
      </c>
      <c r="CG247" s="2" t="n">
        <v>100</v>
      </c>
      <c r="CH247" s="2" t="n">
        <v>100</v>
      </c>
      <c r="CI247" s="2" t="n">
        <v>100</v>
      </c>
      <c r="CJ247" s="2" t="n">
        <v>100</v>
      </c>
      <c r="CK247" s="2" t="n">
        <v>100</v>
      </c>
      <c r="CL247" s="2" t="n">
        <v>100</v>
      </c>
      <c r="CM247" s="2" t="n">
        <v>100</v>
      </c>
      <c r="CN247" s="2" t="n">
        <v>100</v>
      </c>
      <c r="CO247" s="2" t="n">
        <v>100</v>
      </c>
      <c r="CP247" s="2" t="n">
        <v>100</v>
      </c>
      <c r="CQ247" s="2" t="n">
        <v>100</v>
      </c>
      <c r="CR247" s="2" t="n">
        <v>100</v>
      </c>
      <c r="CS247" s="2" t="n">
        <v>100</v>
      </c>
      <c r="CT247" s="2" t="n">
        <v>100</v>
      </c>
      <c r="CU247" s="2" t="n">
        <v>100</v>
      </c>
      <c r="CV247" s="2" t="n">
        <v>100</v>
      </c>
      <c r="CW247" s="2" t="n">
        <v>100</v>
      </c>
      <c r="CX247" s="2" t="n">
        <v>100</v>
      </c>
      <c r="CY247" s="2" t="n">
        <v>100</v>
      </c>
      <c r="CZ247" s="2" t="n">
        <v>100</v>
      </c>
      <c r="DA247" s="2" t="n">
        <v>100</v>
      </c>
      <c r="DB247" s="2" t="n">
        <v>100</v>
      </c>
      <c r="DC247" s="2" t="n">
        <v>100</v>
      </c>
      <c r="DD247" s="2" t="n">
        <v>100</v>
      </c>
      <c r="DE247" s="2" t="n">
        <v>100</v>
      </c>
      <c r="DF247" s="2" t="n">
        <v>100</v>
      </c>
      <c r="DG247" s="2" t="n">
        <v>100</v>
      </c>
      <c r="DH247" s="2" t="n">
        <v>100</v>
      </c>
      <c r="DI247" s="2" t="n">
        <v>100</v>
      </c>
      <c r="DJ247" s="2" t="n">
        <v>100</v>
      </c>
      <c r="DK247" s="2" t="n">
        <v>100</v>
      </c>
      <c r="DL247" s="2" t="n">
        <v>100</v>
      </c>
      <c r="DM247" s="2" t="n">
        <v>100</v>
      </c>
      <c r="DN247" s="2" t="n">
        <v>100</v>
      </c>
      <c r="DO247" s="2" t="n">
        <v>100</v>
      </c>
      <c r="DP247" s="2" t="n">
        <v>100</v>
      </c>
      <c r="DQ247" s="2" t="n">
        <v>100</v>
      </c>
      <c r="DR247" s="2" t="n">
        <v>100</v>
      </c>
      <c r="DS247" s="2" t="n">
        <v>100</v>
      </c>
      <c r="DT247" s="2" t="n">
        <v>100</v>
      </c>
      <c r="DU247" s="2" t="n">
        <v>100</v>
      </c>
      <c r="DV247" s="2" t="n">
        <v>100</v>
      </c>
      <c r="DW247" s="2" t="n">
        <v>100</v>
      </c>
      <c r="DX247" s="2" t="n">
        <v>100</v>
      </c>
      <c r="DY247" s="2" t="n">
        <v>100</v>
      </c>
      <c r="DZ247" s="2" t="n">
        <v>100</v>
      </c>
      <c r="EA247" s="2" t="n">
        <v>100</v>
      </c>
      <c r="EB247" s="2" t="n">
        <v>100</v>
      </c>
      <c r="EC247" s="2" t="n">
        <v>100</v>
      </c>
      <c r="ED247" s="2" t="n">
        <v>100</v>
      </c>
      <c r="EE247" s="2" t="n">
        <v>100</v>
      </c>
      <c r="EF247" s="2" t="n">
        <v>100</v>
      </c>
      <c r="EG247" s="2" t="n">
        <v>100</v>
      </c>
      <c r="EH247" s="2" t="n">
        <v>100</v>
      </c>
      <c r="EI247" s="2" t="n">
        <v>100</v>
      </c>
      <c r="EJ247" s="2" t="n">
        <v>100</v>
      </c>
      <c r="EK247" s="2" t="n">
        <v>100</v>
      </c>
      <c r="EL247" s="2" t="n">
        <v>100</v>
      </c>
      <c r="EM247" s="2" t="n">
        <v>100</v>
      </c>
      <c r="EN247" s="2" t="n">
        <v>100</v>
      </c>
      <c r="EO247" s="2" t="n">
        <v>100</v>
      </c>
      <c r="EP247" s="2" t="n">
        <v>100</v>
      </c>
      <c r="EQ247" s="2" t="n">
        <v>100</v>
      </c>
      <c r="ER247" s="2" t="n">
        <v>100</v>
      </c>
      <c r="ES247" s="2" t="n">
        <v>100</v>
      </c>
      <c r="ET247" s="2" t="n">
        <v>100</v>
      </c>
      <c r="EU247" s="2" t="n">
        <v>100</v>
      </c>
      <c r="EV247" s="2" t="n">
        <v>100</v>
      </c>
      <c r="EW247" s="2" t="n">
        <v>100</v>
      </c>
      <c r="EX247" s="2" t="n">
        <v>100</v>
      </c>
      <c r="EY247" s="2" t="n">
        <v>100</v>
      </c>
      <c r="EZ247" s="2" t="n">
        <v>100</v>
      </c>
      <c r="FA247" s="2" t="n">
        <v>100</v>
      </c>
      <c r="FB247" s="2" t="n">
        <v>100</v>
      </c>
      <c r="FC247" s="2" t="n">
        <v>100</v>
      </c>
      <c r="FD247" s="2" t="n">
        <v>100</v>
      </c>
      <c r="FE247" s="2" t="n">
        <v>100</v>
      </c>
      <c r="FF247" s="2" t="n">
        <v>100</v>
      </c>
      <c r="FG247" s="2" t="n">
        <v>100</v>
      </c>
      <c r="FH247" s="2" t="n">
        <v>100</v>
      </c>
      <c r="FI247" s="2" t="n">
        <v>100</v>
      </c>
      <c r="FJ247" s="2" t="n">
        <v>100</v>
      </c>
      <c r="FK247" s="2" t="n">
        <v>100</v>
      </c>
      <c r="FL247" s="2" t="n">
        <v>100</v>
      </c>
      <c r="FM247" s="2" t="n">
        <v>100</v>
      </c>
      <c r="FN247" s="2" t="n">
        <v>100</v>
      </c>
      <c r="FO247" s="2" t="n">
        <v>100</v>
      </c>
      <c r="FP247" s="2" t="n">
        <v>100</v>
      </c>
      <c r="FQ247" s="2" t="n">
        <v>100</v>
      </c>
    </row>
    <row r="248">
      <c r="A248" s="2" t="n">
        <v>3</v>
      </c>
      <c r="B248" s="2" t="inlineStr">
        <is>
          <t>13.01.01</t>
        </is>
      </c>
      <c r="C248" s="2" t="inlineStr">
        <is>
          <t>Estacas Escavadas com trado mecanizado</t>
        </is>
      </c>
      <c r="D248" s="2" t="inlineStr">
        <is>
          <t>21/10/2024</t>
        </is>
      </c>
      <c r="E248" s="2" t="inlineStr">
        <is>
          <t>28/11/2025</t>
        </is>
      </c>
      <c r="F248" s="2" t="n">
        <v>868003.6439040997</v>
      </c>
      <c r="G248" s="2" t="n">
        <v>0</v>
      </c>
      <c r="H248" s="2" t="n">
        <v>868003.6439040997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2.51</v>
      </c>
      <c r="P248" s="2" t="n">
        <v>2.51</v>
      </c>
      <c r="Q248" s="2" t="n">
        <v>0</v>
      </c>
      <c r="R248" s="2" t="n">
        <v>20.71</v>
      </c>
      <c r="S248" s="2" t="n">
        <v>20.71</v>
      </c>
      <c r="T248" s="2" t="n">
        <v>0</v>
      </c>
      <c r="U248" s="2" t="n">
        <v>65.02</v>
      </c>
      <c r="V248" s="2" t="n">
        <v>65.02</v>
      </c>
      <c r="W248" s="2" t="n">
        <v>0</v>
      </c>
      <c r="X248" s="2" t="n">
        <v>75.52</v>
      </c>
      <c r="Y248" s="2" t="n">
        <v>75.52</v>
      </c>
      <c r="Z248" s="2" t="n">
        <v>0</v>
      </c>
      <c r="AA248" s="2" t="n">
        <v>82.65000000000001</v>
      </c>
      <c r="AB248" s="2" t="n">
        <v>82.65000000000001</v>
      </c>
      <c r="AC248" s="2" t="n">
        <v>0</v>
      </c>
      <c r="AD248" s="2" t="n">
        <v>83.36</v>
      </c>
      <c r="AE248" s="2" t="n">
        <v>83.36</v>
      </c>
      <c r="AF248" s="2" t="n">
        <v>0</v>
      </c>
      <c r="AG248" s="2" t="n">
        <v>83.36</v>
      </c>
      <c r="AH248" s="2" t="n">
        <v>83.36</v>
      </c>
      <c r="AI248" s="2" t="n">
        <v>83.36</v>
      </c>
      <c r="AJ248" s="2" t="n">
        <v>83.36</v>
      </c>
      <c r="AK248" s="2" t="n">
        <v>83.36</v>
      </c>
      <c r="AL248" s="2" t="n">
        <v>83.36</v>
      </c>
      <c r="AM248" s="2" t="n">
        <v>83.36</v>
      </c>
      <c r="AN248" s="2" t="n">
        <v>83.36</v>
      </c>
      <c r="AO248" s="2" t="n">
        <v>83.36</v>
      </c>
      <c r="AP248" s="2" t="n">
        <v>83.36</v>
      </c>
      <c r="AQ248" s="2" t="n">
        <v>83.36</v>
      </c>
      <c r="AR248" s="2" t="n">
        <v>83.36</v>
      </c>
      <c r="AS248" s="2" t="n">
        <v>83.36</v>
      </c>
      <c r="AT248" s="2" t="n">
        <v>83.36</v>
      </c>
      <c r="AU248" s="2" t="n">
        <v>83.36</v>
      </c>
      <c r="AV248" s="2" t="n">
        <v>94.04000000000001</v>
      </c>
      <c r="AW248" s="2" t="n">
        <v>94.04000000000001</v>
      </c>
      <c r="AX248" s="2" t="n">
        <v>84.78</v>
      </c>
      <c r="AY248" s="2" t="n">
        <v>94.04000000000001</v>
      </c>
      <c r="AZ248" s="2" t="n">
        <v>94.04000000000001</v>
      </c>
      <c r="BA248" s="2" t="n">
        <v>94.04000000000001</v>
      </c>
      <c r="BB248" s="2" t="n">
        <v>100</v>
      </c>
      <c r="BC248" s="2" t="n">
        <v>100</v>
      </c>
      <c r="BD248" s="2" t="n">
        <v>100</v>
      </c>
      <c r="BE248" s="2" t="n">
        <v>100</v>
      </c>
      <c r="BF248" s="2" t="n">
        <v>100</v>
      </c>
      <c r="BG248" s="2" t="n">
        <v>100</v>
      </c>
      <c r="BH248" s="2" t="n">
        <v>100</v>
      </c>
      <c r="BI248" s="2" t="n">
        <v>100</v>
      </c>
      <c r="BJ248" s="2" t="n">
        <v>100</v>
      </c>
      <c r="BK248" s="2" t="n">
        <v>100</v>
      </c>
      <c r="BL248" s="2" t="n">
        <v>100</v>
      </c>
      <c r="BM248" s="2" t="n">
        <v>100</v>
      </c>
      <c r="BN248" s="2" t="n">
        <v>100</v>
      </c>
      <c r="BO248" s="2" t="n">
        <v>100</v>
      </c>
      <c r="BP248" s="2" t="n">
        <v>100</v>
      </c>
      <c r="BQ248" s="2" t="n">
        <v>100</v>
      </c>
      <c r="BR248" s="2" t="n">
        <v>100</v>
      </c>
      <c r="BS248" s="2" t="n">
        <v>100</v>
      </c>
      <c r="BT248" s="2" t="n">
        <v>100</v>
      </c>
      <c r="BU248" s="2" t="n">
        <v>100</v>
      </c>
      <c r="BV248" s="2" t="n">
        <v>100</v>
      </c>
      <c r="BW248" s="2" t="n">
        <v>100</v>
      </c>
      <c r="BX248" s="2" t="n">
        <v>100</v>
      </c>
      <c r="BY248" s="2" t="n">
        <v>100</v>
      </c>
      <c r="BZ248" s="2" t="n">
        <v>100</v>
      </c>
      <c r="CA248" s="2" t="n">
        <v>100</v>
      </c>
      <c r="CB248" s="2" t="n">
        <v>100</v>
      </c>
      <c r="CC248" s="2" t="n">
        <v>100</v>
      </c>
      <c r="CD248" s="2" t="n">
        <v>100</v>
      </c>
      <c r="CE248" s="2" t="n">
        <v>100</v>
      </c>
      <c r="CF248" s="2" t="n">
        <v>100</v>
      </c>
      <c r="CG248" s="2" t="n">
        <v>100</v>
      </c>
      <c r="CH248" s="2" t="n">
        <v>100</v>
      </c>
      <c r="CI248" s="2" t="n">
        <v>100</v>
      </c>
      <c r="CJ248" s="2" t="n">
        <v>100</v>
      </c>
      <c r="CK248" s="2" t="n">
        <v>100</v>
      </c>
      <c r="CL248" s="2" t="n">
        <v>100</v>
      </c>
      <c r="CM248" s="2" t="n">
        <v>100</v>
      </c>
      <c r="CN248" s="2" t="n">
        <v>100</v>
      </c>
      <c r="CO248" s="2" t="n">
        <v>100</v>
      </c>
      <c r="CP248" s="2" t="n">
        <v>100</v>
      </c>
      <c r="CQ248" s="2" t="n">
        <v>100</v>
      </c>
      <c r="CR248" s="2" t="n">
        <v>100</v>
      </c>
      <c r="CS248" s="2" t="n">
        <v>100</v>
      </c>
      <c r="CT248" s="2" t="n">
        <v>100</v>
      </c>
      <c r="CU248" s="2" t="n">
        <v>100</v>
      </c>
      <c r="CV248" s="2" t="n">
        <v>100</v>
      </c>
      <c r="CW248" s="2" t="n">
        <v>100</v>
      </c>
      <c r="CX248" s="2" t="n">
        <v>100</v>
      </c>
      <c r="CY248" s="2" t="n">
        <v>100</v>
      </c>
      <c r="CZ248" s="2" t="n">
        <v>100</v>
      </c>
      <c r="DA248" s="2" t="n">
        <v>100</v>
      </c>
      <c r="DB248" s="2" t="n">
        <v>100</v>
      </c>
      <c r="DC248" s="2" t="n">
        <v>100</v>
      </c>
      <c r="DD248" s="2" t="n">
        <v>100</v>
      </c>
      <c r="DE248" s="2" t="n">
        <v>100</v>
      </c>
      <c r="DF248" s="2" t="n">
        <v>100</v>
      </c>
      <c r="DG248" s="2" t="n">
        <v>100</v>
      </c>
      <c r="DH248" s="2" t="n">
        <v>100</v>
      </c>
      <c r="DI248" s="2" t="n">
        <v>100</v>
      </c>
      <c r="DJ248" s="2" t="n">
        <v>100</v>
      </c>
      <c r="DK248" s="2" t="n">
        <v>100</v>
      </c>
      <c r="DL248" s="2" t="n">
        <v>100</v>
      </c>
      <c r="DM248" s="2" t="n">
        <v>100</v>
      </c>
      <c r="DN248" s="2" t="n">
        <v>100</v>
      </c>
      <c r="DO248" s="2" t="n">
        <v>100</v>
      </c>
      <c r="DP248" s="2" t="n">
        <v>100</v>
      </c>
      <c r="DQ248" s="2" t="n">
        <v>100</v>
      </c>
      <c r="DR248" s="2" t="n">
        <v>100</v>
      </c>
      <c r="DS248" s="2" t="n">
        <v>100</v>
      </c>
      <c r="DT248" s="2" t="n">
        <v>100</v>
      </c>
      <c r="DU248" s="2" t="n">
        <v>100</v>
      </c>
      <c r="DV248" s="2" t="n">
        <v>100</v>
      </c>
      <c r="DW248" s="2" t="n">
        <v>100</v>
      </c>
      <c r="DX248" s="2" t="n">
        <v>100</v>
      </c>
      <c r="DY248" s="2" t="n">
        <v>100</v>
      </c>
      <c r="DZ248" s="2" t="n">
        <v>100</v>
      </c>
      <c r="EA248" s="2" t="n">
        <v>100</v>
      </c>
      <c r="EB248" s="2" t="n">
        <v>100</v>
      </c>
      <c r="EC248" s="2" t="n">
        <v>100</v>
      </c>
      <c r="ED248" s="2" t="n">
        <v>100</v>
      </c>
      <c r="EE248" s="2" t="n">
        <v>100</v>
      </c>
      <c r="EF248" s="2" t="n">
        <v>100</v>
      </c>
      <c r="EG248" s="2" t="n">
        <v>100</v>
      </c>
      <c r="EH248" s="2" t="n">
        <v>100</v>
      </c>
      <c r="EI248" s="2" t="n">
        <v>100</v>
      </c>
      <c r="EJ248" s="2" t="n">
        <v>100</v>
      </c>
      <c r="EK248" s="2" t="n">
        <v>100</v>
      </c>
      <c r="EL248" s="2" t="n">
        <v>100</v>
      </c>
      <c r="EM248" s="2" t="n">
        <v>100</v>
      </c>
      <c r="EN248" s="2" t="n">
        <v>100</v>
      </c>
      <c r="EO248" s="2" t="n">
        <v>100</v>
      </c>
      <c r="EP248" s="2" t="n">
        <v>100</v>
      </c>
      <c r="EQ248" s="2" t="n">
        <v>100</v>
      </c>
      <c r="ER248" s="2" t="n">
        <v>100</v>
      </c>
      <c r="ES248" s="2" t="n">
        <v>100</v>
      </c>
      <c r="ET248" s="2" t="n">
        <v>100</v>
      </c>
      <c r="EU248" s="2" t="n">
        <v>100</v>
      </c>
      <c r="EV248" s="2" t="n">
        <v>100</v>
      </c>
      <c r="EW248" s="2" t="n">
        <v>100</v>
      </c>
      <c r="EX248" s="2" t="n">
        <v>100</v>
      </c>
      <c r="EY248" s="2" t="n">
        <v>100</v>
      </c>
      <c r="EZ248" s="2" t="n">
        <v>100</v>
      </c>
      <c r="FA248" s="2" t="n">
        <v>100</v>
      </c>
      <c r="FB248" s="2" t="n">
        <v>100</v>
      </c>
      <c r="FC248" s="2" t="n">
        <v>100</v>
      </c>
      <c r="FD248" s="2" t="n">
        <v>100</v>
      </c>
      <c r="FE248" s="2" t="n">
        <v>100</v>
      </c>
      <c r="FF248" s="2" t="n">
        <v>100</v>
      </c>
      <c r="FG248" s="2" t="n">
        <v>100</v>
      </c>
      <c r="FH248" s="2" t="n">
        <v>100</v>
      </c>
      <c r="FI248" s="2" t="n">
        <v>100</v>
      </c>
      <c r="FJ248" s="2" t="n">
        <v>100</v>
      </c>
      <c r="FK248" s="2" t="n">
        <v>100</v>
      </c>
      <c r="FL248" s="2" t="n">
        <v>100</v>
      </c>
      <c r="FM248" s="2" t="n">
        <v>100</v>
      </c>
      <c r="FN248" s="2" t="n">
        <v>100</v>
      </c>
      <c r="FO248" s="2" t="n">
        <v>100</v>
      </c>
      <c r="FP248" s="2" t="n">
        <v>100</v>
      </c>
      <c r="FQ248" s="2" t="n">
        <v>100</v>
      </c>
    </row>
    <row r="249">
      <c r="A249" s="2" t="n">
        <v>4</v>
      </c>
      <c r="B249" s="2" t="inlineStr">
        <is>
          <t>13.01.01.01</t>
        </is>
      </c>
      <c r="C249" s="2" t="inlineStr">
        <is>
          <t>Taxa de mobilização do empreiteiro</t>
        </is>
      </c>
      <c r="D249" s="2" t="inlineStr">
        <is>
          <t>21/10/2024</t>
        </is>
      </c>
      <c r="E249" s="2" t="inlineStr">
        <is>
          <t>28/11/2025</t>
        </is>
      </c>
      <c r="F249" s="2" t="n">
        <v>25000</v>
      </c>
      <c r="G249" s="2" t="n">
        <v>0</v>
      </c>
      <c r="H249" s="2" t="n">
        <v>25000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2.51</v>
      </c>
      <c r="P249" s="2" t="n">
        <v>2.51</v>
      </c>
      <c r="Q249" s="2" t="n">
        <v>0</v>
      </c>
      <c r="R249" s="2" t="n">
        <v>20.71</v>
      </c>
      <c r="S249" s="2" t="n">
        <v>20.71</v>
      </c>
      <c r="T249" s="2" t="n">
        <v>0</v>
      </c>
      <c r="U249" s="2" t="n">
        <v>65.02</v>
      </c>
      <c r="V249" s="2" t="n">
        <v>65.02</v>
      </c>
      <c r="W249" s="2" t="n">
        <v>0</v>
      </c>
      <c r="X249" s="2" t="n">
        <v>75.52</v>
      </c>
      <c r="Y249" s="2" t="n">
        <v>75.52</v>
      </c>
      <c r="Z249" s="2" t="n">
        <v>0</v>
      </c>
      <c r="AA249" s="2" t="n">
        <v>82.65000000000001</v>
      </c>
      <c r="AB249" s="2" t="n">
        <v>82.65000000000001</v>
      </c>
      <c r="AC249" s="2" t="n">
        <v>0</v>
      </c>
      <c r="AD249" s="2" t="n">
        <v>83.36</v>
      </c>
      <c r="AE249" s="2" t="n">
        <v>83.36</v>
      </c>
      <c r="AF249" s="2" t="n">
        <v>0</v>
      </c>
      <c r="AG249" s="2" t="n">
        <v>83.36</v>
      </c>
      <c r="AH249" s="2" t="n">
        <v>83.36</v>
      </c>
      <c r="AI249" s="2" t="n">
        <v>83.36</v>
      </c>
      <c r="AJ249" s="2" t="n">
        <v>83.36</v>
      </c>
      <c r="AK249" s="2" t="n">
        <v>83.36</v>
      </c>
      <c r="AL249" s="2" t="n">
        <v>83.36</v>
      </c>
      <c r="AM249" s="2" t="n">
        <v>83.36</v>
      </c>
      <c r="AN249" s="2" t="n">
        <v>83.36</v>
      </c>
      <c r="AO249" s="2" t="n">
        <v>83.36</v>
      </c>
      <c r="AP249" s="2" t="n">
        <v>83.36</v>
      </c>
      <c r="AQ249" s="2" t="n">
        <v>83.36</v>
      </c>
      <c r="AR249" s="2" t="n">
        <v>83.36</v>
      </c>
      <c r="AS249" s="2" t="n">
        <v>83.36</v>
      </c>
      <c r="AT249" s="2" t="n">
        <v>83.36</v>
      </c>
      <c r="AU249" s="2" t="n">
        <v>83.36</v>
      </c>
      <c r="AV249" s="2" t="n">
        <v>94.04000000000001</v>
      </c>
      <c r="AW249" s="2" t="n">
        <v>94.04000000000001</v>
      </c>
      <c r="AX249" s="2" t="n">
        <v>84.78</v>
      </c>
      <c r="AY249" s="2" t="n">
        <v>94.04000000000001</v>
      </c>
      <c r="AZ249" s="2" t="n">
        <v>94.04000000000001</v>
      </c>
      <c r="BA249" s="2" t="n">
        <v>94.04000000000001</v>
      </c>
      <c r="BB249" s="2" t="n">
        <v>100</v>
      </c>
      <c r="BC249" s="2" t="n">
        <v>100</v>
      </c>
      <c r="BD249" s="2" t="n">
        <v>100</v>
      </c>
      <c r="BE249" s="2" t="n">
        <v>100</v>
      </c>
      <c r="BF249" s="2" t="n">
        <v>100</v>
      </c>
      <c r="BG249" s="2" t="n">
        <v>100</v>
      </c>
      <c r="BH249" s="2" t="n">
        <v>100</v>
      </c>
      <c r="BI249" s="2" t="n">
        <v>100</v>
      </c>
      <c r="BJ249" s="2" t="n">
        <v>100</v>
      </c>
      <c r="BK249" s="2" t="n">
        <v>100</v>
      </c>
      <c r="BL249" s="2" t="n">
        <v>100</v>
      </c>
      <c r="BM249" s="2" t="n">
        <v>100</v>
      </c>
      <c r="BN249" s="2" t="n">
        <v>100</v>
      </c>
      <c r="BO249" s="2" t="n">
        <v>100</v>
      </c>
      <c r="BP249" s="2" t="n">
        <v>100</v>
      </c>
      <c r="BQ249" s="2" t="n">
        <v>100</v>
      </c>
      <c r="BR249" s="2" t="n">
        <v>100</v>
      </c>
      <c r="BS249" s="2" t="n">
        <v>100</v>
      </c>
      <c r="BT249" s="2" t="n">
        <v>100</v>
      </c>
      <c r="BU249" s="2" t="n">
        <v>100</v>
      </c>
      <c r="BV249" s="2" t="n">
        <v>100</v>
      </c>
      <c r="BW249" s="2" t="n">
        <v>100</v>
      </c>
      <c r="BX249" s="2" t="n">
        <v>100</v>
      </c>
      <c r="BY249" s="2" t="n">
        <v>100</v>
      </c>
      <c r="BZ249" s="2" t="n">
        <v>100</v>
      </c>
      <c r="CA249" s="2" t="n">
        <v>100</v>
      </c>
      <c r="CB249" s="2" t="n">
        <v>100</v>
      </c>
      <c r="CC249" s="2" t="n">
        <v>100</v>
      </c>
      <c r="CD249" s="2" t="n">
        <v>100</v>
      </c>
      <c r="CE249" s="2" t="n">
        <v>100</v>
      </c>
      <c r="CF249" s="2" t="n">
        <v>100</v>
      </c>
      <c r="CG249" s="2" t="n">
        <v>100</v>
      </c>
      <c r="CH249" s="2" t="n">
        <v>100</v>
      </c>
      <c r="CI249" s="2" t="n">
        <v>100</v>
      </c>
      <c r="CJ249" s="2" t="n">
        <v>100</v>
      </c>
      <c r="CK249" s="2" t="n">
        <v>100</v>
      </c>
      <c r="CL249" s="2" t="n">
        <v>100</v>
      </c>
      <c r="CM249" s="2" t="n">
        <v>100</v>
      </c>
      <c r="CN249" s="2" t="n">
        <v>100</v>
      </c>
      <c r="CO249" s="2" t="n">
        <v>100</v>
      </c>
      <c r="CP249" s="2" t="n">
        <v>100</v>
      </c>
      <c r="CQ249" s="2" t="n">
        <v>100</v>
      </c>
      <c r="CR249" s="2" t="n">
        <v>100</v>
      </c>
      <c r="CS249" s="2" t="n">
        <v>100</v>
      </c>
      <c r="CT249" s="2" t="n">
        <v>100</v>
      </c>
      <c r="CU249" s="2" t="n">
        <v>100</v>
      </c>
      <c r="CV249" s="2" t="n">
        <v>100</v>
      </c>
      <c r="CW249" s="2" t="n">
        <v>100</v>
      </c>
      <c r="CX249" s="2" t="n">
        <v>100</v>
      </c>
      <c r="CY249" s="2" t="n">
        <v>100</v>
      </c>
      <c r="CZ249" s="2" t="n">
        <v>100</v>
      </c>
      <c r="DA249" s="2" t="n">
        <v>100</v>
      </c>
      <c r="DB249" s="2" t="n">
        <v>100</v>
      </c>
      <c r="DC249" s="2" t="n">
        <v>100</v>
      </c>
      <c r="DD249" s="2" t="n">
        <v>100</v>
      </c>
      <c r="DE249" s="2" t="n">
        <v>100</v>
      </c>
      <c r="DF249" s="2" t="n">
        <v>100</v>
      </c>
      <c r="DG249" s="2" t="n">
        <v>100</v>
      </c>
      <c r="DH249" s="2" t="n">
        <v>100</v>
      </c>
      <c r="DI249" s="2" t="n">
        <v>100</v>
      </c>
      <c r="DJ249" s="2" t="n">
        <v>100</v>
      </c>
      <c r="DK249" s="2" t="n">
        <v>100</v>
      </c>
      <c r="DL249" s="2" t="n">
        <v>100</v>
      </c>
      <c r="DM249" s="2" t="n">
        <v>100</v>
      </c>
      <c r="DN249" s="2" t="n">
        <v>100</v>
      </c>
      <c r="DO249" s="2" t="n">
        <v>100</v>
      </c>
      <c r="DP249" s="2" t="n">
        <v>100</v>
      </c>
      <c r="DQ249" s="2" t="n">
        <v>100</v>
      </c>
      <c r="DR249" s="2" t="n">
        <v>100</v>
      </c>
      <c r="DS249" s="2" t="n">
        <v>100</v>
      </c>
      <c r="DT249" s="2" t="n">
        <v>100</v>
      </c>
      <c r="DU249" s="2" t="n">
        <v>100</v>
      </c>
      <c r="DV249" s="2" t="n">
        <v>100</v>
      </c>
      <c r="DW249" s="2" t="n">
        <v>100</v>
      </c>
      <c r="DX249" s="2" t="n">
        <v>100</v>
      </c>
      <c r="DY249" s="2" t="n">
        <v>100</v>
      </c>
      <c r="DZ249" s="2" t="n">
        <v>100</v>
      </c>
      <c r="EA249" s="2" t="n">
        <v>100</v>
      </c>
      <c r="EB249" s="2" t="n">
        <v>100</v>
      </c>
      <c r="EC249" s="2" t="n">
        <v>100</v>
      </c>
      <c r="ED249" s="2" t="n">
        <v>100</v>
      </c>
      <c r="EE249" s="2" t="n">
        <v>100</v>
      </c>
      <c r="EF249" s="2" t="n">
        <v>100</v>
      </c>
      <c r="EG249" s="2" t="n">
        <v>100</v>
      </c>
      <c r="EH249" s="2" t="n">
        <v>100</v>
      </c>
      <c r="EI249" s="2" t="n">
        <v>100</v>
      </c>
      <c r="EJ249" s="2" t="n">
        <v>100</v>
      </c>
      <c r="EK249" s="2" t="n">
        <v>100</v>
      </c>
      <c r="EL249" s="2" t="n">
        <v>100</v>
      </c>
      <c r="EM249" s="2" t="n">
        <v>100</v>
      </c>
      <c r="EN249" s="2" t="n">
        <v>100</v>
      </c>
      <c r="EO249" s="2" t="n">
        <v>100</v>
      </c>
      <c r="EP249" s="2" t="n">
        <v>100</v>
      </c>
      <c r="EQ249" s="2" t="n">
        <v>100</v>
      </c>
      <c r="ER249" s="2" t="n">
        <v>100</v>
      </c>
      <c r="ES249" s="2" t="n">
        <v>100</v>
      </c>
      <c r="ET249" s="2" t="n">
        <v>100</v>
      </c>
      <c r="EU249" s="2" t="n">
        <v>100</v>
      </c>
      <c r="EV249" s="2" t="n">
        <v>100</v>
      </c>
      <c r="EW249" s="2" t="n">
        <v>100</v>
      </c>
      <c r="EX249" s="2" t="n">
        <v>100</v>
      </c>
      <c r="EY249" s="2" t="n">
        <v>100</v>
      </c>
      <c r="EZ249" s="2" t="n">
        <v>100</v>
      </c>
      <c r="FA249" s="2" t="n">
        <v>100</v>
      </c>
      <c r="FB249" s="2" t="n">
        <v>100</v>
      </c>
      <c r="FC249" s="2" t="n">
        <v>100</v>
      </c>
      <c r="FD249" s="2" t="n">
        <v>100</v>
      </c>
      <c r="FE249" s="2" t="n">
        <v>100</v>
      </c>
      <c r="FF249" s="2" t="n">
        <v>100</v>
      </c>
      <c r="FG249" s="2" t="n">
        <v>100</v>
      </c>
      <c r="FH249" s="2" t="n">
        <v>100</v>
      </c>
      <c r="FI249" s="2" t="n">
        <v>100</v>
      </c>
      <c r="FJ249" s="2" t="n">
        <v>100</v>
      </c>
      <c r="FK249" s="2" t="n">
        <v>100</v>
      </c>
      <c r="FL249" s="2" t="n">
        <v>100</v>
      </c>
      <c r="FM249" s="2" t="n">
        <v>100</v>
      </c>
      <c r="FN249" s="2" t="n">
        <v>100</v>
      </c>
      <c r="FO249" s="2" t="n">
        <v>100</v>
      </c>
      <c r="FP249" s="2" t="n">
        <v>100</v>
      </c>
      <c r="FQ249" s="2" t="n">
        <v>100</v>
      </c>
    </row>
    <row r="250">
      <c r="A250" s="2" t="n">
        <v>4</v>
      </c>
      <c r="B250" s="2" t="inlineStr">
        <is>
          <t>13.01.01.02</t>
        </is>
      </c>
      <c r="C250" s="2" t="inlineStr">
        <is>
          <t>Perfuração com Ø 0,60m</t>
        </is>
      </c>
      <c r="D250" s="2" t="inlineStr">
        <is>
          <t>21/10/2024</t>
        </is>
      </c>
      <c r="E250" s="2" t="inlineStr">
        <is>
          <t>28/11/2025</t>
        </is>
      </c>
      <c r="F250" s="2" t="n">
        <v>58032</v>
      </c>
      <c r="G250" s="2" t="n">
        <v>0</v>
      </c>
      <c r="H250" s="2" t="n">
        <v>58032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2.51</v>
      </c>
      <c r="P250" s="2" t="n">
        <v>2.51</v>
      </c>
      <c r="Q250" s="2" t="n">
        <v>0</v>
      </c>
      <c r="R250" s="2" t="n">
        <v>20.71</v>
      </c>
      <c r="S250" s="2" t="n">
        <v>20.71</v>
      </c>
      <c r="T250" s="2" t="n">
        <v>0</v>
      </c>
      <c r="U250" s="2" t="n">
        <v>65.02</v>
      </c>
      <c r="V250" s="2" t="n">
        <v>65.02</v>
      </c>
      <c r="W250" s="2" t="n">
        <v>0</v>
      </c>
      <c r="X250" s="2" t="n">
        <v>75.52</v>
      </c>
      <c r="Y250" s="2" t="n">
        <v>75.52</v>
      </c>
      <c r="Z250" s="2" t="n">
        <v>0</v>
      </c>
      <c r="AA250" s="2" t="n">
        <v>82.65000000000001</v>
      </c>
      <c r="AB250" s="2" t="n">
        <v>82.65000000000001</v>
      </c>
      <c r="AC250" s="2" t="n">
        <v>0</v>
      </c>
      <c r="AD250" s="2" t="n">
        <v>83.36</v>
      </c>
      <c r="AE250" s="2" t="n">
        <v>83.36</v>
      </c>
      <c r="AF250" s="2" t="n">
        <v>0</v>
      </c>
      <c r="AG250" s="2" t="n">
        <v>83.36</v>
      </c>
      <c r="AH250" s="2" t="n">
        <v>83.36</v>
      </c>
      <c r="AI250" s="2" t="n">
        <v>83.36</v>
      </c>
      <c r="AJ250" s="2" t="n">
        <v>83.36</v>
      </c>
      <c r="AK250" s="2" t="n">
        <v>83.36</v>
      </c>
      <c r="AL250" s="2" t="n">
        <v>83.36</v>
      </c>
      <c r="AM250" s="2" t="n">
        <v>83.36</v>
      </c>
      <c r="AN250" s="2" t="n">
        <v>83.36</v>
      </c>
      <c r="AO250" s="2" t="n">
        <v>83.36</v>
      </c>
      <c r="AP250" s="2" t="n">
        <v>83.36</v>
      </c>
      <c r="AQ250" s="2" t="n">
        <v>83.36</v>
      </c>
      <c r="AR250" s="2" t="n">
        <v>83.36</v>
      </c>
      <c r="AS250" s="2" t="n">
        <v>83.36</v>
      </c>
      <c r="AT250" s="2" t="n">
        <v>83.36</v>
      </c>
      <c r="AU250" s="2" t="n">
        <v>83.36</v>
      </c>
      <c r="AV250" s="2" t="n">
        <v>94.04000000000001</v>
      </c>
      <c r="AW250" s="2" t="n">
        <v>94.04000000000001</v>
      </c>
      <c r="AX250" s="2" t="n">
        <v>84.78</v>
      </c>
      <c r="AY250" s="2" t="n">
        <v>94.04000000000001</v>
      </c>
      <c r="AZ250" s="2" t="n">
        <v>94.04000000000001</v>
      </c>
      <c r="BA250" s="2" t="n">
        <v>94.04000000000001</v>
      </c>
      <c r="BB250" s="2" t="n">
        <v>100</v>
      </c>
      <c r="BC250" s="2" t="n">
        <v>100</v>
      </c>
      <c r="BD250" s="2" t="n">
        <v>100</v>
      </c>
      <c r="BE250" s="2" t="n">
        <v>100</v>
      </c>
      <c r="BF250" s="2" t="n">
        <v>100</v>
      </c>
      <c r="BG250" s="2" t="n">
        <v>100</v>
      </c>
      <c r="BH250" s="2" t="n">
        <v>100</v>
      </c>
      <c r="BI250" s="2" t="n">
        <v>100</v>
      </c>
      <c r="BJ250" s="2" t="n">
        <v>100</v>
      </c>
      <c r="BK250" s="2" t="n">
        <v>100</v>
      </c>
      <c r="BL250" s="2" t="n">
        <v>100</v>
      </c>
      <c r="BM250" s="2" t="n">
        <v>100</v>
      </c>
      <c r="BN250" s="2" t="n">
        <v>100</v>
      </c>
      <c r="BO250" s="2" t="n">
        <v>100</v>
      </c>
      <c r="BP250" s="2" t="n">
        <v>100</v>
      </c>
      <c r="BQ250" s="2" t="n">
        <v>100</v>
      </c>
      <c r="BR250" s="2" t="n">
        <v>100</v>
      </c>
      <c r="BS250" s="2" t="n">
        <v>100</v>
      </c>
      <c r="BT250" s="2" t="n">
        <v>100</v>
      </c>
      <c r="BU250" s="2" t="n">
        <v>100</v>
      </c>
      <c r="BV250" s="2" t="n">
        <v>100</v>
      </c>
      <c r="BW250" s="2" t="n">
        <v>100</v>
      </c>
      <c r="BX250" s="2" t="n">
        <v>100</v>
      </c>
      <c r="BY250" s="2" t="n">
        <v>100</v>
      </c>
      <c r="BZ250" s="2" t="n">
        <v>100</v>
      </c>
      <c r="CA250" s="2" t="n">
        <v>100</v>
      </c>
      <c r="CB250" s="2" t="n">
        <v>100</v>
      </c>
      <c r="CC250" s="2" t="n">
        <v>100</v>
      </c>
      <c r="CD250" s="2" t="n">
        <v>100</v>
      </c>
      <c r="CE250" s="2" t="n">
        <v>100</v>
      </c>
      <c r="CF250" s="2" t="n">
        <v>100</v>
      </c>
      <c r="CG250" s="2" t="n">
        <v>100</v>
      </c>
      <c r="CH250" s="2" t="n">
        <v>100</v>
      </c>
      <c r="CI250" s="2" t="n">
        <v>100</v>
      </c>
      <c r="CJ250" s="2" t="n">
        <v>100</v>
      </c>
      <c r="CK250" s="2" t="n">
        <v>100</v>
      </c>
      <c r="CL250" s="2" t="n">
        <v>100</v>
      </c>
      <c r="CM250" s="2" t="n">
        <v>100</v>
      </c>
      <c r="CN250" s="2" t="n">
        <v>100</v>
      </c>
      <c r="CO250" s="2" t="n">
        <v>100</v>
      </c>
      <c r="CP250" s="2" t="n">
        <v>100</v>
      </c>
      <c r="CQ250" s="2" t="n">
        <v>100</v>
      </c>
      <c r="CR250" s="2" t="n">
        <v>100</v>
      </c>
      <c r="CS250" s="2" t="n">
        <v>100</v>
      </c>
      <c r="CT250" s="2" t="n">
        <v>100</v>
      </c>
      <c r="CU250" s="2" t="n">
        <v>100</v>
      </c>
      <c r="CV250" s="2" t="n">
        <v>100</v>
      </c>
      <c r="CW250" s="2" t="n">
        <v>100</v>
      </c>
      <c r="CX250" s="2" t="n">
        <v>100</v>
      </c>
      <c r="CY250" s="2" t="n">
        <v>100</v>
      </c>
      <c r="CZ250" s="2" t="n">
        <v>100</v>
      </c>
      <c r="DA250" s="2" t="n">
        <v>100</v>
      </c>
      <c r="DB250" s="2" t="n">
        <v>100</v>
      </c>
      <c r="DC250" s="2" t="n">
        <v>100</v>
      </c>
      <c r="DD250" s="2" t="n">
        <v>100</v>
      </c>
      <c r="DE250" s="2" t="n">
        <v>100</v>
      </c>
      <c r="DF250" s="2" t="n">
        <v>100</v>
      </c>
      <c r="DG250" s="2" t="n">
        <v>100</v>
      </c>
      <c r="DH250" s="2" t="n">
        <v>100</v>
      </c>
      <c r="DI250" s="2" t="n">
        <v>100</v>
      </c>
      <c r="DJ250" s="2" t="n">
        <v>100</v>
      </c>
      <c r="DK250" s="2" t="n">
        <v>100</v>
      </c>
      <c r="DL250" s="2" t="n">
        <v>100</v>
      </c>
      <c r="DM250" s="2" t="n">
        <v>100</v>
      </c>
      <c r="DN250" s="2" t="n">
        <v>100</v>
      </c>
      <c r="DO250" s="2" t="n">
        <v>100</v>
      </c>
      <c r="DP250" s="2" t="n">
        <v>100</v>
      </c>
      <c r="DQ250" s="2" t="n">
        <v>100</v>
      </c>
      <c r="DR250" s="2" t="n">
        <v>100</v>
      </c>
      <c r="DS250" s="2" t="n">
        <v>100</v>
      </c>
      <c r="DT250" s="2" t="n">
        <v>100</v>
      </c>
      <c r="DU250" s="2" t="n">
        <v>100</v>
      </c>
      <c r="DV250" s="2" t="n">
        <v>100</v>
      </c>
      <c r="DW250" s="2" t="n">
        <v>100</v>
      </c>
      <c r="DX250" s="2" t="n">
        <v>100</v>
      </c>
      <c r="DY250" s="2" t="n">
        <v>100</v>
      </c>
      <c r="DZ250" s="2" t="n">
        <v>100</v>
      </c>
      <c r="EA250" s="2" t="n">
        <v>100</v>
      </c>
      <c r="EB250" s="2" t="n">
        <v>100</v>
      </c>
      <c r="EC250" s="2" t="n">
        <v>100</v>
      </c>
      <c r="ED250" s="2" t="n">
        <v>100</v>
      </c>
      <c r="EE250" s="2" t="n">
        <v>100</v>
      </c>
      <c r="EF250" s="2" t="n">
        <v>100</v>
      </c>
      <c r="EG250" s="2" t="n">
        <v>100</v>
      </c>
      <c r="EH250" s="2" t="n">
        <v>100</v>
      </c>
      <c r="EI250" s="2" t="n">
        <v>100</v>
      </c>
      <c r="EJ250" s="2" t="n">
        <v>100</v>
      </c>
      <c r="EK250" s="2" t="n">
        <v>100</v>
      </c>
      <c r="EL250" s="2" t="n">
        <v>100</v>
      </c>
      <c r="EM250" s="2" t="n">
        <v>100</v>
      </c>
      <c r="EN250" s="2" t="n">
        <v>100</v>
      </c>
      <c r="EO250" s="2" t="n">
        <v>100</v>
      </c>
      <c r="EP250" s="2" t="n">
        <v>100</v>
      </c>
      <c r="EQ250" s="2" t="n">
        <v>100</v>
      </c>
      <c r="ER250" s="2" t="n">
        <v>100</v>
      </c>
      <c r="ES250" s="2" t="n">
        <v>100</v>
      </c>
      <c r="ET250" s="2" t="n">
        <v>100</v>
      </c>
      <c r="EU250" s="2" t="n">
        <v>100</v>
      </c>
      <c r="EV250" s="2" t="n">
        <v>100</v>
      </c>
      <c r="EW250" s="2" t="n">
        <v>100</v>
      </c>
      <c r="EX250" s="2" t="n">
        <v>100</v>
      </c>
      <c r="EY250" s="2" t="n">
        <v>100</v>
      </c>
      <c r="EZ250" s="2" t="n">
        <v>100</v>
      </c>
      <c r="FA250" s="2" t="n">
        <v>100</v>
      </c>
      <c r="FB250" s="2" t="n">
        <v>100</v>
      </c>
      <c r="FC250" s="2" t="n">
        <v>100</v>
      </c>
      <c r="FD250" s="2" t="n">
        <v>100</v>
      </c>
      <c r="FE250" s="2" t="n">
        <v>100</v>
      </c>
      <c r="FF250" s="2" t="n">
        <v>100</v>
      </c>
      <c r="FG250" s="2" t="n">
        <v>100</v>
      </c>
      <c r="FH250" s="2" t="n">
        <v>100</v>
      </c>
      <c r="FI250" s="2" t="n">
        <v>100</v>
      </c>
      <c r="FJ250" s="2" t="n">
        <v>100</v>
      </c>
      <c r="FK250" s="2" t="n">
        <v>100</v>
      </c>
      <c r="FL250" s="2" t="n">
        <v>100</v>
      </c>
      <c r="FM250" s="2" t="n">
        <v>100</v>
      </c>
      <c r="FN250" s="2" t="n">
        <v>100</v>
      </c>
      <c r="FO250" s="2" t="n">
        <v>100</v>
      </c>
      <c r="FP250" s="2" t="n">
        <v>100</v>
      </c>
      <c r="FQ250" s="2" t="n">
        <v>100</v>
      </c>
    </row>
    <row r="251">
      <c r="A251" s="2" t="n">
        <v>4</v>
      </c>
      <c r="B251" s="2" t="inlineStr">
        <is>
          <t>13.01.01.03</t>
        </is>
      </c>
      <c r="C251" s="2" t="inlineStr">
        <is>
          <t>Perfuração com Ø 0,70m</t>
        </is>
      </c>
      <c r="D251" s="2" t="inlineStr">
        <is>
          <t>21/10/2024</t>
        </is>
      </c>
      <c r="E251" s="2" t="inlineStr">
        <is>
          <t>28/11/2025</t>
        </is>
      </c>
      <c r="F251" s="2" t="n">
        <v>16800</v>
      </c>
      <c r="G251" s="2" t="n">
        <v>0</v>
      </c>
      <c r="H251" s="2" t="n">
        <v>16800</v>
      </c>
      <c r="I251" s="2" t="n">
        <v>0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2.51</v>
      </c>
      <c r="P251" s="2" t="n">
        <v>2.51</v>
      </c>
      <c r="Q251" s="2" t="n">
        <v>0</v>
      </c>
      <c r="R251" s="2" t="n">
        <v>20.71</v>
      </c>
      <c r="S251" s="2" t="n">
        <v>20.71</v>
      </c>
      <c r="T251" s="2" t="n">
        <v>0</v>
      </c>
      <c r="U251" s="2" t="n">
        <v>65.02</v>
      </c>
      <c r="V251" s="2" t="n">
        <v>65.02</v>
      </c>
      <c r="W251" s="2" t="n">
        <v>0</v>
      </c>
      <c r="X251" s="2" t="n">
        <v>75.52</v>
      </c>
      <c r="Y251" s="2" t="n">
        <v>75.52</v>
      </c>
      <c r="Z251" s="2" t="n">
        <v>0</v>
      </c>
      <c r="AA251" s="2" t="n">
        <v>82.65000000000001</v>
      </c>
      <c r="AB251" s="2" t="n">
        <v>82.65000000000001</v>
      </c>
      <c r="AC251" s="2" t="n">
        <v>0</v>
      </c>
      <c r="AD251" s="2" t="n">
        <v>83.36</v>
      </c>
      <c r="AE251" s="2" t="n">
        <v>83.36</v>
      </c>
      <c r="AF251" s="2" t="n">
        <v>0</v>
      </c>
      <c r="AG251" s="2" t="n">
        <v>83.36</v>
      </c>
      <c r="AH251" s="2" t="n">
        <v>83.36</v>
      </c>
      <c r="AI251" s="2" t="n">
        <v>83.36</v>
      </c>
      <c r="AJ251" s="2" t="n">
        <v>83.36</v>
      </c>
      <c r="AK251" s="2" t="n">
        <v>83.36</v>
      </c>
      <c r="AL251" s="2" t="n">
        <v>83.36</v>
      </c>
      <c r="AM251" s="2" t="n">
        <v>83.36</v>
      </c>
      <c r="AN251" s="2" t="n">
        <v>83.36</v>
      </c>
      <c r="AO251" s="2" t="n">
        <v>83.36</v>
      </c>
      <c r="AP251" s="2" t="n">
        <v>83.36</v>
      </c>
      <c r="AQ251" s="2" t="n">
        <v>83.36</v>
      </c>
      <c r="AR251" s="2" t="n">
        <v>83.36</v>
      </c>
      <c r="AS251" s="2" t="n">
        <v>83.36</v>
      </c>
      <c r="AT251" s="2" t="n">
        <v>83.36</v>
      </c>
      <c r="AU251" s="2" t="n">
        <v>83.36</v>
      </c>
      <c r="AV251" s="2" t="n">
        <v>94.04000000000001</v>
      </c>
      <c r="AW251" s="2" t="n">
        <v>94.04000000000001</v>
      </c>
      <c r="AX251" s="2" t="n">
        <v>84.78</v>
      </c>
      <c r="AY251" s="2" t="n">
        <v>94.04000000000001</v>
      </c>
      <c r="AZ251" s="2" t="n">
        <v>94.04000000000001</v>
      </c>
      <c r="BA251" s="2" t="n">
        <v>94.04000000000001</v>
      </c>
      <c r="BB251" s="2" t="n">
        <v>100</v>
      </c>
      <c r="BC251" s="2" t="n">
        <v>100</v>
      </c>
      <c r="BD251" s="2" t="n">
        <v>100</v>
      </c>
      <c r="BE251" s="2" t="n">
        <v>100</v>
      </c>
      <c r="BF251" s="2" t="n">
        <v>100</v>
      </c>
      <c r="BG251" s="2" t="n">
        <v>100</v>
      </c>
      <c r="BH251" s="2" t="n">
        <v>100</v>
      </c>
      <c r="BI251" s="2" t="n">
        <v>100</v>
      </c>
      <c r="BJ251" s="2" t="n">
        <v>100</v>
      </c>
      <c r="BK251" s="2" t="n">
        <v>100</v>
      </c>
      <c r="BL251" s="2" t="n">
        <v>100</v>
      </c>
      <c r="BM251" s="2" t="n">
        <v>100</v>
      </c>
      <c r="BN251" s="2" t="n">
        <v>100</v>
      </c>
      <c r="BO251" s="2" t="n">
        <v>100</v>
      </c>
      <c r="BP251" s="2" t="n">
        <v>100</v>
      </c>
      <c r="BQ251" s="2" t="n">
        <v>100</v>
      </c>
      <c r="BR251" s="2" t="n">
        <v>100</v>
      </c>
      <c r="BS251" s="2" t="n">
        <v>100</v>
      </c>
      <c r="BT251" s="2" t="n">
        <v>100</v>
      </c>
      <c r="BU251" s="2" t="n">
        <v>100</v>
      </c>
      <c r="BV251" s="2" t="n">
        <v>100</v>
      </c>
      <c r="BW251" s="2" t="n">
        <v>100</v>
      </c>
      <c r="BX251" s="2" t="n">
        <v>100</v>
      </c>
      <c r="BY251" s="2" t="n">
        <v>100</v>
      </c>
      <c r="BZ251" s="2" t="n">
        <v>100</v>
      </c>
      <c r="CA251" s="2" t="n">
        <v>100</v>
      </c>
      <c r="CB251" s="2" t="n">
        <v>100</v>
      </c>
      <c r="CC251" s="2" t="n">
        <v>100</v>
      </c>
      <c r="CD251" s="2" t="n">
        <v>100</v>
      </c>
      <c r="CE251" s="2" t="n">
        <v>100</v>
      </c>
      <c r="CF251" s="2" t="n">
        <v>100</v>
      </c>
      <c r="CG251" s="2" t="n">
        <v>100</v>
      </c>
      <c r="CH251" s="2" t="n">
        <v>100</v>
      </c>
      <c r="CI251" s="2" t="n">
        <v>100</v>
      </c>
      <c r="CJ251" s="2" t="n">
        <v>100</v>
      </c>
      <c r="CK251" s="2" t="n">
        <v>100</v>
      </c>
      <c r="CL251" s="2" t="n">
        <v>100</v>
      </c>
      <c r="CM251" s="2" t="n">
        <v>100</v>
      </c>
      <c r="CN251" s="2" t="n">
        <v>100</v>
      </c>
      <c r="CO251" s="2" t="n">
        <v>100</v>
      </c>
      <c r="CP251" s="2" t="n">
        <v>100</v>
      </c>
      <c r="CQ251" s="2" t="n">
        <v>100</v>
      </c>
      <c r="CR251" s="2" t="n">
        <v>100</v>
      </c>
      <c r="CS251" s="2" t="n">
        <v>100</v>
      </c>
      <c r="CT251" s="2" t="n">
        <v>100</v>
      </c>
      <c r="CU251" s="2" t="n">
        <v>100</v>
      </c>
      <c r="CV251" s="2" t="n">
        <v>100</v>
      </c>
      <c r="CW251" s="2" t="n">
        <v>100</v>
      </c>
      <c r="CX251" s="2" t="n">
        <v>100</v>
      </c>
      <c r="CY251" s="2" t="n">
        <v>100</v>
      </c>
      <c r="CZ251" s="2" t="n">
        <v>100</v>
      </c>
      <c r="DA251" s="2" t="n">
        <v>100</v>
      </c>
      <c r="DB251" s="2" t="n">
        <v>100</v>
      </c>
      <c r="DC251" s="2" t="n">
        <v>100</v>
      </c>
      <c r="DD251" s="2" t="n">
        <v>100</v>
      </c>
      <c r="DE251" s="2" t="n">
        <v>100</v>
      </c>
      <c r="DF251" s="2" t="n">
        <v>100</v>
      </c>
      <c r="DG251" s="2" t="n">
        <v>100</v>
      </c>
      <c r="DH251" s="2" t="n">
        <v>100</v>
      </c>
      <c r="DI251" s="2" t="n">
        <v>100</v>
      </c>
      <c r="DJ251" s="2" t="n">
        <v>100</v>
      </c>
      <c r="DK251" s="2" t="n">
        <v>100</v>
      </c>
      <c r="DL251" s="2" t="n">
        <v>100</v>
      </c>
      <c r="DM251" s="2" t="n">
        <v>100</v>
      </c>
      <c r="DN251" s="2" t="n">
        <v>100</v>
      </c>
      <c r="DO251" s="2" t="n">
        <v>100</v>
      </c>
      <c r="DP251" s="2" t="n">
        <v>100</v>
      </c>
      <c r="DQ251" s="2" t="n">
        <v>100</v>
      </c>
      <c r="DR251" s="2" t="n">
        <v>100</v>
      </c>
      <c r="DS251" s="2" t="n">
        <v>100</v>
      </c>
      <c r="DT251" s="2" t="n">
        <v>100</v>
      </c>
      <c r="DU251" s="2" t="n">
        <v>100</v>
      </c>
      <c r="DV251" s="2" t="n">
        <v>100</v>
      </c>
      <c r="DW251" s="2" t="n">
        <v>100</v>
      </c>
      <c r="DX251" s="2" t="n">
        <v>100</v>
      </c>
      <c r="DY251" s="2" t="n">
        <v>100</v>
      </c>
      <c r="DZ251" s="2" t="n">
        <v>100</v>
      </c>
      <c r="EA251" s="2" t="n">
        <v>100</v>
      </c>
      <c r="EB251" s="2" t="n">
        <v>100</v>
      </c>
      <c r="EC251" s="2" t="n">
        <v>100</v>
      </c>
      <c r="ED251" s="2" t="n">
        <v>100</v>
      </c>
      <c r="EE251" s="2" t="n">
        <v>100</v>
      </c>
      <c r="EF251" s="2" t="n">
        <v>100</v>
      </c>
      <c r="EG251" s="2" t="n">
        <v>100</v>
      </c>
      <c r="EH251" s="2" t="n">
        <v>100</v>
      </c>
      <c r="EI251" s="2" t="n">
        <v>100</v>
      </c>
      <c r="EJ251" s="2" t="n">
        <v>100</v>
      </c>
      <c r="EK251" s="2" t="n">
        <v>100</v>
      </c>
      <c r="EL251" s="2" t="n">
        <v>100</v>
      </c>
      <c r="EM251" s="2" t="n">
        <v>100</v>
      </c>
      <c r="EN251" s="2" t="n">
        <v>100</v>
      </c>
      <c r="EO251" s="2" t="n">
        <v>100</v>
      </c>
      <c r="EP251" s="2" t="n">
        <v>100</v>
      </c>
      <c r="EQ251" s="2" t="n">
        <v>100</v>
      </c>
      <c r="ER251" s="2" t="n">
        <v>100</v>
      </c>
      <c r="ES251" s="2" t="n">
        <v>100</v>
      </c>
      <c r="ET251" s="2" t="n">
        <v>100</v>
      </c>
      <c r="EU251" s="2" t="n">
        <v>100</v>
      </c>
      <c r="EV251" s="2" t="n">
        <v>100</v>
      </c>
      <c r="EW251" s="2" t="n">
        <v>100</v>
      </c>
      <c r="EX251" s="2" t="n">
        <v>100</v>
      </c>
      <c r="EY251" s="2" t="n">
        <v>100</v>
      </c>
      <c r="EZ251" s="2" t="n">
        <v>100</v>
      </c>
      <c r="FA251" s="2" t="n">
        <v>100</v>
      </c>
      <c r="FB251" s="2" t="n">
        <v>100</v>
      </c>
      <c r="FC251" s="2" t="n">
        <v>100</v>
      </c>
      <c r="FD251" s="2" t="n">
        <v>100</v>
      </c>
      <c r="FE251" s="2" t="n">
        <v>100</v>
      </c>
      <c r="FF251" s="2" t="n">
        <v>100</v>
      </c>
      <c r="FG251" s="2" t="n">
        <v>100</v>
      </c>
      <c r="FH251" s="2" t="n">
        <v>100</v>
      </c>
      <c r="FI251" s="2" t="n">
        <v>100</v>
      </c>
      <c r="FJ251" s="2" t="n">
        <v>100</v>
      </c>
      <c r="FK251" s="2" t="n">
        <v>100</v>
      </c>
      <c r="FL251" s="2" t="n">
        <v>100</v>
      </c>
      <c r="FM251" s="2" t="n">
        <v>100</v>
      </c>
      <c r="FN251" s="2" t="n">
        <v>100</v>
      </c>
      <c r="FO251" s="2" t="n">
        <v>100</v>
      </c>
      <c r="FP251" s="2" t="n">
        <v>100</v>
      </c>
      <c r="FQ251" s="2" t="n">
        <v>100</v>
      </c>
    </row>
    <row r="252">
      <c r="A252" s="2" t="n">
        <v>4</v>
      </c>
      <c r="B252" s="2" t="inlineStr">
        <is>
          <t>13.01.01.04</t>
        </is>
      </c>
      <c r="C252" s="2" t="inlineStr">
        <is>
          <t>Concreto bombeável fck=30Mpa com alto Slump com brita 0, sobreconsumo de 35% incluído na cpu.</t>
        </is>
      </c>
      <c r="D252" s="2" t="inlineStr">
        <is>
          <t>21/10/2024</t>
        </is>
      </c>
      <c r="E252" s="2" t="inlineStr">
        <is>
          <t>28/11/2025</t>
        </is>
      </c>
      <c r="F252" s="2" t="n">
        <v>309015.8100000001</v>
      </c>
      <c r="G252" s="2" t="n">
        <v>0</v>
      </c>
      <c r="H252" s="2" t="n">
        <v>309015.8100000001</v>
      </c>
      <c r="I252" s="2" t="n">
        <v>0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2.51</v>
      </c>
      <c r="P252" s="2" t="n">
        <v>2.51</v>
      </c>
      <c r="Q252" s="2" t="n">
        <v>0</v>
      </c>
      <c r="R252" s="2" t="n">
        <v>20.71</v>
      </c>
      <c r="S252" s="2" t="n">
        <v>20.71</v>
      </c>
      <c r="T252" s="2" t="n">
        <v>0</v>
      </c>
      <c r="U252" s="2" t="n">
        <v>65.02</v>
      </c>
      <c r="V252" s="2" t="n">
        <v>65.02</v>
      </c>
      <c r="W252" s="2" t="n">
        <v>0</v>
      </c>
      <c r="X252" s="2" t="n">
        <v>75.52</v>
      </c>
      <c r="Y252" s="2" t="n">
        <v>75.52</v>
      </c>
      <c r="Z252" s="2" t="n">
        <v>0</v>
      </c>
      <c r="AA252" s="2" t="n">
        <v>82.65000000000001</v>
      </c>
      <c r="AB252" s="2" t="n">
        <v>82.65000000000001</v>
      </c>
      <c r="AC252" s="2" t="n">
        <v>0</v>
      </c>
      <c r="AD252" s="2" t="n">
        <v>83.36</v>
      </c>
      <c r="AE252" s="2" t="n">
        <v>83.36</v>
      </c>
      <c r="AF252" s="2" t="n">
        <v>0</v>
      </c>
      <c r="AG252" s="2" t="n">
        <v>83.36</v>
      </c>
      <c r="AH252" s="2" t="n">
        <v>83.36</v>
      </c>
      <c r="AI252" s="2" t="n">
        <v>83.36</v>
      </c>
      <c r="AJ252" s="2" t="n">
        <v>83.36</v>
      </c>
      <c r="AK252" s="2" t="n">
        <v>83.36</v>
      </c>
      <c r="AL252" s="2" t="n">
        <v>83.36</v>
      </c>
      <c r="AM252" s="2" t="n">
        <v>83.36</v>
      </c>
      <c r="AN252" s="2" t="n">
        <v>83.36</v>
      </c>
      <c r="AO252" s="2" t="n">
        <v>83.36</v>
      </c>
      <c r="AP252" s="2" t="n">
        <v>83.36</v>
      </c>
      <c r="AQ252" s="2" t="n">
        <v>83.36</v>
      </c>
      <c r="AR252" s="2" t="n">
        <v>83.36</v>
      </c>
      <c r="AS252" s="2" t="n">
        <v>83.36</v>
      </c>
      <c r="AT252" s="2" t="n">
        <v>83.36</v>
      </c>
      <c r="AU252" s="2" t="n">
        <v>83.36</v>
      </c>
      <c r="AV252" s="2" t="n">
        <v>94.04000000000001</v>
      </c>
      <c r="AW252" s="2" t="n">
        <v>94.04000000000001</v>
      </c>
      <c r="AX252" s="2" t="n">
        <v>84.78</v>
      </c>
      <c r="AY252" s="2" t="n">
        <v>94.04000000000001</v>
      </c>
      <c r="AZ252" s="2" t="n">
        <v>94.04000000000001</v>
      </c>
      <c r="BA252" s="2" t="n">
        <v>94.04000000000001</v>
      </c>
      <c r="BB252" s="2" t="n">
        <v>100</v>
      </c>
      <c r="BC252" s="2" t="n">
        <v>100</v>
      </c>
      <c r="BD252" s="2" t="n">
        <v>100</v>
      </c>
      <c r="BE252" s="2" t="n">
        <v>100</v>
      </c>
      <c r="BF252" s="2" t="n">
        <v>100</v>
      </c>
      <c r="BG252" s="2" t="n">
        <v>100</v>
      </c>
      <c r="BH252" s="2" t="n">
        <v>100</v>
      </c>
      <c r="BI252" s="2" t="n">
        <v>100</v>
      </c>
      <c r="BJ252" s="2" t="n">
        <v>100</v>
      </c>
      <c r="BK252" s="2" t="n">
        <v>100</v>
      </c>
      <c r="BL252" s="2" t="n">
        <v>100</v>
      </c>
      <c r="BM252" s="2" t="n">
        <v>100</v>
      </c>
      <c r="BN252" s="2" t="n">
        <v>100</v>
      </c>
      <c r="BO252" s="2" t="n">
        <v>100</v>
      </c>
      <c r="BP252" s="2" t="n">
        <v>100</v>
      </c>
      <c r="BQ252" s="2" t="n">
        <v>100</v>
      </c>
      <c r="BR252" s="2" t="n">
        <v>100</v>
      </c>
      <c r="BS252" s="2" t="n">
        <v>100</v>
      </c>
      <c r="BT252" s="2" t="n">
        <v>100</v>
      </c>
      <c r="BU252" s="2" t="n">
        <v>100</v>
      </c>
      <c r="BV252" s="2" t="n">
        <v>100</v>
      </c>
      <c r="BW252" s="2" t="n">
        <v>100</v>
      </c>
      <c r="BX252" s="2" t="n">
        <v>100</v>
      </c>
      <c r="BY252" s="2" t="n">
        <v>100</v>
      </c>
      <c r="BZ252" s="2" t="n">
        <v>100</v>
      </c>
      <c r="CA252" s="2" t="n">
        <v>100</v>
      </c>
      <c r="CB252" s="2" t="n">
        <v>100</v>
      </c>
      <c r="CC252" s="2" t="n">
        <v>100</v>
      </c>
      <c r="CD252" s="2" t="n">
        <v>100</v>
      </c>
      <c r="CE252" s="2" t="n">
        <v>100</v>
      </c>
      <c r="CF252" s="2" t="n">
        <v>100</v>
      </c>
      <c r="CG252" s="2" t="n">
        <v>100</v>
      </c>
      <c r="CH252" s="2" t="n">
        <v>100</v>
      </c>
      <c r="CI252" s="2" t="n">
        <v>100</v>
      </c>
      <c r="CJ252" s="2" t="n">
        <v>100</v>
      </c>
      <c r="CK252" s="2" t="n">
        <v>100</v>
      </c>
      <c r="CL252" s="2" t="n">
        <v>100</v>
      </c>
      <c r="CM252" s="2" t="n">
        <v>100</v>
      </c>
      <c r="CN252" s="2" t="n">
        <v>100</v>
      </c>
      <c r="CO252" s="2" t="n">
        <v>100</v>
      </c>
      <c r="CP252" s="2" t="n">
        <v>100</v>
      </c>
      <c r="CQ252" s="2" t="n">
        <v>100</v>
      </c>
      <c r="CR252" s="2" t="n">
        <v>100</v>
      </c>
      <c r="CS252" s="2" t="n">
        <v>100</v>
      </c>
      <c r="CT252" s="2" t="n">
        <v>100</v>
      </c>
      <c r="CU252" s="2" t="n">
        <v>100</v>
      </c>
      <c r="CV252" s="2" t="n">
        <v>100</v>
      </c>
      <c r="CW252" s="2" t="n">
        <v>100</v>
      </c>
      <c r="CX252" s="2" t="n">
        <v>100</v>
      </c>
      <c r="CY252" s="2" t="n">
        <v>100</v>
      </c>
      <c r="CZ252" s="2" t="n">
        <v>100</v>
      </c>
      <c r="DA252" s="2" t="n">
        <v>100</v>
      </c>
      <c r="DB252" s="2" t="n">
        <v>100</v>
      </c>
      <c r="DC252" s="2" t="n">
        <v>100</v>
      </c>
      <c r="DD252" s="2" t="n">
        <v>100</v>
      </c>
      <c r="DE252" s="2" t="n">
        <v>100</v>
      </c>
      <c r="DF252" s="2" t="n">
        <v>100</v>
      </c>
      <c r="DG252" s="2" t="n">
        <v>100</v>
      </c>
      <c r="DH252" s="2" t="n">
        <v>100</v>
      </c>
      <c r="DI252" s="2" t="n">
        <v>100</v>
      </c>
      <c r="DJ252" s="2" t="n">
        <v>100</v>
      </c>
      <c r="DK252" s="2" t="n">
        <v>100</v>
      </c>
      <c r="DL252" s="2" t="n">
        <v>100</v>
      </c>
      <c r="DM252" s="2" t="n">
        <v>100</v>
      </c>
      <c r="DN252" s="2" t="n">
        <v>100</v>
      </c>
      <c r="DO252" s="2" t="n">
        <v>100</v>
      </c>
      <c r="DP252" s="2" t="n">
        <v>100</v>
      </c>
      <c r="DQ252" s="2" t="n">
        <v>100</v>
      </c>
      <c r="DR252" s="2" t="n">
        <v>100</v>
      </c>
      <c r="DS252" s="2" t="n">
        <v>100</v>
      </c>
      <c r="DT252" s="2" t="n">
        <v>100</v>
      </c>
      <c r="DU252" s="2" t="n">
        <v>100</v>
      </c>
      <c r="DV252" s="2" t="n">
        <v>100</v>
      </c>
      <c r="DW252" s="2" t="n">
        <v>100</v>
      </c>
      <c r="DX252" s="2" t="n">
        <v>100</v>
      </c>
      <c r="DY252" s="2" t="n">
        <v>100</v>
      </c>
      <c r="DZ252" s="2" t="n">
        <v>100</v>
      </c>
      <c r="EA252" s="2" t="n">
        <v>100</v>
      </c>
      <c r="EB252" s="2" t="n">
        <v>100</v>
      </c>
      <c r="EC252" s="2" t="n">
        <v>100</v>
      </c>
      <c r="ED252" s="2" t="n">
        <v>100</v>
      </c>
      <c r="EE252" s="2" t="n">
        <v>100</v>
      </c>
      <c r="EF252" s="2" t="n">
        <v>100</v>
      </c>
      <c r="EG252" s="2" t="n">
        <v>100</v>
      </c>
      <c r="EH252" s="2" t="n">
        <v>100</v>
      </c>
      <c r="EI252" s="2" t="n">
        <v>100</v>
      </c>
      <c r="EJ252" s="2" t="n">
        <v>100</v>
      </c>
      <c r="EK252" s="2" t="n">
        <v>100</v>
      </c>
      <c r="EL252" s="2" t="n">
        <v>100</v>
      </c>
      <c r="EM252" s="2" t="n">
        <v>100</v>
      </c>
      <c r="EN252" s="2" t="n">
        <v>100</v>
      </c>
      <c r="EO252" s="2" t="n">
        <v>100</v>
      </c>
      <c r="EP252" s="2" t="n">
        <v>100</v>
      </c>
      <c r="EQ252" s="2" t="n">
        <v>100</v>
      </c>
      <c r="ER252" s="2" t="n">
        <v>100</v>
      </c>
      <c r="ES252" s="2" t="n">
        <v>100</v>
      </c>
      <c r="ET252" s="2" t="n">
        <v>100</v>
      </c>
      <c r="EU252" s="2" t="n">
        <v>100</v>
      </c>
      <c r="EV252" s="2" t="n">
        <v>100</v>
      </c>
      <c r="EW252" s="2" t="n">
        <v>100</v>
      </c>
      <c r="EX252" s="2" t="n">
        <v>100</v>
      </c>
      <c r="EY252" s="2" t="n">
        <v>100</v>
      </c>
      <c r="EZ252" s="2" t="n">
        <v>100</v>
      </c>
      <c r="FA252" s="2" t="n">
        <v>100</v>
      </c>
      <c r="FB252" s="2" t="n">
        <v>100</v>
      </c>
      <c r="FC252" s="2" t="n">
        <v>100</v>
      </c>
      <c r="FD252" s="2" t="n">
        <v>100</v>
      </c>
      <c r="FE252" s="2" t="n">
        <v>100</v>
      </c>
      <c r="FF252" s="2" t="n">
        <v>100</v>
      </c>
      <c r="FG252" s="2" t="n">
        <v>100</v>
      </c>
      <c r="FH252" s="2" t="n">
        <v>100</v>
      </c>
      <c r="FI252" s="2" t="n">
        <v>100</v>
      </c>
      <c r="FJ252" s="2" t="n">
        <v>100</v>
      </c>
      <c r="FK252" s="2" t="n">
        <v>100</v>
      </c>
      <c r="FL252" s="2" t="n">
        <v>100</v>
      </c>
      <c r="FM252" s="2" t="n">
        <v>100</v>
      </c>
      <c r="FN252" s="2" t="n">
        <v>100</v>
      </c>
      <c r="FO252" s="2" t="n">
        <v>100</v>
      </c>
      <c r="FP252" s="2" t="n">
        <v>100</v>
      </c>
      <c r="FQ252" s="2" t="n">
        <v>100</v>
      </c>
    </row>
    <row r="253">
      <c r="A253" s="2" t="n">
        <v>4</v>
      </c>
      <c r="B253" s="2" t="inlineStr">
        <is>
          <t>13.01.01.05</t>
        </is>
      </c>
      <c r="C253" s="2" t="inlineStr">
        <is>
          <t>Locação de bomba de concreto estacionária para concretagens de estaca</t>
        </is>
      </c>
      <c r="D253" s="2" t="inlineStr">
        <is>
          <t>21/10/2024</t>
        </is>
      </c>
      <c r="E253" s="2" t="inlineStr">
        <is>
          <t>28/11/2025</t>
        </is>
      </c>
      <c r="F253" s="2" t="n">
        <v>37500</v>
      </c>
      <c r="G253" s="2" t="n">
        <v>0</v>
      </c>
      <c r="H253" s="2" t="n">
        <v>37500</v>
      </c>
      <c r="I253" s="2" t="n">
        <v>0</v>
      </c>
      <c r="J253" s="2" t="n">
        <v>0</v>
      </c>
      <c r="K253" s="2" t="n">
        <v>0</v>
      </c>
      <c r="L253" s="2" t="n">
        <v>0</v>
      </c>
      <c r="M253" s="2" t="n">
        <v>0</v>
      </c>
      <c r="N253" s="2" t="n">
        <v>0</v>
      </c>
      <c r="O253" s="2" t="n">
        <v>2.51</v>
      </c>
      <c r="P253" s="2" t="n">
        <v>2.51</v>
      </c>
      <c r="Q253" s="2" t="n">
        <v>0</v>
      </c>
      <c r="R253" s="2" t="n">
        <v>20.71</v>
      </c>
      <c r="S253" s="2" t="n">
        <v>20.71</v>
      </c>
      <c r="T253" s="2" t="n">
        <v>0</v>
      </c>
      <c r="U253" s="2" t="n">
        <v>65.02</v>
      </c>
      <c r="V253" s="2" t="n">
        <v>65.02</v>
      </c>
      <c r="W253" s="2" t="n">
        <v>0</v>
      </c>
      <c r="X253" s="2" t="n">
        <v>75.52</v>
      </c>
      <c r="Y253" s="2" t="n">
        <v>75.52</v>
      </c>
      <c r="Z253" s="2" t="n">
        <v>0</v>
      </c>
      <c r="AA253" s="2" t="n">
        <v>82.65000000000001</v>
      </c>
      <c r="AB253" s="2" t="n">
        <v>82.65000000000001</v>
      </c>
      <c r="AC253" s="2" t="n">
        <v>0</v>
      </c>
      <c r="AD253" s="2" t="n">
        <v>83.36</v>
      </c>
      <c r="AE253" s="2" t="n">
        <v>83.36</v>
      </c>
      <c r="AF253" s="2" t="n">
        <v>0</v>
      </c>
      <c r="AG253" s="2" t="n">
        <v>83.36</v>
      </c>
      <c r="AH253" s="2" t="n">
        <v>83.36</v>
      </c>
      <c r="AI253" s="2" t="n">
        <v>83.36</v>
      </c>
      <c r="AJ253" s="2" t="n">
        <v>83.36</v>
      </c>
      <c r="AK253" s="2" t="n">
        <v>83.36</v>
      </c>
      <c r="AL253" s="2" t="n">
        <v>83.36</v>
      </c>
      <c r="AM253" s="2" t="n">
        <v>83.36</v>
      </c>
      <c r="AN253" s="2" t="n">
        <v>83.36</v>
      </c>
      <c r="AO253" s="2" t="n">
        <v>83.36</v>
      </c>
      <c r="AP253" s="2" t="n">
        <v>83.36</v>
      </c>
      <c r="AQ253" s="2" t="n">
        <v>83.36</v>
      </c>
      <c r="AR253" s="2" t="n">
        <v>83.36</v>
      </c>
      <c r="AS253" s="2" t="n">
        <v>83.36</v>
      </c>
      <c r="AT253" s="2" t="n">
        <v>83.36</v>
      </c>
      <c r="AU253" s="2" t="n">
        <v>83.36</v>
      </c>
      <c r="AV253" s="2" t="n">
        <v>94.04000000000001</v>
      </c>
      <c r="AW253" s="2" t="n">
        <v>94.04000000000001</v>
      </c>
      <c r="AX253" s="2" t="n">
        <v>84.78</v>
      </c>
      <c r="AY253" s="2" t="n">
        <v>94.04000000000001</v>
      </c>
      <c r="AZ253" s="2" t="n">
        <v>94.04000000000001</v>
      </c>
      <c r="BA253" s="2" t="n">
        <v>94.04000000000001</v>
      </c>
      <c r="BB253" s="2" t="n">
        <v>100</v>
      </c>
      <c r="BC253" s="2" t="n">
        <v>100</v>
      </c>
      <c r="BD253" s="2" t="n">
        <v>100</v>
      </c>
      <c r="BE253" s="2" t="n">
        <v>100</v>
      </c>
      <c r="BF253" s="2" t="n">
        <v>100</v>
      </c>
      <c r="BG253" s="2" t="n">
        <v>100</v>
      </c>
      <c r="BH253" s="2" t="n">
        <v>100</v>
      </c>
      <c r="BI253" s="2" t="n">
        <v>100</v>
      </c>
      <c r="BJ253" s="2" t="n">
        <v>100</v>
      </c>
      <c r="BK253" s="2" t="n">
        <v>100</v>
      </c>
      <c r="BL253" s="2" t="n">
        <v>100</v>
      </c>
      <c r="BM253" s="2" t="n">
        <v>100</v>
      </c>
      <c r="BN253" s="2" t="n">
        <v>100</v>
      </c>
      <c r="BO253" s="2" t="n">
        <v>100</v>
      </c>
      <c r="BP253" s="2" t="n">
        <v>100</v>
      </c>
      <c r="BQ253" s="2" t="n">
        <v>100</v>
      </c>
      <c r="BR253" s="2" t="n">
        <v>100</v>
      </c>
      <c r="BS253" s="2" t="n">
        <v>100</v>
      </c>
      <c r="BT253" s="2" t="n">
        <v>100</v>
      </c>
      <c r="BU253" s="2" t="n">
        <v>100</v>
      </c>
      <c r="BV253" s="2" t="n">
        <v>100</v>
      </c>
      <c r="BW253" s="2" t="n">
        <v>100</v>
      </c>
      <c r="BX253" s="2" t="n">
        <v>100</v>
      </c>
      <c r="BY253" s="2" t="n">
        <v>100</v>
      </c>
      <c r="BZ253" s="2" t="n">
        <v>100</v>
      </c>
      <c r="CA253" s="2" t="n">
        <v>100</v>
      </c>
      <c r="CB253" s="2" t="n">
        <v>100</v>
      </c>
      <c r="CC253" s="2" t="n">
        <v>100</v>
      </c>
      <c r="CD253" s="2" t="n">
        <v>100</v>
      </c>
      <c r="CE253" s="2" t="n">
        <v>100</v>
      </c>
      <c r="CF253" s="2" t="n">
        <v>100</v>
      </c>
      <c r="CG253" s="2" t="n">
        <v>100</v>
      </c>
      <c r="CH253" s="2" t="n">
        <v>100</v>
      </c>
      <c r="CI253" s="2" t="n">
        <v>100</v>
      </c>
      <c r="CJ253" s="2" t="n">
        <v>100</v>
      </c>
      <c r="CK253" s="2" t="n">
        <v>100</v>
      </c>
      <c r="CL253" s="2" t="n">
        <v>100</v>
      </c>
      <c r="CM253" s="2" t="n">
        <v>100</v>
      </c>
      <c r="CN253" s="2" t="n">
        <v>100</v>
      </c>
      <c r="CO253" s="2" t="n">
        <v>100</v>
      </c>
      <c r="CP253" s="2" t="n">
        <v>100</v>
      </c>
      <c r="CQ253" s="2" t="n">
        <v>100</v>
      </c>
      <c r="CR253" s="2" t="n">
        <v>100</v>
      </c>
      <c r="CS253" s="2" t="n">
        <v>100</v>
      </c>
      <c r="CT253" s="2" t="n">
        <v>100</v>
      </c>
      <c r="CU253" s="2" t="n">
        <v>100</v>
      </c>
      <c r="CV253" s="2" t="n">
        <v>100</v>
      </c>
      <c r="CW253" s="2" t="n">
        <v>100</v>
      </c>
      <c r="CX253" s="2" t="n">
        <v>100</v>
      </c>
      <c r="CY253" s="2" t="n">
        <v>100</v>
      </c>
      <c r="CZ253" s="2" t="n">
        <v>100</v>
      </c>
      <c r="DA253" s="2" t="n">
        <v>100</v>
      </c>
      <c r="DB253" s="2" t="n">
        <v>100</v>
      </c>
      <c r="DC253" s="2" t="n">
        <v>100</v>
      </c>
      <c r="DD253" s="2" t="n">
        <v>100</v>
      </c>
      <c r="DE253" s="2" t="n">
        <v>100</v>
      </c>
      <c r="DF253" s="2" t="n">
        <v>100</v>
      </c>
      <c r="DG253" s="2" t="n">
        <v>100</v>
      </c>
      <c r="DH253" s="2" t="n">
        <v>100</v>
      </c>
      <c r="DI253" s="2" t="n">
        <v>100</v>
      </c>
      <c r="DJ253" s="2" t="n">
        <v>100</v>
      </c>
      <c r="DK253" s="2" t="n">
        <v>100</v>
      </c>
      <c r="DL253" s="2" t="n">
        <v>100</v>
      </c>
      <c r="DM253" s="2" t="n">
        <v>100</v>
      </c>
      <c r="DN253" s="2" t="n">
        <v>100</v>
      </c>
      <c r="DO253" s="2" t="n">
        <v>100</v>
      </c>
      <c r="DP253" s="2" t="n">
        <v>100</v>
      </c>
      <c r="DQ253" s="2" t="n">
        <v>100</v>
      </c>
      <c r="DR253" s="2" t="n">
        <v>100</v>
      </c>
      <c r="DS253" s="2" t="n">
        <v>100</v>
      </c>
      <c r="DT253" s="2" t="n">
        <v>100</v>
      </c>
      <c r="DU253" s="2" t="n">
        <v>100</v>
      </c>
      <c r="DV253" s="2" t="n">
        <v>100</v>
      </c>
      <c r="DW253" s="2" t="n">
        <v>100</v>
      </c>
      <c r="DX253" s="2" t="n">
        <v>100</v>
      </c>
      <c r="DY253" s="2" t="n">
        <v>100</v>
      </c>
      <c r="DZ253" s="2" t="n">
        <v>100</v>
      </c>
      <c r="EA253" s="2" t="n">
        <v>100</v>
      </c>
      <c r="EB253" s="2" t="n">
        <v>100</v>
      </c>
      <c r="EC253" s="2" t="n">
        <v>100</v>
      </c>
      <c r="ED253" s="2" t="n">
        <v>100</v>
      </c>
      <c r="EE253" s="2" t="n">
        <v>100</v>
      </c>
      <c r="EF253" s="2" t="n">
        <v>100</v>
      </c>
      <c r="EG253" s="2" t="n">
        <v>100</v>
      </c>
      <c r="EH253" s="2" t="n">
        <v>100</v>
      </c>
      <c r="EI253" s="2" t="n">
        <v>100</v>
      </c>
      <c r="EJ253" s="2" t="n">
        <v>100</v>
      </c>
      <c r="EK253" s="2" t="n">
        <v>100</v>
      </c>
      <c r="EL253" s="2" t="n">
        <v>100</v>
      </c>
      <c r="EM253" s="2" t="n">
        <v>100</v>
      </c>
      <c r="EN253" s="2" t="n">
        <v>100</v>
      </c>
      <c r="EO253" s="2" t="n">
        <v>100</v>
      </c>
      <c r="EP253" s="2" t="n">
        <v>100</v>
      </c>
      <c r="EQ253" s="2" t="n">
        <v>100</v>
      </c>
      <c r="ER253" s="2" t="n">
        <v>100</v>
      </c>
      <c r="ES253" s="2" t="n">
        <v>100</v>
      </c>
      <c r="ET253" s="2" t="n">
        <v>100</v>
      </c>
      <c r="EU253" s="2" t="n">
        <v>100</v>
      </c>
      <c r="EV253" s="2" t="n">
        <v>100</v>
      </c>
      <c r="EW253" s="2" t="n">
        <v>100</v>
      </c>
      <c r="EX253" s="2" t="n">
        <v>100</v>
      </c>
      <c r="EY253" s="2" t="n">
        <v>100</v>
      </c>
      <c r="EZ253" s="2" t="n">
        <v>100</v>
      </c>
      <c r="FA253" s="2" t="n">
        <v>100</v>
      </c>
      <c r="FB253" s="2" t="n">
        <v>100</v>
      </c>
      <c r="FC253" s="2" t="n">
        <v>100</v>
      </c>
      <c r="FD253" s="2" t="n">
        <v>100</v>
      </c>
      <c r="FE253" s="2" t="n">
        <v>100</v>
      </c>
      <c r="FF253" s="2" t="n">
        <v>100</v>
      </c>
      <c r="FG253" s="2" t="n">
        <v>100</v>
      </c>
      <c r="FH253" s="2" t="n">
        <v>100</v>
      </c>
      <c r="FI253" s="2" t="n">
        <v>100</v>
      </c>
      <c r="FJ253" s="2" t="n">
        <v>100</v>
      </c>
      <c r="FK253" s="2" t="n">
        <v>100</v>
      </c>
      <c r="FL253" s="2" t="n">
        <v>100</v>
      </c>
      <c r="FM253" s="2" t="n">
        <v>100</v>
      </c>
      <c r="FN253" s="2" t="n">
        <v>100</v>
      </c>
      <c r="FO253" s="2" t="n">
        <v>100</v>
      </c>
      <c r="FP253" s="2" t="n">
        <v>100</v>
      </c>
      <c r="FQ253" s="2" t="n">
        <v>100</v>
      </c>
    </row>
    <row r="254">
      <c r="A254" s="2" t="n">
        <v>4</v>
      </c>
      <c r="B254" s="2" t="inlineStr">
        <is>
          <t>13.01.01.06</t>
        </is>
      </c>
      <c r="C254" s="2" t="inlineStr">
        <is>
          <t>Bucha de argamassa de cimento e areia para limpeza e lubrificação de bomba</t>
        </is>
      </c>
      <c r="D254" s="2" t="inlineStr">
        <is>
          <t>21/10/2024</t>
        </is>
      </c>
      <c r="E254" s="2" t="inlineStr">
        <is>
          <t>28/11/2025</t>
        </is>
      </c>
      <c r="F254" s="2" t="n">
        <v>4944.220553629035</v>
      </c>
      <c r="G254" s="2" t="n">
        <v>0</v>
      </c>
      <c r="H254" s="2" t="n">
        <v>4944.220553629035</v>
      </c>
      <c r="I254" s="2" t="n">
        <v>0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2.51</v>
      </c>
      <c r="P254" s="2" t="n">
        <v>2.51</v>
      </c>
      <c r="Q254" s="2" t="n">
        <v>0</v>
      </c>
      <c r="R254" s="2" t="n">
        <v>20.71</v>
      </c>
      <c r="S254" s="2" t="n">
        <v>20.71</v>
      </c>
      <c r="T254" s="2" t="n">
        <v>0</v>
      </c>
      <c r="U254" s="2" t="n">
        <v>65.02</v>
      </c>
      <c r="V254" s="2" t="n">
        <v>65.02</v>
      </c>
      <c r="W254" s="2" t="n">
        <v>0</v>
      </c>
      <c r="X254" s="2" t="n">
        <v>75.52</v>
      </c>
      <c r="Y254" s="2" t="n">
        <v>75.52</v>
      </c>
      <c r="Z254" s="2" t="n">
        <v>0</v>
      </c>
      <c r="AA254" s="2" t="n">
        <v>82.65000000000001</v>
      </c>
      <c r="AB254" s="2" t="n">
        <v>82.65000000000001</v>
      </c>
      <c r="AC254" s="2" t="n">
        <v>0</v>
      </c>
      <c r="AD254" s="2" t="n">
        <v>83.36</v>
      </c>
      <c r="AE254" s="2" t="n">
        <v>83.36</v>
      </c>
      <c r="AF254" s="2" t="n">
        <v>0</v>
      </c>
      <c r="AG254" s="2" t="n">
        <v>83.36</v>
      </c>
      <c r="AH254" s="2" t="n">
        <v>83.36</v>
      </c>
      <c r="AI254" s="2" t="n">
        <v>83.36</v>
      </c>
      <c r="AJ254" s="2" t="n">
        <v>83.36</v>
      </c>
      <c r="AK254" s="2" t="n">
        <v>83.36</v>
      </c>
      <c r="AL254" s="2" t="n">
        <v>83.36</v>
      </c>
      <c r="AM254" s="2" t="n">
        <v>83.36</v>
      </c>
      <c r="AN254" s="2" t="n">
        <v>83.36</v>
      </c>
      <c r="AO254" s="2" t="n">
        <v>83.36</v>
      </c>
      <c r="AP254" s="2" t="n">
        <v>83.36</v>
      </c>
      <c r="AQ254" s="2" t="n">
        <v>83.36</v>
      </c>
      <c r="AR254" s="2" t="n">
        <v>83.36</v>
      </c>
      <c r="AS254" s="2" t="n">
        <v>83.36</v>
      </c>
      <c r="AT254" s="2" t="n">
        <v>83.36</v>
      </c>
      <c r="AU254" s="2" t="n">
        <v>83.36</v>
      </c>
      <c r="AV254" s="2" t="n">
        <v>94.04000000000001</v>
      </c>
      <c r="AW254" s="2" t="n">
        <v>94.04000000000001</v>
      </c>
      <c r="AX254" s="2" t="n">
        <v>84.78</v>
      </c>
      <c r="AY254" s="2" t="n">
        <v>94.04000000000001</v>
      </c>
      <c r="AZ254" s="2" t="n">
        <v>94.04000000000001</v>
      </c>
      <c r="BA254" s="2" t="n">
        <v>94.04000000000001</v>
      </c>
      <c r="BB254" s="2" t="n">
        <v>100</v>
      </c>
      <c r="BC254" s="2" t="n">
        <v>100</v>
      </c>
      <c r="BD254" s="2" t="n">
        <v>100</v>
      </c>
      <c r="BE254" s="2" t="n">
        <v>100</v>
      </c>
      <c r="BF254" s="2" t="n">
        <v>100</v>
      </c>
      <c r="BG254" s="2" t="n">
        <v>100</v>
      </c>
      <c r="BH254" s="2" t="n">
        <v>100</v>
      </c>
      <c r="BI254" s="2" t="n">
        <v>100</v>
      </c>
      <c r="BJ254" s="2" t="n">
        <v>100</v>
      </c>
      <c r="BK254" s="2" t="n">
        <v>100</v>
      </c>
      <c r="BL254" s="2" t="n">
        <v>100</v>
      </c>
      <c r="BM254" s="2" t="n">
        <v>100</v>
      </c>
      <c r="BN254" s="2" t="n">
        <v>100</v>
      </c>
      <c r="BO254" s="2" t="n">
        <v>100</v>
      </c>
      <c r="BP254" s="2" t="n">
        <v>100</v>
      </c>
      <c r="BQ254" s="2" t="n">
        <v>100</v>
      </c>
      <c r="BR254" s="2" t="n">
        <v>100</v>
      </c>
      <c r="BS254" s="2" t="n">
        <v>100</v>
      </c>
      <c r="BT254" s="2" t="n">
        <v>100</v>
      </c>
      <c r="BU254" s="2" t="n">
        <v>100</v>
      </c>
      <c r="BV254" s="2" t="n">
        <v>100</v>
      </c>
      <c r="BW254" s="2" t="n">
        <v>100</v>
      </c>
      <c r="BX254" s="2" t="n">
        <v>100</v>
      </c>
      <c r="BY254" s="2" t="n">
        <v>100</v>
      </c>
      <c r="BZ254" s="2" t="n">
        <v>100</v>
      </c>
      <c r="CA254" s="2" t="n">
        <v>100</v>
      </c>
      <c r="CB254" s="2" t="n">
        <v>100</v>
      </c>
      <c r="CC254" s="2" t="n">
        <v>100</v>
      </c>
      <c r="CD254" s="2" t="n">
        <v>100</v>
      </c>
      <c r="CE254" s="2" t="n">
        <v>100</v>
      </c>
      <c r="CF254" s="2" t="n">
        <v>100</v>
      </c>
      <c r="CG254" s="2" t="n">
        <v>100</v>
      </c>
      <c r="CH254" s="2" t="n">
        <v>100</v>
      </c>
      <c r="CI254" s="2" t="n">
        <v>100</v>
      </c>
      <c r="CJ254" s="2" t="n">
        <v>100</v>
      </c>
      <c r="CK254" s="2" t="n">
        <v>100</v>
      </c>
      <c r="CL254" s="2" t="n">
        <v>100</v>
      </c>
      <c r="CM254" s="2" t="n">
        <v>100</v>
      </c>
      <c r="CN254" s="2" t="n">
        <v>100</v>
      </c>
      <c r="CO254" s="2" t="n">
        <v>100</v>
      </c>
      <c r="CP254" s="2" t="n">
        <v>100</v>
      </c>
      <c r="CQ254" s="2" t="n">
        <v>100</v>
      </c>
      <c r="CR254" s="2" t="n">
        <v>100</v>
      </c>
      <c r="CS254" s="2" t="n">
        <v>100</v>
      </c>
      <c r="CT254" s="2" t="n">
        <v>100</v>
      </c>
      <c r="CU254" s="2" t="n">
        <v>100</v>
      </c>
      <c r="CV254" s="2" t="n">
        <v>100</v>
      </c>
      <c r="CW254" s="2" t="n">
        <v>100</v>
      </c>
      <c r="CX254" s="2" t="n">
        <v>100</v>
      </c>
      <c r="CY254" s="2" t="n">
        <v>100</v>
      </c>
      <c r="CZ254" s="2" t="n">
        <v>100</v>
      </c>
      <c r="DA254" s="2" t="n">
        <v>100</v>
      </c>
      <c r="DB254" s="2" t="n">
        <v>100</v>
      </c>
      <c r="DC254" s="2" t="n">
        <v>100</v>
      </c>
      <c r="DD254" s="2" t="n">
        <v>100</v>
      </c>
      <c r="DE254" s="2" t="n">
        <v>100</v>
      </c>
      <c r="DF254" s="2" t="n">
        <v>100</v>
      </c>
      <c r="DG254" s="2" t="n">
        <v>100</v>
      </c>
      <c r="DH254" s="2" t="n">
        <v>100</v>
      </c>
      <c r="DI254" s="2" t="n">
        <v>100</v>
      </c>
      <c r="DJ254" s="2" t="n">
        <v>100</v>
      </c>
      <c r="DK254" s="2" t="n">
        <v>100</v>
      </c>
      <c r="DL254" s="2" t="n">
        <v>100</v>
      </c>
      <c r="DM254" s="2" t="n">
        <v>100</v>
      </c>
      <c r="DN254" s="2" t="n">
        <v>100</v>
      </c>
      <c r="DO254" s="2" t="n">
        <v>100</v>
      </c>
      <c r="DP254" s="2" t="n">
        <v>100</v>
      </c>
      <c r="DQ254" s="2" t="n">
        <v>100</v>
      </c>
      <c r="DR254" s="2" t="n">
        <v>100</v>
      </c>
      <c r="DS254" s="2" t="n">
        <v>100</v>
      </c>
      <c r="DT254" s="2" t="n">
        <v>100</v>
      </c>
      <c r="DU254" s="2" t="n">
        <v>100</v>
      </c>
      <c r="DV254" s="2" t="n">
        <v>100</v>
      </c>
      <c r="DW254" s="2" t="n">
        <v>100</v>
      </c>
      <c r="DX254" s="2" t="n">
        <v>100</v>
      </c>
      <c r="DY254" s="2" t="n">
        <v>100</v>
      </c>
      <c r="DZ254" s="2" t="n">
        <v>100</v>
      </c>
      <c r="EA254" s="2" t="n">
        <v>100</v>
      </c>
      <c r="EB254" s="2" t="n">
        <v>100</v>
      </c>
      <c r="EC254" s="2" t="n">
        <v>100</v>
      </c>
      <c r="ED254" s="2" t="n">
        <v>100</v>
      </c>
      <c r="EE254" s="2" t="n">
        <v>100</v>
      </c>
      <c r="EF254" s="2" t="n">
        <v>100</v>
      </c>
      <c r="EG254" s="2" t="n">
        <v>100</v>
      </c>
      <c r="EH254" s="2" t="n">
        <v>100</v>
      </c>
      <c r="EI254" s="2" t="n">
        <v>100</v>
      </c>
      <c r="EJ254" s="2" t="n">
        <v>100</v>
      </c>
      <c r="EK254" s="2" t="n">
        <v>100</v>
      </c>
      <c r="EL254" s="2" t="n">
        <v>100</v>
      </c>
      <c r="EM254" s="2" t="n">
        <v>100</v>
      </c>
      <c r="EN254" s="2" t="n">
        <v>100</v>
      </c>
      <c r="EO254" s="2" t="n">
        <v>100</v>
      </c>
      <c r="EP254" s="2" t="n">
        <v>100</v>
      </c>
      <c r="EQ254" s="2" t="n">
        <v>100</v>
      </c>
      <c r="ER254" s="2" t="n">
        <v>100</v>
      </c>
      <c r="ES254" s="2" t="n">
        <v>100</v>
      </c>
      <c r="ET254" s="2" t="n">
        <v>100</v>
      </c>
      <c r="EU254" s="2" t="n">
        <v>100</v>
      </c>
      <c r="EV254" s="2" t="n">
        <v>100</v>
      </c>
      <c r="EW254" s="2" t="n">
        <v>100</v>
      </c>
      <c r="EX254" s="2" t="n">
        <v>100</v>
      </c>
      <c r="EY254" s="2" t="n">
        <v>100</v>
      </c>
      <c r="EZ254" s="2" t="n">
        <v>100</v>
      </c>
      <c r="FA254" s="2" t="n">
        <v>100</v>
      </c>
      <c r="FB254" s="2" t="n">
        <v>100</v>
      </c>
      <c r="FC254" s="2" t="n">
        <v>100</v>
      </c>
      <c r="FD254" s="2" t="n">
        <v>100</v>
      </c>
      <c r="FE254" s="2" t="n">
        <v>100</v>
      </c>
      <c r="FF254" s="2" t="n">
        <v>100</v>
      </c>
      <c r="FG254" s="2" t="n">
        <v>100</v>
      </c>
      <c r="FH254" s="2" t="n">
        <v>100</v>
      </c>
      <c r="FI254" s="2" t="n">
        <v>100</v>
      </c>
      <c r="FJ254" s="2" t="n">
        <v>100</v>
      </c>
      <c r="FK254" s="2" t="n">
        <v>100</v>
      </c>
      <c r="FL254" s="2" t="n">
        <v>100</v>
      </c>
      <c r="FM254" s="2" t="n">
        <v>100</v>
      </c>
      <c r="FN254" s="2" t="n">
        <v>100</v>
      </c>
      <c r="FO254" s="2" t="n">
        <v>100</v>
      </c>
      <c r="FP254" s="2" t="n">
        <v>100</v>
      </c>
      <c r="FQ254" s="2" t="n">
        <v>100</v>
      </c>
    </row>
    <row r="255">
      <c r="A255" s="2" t="n">
        <v>4</v>
      </c>
      <c r="B255" s="2" t="inlineStr">
        <is>
          <t>13.01.01.07</t>
        </is>
      </c>
      <c r="C255" s="2" t="inlineStr">
        <is>
          <t>Armadura Ca-50 adquirido cortado e dobrado, montagem e posicionamento no canteiro</t>
        </is>
      </c>
      <c r="D255" s="2" t="inlineStr">
        <is>
          <t>21/10/2024</t>
        </is>
      </c>
      <c r="E255" s="2" t="inlineStr">
        <is>
          <t>28/11/2025</t>
        </is>
      </c>
      <c r="F255" s="2" t="n">
        <v>267957.1125</v>
      </c>
      <c r="G255" s="2" t="n">
        <v>0</v>
      </c>
      <c r="H255" s="2" t="n">
        <v>267957.1125</v>
      </c>
      <c r="I255" s="2" t="n">
        <v>0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2.51</v>
      </c>
      <c r="P255" s="2" t="n">
        <v>2.51</v>
      </c>
      <c r="Q255" s="2" t="n">
        <v>0</v>
      </c>
      <c r="R255" s="2" t="n">
        <v>20.71</v>
      </c>
      <c r="S255" s="2" t="n">
        <v>20.71</v>
      </c>
      <c r="T255" s="2" t="n">
        <v>0</v>
      </c>
      <c r="U255" s="2" t="n">
        <v>65.02</v>
      </c>
      <c r="V255" s="2" t="n">
        <v>65.02</v>
      </c>
      <c r="W255" s="2" t="n">
        <v>0</v>
      </c>
      <c r="X255" s="2" t="n">
        <v>75.52</v>
      </c>
      <c r="Y255" s="2" t="n">
        <v>75.52</v>
      </c>
      <c r="Z255" s="2" t="n">
        <v>0</v>
      </c>
      <c r="AA255" s="2" t="n">
        <v>82.65000000000001</v>
      </c>
      <c r="AB255" s="2" t="n">
        <v>82.65000000000001</v>
      </c>
      <c r="AC255" s="2" t="n">
        <v>0</v>
      </c>
      <c r="AD255" s="2" t="n">
        <v>83.36</v>
      </c>
      <c r="AE255" s="2" t="n">
        <v>83.36</v>
      </c>
      <c r="AF255" s="2" t="n">
        <v>0</v>
      </c>
      <c r="AG255" s="2" t="n">
        <v>83.36</v>
      </c>
      <c r="AH255" s="2" t="n">
        <v>83.36</v>
      </c>
      <c r="AI255" s="2" t="n">
        <v>83.36</v>
      </c>
      <c r="AJ255" s="2" t="n">
        <v>83.36</v>
      </c>
      <c r="AK255" s="2" t="n">
        <v>83.36</v>
      </c>
      <c r="AL255" s="2" t="n">
        <v>83.36</v>
      </c>
      <c r="AM255" s="2" t="n">
        <v>83.36</v>
      </c>
      <c r="AN255" s="2" t="n">
        <v>83.36</v>
      </c>
      <c r="AO255" s="2" t="n">
        <v>83.36</v>
      </c>
      <c r="AP255" s="2" t="n">
        <v>83.36</v>
      </c>
      <c r="AQ255" s="2" t="n">
        <v>83.36</v>
      </c>
      <c r="AR255" s="2" t="n">
        <v>83.36</v>
      </c>
      <c r="AS255" s="2" t="n">
        <v>83.36</v>
      </c>
      <c r="AT255" s="2" t="n">
        <v>83.36</v>
      </c>
      <c r="AU255" s="2" t="n">
        <v>83.36</v>
      </c>
      <c r="AV255" s="2" t="n">
        <v>94.04000000000001</v>
      </c>
      <c r="AW255" s="2" t="n">
        <v>94.04000000000001</v>
      </c>
      <c r="AX255" s="2" t="n">
        <v>84.78</v>
      </c>
      <c r="AY255" s="2" t="n">
        <v>94.04000000000001</v>
      </c>
      <c r="AZ255" s="2" t="n">
        <v>94.04000000000001</v>
      </c>
      <c r="BA255" s="2" t="n">
        <v>94.04000000000001</v>
      </c>
      <c r="BB255" s="2" t="n">
        <v>100</v>
      </c>
      <c r="BC255" s="2" t="n">
        <v>100</v>
      </c>
      <c r="BD255" s="2" t="n">
        <v>100</v>
      </c>
      <c r="BE255" s="2" t="n">
        <v>100</v>
      </c>
      <c r="BF255" s="2" t="n">
        <v>100</v>
      </c>
      <c r="BG255" s="2" t="n">
        <v>100</v>
      </c>
      <c r="BH255" s="2" t="n">
        <v>100</v>
      </c>
      <c r="BI255" s="2" t="n">
        <v>100</v>
      </c>
      <c r="BJ255" s="2" t="n">
        <v>100</v>
      </c>
      <c r="BK255" s="2" t="n">
        <v>100</v>
      </c>
      <c r="BL255" s="2" t="n">
        <v>100</v>
      </c>
      <c r="BM255" s="2" t="n">
        <v>100</v>
      </c>
      <c r="BN255" s="2" t="n">
        <v>100</v>
      </c>
      <c r="BO255" s="2" t="n">
        <v>100</v>
      </c>
      <c r="BP255" s="2" t="n">
        <v>100</v>
      </c>
      <c r="BQ255" s="2" t="n">
        <v>100</v>
      </c>
      <c r="BR255" s="2" t="n">
        <v>100</v>
      </c>
      <c r="BS255" s="2" t="n">
        <v>100</v>
      </c>
      <c r="BT255" s="2" t="n">
        <v>100</v>
      </c>
      <c r="BU255" s="2" t="n">
        <v>100</v>
      </c>
      <c r="BV255" s="2" t="n">
        <v>100</v>
      </c>
      <c r="BW255" s="2" t="n">
        <v>100</v>
      </c>
      <c r="BX255" s="2" t="n">
        <v>100</v>
      </c>
      <c r="BY255" s="2" t="n">
        <v>100</v>
      </c>
      <c r="BZ255" s="2" t="n">
        <v>100</v>
      </c>
      <c r="CA255" s="2" t="n">
        <v>100</v>
      </c>
      <c r="CB255" s="2" t="n">
        <v>100</v>
      </c>
      <c r="CC255" s="2" t="n">
        <v>100</v>
      </c>
      <c r="CD255" s="2" t="n">
        <v>100</v>
      </c>
      <c r="CE255" s="2" t="n">
        <v>100</v>
      </c>
      <c r="CF255" s="2" t="n">
        <v>100</v>
      </c>
      <c r="CG255" s="2" t="n">
        <v>100</v>
      </c>
      <c r="CH255" s="2" t="n">
        <v>100</v>
      </c>
      <c r="CI255" s="2" t="n">
        <v>100</v>
      </c>
      <c r="CJ255" s="2" t="n">
        <v>100</v>
      </c>
      <c r="CK255" s="2" t="n">
        <v>100</v>
      </c>
      <c r="CL255" s="2" t="n">
        <v>100</v>
      </c>
      <c r="CM255" s="2" t="n">
        <v>100</v>
      </c>
      <c r="CN255" s="2" t="n">
        <v>100</v>
      </c>
      <c r="CO255" s="2" t="n">
        <v>100</v>
      </c>
      <c r="CP255" s="2" t="n">
        <v>100</v>
      </c>
      <c r="CQ255" s="2" t="n">
        <v>100</v>
      </c>
      <c r="CR255" s="2" t="n">
        <v>100</v>
      </c>
      <c r="CS255" s="2" t="n">
        <v>100</v>
      </c>
      <c r="CT255" s="2" t="n">
        <v>100</v>
      </c>
      <c r="CU255" s="2" t="n">
        <v>100</v>
      </c>
      <c r="CV255" s="2" t="n">
        <v>100</v>
      </c>
      <c r="CW255" s="2" t="n">
        <v>100</v>
      </c>
      <c r="CX255" s="2" t="n">
        <v>100</v>
      </c>
      <c r="CY255" s="2" t="n">
        <v>100</v>
      </c>
      <c r="CZ255" s="2" t="n">
        <v>100</v>
      </c>
      <c r="DA255" s="2" t="n">
        <v>100</v>
      </c>
      <c r="DB255" s="2" t="n">
        <v>100</v>
      </c>
      <c r="DC255" s="2" t="n">
        <v>100</v>
      </c>
      <c r="DD255" s="2" t="n">
        <v>100</v>
      </c>
      <c r="DE255" s="2" t="n">
        <v>100</v>
      </c>
      <c r="DF255" s="2" t="n">
        <v>100</v>
      </c>
      <c r="DG255" s="2" t="n">
        <v>100</v>
      </c>
      <c r="DH255" s="2" t="n">
        <v>100</v>
      </c>
      <c r="DI255" s="2" t="n">
        <v>100</v>
      </c>
      <c r="DJ255" s="2" t="n">
        <v>100</v>
      </c>
      <c r="DK255" s="2" t="n">
        <v>100</v>
      </c>
      <c r="DL255" s="2" t="n">
        <v>100</v>
      </c>
      <c r="DM255" s="2" t="n">
        <v>100</v>
      </c>
      <c r="DN255" s="2" t="n">
        <v>100</v>
      </c>
      <c r="DO255" s="2" t="n">
        <v>100</v>
      </c>
      <c r="DP255" s="2" t="n">
        <v>100</v>
      </c>
      <c r="DQ255" s="2" t="n">
        <v>100</v>
      </c>
      <c r="DR255" s="2" t="n">
        <v>100</v>
      </c>
      <c r="DS255" s="2" t="n">
        <v>100</v>
      </c>
      <c r="DT255" s="2" t="n">
        <v>100</v>
      </c>
      <c r="DU255" s="2" t="n">
        <v>100</v>
      </c>
      <c r="DV255" s="2" t="n">
        <v>100</v>
      </c>
      <c r="DW255" s="2" t="n">
        <v>100</v>
      </c>
      <c r="DX255" s="2" t="n">
        <v>100</v>
      </c>
      <c r="DY255" s="2" t="n">
        <v>100</v>
      </c>
      <c r="DZ255" s="2" t="n">
        <v>100</v>
      </c>
      <c r="EA255" s="2" t="n">
        <v>100</v>
      </c>
      <c r="EB255" s="2" t="n">
        <v>100</v>
      </c>
      <c r="EC255" s="2" t="n">
        <v>100</v>
      </c>
      <c r="ED255" s="2" t="n">
        <v>100</v>
      </c>
      <c r="EE255" s="2" t="n">
        <v>100</v>
      </c>
      <c r="EF255" s="2" t="n">
        <v>100</v>
      </c>
      <c r="EG255" s="2" t="n">
        <v>100</v>
      </c>
      <c r="EH255" s="2" t="n">
        <v>100</v>
      </c>
      <c r="EI255" s="2" t="n">
        <v>100</v>
      </c>
      <c r="EJ255" s="2" t="n">
        <v>100</v>
      </c>
      <c r="EK255" s="2" t="n">
        <v>100</v>
      </c>
      <c r="EL255" s="2" t="n">
        <v>100</v>
      </c>
      <c r="EM255" s="2" t="n">
        <v>100</v>
      </c>
      <c r="EN255" s="2" t="n">
        <v>100</v>
      </c>
      <c r="EO255" s="2" t="n">
        <v>100</v>
      </c>
      <c r="EP255" s="2" t="n">
        <v>100</v>
      </c>
      <c r="EQ255" s="2" t="n">
        <v>100</v>
      </c>
      <c r="ER255" s="2" t="n">
        <v>100</v>
      </c>
      <c r="ES255" s="2" t="n">
        <v>100</v>
      </c>
      <c r="ET255" s="2" t="n">
        <v>100</v>
      </c>
      <c r="EU255" s="2" t="n">
        <v>100</v>
      </c>
      <c r="EV255" s="2" t="n">
        <v>100</v>
      </c>
      <c r="EW255" s="2" t="n">
        <v>100</v>
      </c>
      <c r="EX255" s="2" t="n">
        <v>100</v>
      </c>
      <c r="EY255" s="2" t="n">
        <v>100</v>
      </c>
      <c r="EZ255" s="2" t="n">
        <v>100</v>
      </c>
      <c r="FA255" s="2" t="n">
        <v>100</v>
      </c>
      <c r="FB255" s="2" t="n">
        <v>100</v>
      </c>
      <c r="FC255" s="2" t="n">
        <v>100</v>
      </c>
      <c r="FD255" s="2" t="n">
        <v>100</v>
      </c>
      <c r="FE255" s="2" t="n">
        <v>100</v>
      </c>
      <c r="FF255" s="2" t="n">
        <v>100</v>
      </c>
      <c r="FG255" s="2" t="n">
        <v>100</v>
      </c>
      <c r="FH255" s="2" t="n">
        <v>100</v>
      </c>
      <c r="FI255" s="2" t="n">
        <v>100</v>
      </c>
      <c r="FJ255" s="2" t="n">
        <v>100</v>
      </c>
      <c r="FK255" s="2" t="n">
        <v>100</v>
      </c>
      <c r="FL255" s="2" t="n">
        <v>100</v>
      </c>
      <c r="FM255" s="2" t="n">
        <v>100</v>
      </c>
      <c r="FN255" s="2" t="n">
        <v>100</v>
      </c>
      <c r="FO255" s="2" t="n">
        <v>100</v>
      </c>
      <c r="FP255" s="2" t="n">
        <v>100</v>
      </c>
      <c r="FQ255" s="2" t="n">
        <v>100</v>
      </c>
    </row>
    <row r="256">
      <c r="A256" s="2" t="n">
        <v>4</v>
      </c>
      <c r="B256" s="2" t="inlineStr">
        <is>
          <t>13.01.01.08</t>
        </is>
      </c>
      <c r="C256" s="2" t="inlineStr">
        <is>
          <t>Arrasamento de cabeça de estacas com martelete</t>
        </is>
      </c>
      <c r="D256" s="2" t="inlineStr">
        <is>
          <t>21/10/2024</t>
        </is>
      </c>
      <c r="E256" s="2" t="inlineStr">
        <is>
          <t>28/11/2025</t>
        </is>
      </c>
      <c r="F256" s="2" t="n">
        <v>84065.20085047054</v>
      </c>
      <c r="G256" s="2" t="n">
        <v>0</v>
      </c>
      <c r="H256" s="2" t="n">
        <v>84065.20085047054</v>
      </c>
      <c r="I256" s="2" t="n">
        <v>0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2.51</v>
      </c>
      <c r="P256" s="2" t="n">
        <v>2.51</v>
      </c>
      <c r="Q256" s="2" t="n">
        <v>0</v>
      </c>
      <c r="R256" s="2" t="n">
        <v>20.71</v>
      </c>
      <c r="S256" s="2" t="n">
        <v>20.71</v>
      </c>
      <c r="T256" s="2" t="n">
        <v>0</v>
      </c>
      <c r="U256" s="2" t="n">
        <v>65.02</v>
      </c>
      <c r="V256" s="2" t="n">
        <v>65.02</v>
      </c>
      <c r="W256" s="2" t="n">
        <v>0</v>
      </c>
      <c r="X256" s="2" t="n">
        <v>75.52</v>
      </c>
      <c r="Y256" s="2" t="n">
        <v>75.52</v>
      </c>
      <c r="Z256" s="2" t="n">
        <v>0</v>
      </c>
      <c r="AA256" s="2" t="n">
        <v>82.65000000000001</v>
      </c>
      <c r="AB256" s="2" t="n">
        <v>82.65000000000001</v>
      </c>
      <c r="AC256" s="2" t="n">
        <v>0</v>
      </c>
      <c r="AD256" s="2" t="n">
        <v>83.36</v>
      </c>
      <c r="AE256" s="2" t="n">
        <v>83.36</v>
      </c>
      <c r="AF256" s="2" t="n">
        <v>0</v>
      </c>
      <c r="AG256" s="2" t="n">
        <v>83.36</v>
      </c>
      <c r="AH256" s="2" t="n">
        <v>83.36</v>
      </c>
      <c r="AI256" s="2" t="n">
        <v>83.36</v>
      </c>
      <c r="AJ256" s="2" t="n">
        <v>83.36</v>
      </c>
      <c r="AK256" s="2" t="n">
        <v>83.36</v>
      </c>
      <c r="AL256" s="2" t="n">
        <v>83.36</v>
      </c>
      <c r="AM256" s="2" t="n">
        <v>83.36</v>
      </c>
      <c r="AN256" s="2" t="n">
        <v>83.36</v>
      </c>
      <c r="AO256" s="2" t="n">
        <v>83.36</v>
      </c>
      <c r="AP256" s="2" t="n">
        <v>83.36</v>
      </c>
      <c r="AQ256" s="2" t="n">
        <v>83.36</v>
      </c>
      <c r="AR256" s="2" t="n">
        <v>83.36</v>
      </c>
      <c r="AS256" s="2" t="n">
        <v>83.36</v>
      </c>
      <c r="AT256" s="2" t="n">
        <v>83.36</v>
      </c>
      <c r="AU256" s="2" t="n">
        <v>83.36</v>
      </c>
      <c r="AV256" s="2" t="n">
        <v>94.04000000000001</v>
      </c>
      <c r="AW256" s="2" t="n">
        <v>94.04000000000001</v>
      </c>
      <c r="AX256" s="2" t="n">
        <v>84.78</v>
      </c>
      <c r="AY256" s="2" t="n">
        <v>94.04000000000001</v>
      </c>
      <c r="AZ256" s="2" t="n">
        <v>94.04000000000001</v>
      </c>
      <c r="BA256" s="2" t="n">
        <v>94.04000000000001</v>
      </c>
      <c r="BB256" s="2" t="n">
        <v>100</v>
      </c>
      <c r="BC256" s="2" t="n">
        <v>100</v>
      </c>
      <c r="BD256" s="2" t="n">
        <v>100</v>
      </c>
      <c r="BE256" s="2" t="n">
        <v>100</v>
      </c>
      <c r="BF256" s="2" t="n">
        <v>100</v>
      </c>
      <c r="BG256" s="2" t="n">
        <v>100</v>
      </c>
      <c r="BH256" s="2" t="n">
        <v>100</v>
      </c>
      <c r="BI256" s="2" t="n">
        <v>100</v>
      </c>
      <c r="BJ256" s="2" t="n">
        <v>100</v>
      </c>
      <c r="BK256" s="2" t="n">
        <v>100</v>
      </c>
      <c r="BL256" s="2" t="n">
        <v>100</v>
      </c>
      <c r="BM256" s="2" t="n">
        <v>100</v>
      </c>
      <c r="BN256" s="2" t="n">
        <v>100</v>
      </c>
      <c r="BO256" s="2" t="n">
        <v>100</v>
      </c>
      <c r="BP256" s="2" t="n">
        <v>100</v>
      </c>
      <c r="BQ256" s="2" t="n">
        <v>100</v>
      </c>
      <c r="BR256" s="2" t="n">
        <v>100</v>
      </c>
      <c r="BS256" s="2" t="n">
        <v>100</v>
      </c>
      <c r="BT256" s="2" t="n">
        <v>100</v>
      </c>
      <c r="BU256" s="2" t="n">
        <v>100</v>
      </c>
      <c r="BV256" s="2" t="n">
        <v>100</v>
      </c>
      <c r="BW256" s="2" t="n">
        <v>100</v>
      </c>
      <c r="BX256" s="2" t="n">
        <v>100</v>
      </c>
      <c r="BY256" s="2" t="n">
        <v>100</v>
      </c>
      <c r="BZ256" s="2" t="n">
        <v>100</v>
      </c>
      <c r="CA256" s="2" t="n">
        <v>100</v>
      </c>
      <c r="CB256" s="2" t="n">
        <v>100</v>
      </c>
      <c r="CC256" s="2" t="n">
        <v>100</v>
      </c>
      <c r="CD256" s="2" t="n">
        <v>100</v>
      </c>
      <c r="CE256" s="2" t="n">
        <v>100</v>
      </c>
      <c r="CF256" s="2" t="n">
        <v>100</v>
      </c>
      <c r="CG256" s="2" t="n">
        <v>100</v>
      </c>
      <c r="CH256" s="2" t="n">
        <v>100</v>
      </c>
      <c r="CI256" s="2" t="n">
        <v>100</v>
      </c>
      <c r="CJ256" s="2" t="n">
        <v>100</v>
      </c>
      <c r="CK256" s="2" t="n">
        <v>100</v>
      </c>
      <c r="CL256" s="2" t="n">
        <v>100</v>
      </c>
      <c r="CM256" s="2" t="n">
        <v>100</v>
      </c>
      <c r="CN256" s="2" t="n">
        <v>100</v>
      </c>
      <c r="CO256" s="2" t="n">
        <v>100</v>
      </c>
      <c r="CP256" s="2" t="n">
        <v>100</v>
      </c>
      <c r="CQ256" s="2" t="n">
        <v>100</v>
      </c>
      <c r="CR256" s="2" t="n">
        <v>100</v>
      </c>
      <c r="CS256" s="2" t="n">
        <v>100</v>
      </c>
      <c r="CT256" s="2" t="n">
        <v>100</v>
      </c>
      <c r="CU256" s="2" t="n">
        <v>100</v>
      </c>
      <c r="CV256" s="2" t="n">
        <v>100</v>
      </c>
      <c r="CW256" s="2" t="n">
        <v>100</v>
      </c>
      <c r="CX256" s="2" t="n">
        <v>100</v>
      </c>
      <c r="CY256" s="2" t="n">
        <v>100</v>
      </c>
      <c r="CZ256" s="2" t="n">
        <v>100</v>
      </c>
      <c r="DA256" s="2" t="n">
        <v>100</v>
      </c>
      <c r="DB256" s="2" t="n">
        <v>100</v>
      </c>
      <c r="DC256" s="2" t="n">
        <v>100</v>
      </c>
      <c r="DD256" s="2" t="n">
        <v>100</v>
      </c>
      <c r="DE256" s="2" t="n">
        <v>100</v>
      </c>
      <c r="DF256" s="2" t="n">
        <v>100</v>
      </c>
      <c r="DG256" s="2" t="n">
        <v>100</v>
      </c>
      <c r="DH256" s="2" t="n">
        <v>100</v>
      </c>
      <c r="DI256" s="2" t="n">
        <v>100</v>
      </c>
      <c r="DJ256" s="2" t="n">
        <v>100</v>
      </c>
      <c r="DK256" s="2" t="n">
        <v>100</v>
      </c>
      <c r="DL256" s="2" t="n">
        <v>100</v>
      </c>
      <c r="DM256" s="2" t="n">
        <v>100</v>
      </c>
      <c r="DN256" s="2" t="n">
        <v>100</v>
      </c>
      <c r="DO256" s="2" t="n">
        <v>100</v>
      </c>
      <c r="DP256" s="2" t="n">
        <v>100</v>
      </c>
      <c r="DQ256" s="2" t="n">
        <v>100</v>
      </c>
      <c r="DR256" s="2" t="n">
        <v>100</v>
      </c>
      <c r="DS256" s="2" t="n">
        <v>100</v>
      </c>
      <c r="DT256" s="2" t="n">
        <v>100</v>
      </c>
      <c r="DU256" s="2" t="n">
        <v>100</v>
      </c>
      <c r="DV256" s="2" t="n">
        <v>100</v>
      </c>
      <c r="DW256" s="2" t="n">
        <v>100</v>
      </c>
      <c r="DX256" s="2" t="n">
        <v>100</v>
      </c>
      <c r="DY256" s="2" t="n">
        <v>100</v>
      </c>
      <c r="DZ256" s="2" t="n">
        <v>100</v>
      </c>
      <c r="EA256" s="2" t="n">
        <v>100</v>
      </c>
      <c r="EB256" s="2" t="n">
        <v>100</v>
      </c>
      <c r="EC256" s="2" t="n">
        <v>100</v>
      </c>
      <c r="ED256" s="2" t="n">
        <v>100</v>
      </c>
      <c r="EE256" s="2" t="n">
        <v>100</v>
      </c>
      <c r="EF256" s="2" t="n">
        <v>100</v>
      </c>
      <c r="EG256" s="2" t="n">
        <v>100</v>
      </c>
      <c r="EH256" s="2" t="n">
        <v>100</v>
      </c>
      <c r="EI256" s="2" t="n">
        <v>100</v>
      </c>
      <c r="EJ256" s="2" t="n">
        <v>100</v>
      </c>
      <c r="EK256" s="2" t="n">
        <v>100</v>
      </c>
      <c r="EL256" s="2" t="n">
        <v>100</v>
      </c>
      <c r="EM256" s="2" t="n">
        <v>100</v>
      </c>
      <c r="EN256" s="2" t="n">
        <v>100</v>
      </c>
      <c r="EO256" s="2" t="n">
        <v>100</v>
      </c>
      <c r="EP256" s="2" t="n">
        <v>100</v>
      </c>
      <c r="EQ256" s="2" t="n">
        <v>100</v>
      </c>
      <c r="ER256" s="2" t="n">
        <v>100</v>
      </c>
      <c r="ES256" s="2" t="n">
        <v>100</v>
      </c>
      <c r="ET256" s="2" t="n">
        <v>100</v>
      </c>
      <c r="EU256" s="2" t="n">
        <v>100</v>
      </c>
      <c r="EV256" s="2" t="n">
        <v>100</v>
      </c>
      <c r="EW256" s="2" t="n">
        <v>100</v>
      </c>
      <c r="EX256" s="2" t="n">
        <v>100</v>
      </c>
      <c r="EY256" s="2" t="n">
        <v>100</v>
      </c>
      <c r="EZ256" s="2" t="n">
        <v>100</v>
      </c>
      <c r="FA256" s="2" t="n">
        <v>100</v>
      </c>
      <c r="FB256" s="2" t="n">
        <v>100</v>
      </c>
      <c r="FC256" s="2" t="n">
        <v>100</v>
      </c>
      <c r="FD256" s="2" t="n">
        <v>100</v>
      </c>
      <c r="FE256" s="2" t="n">
        <v>100</v>
      </c>
      <c r="FF256" s="2" t="n">
        <v>100</v>
      </c>
      <c r="FG256" s="2" t="n">
        <v>100</v>
      </c>
      <c r="FH256" s="2" t="n">
        <v>100</v>
      </c>
      <c r="FI256" s="2" t="n">
        <v>100</v>
      </c>
      <c r="FJ256" s="2" t="n">
        <v>100</v>
      </c>
      <c r="FK256" s="2" t="n">
        <v>100</v>
      </c>
      <c r="FL256" s="2" t="n">
        <v>100</v>
      </c>
      <c r="FM256" s="2" t="n">
        <v>100</v>
      </c>
      <c r="FN256" s="2" t="n">
        <v>100</v>
      </c>
      <c r="FO256" s="2" t="n">
        <v>100</v>
      </c>
      <c r="FP256" s="2" t="n">
        <v>100</v>
      </c>
      <c r="FQ256" s="2" t="n">
        <v>100</v>
      </c>
    </row>
    <row r="257">
      <c r="A257" s="2" t="n">
        <v>4</v>
      </c>
      <c r="B257" s="2" t="inlineStr">
        <is>
          <t>13.01.01.09</t>
        </is>
      </c>
      <c r="C257" s="2" t="inlineStr">
        <is>
          <t>Retirada de Terra e material demolido com caçamba</t>
        </is>
      </c>
      <c r="D257" s="2" t="inlineStr">
        <is>
          <t>21/10/2024</t>
        </is>
      </c>
      <c r="E257" s="2" t="inlineStr">
        <is>
          <t>28/11/2025</t>
        </is>
      </c>
      <c r="F257" s="2" t="n">
        <v>64689.30000000001</v>
      </c>
      <c r="G257" s="2" t="n">
        <v>0</v>
      </c>
      <c r="H257" s="2" t="n">
        <v>64689.30000000001</v>
      </c>
      <c r="I257" s="2" t="n">
        <v>0</v>
      </c>
      <c r="J257" s="2" t="n">
        <v>0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2.51</v>
      </c>
      <c r="P257" s="2" t="n">
        <v>2.51</v>
      </c>
      <c r="Q257" s="2" t="n">
        <v>0</v>
      </c>
      <c r="R257" s="2" t="n">
        <v>20.71</v>
      </c>
      <c r="S257" s="2" t="n">
        <v>20.71</v>
      </c>
      <c r="T257" s="2" t="n">
        <v>0</v>
      </c>
      <c r="U257" s="2" t="n">
        <v>65.02</v>
      </c>
      <c r="V257" s="2" t="n">
        <v>65.02</v>
      </c>
      <c r="W257" s="2" t="n">
        <v>0</v>
      </c>
      <c r="X257" s="2" t="n">
        <v>75.52</v>
      </c>
      <c r="Y257" s="2" t="n">
        <v>75.52</v>
      </c>
      <c r="Z257" s="2" t="n">
        <v>0</v>
      </c>
      <c r="AA257" s="2" t="n">
        <v>82.65000000000001</v>
      </c>
      <c r="AB257" s="2" t="n">
        <v>82.65000000000001</v>
      </c>
      <c r="AC257" s="2" t="n">
        <v>0</v>
      </c>
      <c r="AD257" s="2" t="n">
        <v>83.36</v>
      </c>
      <c r="AE257" s="2" t="n">
        <v>83.36</v>
      </c>
      <c r="AF257" s="2" t="n">
        <v>0</v>
      </c>
      <c r="AG257" s="2" t="n">
        <v>83.36</v>
      </c>
      <c r="AH257" s="2" t="n">
        <v>83.36</v>
      </c>
      <c r="AI257" s="2" t="n">
        <v>83.36</v>
      </c>
      <c r="AJ257" s="2" t="n">
        <v>83.36</v>
      </c>
      <c r="AK257" s="2" t="n">
        <v>83.36</v>
      </c>
      <c r="AL257" s="2" t="n">
        <v>83.36</v>
      </c>
      <c r="AM257" s="2" t="n">
        <v>83.36</v>
      </c>
      <c r="AN257" s="2" t="n">
        <v>83.36</v>
      </c>
      <c r="AO257" s="2" t="n">
        <v>83.36</v>
      </c>
      <c r="AP257" s="2" t="n">
        <v>83.36</v>
      </c>
      <c r="AQ257" s="2" t="n">
        <v>83.36</v>
      </c>
      <c r="AR257" s="2" t="n">
        <v>83.36</v>
      </c>
      <c r="AS257" s="2" t="n">
        <v>83.36</v>
      </c>
      <c r="AT257" s="2" t="n">
        <v>83.36</v>
      </c>
      <c r="AU257" s="2" t="n">
        <v>83.36</v>
      </c>
      <c r="AV257" s="2" t="n">
        <v>94.04000000000001</v>
      </c>
      <c r="AW257" s="2" t="n">
        <v>94.04000000000001</v>
      </c>
      <c r="AX257" s="2" t="n">
        <v>84.78</v>
      </c>
      <c r="AY257" s="2" t="n">
        <v>94.04000000000001</v>
      </c>
      <c r="AZ257" s="2" t="n">
        <v>94.04000000000001</v>
      </c>
      <c r="BA257" s="2" t="n">
        <v>94.04000000000001</v>
      </c>
      <c r="BB257" s="2" t="n">
        <v>100</v>
      </c>
      <c r="BC257" s="2" t="n">
        <v>100</v>
      </c>
      <c r="BD257" s="2" t="n">
        <v>100</v>
      </c>
      <c r="BE257" s="2" t="n">
        <v>100</v>
      </c>
      <c r="BF257" s="2" t="n">
        <v>100</v>
      </c>
      <c r="BG257" s="2" t="n">
        <v>100</v>
      </c>
      <c r="BH257" s="2" t="n">
        <v>100</v>
      </c>
      <c r="BI257" s="2" t="n">
        <v>100</v>
      </c>
      <c r="BJ257" s="2" t="n">
        <v>100</v>
      </c>
      <c r="BK257" s="2" t="n">
        <v>100</v>
      </c>
      <c r="BL257" s="2" t="n">
        <v>100</v>
      </c>
      <c r="BM257" s="2" t="n">
        <v>100</v>
      </c>
      <c r="BN257" s="2" t="n">
        <v>100</v>
      </c>
      <c r="BO257" s="2" t="n">
        <v>100</v>
      </c>
      <c r="BP257" s="2" t="n">
        <v>100</v>
      </c>
      <c r="BQ257" s="2" t="n">
        <v>100</v>
      </c>
      <c r="BR257" s="2" t="n">
        <v>100</v>
      </c>
      <c r="BS257" s="2" t="n">
        <v>100</v>
      </c>
      <c r="BT257" s="2" t="n">
        <v>100</v>
      </c>
      <c r="BU257" s="2" t="n">
        <v>100</v>
      </c>
      <c r="BV257" s="2" t="n">
        <v>100</v>
      </c>
      <c r="BW257" s="2" t="n">
        <v>100</v>
      </c>
      <c r="BX257" s="2" t="n">
        <v>100</v>
      </c>
      <c r="BY257" s="2" t="n">
        <v>100</v>
      </c>
      <c r="BZ257" s="2" t="n">
        <v>100</v>
      </c>
      <c r="CA257" s="2" t="n">
        <v>100</v>
      </c>
      <c r="CB257" s="2" t="n">
        <v>100</v>
      </c>
      <c r="CC257" s="2" t="n">
        <v>100</v>
      </c>
      <c r="CD257" s="2" t="n">
        <v>100</v>
      </c>
      <c r="CE257" s="2" t="n">
        <v>100</v>
      </c>
      <c r="CF257" s="2" t="n">
        <v>100</v>
      </c>
      <c r="CG257" s="2" t="n">
        <v>100</v>
      </c>
      <c r="CH257" s="2" t="n">
        <v>100</v>
      </c>
      <c r="CI257" s="2" t="n">
        <v>100</v>
      </c>
      <c r="CJ257" s="2" t="n">
        <v>100</v>
      </c>
      <c r="CK257" s="2" t="n">
        <v>100</v>
      </c>
      <c r="CL257" s="2" t="n">
        <v>100</v>
      </c>
      <c r="CM257" s="2" t="n">
        <v>100</v>
      </c>
      <c r="CN257" s="2" t="n">
        <v>100</v>
      </c>
      <c r="CO257" s="2" t="n">
        <v>100</v>
      </c>
      <c r="CP257" s="2" t="n">
        <v>100</v>
      </c>
      <c r="CQ257" s="2" t="n">
        <v>100</v>
      </c>
      <c r="CR257" s="2" t="n">
        <v>100</v>
      </c>
      <c r="CS257" s="2" t="n">
        <v>100</v>
      </c>
      <c r="CT257" s="2" t="n">
        <v>100</v>
      </c>
      <c r="CU257" s="2" t="n">
        <v>100</v>
      </c>
      <c r="CV257" s="2" t="n">
        <v>100</v>
      </c>
      <c r="CW257" s="2" t="n">
        <v>100</v>
      </c>
      <c r="CX257" s="2" t="n">
        <v>100</v>
      </c>
      <c r="CY257" s="2" t="n">
        <v>100</v>
      </c>
      <c r="CZ257" s="2" t="n">
        <v>100</v>
      </c>
      <c r="DA257" s="2" t="n">
        <v>100</v>
      </c>
      <c r="DB257" s="2" t="n">
        <v>100</v>
      </c>
      <c r="DC257" s="2" t="n">
        <v>100</v>
      </c>
      <c r="DD257" s="2" t="n">
        <v>100</v>
      </c>
      <c r="DE257" s="2" t="n">
        <v>100</v>
      </c>
      <c r="DF257" s="2" t="n">
        <v>100</v>
      </c>
      <c r="DG257" s="2" t="n">
        <v>100</v>
      </c>
      <c r="DH257" s="2" t="n">
        <v>100</v>
      </c>
      <c r="DI257" s="2" t="n">
        <v>100</v>
      </c>
      <c r="DJ257" s="2" t="n">
        <v>100</v>
      </c>
      <c r="DK257" s="2" t="n">
        <v>100</v>
      </c>
      <c r="DL257" s="2" t="n">
        <v>100</v>
      </c>
      <c r="DM257" s="2" t="n">
        <v>100</v>
      </c>
      <c r="DN257" s="2" t="n">
        <v>100</v>
      </c>
      <c r="DO257" s="2" t="n">
        <v>100</v>
      </c>
      <c r="DP257" s="2" t="n">
        <v>100</v>
      </c>
      <c r="DQ257" s="2" t="n">
        <v>100</v>
      </c>
      <c r="DR257" s="2" t="n">
        <v>100</v>
      </c>
      <c r="DS257" s="2" t="n">
        <v>100</v>
      </c>
      <c r="DT257" s="2" t="n">
        <v>100</v>
      </c>
      <c r="DU257" s="2" t="n">
        <v>100</v>
      </c>
      <c r="DV257" s="2" t="n">
        <v>100</v>
      </c>
      <c r="DW257" s="2" t="n">
        <v>100</v>
      </c>
      <c r="DX257" s="2" t="n">
        <v>100</v>
      </c>
      <c r="DY257" s="2" t="n">
        <v>100</v>
      </c>
      <c r="DZ257" s="2" t="n">
        <v>100</v>
      </c>
      <c r="EA257" s="2" t="n">
        <v>100</v>
      </c>
      <c r="EB257" s="2" t="n">
        <v>100</v>
      </c>
      <c r="EC257" s="2" t="n">
        <v>100</v>
      </c>
      <c r="ED257" s="2" t="n">
        <v>100</v>
      </c>
      <c r="EE257" s="2" t="n">
        <v>100</v>
      </c>
      <c r="EF257" s="2" t="n">
        <v>100</v>
      </c>
      <c r="EG257" s="2" t="n">
        <v>100</v>
      </c>
      <c r="EH257" s="2" t="n">
        <v>100</v>
      </c>
      <c r="EI257" s="2" t="n">
        <v>100</v>
      </c>
      <c r="EJ257" s="2" t="n">
        <v>100</v>
      </c>
      <c r="EK257" s="2" t="n">
        <v>100</v>
      </c>
      <c r="EL257" s="2" t="n">
        <v>100</v>
      </c>
      <c r="EM257" s="2" t="n">
        <v>100</v>
      </c>
      <c r="EN257" s="2" t="n">
        <v>100</v>
      </c>
      <c r="EO257" s="2" t="n">
        <v>100</v>
      </c>
      <c r="EP257" s="2" t="n">
        <v>100</v>
      </c>
      <c r="EQ257" s="2" t="n">
        <v>100</v>
      </c>
      <c r="ER257" s="2" t="n">
        <v>100</v>
      </c>
      <c r="ES257" s="2" t="n">
        <v>100</v>
      </c>
      <c r="ET257" s="2" t="n">
        <v>100</v>
      </c>
      <c r="EU257" s="2" t="n">
        <v>100</v>
      </c>
      <c r="EV257" s="2" t="n">
        <v>100</v>
      </c>
      <c r="EW257" s="2" t="n">
        <v>100</v>
      </c>
      <c r="EX257" s="2" t="n">
        <v>100</v>
      </c>
      <c r="EY257" s="2" t="n">
        <v>100</v>
      </c>
      <c r="EZ257" s="2" t="n">
        <v>100</v>
      </c>
      <c r="FA257" s="2" t="n">
        <v>100</v>
      </c>
      <c r="FB257" s="2" t="n">
        <v>100</v>
      </c>
      <c r="FC257" s="2" t="n">
        <v>100</v>
      </c>
      <c r="FD257" s="2" t="n">
        <v>100</v>
      </c>
      <c r="FE257" s="2" t="n">
        <v>100</v>
      </c>
      <c r="FF257" s="2" t="n">
        <v>100</v>
      </c>
      <c r="FG257" s="2" t="n">
        <v>100</v>
      </c>
      <c r="FH257" s="2" t="n">
        <v>100</v>
      </c>
      <c r="FI257" s="2" t="n">
        <v>100</v>
      </c>
      <c r="FJ257" s="2" t="n">
        <v>100</v>
      </c>
      <c r="FK257" s="2" t="n">
        <v>100</v>
      </c>
      <c r="FL257" s="2" t="n">
        <v>100</v>
      </c>
      <c r="FM257" s="2" t="n">
        <v>100</v>
      </c>
      <c r="FN257" s="2" t="n">
        <v>100</v>
      </c>
      <c r="FO257" s="2" t="n">
        <v>100</v>
      </c>
      <c r="FP257" s="2" t="n">
        <v>100</v>
      </c>
      <c r="FQ257" s="2" t="n">
        <v>100</v>
      </c>
    </row>
    <row r="258">
      <c r="A258" s="2" t="n">
        <v>3</v>
      </c>
      <c r="B258" s="2" t="inlineStr">
        <is>
          <t>13.01.02</t>
        </is>
      </c>
      <c r="C258" s="2" t="inlineStr">
        <is>
          <t>Viga de equalização de movimentos</t>
        </is>
      </c>
      <c r="D258" s="2" t="inlineStr">
        <is>
          <t>21/10/2024</t>
        </is>
      </c>
      <c r="E258" s="2" t="inlineStr">
        <is>
          <t>28/11/2025</t>
        </is>
      </c>
      <c r="F258" s="2" t="n">
        <v>66900.7693125136</v>
      </c>
      <c r="G258" s="2" t="n">
        <v>0</v>
      </c>
      <c r="H258" s="2" t="n">
        <v>66900.7693125136</v>
      </c>
      <c r="I258" s="2" t="n">
        <v>0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2.51</v>
      </c>
      <c r="P258" s="2" t="n">
        <v>2.51</v>
      </c>
      <c r="Q258" s="2" t="n">
        <v>0</v>
      </c>
      <c r="R258" s="2" t="n">
        <v>20.71</v>
      </c>
      <c r="S258" s="2" t="n">
        <v>20.71</v>
      </c>
      <c r="T258" s="2" t="n">
        <v>0</v>
      </c>
      <c r="U258" s="2" t="n">
        <v>65.02</v>
      </c>
      <c r="V258" s="2" t="n">
        <v>65.02</v>
      </c>
      <c r="W258" s="2" t="n">
        <v>0</v>
      </c>
      <c r="X258" s="2" t="n">
        <v>75.52</v>
      </c>
      <c r="Y258" s="2" t="n">
        <v>75.52</v>
      </c>
      <c r="Z258" s="2" t="n">
        <v>0</v>
      </c>
      <c r="AA258" s="2" t="n">
        <v>82.65000000000001</v>
      </c>
      <c r="AB258" s="2" t="n">
        <v>82.65000000000001</v>
      </c>
      <c r="AC258" s="2" t="n">
        <v>0</v>
      </c>
      <c r="AD258" s="2" t="n">
        <v>83.36</v>
      </c>
      <c r="AE258" s="2" t="n">
        <v>83.36</v>
      </c>
      <c r="AF258" s="2" t="n">
        <v>0</v>
      </c>
      <c r="AG258" s="2" t="n">
        <v>83.36</v>
      </c>
      <c r="AH258" s="2" t="n">
        <v>83.36</v>
      </c>
      <c r="AI258" s="2" t="n">
        <v>83.36</v>
      </c>
      <c r="AJ258" s="2" t="n">
        <v>83.36</v>
      </c>
      <c r="AK258" s="2" t="n">
        <v>83.36</v>
      </c>
      <c r="AL258" s="2" t="n">
        <v>83.36</v>
      </c>
      <c r="AM258" s="2" t="n">
        <v>83.36</v>
      </c>
      <c r="AN258" s="2" t="n">
        <v>83.36</v>
      </c>
      <c r="AO258" s="2" t="n">
        <v>83.36</v>
      </c>
      <c r="AP258" s="2" t="n">
        <v>83.36</v>
      </c>
      <c r="AQ258" s="2" t="n">
        <v>83.36</v>
      </c>
      <c r="AR258" s="2" t="n">
        <v>83.36</v>
      </c>
      <c r="AS258" s="2" t="n">
        <v>83.36</v>
      </c>
      <c r="AT258" s="2" t="n">
        <v>83.36</v>
      </c>
      <c r="AU258" s="2" t="n">
        <v>83.36</v>
      </c>
      <c r="AV258" s="2" t="n">
        <v>94.04000000000001</v>
      </c>
      <c r="AW258" s="2" t="n">
        <v>94.04000000000001</v>
      </c>
      <c r="AX258" s="2" t="n">
        <v>84.78</v>
      </c>
      <c r="AY258" s="2" t="n">
        <v>94.04000000000001</v>
      </c>
      <c r="AZ258" s="2" t="n">
        <v>94.04000000000001</v>
      </c>
      <c r="BA258" s="2" t="n">
        <v>94.04000000000001</v>
      </c>
      <c r="BB258" s="2" t="n">
        <v>100</v>
      </c>
      <c r="BC258" s="2" t="n">
        <v>100</v>
      </c>
      <c r="BD258" s="2" t="n">
        <v>100</v>
      </c>
      <c r="BE258" s="2" t="n">
        <v>100</v>
      </c>
      <c r="BF258" s="2" t="n">
        <v>100</v>
      </c>
      <c r="BG258" s="2" t="n">
        <v>100</v>
      </c>
      <c r="BH258" s="2" t="n">
        <v>100</v>
      </c>
      <c r="BI258" s="2" t="n">
        <v>100</v>
      </c>
      <c r="BJ258" s="2" t="n">
        <v>100</v>
      </c>
      <c r="BK258" s="2" t="n">
        <v>100</v>
      </c>
      <c r="BL258" s="2" t="n">
        <v>100</v>
      </c>
      <c r="BM258" s="2" t="n">
        <v>100</v>
      </c>
      <c r="BN258" s="2" t="n">
        <v>100</v>
      </c>
      <c r="BO258" s="2" t="n">
        <v>100</v>
      </c>
      <c r="BP258" s="2" t="n">
        <v>100</v>
      </c>
      <c r="BQ258" s="2" t="n">
        <v>100</v>
      </c>
      <c r="BR258" s="2" t="n">
        <v>100</v>
      </c>
      <c r="BS258" s="2" t="n">
        <v>100</v>
      </c>
      <c r="BT258" s="2" t="n">
        <v>100</v>
      </c>
      <c r="BU258" s="2" t="n">
        <v>100</v>
      </c>
      <c r="BV258" s="2" t="n">
        <v>100</v>
      </c>
      <c r="BW258" s="2" t="n">
        <v>100</v>
      </c>
      <c r="BX258" s="2" t="n">
        <v>100</v>
      </c>
      <c r="BY258" s="2" t="n">
        <v>100</v>
      </c>
      <c r="BZ258" s="2" t="n">
        <v>100</v>
      </c>
      <c r="CA258" s="2" t="n">
        <v>100</v>
      </c>
      <c r="CB258" s="2" t="n">
        <v>100</v>
      </c>
      <c r="CC258" s="2" t="n">
        <v>100</v>
      </c>
      <c r="CD258" s="2" t="n">
        <v>100</v>
      </c>
      <c r="CE258" s="2" t="n">
        <v>100</v>
      </c>
      <c r="CF258" s="2" t="n">
        <v>100</v>
      </c>
      <c r="CG258" s="2" t="n">
        <v>100</v>
      </c>
      <c r="CH258" s="2" t="n">
        <v>100</v>
      </c>
      <c r="CI258" s="2" t="n">
        <v>100</v>
      </c>
      <c r="CJ258" s="2" t="n">
        <v>100</v>
      </c>
      <c r="CK258" s="2" t="n">
        <v>100</v>
      </c>
      <c r="CL258" s="2" t="n">
        <v>100</v>
      </c>
      <c r="CM258" s="2" t="n">
        <v>100</v>
      </c>
      <c r="CN258" s="2" t="n">
        <v>100</v>
      </c>
      <c r="CO258" s="2" t="n">
        <v>100</v>
      </c>
      <c r="CP258" s="2" t="n">
        <v>100</v>
      </c>
      <c r="CQ258" s="2" t="n">
        <v>100</v>
      </c>
      <c r="CR258" s="2" t="n">
        <v>100</v>
      </c>
      <c r="CS258" s="2" t="n">
        <v>100</v>
      </c>
      <c r="CT258" s="2" t="n">
        <v>100</v>
      </c>
      <c r="CU258" s="2" t="n">
        <v>100</v>
      </c>
      <c r="CV258" s="2" t="n">
        <v>100</v>
      </c>
      <c r="CW258" s="2" t="n">
        <v>100</v>
      </c>
      <c r="CX258" s="2" t="n">
        <v>100</v>
      </c>
      <c r="CY258" s="2" t="n">
        <v>100</v>
      </c>
      <c r="CZ258" s="2" t="n">
        <v>100</v>
      </c>
      <c r="DA258" s="2" t="n">
        <v>100</v>
      </c>
      <c r="DB258" s="2" t="n">
        <v>100</v>
      </c>
      <c r="DC258" s="2" t="n">
        <v>100</v>
      </c>
      <c r="DD258" s="2" t="n">
        <v>100</v>
      </c>
      <c r="DE258" s="2" t="n">
        <v>100</v>
      </c>
      <c r="DF258" s="2" t="n">
        <v>100</v>
      </c>
      <c r="DG258" s="2" t="n">
        <v>100</v>
      </c>
      <c r="DH258" s="2" t="n">
        <v>100</v>
      </c>
      <c r="DI258" s="2" t="n">
        <v>100</v>
      </c>
      <c r="DJ258" s="2" t="n">
        <v>100</v>
      </c>
      <c r="DK258" s="2" t="n">
        <v>100</v>
      </c>
      <c r="DL258" s="2" t="n">
        <v>100</v>
      </c>
      <c r="DM258" s="2" t="n">
        <v>100</v>
      </c>
      <c r="DN258" s="2" t="n">
        <v>100</v>
      </c>
      <c r="DO258" s="2" t="n">
        <v>100</v>
      </c>
      <c r="DP258" s="2" t="n">
        <v>100</v>
      </c>
      <c r="DQ258" s="2" t="n">
        <v>100</v>
      </c>
      <c r="DR258" s="2" t="n">
        <v>100</v>
      </c>
      <c r="DS258" s="2" t="n">
        <v>100</v>
      </c>
      <c r="DT258" s="2" t="n">
        <v>100</v>
      </c>
      <c r="DU258" s="2" t="n">
        <v>100</v>
      </c>
      <c r="DV258" s="2" t="n">
        <v>100</v>
      </c>
      <c r="DW258" s="2" t="n">
        <v>100</v>
      </c>
      <c r="DX258" s="2" t="n">
        <v>100</v>
      </c>
      <c r="DY258" s="2" t="n">
        <v>100</v>
      </c>
      <c r="DZ258" s="2" t="n">
        <v>100</v>
      </c>
      <c r="EA258" s="2" t="n">
        <v>100</v>
      </c>
      <c r="EB258" s="2" t="n">
        <v>100</v>
      </c>
      <c r="EC258" s="2" t="n">
        <v>100</v>
      </c>
      <c r="ED258" s="2" t="n">
        <v>100</v>
      </c>
      <c r="EE258" s="2" t="n">
        <v>100</v>
      </c>
      <c r="EF258" s="2" t="n">
        <v>100</v>
      </c>
      <c r="EG258" s="2" t="n">
        <v>100</v>
      </c>
      <c r="EH258" s="2" t="n">
        <v>100</v>
      </c>
      <c r="EI258" s="2" t="n">
        <v>100</v>
      </c>
      <c r="EJ258" s="2" t="n">
        <v>100</v>
      </c>
      <c r="EK258" s="2" t="n">
        <v>100</v>
      </c>
      <c r="EL258" s="2" t="n">
        <v>100</v>
      </c>
      <c r="EM258" s="2" t="n">
        <v>100</v>
      </c>
      <c r="EN258" s="2" t="n">
        <v>100</v>
      </c>
      <c r="EO258" s="2" t="n">
        <v>100</v>
      </c>
      <c r="EP258" s="2" t="n">
        <v>100</v>
      </c>
      <c r="EQ258" s="2" t="n">
        <v>100</v>
      </c>
      <c r="ER258" s="2" t="n">
        <v>100</v>
      </c>
      <c r="ES258" s="2" t="n">
        <v>100</v>
      </c>
      <c r="ET258" s="2" t="n">
        <v>100</v>
      </c>
      <c r="EU258" s="2" t="n">
        <v>100</v>
      </c>
      <c r="EV258" s="2" t="n">
        <v>100</v>
      </c>
      <c r="EW258" s="2" t="n">
        <v>100</v>
      </c>
      <c r="EX258" s="2" t="n">
        <v>100</v>
      </c>
      <c r="EY258" s="2" t="n">
        <v>100</v>
      </c>
      <c r="EZ258" s="2" t="n">
        <v>100</v>
      </c>
      <c r="FA258" s="2" t="n">
        <v>100</v>
      </c>
      <c r="FB258" s="2" t="n">
        <v>100</v>
      </c>
      <c r="FC258" s="2" t="n">
        <v>100</v>
      </c>
      <c r="FD258" s="2" t="n">
        <v>100</v>
      </c>
      <c r="FE258" s="2" t="n">
        <v>100</v>
      </c>
      <c r="FF258" s="2" t="n">
        <v>100</v>
      </c>
      <c r="FG258" s="2" t="n">
        <v>100</v>
      </c>
      <c r="FH258" s="2" t="n">
        <v>100</v>
      </c>
      <c r="FI258" s="2" t="n">
        <v>100</v>
      </c>
      <c r="FJ258" s="2" t="n">
        <v>100</v>
      </c>
      <c r="FK258" s="2" t="n">
        <v>100</v>
      </c>
      <c r="FL258" s="2" t="n">
        <v>100</v>
      </c>
      <c r="FM258" s="2" t="n">
        <v>100</v>
      </c>
      <c r="FN258" s="2" t="n">
        <v>100</v>
      </c>
      <c r="FO258" s="2" t="n">
        <v>100</v>
      </c>
      <c r="FP258" s="2" t="n">
        <v>100</v>
      </c>
      <c r="FQ258" s="2" t="n">
        <v>100</v>
      </c>
    </row>
    <row r="259">
      <c r="A259" s="2" t="n">
        <v>4</v>
      </c>
      <c r="B259" s="2" t="inlineStr">
        <is>
          <t>13.01.02.01</t>
        </is>
      </c>
      <c r="C259" s="2" t="inlineStr">
        <is>
          <t>Cimbramento pé-direito até 350cm</t>
        </is>
      </c>
      <c r="D259" s="2" t="inlineStr">
        <is>
          <t>21/10/2024</t>
        </is>
      </c>
      <c r="E259" s="2" t="inlineStr">
        <is>
          <t>28/11/2025</t>
        </is>
      </c>
      <c r="F259" s="2" t="n">
        <v>3003.115499999999</v>
      </c>
      <c r="G259" s="2" t="n">
        <v>0</v>
      </c>
      <c r="H259" s="2" t="n">
        <v>3003.115499999999</v>
      </c>
      <c r="I259" s="2" t="n">
        <v>0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2.51</v>
      </c>
      <c r="P259" s="2" t="n">
        <v>2.51</v>
      </c>
      <c r="Q259" s="2" t="n">
        <v>0</v>
      </c>
      <c r="R259" s="2" t="n">
        <v>20.71</v>
      </c>
      <c r="S259" s="2" t="n">
        <v>20.71</v>
      </c>
      <c r="T259" s="2" t="n">
        <v>0</v>
      </c>
      <c r="U259" s="2" t="n">
        <v>65.02</v>
      </c>
      <c r="V259" s="2" t="n">
        <v>65.02</v>
      </c>
      <c r="W259" s="2" t="n">
        <v>0</v>
      </c>
      <c r="X259" s="2" t="n">
        <v>75.52</v>
      </c>
      <c r="Y259" s="2" t="n">
        <v>75.52</v>
      </c>
      <c r="Z259" s="2" t="n">
        <v>0</v>
      </c>
      <c r="AA259" s="2" t="n">
        <v>82.65000000000001</v>
      </c>
      <c r="AB259" s="2" t="n">
        <v>82.65000000000001</v>
      </c>
      <c r="AC259" s="2" t="n">
        <v>0</v>
      </c>
      <c r="AD259" s="2" t="n">
        <v>83.36</v>
      </c>
      <c r="AE259" s="2" t="n">
        <v>83.36</v>
      </c>
      <c r="AF259" s="2" t="n">
        <v>0</v>
      </c>
      <c r="AG259" s="2" t="n">
        <v>83.36</v>
      </c>
      <c r="AH259" s="2" t="n">
        <v>83.36</v>
      </c>
      <c r="AI259" s="2" t="n">
        <v>83.36</v>
      </c>
      <c r="AJ259" s="2" t="n">
        <v>83.36</v>
      </c>
      <c r="AK259" s="2" t="n">
        <v>83.36</v>
      </c>
      <c r="AL259" s="2" t="n">
        <v>83.36</v>
      </c>
      <c r="AM259" s="2" t="n">
        <v>83.36</v>
      </c>
      <c r="AN259" s="2" t="n">
        <v>83.36</v>
      </c>
      <c r="AO259" s="2" t="n">
        <v>83.36</v>
      </c>
      <c r="AP259" s="2" t="n">
        <v>83.36</v>
      </c>
      <c r="AQ259" s="2" t="n">
        <v>83.36</v>
      </c>
      <c r="AR259" s="2" t="n">
        <v>83.36</v>
      </c>
      <c r="AS259" s="2" t="n">
        <v>83.36</v>
      </c>
      <c r="AT259" s="2" t="n">
        <v>83.36</v>
      </c>
      <c r="AU259" s="2" t="n">
        <v>83.36</v>
      </c>
      <c r="AV259" s="2" t="n">
        <v>94.04000000000001</v>
      </c>
      <c r="AW259" s="2" t="n">
        <v>94.04000000000001</v>
      </c>
      <c r="AX259" s="2" t="n">
        <v>84.78</v>
      </c>
      <c r="AY259" s="2" t="n">
        <v>94.04000000000001</v>
      </c>
      <c r="AZ259" s="2" t="n">
        <v>94.04000000000001</v>
      </c>
      <c r="BA259" s="2" t="n">
        <v>94.04000000000001</v>
      </c>
      <c r="BB259" s="2" t="n">
        <v>100</v>
      </c>
      <c r="BC259" s="2" t="n">
        <v>100</v>
      </c>
      <c r="BD259" s="2" t="n">
        <v>100</v>
      </c>
      <c r="BE259" s="2" t="n">
        <v>100</v>
      </c>
      <c r="BF259" s="2" t="n">
        <v>100</v>
      </c>
      <c r="BG259" s="2" t="n">
        <v>100</v>
      </c>
      <c r="BH259" s="2" t="n">
        <v>100</v>
      </c>
      <c r="BI259" s="2" t="n">
        <v>100</v>
      </c>
      <c r="BJ259" s="2" t="n">
        <v>100</v>
      </c>
      <c r="BK259" s="2" t="n">
        <v>100</v>
      </c>
      <c r="BL259" s="2" t="n">
        <v>100</v>
      </c>
      <c r="BM259" s="2" t="n">
        <v>100</v>
      </c>
      <c r="BN259" s="2" t="n">
        <v>100</v>
      </c>
      <c r="BO259" s="2" t="n">
        <v>100</v>
      </c>
      <c r="BP259" s="2" t="n">
        <v>100</v>
      </c>
      <c r="BQ259" s="2" t="n">
        <v>100</v>
      </c>
      <c r="BR259" s="2" t="n">
        <v>100</v>
      </c>
      <c r="BS259" s="2" t="n">
        <v>100</v>
      </c>
      <c r="BT259" s="2" t="n">
        <v>100</v>
      </c>
      <c r="BU259" s="2" t="n">
        <v>100</v>
      </c>
      <c r="BV259" s="2" t="n">
        <v>100</v>
      </c>
      <c r="BW259" s="2" t="n">
        <v>100</v>
      </c>
      <c r="BX259" s="2" t="n">
        <v>100</v>
      </c>
      <c r="BY259" s="2" t="n">
        <v>100</v>
      </c>
      <c r="BZ259" s="2" t="n">
        <v>100</v>
      </c>
      <c r="CA259" s="2" t="n">
        <v>100</v>
      </c>
      <c r="CB259" s="2" t="n">
        <v>100</v>
      </c>
      <c r="CC259" s="2" t="n">
        <v>100</v>
      </c>
      <c r="CD259" s="2" t="n">
        <v>100</v>
      </c>
      <c r="CE259" s="2" t="n">
        <v>100</v>
      </c>
      <c r="CF259" s="2" t="n">
        <v>100</v>
      </c>
      <c r="CG259" s="2" t="n">
        <v>100</v>
      </c>
      <c r="CH259" s="2" t="n">
        <v>100</v>
      </c>
      <c r="CI259" s="2" t="n">
        <v>100</v>
      </c>
      <c r="CJ259" s="2" t="n">
        <v>100</v>
      </c>
      <c r="CK259" s="2" t="n">
        <v>100</v>
      </c>
      <c r="CL259" s="2" t="n">
        <v>100</v>
      </c>
      <c r="CM259" s="2" t="n">
        <v>100</v>
      </c>
      <c r="CN259" s="2" t="n">
        <v>100</v>
      </c>
      <c r="CO259" s="2" t="n">
        <v>100</v>
      </c>
      <c r="CP259" s="2" t="n">
        <v>100</v>
      </c>
      <c r="CQ259" s="2" t="n">
        <v>100</v>
      </c>
      <c r="CR259" s="2" t="n">
        <v>100</v>
      </c>
      <c r="CS259" s="2" t="n">
        <v>100</v>
      </c>
      <c r="CT259" s="2" t="n">
        <v>100</v>
      </c>
      <c r="CU259" s="2" t="n">
        <v>100</v>
      </c>
      <c r="CV259" s="2" t="n">
        <v>100</v>
      </c>
      <c r="CW259" s="2" t="n">
        <v>100</v>
      </c>
      <c r="CX259" s="2" t="n">
        <v>100</v>
      </c>
      <c r="CY259" s="2" t="n">
        <v>100</v>
      </c>
      <c r="CZ259" s="2" t="n">
        <v>100</v>
      </c>
      <c r="DA259" s="2" t="n">
        <v>100</v>
      </c>
      <c r="DB259" s="2" t="n">
        <v>100</v>
      </c>
      <c r="DC259" s="2" t="n">
        <v>100</v>
      </c>
      <c r="DD259" s="2" t="n">
        <v>100</v>
      </c>
      <c r="DE259" s="2" t="n">
        <v>100</v>
      </c>
      <c r="DF259" s="2" t="n">
        <v>100</v>
      </c>
      <c r="DG259" s="2" t="n">
        <v>100</v>
      </c>
      <c r="DH259" s="2" t="n">
        <v>100</v>
      </c>
      <c r="DI259" s="2" t="n">
        <v>100</v>
      </c>
      <c r="DJ259" s="2" t="n">
        <v>100</v>
      </c>
      <c r="DK259" s="2" t="n">
        <v>100</v>
      </c>
      <c r="DL259" s="2" t="n">
        <v>100</v>
      </c>
      <c r="DM259" s="2" t="n">
        <v>100</v>
      </c>
      <c r="DN259" s="2" t="n">
        <v>100</v>
      </c>
      <c r="DO259" s="2" t="n">
        <v>100</v>
      </c>
      <c r="DP259" s="2" t="n">
        <v>100</v>
      </c>
      <c r="DQ259" s="2" t="n">
        <v>100</v>
      </c>
      <c r="DR259" s="2" t="n">
        <v>100</v>
      </c>
      <c r="DS259" s="2" t="n">
        <v>100</v>
      </c>
      <c r="DT259" s="2" t="n">
        <v>100</v>
      </c>
      <c r="DU259" s="2" t="n">
        <v>100</v>
      </c>
      <c r="DV259" s="2" t="n">
        <v>100</v>
      </c>
      <c r="DW259" s="2" t="n">
        <v>100</v>
      </c>
      <c r="DX259" s="2" t="n">
        <v>100</v>
      </c>
      <c r="DY259" s="2" t="n">
        <v>100</v>
      </c>
      <c r="DZ259" s="2" t="n">
        <v>100</v>
      </c>
      <c r="EA259" s="2" t="n">
        <v>100</v>
      </c>
      <c r="EB259" s="2" t="n">
        <v>100</v>
      </c>
      <c r="EC259" s="2" t="n">
        <v>100</v>
      </c>
      <c r="ED259" s="2" t="n">
        <v>100</v>
      </c>
      <c r="EE259" s="2" t="n">
        <v>100</v>
      </c>
      <c r="EF259" s="2" t="n">
        <v>100</v>
      </c>
      <c r="EG259" s="2" t="n">
        <v>100</v>
      </c>
      <c r="EH259" s="2" t="n">
        <v>100</v>
      </c>
      <c r="EI259" s="2" t="n">
        <v>100</v>
      </c>
      <c r="EJ259" s="2" t="n">
        <v>100</v>
      </c>
      <c r="EK259" s="2" t="n">
        <v>100</v>
      </c>
      <c r="EL259" s="2" t="n">
        <v>100</v>
      </c>
      <c r="EM259" s="2" t="n">
        <v>100</v>
      </c>
      <c r="EN259" s="2" t="n">
        <v>100</v>
      </c>
      <c r="EO259" s="2" t="n">
        <v>100</v>
      </c>
      <c r="EP259" s="2" t="n">
        <v>100</v>
      </c>
      <c r="EQ259" s="2" t="n">
        <v>100</v>
      </c>
      <c r="ER259" s="2" t="n">
        <v>100</v>
      </c>
      <c r="ES259" s="2" t="n">
        <v>100</v>
      </c>
      <c r="ET259" s="2" t="n">
        <v>100</v>
      </c>
      <c r="EU259" s="2" t="n">
        <v>100</v>
      </c>
      <c r="EV259" s="2" t="n">
        <v>100</v>
      </c>
      <c r="EW259" s="2" t="n">
        <v>100</v>
      </c>
      <c r="EX259" s="2" t="n">
        <v>100</v>
      </c>
      <c r="EY259" s="2" t="n">
        <v>100</v>
      </c>
      <c r="EZ259" s="2" t="n">
        <v>100</v>
      </c>
      <c r="FA259" s="2" t="n">
        <v>100</v>
      </c>
      <c r="FB259" s="2" t="n">
        <v>100</v>
      </c>
      <c r="FC259" s="2" t="n">
        <v>100</v>
      </c>
      <c r="FD259" s="2" t="n">
        <v>100</v>
      </c>
      <c r="FE259" s="2" t="n">
        <v>100</v>
      </c>
      <c r="FF259" s="2" t="n">
        <v>100</v>
      </c>
      <c r="FG259" s="2" t="n">
        <v>100</v>
      </c>
      <c r="FH259" s="2" t="n">
        <v>100</v>
      </c>
      <c r="FI259" s="2" t="n">
        <v>100</v>
      </c>
      <c r="FJ259" s="2" t="n">
        <v>100</v>
      </c>
      <c r="FK259" s="2" t="n">
        <v>100</v>
      </c>
      <c r="FL259" s="2" t="n">
        <v>100</v>
      </c>
      <c r="FM259" s="2" t="n">
        <v>100</v>
      </c>
      <c r="FN259" s="2" t="n">
        <v>100</v>
      </c>
      <c r="FO259" s="2" t="n">
        <v>100</v>
      </c>
      <c r="FP259" s="2" t="n">
        <v>100</v>
      </c>
      <c r="FQ259" s="2" t="n">
        <v>100</v>
      </c>
    </row>
    <row r="260">
      <c r="A260" s="2" t="n">
        <v>4</v>
      </c>
      <c r="B260" s="2" t="inlineStr">
        <is>
          <t>13.01.02.02</t>
        </is>
      </c>
      <c r="C260" s="2" t="inlineStr">
        <is>
          <t>Cimbramento pé-direito entre 350 e 500cm</t>
        </is>
      </c>
      <c r="D260" s="2" t="inlineStr">
        <is>
          <t>21/10/2024</t>
        </is>
      </c>
      <c r="E260" s="2" t="inlineStr">
        <is>
          <t>28/11/2025</t>
        </is>
      </c>
      <c r="F260" s="2" t="n">
        <v>924.167475</v>
      </c>
      <c r="G260" s="2" t="n">
        <v>0</v>
      </c>
      <c r="H260" s="2" t="n">
        <v>924.167475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2.51</v>
      </c>
      <c r="P260" s="2" t="n">
        <v>2.51</v>
      </c>
      <c r="Q260" s="2" t="n">
        <v>0</v>
      </c>
      <c r="R260" s="2" t="n">
        <v>20.71</v>
      </c>
      <c r="S260" s="2" t="n">
        <v>20.71</v>
      </c>
      <c r="T260" s="2" t="n">
        <v>0</v>
      </c>
      <c r="U260" s="2" t="n">
        <v>65.02</v>
      </c>
      <c r="V260" s="2" t="n">
        <v>65.02</v>
      </c>
      <c r="W260" s="2" t="n">
        <v>0</v>
      </c>
      <c r="X260" s="2" t="n">
        <v>75.52</v>
      </c>
      <c r="Y260" s="2" t="n">
        <v>75.52</v>
      </c>
      <c r="Z260" s="2" t="n">
        <v>0</v>
      </c>
      <c r="AA260" s="2" t="n">
        <v>82.65000000000001</v>
      </c>
      <c r="AB260" s="2" t="n">
        <v>82.65000000000001</v>
      </c>
      <c r="AC260" s="2" t="n">
        <v>0</v>
      </c>
      <c r="AD260" s="2" t="n">
        <v>83.36</v>
      </c>
      <c r="AE260" s="2" t="n">
        <v>83.36</v>
      </c>
      <c r="AF260" s="2" t="n">
        <v>0</v>
      </c>
      <c r="AG260" s="2" t="n">
        <v>83.36</v>
      </c>
      <c r="AH260" s="2" t="n">
        <v>83.36</v>
      </c>
      <c r="AI260" s="2" t="n">
        <v>83.36</v>
      </c>
      <c r="AJ260" s="2" t="n">
        <v>83.36</v>
      </c>
      <c r="AK260" s="2" t="n">
        <v>83.36</v>
      </c>
      <c r="AL260" s="2" t="n">
        <v>83.36</v>
      </c>
      <c r="AM260" s="2" t="n">
        <v>83.36</v>
      </c>
      <c r="AN260" s="2" t="n">
        <v>83.36</v>
      </c>
      <c r="AO260" s="2" t="n">
        <v>83.36</v>
      </c>
      <c r="AP260" s="2" t="n">
        <v>83.36</v>
      </c>
      <c r="AQ260" s="2" t="n">
        <v>83.36</v>
      </c>
      <c r="AR260" s="2" t="n">
        <v>83.36</v>
      </c>
      <c r="AS260" s="2" t="n">
        <v>83.36</v>
      </c>
      <c r="AT260" s="2" t="n">
        <v>83.36</v>
      </c>
      <c r="AU260" s="2" t="n">
        <v>83.36</v>
      </c>
      <c r="AV260" s="2" t="n">
        <v>94.04000000000001</v>
      </c>
      <c r="AW260" s="2" t="n">
        <v>94.04000000000001</v>
      </c>
      <c r="AX260" s="2" t="n">
        <v>84.78</v>
      </c>
      <c r="AY260" s="2" t="n">
        <v>94.04000000000001</v>
      </c>
      <c r="AZ260" s="2" t="n">
        <v>94.04000000000001</v>
      </c>
      <c r="BA260" s="2" t="n">
        <v>94.04000000000001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  <c r="ET260" s="2" t="n">
        <v>100</v>
      </c>
      <c r="EU260" s="2" t="n">
        <v>100</v>
      </c>
      <c r="EV260" s="2" t="n">
        <v>100</v>
      </c>
      <c r="EW260" s="2" t="n">
        <v>100</v>
      </c>
      <c r="EX260" s="2" t="n">
        <v>100</v>
      </c>
      <c r="EY260" s="2" t="n">
        <v>100</v>
      </c>
      <c r="EZ260" s="2" t="n">
        <v>100</v>
      </c>
      <c r="FA260" s="2" t="n">
        <v>100</v>
      </c>
      <c r="FB260" s="2" t="n">
        <v>100</v>
      </c>
      <c r="FC260" s="2" t="n">
        <v>100</v>
      </c>
      <c r="FD260" s="2" t="n">
        <v>100</v>
      </c>
      <c r="FE260" s="2" t="n">
        <v>100</v>
      </c>
      <c r="FF260" s="2" t="n">
        <v>100</v>
      </c>
      <c r="FG260" s="2" t="n">
        <v>100</v>
      </c>
      <c r="FH260" s="2" t="n">
        <v>100</v>
      </c>
      <c r="FI260" s="2" t="n">
        <v>100</v>
      </c>
      <c r="FJ260" s="2" t="n">
        <v>100</v>
      </c>
      <c r="FK260" s="2" t="n">
        <v>100</v>
      </c>
      <c r="FL260" s="2" t="n">
        <v>100</v>
      </c>
      <c r="FM260" s="2" t="n">
        <v>100</v>
      </c>
      <c r="FN260" s="2" t="n">
        <v>100</v>
      </c>
      <c r="FO260" s="2" t="n">
        <v>100</v>
      </c>
      <c r="FP260" s="2" t="n">
        <v>100</v>
      </c>
      <c r="FQ260" s="2" t="n">
        <v>100</v>
      </c>
    </row>
    <row r="261">
      <c r="A261" s="2" t="n">
        <v>4</v>
      </c>
      <c r="B261" s="2" t="inlineStr">
        <is>
          <t>13.01.02.03</t>
        </is>
      </c>
      <c r="C261" s="2" t="inlineStr">
        <is>
          <t>Formas para vigas</t>
        </is>
      </c>
      <c r="D261" s="2" t="inlineStr">
        <is>
          <t>21/10/2024</t>
        </is>
      </c>
      <c r="E261" s="2" t="inlineStr">
        <is>
          <t>28/11/2025</t>
        </is>
      </c>
      <c r="F261" s="2" t="n">
        <v>25566.476</v>
      </c>
      <c r="G261" s="2" t="n">
        <v>0</v>
      </c>
      <c r="H261" s="2" t="n">
        <v>25566.476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2.51</v>
      </c>
      <c r="P261" s="2" t="n">
        <v>2.51</v>
      </c>
      <c r="Q261" s="2" t="n">
        <v>0</v>
      </c>
      <c r="R261" s="2" t="n">
        <v>20.71</v>
      </c>
      <c r="S261" s="2" t="n">
        <v>20.71</v>
      </c>
      <c r="T261" s="2" t="n">
        <v>0</v>
      </c>
      <c r="U261" s="2" t="n">
        <v>65.02</v>
      </c>
      <c r="V261" s="2" t="n">
        <v>65.02</v>
      </c>
      <c r="W261" s="2" t="n">
        <v>0</v>
      </c>
      <c r="X261" s="2" t="n">
        <v>75.52</v>
      </c>
      <c r="Y261" s="2" t="n">
        <v>75.52</v>
      </c>
      <c r="Z261" s="2" t="n">
        <v>0</v>
      </c>
      <c r="AA261" s="2" t="n">
        <v>82.65000000000001</v>
      </c>
      <c r="AB261" s="2" t="n">
        <v>82.65000000000001</v>
      </c>
      <c r="AC261" s="2" t="n">
        <v>0</v>
      </c>
      <c r="AD261" s="2" t="n">
        <v>83.36</v>
      </c>
      <c r="AE261" s="2" t="n">
        <v>83.36</v>
      </c>
      <c r="AF261" s="2" t="n">
        <v>0</v>
      </c>
      <c r="AG261" s="2" t="n">
        <v>83.36</v>
      </c>
      <c r="AH261" s="2" t="n">
        <v>83.36</v>
      </c>
      <c r="AI261" s="2" t="n">
        <v>83.36</v>
      </c>
      <c r="AJ261" s="2" t="n">
        <v>83.36</v>
      </c>
      <c r="AK261" s="2" t="n">
        <v>83.36</v>
      </c>
      <c r="AL261" s="2" t="n">
        <v>83.36</v>
      </c>
      <c r="AM261" s="2" t="n">
        <v>83.36</v>
      </c>
      <c r="AN261" s="2" t="n">
        <v>83.36</v>
      </c>
      <c r="AO261" s="2" t="n">
        <v>83.36</v>
      </c>
      <c r="AP261" s="2" t="n">
        <v>83.36</v>
      </c>
      <c r="AQ261" s="2" t="n">
        <v>83.36</v>
      </c>
      <c r="AR261" s="2" t="n">
        <v>83.36</v>
      </c>
      <c r="AS261" s="2" t="n">
        <v>83.36</v>
      </c>
      <c r="AT261" s="2" t="n">
        <v>83.36</v>
      </c>
      <c r="AU261" s="2" t="n">
        <v>83.36</v>
      </c>
      <c r="AV261" s="2" t="n">
        <v>94.04000000000001</v>
      </c>
      <c r="AW261" s="2" t="n">
        <v>94.04000000000001</v>
      </c>
      <c r="AX261" s="2" t="n">
        <v>84.78</v>
      </c>
      <c r="AY261" s="2" t="n">
        <v>94.04000000000001</v>
      </c>
      <c r="AZ261" s="2" t="n">
        <v>94.04000000000001</v>
      </c>
      <c r="BA261" s="2" t="n">
        <v>94.04000000000001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  <c r="ET261" s="2" t="n">
        <v>100</v>
      </c>
      <c r="EU261" s="2" t="n">
        <v>100</v>
      </c>
      <c r="EV261" s="2" t="n">
        <v>100</v>
      </c>
      <c r="EW261" s="2" t="n">
        <v>100</v>
      </c>
      <c r="EX261" s="2" t="n">
        <v>100</v>
      </c>
      <c r="EY261" s="2" t="n">
        <v>100</v>
      </c>
      <c r="EZ261" s="2" t="n">
        <v>100</v>
      </c>
      <c r="FA261" s="2" t="n">
        <v>100</v>
      </c>
      <c r="FB261" s="2" t="n">
        <v>100</v>
      </c>
      <c r="FC261" s="2" t="n">
        <v>100</v>
      </c>
      <c r="FD261" s="2" t="n">
        <v>100</v>
      </c>
      <c r="FE261" s="2" t="n">
        <v>100</v>
      </c>
      <c r="FF261" s="2" t="n">
        <v>100</v>
      </c>
      <c r="FG261" s="2" t="n">
        <v>100</v>
      </c>
      <c r="FH261" s="2" t="n">
        <v>100</v>
      </c>
      <c r="FI261" s="2" t="n">
        <v>100</v>
      </c>
      <c r="FJ261" s="2" t="n">
        <v>100</v>
      </c>
      <c r="FK261" s="2" t="n">
        <v>100</v>
      </c>
      <c r="FL261" s="2" t="n">
        <v>100</v>
      </c>
      <c r="FM261" s="2" t="n">
        <v>100</v>
      </c>
      <c r="FN261" s="2" t="n">
        <v>100</v>
      </c>
      <c r="FO261" s="2" t="n">
        <v>100</v>
      </c>
      <c r="FP261" s="2" t="n">
        <v>100</v>
      </c>
      <c r="FQ261" s="2" t="n">
        <v>100</v>
      </c>
    </row>
    <row r="262">
      <c r="A262" s="2" t="n">
        <v>4</v>
      </c>
      <c r="B262" s="2" t="inlineStr">
        <is>
          <t>13.01.02.04</t>
        </is>
      </c>
      <c r="C262" s="2" t="inlineStr">
        <is>
          <t>Armadura Ca-50 adquirido cortado e dobrado, montagem e posicionamento no canteiro</t>
        </is>
      </c>
      <c r="D262" s="2" t="inlineStr">
        <is>
          <t>21/10/2024</t>
        </is>
      </c>
      <c r="E262" s="2" t="inlineStr">
        <is>
          <t>28/11/2025</t>
        </is>
      </c>
      <c r="F262" s="2" t="n">
        <v>10667.68695</v>
      </c>
      <c r="G262" s="2" t="n">
        <v>0</v>
      </c>
      <c r="H262" s="2" t="n">
        <v>10667.68695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2.51</v>
      </c>
      <c r="P262" s="2" t="n">
        <v>2.51</v>
      </c>
      <c r="Q262" s="2" t="n">
        <v>0</v>
      </c>
      <c r="R262" s="2" t="n">
        <v>20.71</v>
      </c>
      <c r="S262" s="2" t="n">
        <v>20.71</v>
      </c>
      <c r="T262" s="2" t="n">
        <v>0</v>
      </c>
      <c r="U262" s="2" t="n">
        <v>65.02</v>
      </c>
      <c r="V262" s="2" t="n">
        <v>65.02</v>
      </c>
      <c r="W262" s="2" t="n">
        <v>0</v>
      </c>
      <c r="X262" s="2" t="n">
        <v>75.52</v>
      </c>
      <c r="Y262" s="2" t="n">
        <v>75.52</v>
      </c>
      <c r="Z262" s="2" t="n">
        <v>0</v>
      </c>
      <c r="AA262" s="2" t="n">
        <v>82.65000000000001</v>
      </c>
      <c r="AB262" s="2" t="n">
        <v>82.65000000000001</v>
      </c>
      <c r="AC262" s="2" t="n">
        <v>0</v>
      </c>
      <c r="AD262" s="2" t="n">
        <v>83.36</v>
      </c>
      <c r="AE262" s="2" t="n">
        <v>83.36</v>
      </c>
      <c r="AF262" s="2" t="n">
        <v>0</v>
      </c>
      <c r="AG262" s="2" t="n">
        <v>83.36</v>
      </c>
      <c r="AH262" s="2" t="n">
        <v>83.36</v>
      </c>
      <c r="AI262" s="2" t="n">
        <v>83.36</v>
      </c>
      <c r="AJ262" s="2" t="n">
        <v>83.36</v>
      </c>
      <c r="AK262" s="2" t="n">
        <v>83.36</v>
      </c>
      <c r="AL262" s="2" t="n">
        <v>83.36</v>
      </c>
      <c r="AM262" s="2" t="n">
        <v>83.36</v>
      </c>
      <c r="AN262" s="2" t="n">
        <v>83.36</v>
      </c>
      <c r="AO262" s="2" t="n">
        <v>83.36</v>
      </c>
      <c r="AP262" s="2" t="n">
        <v>83.36</v>
      </c>
      <c r="AQ262" s="2" t="n">
        <v>83.36</v>
      </c>
      <c r="AR262" s="2" t="n">
        <v>83.36</v>
      </c>
      <c r="AS262" s="2" t="n">
        <v>83.36</v>
      </c>
      <c r="AT262" s="2" t="n">
        <v>83.36</v>
      </c>
      <c r="AU262" s="2" t="n">
        <v>83.36</v>
      </c>
      <c r="AV262" s="2" t="n">
        <v>94.04000000000001</v>
      </c>
      <c r="AW262" s="2" t="n">
        <v>94.04000000000001</v>
      </c>
      <c r="AX262" s="2" t="n">
        <v>84.78</v>
      </c>
      <c r="AY262" s="2" t="n">
        <v>94.04000000000001</v>
      </c>
      <c r="AZ262" s="2" t="n">
        <v>94.04000000000001</v>
      </c>
      <c r="BA262" s="2" t="n">
        <v>94.04000000000001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  <c r="ET262" s="2" t="n">
        <v>100</v>
      </c>
      <c r="EU262" s="2" t="n">
        <v>100</v>
      </c>
      <c r="EV262" s="2" t="n">
        <v>100</v>
      </c>
      <c r="EW262" s="2" t="n">
        <v>100</v>
      </c>
      <c r="EX262" s="2" t="n">
        <v>100</v>
      </c>
      <c r="EY262" s="2" t="n">
        <v>100</v>
      </c>
      <c r="EZ262" s="2" t="n">
        <v>100</v>
      </c>
      <c r="FA262" s="2" t="n">
        <v>100</v>
      </c>
      <c r="FB262" s="2" t="n">
        <v>100</v>
      </c>
      <c r="FC262" s="2" t="n">
        <v>100</v>
      </c>
      <c r="FD262" s="2" t="n">
        <v>100</v>
      </c>
      <c r="FE262" s="2" t="n">
        <v>100</v>
      </c>
      <c r="FF262" s="2" t="n">
        <v>100</v>
      </c>
      <c r="FG262" s="2" t="n">
        <v>100</v>
      </c>
      <c r="FH262" s="2" t="n">
        <v>100</v>
      </c>
      <c r="FI262" s="2" t="n">
        <v>100</v>
      </c>
      <c r="FJ262" s="2" t="n">
        <v>100</v>
      </c>
      <c r="FK262" s="2" t="n">
        <v>100</v>
      </c>
      <c r="FL262" s="2" t="n">
        <v>100</v>
      </c>
      <c r="FM262" s="2" t="n">
        <v>100</v>
      </c>
      <c r="FN262" s="2" t="n">
        <v>100</v>
      </c>
      <c r="FO262" s="2" t="n">
        <v>100</v>
      </c>
      <c r="FP262" s="2" t="n">
        <v>100</v>
      </c>
      <c r="FQ262" s="2" t="n">
        <v>100</v>
      </c>
    </row>
    <row r="263">
      <c r="A263" s="2" t="n">
        <v>4</v>
      </c>
      <c r="B263" s="2" t="inlineStr">
        <is>
          <t>13.01.02.05</t>
        </is>
      </c>
      <c r="C263" s="2" t="inlineStr">
        <is>
          <t>Concreto bombeado Fck=25Mpa para infraestrutura</t>
        </is>
      </c>
      <c r="D263" s="2" t="inlineStr">
        <is>
          <t>21/10/2024</t>
        </is>
      </c>
      <c r="E263" s="2" t="inlineStr">
        <is>
          <t>28/11/2025</t>
        </is>
      </c>
      <c r="F263" s="2" t="n">
        <v>26739.32338751361</v>
      </c>
      <c r="G263" s="2" t="n">
        <v>0</v>
      </c>
      <c r="H263" s="2" t="n">
        <v>26739.32338751361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2.51</v>
      </c>
      <c r="P263" s="2" t="n">
        <v>2.51</v>
      </c>
      <c r="Q263" s="2" t="n">
        <v>0</v>
      </c>
      <c r="R263" s="2" t="n">
        <v>20.71</v>
      </c>
      <c r="S263" s="2" t="n">
        <v>20.71</v>
      </c>
      <c r="T263" s="2" t="n">
        <v>0</v>
      </c>
      <c r="U263" s="2" t="n">
        <v>65.02</v>
      </c>
      <c r="V263" s="2" t="n">
        <v>65.02</v>
      </c>
      <c r="W263" s="2" t="n">
        <v>0</v>
      </c>
      <c r="X263" s="2" t="n">
        <v>75.52</v>
      </c>
      <c r="Y263" s="2" t="n">
        <v>75.52</v>
      </c>
      <c r="Z263" s="2" t="n">
        <v>0</v>
      </c>
      <c r="AA263" s="2" t="n">
        <v>82.65000000000001</v>
      </c>
      <c r="AB263" s="2" t="n">
        <v>82.65000000000001</v>
      </c>
      <c r="AC263" s="2" t="n">
        <v>0</v>
      </c>
      <c r="AD263" s="2" t="n">
        <v>83.36</v>
      </c>
      <c r="AE263" s="2" t="n">
        <v>83.36</v>
      </c>
      <c r="AF263" s="2" t="n">
        <v>0</v>
      </c>
      <c r="AG263" s="2" t="n">
        <v>83.36</v>
      </c>
      <c r="AH263" s="2" t="n">
        <v>83.36</v>
      </c>
      <c r="AI263" s="2" t="n">
        <v>83.36</v>
      </c>
      <c r="AJ263" s="2" t="n">
        <v>83.36</v>
      </c>
      <c r="AK263" s="2" t="n">
        <v>83.36</v>
      </c>
      <c r="AL263" s="2" t="n">
        <v>83.36</v>
      </c>
      <c r="AM263" s="2" t="n">
        <v>83.36</v>
      </c>
      <c r="AN263" s="2" t="n">
        <v>83.36</v>
      </c>
      <c r="AO263" s="2" t="n">
        <v>83.36</v>
      </c>
      <c r="AP263" s="2" t="n">
        <v>83.36</v>
      </c>
      <c r="AQ263" s="2" t="n">
        <v>83.36</v>
      </c>
      <c r="AR263" s="2" t="n">
        <v>83.36</v>
      </c>
      <c r="AS263" s="2" t="n">
        <v>83.36</v>
      </c>
      <c r="AT263" s="2" t="n">
        <v>83.36</v>
      </c>
      <c r="AU263" s="2" t="n">
        <v>83.36</v>
      </c>
      <c r="AV263" s="2" t="n">
        <v>94.04000000000001</v>
      </c>
      <c r="AW263" s="2" t="n">
        <v>94.04000000000001</v>
      </c>
      <c r="AX263" s="2" t="n">
        <v>84.78</v>
      </c>
      <c r="AY263" s="2" t="n">
        <v>94.04000000000001</v>
      </c>
      <c r="AZ263" s="2" t="n">
        <v>94.04000000000001</v>
      </c>
      <c r="BA263" s="2" t="n">
        <v>94.04000000000001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  <c r="ET263" s="2" t="n">
        <v>100</v>
      </c>
      <c r="EU263" s="2" t="n">
        <v>100</v>
      </c>
      <c r="EV263" s="2" t="n">
        <v>100</v>
      </c>
      <c r="EW263" s="2" t="n">
        <v>100</v>
      </c>
      <c r="EX263" s="2" t="n">
        <v>100</v>
      </c>
      <c r="EY263" s="2" t="n">
        <v>100</v>
      </c>
      <c r="EZ263" s="2" t="n">
        <v>100</v>
      </c>
      <c r="FA263" s="2" t="n">
        <v>100</v>
      </c>
      <c r="FB263" s="2" t="n">
        <v>100</v>
      </c>
      <c r="FC263" s="2" t="n">
        <v>100</v>
      </c>
      <c r="FD263" s="2" t="n">
        <v>100</v>
      </c>
      <c r="FE263" s="2" t="n">
        <v>100</v>
      </c>
      <c r="FF263" s="2" t="n">
        <v>100</v>
      </c>
      <c r="FG263" s="2" t="n">
        <v>100</v>
      </c>
      <c r="FH263" s="2" t="n">
        <v>100</v>
      </c>
      <c r="FI263" s="2" t="n">
        <v>100</v>
      </c>
      <c r="FJ263" s="2" t="n">
        <v>100</v>
      </c>
      <c r="FK263" s="2" t="n">
        <v>100</v>
      </c>
      <c r="FL263" s="2" t="n">
        <v>100</v>
      </c>
      <c r="FM263" s="2" t="n">
        <v>100</v>
      </c>
      <c r="FN263" s="2" t="n">
        <v>100</v>
      </c>
      <c r="FO263" s="2" t="n">
        <v>100</v>
      </c>
      <c r="FP263" s="2" t="n">
        <v>100</v>
      </c>
      <c r="FQ263" s="2" t="n">
        <v>100</v>
      </c>
    </row>
    <row r="264">
      <c r="A264" s="2" t="n">
        <v>3</v>
      </c>
      <c r="B264" s="2" t="inlineStr">
        <is>
          <t>13.01.03</t>
        </is>
      </c>
      <c r="C264" s="2" t="inlineStr">
        <is>
          <t>Vigas auxiliares para interface entre a contenção e a superestrutura</t>
        </is>
      </c>
      <c r="D264" s="2" t="inlineStr">
        <is>
          <t>21/10/2024</t>
        </is>
      </c>
      <c r="E264" s="2" t="inlineStr">
        <is>
          <t>28/11/2025</t>
        </is>
      </c>
      <c r="F264" s="2" t="n">
        <v>83131.80161005034</v>
      </c>
      <c r="G264" s="2" t="n">
        <v>0</v>
      </c>
      <c r="H264" s="2" t="n">
        <v>83131.80161005034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2.51</v>
      </c>
      <c r="P264" s="2" t="n">
        <v>2.51</v>
      </c>
      <c r="Q264" s="2" t="n">
        <v>0</v>
      </c>
      <c r="R264" s="2" t="n">
        <v>20.71</v>
      </c>
      <c r="S264" s="2" t="n">
        <v>20.71</v>
      </c>
      <c r="T264" s="2" t="n">
        <v>0</v>
      </c>
      <c r="U264" s="2" t="n">
        <v>65.02</v>
      </c>
      <c r="V264" s="2" t="n">
        <v>65.02</v>
      </c>
      <c r="W264" s="2" t="n">
        <v>0</v>
      </c>
      <c r="X264" s="2" t="n">
        <v>75.52</v>
      </c>
      <c r="Y264" s="2" t="n">
        <v>75.52</v>
      </c>
      <c r="Z264" s="2" t="n">
        <v>0</v>
      </c>
      <c r="AA264" s="2" t="n">
        <v>82.65000000000001</v>
      </c>
      <c r="AB264" s="2" t="n">
        <v>82.65000000000001</v>
      </c>
      <c r="AC264" s="2" t="n">
        <v>0</v>
      </c>
      <c r="AD264" s="2" t="n">
        <v>83.36</v>
      </c>
      <c r="AE264" s="2" t="n">
        <v>83.36</v>
      </c>
      <c r="AF264" s="2" t="n">
        <v>0</v>
      </c>
      <c r="AG264" s="2" t="n">
        <v>83.36</v>
      </c>
      <c r="AH264" s="2" t="n">
        <v>83.36</v>
      </c>
      <c r="AI264" s="2" t="n">
        <v>83.36</v>
      </c>
      <c r="AJ264" s="2" t="n">
        <v>83.36</v>
      </c>
      <c r="AK264" s="2" t="n">
        <v>83.36</v>
      </c>
      <c r="AL264" s="2" t="n">
        <v>83.36</v>
      </c>
      <c r="AM264" s="2" t="n">
        <v>83.36</v>
      </c>
      <c r="AN264" s="2" t="n">
        <v>83.36</v>
      </c>
      <c r="AO264" s="2" t="n">
        <v>83.36</v>
      </c>
      <c r="AP264" s="2" t="n">
        <v>83.36</v>
      </c>
      <c r="AQ264" s="2" t="n">
        <v>83.36</v>
      </c>
      <c r="AR264" s="2" t="n">
        <v>83.36</v>
      </c>
      <c r="AS264" s="2" t="n">
        <v>83.36</v>
      </c>
      <c r="AT264" s="2" t="n">
        <v>83.36</v>
      </c>
      <c r="AU264" s="2" t="n">
        <v>83.36</v>
      </c>
      <c r="AV264" s="2" t="n">
        <v>94.04000000000001</v>
      </c>
      <c r="AW264" s="2" t="n">
        <v>94.04000000000001</v>
      </c>
      <c r="AX264" s="2" t="n">
        <v>84.78</v>
      </c>
      <c r="AY264" s="2" t="n">
        <v>94.04000000000001</v>
      </c>
      <c r="AZ264" s="2" t="n">
        <v>94.04000000000001</v>
      </c>
      <c r="BA264" s="2" t="n">
        <v>94.04000000000001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  <c r="EQ264" s="2" t="n">
        <v>100</v>
      </c>
      <c r="ER264" s="2" t="n">
        <v>100</v>
      </c>
      <c r="ES264" s="2" t="n">
        <v>100</v>
      </c>
      <c r="ET264" s="2" t="n">
        <v>100</v>
      </c>
      <c r="EU264" s="2" t="n">
        <v>100</v>
      </c>
      <c r="EV264" s="2" t="n">
        <v>100</v>
      </c>
      <c r="EW264" s="2" t="n">
        <v>100</v>
      </c>
      <c r="EX264" s="2" t="n">
        <v>100</v>
      </c>
      <c r="EY264" s="2" t="n">
        <v>100</v>
      </c>
      <c r="EZ264" s="2" t="n">
        <v>100</v>
      </c>
      <c r="FA264" s="2" t="n">
        <v>100</v>
      </c>
      <c r="FB264" s="2" t="n">
        <v>100</v>
      </c>
      <c r="FC264" s="2" t="n">
        <v>100</v>
      </c>
      <c r="FD264" s="2" t="n">
        <v>100</v>
      </c>
      <c r="FE264" s="2" t="n">
        <v>100</v>
      </c>
      <c r="FF264" s="2" t="n">
        <v>100</v>
      </c>
      <c r="FG264" s="2" t="n">
        <v>100</v>
      </c>
      <c r="FH264" s="2" t="n">
        <v>100</v>
      </c>
      <c r="FI264" s="2" t="n">
        <v>100</v>
      </c>
      <c r="FJ264" s="2" t="n">
        <v>100</v>
      </c>
      <c r="FK264" s="2" t="n">
        <v>100</v>
      </c>
      <c r="FL264" s="2" t="n">
        <v>100</v>
      </c>
      <c r="FM264" s="2" t="n">
        <v>100</v>
      </c>
      <c r="FN264" s="2" t="n">
        <v>100</v>
      </c>
      <c r="FO264" s="2" t="n">
        <v>100</v>
      </c>
      <c r="FP264" s="2" t="n">
        <v>100</v>
      </c>
      <c r="FQ264" s="2" t="n">
        <v>100</v>
      </c>
    </row>
    <row r="265">
      <c r="A265" s="2" t="n">
        <v>4</v>
      </c>
      <c r="B265" s="2" t="inlineStr">
        <is>
          <t>13.01.03.01</t>
        </is>
      </c>
      <c r="C265" s="2" t="inlineStr">
        <is>
          <t>Cimbramento pé-direito até 350cm</t>
        </is>
      </c>
      <c r="D265" s="2" t="inlineStr">
        <is>
          <t>21/10/2024</t>
        </is>
      </c>
      <c r="E265" s="2" t="inlineStr">
        <is>
          <t>28/11/2025</t>
        </is>
      </c>
      <c r="F265" s="2" t="n">
        <v>2413.912060903505</v>
      </c>
      <c r="G265" s="2" t="n">
        <v>0</v>
      </c>
      <c r="H265" s="2" t="n">
        <v>2413.912060903505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2.51</v>
      </c>
      <c r="P265" s="2" t="n">
        <v>2.51</v>
      </c>
      <c r="Q265" s="2" t="n">
        <v>0</v>
      </c>
      <c r="R265" s="2" t="n">
        <v>20.71</v>
      </c>
      <c r="S265" s="2" t="n">
        <v>20.71</v>
      </c>
      <c r="T265" s="2" t="n">
        <v>0</v>
      </c>
      <c r="U265" s="2" t="n">
        <v>65.02</v>
      </c>
      <c r="V265" s="2" t="n">
        <v>65.02</v>
      </c>
      <c r="W265" s="2" t="n">
        <v>0</v>
      </c>
      <c r="X265" s="2" t="n">
        <v>75.52</v>
      </c>
      <c r="Y265" s="2" t="n">
        <v>75.52</v>
      </c>
      <c r="Z265" s="2" t="n">
        <v>0</v>
      </c>
      <c r="AA265" s="2" t="n">
        <v>82.65000000000001</v>
      </c>
      <c r="AB265" s="2" t="n">
        <v>82.65000000000001</v>
      </c>
      <c r="AC265" s="2" t="n">
        <v>0</v>
      </c>
      <c r="AD265" s="2" t="n">
        <v>83.36</v>
      </c>
      <c r="AE265" s="2" t="n">
        <v>83.36</v>
      </c>
      <c r="AF265" s="2" t="n">
        <v>0</v>
      </c>
      <c r="AG265" s="2" t="n">
        <v>83.36</v>
      </c>
      <c r="AH265" s="2" t="n">
        <v>83.36</v>
      </c>
      <c r="AI265" s="2" t="n">
        <v>83.36</v>
      </c>
      <c r="AJ265" s="2" t="n">
        <v>83.36</v>
      </c>
      <c r="AK265" s="2" t="n">
        <v>83.36</v>
      </c>
      <c r="AL265" s="2" t="n">
        <v>83.36</v>
      </c>
      <c r="AM265" s="2" t="n">
        <v>83.36</v>
      </c>
      <c r="AN265" s="2" t="n">
        <v>83.36</v>
      </c>
      <c r="AO265" s="2" t="n">
        <v>83.36</v>
      </c>
      <c r="AP265" s="2" t="n">
        <v>83.36</v>
      </c>
      <c r="AQ265" s="2" t="n">
        <v>83.36</v>
      </c>
      <c r="AR265" s="2" t="n">
        <v>83.36</v>
      </c>
      <c r="AS265" s="2" t="n">
        <v>83.36</v>
      </c>
      <c r="AT265" s="2" t="n">
        <v>83.36</v>
      </c>
      <c r="AU265" s="2" t="n">
        <v>83.36</v>
      </c>
      <c r="AV265" s="2" t="n">
        <v>94.04000000000001</v>
      </c>
      <c r="AW265" s="2" t="n">
        <v>94.04000000000001</v>
      </c>
      <c r="AX265" s="2" t="n">
        <v>84.78</v>
      </c>
      <c r="AY265" s="2" t="n">
        <v>94.04000000000001</v>
      </c>
      <c r="AZ265" s="2" t="n">
        <v>94.04000000000001</v>
      </c>
      <c r="BA265" s="2" t="n">
        <v>94.04000000000001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  <c r="EQ265" s="2" t="n">
        <v>100</v>
      </c>
      <c r="ER265" s="2" t="n">
        <v>100</v>
      </c>
      <c r="ES265" s="2" t="n">
        <v>100</v>
      </c>
      <c r="ET265" s="2" t="n">
        <v>100</v>
      </c>
      <c r="EU265" s="2" t="n">
        <v>100</v>
      </c>
      <c r="EV265" s="2" t="n">
        <v>100</v>
      </c>
      <c r="EW265" s="2" t="n">
        <v>100</v>
      </c>
      <c r="EX265" s="2" t="n">
        <v>100</v>
      </c>
      <c r="EY265" s="2" t="n">
        <v>100</v>
      </c>
      <c r="EZ265" s="2" t="n">
        <v>100</v>
      </c>
      <c r="FA265" s="2" t="n">
        <v>100</v>
      </c>
      <c r="FB265" s="2" t="n">
        <v>100</v>
      </c>
      <c r="FC265" s="2" t="n">
        <v>100</v>
      </c>
      <c r="FD265" s="2" t="n">
        <v>100</v>
      </c>
      <c r="FE265" s="2" t="n">
        <v>100</v>
      </c>
      <c r="FF265" s="2" t="n">
        <v>100</v>
      </c>
      <c r="FG265" s="2" t="n">
        <v>100</v>
      </c>
      <c r="FH265" s="2" t="n">
        <v>100</v>
      </c>
      <c r="FI265" s="2" t="n">
        <v>100</v>
      </c>
      <c r="FJ265" s="2" t="n">
        <v>100</v>
      </c>
      <c r="FK265" s="2" t="n">
        <v>100</v>
      </c>
      <c r="FL265" s="2" t="n">
        <v>100</v>
      </c>
      <c r="FM265" s="2" t="n">
        <v>100</v>
      </c>
      <c r="FN265" s="2" t="n">
        <v>100</v>
      </c>
      <c r="FO265" s="2" t="n">
        <v>100</v>
      </c>
      <c r="FP265" s="2" t="n">
        <v>100</v>
      </c>
      <c r="FQ265" s="2" t="n">
        <v>100</v>
      </c>
    </row>
    <row r="266">
      <c r="A266" s="2" t="n">
        <v>4</v>
      </c>
      <c r="B266" s="2" t="inlineStr">
        <is>
          <t>13.01.03.02</t>
        </is>
      </c>
      <c r="C266" s="2" t="inlineStr">
        <is>
          <t>Cimbramento pé-direito entre 350 e 500cm</t>
        </is>
      </c>
      <c r="D266" s="2" t="inlineStr">
        <is>
          <t>21/10/2024</t>
        </is>
      </c>
      <c r="E266" s="2" t="inlineStr">
        <is>
          <t>28/11/2025</t>
        </is>
      </c>
      <c r="F266" s="2" t="n">
        <v>742.8482235189551</v>
      </c>
      <c r="G266" s="2" t="n">
        <v>0</v>
      </c>
      <c r="H266" s="2" t="n">
        <v>742.8482235189551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2.51</v>
      </c>
      <c r="P266" s="2" t="n">
        <v>2.51</v>
      </c>
      <c r="Q266" s="2" t="n">
        <v>0</v>
      </c>
      <c r="R266" s="2" t="n">
        <v>20.71</v>
      </c>
      <c r="S266" s="2" t="n">
        <v>20.71</v>
      </c>
      <c r="T266" s="2" t="n">
        <v>0</v>
      </c>
      <c r="U266" s="2" t="n">
        <v>65.02</v>
      </c>
      <c r="V266" s="2" t="n">
        <v>65.02</v>
      </c>
      <c r="W266" s="2" t="n">
        <v>0</v>
      </c>
      <c r="X266" s="2" t="n">
        <v>75.52</v>
      </c>
      <c r="Y266" s="2" t="n">
        <v>75.52</v>
      </c>
      <c r="Z266" s="2" t="n">
        <v>0</v>
      </c>
      <c r="AA266" s="2" t="n">
        <v>82.65000000000001</v>
      </c>
      <c r="AB266" s="2" t="n">
        <v>82.65000000000001</v>
      </c>
      <c r="AC266" s="2" t="n">
        <v>0</v>
      </c>
      <c r="AD266" s="2" t="n">
        <v>83.36</v>
      </c>
      <c r="AE266" s="2" t="n">
        <v>83.36</v>
      </c>
      <c r="AF266" s="2" t="n">
        <v>0</v>
      </c>
      <c r="AG266" s="2" t="n">
        <v>83.36</v>
      </c>
      <c r="AH266" s="2" t="n">
        <v>83.36</v>
      </c>
      <c r="AI266" s="2" t="n">
        <v>83.36</v>
      </c>
      <c r="AJ266" s="2" t="n">
        <v>83.36</v>
      </c>
      <c r="AK266" s="2" t="n">
        <v>83.36</v>
      </c>
      <c r="AL266" s="2" t="n">
        <v>83.36</v>
      </c>
      <c r="AM266" s="2" t="n">
        <v>83.36</v>
      </c>
      <c r="AN266" s="2" t="n">
        <v>83.36</v>
      </c>
      <c r="AO266" s="2" t="n">
        <v>83.36</v>
      </c>
      <c r="AP266" s="2" t="n">
        <v>83.36</v>
      </c>
      <c r="AQ266" s="2" t="n">
        <v>83.36</v>
      </c>
      <c r="AR266" s="2" t="n">
        <v>83.36</v>
      </c>
      <c r="AS266" s="2" t="n">
        <v>83.36</v>
      </c>
      <c r="AT266" s="2" t="n">
        <v>83.36</v>
      </c>
      <c r="AU266" s="2" t="n">
        <v>83.36</v>
      </c>
      <c r="AV266" s="2" t="n">
        <v>94.04000000000001</v>
      </c>
      <c r="AW266" s="2" t="n">
        <v>94.04000000000001</v>
      </c>
      <c r="AX266" s="2" t="n">
        <v>84.78</v>
      </c>
      <c r="AY266" s="2" t="n">
        <v>94.04000000000001</v>
      </c>
      <c r="AZ266" s="2" t="n">
        <v>94.04000000000001</v>
      </c>
      <c r="BA266" s="2" t="n">
        <v>94.04000000000001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  <c r="EQ266" s="2" t="n">
        <v>100</v>
      </c>
      <c r="ER266" s="2" t="n">
        <v>100</v>
      </c>
      <c r="ES266" s="2" t="n">
        <v>100</v>
      </c>
      <c r="ET266" s="2" t="n">
        <v>100</v>
      </c>
      <c r="EU266" s="2" t="n">
        <v>100</v>
      </c>
      <c r="EV266" s="2" t="n">
        <v>100</v>
      </c>
      <c r="EW266" s="2" t="n">
        <v>100</v>
      </c>
      <c r="EX266" s="2" t="n">
        <v>100</v>
      </c>
      <c r="EY266" s="2" t="n">
        <v>100</v>
      </c>
      <c r="EZ266" s="2" t="n">
        <v>100</v>
      </c>
      <c r="FA266" s="2" t="n">
        <v>100</v>
      </c>
      <c r="FB266" s="2" t="n">
        <v>100</v>
      </c>
      <c r="FC266" s="2" t="n">
        <v>100</v>
      </c>
      <c r="FD266" s="2" t="n">
        <v>100</v>
      </c>
      <c r="FE266" s="2" t="n">
        <v>100</v>
      </c>
      <c r="FF266" s="2" t="n">
        <v>100</v>
      </c>
      <c r="FG266" s="2" t="n">
        <v>100</v>
      </c>
      <c r="FH266" s="2" t="n">
        <v>100</v>
      </c>
      <c r="FI266" s="2" t="n">
        <v>100</v>
      </c>
      <c r="FJ266" s="2" t="n">
        <v>100</v>
      </c>
      <c r="FK266" s="2" t="n">
        <v>100</v>
      </c>
      <c r="FL266" s="2" t="n">
        <v>100</v>
      </c>
      <c r="FM266" s="2" t="n">
        <v>100</v>
      </c>
      <c r="FN266" s="2" t="n">
        <v>100</v>
      </c>
      <c r="FO266" s="2" t="n">
        <v>100</v>
      </c>
      <c r="FP266" s="2" t="n">
        <v>100</v>
      </c>
      <c r="FQ266" s="2" t="n">
        <v>100</v>
      </c>
    </row>
    <row r="267">
      <c r="A267" s="2" t="n">
        <v>4</v>
      </c>
      <c r="B267" s="2" t="inlineStr">
        <is>
          <t>13.01.03.03</t>
        </is>
      </c>
      <c r="C267" s="2" t="inlineStr">
        <is>
          <t>Formas para vigas</t>
        </is>
      </c>
      <c r="D267" s="2" t="inlineStr">
        <is>
          <t>21/10/2024</t>
        </is>
      </c>
      <c r="E267" s="2" t="inlineStr">
        <is>
          <t>28/11/2025</t>
        </is>
      </c>
      <c r="F267" s="2" t="n">
        <v>20550.4</v>
      </c>
      <c r="G267" s="2" t="n">
        <v>0</v>
      </c>
      <c r="H267" s="2" t="n">
        <v>20550.4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2.51</v>
      </c>
      <c r="P267" s="2" t="n">
        <v>2.51</v>
      </c>
      <c r="Q267" s="2" t="n">
        <v>0</v>
      </c>
      <c r="R267" s="2" t="n">
        <v>20.71</v>
      </c>
      <c r="S267" s="2" t="n">
        <v>20.71</v>
      </c>
      <c r="T267" s="2" t="n">
        <v>0</v>
      </c>
      <c r="U267" s="2" t="n">
        <v>65.02</v>
      </c>
      <c r="V267" s="2" t="n">
        <v>65.02</v>
      </c>
      <c r="W267" s="2" t="n">
        <v>0</v>
      </c>
      <c r="X267" s="2" t="n">
        <v>75.52</v>
      </c>
      <c r="Y267" s="2" t="n">
        <v>75.52</v>
      </c>
      <c r="Z267" s="2" t="n">
        <v>0</v>
      </c>
      <c r="AA267" s="2" t="n">
        <v>82.65000000000001</v>
      </c>
      <c r="AB267" s="2" t="n">
        <v>82.65000000000001</v>
      </c>
      <c r="AC267" s="2" t="n">
        <v>0</v>
      </c>
      <c r="AD267" s="2" t="n">
        <v>83.36</v>
      </c>
      <c r="AE267" s="2" t="n">
        <v>83.36</v>
      </c>
      <c r="AF267" s="2" t="n">
        <v>0</v>
      </c>
      <c r="AG267" s="2" t="n">
        <v>83.36</v>
      </c>
      <c r="AH267" s="2" t="n">
        <v>83.36</v>
      </c>
      <c r="AI267" s="2" t="n">
        <v>83.36</v>
      </c>
      <c r="AJ267" s="2" t="n">
        <v>83.36</v>
      </c>
      <c r="AK267" s="2" t="n">
        <v>83.36</v>
      </c>
      <c r="AL267" s="2" t="n">
        <v>83.36</v>
      </c>
      <c r="AM267" s="2" t="n">
        <v>83.36</v>
      </c>
      <c r="AN267" s="2" t="n">
        <v>83.36</v>
      </c>
      <c r="AO267" s="2" t="n">
        <v>83.36</v>
      </c>
      <c r="AP267" s="2" t="n">
        <v>83.36</v>
      </c>
      <c r="AQ267" s="2" t="n">
        <v>83.36</v>
      </c>
      <c r="AR267" s="2" t="n">
        <v>83.36</v>
      </c>
      <c r="AS267" s="2" t="n">
        <v>83.36</v>
      </c>
      <c r="AT267" s="2" t="n">
        <v>83.36</v>
      </c>
      <c r="AU267" s="2" t="n">
        <v>83.36</v>
      </c>
      <c r="AV267" s="2" t="n">
        <v>94.04000000000001</v>
      </c>
      <c r="AW267" s="2" t="n">
        <v>94.04000000000001</v>
      </c>
      <c r="AX267" s="2" t="n">
        <v>84.78</v>
      </c>
      <c r="AY267" s="2" t="n">
        <v>94.04000000000001</v>
      </c>
      <c r="AZ267" s="2" t="n">
        <v>94.04000000000001</v>
      </c>
      <c r="BA267" s="2" t="n">
        <v>94.04000000000001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  <c r="EQ267" s="2" t="n">
        <v>100</v>
      </c>
      <c r="ER267" s="2" t="n">
        <v>100</v>
      </c>
      <c r="ES267" s="2" t="n">
        <v>100</v>
      </c>
      <c r="ET267" s="2" t="n">
        <v>100</v>
      </c>
      <c r="EU267" s="2" t="n">
        <v>100</v>
      </c>
      <c r="EV267" s="2" t="n">
        <v>100</v>
      </c>
      <c r="EW267" s="2" t="n">
        <v>100</v>
      </c>
      <c r="EX267" s="2" t="n">
        <v>100</v>
      </c>
      <c r="EY267" s="2" t="n">
        <v>100</v>
      </c>
      <c r="EZ267" s="2" t="n">
        <v>100</v>
      </c>
      <c r="FA267" s="2" t="n">
        <v>100</v>
      </c>
      <c r="FB267" s="2" t="n">
        <v>100</v>
      </c>
      <c r="FC267" s="2" t="n">
        <v>100</v>
      </c>
      <c r="FD267" s="2" t="n">
        <v>100</v>
      </c>
      <c r="FE267" s="2" t="n">
        <v>100</v>
      </c>
      <c r="FF267" s="2" t="n">
        <v>100</v>
      </c>
      <c r="FG267" s="2" t="n">
        <v>100</v>
      </c>
      <c r="FH267" s="2" t="n">
        <v>100</v>
      </c>
      <c r="FI267" s="2" t="n">
        <v>100</v>
      </c>
      <c r="FJ267" s="2" t="n">
        <v>100</v>
      </c>
      <c r="FK267" s="2" t="n">
        <v>100</v>
      </c>
      <c r="FL267" s="2" t="n">
        <v>100</v>
      </c>
      <c r="FM267" s="2" t="n">
        <v>100</v>
      </c>
      <c r="FN267" s="2" t="n">
        <v>100</v>
      </c>
      <c r="FO267" s="2" t="n">
        <v>100</v>
      </c>
      <c r="FP267" s="2" t="n">
        <v>100</v>
      </c>
      <c r="FQ267" s="2" t="n">
        <v>100</v>
      </c>
    </row>
    <row r="268">
      <c r="A268" s="2" t="n">
        <v>4</v>
      </c>
      <c r="B268" s="2" t="inlineStr">
        <is>
          <t>13.01.03.04</t>
        </is>
      </c>
      <c r="C268" s="2" t="inlineStr">
        <is>
          <t>Armadura Ca-50 adquirido cortado e dobrado, montagem e posicionamento no canteiro</t>
        </is>
      </c>
      <c r="D268" s="2" t="inlineStr">
        <is>
          <t>21/10/2024</t>
        </is>
      </c>
      <c r="E268" s="2" t="inlineStr">
        <is>
          <t>28/11/2025</t>
        </is>
      </c>
      <c r="F268" s="2" t="n">
        <v>18831.78945</v>
      </c>
      <c r="G268" s="2" t="n">
        <v>0</v>
      </c>
      <c r="H268" s="2" t="n">
        <v>18831.78945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2.51</v>
      </c>
      <c r="P268" s="2" t="n">
        <v>2.51</v>
      </c>
      <c r="Q268" s="2" t="n">
        <v>0</v>
      </c>
      <c r="R268" s="2" t="n">
        <v>20.71</v>
      </c>
      <c r="S268" s="2" t="n">
        <v>20.71</v>
      </c>
      <c r="T268" s="2" t="n">
        <v>0</v>
      </c>
      <c r="U268" s="2" t="n">
        <v>65.02</v>
      </c>
      <c r="V268" s="2" t="n">
        <v>65.02</v>
      </c>
      <c r="W268" s="2" t="n">
        <v>0</v>
      </c>
      <c r="X268" s="2" t="n">
        <v>75.52</v>
      </c>
      <c r="Y268" s="2" t="n">
        <v>75.52</v>
      </c>
      <c r="Z268" s="2" t="n">
        <v>0</v>
      </c>
      <c r="AA268" s="2" t="n">
        <v>82.65000000000001</v>
      </c>
      <c r="AB268" s="2" t="n">
        <v>82.65000000000001</v>
      </c>
      <c r="AC268" s="2" t="n">
        <v>0</v>
      </c>
      <c r="AD268" s="2" t="n">
        <v>83.36</v>
      </c>
      <c r="AE268" s="2" t="n">
        <v>83.36</v>
      </c>
      <c r="AF268" s="2" t="n">
        <v>0</v>
      </c>
      <c r="AG268" s="2" t="n">
        <v>83.36</v>
      </c>
      <c r="AH268" s="2" t="n">
        <v>83.36</v>
      </c>
      <c r="AI268" s="2" t="n">
        <v>83.36</v>
      </c>
      <c r="AJ268" s="2" t="n">
        <v>83.36</v>
      </c>
      <c r="AK268" s="2" t="n">
        <v>83.36</v>
      </c>
      <c r="AL268" s="2" t="n">
        <v>83.36</v>
      </c>
      <c r="AM268" s="2" t="n">
        <v>83.36</v>
      </c>
      <c r="AN268" s="2" t="n">
        <v>83.36</v>
      </c>
      <c r="AO268" s="2" t="n">
        <v>83.36</v>
      </c>
      <c r="AP268" s="2" t="n">
        <v>83.36</v>
      </c>
      <c r="AQ268" s="2" t="n">
        <v>83.36</v>
      </c>
      <c r="AR268" s="2" t="n">
        <v>83.36</v>
      </c>
      <c r="AS268" s="2" t="n">
        <v>83.36</v>
      </c>
      <c r="AT268" s="2" t="n">
        <v>83.36</v>
      </c>
      <c r="AU268" s="2" t="n">
        <v>83.36</v>
      </c>
      <c r="AV268" s="2" t="n">
        <v>94.04000000000001</v>
      </c>
      <c r="AW268" s="2" t="n">
        <v>94.04000000000001</v>
      </c>
      <c r="AX268" s="2" t="n">
        <v>84.78</v>
      </c>
      <c r="AY268" s="2" t="n">
        <v>94.04000000000001</v>
      </c>
      <c r="AZ268" s="2" t="n">
        <v>94.04000000000001</v>
      </c>
      <c r="BA268" s="2" t="n">
        <v>94.04000000000001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  <c r="EQ268" s="2" t="n">
        <v>100</v>
      </c>
      <c r="ER268" s="2" t="n">
        <v>100</v>
      </c>
      <c r="ES268" s="2" t="n">
        <v>100</v>
      </c>
      <c r="ET268" s="2" t="n">
        <v>100</v>
      </c>
      <c r="EU268" s="2" t="n">
        <v>100</v>
      </c>
      <c r="EV268" s="2" t="n">
        <v>100</v>
      </c>
      <c r="EW268" s="2" t="n">
        <v>100</v>
      </c>
      <c r="EX268" s="2" t="n">
        <v>100</v>
      </c>
      <c r="EY268" s="2" t="n">
        <v>100</v>
      </c>
      <c r="EZ268" s="2" t="n">
        <v>100</v>
      </c>
      <c r="FA268" s="2" t="n">
        <v>100</v>
      </c>
      <c r="FB268" s="2" t="n">
        <v>100</v>
      </c>
      <c r="FC268" s="2" t="n">
        <v>100</v>
      </c>
      <c r="FD268" s="2" t="n">
        <v>100</v>
      </c>
      <c r="FE268" s="2" t="n">
        <v>100</v>
      </c>
      <c r="FF268" s="2" t="n">
        <v>100</v>
      </c>
      <c r="FG268" s="2" t="n">
        <v>100</v>
      </c>
      <c r="FH268" s="2" t="n">
        <v>100</v>
      </c>
      <c r="FI268" s="2" t="n">
        <v>100</v>
      </c>
      <c r="FJ268" s="2" t="n">
        <v>100</v>
      </c>
      <c r="FK268" s="2" t="n">
        <v>100</v>
      </c>
      <c r="FL268" s="2" t="n">
        <v>100</v>
      </c>
      <c r="FM268" s="2" t="n">
        <v>100</v>
      </c>
      <c r="FN268" s="2" t="n">
        <v>100</v>
      </c>
      <c r="FO268" s="2" t="n">
        <v>100</v>
      </c>
      <c r="FP268" s="2" t="n">
        <v>100</v>
      </c>
      <c r="FQ268" s="2" t="n">
        <v>100</v>
      </c>
    </row>
    <row r="269">
      <c r="A269" s="2" t="n">
        <v>4</v>
      </c>
      <c r="B269" s="2" t="inlineStr">
        <is>
          <t>13.01.03.05</t>
        </is>
      </c>
      <c r="C269" s="2" t="inlineStr">
        <is>
          <t>Concreto bombeado Fck=25Mpa para infraestrutura</t>
        </is>
      </c>
      <c r="D269" s="2" t="inlineStr">
        <is>
          <t>21/10/2024</t>
        </is>
      </c>
      <c r="E269" s="2" t="inlineStr">
        <is>
          <t>28/11/2025</t>
        </is>
      </c>
      <c r="F269" s="2" t="n">
        <v>40592.85187562789</v>
      </c>
      <c r="G269" s="2" t="n">
        <v>0</v>
      </c>
      <c r="H269" s="2" t="n">
        <v>40592.85187562789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2.51</v>
      </c>
      <c r="P269" s="2" t="n">
        <v>2.51</v>
      </c>
      <c r="Q269" s="2" t="n">
        <v>0</v>
      </c>
      <c r="R269" s="2" t="n">
        <v>20.71</v>
      </c>
      <c r="S269" s="2" t="n">
        <v>20.71</v>
      </c>
      <c r="T269" s="2" t="n">
        <v>0</v>
      </c>
      <c r="U269" s="2" t="n">
        <v>65.02</v>
      </c>
      <c r="V269" s="2" t="n">
        <v>65.02</v>
      </c>
      <c r="W269" s="2" t="n">
        <v>0</v>
      </c>
      <c r="X269" s="2" t="n">
        <v>75.52</v>
      </c>
      <c r="Y269" s="2" t="n">
        <v>75.52</v>
      </c>
      <c r="Z269" s="2" t="n">
        <v>0</v>
      </c>
      <c r="AA269" s="2" t="n">
        <v>82.65000000000001</v>
      </c>
      <c r="AB269" s="2" t="n">
        <v>82.65000000000001</v>
      </c>
      <c r="AC269" s="2" t="n">
        <v>0</v>
      </c>
      <c r="AD269" s="2" t="n">
        <v>83.36</v>
      </c>
      <c r="AE269" s="2" t="n">
        <v>83.36</v>
      </c>
      <c r="AF269" s="2" t="n">
        <v>0</v>
      </c>
      <c r="AG269" s="2" t="n">
        <v>83.36</v>
      </c>
      <c r="AH269" s="2" t="n">
        <v>83.36</v>
      </c>
      <c r="AI269" s="2" t="n">
        <v>83.36</v>
      </c>
      <c r="AJ269" s="2" t="n">
        <v>83.36</v>
      </c>
      <c r="AK269" s="2" t="n">
        <v>83.36</v>
      </c>
      <c r="AL269" s="2" t="n">
        <v>83.36</v>
      </c>
      <c r="AM269" s="2" t="n">
        <v>83.36</v>
      </c>
      <c r="AN269" s="2" t="n">
        <v>83.36</v>
      </c>
      <c r="AO269" s="2" t="n">
        <v>83.36</v>
      </c>
      <c r="AP269" s="2" t="n">
        <v>83.36</v>
      </c>
      <c r="AQ269" s="2" t="n">
        <v>83.36</v>
      </c>
      <c r="AR269" s="2" t="n">
        <v>83.36</v>
      </c>
      <c r="AS269" s="2" t="n">
        <v>83.36</v>
      </c>
      <c r="AT269" s="2" t="n">
        <v>83.36</v>
      </c>
      <c r="AU269" s="2" t="n">
        <v>83.36</v>
      </c>
      <c r="AV269" s="2" t="n">
        <v>94.04000000000001</v>
      </c>
      <c r="AW269" s="2" t="n">
        <v>94.04000000000001</v>
      </c>
      <c r="AX269" s="2" t="n">
        <v>84.78</v>
      </c>
      <c r="AY269" s="2" t="n">
        <v>94.04000000000001</v>
      </c>
      <c r="AZ269" s="2" t="n">
        <v>94.04000000000001</v>
      </c>
      <c r="BA269" s="2" t="n">
        <v>94.04000000000001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  <c r="EQ269" s="2" t="n">
        <v>100</v>
      </c>
      <c r="ER269" s="2" t="n">
        <v>100</v>
      </c>
      <c r="ES269" s="2" t="n">
        <v>100</v>
      </c>
      <c r="ET269" s="2" t="n">
        <v>100</v>
      </c>
      <c r="EU269" s="2" t="n">
        <v>100</v>
      </c>
      <c r="EV269" s="2" t="n">
        <v>100</v>
      </c>
      <c r="EW269" s="2" t="n">
        <v>100</v>
      </c>
      <c r="EX269" s="2" t="n">
        <v>100</v>
      </c>
      <c r="EY269" s="2" t="n">
        <v>100</v>
      </c>
      <c r="EZ269" s="2" t="n">
        <v>100</v>
      </c>
      <c r="FA269" s="2" t="n">
        <v>100</v>
      </c>
      <c r="FB269" s="2" t="n">
        <v>100</v>
      </c>
      <c r="FC269" s="2" t="n">
        <v>100</v>
      </c>
      <c r="FD269" s="2" t="n">
        <v>100</v>
      </c>
      <c r="FE269" s="2" t="n">
        <v>100</v>
      </c>
      <c r="FF269" s="2" t="n">
        <v>100</v>
      </c>
      <c r="FG269" s="2" t="n">
        <v>100</v>
      </c>
      <c r="FH269" s="2" t="n">
        <v>100</v>
      </c>
      <c r="FI269" s="2" t="n">
        <v>100</v>
      </c>
      <c r="FJ269" s="2" t="n">
        <v>100</v>
      </c>
      <c r="FK269" s="2" t="n">
        <v>100</v>
      </c>
      <c r="FL269" s="2" t="n">
        <v>100</v>
      </c>
      <c r="FM269" s="2" t="n">
        <v>100</v>
      </c>
      <c r="FN269" s="2" t="n">
        <v>100</v>
      </c>
      <c r="FO269" s="2" t="n">
        <v>100</v>
      </c>
      <c r="FP269" s="2" t="n">
        <v>100</v>
      </c>
      <c r="FQ269" s="2" t="n">
        <v>100</v>
      </c>
    </row>
    <row r="270">
      <c r="A270" s="2" t="n">
        <v>3</v>
      </c>
      <c r="B270" s="2" t="inlineStr">
        <is>
          <t>13.01.04</t>
        </is>
      </c>
      <c r="C270" s="2" t="inlineStr">
        <is>
          <t>Fechamento de cortinas entre estacas</t>
        </is>
      </c>
      <c r="D270" s="2" t="inlineStr">
        <is>
          <t>21/10/2024</t>
        </is>
      </c>
      <c r="E270" s="2" t="inlineStr">
        <is>
          <t>28/11/2025</t>
        </is>
      </c>
      <c r="F270" s="2" t="n">
        <v>176385.6691141302</v>
      </c>
      <c r="G270" s="2" t="n">
        <v>0</v>
      </c>
      <c r="H270" s="2" t="n">
        <v>176385.6691141302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2.51</v>
      </c>
      <c r="P270" s="2" t="n">
        <v>2.51</v>
      </c>
      <c r="Q270" s="2" t="n">
        <v>0</v>
      </c>
      <c r="R270" s="2" t="n">
        <v>20.71</v>
      </c>
      <c r="S270" s="2" t="n">
        <v>20.71</v>
      </c>
      <c r="T270" s="2" t="n">
        <v>0</v>
      </c>
      <c r="U270" s="2" t="n">
        <v>65.02</v>
      </c>
      <c r="V270" s="2" t="n">
        <v>65.02</v>
      </c>
      <c r="W270" s="2" t="n">
        <v>0</v>
      </c>
      <c r="X270" s="2" t="n">
        <v>75.52</v>
      </c>
      <c r="Y270" s="2" t="n">
        <v>75.52</v>
      </c>
      <c r="Z270" s="2" t="n">
        <v>0</v>
      </c>
      <c r="AA270" s="2" t="n">
        <v>82.65000000000001</v>
      </c>
      <c r="AB270" s="2" t="n">
        <v>82.65000000000001</v>
      </c>
      <c r="AC270" s="2" t="n">
        <v>0</v>
      </c>
      <c r="AD270" s="2" t="n">
        <v>83.36</v>
      </c>
      <c r="AE270" s="2" t="n">
        <v>83.36</v>
      </c>
      <c r="AF270" s="2" t="n">
        <v>0</v>
      </c>
      <c r="AG270" s="2" t="n">
        <v>83.36</v>
      </c>
      <c r="AH270" s="2" t="n">
        <v>83.36</v>
      </c>
      <c r="AI270" s="2" t="n">
        <v>83.36</v>
      </c>
      <c r="AJ270" s="2" t="n">
        <v>83.36</v>
      </c>
      <c r="AK270" s="2" t="n">
        <v>83.36</v>
      </c>
      <c r="AL270" s="2" t="n">
        <v>83.36</v>
      </c>
      <c r="AM270" s="2" t="n">
        <v>83.36</v>
      </c>
      <c r="AN270" s="2" t="n">
        <v>83.36</v>
      </c>
      <c r="AO270" s="2" t="n">
        <v>83.36</v>
      </c>
      <c r="AP270" s="2" t="n">
        <v>83.36</v>
      </c>
      <c r="AQ270" s="2" t="n">
        <v>83.36</v>
      </c>
      <c r="AR270" s="2" t="n">
        <v>83.36</v>
      </c>
      <c r="AS270" s="2" t="n">
        <v>83.36</v>
      </c>
      <c r="AT270" s="2" t="n">
        <v>83.36</v>
      </c>
      <c r="AU270" s="2" t="n">
        <v>83.36</v>
      </c>
      <c r="AV270" s="2" t="n">
        <v>94.04000000000001</v>
      </c>
      <c r="AW270" s="2" t="n">
        <v>94.04000000000001</v>
      </c>
      <c r="AX270" s="2" t="n">
        <v>84.78</v>
      </c>
      <c r="AY270" s="2" t="n">
        <v>94.04000000000001</v>
      </c>
      <c r="AZ270" s="2" t="n">
        <v>94.04000000000001</v>
      </c>
      <c r="BA270" s="2" t="n">
        <v>94.04000000000001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  <c r="EQ270" s="2" t="n">
        <v>100</v>
      </c>
      <c r="ER270" s="2" t="n">
        <v>100</v>
      </c>
      <c r="ES270" s="2" t="n">
        <v>100</v>
      </c>
      <c r="ET270" s="2" t="n">
        <v>100</v>
      </c>
      <c r="EU270" s="2" t="n">
        <v>100</v>
      </c>
      <c r="EV270" s="2" t="n">
        <v>100</v>
      </c>
      <c r="EW270" s="2" t="n">
        <v>100</v>
      </c>
      <c r="EX270" s="2" t="n">
        <v>100</v>
      </c>
      <c r="EY270" s="2" t="n">
        <v>100</v>
      </c>
      <c r="EZ270" s="2" t="n">
        <v>100</v>
      </c>
      <c r="FA270" s="2" t="n">
        <v>100</v>
      </c>
      <c r="FB270" s="2" t="n">
        <v>100</v>
      </c>
      <c r="FC270" s="2" t="n">
        <v>100</v>
      </c>
      <c r="FD270" s="2" t="n">
        <v>100</v>
      </c>
      <c r="FE270" s="2" t="n">
        <v>100</v>
      </c>
      <c r="FF270" s="2" t="n">
        <v>100</v>
      </c>
      <c r="FG270" s="2" t="n">
        <v>100</v>
      </c>
      <c r="FH270" s="2" t="n">
        <v>100</v>
      </c>
      <c r="FI270" s="2" t="n">
        <v>100</v>
      </c>
      <c r="FJ270" s="2" t="n">
        <v>100</v>
      </c>
      <c r="FK270" s="2" t="n">
        <v>100</v>
      </c>
      <c r="FL270" s="2" t="n">
        <v>100</v>
      </c>
      <c r="FM270" s="2" t="n">
        <v>100</v>
      </c>
      <c r="FN270" s="2" t="n">
        <v>100</v>
      </c>
      <c r="FO270" s="2" t="n">
        <v>100</v>
      </c>
      <c r="FP270" s="2" t="n">
        <v>100</v>
      </c>
      <c r="FQ270" s="2" t="n">
        <v>100</v>
      </c>
    </row>
    <row r="271">
      <c r="A271" s="2" t="n">
        <v>4</v>
      </c>
      <c r="B271" s="2" t="inlineStr">
        <is>
          <t>13.01.04.01</t>
        </is>
      </c>
      <c r="C271" s="2" t="inlineStr">
        <is>
          <t>Formas para superestrutura</t>
        </is>
      </c>
      <c r="D271" s="2" t="inlineStr">
        <is>
          <t>21/10/2024</t>
        </is>
      </c>
      <c r="E271" s="2" t="inlineStr">
        <is>
          <t>28/11/2025</t>
        </is>
      </c>
      <c r="F271" s="2" t="n">
        <v>47871.564</v>
      </c>
      <c r="G271" s="2" t="n">
        <v>0</v>
      </c>
      <c r="H271" s="2" t="n">
        <v>47871.564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2.51</v>
      </c>
      <c r="P271" s="2" t="n">
        <v>2.51</v>
      </c>
      <c r="Q271" s="2" t="n">
        <v>0</v>
      </c>
      <c r="R271" s="2" t="n">
        <v>20.71</v>
      </c>
      <c r="S271" s="2" t="n">
        <v>20.71</v>
      </c>
      <c r="T271" s="2" t="n">
        <v>0</v>
      </c>
      <c r="U271" s="2" t="n">
        <v>65.02</v>
      </c>
      <c r="V271" s="2" t="n">
        <v>65.02</v>
      </c>
      <c r="W271" s="2" t="n">
        <v>0</v>
      </c>
      <c r="X271" s="2" t="n">
        <v>75.52</v>
      </c>
      <c r="Y271" s="2" t="n">
        <v>75.52</v>
      </c>
      <c r="Z271" s="2" t="n">
        <v>0</v>
      </c>
      <c r="AA271" s="2" t="n">
        <v>82.65000000000001</v>
      </c>
      <c r="AB271" s="2" t="n">
        <v>82.65000000000001</v>
      </c>
      <c r="AC271" s="2" t="n">
        <v>0</v>
      </c>
      <c r="AD271" s="2" t="n">
        <v>83.36</v>
      </c>
      <c r="AE271" s="2" t="n">
        <v>83.36</v>
      </c>
      <c r="AF271" s="2" t="n">
        <v>0</v>
      </c>
      <c r="AG271" s="2" t="n">
        <v>83.36</v>
      </c>
      <c r="AH271" s="2" t="n">
        <v>83.36</v>
      </c>
      <c r="AI271" s="2" t="n">
        <v>83.36</v>
      </c>
      <c r="AJ271" s="2" t="n">
        <v>83.36</v>
      </c>
      <c r="AK271" s="2" t="n">
        <v>83.36</v>
      </c>
      <c r="AL271" s="2" t="n">
        <v>83.36</v>
      </c>
      <c r="AM271" s="2" t="n">
        <v>83.36</v>
      </c>
      <c r="AN271" s="2" t="n">
        <v>83.36</v>
      </c>
      <c r="AO271" s="2" t="n">
        <v>83.36</v>
      </c>
      <c r="AP271" s="2" t="n">
        <v>83.36</v>
      </c>
      <c r="AQ271" s="2" t="n">
        <v>83.36</v>
      </c>
      <c r="AR271" s="2" t="n">
        <v>83.36</v>
      </c>
      <c r="AS271" s="2" t="n">
        <v>83.36</v>
      </c>
      <c r="AT271" s="2" t="n">
        <v>83.36</v>
      </c>
      <c r="AU271" s="2" t="n">
        <v>83.36</v>
      </c>
      <c r="AV271" s="2" t="n">
        <v>94.04000000000001</v>
      </c>
      <c r="AW271" s="2" t="n">
        <v>94.04000000000001</v>
      </c>
      <c r="AX271" s="2" t="n">
        <v>84.78</v>
      </c>
      <c r="AY271" s="2" t="n">
        <v>94.04000000000001</v>
      </c>
      <c r="AZ271" s="2" t="n">
        <v>94.04000000000001</v>
      </c>
      <c r="BA271" s="2" t="n">
        <v>94.04000000000001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  <c r="EQ271" s="2" t="n">
        <v>100</v>
      </c>
      <c r="ER271" s="2" t="n">
        <v>100</v>
      </c>
      <c r="ES271" s="2" t="n">
        <v>100</v>
      </c>
      <c r="ET271" s="2" t="n">
        <v>100</v>
      </c>
      <c r="EU271" s="2" t="n">
        <v>100</v>
      </c>
      <c r="EV271" s="2" t="n">
        <v>100</v>
      </c>
      <c r="EW271" s="2" t="n">
        <v>100</v>
      </c>
      <c r="EX271" s="2" t="n">
        <v>100</v>
      </c>
      <c r="EY271" s="2" t="n">
        <v>100</v>
      </c>
      <c r="EZ271" s="2" t="n">
        <v>100</v>
      </c>
      <c r="FA271" s="2" t="n">
        <v>100</v>
      </c>
      <c r="FB271" s="2" t="n">
        <v>100</v>
      </c>
      <c r="FC271" s="2" t="n">
        <v>100</v>
      </c>
      <c r="FD271" s="2" t="n">
        <v>100</v>
      </c>
      <c r="FE271" s="2" t="n">
        <v>100</v>
      </c>
      <c r="FF271" s="2" t="n">
        <v>100</v>
      </c>
      <c r="FG271" s="2" t="n">
        <v>100</v>
      </c>
      <c r="FH271" s="2" t="n">
        <v>100</v>
      </c>
      <c r="FI271" s="2" t="n">
        <v>100</v>
      </c>
      <c r="FJ271" s="2" t="n">
        <v>100</v>
      </c>
      <c r="FK271" s="2" t="n">
        <v>100</v>
      </c>
      <c r="FL271" s="2" t="n">
        <v>100</v>
      </c>
      <c r="FM271" s="2" t="n">
        <v>100</v>
      </c>
      <c r="FN271" s="2" t="n">
        <v>100</v>
      </c>
      <c r="FO271" s="2" t="n">
        <v>100</v>
      </c>
      <c r="FP271" s="2" t="n">
        <v>100</v>
      </c>
      <c r="FQ271" s="2" t="n">
        <v>100</v>
      </c>
    </row>
    <row r="272">
      <c r="A272" s="2" t="n">
        <v>4</v>
      </c>
      <c r="B272" s="2" t="inlineStr">
        <is>
          <t>13.01.04.02</t>
        </is>
      </c>
      <c r="C272" s="2" t="inlineStr">
        <is>
          <t>Armadura Ca-50 adquirido cortado e dobrado, montagem e posicionamento no canteiro</t>
        </is>
      </c>
      <c r="D272" s="2" t="inlineStr">
        <is>
          <t>21/10/2024</t>
        </is>
      </c>
      <c r="E272" s="2" t="inlineStr">
        <is>
          <t>28/11/2025</t>
        </is>
      </c>
      <c r="F272" s="2" t="n">
        <v>81309.489525</v>
      </c>
      <c r="G272" s="2" t="n">
        <v>0</v>
      </c>
      <c r="H272" s="2" t="n">
        <v>81309.489525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2.51</v>
      </c>
      <c r="P272" s="2" t="n">
        <v>2.51</v>
      </c>
      <c r="Q272" s="2" t="n">
        <v>0</v>
      </c>
      <c r="R272" s="2" t="n">
        <v>20.71</v>
      </c>
      <c r="S272" s="2" t="n">
        <v>20.71</v>
      </c>
      <c r="T272" s="2" t="n">
        <v>0</v>
      </c>
      <c r="U272" s="2" t="n">
        <v>65.02</v>
      </c>
      <c r="V272" s="2" t="n">
        <v>65.02</v>
      </c>
      <c r="W272" s="2" t="n">
        <v>0</v>
      </c>
      <c r="X272" s="2" t="n">
        <v>75.52</v>
      </c>
      <c r="Y272" s="2" t="n">
        <v>75.52</v>
      </c>
      <c r="Z272" s="2" t="n">
        <v>0</v>
      </c>
      <c r="AA272" s="2" t="n">
        <v>82.65000000000001</v>
      </c>
      <c r="AB272" s="2" t="n">
        <v>82.65000000000001</v>
      </c>
      <c r="AC272" s="2" t="n">
        <v>0</v>
      </c>
      <c r="AD272" s="2" t="n">
        <v>83.36</v>
      </c>
      <c r="AE272" s="2" t="n">
        <v>83.36</v>
      </c>
      <c r="AF272" s="2" t="n">
        <v>0</v>
      </c>
      <c r="AG272" s="2" t="n">
        <v>83.36</v>
      </c>
      <c r="AH272" s="2" t="n">
        <v>83.36</v>
      </c>
      <c r="AI272" s="2" t="n">
        <v>83.36</v>
      </c>
      <c r="AJ272" s="2" t="n">
        <v>83.36</v>
      </c>
      <c r="AK272" s="2" t="n">
        <v>83.36</v>
      </c>
      <c r="AL272" s="2" t="n">
        <v>83.36</v>
      </c>
      <c r="AM272" s="2" t="n">
        <v>83.36</v>
      </c>
      <c r="AN272" s="2" t="n">
        <v>83.36</v>
      </c>
      <c r="AO272" s="2" t="n">
        <v>83.36</v>
      </c>
      <c r="AP272" s="2" t="n">
        <v>83.36</v>
      </c>
      <c r="AQ272" s="2" t="n">
        <v>83.36</v>
      </c>
      <c r="AR272" s="2" t="n">
        <v>83.36</v>
      </c>
      <c r="AS272" s="2" t="n">
        <v>83.36</v>
      </c>
      <c r="AT272" s="2" t="n">
        <v>83.36</v>
      </c>
      <c r="AU272" s="2" t="n">
        <v>83.36</v>
      </c>
      <c r="AV272" s="2" t="n">
        <v>94.04000000000001</v>
      </c>
      <c r="AW272" s="2" t="n">
        <v>94.04000000000001</v>
      </c>
      <c r="AX272" s="2" t="n">
        <v>84.78</v>
      </c>
      <c r="AY272" s="2" t="n">
        <v>94.04000000000001</v>
      </c>
      <c r="AZ272" s="2" t="n">
        <v>94.04000000000001</v>
      </c>
      <c r="BA272" s="2" t="n">
        <v>94.04000000000001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  <c r="EQ272" s="2" t="n">
        <v>100</v>
      </c>
      <c r="ER272" s="2" t="n">
        <v>100</v>
      </c>
      <c r="ES272" s="2" t="n">
        <v>100</v>
      </c>
      <c r="ET272" s="2" t="n">
        <v>100</v>
      </c>
      <c r="EU272" s="2" t="n">
        <v>100</v>
      </c>
      <c r="EV272" s="2" t="n">
        <v>100</v>
      </c>
      <c r="EW272" s="2" t="n">
        <v>100</v>
      </c>
      <c r="EX272" s="2" t="n">
        <v>100</v>
      </c>
      <c r="EY272" s="2" t="n">
        <v>100</v>
      </c>
      <c r="EZ272" s="2" t="n">
        <v>100</v>
      </c>
      <c r="FA272" s="2" t="n">
        <v>100</v>
      </c>
      <c r="FB272" s="2" t="n">
        <v>100</v>
      </c>
      <c r="FC272" s="2" t="n">
        <v>100</v>
      </c>
      <c r="FD272" s="2" t="n">
        <v>100</v>
      </c>
      <c r="FE272" s="2" t="n">
        <v>100</v>
      </c>
      <c r="FF272" s="2" t="n">
        <v>100</v>
      </c>
      <c r="FG272" s="2" t="n">
        <v>100</v>
      </c>
      <c r="FH272" s="2" t="n">
        <v>100</v>
      </c>
      <c r="FI272" s="2" t="n">
        <v>100</v>
      </c>
      <c r="FJ272" s="2" t="n">
        <v>100</v>
      </c>
      <c r="FK272" s="2" t="n">
        <v>100</v>
      </c>
      <c r="FL272" s="2" t="n">
        <v>100</v>
      </c>
      <c r="FM272" s="2" t="n">
        <v>100</v>
      </c>
      <c r="FN272" s="2" t="n">
        <v>100</v>
      </c>
      <c r="FO272" s="2" t="n">
        <v>100</v>
      </c>
      <c r="FP272" s="2" t="n">
        <v>100</v>
      </c>
      <c r="FQ272" s="2" t="n">
        <v>100</v>
      </c>
    </row>
    <row r="273">
      <c r="A273" s="2" t="n">
        <v>4</v>
      </c>
      <c r="B273" s="2" t="inlineStr">
        <is>
          <t>13.01.04.03</t>
        </is>
      </c>
      <c r="C273" s="2" t="inlineStr">
        <is>
          <t>Concreto bombeado Fck=25Mpa para infraestrutura</t>
        </is>
      </c>
      <c r="D273" s="2" t="inlineStr">
        <is>
          <t>21/10/2024</t>
        </is>
      </c>
      <c r="E273" s="2" t="inlineStr">
        <is>
          <t>28/11/2025</t>
        </is>
      </c>
      <c r="F273" s="2" t="n">
        <v>47204.61558913017</v>
      </c>
      <c r="G273" s="2" t="n">
        <v>0</v>
      </c>
      <c r="H273" s="2" t="n">
        <v>47204.61558913017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2.51</v>
      </c>
      <c r="P273" s="2" t="n">
        <v>2.51</v>
      </c>
      <c r="Q273" s="2" t="n">
        <v>0</v>
      </c>
      <c r="R273" s="2" t="n">
        <v>20.71</v>
      </c>
      <c r="S273" s="2" t="n">
        <v>20.71</v>
      </c>
      <c r="T273" s="2" t="n">
        <v>0</v>
      </c>
      <c r="U273" s="2" t="n">
        <v>65.02</v>
      </c>
      <c r="V273" s="2" t="n">
        <v>65.02</v>
      </c>
      <c r="W273" s="2" t="n">
        <v>0</v>
      </c>
      <c r="X273" s="2" t="n">
        <v>75.52</v>
      </c>
      <c r="Y273" s="2" t="n">
        <v>75.52</v>
      </c>
      <c r="Z273" s="2" t="n">
        <v>0</v>
      </c>
      <c r="AA273" s="2" t="n">
        <v>82.65000000000001</v>
      </c>
      <c r="AB273" s="2" t="n">
        <v>82.65000000000001</v>
      </c>
      <c r="AC273" s="2" t="n">
        <v>0</v>
      </c>
      <c r="AD273" s="2" t="n">
        <v>83.36</v>
      </c>
      <c r="AE273" s="2" t="n">
        <v>83.36</v>
      </c>
      <c r="AF273" s="2" t="n">
        <v>0</v>
      </c>
      <c r="AG273" s="2" t="n">
        <v>83.36</v>
      </c>
      <c r="AH273" s="2" t="n">
        <v>83.36</v>
      </c>
      <c r="AI273" s="2" t="n">
        <v>83.36</v>
      </c>
      <c r="AJ273" s="2" t="n">
        <v>83.36</v>
      </c>
      <c r="AK273" s="2" t="n">
        <v>83.36</v>
      </c>
      <c r="AL273" s="2" t="n">
        <v>83.36</v>
      </c>
      <c r="AM273" s="2" t="n">
        <v>83.36</v>
      </c>
      <c r="AN273" s="2" t="n">
        <v>83.36</v>
      </c>
      <c r="AO273" s="2" t="n">
        <v>83.36</v>
      </c>
      <c r="AP273" s="2" t="n">
        <v>83.36</v>
      </c>
      <c r="AQ273" s="2" t="n">
        <v>83.36</v>
      </c>
      <c r="AR273" s="2" t="n">
        <v>83.36</v>
      </c>
      <c r="AS273" s="2" t="n">
        <v>83.36</v>
      </c>
      <c r="AT273" s="2" t="n">
        <v>83.36</v>
      </c>
      <c r="AU273" s="2" t="n">
        <v>83.36</v>
      </c>
      <c r="AV273" s="2" t="n">
        <v>94.04000000000001</v>
      </c>
      <c r="AW273" s="2" t="n">
        <v>94.04000000000001</v>
      </c>
      <c r="AX273" s="2" t="n">
        <v>84.78</v>
      </c>
      <c r="AY273" s="2" t="n">
        <v>94.04000000000001</v>
      </c>
      <c r="AZ273" s="2" t="n">
        <v>94.04000000000001</v>
      </c>
      <c r="BA273" s="2" t="n">
        <v>94.04000000000001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  <c r="EQ273" s="2" t="n">
        <v>100</v>
      </c>
      <c r="ER273" s="2" t="n">
        <v>100</v>
      </c>
      <c r="ES273" s="2" t="n">
        <v>100</v>
      </c>
      <c r="ET273" s="2" t="n">
        <v>100</v>
      </c>
      <c r="EU273" s="2" t="n">
        <v>100</v>
      </c>
      <c r="EV273" s="2" t="n">
        <v>100</v>
      </c>
      <c r="EW273" s="2" t="n">
        <v>100</v>
      </c>
      <c r="EX273" s="2" t="n">
        <v>100</v>
      </c>
      <c r="EY273" s="2" t="n">
        <v>100</v>
      </c>
      <c r="EZ273" s="2" t="n">
        <v>100</v>
      </c>
      <c r="FA273" s="2" t="n">
        <v>100</v>
      </c>
      <c r="FB273" s="2" t="n">
        <v>100</v>
      </c>
      <c r="FC273" s="2" t="n">
        <v>100</v>
      </c>
      <c r="FD273" s="2" t="n">
        <v>100</v>
      </c>
      <c r="FE273" s="2" t="n">
        <v>100</v>
      </c>
      <c r="FF273" s="2" t="n">
        <v>100</v>
      </c>
      <c r="FG273" s="2" t="n">
        <v>100</v>
      </c>
      <c r="FH273" s="2" t="n">
        <v>100</v>
      </c>
      <c r="FI273" s="2" t="n">
        <v>100</v>
      </c>
      <c r="FJ273" s="2" t="n">
        <v>100</v>
      </c>
      <c r="FK273" s="2" t="n">
        <v>100</v>
      </c>
      <c r="FL273" s="2" t="n">
        <v>100</v>
      </c>
      <c r="FM273" s="2" t="n">
        <v>100</v>
      </c>
      <c r="FN273" s="2" t="n">
        <v>100</v>
      </c>
      <c r="FO273" s="2" t="n">
        <v>100</v>
      </c>
      <c r="FP273" s="2" t="n">
        <v>100</v>
      </c>
      <c r="FQ273" s="2" t="n">
        <v>100</v>
      </c>
    </row>
    <row r="274">
      <c r="A274" s="2" t="n">
        <v>3</v>
      </c>
      <c r="B274" s="2" t="inlineStr">
        <is>
          <t>13.01.05</t>
        </is>
      </c>
      <c r="C274" s="2" t="inlineStr">
        <is>
          <t>Tratamento de contenções</t>
        </is>
      </c>
      <c r="D274" s="2" t="inlineStr">
        <is>
          <t>21/10/2024</t>
        </is>
      </c>
      <c r="E274" s="2" t="inlineStr">
        <is>
          <t>28/11/2025</t>
        </is>
      </c>
      <c r="F274" s="2" t="n">
        <v>96906</v>
      </c>
      <c r="G274" s="2" t="n">
        <v>0</v>
      </c>
      <c r="H274" s="2" t="n">
        <v>96906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2.51</v>
      </c>
      <c r="P274" s="2" t="n">
        <v>2.51</v>
      </c>
      <c r="Q274" s="2" t="n">
        <v>0</v>
      </c>
      <c r="R274" s="2" t="n">
        <v>20.71</v>
      </c>
      <c r="S274" s="2" t="n">
        <v>20.71</v>
      </c>
      <c r="T274" s="2" t="n">
        <v>0</v>
      </c>
      <c r="U274" s="2" t="n">
        <v>65.02</v>
      </c>
      <c r="V274" s="2" t="n">
        <v>65.02</v>
      </c>
      <c r="W274" s="2" t="n">
        <v>0</v>
      </c>
      <c r="X274" s="2" t="n">
        <v>75.52</v>
      </c>
      <c r="Y274" s="2" t="n">
        <v>75.52</v>
      </c>
      <c r="Z274" s="2" t="n">
        <v>0</v>
      </c>
      <c r="AA274" s="2" t="n">
        <v>82.65000000000001</v>
      </c>
      <c r="AB274" s="2" t="n">
        <v>82.65000000000001</v>
      </c>
      <c r="AC274" s="2" t="n">
        <v>0</v>
      </c>
      <c r="AD274" s="2" t="n">
        <v>83.36</v>
      </c>
      <c r="AE274" s="2" t="n">
        <v>83.36</v>
      </c>
      <c r="AF274" s="2" t="n">
        <v>0</v>
      </c>
      <c r="AG274" s="2" t="n">
        <v>83.36</v>
      </c>
      <c r="AH274" s="2" t="n">
        <v>83.36</v>
      </c>
      <c r="AI274" s="2" t="n">
        <v>83.36</v>
      </c>
      <c r="AJ274" s="2" t="n">
        <v>83.36</v>
      </c>
      <c r="AK274" s="2" t="n">
        <v>83.36</v>
      </c>
      <c r="AL274" s="2" t="n">
        <v>83.36</v>
      </c>
      <c r="AM274" s="2" t="n">
        <v>83.36</v>
      </c>
      <c r="AN274" s="2" t="n">
        <v>83.36</v>
      </c>
      <c r="AO274" s="2" t="n">
        <v>83.36</v>
      </c>
      <c r="AP274" s="2" t="n">
        <v>83.36</v>
      </c>
      <c r="AQ274" s="2" t="n">
        <v>83.36</v>
      </c>
      <c r="AR274" s="2" t="n">
        <v>83.36</v>
      </c>
      <c r="AS274" s="2" t="n">
        <v>83.36</v>
      </c>
      <c r="AT274" s="2" t="n">
        <v>83.36</v>
      </c>
      <c r="AU274" s="2" t="n">
        <v>83.36</v>
      </c>
      <c r="AV274" s="2" t="n">
        <v>94.04000000000001</v>
      </c>
      <c r="AW274" s="2" t="n">
        <v>94.04000000000001</v>
      </c>
      <c r="AX274" s="2" t="n">
        <v>84.78</v>
      </c>
      <c r="AY274" s="2" t="n">
        <v>94.04000000000001</v>
      </c>
      <c r="AZ274" s="2" t="n">
        <v>94.04000000000001</v>
      </c>
      <c r="BA274" s="2" t="n">
        <v>94.04000000000001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  <c r="EQ274" s="2" t="n">
        <v>100</v>
      </c>
      <c r="ER274" s="2" t="n">
        <v>100</v>
      </c>
      <c r="ES274" s="2" t="n">
        <v>100</v>
      </c>
      <c r="ET274" s="2" t="n">
        <v>100</v>
      </c>
      <c r="EU274" s="2" t="n">
        <v>100</v>
      </c>
      <c r="EV274" s="2" t="n">
        <v>100</v>
      </c>
      <c r="EW274" s="2" t="n">
        <v>100</v>
      </c>
      <c r="EX274" s="2" t="n">
        <v>100</v>
      </c>
      <c r="EY274" s="2" t="n">
        <v>100</v>
      </c>
      <c r="EZ274" s="2" t="n">
        <v>100</v>
      </c>
      <c r="FA274" s="2" t="n">
        <v>100</v>
      </c>
      <c r="FB274" s="2" t="n">
        <v>100</v>
      </c>
      <c r="FC274" s="2" t="n">
        <v>100</v>
      </c>
      <c r="FD274" s="2" t="n">
        <v>100</v>
      </c>
      <c r="FE274" s="2" t="n">
        <v>100</v>
      </c>
      <c r="FF274" s="2" t="n">
        <v>100</v>
      </c>
      <c r="FG274" s="2" t="n">
        <v>100</v>
      </c>
      <c r="FH274" s="2" t="n">
        <v>100</v>
      </c>
      <c r="FI274" s="2" t="n">
        <v>100</v>
      </c>
      <c r="FJ274" s="2" t="n">
        <v>100</v>
      </c>
      <c r="FK274" s="2" t="n">
        <v>100</v>
      </c>
      <c r="FL274" s="2" t="n">
        <v>100</v>
      </c>
      <c r="FM274" s="2" t="n">
        <v>100</v>
      </c>
      <c r="FN274" s="2" t="n">
        <v>100</v>
      </c>
      <c r="FO274" s="2" t="n">
        <v>100</v>
      </c>
      <c r="FP274" s="2" t="n">
        <v>100</v>
      </c>
      <c r="FQ274" s="2" t="n">
        <v>100</v>
      </c>
    </row>
    <row r="275">
      <c r="A275" s="2" t="n">
        <v>4</v>
      </c>
      <c r="B275" s="2" t="inlineStr">
        <is>
          <t>13.01.05.01</t>
        </is>
      </c>
      <c r="C275" s="2" t="inlineStr">
        <is>
          <t>Impermeabilização de contenções</t>
        </is>
      </c>
      <c r="D275" s="2" t="inlineStr">
        <is>
          <t>21/10/2024</t>
        </is>
      </c>
      <c r="E275" s="2" t="inlineStr">
        <is>
          <t>28/11/2025</t>
        </is>
      </c>
      <c r="F275" s="2" t="n">
        <v>48453</v>
      </c>
      <c r="G275" s="2" t="n">
        <v>0</v>
      </c>
      <c r="H275" s="2" t="n">
        <v>48453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2.51</v>
      </c>
      <c r="P275" s="2" t="n">
        <v>2.51</v>
      </c>
      <c r="Q275" s="2" t="n">
        <v>0</v>
      </c>
      <c r="R275" s="2" t="n">
        <v>20.71</v>
      </c>
      <c r="S275" s="2" t="n">
        <v>20.71</v>
      </c>
      <c r="T275" s="2" t="n">
        <v>0</v>
      </c>
      <c r="U275" s="2" t="n">
        <v>65.02</v>
      </c>
      <c r="V275" s="2" t="n">
        <v>65.02</v>
      </c>
      <c r="W275" s="2" t="n">
        <v>0</v>
      </c>
      <c r="X275" s="2" t="n">
        <v>75.52</v>
      </c>
      <c r="Y275" s="2" t="n">
        <v>75.52</v>
      </c>
      <c r="Z275" s="2" t="n">
        <v>0</v>
      </c>
      <c r="AA275" s="2" t="n">
        <v>82.65000000000001</v>
      </c>
      <c r="AB275" s="2" t="n">
        <v>82.65000000000001</v>
      </c>
      <c r="AC275" s="2" t="n">
        <v>0</v>
      </c>
      <c r="AD275" s="2" t="n">
        <v>83.36</v>
      </c>
      <c r="AE275" s="2" t="n">
        <v>83.36</v>
      </c>
      <c r="AF275" s="2" t="n">
        <v>0</v>
      </c>
      <c r="AG275" s="2" t="n">
        <v>83.36</v>
      </c>
      <c r="AH275" s="2" t="n">
        <v>83.36</v>
      </c>
      <c r="AI275" s="2" t="n">
        <v>83.36</v>
      </c>
      <c r="AJ275" s="2" t="n">
        <v>83.36</v>
      </c>
      <c r="AK275" s="2" t="n">
        <v>83.36</v>
      </c>
      <c r="AL275" s="2" t="n">
        <v>83.36</v>
      </c>
      <c r="AM275" s="2" t="n">
        <v>83.36</v>
      </c>
      <c r="AN275" s="2" t="n">
        <v>83.36</v>
      </c>
      <c r="AO275" s="2" t="n">
        <v>83.36</v>
      </c>
      <c r="AP275" s="2" t="n">
        <v>83.36</v>
      </c>
      <c r="AQ275" s="2" t="n">
        <v>83.36</v>
      </c>
      <c r="AR275" s="2" t="n">
        <v>83.36</v>
      </c>
      <c r="AS275" s="2" t="n">
        <v>83.36</v>
      </c>
      <c r="AT275" s="2" t="n">
        <v>83.36</v>
      </c>
      <c r="AU275" s="2" t="n">
        <v>83.36</v>
      </c>
      <c r="AV275" s="2" t="n">
        <v>94.04000000000001</v>
      </c>
      <c r="AW275" s="2" t="n">
        <v>94.04000000000001</v>
      </c>
      <c r="AX275" s="2" t="n">
        <v>84.78</v>
      </c>
      <c r="AY275" s="2" t="n">
        <v>94.04000000000001</v>
      </c>
      <c r="AZ275" s="2" t="n">
        <v>94.04000000000001</v>
      </c>
      <c r="BA275" s="2" t="n">
        <v>94.04000000000001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  <c r="EQ275" s="2" t="n">
        <v>100</v>
      </c>
      <c r="ER275" s="2" t="n">
        <v>100</v>
      </c>
      <c r="ES275" s="2" t="n">
        <v>100</v>
      </c>
      <c r="ET275" s="2" t="n">
        <v>100</v>
      </c>
      <c r="EU275" s="2" t="n">
        <v>100</v>
      </c>
      <c r="EV275" s="2" t="n">
        <v>100</v>
      </c>
      <c r="EW275" s="2" t="n">
        <v>100</v>
      </c>
      <c r="EX275" s="2" t="n">
        <v>100</v>
      </c>
      <c r="EY275" s="2" t="n">
        <v>100</v>
      </c>
      <c r="EZ275" s="2" t="n">
        <v>100</v>
      </c>
      <c r="FA275" s="2" t="n">
        <v>100</v>
      </c>
      <c r="FB275" s="2" t="n">
        <v>100</v>
      </c>
      <c r="FC275" s="2" t="n">
        <v>100</v>
      </c>
      <c r="FD275" s="2" t="n">
        <v>100</v>
      </c>
      <c r="FE275" s="2" t="n">
        <v>100</v>
      </c>
      <c r="FF275" s="2" t="n">
        <v>100</v>
      </c>
      <c r="FG275" s="2" t="n">
        <v>100</v>
      </c>
      <c r="FH275" s="2" t="n">
        <v>100</v>
      </c>
      <c r="FI275" s="2" t="n">
        <v>100</v>
      </c>
      <c r="FJ275" s="2" t="n">
        <v>100</v>
      </c>
      <c r="FK275" s="2" t="n">
        <v>100</v>
      </c>
      <c r="FL275" s="2" t="n">
        <v>100</v>
      </c>
      <c r="FM275" s="2" t="n">
        <v>100</v>
      </c>
      <c r="FN275" s="2" t="n">
        <v>100</v>
      </c>
      <c r="FO275" s="2" t="n">
        <v>100</v>
      </c>
      <c r="FP275" s="2" t="n">
        <v>100</v>
      </c>
      <c r="FQ275" s="2" t="n">
        <v>100</v>
      </c>
    </row>
    <row r="276">
      <c r="A276" s="2" t="n">
        <v>4</v>
      </c>
      <c r="B276" s="2" t="inlineStr">
        <is>
          <t>13.01.05.02</t>
        </is>
      </c>
      <c r="C276" s="2" t="inlineStr">
        <is>
          <t>Drenagem para contenções</t>
        </is>
      </c>
      <c r="D276" s="2" t="inlineStr">
        <is>
          <t>21/10/2024</t>
        </is>
      </c>
      <c r="E276" s="2" t="inlineStr">
        <is>
          <t>28/11/2025</t>
        </is>
      </c>
      <c r="F276" s="2" t="n">
        <v>48453</v>
      </c>
      <c r="G276" s="2" t="n">
        <v>0</v>
      </c>
      <c r="H276" s="2" t="n">
        <v>48453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2.51</v>
      </c>
      <c r="P276" s="2" t="n">
        <v>2.51</v>
      </c>
      <c r="Q276" s="2" t="n">
        <v>0</v>
      </c>
      <c r="R276" s="2" t="n">
        <v>20.71</v>
      </c>
      <c r="S276" s="2" t="n">
        <v>20.71</v>
      </c>
      <c r="T276" s="2" t="n">
        <v>0</v>
      </c>
      <c r="U276" s="2" t="n">
        <v>65.02</v>
      </c>
      <c r="V276" s="2" t="n">
        <v>65.02</v>
      </c>
      <c r="W276" s="2" t="n">
        <v>0</v>
      </c>
      <c r="X276" s="2" t="n">
        <v>75.52</v>
      </c>
      <c r="Y276" s="2" t="n">
        <v>75.52</v>
      </c>
      <c r="Z276" s="2" t="n">
        <v>0</v>
      </c>
      <c r="AA276" s="2" t="n">
        <v>82.65000000000001</v>
      </c>
      <c r="AB276" s="2" t="n">
        <v>82.65000000000001</v>
      </c>
      <c r="AC276" s="2" t="n">
        <v>0</v>
      </c>
      <c r="AD276" s="2" t="n">
        <v>83.36</v>
      </c>
      <c r="AE276" s="2" t="n">
        <v>83.36</v>
      </c>
      <c r="AF276" s="2" t="n">
        <v>0</v>
      </c>
      <c r="AG276" s="2" t="n">
        <v>83.36</v>
      </c>
      <c r="AH276" s="2" t="n">
        <v>83.36</v>
      </c>
      <c r="AI276" s="2" t="n">
        <v>83.36</v>
      </c>
      <c r="AJ276" s="2" t="n">
        <v>83.36</v>
      </c>
      <c r="AK276" s="2" t="n">
        <v>83.36</v>
      </c>
      <c r="AL276" s="2" t="n">
        <v>83.36</v>
      </c>
      <c r="AM276" s="2" t="n">
        <v>83.36</v>
      </c>
      <c r="AN276" s="2" t="n">
        <v>83.36</v>
      </c>
      <c r="AO276" s="2" t="n">
        <v>83.36</v>
      </c>
      <c r="AP276" s="2" t="n">
        <v>83.36</v>
      </c>
      <c r="AQ276" s="2" t="n">
        <v>83.36</v>
      </c>
      <c r="AR276" s="2" t="n">
        <v>83.36</v>
      </c>
      <c r="AS276" s="2" t="n">
        <v>83.36</v>
      </c>
      <c r="AT276" s="2" t="n">
        <v>83.36</v>
      </c>
      <c r="AU276" s="2" t="n">
        <v>83.36</v>
      </c>
      <c r="AV276" s="2" t="n">
        <v>94.04000000000001</v>
      </c>
      <c r="AW276" s="2" t="n">
        <v>94.04000000000001</v>
      </c>
      <c r="AX276" s="2" t="n">
        <v>84.78</v>
      </c>
      <c r="AY276" s="2" t="n">
        <v>94.04000000000001</v>
      </c>
      <c r="AZ276" s="2" t="n">
        <v>94.04000000000001</v>
      </c>
      <c r="BA276" s="2" t="n">
        <v>94.04000000000001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  <c r="EQ276" s="2" t="n">
        <v>100</v>
      </c>
      <c r="ER276" s="2" t="n">
        <v>100</v>
      </c>
      <c r="ES276" s="2" t="n">
        <v>100</v>
      </c>
      <c r="ET276" s="2" t="n">
        <v>100</v>
      </c>
      <c r="EU276" s="2" t="n">
        <v>100</v>
      </c>
      <c r="EV276" s="2" t="n">
        <v>100</v>
      </c>
      <c r="EW276" s="2" t="n">
        <v>100</v>
      </c>
      <c r="EX276" s="2" t="n">
        <v>100</v>
      </c>
      <c r="EY276" s="2" t="n">
        <v>100</v>
      </c>
      <c r="EZ276" s="2" t="n">
        <v>100</v>
      </c>
      <c r="FA276" s="2" t="n">
        <v>100</v>
      </c>
      <c r="FB276" s="2" t="n">
        <v>100</v>
      </c>
      <c r="FC276" s="2" t="n">
        <v>100</v>
      </c>
      <c r="FD276" s="2" t="n">
        <v>100</v>
      </c>
      <c r="FE276" s="2" t="n">
        <v>100</v>
      </c>
      <c r="FF276" s="2" t="n">
        <v>100</v>
      </c>
      <c r="FG276" s="2" t="n">
        <v>100</v>
      </c>
      <c r="FH276" s="2" t="n">
        <v>100</v>
      </c>
      <c r="FI276" s="2" t="n">
        <v>100</v>
      </c>
      <c r="FJ276" s="2" t="n">
        <v>100</v>
      </c>
      <c r="FK276" s="2" t="n">
        <v>100</v>
      </c>
      <c r="FL276" s="2" t="n">
        <v>100</v>
      </c>
      <c r="FM276" s="2" t="n">
        <v>100</v>
      </c>
      <c r="FN276" s="2" t="n">
        <v>100</v>
      </c>
      <c r="FO276" s="2" t="n">
        <v>100</v>
      </c>
      <c r="FP276" s="2" t="n">
        <v>100</v>
      </c>
      <c r="FQ276" s="2" t="n">
        <v>100</v>
      </c>
    </row>
    <row r="277">
      <c r="A277" s="2" t="n">
        <v>3</v>
      </c>
      <c r="B277" s="2" t="inlineStr">
        <is>
          <t>13.01.06</t>
        </is>
      </c>
      <c r="C277" s="2" t="inlineStr">
        <is>
          <t>Alvenaria de blocos cerâmicos para isolamento de contenções</t>
        </is>
      </c>
      <c r="D277" s="2" t="inlineStr">
        <is>
          <t>21/10/2024</t>
        </is>
      </c>
      <c r="E277" s="2" t="inlineStr">
        <is>
          <t>28/11/2025</t>
        </is>
      </c>
      <c r="F277" s="2" t="n">
        <v>92824.9222507657</v>
      </c>
      <c r="G277" s="2" t="n">
        <v>0</v>
      </c>
      <c r="H277" s="2" t="n">
        <v>92824.9222507657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2.51</v>
      </c>
      <c r="P277" s="2" t="n">
        <v>2.51</v>
      </c>
      <c r="Q277" s="2" t="n">
        <v>0</v>
      </c>
      <c r="R277" s="2" t="n">
        <v>20.71</v>
      </c>
      <c r="S277" s="2" t="n">
        <v>20.71</v>
      </c>
      <c r="T277" s="2" t="n">
        <v>0</v>
      </c>
      <c r="U277" s="2" t="n">
        <v>65.02</v>
      </c>
      <c r="V277" s="2" t="n">
        <v>65.02</v>
      </c>
      <c r="W277" s="2" t="n">
        <v>0</v>
      </c>
      <c r="X277" s="2" t="n">
        <v>75.52</v>
      </c>
      <c r="Y277" s="2" t="n">
        <v>75.52</v>
      </c>
      <c r="Z277" s="2" t="n">
        <v>0</v>
      </c>
      <c r="AA277" s="2" t="n">
        <v>82.65000000000001</v>
      </c>
      <c r="AB277" s="2" t="n">
        <v>82.65000000000001</v>
      </c>
      <c r="AC277" s="2" t="n">
        <v>0</v>
      </c>
      <c r="AD277" s="2" t="n">
        <v>83.36</v>
      </c>
      <c r="AE277" s="2" t="n">
        <v>83.36</v>
      </c>
      <c r="AF277" s="2" t="n">
        <v>0</v>
      </c>
      <c r="AG277" s="2" t="n">
        <v>83.36</v>
      </c>
      <c r="AH277" s="2" t="n">
        <v>83.36</v>
      </c>
      <c r="AI277" s="2" t="n">
        <v>83.36</v>
      </c>
      <c r="AJ277" s="2" t="n">
        <v>83.36</v>
      </c>
      <c r="AK277" s="2" t="n">
        <v>83.36</v>
      </c>
      <c r="AL277" s="2" t="n">
        <v>83.36</v>
      </c>
      <c r="AM277" s="2" t="n">
        <v>83.36</v>
      </c>
      <c r="AN277" s="2" t="n">
        <v>83.36</v>
      </c>
      <c r="AO277" s="2" t="n">
        <v>83.36</v>
      </c>
      <c r="AP277" s="2" t="n">
        <v>83.36</v>
      </c>
      <c r="AQ277" s="2" t="n">
        <v>83.36</v>
      </c>
      <c r="AR277" s="2" t="n">
        <v>83.36</v>
      </c>
      <c r="AS277" s="2" t="n">
        <v>83.36</v>
      </c>
      <c r="AT277" s="2" t="n">
        <v>83.36</v>
      </c>
      <c r="AU277" s="2" t="n">
        <v>83.36</v>
      </c>
      <c r="AV277" s="2" t="n">
        <v>94.04000000000001</v>
      </c>
      <c r="AW277" s="2" t="n">
        <v>94.04000000000001</v>
      </c>
      <c r="AX277" s="2" t="n">
        <v>84.78</v>
      </c>
      <c r="AY277" s="2" t="n">
        <v>94.04000000000001</v>
      </c>
      <c r="AZ277" s="2" t="n">
        <v>94.04000000000001</v>
      </c>
      <c r="BA277" s="2" t="n">
        <v>94.04000000000001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  <c r="EQ277" s="2" t="n">
        <v>100</v>
      </c>
      <c r="ER277" s="2" t="n">
        <v>100</v>
      </c>
      <c r="ES277" s="2" t="n">
        <v>100</v>
      </c>
      <c r="ET277" s="2" t="n">
        <v>100</v>
      </c>
      <c r="EU277" s="2" t="n">
        <v>100</v>
      </c>
      <c r="EV277" s="2" t="n">
        <v>100</v>
      </c>
      <c r="EW277" s="2" t="n">
        <v>100</v>
      </c>
      <c r="EX277" s="2" t="n">
        <v>100</v>
      </c>
      <c r="EY277" s="2" t="n">
        <v>100</v>
      </c>
      <c r="EZ277" s="2" t="n">
        <v>100</v>
      </c>
      <c r="FA277" s="2" t="n">
        <v>100</v>
      </c>
      <c r="FB277" s="2" t="n">
        <v>100</v>
      </c>
      <c r="FC277" s="2" t="n">
        <v>100</v>
      </c>
      <c r="FD277" s="2" t="n">
        <v>100</v>
      </c>
      <c r="FE277" s="2" t="n">
        <v>100</v>
      </c>
      <c r="FF277" s="2" t="n">
        <v>100</v>
      </c>
      <c r="FG277" s="2" t="n">
        <v>100</v>
      </c>
      <c r="FH277" s="2" t="n">
        <v>100</v>
      </c>
      <c r="FI277" s="2" t="n">
        <v>100</v>
      </c>
      <c r="FJ277" s="2" t="n">
        <v>100</v>
      </c>
      <c r="FK277" s="2" t="n">
        <v>100</v>
      </c>
      <c r="FL277" s="2" t="n">
        <v>100</v>
      </c>
      <c r="FM277" s="2" t="n">
        <v>100</v>
      </c>
      <c r="FN277" s="2" t="n">
        <v>100</v>
      </c>
      <c r="FO277" s="2" t="n">
        <v>100</v>
      </c>
      <c r="FP277" s="2" t="n">
        <v>100</v>
      </c>
      <c r="FQ277" s="2" t="n">
        <v>100</v>
      </c>
    </row>
    <row r="278">
      <c r="A278" s="2" t="n">
        <v>4</v>
      </c>
      <c r="B278" s="2" t="inlineStr">
        <is>
          <t>13.01.06.01</t>
        </is>
      </c>
      <c r="C278" s="2" t="inlineStr">
        <is>
          <t>Demarcação de alvenaria de vedação com blocos cerâmicos esp.9cm</t>
        </is>
      </c>
      <c r="D278" s="2" t="inlineStr">
        <is>
          <t>21/10/2024</t>
        </is>
      </c>
      <c r="E278" s="2" t="inlineStr">
        <is>
          <t>28/11/2025</t>
        </is>
      </c>
      <c r="F278" s="2" t="n">
        <v>8141.4448362</v>
      </c>
      <c r="G278" s="2" t="n">
        <v>0</v>
      </c>
      <c r="H278" s="2" t="n">
        <v>8141.4448362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2.51</v>
      </c>
      <c r="P278" s="2" t="n">
        <v>2.51</v>
      </c>
      <c r="Q278" s="2" t="n">
        <v>0</v>
      </c>
      <c r="R278" s="2" t="n">
        <v>20.71</v>
      </c>
      <c r="S278" s="2" t="n">
        <v>20.71</v>
      </c>
      <c r="T278" s="2" t="n">
        <v>0</v>
      </c>
      <c r="U278" s="2" t="n">
        <v>65.02</v>
      </c>
      <c r="V278" s="2" t="n">
        <v>65.02</v>
      </c>
      <c r="W278" s="2" t="n">
        <v>0</v>
      </c>
      <c r="X278" s="2" t="n">
        <v>75.52</v>
      </c>
      <c r="Y278" s="2" t="n">
        <v>75.52</v>
      </c>
      <c r="Z278" s="2" t="n">
        <v>0</v>
      </c>
      <c r="AA278" s="2" t="n">
        <v>82.65000000000001</v>
      </c>
      <c r="AB278" s="2" t="n">
        <v>82.65000000000001</v>
      </c>
      <c r="AC278" s="2" t="n">
        <v>0</v>
      </c>
      <c r="AD278" s="2" t="n">
        <v>83.36</v>
      </c>
      <c r="AE278" s="2" t="n">
        <v>83.36</v>
      </c>
      <c r="AF278" s="2" t="n">
        <v>0</v>
      </c>
      <c r="AG278" s="2" t="n">
        <v>83.36</v>
      </c>
      <c r="AH278" s="2" t="n">
        <v>83.36</v>
      </c>
      <c r="AI278" s="2" t="n">
        <v>83.36</v>
      </c>
      <c r="AJ278" s="2" t="n">
        <v>83.36</v>
      </c>
      <c r="AK278" s="2" t="n">
        <v>83.36</v>
      </c>
      <c r="AL278" s="2" t="n">
        <v>83.36</v>
      </c>
      <c r="AM278" s="2" t="n">
        <v>83.36</v>
      </c>
      <c r="AN278" s="2" t="n">
        <v>83.36</v>
      </c>
      <c r="AO278" s="2" t="n">
        <v>83.36</v>
      </c>
      <c r="AP278" s="2" t="n">
        <v>83.36</v>
      </c>
      <c r="AQ278" s="2" t="n">
        <v>83.36</v>
      </c>
      <c r="AR278" s="2" t="n">
        <v>83.36</v>
      </c>
      <c r="AS278" s="2" t="n">
        <v>83.36</v>
      </c>
      <c r="AT278" s="2" t="n">
        <v>83.36</v>
      </c>
      <c r="AU278" s="2" t="n">
        <v>83.36</v>
      </c>
      <c r="AV278" s="2" t="n">
        <v>94.04000000000001</v>
      </c>
      <c r="AW278" s="2" t="n">
        <v>94.04000000000001</v>
      </c>
      <c r="AX278" s="2" t="n">
        <v>84.78</v>
      </c>
      <c r="AY278" s="2" t="n">
        <v>94.04000000000001</v>
      </c>
      <c r="AZ278" s="2" t="n">
        <v>94.04000000000001</v>
      </c>
      <c r="BA278" s="2" t="n">
        <v>94.04000000000001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  <c r="EQ278" s="2" t="n">
        <v>100</v>
      </c>
      <c r="ER278" s="2" t="n">
        <v>100</v>
      </c>
      <c r="ES278" s="2" t="n">
        <v>100</v>
      </c>
      <c r="ET278" s="2" t="n">
        <v>100</v>
      </c>
      <c r="EU278" s="2" t="n">
        <v>100</v>
      </c>
      <c r="EV278" s="2" t="n">
        <v>100</v>
      </c>
      <c r="EW278" s="2" t="n">
        <v>100</v>
      </c>
      <c r="EX278" s="2" t="n">
        <v>100</v>
      </c>
      <c r="EY278" s="2" t="n">
        <v>100</v>
      </c>
      <c r="EZ278" s="2" t="n">
        <v>100</v>
      </c>
      <c r="FA278" s="2" t="n">
        <v>100</v>
      </c>
      <c r="FB278" s="2" t="n">
        <v>100</v>
      </c>
      <c r="FC278" s="2" t="n">
        <v>100</v>
      </c>
      <c r="FD278" s="2" t="n">
        <v>100</v>
      </c>
      <c r="FE278" s="2" t="n">
        <v>100</v>
      </c>
      <c r="FF278" s="2" t="n">
        <v>100</v>
      </c>
      <c r="FG278" s="2" t="n">
        <v>100</v>
      </c>
      <c r="FH278" s="2" t="n">
        <v>100</v>
      </c>
      <c r="FI278" s="2" t="n">
        <v>100</v>
      </c>
      <c r="FJ278" s="2" t="n">
        <v>100</v>
      </c>
      <c r="FK278" s="2" t="n">
        <v>100</v>
      </c>
      <c r="FL278" s="2" t="n">
        <v>100</v>
      </c>
      <c r="FM278" s="2" t="n">
        <v>100</v>
      </c>
      <c r="FN278" s="2" t="n">
        <v>100</v>
      </c>
      <c r="FO278" s="2" t="n">
        <v>100</v>
      </c>
      <c r="FP278" s="2" t="n">
        <v>100</v>
      </c>
      <c r="FQ278" s="2" t="n">
        <v>100</v>
      </c>
    </row>
    <row r="279">
      <c r="A279" s="2" t="n">
        <v>4</v>
      </c>
      <c r="B279" s="2" t="inlineStr">
        <is>
          <t>13.01.06.02</t>
        </is>
      </c>
      <c r="C279" s="2" t="inlineStr">
        <is>
          <t>Alvenaria de vedação com blocos cerâmicos esp. 9cm</t>
        </is>
      </c>
      <c r="D279" s="2" t="inlineStr">
        <is>
          <t>21/10/2024</t>
        </is>
      </c>
      <c r="E279" s="2" t="inlineStr">
        <is>
          <t>28/11/2025</t>
        </is>
      </c>
      <c r="F279" s="2" t="n">
        <v>82801.92078551999</v>
      </c>
      <c r="G279" s="2" t="n">
        <v>0</v>
      </c>
      <c r="H279" s="2" t="n">
        <v>82801.92078551999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2.51</v>
      </c>
      <c r="P279" s="2" t="n">
        <v>2.51</v>
      </c>
      <c r="Q279" s="2" t="n">
        <v>0</v>
      </c>
      <c r="R279" s="2" t="n">
        <v>20.71</v>
      </c>
      <c r="S279" s="2" t="n">
        <v>20.71</v>
      </c>
      <c r="T279" s="2" t="n">
        <v>0</v>
      </c>
      <c r="U279" s="2" t="n">
        <v>65.02</v>
      </c>
      <c r="V279" s="2" t="n">
        <v>65.02</v>
      </c>
      <c r="W279" s="2" t="n">
        <v>0</v>
      </c>
      <c r="X279" s="2" t="n">
        <v>75.52</v>
      </c>
      <c r="Y279" s="2" t="n">
        <v>75.52</v>
      </c>
      <c r="Z279" s="2" t="n">
        <v>0</v>
      </c>
      <c r="AA279" s="2" t="n">
        <v>82.65000000000001</v>
      </c>
      <c r="AB279" s="2" t="n">
        <v>82.65000000000001</v>
      </c>
      <c r="AC279" s="2" t="n">
        <v>0</v>
      </c>
      <c r="AD279" s="2" t="n">
        <v>83.36</v>
      </c>
      <c r="AE279" s="2" t="n">
        <v>83.36</v>
      </c>
      <c r="AF279" s="2" t="n">
        <v>0</v>
      </c>
      <c r="AG279" s="2" t="n">
        <v>83.36</v>
      </c>
      <c r="AH279" s="2" t="n">
        <v>83.36</v>
      </c>
      <c r="AI279" s="2" t="n">
        <v>83.36</v>
      </c>
      <c r="AJ279" s="2" t="n">
        <v>83.36</v>
      </c>
      <c r="AK279" s="2" t="n">
        <v>83.36</v>
      </c>
      <c r="AL279" s="2" t="n">
        <v>83.36</v>
      </c>
      <c r="AM279" s="2" t="n">
        <v>83.36</v>
      </c>
      <c r="AN279" s="2" t="n">
        <v>83.36</v>
      </c>
      <c r="AO279" s="2" t="n">
        <v>83.36</v>
      </c>
      <c r="AP279" s="2" t="n">
        <v>83.36</v>
      </c>
      <c r="AQ279" s="2" t="n">
        <v>83.36</v>
      </c>
      <c r="AR279" s="2" t="n">
        <v>83.36</v>
      </c>
      <c r="AS279" s="2" t="n">
        <v>83.36</v>
      </c>
      <c r="AT279" s="2" t="n">
        <v>83.36</v>
      </c>
      <c r="AU279" s="2" t="n">
        <v>83.36</v>
      </c>
      <c r="AV279" s="2" t="n">
        <v>94.04000000000001</v>
      </c>
      <c r="AW279" s="2" t="n">
        <v>94.04000000000001</v>
      </c>
      <c r="AX279" s="2" t="n">
        <v>84.78</v>
      </c>
      <c r="AY279" s="2" t="n">
        <v>94.04000000000001</v>
      </c>
      <c r="AZ279" s="2" t="n">
        <v>94.04000000000001</v>
      </c>
      <c r="BA279" s="2" t="n">
        <v>94.04000000000001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  <c r="EQ279" s="2" t="n">
        <v>100</v>
      </c>
      <c r="ER279" s="2" t="n">
        <v>100</v>
      </c>
      <c r="ES279" s="2" t="n">
        <v>100</v>
      </c>
      <c r="ET279" s="2" t="n">
        <v>100</v>
      </c>
      <c r="EU279" s="2" t="n">
        <v>100</v>
      </c>
      <c r="EV279" s="2" t="n">
        <v>100</v>
      </c>
      <c r="EW279" s="2" t="n">
        <v>100</v>
      </c>
      <c r="EX279" s="2" t="n">
        <v>100</v>
      </c>
      <c r="EY279" s="2" t="n">
        <v>100</v>
      </c>
      <c r="EZ279" s="2" t="n">
        <v>100</v>
      </c>
      <c r="FA279" s="2" t="n">
        <v>100</v>
      </c>
      <c r="FB279" s="2" t="n">
        <v>100</v>
      </c>
      <c r="FC279" s="2" t="n">
        <v>100</v>
      </c>
      <c r="FD279" s="2" t="n">
        <v>100</v>
      </c>
      <c r="FE279" s="2" t="n">
        <v>100</v>
      </c>
      <c r="FF279" s="2" t="n">
        <v>100</v>
      </c>
      <c r="FG279" s="2" t="n">
        <v>100</v>
      </c>
      <c r="FH279" s="2" t="n">
        <v>100</v>
      </c>
      <c r="FI279" s="2" t="n">
        <v>100</v>
      </c>
      <c r="FJ279" s="2" t="n">
        <v>100</v>
      </c>
      <c r="FK279" s="2" t="n">
        <v>100</v>
      </c>
      <c r="FL279" s="2" t="n">
        <v>100</v>
      </c>
      <c r="FM279" s="2" t="n">
        <v>100</v>
      </c>
      <c r="FN279" s="2" t="n">
        <v>100</v>
      </c>
      <c r="FO279" s="2" t="n">
        <v>100</v>
      </c>
      <c r="FP279" s="2" t="n">
        <v>100</v>
      </c>
      <c r="FQ279" s="2" t="n">
        <v>100</v>
      </c>
    </row>
    <row r="280">
      <c r="A280" s="2" t="n">
        <v>4</v>
      </c>
      <c r="B280" s="2" t="inlineStr">
        <is>
          <t>13.01.06.03</t>
        </is>
      </c>
      <c r="C280" s="2" t="inlineStr">
        <is>
          <t>Encunhamento com espuma expansiva de poliuretano</t>
        </is>
      </c>
      <c r="D280" s="2" t="inlineStr">
        <is>
          <t>21/10/2024</t>
        </is>
      </c>
      <c r="E280" s="2" t="inlineStr">
        <is>
          <t>28/11/2025</t>
        </is>
      </c>
      <c r="F280" s="2" t="n">
        <v>1881.556629045708</v>
      </c>
      <c r="G280" s="2" t="n">
        <v>0</v>
      </c>
      <c r="H280" s="2" t="n">
        <v>1881.556629045708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2.51</v>
      </c>
      <c r="P280" s="2" t="n">
        <v>2.51</v>
      </c>
      <c r="Q280" s="2" t="n">
        <v>0</v>
      </c>
      <c r="R280" s="2" t="n">
        <v>20.71</v>
      </c>
      <c r="S280" s="2" t="n">
        <v>20.71</v>
      </c>
      <c r="T280" s="2" t="n">
        <v>0</v>
      </c>
      <c r="U280" s="2" t="n">
        <v>65.02</v>
      </c>
      <c r="V280" s="2" t="n">
        <v>65.02</v>
      </c>
      <c r="W280" s="2" t="n">
        <v>0</v>
      </c>
      <c r="X280" s="2" t="n">
        <v>75.52</v>
      </c>
      <c r="Y280" s="2" t="n">
        <v>75.52</v>
      </c>
      <c r="Z280" s="2" t="n">
        <v>0</v>
      </c>
      <c r="AA280" s="2" t="n">
        <v>82.65000000000001</v>
      </c>
      <c r="AB280" s="2" t="n">
        <v>82.65000000000001</v>
      </c>
      <c r="AC280" s="2" t="n">
        <v>0</v>
      </c>
      <c r="AD280" s="2" t="n">
        <v>83.36</v>
      </c>
      <c r="AE280" s="2" t="n">
        <v>83.36</v>
      </c>
      <c r="AF280" s="2" t="n">
        <v>0</v>
      </c>
      <c r="AG280" s="2" t="n">
        <v>83.36</v>
      </c>
      <c r="AH280" s="2" t="n">
        <v>83.36</v>
      </c>
      <c r="AI280" s="2" t="n">
        <v>83.36</v>
      </c>
      <c r="AJ280" s="2" t="n">
        <v>83.36</v>
      </c>
      <c r="AK280" s="2" t="n">
        <v>83.36</v>
      </c>
      <c r="AL280" s="2" t="n">
        <v>83.36</v>
      </c>
      <c r="AM280" s="2" t="n">
        <v>83.36</v>
      </c>
      <c r="AN280" s="2" t="n">
        <v>83.36</v>
      </c>
      <c r="AO280" s="2" t="n">
        <v>83.36</v>
      </c>
      <c r="AP280" s="2" t="n">
        <v>83.36</v>
      </c>
      <c r="AQ280" s="2" t="n">
        <v>83.36</v>
      </c>
      <c r="AR280" s="2" t="n">
        <v>83.36</v>
      </c>
      <c r="AS280" s="2" t="n">
        <v>83.36</v>
      </c>
      <c r="AT280" s="2" t="n">
        <v>83.36</v>
      </c>
      <c r="AU280" s="2" t="n">
        <v>83.36</v>
      </c>
      <c r="AV280" s="2" t="n">
        <v>94.04000000000001</v>
      </c>
      <c r="AW280" s="2" t="n">
        <v>94.04000000000001</v>
      </c>
      <c r="AX280" s="2" t="n">
        <v>84.78</v>
      </c>
      <c r="AY280" s="2" t="n">
        <v>94.04000000000001</v>
      </c>
      <c r="AZ280" s="2" t="n">
        <v>94.04000000000001</v>
      </c>
      <c r="BA280" s="2" t="n">
        <v>94.04000000000001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  <c r="EQ280" s="2" t="n">
        <v>100</v>
      </c>
      <c r="ER280" s="2" t="n">
        <v>100</v>
      </c>
      <c r="ES280" s="2" t="n">
        <v>100</v>
      </c>
      <c r="ET280" s="2" t="n">
        <v>100</v>
      </c>
      <c r="EU280" s="2" t="n">
        <v>100</v>
      </c>
      <c r="EV280" s="2" t="n">
        <v>100</v>
      </c>
      <c r="EW280" s="2" t="n">
        <v>100</v>
      </c>
      <c r="EX280" s="2" t="n">
        <v>100</v>
      </c>
      <c r="EY280" s="2" t="n">
        <v>100</v>
      </c>
      <c r="EZ280" s="2" t="n">
        <v>100</v>
      </c>
      <c r="FA280" s="2" t="n">
        <v>100</v>
      </c>
      <c r="FB280" s="2" t="n">
        <v>100</v>
      </c>
      <c r="FC280" s="2" t="n">
        <v>100</v>
      </c>
      <c r="FD280" s="2" t="n">
        <v>100</v>
      </c>
      <c r="FE280" s="2" t="n">
        <v>100</v>
      </c>
      <c r="FF280" s="2" t="n">
        <v>100</v>
      </c>
      <c r="FG280" s="2" t="n">
        <v>100</v>
      </c>
      <c r="FH280" s="2" t="n">
        <v>100</v>
      </c>
      <c r="FI280" s="2" t="n">
        <v>100</v>
      </c>
      <c r="FJ280" s="2" t="n">
        <v>100</v>
      </c>
      <c r="FK280" s="2" t="n">
        <v>100</v>
      </c>
      <c r="FL280" s="2" t="n">
        <v>100</v>
      </c>
      <c r="FM280" s="2" t="n">
        <v>100</v>
      </c>
      <c r="FN280" s="2" t="n">
        <v>100</v>
      </c>
      <c r="FO280" s="2" t="n">
        <v>100</v>
      </c>
      <c r="FP280" s="2" t="n">
        <v>100</v>
      </c>
      <c r="FQ280" s="2" t="n">
        <v>100</v>
      </c>
    </row>
    <row r="281">
      <c r="A281" s="2" t="n">
        <v>1</v>
      </c>
      <c r="B281" s="2" t="inlineStr">
        <is>
          <t>14</t>
        </is>
      </c>
      <c r="C281" s="2" t="inlineStr">
        <is>
          <t>TERRAPLENAGEM</t>
        </is>
      </c>
      <c r="D281" s="2" t="inlineStr">
        <is>
          <t>12/08/2024</t>
        </is>
      </c>
      <c r="E281" s="2" t="inlineStr">
        <is>
          <t>22/04/2027</t>
        </is>
      </c>
      <c r="F281" s="2" t="n">
        <v>2940699.347539805</v>
      </c>
      <c r="G281" s="2" t="n">
        <v>0</v>
      </c>
      <c r="H281" s="2" t="n">
        <v>2940699.347539805</v>
      </c>
      <c r="I281" s="2" t="n">
        <v>17.14</v>
      </c>
      <c r="J281" s="2" t="n">
        <v>17.14</v>
      </c>
      <c r="K281" s="2" t="n">
        <v>0</v>
      </c>
      <c r="L281" s="2" t="n">
        <v>41.14</v>
      </c>
      <c r="M281" s="2" t="n">
        <v>41.14</v>
      </c>
      <c r="N281" s="2" t="n">
        <v>0</v>
      </c>
      <c r="O281" s="2" t="n">
        <v>64</v>
      </c>
      <c r="P281" s="2" t="n">
        <v>64</v>
      </c>
      <c r="Q281" s="2" t="n">
        <v>0</v>
      </c>
      <c r="R281" s="2" t="n">
        <v>64</v>
      </c>
      <c r="S281" s="2" t="n">
        <v>64</v>
      </c>
      <c r="T281" s="2" t="n">
        <v>0</v>
      </c>
      <c r="U281" s="2" t="n">
        <v>64</v>
      </c>
      <c r="V281" s="2" t="n">
        <v>64</v>
      </c>
      <c r="W281" s="2" t="n">
        <v>0</v>
      </c>
      <c r="X281" s="2" t="n">
        <v>72.5</v>
      </c>
      <c r="Y281" s="2" t="n">
        <v>72.5</v>
      </c>
      <c r="Z281" s="2" t="n">
        <v>0</v>
      </c>
      <c r="AA281" s="2" t="n">
        <v>82.5</v>
      </c>
      <c r="AB281" s="2" t="n">
        <v>82.5</v>
      </c>
      <c r="AC281" s="2" t="n">
        <v>0</v>
      </c>
      <c r="AD281" s="2" t="n">
        <v>89</v>
      </c>
      <c r="AE281" s="2" t="n">
        <v>89</v>
      </c>
      <c r="AF281" s="2" t="n">
        <v>0</v>
      </c>
      <c r="AG281" s="2" t="n">
        <v>89</v>
      </c>
      <c r="AH281" s="2" t="n">
        <v>89</v>
      </c>
      <c r="AI281" s="2" t="n">
        <v>84</v>
      </c>
      <c r="AJ281" s="2" t="n">
        <v>89</v>
      </c>
      <c r="AK281" s="2" t="n">
        <v>89</v>
      </c>
      <c r="AL281" s="2" t="n">
        <v>89</v>
      </c>
      <c r="AM281" s="2" t="n">
        <v>89</v>
      </c>
      <c r="AN281" s="2" t="n">
        <v>89</v>
      </c>
      <c r="AO281" s="2" t="n">
        <v>89</v>
      </c>
      <c r="AP281" s="2" t="n">
        <v>89</v>
      </c>
      <c r="AQ281" s="2" t="n">
        <v>89</v>
      </c>
      <c r="AR281" s="2" t="n">
        <v>89</v>
      </c>
      <c r="AS281" s="2" t="n">
        <v>89</v>
      </c>
      <c r="AT281" s="2" t="n">
        <v>89</v>
      </c>
      <c r="AU281" s="2" t="n">
        <v>89</v>
      </c>
      <c r="AV281" s="2" t="n">
        <v>89</v>
      </c>
      <c r="AW281" s="2" t="n">
        <v>89</v>
      </c>
      <c r="AX281" s="2" t="n">
        <v>89</v>
      </c>
      <c r="AY281" s="2" t="n">
        <v>89</v>
      </c>
      <c r="AZ281" s="2" t="n">
        <v>89</v>
      </c>
      <c r="BA281" s="2" t="n">
        <v>89</v>
      </c>
      <c r="BB281" s="2" t="n">
        <v>89</v>
      </c>
      <c r="BC281" s="2" t="n">
        <v>89</v>
      </c>
      <c r="BD281" s="2" t="n">
        <v>89</v>
      </c>
      <c r="BE281" s="2" t="n">
        <v>89</v>
      </c>
      <c r="BF281" s="2" t="n">
        <v>89</v>
      </c>
      <c r="BG281" s="2" t="n">
        <v>89</v>
      </c>
      <c r="BH281" s="2" t="n">
        <v>89</v>
      </c>
      <c r="BI281" s="2" t="n">
        <v>89</v>
      </c>
      <c r="BJ281" s="2" t="n">
        <v>89</v>
      </c>
      <c r="BK281" s="2" t="n">
        <v>89</v>
      </c>
      <c r="BL281" s="2" t="n">
        <v>89</v>
      </c>
      <c r="BM281" s="2" t="n">
        <v>89</v>
      </c>
      <c r="BN281" s="2" t="n">
        <v>89</v>
      </c>
      <c r="BO281" s="2" t="n">
        <v>89</v>
      </c>
      <c r="BP281" s="2" t="n">
        <v>89</v>
      </c>
      <c r="BQ281" s="2" t="n">
        <v>89</v>
      </c>
      <c r="BR281" s="2" t="n">
        <v>89</v>
      </c>
      <c r="BS281" s="2" t="n">
        <v>89</v>
      </c>
      <c r="BT281" s="2" t="n">
        <v>89</v>
      </c>
      <c r="BU281" s="2" t="n">
        <v>89</v>
      </c>
      <c r="BV281" s="2" t="n">
        <v>89</v>
      </c>
      <c r="BW281" s="2" t="n">
        <v>89</v>
      </c>
      <c r="BX281" s="2" t="n">
        <v>89</v>
      </c>
      <c r="BY281" s="2" t="n">
        <v>89</v>
      </c>
      <c r="BZ281" s="2" t="n">
        <v>89</v>
      </c>
      <c r="CA281" s="2" t="n">
        <v>89</v>
      </c>
      <c r="CB281" s="2" t="n">
        <v>89</v>
      </c>
      <c r="CC281" s="2" t="n">
        <v>89</v>
      </c>
      <c r="CD281" s="2" t="n">
        <v>89</v>
      </c>
      <c r="CE281" s="2" t="n">
        <v>89</v>
      </c>
      <c r="CF281" s="2" t="n">
        <v>89</v>
      </c>
      <c r="CG281" s="2" t="n">
        <v>89</v>
      </c>
      <c r="CH281" s="2" t="n">
        <v>89</v>
      </c>
      <c r="CI281" s="2" t="n">
        <v>89</v>
      </c>
      <c r="CJ281" s="2" t="n">
        <v>89</v>
      </c>
      <c r="CK281" s="2" t="n">
        <v>89</v>
      </c>
      <c r="CL281" s="2" t="n">
        <v>89</v>
      </c>
      <c r="CM281" s="2" t="n">
        <v>89</v>
      </c>
      <c r="CN281" s="2" t="n">
        <v>89</v>
      </c>
      <c r="CO281" s="2" t="n">
        <v>89</v>
      </c>
      <c r="CP281" s="2" t="n">
        <v>89</v>
      </c>
      <c r="CQ281" s="2" t="n">
        <v>89</v>
      </c>
      <c r="CR281" s="2" t="n">
        <v>89</v>
      </c>
      <c r="CS281" s="2" t="n">
        <v>89</v>
      </c>
      <c r="CT281" s="2" t="n">
        <v>89</v>
      </c>
      <c r="CU281" s="2" t="n">
        <v>89.29000000000001</v>
      </c>
      <c r="CV281" s="2" t="n">
        <v>89.29000000000001</v>
      </c>
      <c r="CW281" s="2" t="n">
        <v>89</v>
      </c>
      <c r="CX281" s="2" t="n">
        <v>95.66</v>
      </c>
      <c r="CY281" s="2" t="n">
        <v>95.66</v>
      </c>
      <c r="CZ281" s="2" t="n">
        <v>89</v>
      </c>
      <c r="DA281" s="2" t="n">
        <v>100</v>
      </c>
      <c r="DB281" s="2" t="n">
        <v>100</v>
      </c>
      <c r="DC281" s="2" t="n">
        <v>89</v>
      </c>
      <c r="DD281" s="2" t="n">
        <v>100</v>
      </c>
      <c r="DE281" s="2" t="n">
        <v>100</v>
      </c>
      <c r="DF281" s="2" t="n">
        <v>89</v>
      </c>
      <c r="DG281" s="2" t="n">
        <v>100</v>
      </c>
      <c r="DH281" s="2" t="n">
        <v>100</v>
      </c>
      <c r="DI281" s="2" t="n">
        <v>89</v>
      </c>
      <c r="DJ281" s="2" t="n">
        <v>100</v>
      </c>
      <c r="DK281" s="2" t="n">
        <v>100</v>
      </c>
      <c r="DL281" s="2" t="n">
        <v>89</v>
      </c>
      <c r="DM281" s="2" t="n">
        <v>100</v>
      </c>
      <c r="DN281" s="2" t="n">
        <v>100</v>
      </c>
      <c r="DO281" s="2" t="n">
        <v>89</v>
      </c>
      <c r="DP281" s="2" t="n">
        <v>100</v>
      </c>
      <c r="DQ281" s="2" t="n">
        <v>100</v>
      </c>
      <c r="DR281" s="2" t="n">
        <v>89</v>
      </c>
      <c r="DS281" s="2" t="n">
        <v>100</v>
      </c>
      <c r="DT281" s="2" t="n">
        <v>100</v>
      </c>
      <c r="DU281" s="2" t="n">
        <v>89</v>
      </c>
      <c r="DV281" s="2" t="n">
        <v>100</v>
      </c>
      <c r="DW281" s="2" t="n">
        <v>100</v>
      </c>
      <c r="DX281" s="2" t="n">
        <v>89</v>
      </c>
      <c r="DY281" s="2" t="n">
        <v>100</v>
      </c>
      <c r="DZ281" s="2" t="n">
        <v>100</v>
      </c>
      <c r="EA281" s="2" t="n">
        <v>89</v>
      </c>
      <c r="EB281" s="2" t="n">
        <v>100</v>
      </c>
      <c r="EC281" s="2" t="n">
        <v>100</v>
      </c>
      <c r="ED281" s="2" t="n">
        <v>89</v>
      </c>
      <c r="EE281" s="2" t="n">
        <v>100</v>
      </c>
      <c r="EF281" s="2" t="n">
        <v>100</v>
      </c>
      <c r="EG281" s="2" t="n">
        <v>89</v>
      </c>
      <c r="EH281" s="2" t="n">
        <v>100</v>
      </c>
      <c r="EI281" s="2" t="n">
        <v>100</v>
      </c>
      <c r="EJ281" s="2" t="n">
        <v>89</v>
      </c>
      <c r="EK281" s="2" t="n">
        <v>100</v>
      </c>
      <c r="EL281" s="2" t="n">
        <v>100</v>
      </c>
      <c r="EM281" s="2" t="n">
        <v>89</v>
      </c>
      <c r="EN281" s="2" t="n">
        <v>100</v>
      </c>
      <c r="EO281" s="2" t="n">
        <v>100</v>
      </c>
      <c r="EP281" s="2" t="n">
        <v>89</v>
      </c>
      <c r="EQ281" s="2" t="n">
        <v>100</v>
      </c>
      <c r="ER281" s="2" t="n">
        <v>100</v>
      </c>
      <c r="ES281" s="2" t="n">
        <v>89</v>
      </c>
      <c r="ET281" s="2" t="n">
        <v>100</v>
      </c>
      <c r="EU281" s="2" t="n">
        <v>100</v>
      </c>
      <c r="EV281" s="2" t="n">
        <v>89</v>
      </c>
      <c r="EW281" s="2" t="n">
        <v>100</v>
      </c>
      <c r="EX281" s="2" t="n">
        <v>100</v>
      </c>
      <c r="EY281" s="2" t="n">
        <v>89</v>
      </c>
      <c r="EZ281" s="2" t="n">
        <v>100</v>
      </c>
      <c r="FA281" s="2" t="n">
        <v>100</v>
      </c>
      <c r="FB281" s="2" t="n">
        <v>89</v>
      </c>
      <c r="FC281" s="2" t="n">
        <v>100</v>
      </c>
      <c r="FD281" s="2" t="n">
        <v>100</v>
      </c>
      <c r="FE281" s="2" t="n">
        <v>89</v>
      </c>
      <c r="FF281" s="2" t="n">
        <v>100</v>
      </c>
      <c r="FG281" s="2" t="n">
        <v>100</v>
      </c>
      <c r="FH281" s="2" t="n">
        <v>89</v>
      </c>
      <c r="FI281" s="2" t="n">
        <v>100</v>
      </c>
      <c r="FJ281" s="2" t="n">
        <v>100</v>
      </c>
      <c r="FK281" s="2" t="n">
        <v>89</v>
      </c>
      <c r="FL281" s="2" t="n">
        <v>100</v>
      </c>
      <c r="FM281" s="2" t="n">
        <v>100</v>
      </c>
      <c r="FN281" s="2" t="n">
        <v>89</v>
      </c>
      <c r="FO281" s="2" t="n">
        <v>100</v>
      </c>
      <c r="FP281" s="2" t="n">
        <v>100</v>
      </c>
      <c r="FQ281" s="2" t="n">
        <v>89</v>
      </c>
    </row>
    <row r="282">
      <c r="A282" s="2" t="n">
        <v>2</v>
      </c>
      <c r="B282" s="2" t="inlineStr">
        <is>
          <t>14.01</t>
        </is>
      </c>
      <c r="C282" s="2" t="inlineStr">
        <is>
          <t>Terraplenagem</t>
        </is>
      </c>
      <c r="D282" s="2" t="inlineStr">
        <is>
          <t>12/08/2024</t>
        </is>
      </c>
      <c r="E282" s="2" t="inlineStr">
        <is>
          <t>22/04/2027</t>
        </is>
      </c>
      <c r="F282" s="2" t="n">
        <v>2940699.347539805</v>
      </c>
      <c r="G282" s="2" t="n">
        <v>0</v>
      </c>
      <c r="H282" s="2" t="n">
        <v>2940699.347539805</v>
      </c>
      <c r="I282" s="2" t="n">
        <v>17.14</v>
      </c>
      <c r="J282" s="2" t="n">
        <v>17.14</v>
      </c>
      <c r="K282" s="2" t="n">
        <v>0</v>
      </c>
      <c r="L282" s="2" t="n">
        <v>41.14</v>
      </c>
      <c r="M282" s="2" t="n">
        <v>41.14</v>
      </c>
      <c r="N282" s="2" t="n">
        <v>0</v>
      </c>
      <c r="O282" s="2" t="n">
        <v>64</v>
      </c>
      <c r="P282" s="2" t="n">
        <v>64</v>
      </c>
      <c r="Q282" s="2" t="n">
        <v>0</v>
      </c>
      <c r="R282" s="2" t="n">
        <v>64</v>
      </c>
      <c r="S282" s="2" t="n">
        <v>64</v>
      </c>
      <c r="T282" s="2" t="n">
        <v>0</v>
      </c>
      <c r="U282" s="2" t="n">
        <v>64</v>
      </c>
      <c r="V282" s="2" t="n">
        <v>64</v>
      </c>
      <c r="W282" s="2" t="n">
        <v>0</v>
      </c>
      <c r="X282" s="2" t="n">
        <v>72.5</v>
      </c>
      <c r="Y282" s="2" t="n">
        <v>72.5</v>
      </c>
      <c r="Z282" s="2" t="n">
        <v>0</v>
      </c>
      <c r="AA282" s="2" t="n">
        <v>82.5</v>
      </c>
      <c r="AB282" s="2" t="n">
        <v>82.5</v>
      </c>
      <c r="AC282" s="2" t="n">
        <v>0</v>
      </c>
      <c r="AD282" s="2" t="n">
        <v>89</v>
      </c>
      <c r="AE282" s="2" t="n">
        <v>89</v>
      </c>
      <c r="AF282" s="2" t="n">
        <v>0</v>
      </c>
      <c r="AG282" s="2" t="n">
        <v>89</v>
      </c>
      <c r="AH282" s="2" t="n">
        <v>89</v>
      </c>
      <c r="AI282" s="2" t="n">
        <v>84</v>
      </c>
      <c r="AJ282" s="2" t="n">
        <v>89</v>
      </c>
      <c r="AK282" s="2" t="n">
        <v>89</v>
      </c>
      <c r="AL282" s="2" t="n">
        <v>89</v>
      </c>
      <c r="AM282" s="2" t="n">
        <v>89</v>
      </c>
      <c r="AN282" s="2" t="n">
        <v>89</v>
      </c>
      <c r="AO282" s="2" t="n">
        <v>89</v>
      </c>
      <c r="AP282" s="2" t="n">
        <v>89</v>
      </c>
      <c r="AQ282" s="2" t="n">
        <v>89</v>
      </c>
      <c r="AR282" s="2" t="n">
        <v>89</v>
      </c>
      <c r="AS282" s="2" t="n">
        <v>89</v>
      </c>
      <c r="AT282" s="2" t="n">
        <v>89</v>
      </c>
      <c r="AU282" s="2" t="n">
        <v>89</v>
      </c>
      <c r="AV282" s="2" t="n">
        <v>89</v>
      </c>
      <c r="AW282" s="2" t="n">
        <v>89</v>
      </c>
      <c r="AX282" s="2" t="n">
        <v>89</v>
      </c>
      <c r="AY282" s="2" t="n">
        <v>89</v>
      </c>
      <c r="AZ282" s="2" t="n">
        <v>89</v>
      </c>
      <c r="BA282" s="2" t="n">
        <v>89</v>
      </c>
      <c r="BB282" s="2" t="n">
        <v>89</v>
      </c>
      <c r="BC282" s="2" t="n">
        <v>89</v>
      </c>
      <c r="BD282" s="2" t="n">
        <v>89</v>
      </c>
      <c r="BE282" s="2" t="n">
        <v>89</v>
      </c>
      <c r="BF282" s="2" t="n">
        <v>89</v>
      </c>
      <c r="BG282" s="2" t="n">
        <v>89</v>
      </c>
      <c r="BH282" s="2" t="n">
        <v>89</v>
      </c>
      <c r="BI282" s="2" t="n">
        <v>89</v>
      </c>
      <c r="BJ282" s="2" t="n">
        <v>89</v>
      </c>
      <c r="BK282" s="2" t="n">
        <v>89</v>
      </c>
      <c r="BL282" s="2" t="n">
        <v>89</v>
      </c>
      <c r="BM282" s="2" t="n">
        <v>89</v>
      </c>
      <c r="BN282" s="2" t="n">
        <v>89</v>
      </c>
      <c r="BO282" s="2" t="n">
        <v>89</v>
      </c>
      <c r="BP282" s="2" t="n">
        <v>89</v>
      </c>
      <c r="BQ282" s="2" t="n">
        <v>89</v>
      </c>
      <c r="BR282" s="2" t="n">
        <v>89</v>
      </c>
      <c r="BS282" s="2" t="n">
        <v>89</v>
      </c>
      <c r="BT282" s="2" t="n">
        <v>89</v>
      </c>
      <c r="BU282" s="2" t="n">
        <v>89</v>
      </c>
      <c r="BV282" s="2" t="n">
        <v>89</v>
      </c>
      <c r="BW282" s="2" t="n">
        <v>89</v>
      </c>
      <c r="BX282" s="2" t="n">
        <v>89</v>
      </c>
      <c r="BY282" s="2" t="n">
        <v>89</v>
      </c>
      <c r="BZ282" s="2" t="n">
        <v>89</v>
      </c>
      <c r="CA282" s="2" t="n">
        <v>89</v>
      </c>
      <c r="CB282" s="2" t="n">
        <v>89</v>
      </c>
      <c r="CC282" s="2" t="n">
        <v>89</v>
      </c>
      <c r="CD282" s="2" t="n">
        <v>89</v>
      </c>
      <c r="CE282" s="2" t="n">
        <v>89</v>
      </c>
      <c r="CF282" s="2" t="n">
        <v>89</v>
      </c>
      <c r="CG282" s="2" t="n">
        <v>89</v>
      </c>
      <c r="CH282" s="2" t="n">
        <v>89</v>
      </c>
      <c r="CI282" s="2" t="n">
        <v>89</v>
      </c>
      <c r="CJ282" s="2" t="n">
        <v>89</v>
      </c>
      <c r="CK282" s="2" t="n">
        <v>89</v>
      </c>
      <c r="CL282" s="2" t="n">
        <v>89</v>
      </c>
      <c r="CM282" s="2" t="n">
        <v>89</v>
      </c>
      <c r="CN282" s="2" t="n">
        <v>89</v>
      </c>
      <c r="CO282" s="2" t="n">
        <v>89</v>
      </c>
      <c r="CP282" s="2" t="n">
        <v>89</v>
      </c>
      <c r="CQ282" s="2" t="n">
        <v>89</v>
      </c>
      <c r="CR282" s="2" t="n">
        <v>89</v>
      </c>
      <c r="CS282" s="2" t="n">
        <v>89</v>
      </c>
      <c r="CT282" s="2" t="n">
        <v>89</v>
      </c>
      <c r="CU282" s="2" t="n">
        <v>89.29000000000001</v>
      </c>
      <c r="CV282" s="2" t="n">
        <v>89.29000000000001</v>
      </c>
      <c r="CW282" s="2" t="n">
        <v>89</v>
      </c>
      <c r="CX282" s="2" t="n">
        <v>95.66</v>
      </c>
      <c r="CY282" s="2" t="n">
        <v>95.66</v>
      </c>
      <c r="CZ282" s="2" t="n">
        <v>89</v>
      </c>
      <c r="DA282" s="2" t="n">
        <v>100</v>
      </c>
      <c r="DB282" s="2" t="n">
        <v>100</v>
      </c>
      <c r="DC282" s="2" t="n">
        <v>89</v>
      </c>
      <c r="DD282" s="2" t="n">
        <v>100</v>
      </c>
      <c r="DE282" s="2" t="n">
        <v>100</v>
      </c>
      <c r="DF282" s="2" t="n">
        <v>89</v>
      </c>
      <c r="DG282" s="2" t="n">
        <v>100</v>
      </c>
      <c r="DH282" s="2" t="n">
        <v>100</v>
      </c>
      <c r="DI282" s="2" t="n">
        <v>89</v>
      </c>
      <c r="DJ282" s="2" t="n">
        <v>100</v>
      </c>
      <c r="DK282" s="2" t="n">
        <v>100</v>
      </c>
      <c r="DL282" s="2" t="n">
        <v>89</v>
      </c>
      <c r="DM282" s="2" t="n">
        <v>100</v>
      </c>
      <c r="DN282" s="2" t="n">
        <v>100</v>
      </c>
      <c r="DO282" s="2" t="n">
        <v>89</v>
      </c>
      <c r="DP282" s="2" t="n">
        <v>100</v>
      </c>
      <c r="DQ282" s="2" t="n">
        <v>100</v>
      </c>
      <c r="DR282" s="2" t="n">
        <v>89</v>
      </c>
      <c r="DS282" s="2" t="n">
        <v>100</v>
      </c>
      <c r="DT282" s="2" t="n">
        <v>100</v>
      </c>
      <c r="DU282" s="2" t="n">
        <v>89</v>
      </c>
      <c r="DV282" s="2" t="n">
        <v>100</v>
      </c>
      <c r="DW282" s="2" t="n">
        <v>100</v>
      </c>
      <c r="DX282" s="2" t="n">
        <v>89</v>
      </c>
      <c r="DY282" s="2" t="n">
        <v>100</v>
      </c>
      <c r="DZ282" s="2" t="n">
        <v>100</v>
      </c>
      <c r="EA282" s="2" t="n">
        <v>89</v>
      </c>
      <c r="EB282" s="2" t="n">
        <v>100</v>
      </c>
      <c r="EC282" s="2" t="n">
        <v>100</v>
      </c>
      <c r="ED282" s="2" t="n">
        <v>89</v>
      </c>
      <c r="EE282" s="2" t="n">
        <v>100</v>
      </c>
      <c r="EF282" s="2" t="n">
        <v>100</v>
      </c>
      <c r="EG282" s="2" t="n">
        <v>89</v>
      </c>
      <c r="EH282" s="2" t="n">
        <v>100</v>
      </c>
      <c r="EI282" s="2" t="n">
        <v>100</v>
      </c>
      <c r="EJ282" s="2" t="n">
        <v>89</v>
      </c>
      <c r="EK282" s="2" t="n">
        <v>100</v>
      </c>
      <c r="EL282" s="2" t="n">
        <v>100</v>
      </c>
      <c r="EM282" s="2" t="n">
        <v>89</v>
      </c>
      <c r="EN282" s="2" t="n">
        <v>100</v>
      </c>
      <c r="EO282" s="2" t="n">
        <v>100</v>
      </c>
      <c r="EP282" s="2" t="n">
        <v>89</v>
      </c>
      <c r="EQ282" s="2" t="n">
        <v>100</v>
      </c>
      <c r="ER282" s="2" t="n">
        <v>100</v>
      </c>
      <c r="ES282" s="2" t="n">
        <v>89</v>
      </c>
      <c r="ET282" s="2" t="n">
        <v>100</v>
      </c>
      <c r="EU282" s="2" t="n">
        <v>100</v>
      </c>
      <c r="EV282" s="2" t="n">
        <v>89</v>
      </c>
      <c r="EW282" s="2" t="n">
        <v>100</v>
      </c>
      <c r="EX282" s="2" t="n">
        <v>100</v>
      </c>
      <c r="EY282" s="2" t="n">
        <v>89</v>
      </c>
      <c r="EZ282" s="2" t="n">
        <v>100</v>
      </c>
      <c r="FA282" s="2" t="n">
        <v>100</v>
      </c>
      <c r="FB282" s="2" t="n">
        <v>89</v>
      </c>
      <c r="FC282" s="2" t="n">
        <v>100</v>
      </c>
      <c r="FD282" s="2" t="n">
        <v>100</v>
      </c>
      <c r="FE282" s="2" t="n">
        <v>89</v>
      </c>
      <c r="FF282" s="2" t="n">
        <v>100</v>
      </c>
      <c r="FG282" s="2" t="n">
        <v>100</v>
      </c>
      <c r="FH282" s="2" t="n">
        <v>89</v>
      </c>
      <c r="FI282" s="2" t="n">
        <v>100</v>
      </c>
      <c r="FJ282" s="2" t="n">
        <v>100</v>
      </c>
      <c r="FK282" s="2" t="n">
        <v>89</v>
      </c>
      <c r="FL282" s="2" t="n">
        <v>100</v>
      </c>
      <c r="FM282" s="2" t="n">
        <v>100</v>
      </c>
      <c r="FN282" s="2" t="n">
        <v>89</v>
      </c>
      <c r="FO282" s="2" t="n">
        <v>100</v>
      </c>
      <c r="FP282" s="2" t="n">
        <v>100</v>
      </c>
      <c r="FQ282" s="2" t="n">
        <v>89</v>
      </c>
    </row>
    <row r="283">
      <c r="A283" s="2" t="n">
        <v>3</v>
      </c>
      <c r="B283" s="2" t="inlineStr">
        <is>
          <t>14.01.01</t>
        </is>
      </c>
      <c r="C283" s="2" t="inlineStr">
        <is>
          <t>Corte de terreno com equipamento de grande porte</t>
        </is>
      </c>
      <c r="D283" s="2" t="inlineStr">
        <is>
          <t>12/08/2024</t>
        </is>
      </c>
      <c r="E283" s="2" t="inlineStr">
        <is>
          <t>22/04/2027</t>
        </is>
      </c>
      <c r="F283" s="2" t="n">
        <v>262731.98</v>
      </c>
      <c r="G283" s="2" t="n">
        <v>0</v>
      </c>
      <c r="H283" s="2" t="n">
        <v>262731.98</v>
      </c>
      <c r="I283" s="2" t="n">
        <v>17.14</v>
      </c>
      <c r="J283" s="2" t="n">
        <v>17.14</v>
      </c>
      <c r="K283" s="2" t="n">
        <v>0</v>
      </c>
      <c r="L283" s="2" t="n">
        <v>41.14</v>
      </c>
      <c r="M283" s="2" t="n">
        <v>41.14</v>
      </c>
      <c r="N283" s="2" t="n">
        <v>0</v>
      </c>
      <c r="O283" s="2" t="n">
        <v>64</v>
      </c>
      <c r="P283" s="2" t="n">
        <v>64</v>
      </c>
      <c r="Q283" s="2" t="n">
        <v>0</v>
      </c>
      <c r="R283" s="2" t="n">
        <v>64</v>
      </c>
      <c r="S283" s="2" t="n">
        <v>64</v>
      </c>
      <c r="T283" s="2" t="n">
        <v>0</v>
      </c>
      <c r="U283" s="2" t="n">
        <v>64</v>
      </c>
      <c r="V283" s="2" t="n">
        <v>64</v>
      </c>
      <c r="W283" s="2" t="n">
        <v>0</v>
      </c>
      <c r="X283" s="2" t="n">
        <v>72.5</v>
      </c>
      <c r="Y283" s="2" t="n">
        <v>72.5</v>
      </c>
      <c r="Z283" s="2" t="n">
        <v>0</v>
      </c>
      <c r="AA283" s="2" t="n">
        <v>82.5</v>
      </c>
      <c r="AB283" s="2" t="n">
        <v>82.5</v>
      </c>
      <c r="AC283" s="2" t="n">
        <v>0</v>
      </c>
      <c r="AD283" s="2" t="n">
        <v>89</v>
      </c>
      <c r="AE283" s="2" t="n">
        <v>89</v>
      </c>
      <c r="AF283" s="2" t="n">
        <v>0</v>
      </c>
      <c r="AG283" s="2" t="n">
        <v>89</v>
      </c>
      <c r="AH283" s="2" t="n">
        <v>89</v>
      </c>
      <c r="AI283" s="2" t="n">
        <v>84</v>
      </c>
      <c r="AJ283" s="2" t="n">
        <v>89</v>
      </c>
      <c r="AK283" s="2" t="n">
        <v>89</v>
      </c>
      <c r="AL283" s="2" t="n">
        <v>89</v>
      </c>
      <c r="AM283" s="2" t="n">
        <v>89</v>
      </c>
      <c r="AN283" s="2" t="n">
        <v>89</v>
      </c>
      <c r="AO283" s="2" t="n">
        <v>89</v>
      </c>
      <c r="AP283" s="2" t="n">
        <v>89</v>
      </c>
      <c r="AQ283" s="2" t="n">
        <v>89</v>
      </c>
      <c r="AR283" s="2" t="n">
        <v>89</v>
      </c>
      <c r="AS283" s="2" t="n">
        <v>89</v>
      </c>
      <c r="AT283" s="2" t="n">
        <v>89</v>
      </c>
      <c r="AU283" s="2" t="n">
        <v>89</v>
      </c>
      <c r="AV283" s="2" t="n">
        <v>89</v>
      </c>
      <c r="AW283" s="2" t="n">
        <v>89</v>
      </c>
      <c r="AX283" s="2" t="n">
        <v>89</v>
      </c>
      <c r="AY283" s="2" t="n">
        <v>89</v>
      </c>
      <c r="AZ283" s="2" t="n">
        <v>89</v>
      </c>
      <c r="BA283" s="2" t="n">
        <v>89</v>
      </c>
      <c r="BB283" s="2" t="n">
        <v>89</v>
      </c>
      <c r="BC283" s="2" t="n">
        <v>89</v>
      </c>
      <c r="BD283" s="2" t="n">
        <v>89</v>
      </c>
      <c r="BE283" s="2" t="n">
        <v>89</v>
      </c>
      <c r="BF283" s="2" t="n">
        <v>89</v>
      </c>
      <c r="BG283" s="2" t="n">
        <v>89</v>
      </c>
      <c r="BH283" s="2" t="n">
        <v>89</v>
      </c>
      <c r="BI283" s="2" t="n">
        <v>89</v>
      </c>
      <c r="BJ283" s="2" t="n">
        <v>89</v>
      </c>
      <c r="BK283" s="2" t="n">
        <v>89</v>
      </c>
      <c r="BL283" s="2" t="n">
        <v>89</v>
      </c>
      <c r="BM283" s="2" t="n">
        <v>89</v>
      </c>
      <c r="BN283" s="2" t="n">
        <v>89</v>
      </c>
      <c r="BO283" s="2" t="n">
        <v>89</v>
      </c>
      <c r="BP283" s="2" t="n">
        <v>89</v>
      </c>
      <c r="BQ283" s="2" t="n">
        <v>89</v>
      </c>
      <c r="BR283" s="2" t="n">
        <v>89</v>
      </c>
      <c r="BS283" s="2" t="n">
        <v>89</v>
      </c>
      <c r="BT283" s="2" t="n">
        <v>89</v>
      </c>
      <c r="BU283" s="2" t="n">
        <v>89</v>
      </c>
      <c r="BV283" s="2" t="n">
        <v>89</v>
      </c>
      <c r="BW283" s="2" t="n">
        <v>89</v>
      </c>
      <c r="BX283" s="2" t="n">
        <v>89</v>
      </c>
      <c r="BY283" s="2" t="n">
        <v>89</v>
      </c>
      <c r="BZ283" s="2" t="n">
        <v>89</v>
      </c>
      <c r="CA283" s="2" t="n">
        <v>89</v>
      </c>
      <c r="CB283" s="2" t="n">
        <v>89</v>
      </c>
      <c r="CC283" s="2" t="n">
        <v>89</v>
      </c>
      <c r="CD283" s="2" t="n">
        <v>89</v>
      </c>
      <c r="CE283" s="2" t="n">
        <v>89</v>
      </c>
      <c r="CF283" s="2" t="n">
        <v>89</v>
      </c>
      <c r="CG283" s="2" t="n">
        <v>89</v>
      </c>
      <c r="CH283" s="2" t="n">
        <v>89</v>
      </c>
      <c r="CI283" s="2" t="n">
        <v>89</v>
      </c>
      <c r="CJ283" s="2" t="n">
        <v>89</v>
      </c>
      <c r="CK283" s="2" t="n">
        <v>89</v>
      </c>
      <c r="CL283" s="2" t="n">
        <v>89</v>
      </c>
      <c r="CM283" s="2" t="n">
        <v>89</v>
      </c>
      <c r="CN283" s="2" t="n">
        <v>89</v>
      </c>
      <c r="CO283" s="2" t="n">
        <v>89</v>
      </c>
      <c r="CP283" s="2" t="n">
        <v>89</v>
      </c>
      <c r="CQ283" s="2" t="n">
        <v>89</v>
      </c>
      <c r="CR283" s="2" t="n">
        <v>89</v>
      </c>
      <c r="CS283" s="2" t="n">
        <v>89</v>
      </c>
      <c r="CT283" s="2" t="n">
        <v>89</v>
      </c>
      <c r="CU283" s="2" t="n">
        <v>89.29000000000001</v>
      </c>
      <c r="CV283" s="2" t="n">
        <v>89.29000000000001</v>
      </c>
      <c r="CW283" s="2" t="n">
        <v>89</v>
      </c>
      <c r="CX283" s="2" t="n">
        <v>95.66</v>
      </c>
      <c r="CY283" s="2" t="n">
        <v>95.66</v>
      </c>
      <c r="CZ283" s="2" t="n">
        <v>89</v>
      </c>
      <c r="DA283" s="2" t="n">
        <v>100</v>
      </c>
      <c r="DB283" s="2" t="n">
        <v>100</v>
      </c>
      <c r="DC283" s="2" t="n">
        <v>89</v>
      </c>
      <c r="DD283" s="2" t="n">
        <v>100</v>
      </c>
      <c r="DE283" s="2" t="n">
        <v>100</v>
      </c>
      <c r="DF283" s="2" t="n">
        <v>89</v>
      </c>
      <c r="DG283" s="2" t="n">
        <v>100</v>
      </c>
      <c r="DH283" s="2" t="n">
        <v>100</v>
      </c>
      <c r="DI283" s="2" t="n">
        <v>89</v>
      </c>
      <c r="DJ283" s="2" t="n">
        <v>100</v>
      </c>
      <c r="DK283" s="2" t="n">
        <v>100</v>
      </c>
      <c r="DL283" s="2" t="n">
        <v>89</v>
      </c>
      <c r="DM283" s="2" t="n">
        <v>100</v>
      </c>
      <c r="DN283" s="2" t="n">
        <v>100</v>
      </c>
      <c r="DO283" s="2" t="n">
        <v>89</v>
      </c>
      <c r="DP283" s="2" t="n">
        <v>100</v>
      </c>
      <c r="DQ283" s="2" t="n">
        <v>100</v>
      </c>
      <c r="DR283" s="2" t="n">
        <v>89</v>
      </c>
      <c r="DS283" s="2" t="n">
        <v>100</v>
      </c>
      <c r="DT283" s="2" t="n">
        <v>100</v>
      </c>
      <c r="DU283" s="2" t="n">
        <v>89</v>
      </c>
      <c r="DV283" s="2" t="n">
        <v>100</v>
      </c>
      <c r="DW283" s="2" t="n">
        <v>100</v>
      </c>
      <c r="DX283" s="2" t="n">
        <v>89</v>
      </c>
      <c r="DY283" s="2" t="n">
        <v>100</v>
      </c>
      <c r="DZ283" s="2" t="n">
        <v>100</v>
      </c>
      <c r="EA283" s="2" t="n">
        <v>89</v>
      </c>
      <c r="EB283" s="2" t="n">
        <v>100</v>
      </c>
      <c r="EC283" s="2" t="n">
        <v>100</v>
      </c>
      <c r="ED283" s="2" t="n">
        <v>89</v>
      </c>
      <c r="EE283" s="2" t="n">
        <v>100</v>
      </c>
      <c r="EF283" s="2" t="n">
        <v>100</v>
      </c>
      <c r="EG283" s="2" t="n">
        <v>89</v>
      </c>
      <c r="EH283" s="2" t="n">
        <v>100</v>
      </c>
      <c r="EI283" s="2" t="n">
        <v>100</v>
      </c>
      <c r="EJ283" s="2" t="n">
        <v>89</v>
      </c>
      <c r="EK283" s="2" t="n">
        <v>100</v>
      </c>
      <c r="EL283" s="2" t="n">
        <v>100</v>
      </c>
      <c r="EM283" s="2" t="n">
        <v>89</v>
      </c>
      <c r="EN283" s="2" t="n">
        <v>100</v>
      </c>
      <c r="EO283" s="2" t="n">
        <v>100</v>
      </c>
      <c r="EP283" s="2" t="n">
        <v>89</v>
      </c>
      <c r="EQ283" s="2" t="n">
        <v>100</v>
      </c>
      <c r="ER283" s="2" t="n">
        <v>100</v>
      </c>
      <c r="ES283" s="2" t="n">
        <v>89</v>
      </c>
      <c r="ET283" s="2" t="n">
        <v>100</v>
      </c>
      <c r="EU283" s="2" t="n">
        <v>100</v>
      </c>
      <c r="EV283" s="2" t="n">
        <v>89</v>
      </c>
      <c r="EW283" s="2" t="n">
        <v>100</v>
      </c>
      <c r="EX283" s="2" t="n">
        <v>100</v>
      </c>
      <c r="EY283" s="2" t="n">
        <v>89</v>
      </c>
      <c r="EZ283" s="2" t="n">
        <v>100</v>
      </c>
      <c r="FA283" s="2" t="n">
        <v>100</v>
      </c>
      <c r="FB283" s="2" t="n">
        <v>89</v>
      </c>
      <c r="FC283" s="2" t="n">
        <v>100</v>
      </c>
      <c r="FD283" s="2" t="n">
        <v>100</v>
      </c>
      <c r="FE283" s="2" t="n">
        <v>89</v>
      </c>
      <c r="FF283" s="2" t="n">
        <v>100</v>
      </c>
      <c r="FG283" s="2" t="n">
        <v>100</v>
      </c>
      <c r="FH283" s="2" t="n">
        <v>89</v>
      </c>
      <c r="FI283" s="2" t="n">
        <v>100</v>
      </c>
      <c r="FJ283" s="2" t="n">
        <v>100</v>
      </c>
      <c r="FK283" s="2" t="n">
        <v>89</v>
      </c>
      <c r="FL283" s="2" t="n">
        <v>100</v>
      </c>
      <c r="FM283" s="2" t="n">
        <v>100</v>
      </c>
      <c r="FN283" s="2" t="n">
        <v>89</v>
      </c>
      <c r="FO283" s="2" t="n">
        <v>100</v>
      </c>
      <c r="FP283" s="2" t="n">
        <v>100</v>
      </c>
      <c r="FQ283" s="2" t="n">
        <v>89</v>
      </c>
    </row>
    <row r="284">
      <c r="A284" s="2" t="n">
        <v>3</v>
      </c>
      <c r="B284" s="2" t="inlineStr">
        <is>
          <t>14.01.02</t>
        </is>
      </c>
      <c r="C284" s="2" t="inlineStr">
        <is>
          <t>Corte de terreno com equipamento de pequeno porte</t>
        </is>
      </c>
      <c r="D284" s="2" t="inlineStr">
        <is>
          <t>12/08/2024</t>
        </is>
      </c>
      <c r="E284" s="2" t="inlineStr">
        <is>
          <t>22/04/2027</t>
        </is>
      </c>
      <c r="F284" s="2" t="n">
        <v>28000</v>
      </c>
      <c r="G284" s="2" t="n">
        <v>0</v>
      </c>
      <c r="H284" s="2" t="n">
        <v>28000</v>
      </c>
      <c r="I284" s="2" t="n">
        <v>17.14</v>
      </c>
      <c r="J284" s="2" t="n">
        <v>17.14</v>
      </c>
      <c r="K284" s="2" t="n">
        <v>0</v>
      </c>
      <c r="L284" s="2" t="n">
        <v>41.14</v>
      </c>
      <c r="M284" s="2" t="n">
        <v>41.14</v>
      </c>
      <c r="N284" s="2" t="n">
        <v>0</v>
      </c>
      <c r="O284" s="2" t="n">
        <v>64</v>
      </c>
      <c r="P284" s="2" t="n">
        <v>64</v>
      </c>
      <c r="Q284" s="2" t="n">
        <v>0</v>
      </c>
      <c r="R284" s="2" t="n">
        <v>64</v>
      </c>
      <c r="S284" s="2" t="n">
        <v>64</v>
      </c>
      <c r="T284" s="2" t="n">
        <v>0</v>
      </c>
      <c r="U284" s="2" t="n">
        <v>64</v>
      </c>
      <c r="V284" s="2" t="n">
        <v>64</v>
      </c>
      <c r="W284" s="2" t="n">
        <v>0</v>
      </c>
      <c r="X284" s="2" t="n">
        <v>72.5</v>
      </c>
      <c r="Y284" s="2" t="n">
        <v>72.5</v>
      </c>
      <c r="Z284" s="2" t="n">
        <v>0</v>
      </c>
      <c r="AA284" s="2" t="n">
        <v>82.5</v>
      </c>
      <c r="AB284" s="2" t="n">
        <v>82.5</v>
      </c>
      <c r="AC284" s="2" t="n">
        <v>0</v>
      </c>
      <c r="AD284" s="2" t="n">
        <v>89</v>
      </c>
      <c r="AE284" s="2" t="n">
        <v>89</v>
      </c>
      <c r="AF284" s="2" t="n">
        <v>0</v>
      </c>
      <c r="AG284" s="2" t="n">
        <v>89</v>
      </c>
      <c r="AH284" s="2" t="n">
        <v>89</v>
      </c>
      <c r="AI284" s="2" t="n">
        <v>84</v>
      </c>
      <c r="AJ284" s="2" t="n">
        <v>89</v>
      </c>
      <c r="AK284" s="2" t="n">
        <v>89</v>
      </c>
      <c r="AL284" s="2" t="n">
        <v>89</v>
      </c>
      <c r="AM284" s="2" t="n">
        <v>89</v>
      </c>
      <c r="AN284" s="2" t="n">
        <v>89</v>
      </c>
      <c r="AO284" s="2" t="n">
        <v>89</v>
      </c>
      <c r="AP284" s="2" t="n">
        <v>89</v>
      </c>
      <c r="AQ284" s="2" t="n">
        <v>89</v>
      </c>
      <c r="AR284" s="2" t="n">
        <v>89</v>
      </c>
      <c r="AS284" s="2" t="n">
        <v>89</v>
      </c>
      <c r="AT284" s="2" t="n">
        <v>89</v>
      </c>
      <c r="AU284" s="2" t="n">
        <v>89</v>
      </c>
      <c r="AV284" s="2" t="n">
        <v>89</v>
      </c>
      <c r="AW284" s="2" t="n">
        <v>89</v>
      </c>
      <c r="AX284" s="2" t="n">
        <v>89</v>
      </c>
      <c r="AY284" s="2" t="n">
        <v>89</v>
      </c>
      <c r="AZ284" s="2" t="n">
        <v>89</v>
      </c>
      <c r="BA284" s="2" t="n">
        <v>89</v>
      </c>
      <c r="BB284" s="2" t="n">
        <v>89</v>
      </c>
      <c r="BC284" s="2" t="n">
        <v>89</v>
      </c>
      <c r="BD284" s="2" t="n">
        <v>89</v>
      </c>
      <c r="BE284" s="2" t="n">
        <v>89</v>
      </c>
      <c r="BF284" s="2" t="n">
        <v>89</v>
      </c>
      <c r="BG284" s="2" t="n">
        <v>89</v>
      </c>
      <c r="BH284" s="2" t="n">
        <v>89</v>
      </c>
      <c r="BI284" s="2" t="n">
        <v>89</v>
      </c>
      <c r="BJ284" s="2" t="n">
        <v>89</v>
      </c>
      <c r="BK284" s="2" t="n">
        <v>89</v>
      </c>
      <c r="BL284" s="2" t="n">
        <v>89</v>
      </c>
      <c r="BM284" s="2" t="n">
        <v>89</v>
      </c>
      <c r="BN284" s="2" t="n">
        <v>89</v>
      </c>
      <c r="BO284" s="2" t="n">
        <v>89</v>
      </c>
      <c r="BP284" s="2" t="n">
        <v>89</v>
      </c>
      <c r="BQ284" s="2" t="n">
        <v>89</v>
      </c>
      <c r="BR284" s="2" t="n">
        <v>89</v>
      </c>
      <c r="BS284" s="2" t="n">
        <v>89</v>
      </c>
      <c r="BT284" s="2" t="n">
        <v>89</v>
      </c>
      <c r="BU284" s="2" t="n">
        <v>89</v>
      </c>
      <c r="BV284" s="2" t="n">
        <v>89</v>
      </c>
      <c r="BW284" s="2" t="n">
        <v>89</v>
      </c>
      <c r="BX284" s="2" t="n">
        <v>89</v>
      </c>
      <c r="BY284" s="2" t="n">
        <v>89</v>
      </c>
      <c r="BZ284" s="2" t="n">
        <v>89</v>
      </c>
      <c r="CA284" s="2" t="n">
        <v>89</v>
      </c>
      <c r="CB284" s="2" t="n">
        <v>89</v>
      </c>
      <c r="CC284" s="2" t="n">
        <v>89</v>
      </c>
      <c r="CD284" s="2" t="n">
        <v>89</v>
      </c>
      <c r="CE284" s="2" t="n">
        <v>89</v>
      </c>
      <c r="CF284" s="2" t="n">
        <v>89</v>
      </c>
      <c r="CG284" s="2" t="n">
        <v>89</v>
      </c>
      <c r="CH284" s="2" t="n">
        <v>89</v>
      </c>
      <c r="CI284" s="2" t="n">
        <v>89</v>
      </c>
      <c r="CJ284" s="2" t="n">
        <v>89</v>
      </c>
      <c r="CK284" s="2" t="n">
        <v>89</v>
      </c>
      <c r="CL284" s="2" t="n">
        <v>89</v>
      </c>
      <c r="CM284" s="2" t="n">
        <v>89</v>
      </c>
      <c r="CN284" s="2" t="n">
        <v>89</v>
      </c>
      <c r="CO284" s="2" t="n">
        <v>89</v>
      </c>
      <c r="CP284" s="2" t="n">
        <v>89</v>
      </c>
      <c r="CQ284" s="2" t="n">
        <v>89</v>
      </c>
      <c r="CR284" s="2" t="n">
        <v>89</v>
      </c>
      <c r="CS284" s="2" t="n">
        <v>89</v>
      </c>
      <c r="CT284" s="2" t="n">
        <v>89</v>
      </c>
      <c r="CU284" s="2" t="n">
        <v>89.29000000000001</v>
      </c>
      <c r="CV284" s="2" t="n">
        <v>89.29000000000001</v>
      </c>
      <c r="CW284" s="2" t="n">
        <v>89</v>
      </c>
      <c r="CX284" s="2" t="n">
        <v>95.66</v>
      </c>
      <c r="CY284" s="2" t="n">
        <v>95.66</v>
      </c>
      <c r="CZ284" s="2" t="n">
        <v>89</v>
      </c>
      <c r="DA284" s="2" t="n">
        <v>100</v>
      </c>
      <c r="DB284" s="2" t="n">
        <v>100</v>
      </c>
      <c r="DC284" s="2" t="n">
        <v>89</v>
      </c>
      <c r="DD284" s="2" t="n">
        <v>100</v>
      </c>
      <c r="DE284" s="2" t="n">
        <v>100</v>
      </c>
      <c r="DF284" s="2" t="n">
        <v>89</v>
      </c>
      <c r="DG284" s="2" t="n">
        <v>100</v>
      </c>
      <c r="DH284" s="2" t="n">
        <v>100</v>
      </c>
      <c r="DI284" s="2" t="n">
        <v>89</v>
      </c>
      <c r="DJ284" s="2" t="n">
        <v>100</v>
      </c>
      <c r="DK284" s="2" t="n">
        <v>100</v>
      </c>
      <c r="DL284" s="2" t="n">
        <v>89</v>
      </c>
      <c r="DM284" s="2" t="n">
        <v>100</v>
      </c>
      <c r="DN284" s="2" t="n">
        <v>100</v>
      </c>
      <c r="DO284" s="2" t="n">
        <v>89</v>
      </c>
      <c r="DP284" s="2" t="n">
        <v>100</v>
      </c>
      <c r="DQ284" s="2" t="n">
        <v>100</v>
      </c>
      <c r="DR284" s="2" t="n">
        <v>89</v>
      </c>
      <c r="DS284" s="2" t="n">
        <v>100</v>
      </c>
      <c r="DT284" s="2" t="n">
        <v>100</v>
      </c>
      <c r="DU284" s="2" t="n">
        <v>89</v>
      </c>
      <c r="DV284" s="2" t="n">
        <v>100</v>
      </c>
      <c r="DW284" s="2" t="n">
        <v>100</v>
      </c>
      <c r="DX284" s="2" t="n">
        <v>89</v>
      </c>
      <c r="DY284" s="2" t="n">
        <v>100</v>
      </c>
      <c r="DZ284" s="2" t="n">
        <v>100</v>
      </c>
      <c r="EA284" s="2" t="n">
        <v>89</v>
      </c>
      <c r="EB284" s="2" t="n">
        <v>100</v>
      </c>
      <c r="EC284" s="2" t="n">
        <v>100</v>
      </c>
      <c r="ED284" s="2" t="n">
        <v>89</v>
      </c>
      <c r="EE284" s="2" t="n">
        <v>100</v>
      </c>
      <c r="EF284" s="2" t="n">
        <v>100</v>
      </c>
      <c r="EG284" s="2" t="n">
        <v>89</v>
      </c>
      <c r="EH284" s="2" t="n">
        <v>100</v>
      </c>
      <c r="EI284" s="2" t="n">
        <v>100</v>
      </c>
      <c r="EJ284" s="2" t="n">
        <v>89</v>
      </c>
      <c r="EK284" s="2" t="n">
        <v>100</v>
      </c>
      <c r="EL284" s="2" t="n">
        <v>100</v>
      </c>
      <c r="EM284" s="2" t="n">
        <v>89</v>
      </c>
      <c r="EN284" s="2" t="n">
        <v>100</v>
      </c>
      <c r="EO284" s="2" t="n">
        <v>100</v>
      </c>
      <c r="EP284" s="2" t="n">
        <v>89</v>
      </c>
      <c r="EQ284" s="2" t="n">
        <v>100</v>
      </c>
      <c r="ER284" s="2" t="n">
        <v>100</v>
      </c>
      <c r="ES284" s="2" t="n">
        <v>89</v>
      </c>
      <c r="ET284" s="2" t="n">
        <v>100</v>
      </c>
      <c r="EU284" s="2" t="n">
        <v>100</v>
      </c>
      <c r="EV284" s="2" t="n">
        <v>89</v>
      </c>
      <c r="EW284" s="2" t="n">
        <v>100</v>
      </c>
      <c r="EX284" s="2" t="n">
        <v>100</v>
      </c>
      <c r="EY284" s="2" t="n">
        <v>89</v>
      </c>
      <c r="EZ284" s="2" t="n">
        <v>100</v>
      </c>
      <c r="FA284" s="2" t="n">
        <v>100</v>
      </c>
      <c r="FB284" s="2" t="n">
        <v>89</v>
      </c>
      <c r="FC284" s="2" t="n">
        <v>100</v>
      </c>
      <c r="FD284" s="2" t="n">
        <v>100</v>
      </c>
      <c r="FE284" s="2" t="n">
        <v>89</v>
      </c>
      <c r="FF284" s="2" t="n">
        <v>100</v>
      </c>
      <c r="FG284" s="2" t="n">
        <v>100</v>
      </c>
      <c r="FH284" s="2" t="n">
        <v>89</v>
      </c>
      <c r="FI284" s="2" t="n">
        <v>100</v>
      </c>
      <c r="FJ284" s="2" t="n">
        <v>100</v>
      </c>
      <c r="FK284" s="2" t="n">
        <v>89</v>
      </c>
      <c r="FL284" s="2" t="n">
        <v>100</v>
      </c>
      <c r="FM284" s="2" t="n">
        <v>100</v>
      </c>
      <c r="FN284" s="2" t="n">
        <v>89</v>
      </c>
      <c r="FO284" s="2" t="n">
        <v>100</v>
      </c>
      <c r="FP284" s="2" t="n">
        <v>100</v>
      </c>
      <c r="FQ284" s="2" t="n">
        <v>89</v>
      </c>
    </row>
    <row r="285">
      <c r="A285" s="2" t="n">
        <v>3</v>
      </c>
      <c r="B285" s="2" t="inlineStr">
        <is>
          <t>14.01.03</t>
        </is>
      </c>
      <c r="C285" s="2" t="inlineStr">
        <is>
          <t>Acerto manual de terreno</t>
        </is>
      </c>
      <c r="D285" s="2" t="inlineStr">
        <is>
          <t>12/08/2024</t>
        </is>
      </c>
      <c r="E285" s="2" t="inlineStr">
        <is>
          <t>22/04/2027</t>
        </is>
      </c>
      <c r="F285" s="2" t="n">
        <v>138817.3675398054</v>
      </c>
      <c r="G285" s="2" t="n">
        <v>0</v>
      </c>
      <c r="H285" s="2" t="n">
        <v>138817.3675398054</v>
      </c>
      <c r="I285" s="2" t="n">
        <v>17.14</v>
      </c>
      <c r="J285" s="2" t="n">
        <v>17.14</v>
      </c>
      <c r="K285" s="2" t="n">
        <v>0</v>
      </c>
      <c r="L285" s="2" t="n">
        <v>41.14</v>
      </c>
      <c r="M285" s="2" t="n">
        <v>41.14</v>
      </c>
      <c r="N285" s="2" t="n">
        <v>0</v>
      </c>
      <c r="O285" s="2" t="n">
        <v>64</v>
      </c>
      <c r="P285" s="2" t="n">
        <v>64</v>
      </c>
      <c r="Q285" s="2" t="n">
        <v>0</v>
      </c>
      <c r="R285" s="2" t="n">
        <v>64</v>
      </c>
      <c r="S285" s="2" t="n">
        <v>64</v>
      </c>
      <c r="T285" s="2" t="n">
        <v>0</v>
      </c>
      <c r="U285" s="2" t="n">
        <v>64</v>
      </c>
      <c r="V285" s="2" t="n">
        <v>64</v>
      </c>
      <c r="W285" s="2" t="n">
        <v>0</v>
      </c>
      <c r="X285" s="2" t="n">
        <v>72.5</v>
      </c>
      <c r="Y285" s="2" t="n">
        <v>72.5</v>
      </c>
      <c r="Z285" s="2" t="n">
        <v>0</v>
      </c>
      <c r="AA285" s="2" t="n">
        <v>82.5</v>
      </c>
      <c r="AB285" s="2" t="n">
        <v>82.5</v>
      </c>
      <c r="AC285" s="2" t="n">
        <v>0</v>
      </c>
      <c r="AD285" s="2" t="n">
        <v>89</v>
      </c>
      <c r="AE285" s="2" t="n">
        <v>89</v>
      </c>
      <c r="AF285" s="2" t="n">
        <v>0</v>
      </c>
      <c r="AG285" s="2" t="n">
        <v>89</v>
      </c>
      <c r="AH285" s="2" t="n">
        <v>89</v>
      </c>
      <c r="AI285" s="2" t="n">
        <v>84</v>
      </c>
      <c r="AJ285" s="2" t="n">
        <v>89</v>
      </c>
      <c r="AK285" s="2" t="n">
        <v>89</v>
      </c>
      <c r="AL285" s="2" t="n">
        <v>89</v>
      </c>
      <c r="AM285" s="2" t="n">
        <v>89</v>
      </c>
      <c r="AN285" s="2" t="n">
        <v>89</v>
      </c>
      <c r="AO285" s="2" t="n">
        <v>89</v>
      </c>
      <c r="AP285" s="2" t="n">
        <v>89</v>
      </c>
      <c r="AQ285" s="2" t="n">
        <v>89</v>
      </c>
      <c r="AR285" s="2" t="n">
        <v>89</v>
      </c>
      <c r="AS285" s="2" t="n">
        <v>89</v>
      </c>
      <c r="AT285" s="2" t="n">
        <v>89</v>
      </c>
      <c r="AU285" s="2" t="n">
        <v>89</v>
      </c>
      <c r="AV285" s="2" t="n">
        <v>89</v>
      </c>
      <c r="AW285" s="2" t="n">
        <v>89</v>
      </c>
      <c r="AX285" s="2" t="n">
        <v>89</v>
      </c>
      <c r="AY285" s="2" t="n">
        <v>89</v>
      </c>
      <c r="AZ285" s="2" t="n">
        <v>89</v>
      </c>
      <c r="BA285" s="2" t="n">
        <v>89</v>
      </c>
      <c r="BB285" s="2" t="n">
        <v>89</v>
      </c>
      <c r="BC285" s="2" t="n">
        <v>89</v>
      </c>
      <c r="BD285" s="2" t="n">
        <v>89</v>
      </c>
      <c r="BE285" s="2" t="n">
        <v>89</v>
      </c>
      <c r="BF285" s="2" t="n">
        <v>89</v>
      </c>
      <c r="BG285" s="2" t="n">
        <v>89</v>
      </c>
      <c r="BH285" s="2" t="n">
        <v>89</v>
      </c>
      <c r="BI285" s="2" t="n">
        <v>89</v>
      </c>
      <c r="BJ285" s="2" t="n">
        <v>89</v>
      </c>
      <c r="BK285" s="2" t="n">
        <v>89</v>
      </c>
      <c r="BL285" s="2" t="n">
        <v>89</v>
      </c>
      <c r="BM285" s="2" t="n">
        <v>89</v>
      </c>
      <c r="BN285" s="2" t="n">
        <v>89</v>
      </c>
      <c r="BO285" s="2" t="n">
        <v>89</v>
      </c>
      <c r="BP285" s="2" t="n">
        <v>89</v>
      </c>
      <c r="BQ285" s="2" t="n">
        <v>89</v>
      </c>
      <c r="BR285" s="2" t="n">
        <v>89</v>
      </c>
      <c r="BS285" s="2" t="n">
        <v>89</v>
      </c>
      <c r="BT285" s="2" t="n">
        <v>89</v>
      </c>
      <c r="BU285" s="2" t="n">
        <v>89</v>
      </c>
      <c r="BV285" s="2" t="n">
        <v>89</v>
      </c>
      <c r="BW285" s="2" t="n">
        <v>89</v>
      </c>
      <c r="BX285" s="2" t="n">
        <v>89</v>
      </c>
      <c r="BY285" s="2" t="n">
        <v>89</v>
      </c>
      <c r="BZ285" s="2" t="n">
        <v>89</v>
      </c>
      <c r="CA285" s="2" t="n">
        <v>89</v>
      </c>
      <c r="CB285" s="2" t="n">
        <v>89</v>
      </c>
      <c r="CC285" s="2" t="n">
        <v>89</v>
      </c>
      <c r="CD285" s="2" t="n">
        <v>89</v>
      </c>
      <c r="CE285" s="2" t="n">
        <v>89</v>
      </c>
      <c r="CF285" s="2" t="n">
        <v>89</v>
      </c>
      <c r="CG285" s="2" t="n">
        <v>89</v>
      </c>
      <c r="CH285" s="2" t="n">
        <v>89</v>
      </c>
      <c r="CI285" s="2" t="n">
        <v>89</v>
      </c>
      <c r="CJ285" s="2" t="n">
        <v>89</v>
      </c>
      <c r="CK285" s="2" t="n">
        <v>89</v>
      </c>
      <c r="CL285" s="2" t="n">
        <v>89</v>
      </c>
      <c r="CM285" s="2" t="n">
        <v>89</v>
      </c>
      <c r="CN285" s="2" t="n">
        <v>89</v>
      </c>
      <c r="CO285" s="2" t="n">
        <v>89</v>
      </c>
      <c r="CP285" s="2" t="n">
        <v>89</v>
      </c>
      <c r="CQ285" s="2" t="n">
        <v>89</v>
      </c>
      <c r="CR285" s="2" t="n">
        <v>89</v>
      </c>
      <c r="CS285" s="2" t="n">
        <v>89</v>
      </c>
      <c r="CT285" s="2" t="n">
        <v>89</v>
      </c>
      <c r="CU285" s="2" t="n">
        <v>89.29000000000001</v>
      </c>
      <c r="CV285" s="2" t="n">
        <v>89.29000000000001</v>
      </c>
      <c r="CW285" s="2" t="n">
        <v>89</v>
      </c>
      <c r="CX285" s="2" t="n">
        <v>95.66</v>
      </c>
      <c r="CY285" s="2" t="n">
        <v>95.66</v>
      </c>
      <c r="CZ285" s="2" t="n">
        <v>89</v>
      </c>
      <c r="DA285" s="2" t="n">
        <v>100</v>
      </c>
      <c r="DB285" s="2" t="n">
        <v>100</v>
      </c>
      <c r="DC285" s="2" t="n">
        <v>89</v>
      </c>
      <c r="DD285" s="2" t="n">
        <v>100</v>
      </c>
      <c r="DE285" s="2" t="n">
        <v>100</v>
      </c>
      <c r="DF285" s="2" t="n">
        <v>89</v>
      </c>
      <c r="DG285" s="2" t="n">
        <v>100</v>
      </c>
      <c r="DH285" s="2" t="n">
        <v>100</v>
      </c>
      <c r="DI285" s="2" t="n">
        <v>89</v>
      </c>
      <c r="DJ285" s="2" t="n">
        <v>100</v>
      </c>
      <c r="DK285" s="2" t="n">
        <v>100</v>
      </c>
      <c r="DL285" s="2" t="n">
        <v>89</v>
      </c>
      <c r="DM285" s="2" t="n">
        <v>100</v>
      </c>
      <c r="DN285" s="2" t="n">
        <v>100</v>
      </c>
      <c r="DO285" s="2" t="n">
        <v>89</v>
      </c>
      <c r="DP285" s="2" t="n">
        <v>100</v>
      </c>
      <c r="DQ285" s="2" t="n">
        <v>100</v>
      </c>
      <c r="DR285" s="2" t="n">
        <v>89</v>
      </c>
      <c r="DS285" s="2" t="n">
        <v>100</v>
      </c>
      <c r="DT285" s="2" t="n">
        <v>100</v>
      </c>
      <c r="DU285" s="2" t="n">
        <v>89</v>
      </c>
      <c r="DV285" s="2" t="n">
        <v>100</v>
      </c>
      <c r="DW285" s="2" t="n">
        <v>100</v>
      </c>
      <c r="DX285" s="2" t="n">
        <v>89</v>
      </c>
      <c r="DY285" s="2" t="n">
        <v>100</v>
      </c>
      <c r="DZ285" s="2" t="n">
        <v>100</v>
      </c>
      <c r="EA285" s="2" t="n">
        <v>89</v>
      </c>
      <c r="EB285" s="2" t="n">
        <v>100</v>
      </c>
      <c r="EC285" s="2" t="n">
        <v>100</v>
      </c>
      <c r="ED285" s="2" t="n">
        <v>89</v>
      </c>
      <c r="EE285" s="2" t="n">
        <v>100</v>
      </c>
      <c r="EF285" s="2" t="n">
        <v>100</v>
      </c>
      <c r="EG285" s="2" t="n">
        <v>89</v>
      </c>
      <c r="EH285" s="2" t="n">
        <v>100</v>
      </c>
      <c r="EI285" s="2" t="n">
        <v>100</v>
      </c>
      <c r="EJ285" s="2" t="n">
        <v>89</v>
      </c>
      <c r="EK285" s="2" t="n">
        <v>100</v>
      </c>
      <c r="EL285" s="2" t="n">
        <v>100</v>
      </c>
      <c r="EM285" s="2" t="n">
        <v>89</v>
      </c>
      <c r="EN285" s="2" t="n">
        <v>100</v>
      </c>
      <c r="EO285" s="2" t="n">
        <v>100</v>
      </c>
      <c r="EP285" s="2" t="n">
        <v>89</v>
      </c>
      <c r="EQ285" s="2" t="n">
        <v>100</v>
      </c>
      <c r="ER285" s="2" t="n">
        <v>100</v>
      </c>
      <c r="ES285" s="2" t="n">
        <v>89</v>
      </c>
      <c r="ET285" s="2" t="n">
        <v>100</v>
      </c>
      <c r="EU285" s="2" t="n">
        <v>100</v>
      </c>
      <c r="EV285" s="2" t="n">
        <v>89</v>
      </c>
      <c r="EW285" s="2" t="n">
        <v>100</v>
      </c>
      <c r="EX285" s="2" t="n">
        <v>100</v>
      </c>
      <c r="EY285" s="2" t="n">
        <v>89</v>
      </c>
      <c r="EZ285" s="2" t="n">
        <v>100</v>
      </c>
      <c r="FA285" s="2" t="n">
        <v>100</v>
      </c>
      <c r="FB285" s="2" t="n">
        <v>89</v>
      </c>
      <c r="FC285" s="2" t="n">
        <v>100</v>
      </c>
      <c r="FD285" s="2" t="n">
        <v>100</v>
      </c>
      <c r="FE285" s="2" t="n">
        <v>89</v>
      </c>
      <c r="FF285" s="2" t="n">
        <v>100</v>
      </c>
      <c r="FG285" s="2" t="n">
        <v>100</v>
      </c>
      <c r="FH285" s="2" t="n">
        <v>89</v>
      </c>
      <c r="FI285" s="2" t="n">
        <v>100</v>
      </c>
      <c r="FJ285" s="2" t="n">
        <v>100</v>
      </c>
      <c r="FK285" s="2" t="n">
        <v>89</v>
      </c>
      <c r="FL285" s="2" t="n">
        <v>100</v>
      </c>
      <c r="FM285" s="2" t="n">
        <v>100</v>
      </c>
      <c r="FN285" s="2" t="n">
        <v>89</v>
      </c>
      <c r="FO285" s="2" t="n">
        <v>100</v>
      </c>
      <c r="FP285" s="2" t="n">
        <v>100</v>
      </c>
      <c r="FQ285" s="2" t="n">
        <v>89</v>
      </c>
    </row>
    <row r="286">
      <c r="A286" s="2" t="n">
        <v>3</v>
      </c>
      <c r="B286" s="2" t="inlineStr">
        <is>
          <t>14.01.04</t>
        </is>
      </c>
      <c r="C286" s="2" t="inlineStr">
        <is>
          <t>Retirada de terra com caminhão basculante</t>
        </is>
      </c>
      <c r="D286" s="2" t="inlineStr">
        <is>
          <t>12/08/2024</t>
        </is>
      </c>
      <c r="E286" s="2" t="inlineStr">
        <is>
          <t>22/04/2027</t>
        </is>
      </c>
      <c r="F286" s="2" t="n">
        <v>2496150</v>
      </c>
      <c r="G286" s="2" t="n">
        <v>0</v>
      </c>
      <c r="H286" s="2" t="n">
        <v>2496150</v>
      </c>
      <c r="I286" s="2" t="n">
        <v>17.14</v>
      </c>
      <c r="J286" s="2" t="n">
        <v>17.14</v>
      </c>
      <c r="K286" s="2" t="n">
        <v>0</v>
      </c>
      <c r="L286" s="2" t="n">
        <v>41.14</v>
      </c>
      <c r="M286" s="2" t="n">
        <v>41.14</v>
      </c>
      <c r="N286" s="2" t="n">
        <v>0</v>
      </c>
      <c r="O286" s="2" t="n">
        <v>64</v>
      </c>
      <c r="P286" s="2" t="n">
        <v>64</v>
      </c>
      <c r="Q286" s="2" t="n">
        <v>0</v>
      </c>
      <c r="R286" s="2" t="n">
        <v>64</v>
      </c>
      <c r="S286" s="2" t="n">
        <v>64</v>
      </c>
      <c r="T286" s="2" t="n">
        <v>0</v>
      </c>
      <c r="U286" s="2" t="n">
        <v>64</v>
      </c>
      <c r="V286" s="2" t="n">
        <v>64</v>
      </c>
      <c r="W286" s="2" t="n">
        <v>0</v>
      </c>
      <c r="X286" s="2" t="n">
        <v>72.5</v>
      </c>
      <c r="Y286" s="2" t="n">
        <v>72.5</v>
      </c>
      <c r="Z286" s="2" t="n">
        <v>0</v>
      </c>
      <c r="AA286" s="2" t="n">
        <v>82.5</v>
      </c>
      <c r="AB286" s="2" t="n">
        <v>82.5</v>
      </c>
      <c r="AC286" s="2" t="n">
        <v>0</v>
      </c>
      <c r="AD286" s="2" t="n">
        <v>89</v>
      </c>
      <c r="AE286" s="2" t="n">
        <v>89</v>
      </c>
      <c r="AF286" s="2" t="n">
        <v>0</v>
      </c>
      <c r="AG286" s="2" t="n">
        <v>89</v>
      </c>
      <c r="AH286" s="2" t="n">
        <v>89</v>
      </c>
      <c r="AI286" s="2" t="n">
        <v>84</v>
      </c>
      <c r="AJ286" s="2" t="n">
        <v>89</v>
      </c>
      <c r="AK286" s="2" t="n">
        <v>89</v>
      </c>
      <c r="AL286" s="2" t="n">
        <v>89</v>
      </c>
      <c r="AM286" s="2" t="n">
        <v>89</v>
      </c>
      <c r="AN286" s="2" t="n">
        <v>89</v>
      </c>
      <c r="AO286" s="2" t="n">
        <v>89</v>
      </c>
      <c r="AP286" s="2" t="n">
        <v>89</v>
      </c>
      <c r="AQ286" s="2" t="n">
        <v>89</v>
      </c>
      <c r="AR286" s="2" t="n">
        <v>89</v>
      </c>
      <c r="AS286" s="2" t="n">
        <v>89</v>
      </c>
      <c r="AT286" s="2" t="n">
        <v>89</v>
      </c>
      <c r="AU286" s="2" t="n">
        <v>89</v>
      </c>
      <c r="AV286" s="2" t="n">
        <v>89</v>
      </c>
      <c r="AW286" s="2" t="n">
        <v>89</v>
      </c>
      <c r="AX286" s="2" t="n">
        <v>89</v>
      </c>
      <c r="AY286" s="2" t="n">
        <v>89</v>
      </c>
      <c r="AZ286" s="2" t="n">
        <v>89</v>
      </c>
      <c r="BA286" s="2" t="n">
        <v>89</v>
      </c>
      <c r="BB286" s="2" t="n">
        <v>89</v>
      </c>
      <c r="BC286" s="2" t="n">
        <v>89</v>
      </c>
      <c r="BD286" s="2" t="n">
        <v>89</v>
      </c>
      <c r="BE286" s="2" t="n">
        <v>89</v>
      </c>
      <c r="BF286" s="2" t="n">
        <v>89</v>
      </c>
      <c r="BG286" s="2" t="n">
        <v>89</v>
      </c>
      <c r="BH286" s="2" t="n">
        <v>89</v>
      </c>
      <c r="BI286" s="2" t="n">
        <v>89</v>
      </c>
      <c r="BJ286" s="2" t="n">
        <v>89</v>
      </c>
      <c r="BK286" s="2" t="n">
        <v>89</v>
      </c>
      <c r="BL286" s="2" t="n">
        <v>89</v>
      </c>
      <c r="BM286" s="2" t="n">
        <v>89</v>
      </c>
      <c r="BN286" s="2" t="n">
        <v>89</v>
      </c>
      <c r="BO286" s="2" t="n">
        <v>89</v>
      </c>
      <c r="BP286" s="2" t="n">
        <v>89</v>
      </c>
      <c r="BQ286" s="2" t="n">
        <v>89</v>
      </c>
      <c r="BR286" s="2" t="n">
        <v>89</v>
      </c>
      <c r="BS286" s="2" t="n">
        <v>89</v>
      </c>
      <c r="BT286" s="2" t="n">
        <v>89</v>
      </c>
      <c r="BU286" s="2" t="n">
        <v>89</v>
      </c>
      <c r="BV286" s="2" t="n">
        <v>89</v>
      </c>
      <c r="BW286" s="2" t="n">
        <v>89</v>
      </c>
      <c r="BX286" s="2" t="n">
        <v>89</v>
      </c>
      <c r="BY286" s="2" t="n">
        <v>89</v>
      </c>
      <c r="BZ286" s="2" t="n">
        <v>89</v>
      </c>
      <c r="CA286" s="2" t="n">
        <v>89</v>
      </c>
      <c r="CB286" s="2" t="n">
        <v>89</v>
      </c>
      <c r="CC286" s="2" t="n">
        <v>89</v>
      </c>
      <c r="CD286" s="2" t="n">
        <v>89</v>
      </c>
      <c r="CE286" s="2" t="n">
        <v>89</v>
      </c>
      <c r="CF286" s="2" t="n">
        <v>89</v>
      </c>
      <c r="CG286" s="2" t="n">
        <v>89</v>
      </c>
      <c r="CH286" s="2" t="n">
        <v>89</v>
      </c>
      <c r="CI286" s="2" t="n">
        <v>89</v>
      </c>
      <c r="CJ286" s="2" t="n">
        <v>89</v>
      </c>
      <c r="CK286" s="2" t="n">
        <v>89</v>
      </c>
      <c r="CL286" s="2" t="n">
        <v>89</v>
      </c>
      <c r="CM286" s="2" t="n">
        <v>89</v>
      </c>
      <c r="CN286" s="2" t="n">
        <v>89</v>
      </c>
      <c r="CO286" s="2" t="n">
        <v>89</v>
      </c>
      <c r="CP286" s="2" t="n">
        <v>89</v>
      </c>
      <c r="CQ286" s="2" t="n">
        <v>89</v>
      </c>
      <c r="CR286" s="2" t="n">
        <v>89</v>
      </c>
      <c r="CS286" s="2" t="n">
        <v>89</v>
      </c>
      <c r="CT286" s="2" t="n">
        <v>89</v>
      </c>
      <c r="CU286" s="2" t="n">
        <v>89.29000000000001</v>
      </c>
      <c r="CV286" s="2" t="n">
        <v>89.29000000000001</v>
      </c>
      <c r="CW286" s="2" t="n">
        <v>89</v>
      </c>
      <c r="CX286" s="2" t="n">
        <v>95.66</v>
      </c>
      <c r="CY286" s="2" t="n">
        <v>95.66</v>
      </c>
      <c r="CZ286" s="2" t="n">
        <v>89</v>
      </c>
      <c r="DA286" s="2" t="n">
        <v>100</v>
      </c>
      <c r="DB286" s="2" t="n">
        <v>100</v>
      </c>
      <c r="DC286" s="2" t="n">
        <v>89</v>
      </c>
      <c r="DD286" s="2" t="n">
        <v>100</v>
      </c>
      <c r="DE286" s="2" t="n">
        <v>100</v>
      </c>
      <c r="DF286" s="2" t="n">
        <v>89</v>
      </c>
      <c r="DG286" s="2" t="n">
        <v>100</v>
      </c>
      <c r="DH286" s="2" t="n">
        <v>100</v>
      </c>
      <c r="DI286" s="2" t="n">
        <v>89</v>
      </c>
      <c r="DJ286" s="2" t="n">
        <v>100</v>
      </c>
      <c r="DK286" s="2" t="n">
        <v>100</v>
      </c>
      <c r="DL286" s="2" t="n">
        <v>89</v>
      </c>
      <c r="DM286" s="2" t="n">
        <v>100</v>
      </c>
      <c r="DN286" s="2" t="n">
        <v>100</v>
      </c>
      <c r="DO286" s="2" t="n">
        <v>89</v>
      </c>
      <c r="DP286" s="2" t="n">
        <v>100</v>
      </c>
      <c r="DQ286" s="2" t="n">
        <v>100</v>
      </c>
      <c r="DR286" s="2" t="n">
        <v>89</v>
      </c>
      <c r="DS286" s="2" t="n">
        <v>100</v>
      </c>
      <c r="DT286" s="2" t="n">
        <v>100</v>
      </c>
      <c r="DU286" s="2" t="n">
        <v>89</v>
      </c>
      <c r="DV286" s="2" t="n">
        <v>100</v>
      </c>
      <c r="DW286" s="2" t="n">
        <v>100</v>
      </c>
      <c r="DX286" s="2" t="n">
        <v>89</v>
      </c>
      <c r="DY286" s="2" t="n">
        <v>100</v>
      </c>
      <c r="DZ286" s="2" t="n">
        <v>100</v>
      </c>
      <c r="EA286" s="2" t="n">
        <v>89</v>
      </c>
      <c r="EB286" s="2" t="n">
        <v>100</v>
      </c>
      <c r="EC286" s="2" t="n">
        <v>100</v>
      </c>
      <c r="ED286" s="2" t="n">
        <v>89</v>
      </c>
      <c r="EE286" s="2" t="n">
        <v>100</v>
      </c>
      <c r="EF286" s="2" t="n">
        <v>100</v>
      </c>
      <c r="EG286" s="2" t="n">
        <v>89</v>
      </c>
      <c r="EH286" s="2" t="n">
        <v>100</v>
      </c>
      <c r="EI286" s="2" t="n">
        <v>100</v>
      </c>
      <c r="EJ286" s="2" t="n">
        <v>89</v>
      </c>
      <c r="EK286" s="2" t="n">
        <v>100</v>
      </c>
      <c r="EL286" s="2" t="n">
        <v>100</v>
      </c>
      <c r="EM286" s="2" t="n">
        <v>89</v>
      </c>
      <c r="EN286" s="2" t="n">
        <v>100</v>
      </c>
      <c r="EO286" s="2" t="n">
        <v>100</v>
      </c>
      <c r="EP286" s="2" t="n">
        <v>89</v>
      </c>
      <c r="EQ286" s="2" t="n">
        <v>100</v>
      </c>
      <c r="ER286" s="2" t="n">
        <v>100</v>
      </c>
      <c r="ES286" s="2" t="n">
        <v>89</v>
      </c>
      <c r="ET286" s="2" t="n">
        <v>100</v>
      </c>
      <c r="EU286" s="2" t="n">
        <v>100</v>
      </c>
      <c r="EV286" s="2" t="n">
        <v>89</v>
      </c>
      <c r="EW286" s="2" t="n">
        <v>100</v>
      </c>
      <c r="EX286" s="2" t="n">
        <v>100</v>
      </c>
      <c r="EY286" s="2" t="n">
        <v>89</v>
      </c>
      <c r="EZ286" s="2" t="n">
        <v>100</v>
      </c>
      <c r="FA286" s="2" t="n">
        <v>100</v>
      </c>
      <c r="FB286" s="2" t="n">
        <v>89</v>
      </c>
      <c r="FC286" s="2" t="n">
        <v>100</v>
      </c>
      <c r="FD286" s="2" t="n">
        <v>100</v>
      </c>
      <c r="FE286" s="2" t="n">
        <v>89</v>
      </c>
      <c r="FF286" s="2" t="n">
        <v>100</v>
      </c>
      <c r="FG286" s="2" t="n">
        <v>100</v>
      </c>
      <c r="FH286" s="2" t="n">
        <v>89</v>
      </c>
      <c r="FI286" s="2" t="n">
        <v>100</v>
      </c>
      <c r="FJ286" s="2" t="n">
        <v>100</v>
      </c>
      <c r="FK286" s="2" t="n">
        <v>89</v>
      </c>
      <c r="FL286" s="2" t="n">
        <v>100</v>
      </c>
      <c r="FM286" s="2" t="n">
        <v>100</v>
      </c>
      <c r="FN286" s="2" t="n">
        <v>89</v>
      </c>
      <c r="FO286" s="2" t="n">
        <v>100</v>
      </c>
      <c r="FP286" s="2" t="n">
        <v>100</v>
      </c>
      <c r="FQ286" s="2" t="n">
        <v>89</v>
      </c>
    </row>
    <row r="287">
      <c r="A287" s="2" t="n">
        <v>3</v>
      </c>
      <c r="B287" s="2" t="inlineStr">
        <is>
          <t>14.01.05</t>
        </is>
      </c>
      <c r="C287" s="2" t="inlineStr">
        <is>
          <t>Construção de lava-rodas no portão da obra</t>
        </is>
      </c>
      <c r="D287" s="2" t="inlineStr">
        <is>
          <t>12/08/2024</t>
        </is>
      </c>
      <c r="E287" s="2" t="inlineStr">
        <is>
          <t>22/04/2027</t>
        </is>
      </c>
      <c r="F287" s="2" t="n">
        <v>15000</v>
      </c>
      <c r="G287" s="2" t="n">
        <v>0</v>
      </c>
      <c r="H287" s="2" t="n">
        <v>15000</v>
      </c>
      <c r="I287" s="2" t="n">
        <v>17.14</v>
      </c>
      <c r="J287" s="2" t="n">
        <v>17.14</v>
      </c>
      <c r="K287" s="2" t="n">
        <v>0</v>
      </c>
      <c r="L287" s="2" t="n">
        <v>41.14</v>
      </c>
      <c r="M287" s="2" t="n">
        <v>41.14</v>
      </c>
      <c r="N287" s="2" t="n">
        <v>0</v>
      </c>
      <c r="O287" s="2" t="n">
        <v>64</v>
      </c>
      <c r="P287" s="2" t="n">
        <v>64</v>
      </c>
      <c r="Q287" s="2" t="n">
        <v>0</v>
      </c>
      <c r="R287" s="2" t="n">
        <v>64</v>
      </c>
      <c r="S287" s="2" t="n">
        <v>64</v>
      </c>
      <c r="T287" s="2" t="n">
        <v>0</v>
      </c>
      <c r="U287" s="2" t="n">
        <v>64</v>
      </c>
      <c r="V287" s="2" t="n">
        <v>64</v>
      </c>
      <c r="W287" s="2" t="n">
        <v>0</v>
      </c>
      <c r="X287" s="2" t="n">
        <v>72.5</v>
      </c>
      <c r="Y287" s="2" t="n">
        <v>72.5</v>
      </c>
      <c r="Z287" s="2" t="n">
        <v>0</v>
      </c>
      <c r="AA287" s="2" t="n">
        <v>82.5</v>
      </c>
      <c r="AB287" s="2" t="n">
        <v>82.5</v>
      </c>
      <c r="AC287" s="2" t="n">
        <v>0</v>
      </c>
      <c r="AD287" s="2" t="n">
        <v>89</v>
      </c>
      <c r="AE287" s="2" t="n">
        <v>89</v>
      </c>
      <c r="AF287" s="2" t="n">
        <v>0</v>
      </c>
      <c r="AG287" s="2" t="n">
        <v>89</v>
      </c>
      <c r="AH287" s="2" t="n">
        <v>89</v>
      </c>
      <c r="AI287" s="2" t="n">
        <v>84</v>
      </c>
      <c r="AJ287" s="2" t="n">
        <v>89</v>
      </c>
      <c r="AK287" s="2" t="n">
        <v>89</v>
      </c>
      <c r="AL287" s="2" t="n">
        <v>89</v>
      </c>
      <c r="AM287" s="2" t="n">
        <v>89</v>
      </c>
      <c r="AN287" s="2" t="n">
        <v>89</v>
      </c>
      <c r="AO287" s="2" t="n">
        <v>89</v>
      </c>
      <c r="AP287" s="2" t="n">
        <v>89</v>
      </c>
      <c r="AQ287" s="2" t="n">
        <v>89</v>
      </c>
      <c r="AR287" s="2" t="n">
        <v>89</v>
      </c>
      <c r="AS287" s="2" t="n">
        <v>89</v>
      </c>
      <c r="AT287" s="2" t="n">
        <v>89</v>
      </c>
      <c r="AU287" s="2" t="n">
        <v>89</v>
      </c>
      <c r="AV287" s="2" t="n">
        <v>89</v>
      </c>
      <c r="AW287" s="2" t="n">
        <v>89</v>
      </c>
      <c r="AX287" s="2" t="n">
        <v>89</v>
      </c>
      <c r="AY287" s="2" t="n">
        <v>89</v>
      </c>
      <c r="AZ287" s="2" t="n">
        <v>89</v>
      </c>
      <c r="BA287" s="2" t="n">
        <v>89</v>
      </c>
      <c r="BB287" s="2" t="n">
        <v>89</v>
      </c>
      <c r="BC287" s="2" t="n">
        <v>89</v>
      </c>
      <c r="BD287" s="2" t="n">
        <v>89</v>
      </c>
      <c r="BE287" s="2" t="n">
        <v>89</v>
      </c>
      <c r="BF287" s="2" t="n">
        <v>89</v>
      </c>
      <c r="BG287" s="2" t="n">
        <v>89</v>
      </c>
      <c r="BH287" s="2" t="n">
        <v>89</v>
      </c>
      <c r="BI287" s="2" t="n">
        <v>89</v>
      </c>
      <c r="BJ287" s="2" t="n">
        <v>89</v>
      </c>
      <c r="BK287" s="2" t="n">
        <v>89</v>
      </c>
      <c r="BL287" s="2" t="n">
        <v>89</v>
      </c>
      <c r="BM287" s="2" t="n">
        <v>89</v>
      </c>
      <c r="BN287" s="2" t="n">
        <v>89</v>
      </c>
      <c r="BO287" s="2" t="n">
        <v>89</v>
      </c>
      <c r="BP287" s="2" t="n">
        <v>89</v>
      </c>
      <c r="BQ287" s="2" t="n">
        <v>89</v>
      </c>
      <c r="BR287" s="2" t="n">
        <v>89</v>
      </c>
      <c r="BS287" s="2" t="n">
        <v>89</v>
      </c>
      <c r="BT287" s="2" t="n">
        <v>89</v>
      </c>
      <c r="BU287" s="2" t="n">
        <v>89</v>
      </c>
      <c r="BV287" s="2" t="n">
        <v>89</v>
      </c>
      <c r="BW287" s="2" t="n">
        <v>89</v>
      </c>
      <c r="BX287" s="2" t="n">
        <v>89</v>
      </c>
      <c r="BY287" s="2" t="n">
        <v>89</v>
      </c>
      <c r="BZ287" s="2" t="n">
        <v>89</v>
      </c>
      <c r="CA287" s="2" t="n">
        <v>89</v>
      </c>
      <c r="CB287" s="2" t="n">
        <v>89</v>
      </c>
      <c r="CC287" s="2" t="n">
        <v>89</v>
      </c>
      <c r="CD287" s="2" t="n">
        <v>89</v>
      </c>
      <c r="CE287" s="2" t="n">
        <v>89</v>
      </c>
      <c r="CF287" s="2" t="n">
        <v>89</v>
      </c>
      <c r="CG287" s="2" t="n">
        <v>89</v>
      </c>
      <c r="CH287" s="2" t="n">
        <v>89</v>
      </c>
      <c r="CI287" s="2" t="n">
        <v>89</v>
      </c>
      <c r="CJ287" s="2" t="n">
        <v>89</v>
      </c>
      <c r="CK287" s="2" t="n">
        <v>89</v>
      </c>
      <c r="CL287" s="2" t="n">
        <v>89</v>
      </c>
      <c r="CM287" s="2" t="n">
        <v>89</v>
      </c>
      <c r="CN287" s="2" t="n">
        <v>89</v>
      </c>
      <c r="CO287" s="2" t="n">
        <v>89</v>
      </c>
      <c r="CP287" s="2" t="n">
        <v>89</v>
      </c>
      <c r="CQ287" s="2" t="n">
        <v>89</v>
      </c>
      <c r="CR287" s="2" t="n">
        <v>89</v>
      </c>
      <c r="CS287" s="2" t="n">
        <v>89</v>
      </c>
      <c r="CT287" s="2" t="n">
        <v>89</v>
      </c>
      <c r="CU287" s="2" t="n">
        <v>89.29000000000001</v>
      </c>
      <c r="CV287" s="2" t="n">
        <v>89.29000000000001</v>
      </c>
      <c r="CW287" s="2" t="n">
        <v>89</v>
      </c>
      <c r="CX287" s="2" t="n">
        <v>95.66</v>
      </c>
      <c r="CY287" s="2" t="n">
        <v>95.66</v>
      </c>
      <c r="CZ287" s="2" t="n">
        <v>89</v>
      </c>
      <c r="DA287" s="2" t="n">
        <v>100</v>
      </c>
      <c r="DB287" s="2" t="n">
        <v>100</v>
      </c>
      <c r="DC287" s="2" t="n">
        <v>89</v>
      </c>
      <c r="DD287" s="2" t="n">
        <v>100</v>
      </c>
      <c r="DE287" s="2" t="n">
        <v>100</v>
      </c>
      <c r="DF287" s="2" t="n">
        <v>89</v>
      </c>
      <c r="DG287" s="2" t="n">
        <v>100</v>
      </c>
      <c r="DH287" s="2" t="n">
        <v>100</v>
      </c>
      <c r="DI287" s="2" t="n">
        <v>89</v>
      </c>
      <c r="DJ287" s="2" t="n">
        <v>100</v>
      </c>
      <c r="DK287" s="2" t="n">
        <v>100</v>
      </c>
      <c r="DL287" s="2" t="n">
        <v>89</v>
      </c>
      <c r="DM287" s="2" t="n">
        <v>100</v>
      </c>
      <c r="DN287" s="2" t="n">
        <v>100</v>
      </c>
      <c r="DO287" s="2" t="n">
        <v>89</v>
      </c>
      <c r="DP287" s="2" t="n">
        <v>100</v>
      </c>
      <c r="DQ287" s="2" t="n">
        <v>100</v>
      </c>
      <c r="DR287" s="2" t="n">
        <v>89</v>
      </c>
      <c r="DS287" s="2" t="n">
        <v>100</v>
      </c>
      <c r="DT287" s="2" t="n">
        <v>100</v>
      </c>
      <c r="DU287" s="2" t="n">
        <v>89</v>
      </c>
      <c r="DV287" s="2" t="n">
        <v>100</v>
      </c>
      <c r="DW287" s="2" t="n">
        <v>100</v>
      </c>
      <c r="DX287" s="2" t="n">
        <v>89</v>
      </c>
      <c r="DY287" s="2" t="n">
        <v>100</v>
      </c>
      <c r="DZ287" s="2" t="n">
        <v>100</v>
      </c>
      <c r="EA287" s="2" t="n">
        <v>89</v>
      </c>
      <c r="EB287" s="2" t="n">
        <v>100</v>
      </c>
      <c r="EC287" s="2" t="n">
        <v>100</v>
      </c>
      <c r="ED287" s="2" t="n">
        <v>89</v>
      </c>
      <c r="EE287" s="2" t="n">
        <v>100</v>
      </c>
      <c r="EF287" s="2" t="n">
        <v>100</v>
      </c>
      <c r="EG287" s="2" t="n">
        <v>89</v>
      </c>
      <c r="EH287" s="2" t="n">
        <v>100</v>
      </c>
      <c r="EI287" s="2" t="n">
        <v>100</v>
      </c>
      <c r="EJ287" s="2" t="n">
        <v>89</v>
      </c>
      <c r="EK287" s="2" t="n">
        <v>100</v>
      </c>
      <c r="EL287" s="2" t="n">
        <v>100</v>
      </c>
      <c r="EM287" s="2" t="n">
        <v>89</v>
      </c>
      <c r="EN287" s="2" t="n">
        <v>100</v>
      </c>
      <c r="EO287" s="2" t="n">
        <v>100</v>
      </c>
      <c r="EP287" s="2" t="n">
        <v>89</v>
      </c>
      <c r="EQ287" s="2" t="n">
        <v>100</v>
      </c>
      <c r="ER287" s="2" t="n">
        <v>100</v>
      </c>
      <c r="ES287" s="2" t="n">
        <v>89</v>
      </c>
      <c r="ET287" s="2" t="n">
        <v>100</v>
      </c>
      <c r="EU287" s="2" t="n">
        <v>100</v>
      </c>
      <c r="EV287" s="2" t="n">
        <v>89</v>
      </c>
      <c r="EW287" s="2" t="n">
        <v>100</v>
      </c>
      <c r="EX287" s="2" t="n">
        <v>100</v>
      </c>
      <c r="EY287" s="2" t="n">
        <v>89</v>
      </c>
      <c r="EZ287" s="2" t="n">
        <v>100</v>
      </c>
      <c r="FA287" s="2" t="n">
        <v>100</v>
      </c>
      <c r="FB287" s="2" t="n">
        <v>89</v>
      </c>
      <c r="FC287" s="2" t="n">
        <v>100</v>
      </c>
      <c r="FD287" s="2" t="n">
        <v>100</v>
      </c>
      <c r="FE287" s="2" t="n">
        <v>89</v>
      </c>
      <c r="FF287" s="2" t="n">
        <v>100</v>
      </c>
      <c r="FG287" s="2" t="n">
        <v>100</v>
      </c>
      <c r="FH287" s="2" t="n">
        <v>89</v>
      </c>
      <c r="FI287" s="2" t="n">
        <v>100</v>
      </c>
      <c r="FJ287" s="2" t="n">
        <v>100</v>
      </c>
      <c r="FK287" s="2" t="n">
        <v>89</v>
      </c>
      <c r="FL287" s="2" t="n">
        <v>100</v>
      </c>
      <c r="FM287" s="2" t="n">
        <v>100</v>
      </c>
      <c r="FN287" s="2" t="n">
        <v>89</v>
      </c>
      <c r="FO287" s="2" t="n">
        <v>100</v>
      </c>
      <c r="FP287" s="2" t="n">
        <v>100</v>
      </c>
      <c r="FQ287" s="2" t="n">
        <v>89</v>
      </c>
    </row>
    <row r="288">
      <c r="A288" s="2" t="n">
        <v>1</v>
      </c>
      <c r="B288" s="2" t="inlineStr">
        <is>
          <t>15</t>
        </is>
      </c>
      <c r="C288" s="2" t="inlineStr">
        <is>
          <t>FUNDAÇÃO PROFUNDA</t>
        </is>
      </c>
      <c r="D288" s="2" t="inlineStr">
        <is>
          <t>19/02/2025</t>
        </is>
      </c>
      <c r="E288" s="2" t="inlineStr">
        <is>
          <t>16/05/2025</t>
        </is>
      </c>
      <c r="F288" s="2" t="n">
        <v>5345899.117451878</v>
      </c>
      <c r="G288" s="2" t="n">
        <v>0</v>
      </c>
      <c r="H288" s="2" t="n">
        <v>5345899.117451878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0</v>
      </c>
      <c r="V288" s="2" t="n">
        <v>0</v>
      </c>
      <c r="W288" s="2" t="n">
        <v>0</v>
      </c>
      <c r="X288" s="2" t="n">
        <v>0</v>
      </c>
      <c r="Y288" s="2" t="n">
        <v>0</v>
      </c>
      <c r="Z288" s="2" t="n">
        <v>0</v>
      </c>
      <c r="AA288" s="2" t="n">
        <v>13.33</v>
      </c>
      <c r="AB288" s="2" t="n">
        <v>13.33</v>
      </c>
      <c r="AC288" s="2" t="n">
        <v>0</v>
      </c>
      <c r="AD288" s="2" t="n">
        <v>48.33</v>
      </c>
      <c r="AE288" s="2" t="n">
        <v>48.33</v>
      </c>
      <c r="AF288" s="2" t="n">
        <v>0</v>
      </c>
      <c r="AG288" s="2" t="n">
        <v>81.67</v>
      </c>
      <c r="AH288" s="2" t="n">
        <v>81.67</v>
      </c>
      <c r="AI288" s="2" t="n">
        <v>70.06999999999999</v>
      </c>
      <c r="AJ288" s="2" t="n">
        <v>100</v>
      </c>
      <c r="AK288" s="2" t="n">
        <v>100</v>
      </c>
      <c r="AL288" s="2" t="n">
        <v>100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  <c r="EQ288" s="2" t="n">
        <v>100</v>
      </c>
      <c r="ER288" s="2" t="n">
        <v>100</v>
      </c>
      <c r="ES288" s="2" t="n">
        <v>100</v>
      </c>
      <c r="ET288" s="2" t="n">
        <v>100</v>
      </c>
      <c r="EU288" s="2" t="n">
        <v>100</v>
      </c>
      <c r="EV288" s="2" t="n">
        <v>100</v>
      </c>
      <c r="EW288" s="2" t="n">
        <v>100</v>
      </c>
      <c r="EX288" s="2" t="n">
        <v>100</v>
      </c>
      <c r="EY288" s="2" t="n">
        <v>100</v>
      </c>
      <c r="EZ288" s="2" t="n">
        <v>100</v>
      </c>
      <c r="FA288" s="2" t="n">
        <v>100</v>
      </c>
      <c r="FB288" s="2" t="n">
        <v>100</v>
      </c>
      <c r="FC288" s="2" t="n">
        <v>100</v>
      </c>
      <c r="FD288" s="2" t="n">
        <v>100</v>
      </c>
      <c r="FE288" s="2" t="n">
        <v>100</v>
      </c>
      <c r="FF288" s="2" t="n">
        <v>100</v>
      </c>
      <c r="FG288" s="2" t="n">
        <v>100</v>
      </c>
      <c r="FH288" s="2" t="n">
        <v>100</v>
      </c>
      <c r="FI288" s="2" t="n">
        <v>100</v>
      </c>
      <c r="FJ288" s="2" t="n">
        <v>100</v>
      </c>
      <c r="FK288" s="2" t="n">
        <v>100</v>
      </c>
      <c r="FL288" s="2" t="n">
        <v>100</v>
      </c>
      <c r="FM288" s="2" t="n">
        <v>100</v>
      </c>
      <c r="FN288" s="2" t="n">
        <v>100</v>
      </c>
      <c r="FO288" s="2" t="n">
        <v>100</v>
      </c>
      <c r="FP288" s="2" t="n">
        <v>100</v>
      </c>
      <c r="FQ288" s="2" t="n">
        <v>100</v>
      </c>
    </row>
    <row r="289">
      <c r="A289" s="2" t="n">
        <v>2</v>
      </c>
      <c r="B289" s="2" t="inlineStr">
        <is>
          <t>15.01</t>
        </is>
      </c>
      <c r="C289" s="2" t="inlineStr">
        <is>
          <t>Fundação Profunda</t>
        </is>
      </c>
      <c r="D289" s="2" t="inlineStr">
        <is>
          <t>19/02/2025</t>
        </is>
      </c>
      <c r="E289" s="2" t="inlineStr">
        <is>
          <t>16/05/2025</t>
        </is>
      </c>
      <c r="F289" s="2" t="n">
        <v>5345899.117451878</v>
      </c>
      <c r="G289" s="2" t="n">
        <v>0</v>
      </c>
      <c r="H289" s="2" t="n">
        <v>5345899.117451878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0</v>
      </c>
      <c r="V289" s="2" t="n">
        <v>0</v>
      </c>
      <c r="W289" s="2" t="n">
        <v>0</v>
      </c>
      <c r="X289" s="2" t="n">
        <v>0</v>
      </c>
      <c r="Y289" s="2" t="n">
        <v>0</v>
      </c>
      <c r="Z289" s="2" t="n">
        <v>0</v>
      </c>
      <c r="AA289" s="2" t="n">
        <v>13.33</v>
      </c>
      <c r="AB289" s="2" t="n">
        <v>13.33</v>
      </c>
      <c r="AC289" s="2" t="n">
        <v>0</v>
      </c>
      <c r="AD289" s="2" t="n">
        <v>48.33</v>
      </c>
      <c r="AE289" s="2" t="n">
        <v>48.33</v>
      </c>
      <c r="AF289" s="2" t="n">
        <v>0</v>
      </c>
      <c r="AG289" s="2" t="n">
        <v>81.67</v>
      </c>
      <c r="AH289" s="2" t="n">
        <v>81.67</v>
      </c>
      <c r="AI289" s="2" t="n">
        <v>70.06999999999999</v>
      </c>
      <c r="AJ289" s="2" t="n">
        <v>100</v>
      </c>
      <c r="AK289" s="2" t="n">
        <v>100</v>
      </c>
      <c r="AL289" s="2" t="n">
        <v>100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  <c r="EQ289" s="2" t="n">
        <v>100</v>
      </c>
      <c r="ER289" s="2" t="n">
        <v>100</v>
      </c>
      <c r="ES289" s="2" t="n">
        <v>100</v>
      </c>
      <c r="ET289" s="2" t="n">
        <v>100</v>
      </c>
      <c r="EU289" s="2" t="n">
        <v>100</v>
      </c>
      <c r="EV289" s="2" t="n">
        <v>100</v>
      </c>
      <c r="EW289" s="2" t="n">
        <v>100</v>
      </c>
      <c r="EX289" s="2" t="n">
        <v>100</v>
      </c>
      <c r="EY289" s="2" t="n">
        <v>100</v>
      </c>
      <c r="EZ289" s="2" t="n">
        <v>100</v>
      </c>
      <c r="FA289" s="2" t="n">
        <v>100</v>
      </c>
      <c r="FB289" s="2" t="n">
        <v>100</v>
      </c>
      <c r="FC289" s="2" t="n">
        <v>100</v>
      </c>
      <c r="FD289" s="2" t="n">
        <v>100</v>
      </c>
      <c r="FE289" s="2" t="n">
        <v>100</v>
      </c>
      <c r="FF289" s="2" t="n">
        <v>100</v>
      </c>
      <c r="FG289" s="2" t="n">
        <v>100</v>
      </c>
      <c r="FH289" s="2" t="n">
        <v>100</v>
      </c>
      <c r="FI289" s="2" t="n">
        <v>100</v>
      </c>
      <c r="FJ289" s="2" t="n">
        <v>100</v>
      </c>
      <c r="FK289" s="2" t="n">
        <v>100</v>
      </c>
      <c r="FL289" s="2" t="n">
        <v>100</v>
      </c>
      <c r="FM289" s="2" t="n">
        <v>100</v>
      </c>
      <c r="FN289" s="2" t="n">
        <v>100</v>
      </c>
      <c r="FO289" s="2" t="n">
        <v>100</v>
      </c>
      <c r="FP289" s="2" t="n">
        <v>100</v>
      </c>
      <c r="FQ289" s="2" t="n">
        <v>100</v>
      </c>
    </row>
    <row r="290">
      <c r="A290" s="2" t="n">
        <v>3</v>
      </c>
      <c r="B290" s="2" t="inlineStr">
        <is>
          <t>15.01.01</t>
        </is>
      </c>
      <c r="C290" s="2" t="inlineStr">
        <is>
          <t>Tubulões escavados manualmente</t>
        </is>
      </c>
      <c r="D290" s="2" t="inlineStr">
        <is>
          <t>19/02/2025</t>
        </is>
      </c>
      <c r="E290" s="2" t="inlineStr">
        <is>
          <t>16/05/2025</t>
        </is>
      </c>
      <c r="F290" s="2" t="n">
        <v>210571.3964841443</v>
      </c>
      <c r="G290" s="2" t="n">
        <v>0</v>
      </c>
      <c r="H290" s="2" t="n">
        <v>210571.3964841443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0</v>
      </c>
      <c r="V290" s="2" t="n">
        <v>0</v>
      </c>
      <c r="W290" s="2" t="n">
        <v>0</v>
      </c>
      <c r="X290" s="2" t="n">
        <v>0</v>
      </c>
      <c r="Y290" s="2" t="n">
        <v>0</v>
      </c>
      <c r="Z290" s="2" t="n">
        <v>0</v>
      </c>
      <c r="AA290" s="2" t="n">
        <v>13.33</v>
      </c>
      <c r="AB290" s="2" t="n">
        <v>13.33</v>
      </c>
      <c r="AC290" s="2" t="n">
        <v>0</v>
      </c>
      <c r="AD290" s="2" t="n">
        <v>48.33</v>
      </c>
      <c r="AE290" s="2" t="n">
        <v>48.33</v>
      </c>
      <c r="AF290" s="2" t="n">
        <v>0</v>
      </c>
      <c r="AG290" s="2" t="n">
        <v>81.67</v>
      </c>
      <c r="AH290" s="2" t="n">
        <v>81.67</v>
      </c>
      <c r="AI290" s="2" t="n">
        <v>70.06999999999999</v>
      </c>
      <c r="AJ290" s="2" t="n">
        <v>100</v>
      </c>
      <c r="AK290" s="2" t="n">
        <v>100</v>
      </c>
      <c r="AL290" s="2" t="n">
        <v>100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  <c r="EQ290" s="2" t="n">
        <v>100</v>
      </c>
      <c r="ER290" s="2" t="n">
        <v>100</v>
      </c>
      <c r="ES290" s="2" t="n">
        <v>100</v>
      </c>
      <c r="ET290" s="2" t="n">
        <v>100</v>
      </c>
      <c r="EU290" s="2" t="n">
        <v>100</v>
      </c>
      <c r="EV290" s="2" t="n">
        <v>100</v>
      </c>
      <c r="EW290" s="2" t="n">
        <v>100</v>
      </c>
      <c r="EX290" s="2" t="n">
        <v>100</v>
      </c>
      <c r="EY290" s="2" t="n">
        <v>100</v>
      </c>
      <c r="EZ290" s="2" t="n">
        <v>100</v>
      </c>
      <c r="FA290" s="2" t="n">
        <v>100</v>
      </c>
      <c r="FB290" s="2" t="n">
        <v>100</v>
      </c>
      <c r="FC290" s="2" t="n">
        <v>100</v>
      </c>
      <c r="FD290" s="2" t="n">
        <v>100</v>
      </c>
      <c r="FE290" s="2" t="n">
        <v>100</v>
      </c>
      <c r="FF290" s="2" t="n">
        <v>100</v>
      </c>
      <c r="FG290" s="2" t="n">
        <v>100</v>
      </c>
      <c r="FH290" s="2" t="n">
        <v>100</v>
      </c>
      <c r="FI290" s="2" t="n">
        <v>100</v>
      </c>
      <c r="FJ290" s="2" t="n">
        <v>100</v>
      </c>
      <c r="FK290" s="2" t="n">
        <v>100</v>
      </c>
      <c r="FL290" s="2" t="n">
        <v>100</v>
      </c>
      <c r="FM290" s="2" t="n">
        <v>100</v>
      </c>
      <c r="FN290" s="2" t="n">
        <v>100</v>
      </c>
      <c r="FO290" s="2" t="n">
        <v>100</v>
      </c>
      <c r="FP290" s="2" t="n">
        <v>100</v>
      </c>
      <c r="FQ290" s="2" t="n">
        <v>100</v>
      </c>
    </row>
    <row r="291">
      <c r="A291" s="2" t="n">
        <v>4</v>
      </c>
      <c r="B291" s="2" t="inlineStr">
        <is>
          <t>15.01.01.01</t>
        </is>
      </c>
      <c r="C291" s="2" t="inlineStr">
        <is>
          <t>Escavação manual de fuste</t>
        </is>
      </c>
      <c r="D291" s="2" t="inlineStr">
        <is>
          <t>19/02/2025</t>
        </is>
      </c>
      <c r="E291" s="2" t="inlineStr">
        <is>
          <t>16/05/2025</t>
        </is>
      </c>
      <c r="F291" s="2" t="n">
        <v>30394</v>
      </c>
      <c r="G291" s="2" t="n">
        <v>0</v>
      </c>
      <c r="H291" s="2" t="n">
        <v>30394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0</v>
      </c>
      <c r="V291" s="2" t="n">
        <v>0</v>
      </c>
      <c r="W291" s="2" t="n">
        <v>0</v>
      </c>
      <c r="X291" s="2" t="n">
        <v>0</v>
      </c>
      <c r="Y291" s="2" t="n">
        <v>0</v>
      </c>
      <c r="Z291" s="2" t="n">
        <v>0</v>
      </c>
      <c r="AA291" s="2" t="n">
        <v>13.33</v>
      </c>
      <c r="AB291" s="2" t="n">
        <v>13.33</v>
      </c>
      <c r="AC291" s="2" t="n">
        <v>0</v>
      </c>
      <c r="AD291" s="2" t="n">
        <v>48.33</v>
      </c>
      <c r="AE291" s="2" t="n">
        <v>48.33</v>
      </c>
      <c r="AF291" s="2" t="n">
        <v>0</v>
      </c>
      <c r="AG291" s="2" t="n">
        <v>81.67</v>
      </c>
      <c r="AH291" s="2" t="n">
        <v>81.67</v>
      </c>
      <c r="AI291" s="2" t="n">
        <v>70.06999999999999</v>
      </c>
      <c r="AJ291" s="2" t="n">
        <v>100</v>
      </c>
      <c r="AK291" s="2" t="n">
        <v>100</v>
      </c>
      <c r="AL291" s="2" t="n">
        <v>100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  <c r="EQ291" s="2" t="n">
        <v>100</v>
      </c>
      <c r="ER291" s="2" t="n">
        <v>100</v>
      </c>
      <c r="ES291" s="2" t="n">
        <v>100</v>
      </c>
      <c r="ET291" s="2" t="n">
        <v>100</v>
      </c>
      <c r="EU291" s="2" t="n">
        <v>100</v>
      </c>
      <c r="EV291" s="2" t="n">
        <v>100</v>
      </c>
      <c r="EW291" s="2" t="n">
        <v>100</v>
      </c>
      <c r="EX291" s="2" t="n">
        <v>100</v>
      </c>
      <c r="EY291" s="2" t="n">
        <v>100</v>
      </c>
      <c r="EZ291" s="2" t="n">
        <v>100</v>
      </c>
      <c r="FA291" s="2" t="n">
        <v>100</v>
      </c>
      <c r="FB291" s="2" t="n">
        <v>100</v>
      </c>
      <c r="FC291" s="2" t="n">
        <v>100</v>
      </c>
      <c r="FD291" s="2" t="n">
        <v>100</v>
      </c>
      <c r="FE291" s="2" t="n">
        <v>100</v>
      </c>
      <c r="FF291" s="2" t="n">
        <v>100</v>
      </c>
      <c r="FG291" s="2" t="n">
        <v>100</v>
      </c>
      <c r="FH291" s="2" t="n">
        <v>100</v>
      </c>
      <c r="FI291" s="2" t="n">
        <v>100</v>
      </c>
      <c r="FJ291" s="2" t="n">
        <v>100</v>
      </c>
      <c r="FK291" s="2" t="n">
        <v>100</v>
      </c>
      <c r="FL291" s="2" t="n">
        <v>100</v>
      </c>
      <c r="FM291" s="2" t="n">
        <v>100</v>
      </c>
      <c r="FN291" s="2" t="n">
        <v>100</v>
      </c>
      <c r="FO291" s="2" t="n">
        <v>100</v>
      </c>
      <c r="FP291" s="2" t="n">
        <v>100</v>
      </c>
      <c r="FQ291" s="2" t="n">
        <v>100</v>
      </c>
    </row>
    <row r="292">
      <c r="A292" s="2" t="n">
        <v>4</v>
      </c>
      <c r="B292" s="2" t="inlineStr">
        <is>
          <t>15.01.01.02</t>
        </is>
      </c>
      <c r="C292" s="2" t="inlineStr">
        <is>
          <t>Execução de plataforma de trabalho</t>
        </is>
      </c>
      <c r="D292" s="2" t="inlineStr">
        <is>
          <t>19/02/2025</t>
        </is>
      </c>
      <c r="E292" s="2" t="inlineStr">
        <is>
          <t>16/05/2025</t>
        </is>
      </c>
      <c r="F292" s="2" t="n">
        <v>7800</v>
      </c>
      <c r="G292" s="2" t="n">
        <v>0</v>
      </c>
      <c r="H292" s="2" t="n">
        <v>7800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0</v>
      </c>
      <c r="V292" s="2" t="n">
        <v>0</v>
      </c>
      <c r="W292" s="2" t="n">
        <v>0</v>
      </c>
      <c r="X292" s="2" t="n">
        <v>0</v>
      </c>
      <c r="Y292" s="2" t="n">
        <v>0</v>
      </c>
      <c r="Z292" s="2" t="n">
        <v>0</v>
      </c>
      <c r="AA292" s="2" t="n">
        <v>13.33</v>
      </c>
      <c r="AB292" s="2" t="n">
        <v>13.33</v>
      </c>
      <c r="AC292" s="2" t="n">
        <v>0</v>
      </c>
      <c r="AD292" s="2" t="n">
        <v>48.33</v>
      </c>
      <c r="AE292" s="2" t="n">
        <v>48.33</v>
      </c>
      <c r="AF292" s="2" t="n">
        <v>0</v>
      </c>
      <c r="AG292" s="2" t="n">
        <v>81.67</v>
      </c>
      <c r="AH292" s="2" t="n">
        <v>81.67</v>
      </c>
      <c r="AI292" s="2" t="n">
        <v>70.06999999999999</v>
      </c>
      <c r="AJ292" s="2" t="n">
        <v>100</v>
      </c>
      <c r="AK292" s="2" t="n">
        <v>100</v>
      </c>
      <c r="AL292" s="2" t="n">
        <v>100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  <c r="EQ292" s="2" t="n">
        <v>100</v>
      </c>
      <c r="ER292" s="2" t="n">
        <v>100</v>
      </c>
      <c r="ES292" s="2" t="n">
        <v>100</v>
      </c>
      <c r="ET292" s="2" t="n">
        <v>100</v>
      </c>
      <c r="EU292" s="2" t="n">
        <v>100</v>
      </c>
      <c r="EV292" s="2" t="n">
        <v>100</v>
      </c>
      <c r="EW292" s="2" t="n">
        <v>100</v>
      </c>
      <c r="EX292" s="2" t="n">
        <v>100</v>
      </c>
      <c r="EY292" s="2" t="n">
        <v>100</v>
      </c>
      <c r="EZ292" s="2" t="n">
        <v>100</v>
      </c>
      <c r="FA292" s="2" t="n">
        <v>100</v>
      </c>
      <c r="FB292" s="2" t="n">
        <v>100</v>
      </c>
      <c r="FC292" s="2" t="n">
        <v>100</v>
      </c>
      <c r="FD292" s="2" t="n">
        <v>100</v>
      </c>
      <c r="FE292" s="2" t="n">
        <v>100</v>
      </c>
      <c r="FF292" s="2" t="n">
        <v>100</v>
      </c>
      <c r="FG292" s="2" t="n">
        <v>100</v>
      </c>
      <c r="FH292" s="2" t="n">
        <v>100</v>
      </c>
      <c r="FI292" s="2" t="n">
        <v>100</v>
      </c>
      <c r="FJ292" s="2" t="n">
        <v>100</v>
      </c>
      <c r="FK292" s="2" t="n">
        <v>100</v>
      </c>
      <c r="FL292" s="2" t="n">
        <v>100</v>
      </c>
      <c r="FM292" s="2" t="n">
        <v>100</v>
      </c>
      <c r="FN292" s="2" t="n">
        <v>100</v>
      </c>
      <c r="FO292" s="2" t="n">
        <v>100</v>
      </c>
      <c r="FP292" s="2" t="n">
        <v>100</v>
      </c>
      <c r="FQ292" s="2" t="n">
        <v>100</v>
      </c>
    </row>
    <row r="293">
      <c r="A293" s="2" t="n">
        <v>4</v>
      </c>
      <c r="B293" s="2" t="inlineStr">
        <is>
          <t>15.01.01.03</t>
        </is>
      </c>
      <c r="C293" s="2" t="inlineStr">
        <is>
          <t>Locação de camisas para tubulão</t>
        </is>
      </c>
      <c r="D293" s="2" t="inlineStr">
        <is>
          <t>19/02/2025</t>
        </is>
      </c>
      <c r="E293" s="2" t="inlineStr">
        <is>
          <t>16/05/2025</t>
        </is>
      </c>
      <c r="F293" s="2" t="n">
        <v>3250</v>
      </c>
      <c r="G293" s="2" t="n">
        <v>0</v>
      </c>
      <c r="H293" s="2" t="n">
        <v>3250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0</v>
      </c>
      <c r="V293" s="2" t="n">
        <v>0</v>
      </c>
      <c r="W293" s="2" t="n">
        <v>0</v>
      </c>
      <c r="X293" s="2" t="n">
        <v>0</v>
      </c>
      <c r="Y293" s="2" t="n">
        <v>0</v>
      </c>
      <c r="Z293" s="2" t="n">
        <v>0</v>
      </c>
      <c r="AA293" s="2" t="n">
        <v>13.33</v>
      </c>
      <c r="AB293" s="2" t="n">
        <v>13.33</v>
      </c>
      <c r="AC293" s="2" t="n">
        <v>0</v>
      </c>
      <c r="AD293" s="2" t="n">
        <v>48.33</v>
      </c>
      <c r="AE293" s="2" t="n">
        <v>48.33</v>
      </c>
      <c r="AF293" s="2" t="n">
        <v>0</v>
      </c>
      <c r="AG293" s="2" t="n">
        <v>81.67</v>
      </c>
      <c r="AH293" s="2" t="n">
        <v>81.67</v>
      </c>
      <c r="AI293" s="2" t="n">
        <v>70.06999999999999</v>
      </c>
      <c r="AJ293" s="2" t="n">
        <v>100</v>
      </c>
      <c r="AK293" s="2" t="n">
        <v>100</v>
      </c>
      <c r="AL293" s="2" t="n">
        <v>100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  <c r="EQ293" s="2" t="n">
        <v>100</v>
      </c>
      <c r="ER293" s="2" t="n">
        <v>100</v>
      </c>
      <c r="ES293" s="2" t="n">
        <v>100</v>
      </c>
      <c r="ET293" s="2" t="n">
        <v>100</v>
      </c>
      <c r="EU293" s="2" t="n">
        <v>100</v>
      </c>
      <c r="EV293" s="2" t="n">
        <v>100</v>
      </c>
      <c r="EW293" s="2" t="n">
        <v>100</v>
      </c>
      <c r="EX293" s="2" t="n">
        <v>100</v>
      </c>
      <c r="EY293" s="2" t="n">
        <v>100</v>
      </c>
      <c r="EZ293" s="2" t="n">
        <v>100</v>
      </c>
      <c r="FA293" s="2" t="n">
        <v>100</v>
      </c>
      <c r="FB293" s="2" t="n">
        <v>100</v>
      </c>
      <c r="FC293" s="2" t="n">
        <v>100</v>
      </c>
      <c r="FD293" s="2" t="n">
        <v>100</v>
      </c>
      <c r="FE293" s="2" t="n">
        <v>100</v>
      </c>
      <c r="FF293" s="2" t="n">
        <v>100</v>
      </c>
      <c r="FG293" s="2" t="n">
        <v>100</v>
      </c>
      <c r="FH293" s="2" t="n">
        <v>100</v>
      </c>
      <c r="FI293" s="2" t="n">
        <v>100</v>
      </c>
      <c r="FJ293" s="2" t="n">
        <v>100</v>
      </c>
      <c r="FK293" s="2" t="n">
        <v>100</v>
      </c>
      <c r="FL293" s="2" t="n">
        <v>100</v>
      </c>
      <c r="FM293" s="2" t="n">
        <v>100</v>
      </c>
      <c r="FN293" s="2" t="n">
        <v>100</v>
      </c>
      <c r="FO293" s="2" t="n">
        <v>100</v>
      </c>
      <c r="FP293" s="2" t="n">
        <v>100</v>
      </c>
      <c r="FQ293" s="2" t="n">
        <v>100</v>
      </c>
    </row>
    <row r="294">
      <c r="A294" s="2" t="n">
        <v>4</v>
      </c>
      <c r="B294" s="2" t="inlineStr">
        <is>
          <t>15.01.01.04</t>
        </is>
      </c>
      <c r="C294" s="2" t="inlineStr">
        <is>
          <t>Colocação e retirada de camisas nos tubulões</t>
        </is>
      </c>
      <c r="D294" s="2" t="inlineStr">
        <is>
          <t>19/02/2025</t>
        </is>
      </c>
      <c r="E294" s="2" t="inlineStr">
        <is>
          <t>16/05/2025</t>
        </is>
      </c>
      <c r="F294" s="2" t="n">
        <v>10400</v>
      </c>
      <c r="G294" s="2" t="n">
        <v>0</v>
      </c>
      <c r="H294" s="2" t="n">
        <v>10400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0</v>
      </c>
      <c r="V294" s="2" t="n">
        <v>0</v>
      </c>
      <c r="W294" s="2" t="n">
        <v>0</v>
      </c>
      <c r="X294" s="2" t="n">
        <v>0</v>
      </c>
      <c r="Y294" s="2" t="n">
        <v>0</v>
      </c>
      <c r="Z294" s="2" t="n">
        <v>0</v>
      </c>
      <c r="AA294" s="2" t="n">
        <v>13.33</v>
      </c>
      <c r="AB294" s="2" t="n">
        <v>13.33</v>
      </c>
      <c r="AC294" s="2" t="n">
        <v>0</v>
      </c>
      <c r="AD294" s="2" t="n">
        <v>48.33</v>
      </c>
      <c r="AE294" s="2" t="n">
        <v>48.33</v>
      </c>
      <c r="AF294" s="2" t="n">
        <v>0</v>
      </c>
      <c r="AG294" s="2" t="n">
        <v>81.67</v>
      </c>
      <c r="AH294" s="2" t="n">
        <v>81.67</v>
      </c>
      <c r="AI294" s="2" t="n">
        <v>70.06999999999999</v>
      </c>
      <c r="AJ294" s="2" t="n">
        <v>100</v>
      </c>
      <c r="AK294" s="2" t="n">
        <v>100</v>
      </c>
      <c r="AL294" s="2" t="n">
        <v>100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  <c r="EQ294" s="2" t="n">
        <v>100</v>
      </c>
      <c r="ER294" s="2" t="n">
        <v>100</v>
      </c>
      <c r="ES294" s="2" t="n">
        <v>100</v>
      </c>
      <c r="ET294" s="2" t="n">
        <v>100</v>
      </c>
      <c r="EU294" s="2" t="n">
        <v>100</v>
      </c>
      <c r="EV294" s="2" t="n">
        <v>100</v>
      </c>
      <c r="EW294" s="2" t="n">
        <v>100</v>
      </c>
      <c r="EX294" s="2" t="n">
        <v>100</v>
      </c>
      <c r="EY294" s="2" t="n">
        <v>100</v>
      </c>
      <c r="EZ294" s="2" t="n">
        <v>100</v>
      </c>
      <c r="FA294" s="2" t="n">
        <v>100</v>
      </c>
      <c r="FB294" s="2" t="n">
        <v>100</v>
      </c>
      <c r="FC294" s="2" t="n">
        <v>100</v>
      </c>
      <c r="FD294" s="2" t="n">
        <v>100</v>
      </c>
      <c r="FE294" s="2" t="n">
        <v>100</v>
      </c>
      <c r="FF294" s="2" t="n">
        <v>100</v>
      </c>
      <c r="FG294" s="2" t="n">
        <v>100</v>
      </c>
      <c r="FH294" s="2" t="n">
        <v>100</v>
      </c>
      <c r="FI294" s="2" t="n">
        <v>100</v>
      </c>
      <c r="FJ294" s="2" t="n">
        <v>100</v>
      </c>
      <c r="FK294" s="2" t="n">
        <v>100</v>
      </c>
      <c r="FL294" s="2" t="n">
        <v>100</v>
      </c>
      <c r="FM294" s="2" t="n">
        <v>100</v>
      </c>
      <c r="FN294" s="2" t="n">
        <v>100</v>
      </c>
      <c r="FO294" s="2" t="n">
        <v>100</v>
      </c>
      <c r="FP294" s="2" t="n">
        <v>100</v>
      </c>
      <c r="FQ294" s="2" t="n">
        <v>100</v>
      </c>
    </row>
    <row r="295">
      <c r="A295" s="2" t="n">
        <v>4</v>
      </c>
      <c r="B295" s="2" t="inlineStr">
        <is>
          <t>15.01.01.05</t>
        </is>
      </c>
      <c r="C295" s="2" t="inlineStr">
        <is>
          <t>Locação de detector de Gás</t>
        </is>
      </c>
      <c r="D295" s="2" t="inlineStr">
        <is>
          <t>19/02/2025</t>
        </is>
      </c>
      <c r="E295" s="2" t="inlineStr">
        <is>
          <t>16/05/2025</t>
        </is>
      </c>
      <c r="F295" s="2" t="n">
        <v>1000</v>
      </c>
      <c r="G295" s="2" t="n">
        <v>0</v>
      </c>
      <c r="H295" s="2" t="n">
        <v>1000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0</v>
      </c>
      <c r="V295" s="2" t="n">
        <v>0</v>
      </c>
      <c r="W295" s="2" t="n">
        <v>0</v>
      </c>
      <c r="X295" s="2" t="n">
        <v>0</v>
      </c>
      <c r="Y295" s="2" t="n">
        <v>0</v>
      </c>
      <c r="Z295" s="2" t="n">
        <v>0</v>
      </c>
      <c r="AA295" s="2" t="n">
        <v>13.33</v>
      </c>
      <c r="AB295" s="2" t="n">
        <v>13.33</v>
      </c>
      <c r="AC295" s="2" t="n">
        <v>0</v>
      </c>
      <c r="AD295" s="2" t="n">
        <v>48.33</v>
      </c>
      <c r="AE295" s="2" t="n">
        <v>48.33</v>
      </c>
      <c r="AF295" s="2" t="n">
        <v>0</v>
      </c>
      <c r="AG295" s="2" t="n">
        <v>81.67</v>
      </c>
      <c r="AH295" s="2" t="n">
        <v>81.67</v>
      </c>
      <c r="AI295" s="2" t="n">
        <v>70.06999999999999</v>
      </c>
      <c r="AJ295" s="2" t="n">
        <v>100</v>
      </c>
      <c r="AK295" s="2" t="n">
        <v>100</v>
      </c>
      <c r="AL295" s="2" t="n">
        <v>100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  <c r="EQ295" s="2" t="n">
        <v>100</v>
      </c>
      <c r="ER295" s="2" t="n">
        <v>100</v>
      </c>
      <c r="ES295" s="2" t="n">
        <v>100</v>
      </c>
      <c r="ET295" s="2" t="n">
        <v>100</v>
      </c>
      <c r="EU295" s="2" t="n">
        <v>100</v>
      </c>
      <c r="EV295" s="2" t="n">
        <v>100</v>
      </c>
      <c r="EW295" s="2" t="n">
        <v>100</v>
      </c>
      <c r="EX295" s="2" t="n">
        <v>100</v>
      </c>
      <c r="EY295" s="2" t="n">
        <v>100</v>
      </c>
      <c r="EZ295" s="2" t="n">
        <v>100</v>
      </c>
      <c r="FA295" s="2" t="n">
        <v>100</v>
      </c>
      <c r="FB295" s="2" t="n">
        <v>100</v>
      </c>
      <c r="FC295" s="2" t="n">
        <v>100</v>
      </c>
      <c r="FD295" s="2" t="n">
        <v>100</v>
      </c>
      <c r="FE295" s="2" t="n">
        <v>100</v>
      </c>
      <c r="FF295" s="2" t="n">
        <v>100</v>
      </c>
      <c r="FG295" s="2" t="n">
        <v>100</v>
      </c>
      <c r="FH295" s="2" t="n">
        <v>100</v>
      </c>
      <c r="FI295" s="2" t="n">
        <v>100</v>
      </c>
      <c r="FJ295" s="2" t="n">
        <v>100</v>
      </c>
      <c r="FK295" s="2" t="n">
        <v>100</v>
      </c>
      <c r="FL295" s="2" t="n">
        <v>100</v>
      </c>
      <c r="FM295" s="2" t="n">
        <v>100</v>
      </c>
      <c r="FN295" s="2" t="n">
        <v>100</v>
      </c>
      <c r="FO295" s="2" t="n">
        <v>100</v>
      </c>
      <c r="FP295" s="2" t="n">
        <v>100</v>
      </c>
      <c r="FQ295" s="2" t="n">
        <v>100</v>
      </c>
    </row>
    <row r="296">
      <c r="A296" s="2" t="n">
        <v>4</v>
      </c>
      <c r="B296" s="2" t="inlineStr">
        <is>
          <t>15.01.01.06</t>
        </is>
      </c>
      <c r="C296" s="2" t="inlineStr">
        <is>
          <t>Locação de Insuflador</t>
        </is>
      </c>
      <c r="D296" s="2" t="inlineStr">
        <is>
          <t>19/02/2025</t>
        </is>
      </c>
      <c r="E296" s="2" t="inlineStr">
        <is>
          <t>16/05/2025</t>
        </is>
      </c>
      <c r="F296" s="2" t="n">
        <v>700</v>
      </c>
      <c r="G296" s="2" t="n">
        <v>0</v>
      </c>
      <c r="H296" s="2" t="n">
        <v>700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0</v>
      </c>
      <c r="V296" s="2" t="n">
        <v>0</v>
      </c>
      <c r="W296" s="2" t="n">
        <v>0</v>
      </c>
      <c r="X296" s="2" t="n">
        <v>0</v>
      </c>
      <c r="Y296" s="2" t="n">
        <v>0</v>
      </c>
      <c r="Z296" s="2" t="n">
        <v>0</v>
      </c>
      <c r="AA296" s="2" t="n">
        <v>13.33</v>
      </c>
      <c r="AB296" s="2" t="n">
        <v>13.33</v>
      </c>
      <c r="AC296" s="2" t="n">
        <v>0</v>
      </c>
      <c r="AD296" s="2" t="n">
        <v>48.33</v>
      </c>
      <c r="AE296" s="2" t="n">
        <v>48.33</v>
      </c>
      <c r="AF296" s="2" t="n">
        <v>0</v>
      </c>
      <c r="AG296" s="2" t="n">
        <v>81.67</v>
      </c>
      <c r="AH296" s="2" t="n">
        <v>81.67</v>
      </c>
      <c r="AI296" s="2" t="n">
        <v>70.06999999999999</v>
      </c>
      <c r="AJ296" s="2" t="n">
        <v>100</v>
      </c>
      <c r="AK296" s="2" t="n">
        <v>100</v>
      </c>
      <c r="AL296" s="2" t="n">
        <v>100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  <c r="EQ296" s="2" t="n">
        <v>100</v>
      </c>
      <c r="ER296" s="2" t="n">
        <v>100</v>
      </c>
      <c r="ES296" s="2" t="n">
        <v>100</v>
      </c>
      <c r="ET296" s="2" t="n">
        <v>100</v>
      </c>
      <c r="EU296" s="2" t="n">
        <v>100</v>
      </c>
      <c r="EV296" s="2" t="n">
        <v>100</v>
      </c>
      <c r="EW296" s="2" t="n">
        <v>100</v>
      </c>
      <c r="EX296" s="2" t="n">
        <v>100</v>
      </c>
      <c r="EY296" s="2" t="n">
        <v>100</v>
      </c>
      <c r="EZ296" s="2" t="n">
        <v>100</v>
      </c>
      <c r="FA296" s="2" t="n">
        <v>100</v>
      </c>
      <c r="FB296" s="2" t="n">
        <v>100</v>
      </c>
      <c r="FC296" s="2" t="n">
        <v>100</v>
      </c>
      <c r="FD296" s="2" t="n">
        <v>100</v>
      </c>
      <c r="FE296" s="2" t="n">
        <v>100</v>
      </c>
      <c r="FF296" s="2" t="n">
        <v>100</v>
      </c>
      <c r="FG296" s="2" t="n">
        <v>100</v>
      </c>
      <c r="FH296" s="2" t="n">
        <v>100</v>
      </c>
      <c r="FI296" s="2" t="n">
        <v>100</v>
      </c>
      <c r="FJ296" s="2" t="n">
        <v>100</v>
      </c>
      <c r="FK296" s="2" t="n">
        <v>100</v>
      </c>
      <c r="FL296" s="2" t="n">
        <v>100</v>
      </c>
      <c r="FM296" s="2" t="n">
        <v>100</v>
      </c>
      <c r="FN296" s="2" t="n">
        <v>100</v>
      </c>
      <c r="FO296" s="2" t="n">
        <v>100</v>
      </c>
      <c r="FP296" s="2" t="n">
        <v>100</v>
      </c>
      <c r="FQ296" s="2" t="n">
        <v>100</v>
      </c>
    </row>
    <row r="297">
      <c r="A297" s="2" t="n">
        <v>4</v>
      </c>
      <c r="B297" s="2" t="inlineStr">
        <is>
          <t>15.01.01.07</t>
        </is>
      </c>
      <c r="C297" s="2" t="inlineStr">
        <is>
          <t>Concreto bombeável fck=30Mpa com alto Slump com brita 0, sobreconsumo de 35% incluído na cpu.</t>
        </is>
      </c>
      <c r="D297" s="2" t="inlineStr">
        <is>
          <t>19/02/2025</t>
        </is>
      </c>
      <c r="E297" s="2" t="inlineStr">
        <is>
          <t>16/05/2025</t>
        </is>
      </c>
      <c r="F297" s="2" t="n">
        <v>69162.19830000002</v>
      </c>
      <c r="G297" s="2" t="n">
        <v>0</v>
      </c>
      <c r="H297" s="2" t="n">
        <v>69162.19830000002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0</v>
      </c>
      <c r="V297" s="2" t="n">
        <v>0</v>
      </c>
      <c r="W297" s="2" t="n">
        <v>0</v>
      </c>
      <c r="X297" s="2" t="n">
        <v>0</v>
      </c>
      <c r="Y297" s="2" t="n">
        <v>0</v>
      </c>
      <c r="Z297" s="2" t="n">
        <v>0</v>
      </c>
      <c r="AA297" s="2" t="n">
        <v>13.33</v>
      </c>
      <c r="AB297" s="2" t="n">
        <v>13.33</v>
      </c>
      <c r="AC297" s="2" t="n">
        <v>0</v>
      </c>
      <c r="AD297" s="2" t="n">
        <v>48.33</v>
      </c>
      <c r="AE297" s="2" t="n">
        <v>48.33</v>
      </c>
      <c r="AF297" s="2" t="n">
        <v>0</v>
      </c>
      <c r="AG297" s="2" t="n">
        <v>81.67</v>
      </c>
      <c r="AH297" s="2" t="n">
        <v>81.67</v>
      </c>
      <c r="AI297" s="2" t="n">
        <v>70.06999999999999</v>
      </c>
      <c r="AJ297" s="2" t="n">
        <v>100</v>
      </c>
      <c r="AK297" s="2" t="n">
        <v>100</v>
      </c>
      <c r="AL297" s="2" t="n">
        <v>100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  <c r="EQ297" s="2" t="n">
        <v>100</v>
      </c>
      <c r="ER297" s="2" t="n">
        <v>100</v>
      </c>
      <c r="ES297" s="2" t="n">
        <v>100</v>
      </c>
      <c r="ET297" s="2" t="n">
        <v>100</v>
      </c>
      <c r="EU297" s="2" t="n">
        <v>100</v>
      </c>
      <c r="EV297" s="2" t="n">
        <v>100</v>
      </c>
      <c r="EW297" s="2" t="n">
        <v>100</v>
      </c>
      <c r="EX297" s="2" t="n">
        <v>100</v>
      </c>
      <c r="EY297" s="2" t="n">
        <v>100</v>
      </c>
      <c r="EZ297" s="2" t="n">
        <v>100</v>
      </c>
      <c r="FA297" s="2" t="n">
        <v>100</v>
      </c>
      <c r="FB297" s="2" t="n">
        <v>100</v>
      </c>
      <c r="FC297" s="2" t="n">
        <v>100</v>
      </c>
      <c r="FD297" s="2" t="n">
        <v>100</v>
      </c>
      <c r="FE297" s="2" t="n">
        <v>100</v>
      </c>
      <c r="FF297" s="2" t="n">
        <v>100</v>
      </c>
      <c r="FG297" s="2" t="n">
        <v>100</v>
      </c>
      <c r="FH297" s="2" t="n">
        <v>100</v>
      </c>
      <c r="FI297" s="2" t="n">
        <v>100</v>
      </c>
      <c r="FJ297" s="2" t="n">
        <v>100</v>
      </c>
      <c r="FK297" s="2" t="n">
        <v>100</v>
      </c>
      <c r="FL297" s="2" t="n">
        <v>100</v>
      </c>
      <c r="FM297" s="2" t="n">
        <v>100</v>
      </c>
      <c r="FN297" s="2" t="n">
        <v>100</v>
      </c>
      <c r="FO297" s="2" t="n">
        <v>100</v>
      </c>
      <c r="FP297" s="2" t="n">
        <v>100</v>
      </c>
      <c r="FQ297" s="2" t="n">
        <v>100</v>
      </c>
    </row>
    <row r="298">
      <c r="A298" s="2" t="n">
        <v>4</v>
      </c>
      <c r="B298" s="2" t="inlineStr">
        <is>
          <t>15.01.01.08</t>
        </is>
      </c>
      <c r="C298" s="2" t="inlineStr">
        <is>
          <t>Locação de bomba de concreto estacionária para concretagens de estaca</t>
        </is>
      </c>
      <c r="D298" s="2" t="inlineStr">
        <is>
          <t>19/02/2025</t>
        </is>
      </c>
      <c r="E298" s="2" t="inlineStr">
        <is>
          <t>16/05/2025</t>
        </is>
      </c>
      <c r="F298" s="2" t="n">
        <v>5000</v>
      </c>
      <c r="G298" s="2" t="n">
        <v>0</v>
      </c>
      <c r="H298" s="2" t="n">
        <v>5000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0</v>
      </c>
      <c r="V298" s="2" t="n">
        <v>0</v>
      </c>
      <c r="W298" s="2" t="n">
        <v>0</v>
      </c>
      <c r="X298" s="2" t="n">
        <v>0</v>
      </c>
      <c r="Y298" s="2" t="n">
        <v>0</v>
      </c>
      <c r="Z298" s="2" t="n">
        <v>0</v>
      </c>
      <c r="AA298" s="2" t="n">
        <v>13.33</v>
      </c>
      <c r="AB298" s="2" t="n">
        <v>13.33</v>
      </c>
      <c r="AC298" s="2" t="n">
        <v>0</v>
      </c>
      <c r="AD298" s="2" t="n">
        <v>48.33</v>
      </c>
      <c r="AE298" s="2" t="n">
        <v>48.33</v>
      </c>
      <c r="AF298" s="2" t="n">
        <v>0</v>
      </c>
      <c r="AG298" s="2" t="n">
        <v>81.67</v>
      </c>
      <c r="AH298" s="2" t="n">
        <v>81.67</v>
      </c>
      <c r="AI298" s="2" t="n">
        <v>70.06999999999999</v>
      </c>
      <c r="AJ298" s="2" t="n">
        <v>100</v>
      </c>
      <c r="AK298" s="2" t="n">
        <v>100</v>
      </c>
      <c r="AL298" s="2" t="n">
        <v>100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  <c r="EQ298" s="2" t="n">
        <v>100</v>
      </c>
      <c r="ER298" s="2" t="n">
        <v>100</v>
      </c>
      <c r="ES298" s="2" t="n">
        <v>100</v>
      </c>
      <c r="ET298" s="2" t="n">
        <v>100</v>
      </c>
      <c r="EU298" s="2" t="n">
        <v>100</v>
      </c>
      <c r="EV298" s="2" t="n">
        <v>100</v>
      </c>
      <c r="EW298" s="2" t="n">
        <v>100</v>
      </c>
      <c r="EX298" s="2" t="n">
        <v>100</v>
      </c>
      <c r="EY298" s="2" t="n">
        <v>100</v>
      </c>
      <c r="EZ298" s="2" t="n">
        <v>100</v>
      </c>
      <c r="FA298" s="2" t="n">
        <v>100</v>
      </c>
      <c r="FB298" s="2" t="n">
        <v>100</v>
      </c>
      <c r="FC298" s="2" t="n">
        <v>100</v>
      </c>
      <c r="FD298" s="2" t="n">
        <v>100</v>
      </c>
      <c r="FE298" s="2" t="n">
        <v>100</v>
      </c>
      <c r="FF298" s="2" t="n">
        <v>100</v>
      </c>
      <c r="FG298" s="2" t="n">
        <v>100</v>
      </c>
      <c r="FH298" s="2" t="n">
        <v>100</v>
      </c>
      <c r="FI298" s="2" t="n">
        <v>100</v>
      </c>
      <c r="FJ298" s="2" t="n">
        <v>100</v>
      </c>
      <c r="FK298" s="2" t="n">
        <v>100</v>
      </c>
      <c r="FL298" s="2" t="n">
        <v>100</v>
      </c>
      <c r="FM298" s="2" t="n">
        <v>100</v>
      </c>
      <c r="FN298" s="2" t="n">
        <v>100</v>
      </c>
      <c r="FO298" s="2" t="n">
        <v>100</v>
      </c>
      <c r="FP298" s="2" t="n">
        <v>100</v>
      </c>
      <c r="FQ298" s="2" t="n">
        <v>100</v>
      </c>
    </row>
    <row r="299">
      <c r="A299" s="2" t="n">
        <v>4</v>
      </c>
      <c r="B299" s="2" t="inlineStr">
        <is>
          <t>15.01.01.09</t>
        </is>
      </c>
      <c r="C299" s="2" t="inlineStr">
        <is>
          <t>Bucha de argamassa de cimento e areia para limpeza e lubrificação de bomba</t>
        </is>
      </c>
      <c r="D299" s="2" t="inlineStr">
        <is>
          <t>19/02/2025</t>
        </is>
      </c>
      <c r="E299" s="2" t="inlineStr">
        <is>
          <t>16/05/2025</t>
        </is>
      </c>
      <c r="F299" s="2" t="n">
        <v>659.229407150538</v>
      </c>
      <c r="G299" s="2" t="n">
        <v>0</v>
      </c>
      <c r="H299" s="2" t="n">
        <v>659.229407150538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0</v>
      </c>
      <c r="V299" s="2" t="n">
        <v>0</v>
      </c>
      <c r="W299" s="2" t="n">
        <v>0</v>
      </c>
      <c r="X299" s="2" t="n">
        <v>0</v>
      </c>
      <c r="Y299" s="2" t="n">
        <v>0</v>
      </c>
      <c r="Z299" s="2" t="n">
        <v>0</v>
      </c>
      <c r="AA299" s="2" t="n">
        <v>13.33</v>
      </c>
      <c r="AB299" s="2" t="n">
        <v>13.33</v>
      </c>
      <c r="AC299" s="2" t="n">
        <v>0</v>
      </c>
      <c r="AD299" s="2" t="n">
        <v>48.33</v>
      </c>
      <c r="AE299" s="2" t="n">
        <v>48.33</v>
      </c>
      <c r="AF299" s="2" t="n">
        <v>0</v>
      </c>
      <c r="AG299" s="2" t="n">
        <v>81.67</v>
      </c>
      <c r="AH299" s="2" t="n">
        <v>81.67</v>
      </c>
      <c r="AI299" s="2" t="n">
        <v>70.06999999999999</v>
      </c>
      <c r="AJ299" s="2" t="n">
        <v>100</v>
      </c>
      <c r="AK299" s="2" t="n">
        <v>100</v>
      </c>
      <c r="AL299" s="2" t="n">
        <v>100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  <c r="EQ299" s="2" t="n">
        <v>100</v>
      </c>
      <c r="ER299" s="2" t="n">
        <v>100</v>
      </c>
      <c r="ES299" s="2" t="n">
        <v>100</v>
      </c>
      <c r="ET299" s="2" t="n">
        <v>100</v>
      </c>
      <c r="EU299" s="2" t="n">
        <v>100</v>
      </c>
      <c r="EV299" s="2" t="n">
        <v>100</v>
      </c>
      <c r="EW299" s="2" t="n">
        <v>100</v>
      </c>
      <c r="EX299" s="2" t="n">
        <v>100</v>
      </c>
      <c r="EY299" s="2" t="n">
        <v>100</v>
      </c>
      <c r="EZ299" s="2" t="n">
        <v>100</v>
      </c>
      <c r="FA299" s="2" t="n">
        <v>100</v>
      </c>
      <c r="FB299" s="2" t="n">
        <v>100</v>
      </c>
      <c r="FC299" s="2" t="n">
        <v>100</v>
      </c>
      <c r="FD299" s="2" t="n">
        <v>100</v>
      </c>
      <c r="FE299" s="2" t="n">
        <v>100</v>
      </c>
      <c r="FF299" s="2" t="n">
        <v>100</v>
      </c>
      <c r="FG299" s="2" t="n">
        <v>100</v>
      </c>
      <c r="FH299" s="2" t="n">
        <v>100</v>
      </c>
      <c r="FI299" s="2" t="n">
        <v>100</v>
      </c>
      <c r="FJ299" s="2" t="n">
        <v>100</v>
      </c>
      <c r="FK299" s="2" t="n">
        <v>100</v>
      </c>
      <c r="FL299" s="2" t="n">
        <v>100</v>
      </c>
      <c r="FM299" s="2" t="n">
        <v>100</v>
      </c>
      <c r="FN299" s="2" t="n">
        <v>100</v>
      </c>
      <c r="FO299" s="2" t="n">
        <v>100</v>
      </c>
      <c r="FP299" s="2" t="n">
        <v>100</v>
      </c>
      <c r="FQ299" s="2" t="n">
        <v>100</v>
      </c>
    </row>
    <row r="300">
      <c r="A300" s="2" t="n">
        <v>4</v>
      </c>
      <c r="B300" s="2" t="inlineStr">
        <is>
          <t>15.01.01.10</t>
        </is>
      </c>
      <c r="C300" s="2" t="inlineStr">
        <is>
          <t>Armadura Ca-50 adquirido cortado e dobrado, montagem e posicionamento no canteiro</t>
        </is>
      </c>
      <c r="D300" s="2" t="inlineStr">
        <is>
          <t>19/02/2025</t>
        </is>
      </c>
      <c r="E300" s="2" t="inlineStr">
        <is>
          <t>16/05/2025</t>
        </is>
      </c>
      <c r="F300" s="2" t="n">
        <v>59976.8775</v>
      </c>
      <c r="G300" s="2" t="n">
        <v>0</v>
      </c>
      <c r="H300" s="2" t="n">
        <v>59976.8775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0</v>
      </c>
      <c r="V300" s="2" t="n">
        <v>0</v>
      </c>
      <c r="W300" s="2" t="n">
        <v>0</v>
      </c>
      <c r="X300" s="2" t="n">
        <v>0</v>
      </c>
      <c r="Y300" s="2" t="n">
        <v>0</v>
      </c>
      <c r="Z300" s="2" t="n">
        <v>0</v>
      </c>
      <c r="AA300" s="2" t="n">
        <v>13.33</v>
      </c>
      <c r="AB300" s="2" t="n">
        <v>13.33</v>
      </c>
      <c r="AC300" s="2" t="n">
        <v>0</v>
      </c>
      <c r="AD300" s="2" t="n">
        <v>48.33</v>
      </c>
      <c r="AE300" s="2" t="n">
        <v>48.33</v>
      </c>
      <c r="AF300" s="2" t="n">
        <v>0</v>
      </c>
      <c r="AG300" s="2" t="n">
        <v>81.67</v>
      </c>
      <c r="AH300" s="2" t="n">
        <v>81.67</v>
      </c>
      <c r="AI300" s="2" t="n">
        <v>70.06999999999999</v>
      </c>
      <c r="AJ300" s="2" t="n">
        <v>100</v>
      </c>
      <c r="AK300" s="2" t="n">
        <v>100</v>
      </c>
      <c r="AL300" s="2" t="n">
        <v>100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  <c r="EQ300" s="2" t="n">
        <v>100</v>
      </c>
      <c r="ER300" s="2" t="n">
        <v>100</v>
      </c>
      <c r="ES300" s="2" t="n">
        <v>100</v>
      </c>
      <c r="ET300" s="2" t="n">
        <v>100</v>
      </c>
      <c r="EU300" s="2" t="n">
        <v>100</v>
      </c>
      <c r="EV300" s="2" t="n">
        <v>100</v>
      </c>
      <c r="EW300" s="2" t="n">
        <v>100</v>
      </c>
      <c r="EX300" s="2" t="n">
        <v>100</v>
      </c>
      <c r="EY300" s="2" t="n">
        <v>100</v>
      </c>
      <c r="EZ300" s="2" t="n">
        <v>100</v>
      </c>
      <c r="FA300" s="2" t="n">
        <v>100</v>
      </c>
      <c r="FB300" s="2" t="n">
        <v>100</v>
      </c>
      <c r="FC300" s="2" t="n">
        <v>100</v>
      </c>
      <c r="FD300" s="2" t="n">
        <v>100</v>
      </c>
      <c r="FE300" s="2" t="n">
        <v>100</v>
      </c>
      <c r="FF300" s="2" t="n">
        <v>100</v>
      </c>
      <c r="FG300" s="2" t="n">
        <v>100</v>
      </c>
      <c r="FH300" s="2" t="n">
        <v>100</v>
      </c>
      <c r="FI300" s="2" t="n">
        <v>100</v>
      </c>
      <c r="FJ300" s="2" t="n">
        <v>100</v>
      </c>
      <c r="FK300" s="2" t="n">
        <v>100</v>
      </c>
      <c r="FL300" s="2" t="n">
        <v>100</v>
      </c>
      <c r="FM300" s="2" t="n">
        <v>100</v>
      </c>
      <c r="FN300" s="2" t="n">
        <v>100</v>
      </c>
      <c r="FO300" s="2" t="n">
        <v>100</v>
      </c>
      <c r="FP300" s="2" t="n">
        <v>100</v>
      </c>
      <c r="FQ300" s="2" t="n">
        <v>100</v>
      </c>
    </row>
    <row r="301">
      <c r="A301" s="2" t="n">
        <v>4</v>
      </c>
      <c r="B301" s="2" t="inlineStr">
        <is>
          <t>15.01.01.11</t>
        </is>
      </c>
      <c r="C301" s="2" t="inlineStr">
        <is>
          <t>Arrasamento de cabeça de estacas com martelete</t>
        </is>
      </c>
      <c r="D301" s="2" t="inlineStr">
        <is>
          <t>19/02/2025</t>
        </is>
      </c>
      <c r="E301" s="2" t="inlineStr">
        <is>
          <t>16/05/2025</t>
        </is>
      </c>
      <c r="F301" s="2" t="n">
        <v>7750.692276993738</v>
      </c>
      <c r="G301" s="2" t="n">
        <v>0</v>
      </c>
      <c r="H301" s="2" t="n">
        <v>7750.692276993738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0</v>
      </c>
      <c r="V301" s="2" t="n">
        <v>0</v>
      </c>
      <c r="W301" s="2" t="n">
        <v>0</v>
      </c>
      <c r="X301" s="2" t="n">
        <v>0</v>
      </c>
      <c r="Y301" s="2" t="n">
        <v>0</v>
      </c>
      <c r="Z301" s="2" t="n">
        <v>0</v>
      </c>
      <c r="AA301" s="2" t="n">
        <v>13.33</v>
      </c>
      <c r="AB301" s="2" t="n">
        <v>13.33</v>
      </c>
      <c r="AC301" s="2" t="n">
        <v>0</v>
      </c>
      <c r="AD301" s="2" t="n">
        <v>48.33</v>
      </c>
      <c r="AE301" s="2" t="n">
        <v>48.33</v>
      </c>
      <c r="AF301" s="2" t="n">
        <v>0</v>
      </c>
      <c r="AG301" s="2" t="n">
        <v>81.67</v>
      </c>
      <c r="AH301" s="2" t="n">
        <v>81.67</v>
      </c>
      <c r="AI301" s="2" t="n">
        <v>70.06999999999999</v>
      </c>
      <c r="AJ301" s="2" t="n">
        <v>100</v>
      </c>
      <c r="AK301" s="2" t="n">
        <v>100</v>
      </c>
      <c r="AL301" s="2" t="n">
        <v>100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  <c r="EQ301" s="2" t="n">
        <v>100</v>
      </c>
      <c r="ER301" s="2" t="n">
        <v>100</v>
      </c>
      <c r="ES301" s="2" t="n">
        <v>100</v>
      </c>
      <c r="ET301" s="2" t="n">
        <v>100</v>
      </c>
      <c r="EU301" s="2" t="n">
        <v>100</v>
      </c>
      <c r="EV301" s="2" t="n">
        <v>100</v>
      </c>
      <c r="EW301" s="2" t="n">
        <v>100</v>
      </c>
      <c r="EX301" s="2" t="n">
        <v>100</v>
      </c>
      <c r="EY301" s="2" t="n">
        <v>100</v>
      </c>
      <c r="EZ301" s="2" t="n">
        <v>100</v>
      </c>
      <c r="FA301" s="2" t="n">
        <v>100</v>
      </c>
      <c r="FB301" s="2" t="n">
        <v>100</v>
      </c>
      <c r="FC301" s="2" t="n">
        <v>100</v>
      </c>
      <c r="FD301" s="2" t="n">
        <v>100</v>
      </c>
      <c r="FE301" s="2" t="n">
        <v>100</v>
      </c>
      <c r="FF301" s="2" t="n">
        <v>100</v>
      </c>
      <c r="FG301" s="2" t="n">
        <v>100</v>
      </c>
      <c r="FH301" s="2" t="n">
        <v>100</v>
      </c>
      <c r="FI301" s="2" t="n">
        <v>100</v>
      </c>
      <c r="FJ301" s="2" t="n">
        <v>100</v>
      </c>
      <c r="FK301" s="2" t="n">
        <v>100</v>
      </c>
      <c r="FL301" s="2" t="n">
        <v>100</v>
      </c>
      <c r="FM301" s="2" t="n">
        <v>100</v>
      </c>
      <c r="FN301" s="2" t="n">
        <v>100</v>
      </c>
      <c r="FO301" s="2" t="n">
        <v>100</v>
      </c>
      <c r="FP301" s="2" t="n">
        <v>100</v>
      </c>
      <c r="FQ301" s="2" t="n">
        <v>100</v>
      </c>
    </row>
    <row r="302">
      <c r="A302" s="2" t="n">
        <v>4</v>
      </c>
      <c r="B302" s="2" t="inlineStr">
        <is>
          <t>15.01.01.12</t>
        </is>
      </c>
      <c r="C302" s="2" t="inlineStr">
        <is>
          <t>Retirada de Terra e material demolido com caçamba</t>
        </is>
      </c>
      <c r="D302" s="2" t="inlineStr">
        <is>
          <t>19/02/2025</t>
        </is>
      </c>
      <c r="E302" s="2" t="inlineStr">
        <is>
          <t>16/05/2025</t>
        </is>
      </c>
      <c r="F302" s="2" t="n">
        <v>14478.399</v>
      </c>
      <c r="G302" s="2" t="n">
        <v>0</v>
      </c>
      <c r="H302" s="2" t="n">
        <v>14478.399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0</v>
      </c>
      <c r="V302" s="2" t="n">
        <v>0</v>
      </c>
      <c r="W302" s="2" t="n">
        <v>0</v>
      </c>
      <c r="X302" s="2" t="n">
        <v>0</v>
      </c>
      <c r="Y302" s="2" t="n">
        <v>0</v>
      </c>
      <c r="Z302" s="2" t="n">
        <v>0</v>
      </c>
      <c r="AA302" s="2" t="n">
        <v>13.33</v>
      </c>
      <c r="AB302" s="2" t="n">
        <v>13.33</v>
      </c>
      <c r="AC302" s="2" t="n">
        <v>0</v>
      </c>
      <c r="AD302" s="2" t="n">
        <v>48.33</v>
      </c>
      <c r="AE302" s="2" t="n">
        <v>48.33</v>
      </c>
      <c r="AF302" s="2" t="n">
        <v>0</v>
      </c>
      <c r="AG302" s="2" t="n">
        <v>81.67</v>
      </c>
      <c r="AH302" s="2" t="n">
        <v>81.67</v>
      </c>
      <c r="AI302" s="2" t="n">
        <v>70.06999999999999</v>
      </c>
      <c r="AJ302" s="2" t="n">
        <v>100</v>
      </c>
      <c r="AK302" s="2" t="n">
        <v>100</v>
      </c>
      <c r="AL302" s="2" t="n">
        <v>100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  <c r="EQ302" s="2" t="n">
        <v>100</v>
      </c>
      <c r="ER302" s="2" t="n">
        <v>100</v>
      </c>
      <c r="ES302" s="2" t="n">
        <v>100</v>
      </c>
      <c r="ET302" s="2" t="n">
        <v>100</v>
      </c>
      <c r="EU302" s="2" t="n">
        <v>100</v>
      </c>
      <c r="EV302" s="2" t="n">
        <v>100</v>
      </c>
      <c r="EW302" s="2" t="n">
        <v>100</v>
      </c>
      <c r="EX302" s="2" t="n">
        <v>100</v>
      </c>
      <c r="EY302" s="2" t="n">
        <v>100</v>
      </c>
      <c r="EZ302" s="2" t="n">
        <v>100</v>
      </c>
      <c r="FA302" s="2" t="n">
        <v>100</v>
      </c>
      <c r="FB302" s="2" t="n">
        <v>100</v>
      </c>
      <c r="FC302" s="2" t="n">
        <v>100</v>
      </c>
      <c r="FD302" s="2" t="n">
        <v>100</v>
      </c>
      <c r="FE302" s="2" t="n">
        <v>100</v>
      </c>
      <c r="FF302" s="2" t="n">
        <v>100</v>
      </c>
      <c r="FG302" s="2" t="n">
        <v>100</v>
      </c>
      <c r="FH302" s="2" t="n">
        <v>100</v>
      </c>
      <c r="FI302" s="2" t="n">
        <v>100</v>
      </c>
      <c r="FJ302" s="2" t="n">
        <v>100</v>
      </c>
      <c r="FK302" s="2" t="n">
        <v>100</v>
      </c>
      <c r="FL302" s="2" t="n">
        <v>100</v>
      </c>
      <c r="FM302" s="2" t="n">
        <v>100</v>
      </c>
      <c r="FN302" s="2" t="n">
        <v>100</v>
      </c>
      <c r="FO302" s="2" t="n">
        <v>100</v>
      </c>
      <c r="FP302" s="2" t="n">
        <v>100</v>
      </c>
      <c r="FQ302" s="2" t="n">
        <v>100</v>
      </c>
    </row>
    <row r="303">
      <c r="A303" s="2" t="n">
        <v>3</v>
      </c>
      <c r="B303" s="2" t="inlineStr">
        <is>
          <t>15.01.02</t>
        </is>
      </c>
      <c r="C303" s="2" t="inlineStr">
        <is>
          <t>Estacas escavadas em solo e rocha com utilização de trado especial com "bits" de carboneto de tungstênio</t>
        </is>
      </c>
      <c r="D303" s="2" t="inlineStr">
        <is>
          <t>19/02/2025</t>
        </is>
      </c>
      <c r="E303" s="2" t="inlineStr">
        <is>
          <t>16/05/2025</t>
        </is>
      </c>
      <c r="F303" s="2" t="n">
        <v>183146.598847</v>
      </c>
      <c r="G303" s="2" t="n">
        <v>0</v>
      </c>
      <c r="H303" s="2" t="n">
        <v>183146.598847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0</v>
      </c>
      <c r="V303" s="2" t="n">
        <v>0</v>
      </c>
      <c r="W303" s="2" t="n">
        <v>0</v>
      </c>
      <c r="X303" s="2" t="n">
        <v>0</v>
      </c>
      <c r="Y303" s="2" t="n">
        <v>0</v>
      </c>
      <c r="Z303" s="2" t="n">
        <v>0</v>
      </c>
      <c r="AA303" s="2" t="n">
        <v>13.33</v>
      </c>
      <c r="AB303" s="2" t="n">
        <v>13.33</v>
      </c>
      <c r="AC303" s="2" t="n">
        <v>0</v>
      </c>
      <c r="AD303" s="2" t="n">
        <v>48.33</v>
      </c>
      <c r="AE303" s="2" t="n">
        <v>48.33</v>
      </c>
      <c r="AF303" s="2" t="n">
        <v>0</v>
      </c>
      <c r="AG303" s="2" t="n">
        <v>81.67</v>
      </c>
      <c r="AH303" s="2" t="n">
        <v>81.67</v>
      </c>
      <c r="AI303" s="2" t="n">
        <v>70.06999999999999</v>
      </c>
      <c r="AJ303" s="2" t="n">
        <v>100</v>
      </c>
      <c r="AK303" s="2" t="n">
        <v>100</v>
      </c>
      <c r="AL303" s="2" t="n">
        <v>100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  <c r="EQ303" s="2" t="n">
        <v>100</v>
      </c>
      <c r="ER303" s="2" t="n">
        <v>100</v>
      </c>
      <c r="ES303" s="2" t="n">
        <v>100</v>
      </c>
      <c r="ET303" s="2" t="n">
        <v>100</v>
      </c>
      <c r="EU303" s="2" t="n">
        <v>100</v>
      </c>
      <c r="EV303" s="2" t="n">
        <v>100</v>
      </c>
      <c r="EW303" s="2" t="n">
        <v>100</v>
      </c>
      <c r="EX303" s="2" t="n">
        <v>100</v>
      </c>
      <c r="EY303" s="2" t="n">
        <v>100</v>
      </c>
      <c r="EZ303" s="2" t="n">
        <v>100</v>
      </c>
      <c r="FA303" s="2" t="n">
        <v>100</v>
      </c>
      <c r="FB303" s="2" t="n">
        <v>100</v>
      </c>
      <c r="FC303" s="2" t="n">
        <v>100</v>
      </c>
      <c r="FD303" s="2" t="n">
        <v>100</v>
      </c>
      <c r="FE303" s="2" t="n">
        <v>100</v>
      </c>
      <c r="FF303" s="2" t="n">
        <v>100</v>
      </c>
      <c r="FG303" s="2" t="n">
        <v>100</v>
      </c>
      <c r="FH303" s="2" t="n">
        <v>100</v>
      </c>
      <c r="FI303" s="2" t="n">
        <v>100</v>
      </c>
      <c r="FJ303" s="2" t="n">
        <v>100</v>
      </c>
      <c r="FK303" s="2" t="n">
        <v>100</v>
      </c>
      <c r="FL303" s="2" t="n">
        <v>100</v>
      </c>
      <c r="FM303" s="2" t="n">
        <v>100</v>
      </c>
      <c r="FN303" s="2" t="n">
        <v>100</v>
      </c>
      <c r="FO303" s="2" t="n">
        <v>100</v>
      </c>
      <c r="FP303" s="2" t="n">
        <v>100</v>
      </c>
      <c r="FQ303" s="2" t="n">
        <v>100</v>
      </c>
    </row>
    <row r="304">
      <c r="A304" s="2" t="n">
        <v>4</v>
      </c>
      <c r="B304" s="2" t="inlineStr">
        <is>
          <t>15.01.02.01</t>
        </is>
      </c>
      <c r="C304" s="2" t="inlineStr">
        <is>
          <t>Mobilização,  transporte,  instalação  de  equipe  e  equipamentos, retorno incluso, por conjunto de equipamentos.</t>
        </is>
      </c>
      <c r="D304" s="2" t="inlineStr">
        <is>
          <t>19/02/2025</t>
        </is>
      </c>
      <c r="E304" s="2" t="inlineStr">
        <is>
          <t>16/05/2025</t>
        </is>
      </c>
      <c r="F304" s="2" t="n">
        <v>100000</v>
      </c>
      <c r="G304" s="2" t="n">
        <v>0</v>
      </c>
      <c r="H304" s="2" t="n">
        <v>100000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0</v>
      </c>
      <c r="V304" s="2" t="n">
        <v>0</v>
      </c>
      <c r="W304" s="2" t="n">
        <v>0</v>
      </c>
      <c r="X304" s="2" t="n">
        <v>0</v>
      </c>
      <c r="Y304" s="2" t="n">
        <v>0</v>
      </c>
      <c r="Z304" s="2" t="n">
        <v>0</v>
      </c>
      <c r="AA304" s="2" t="n">
        <v>13.33</v>
      </c>
      <c r="AB304" s="2" t="n">
        <v>13.33</v>
      </c>
      <c r="AC304" s="2" t="n">
        <v>0</v>
      </c>
      <c r="AD304" s="2" t="n">
        <v>48.33</v>
      </c>
      <c r="AE304" s="2" t="n">
        <v>48.33</v>
      </c>
      <c r="AF304" s="2" t="n">
        <v>0</v>
      </c>
      <c r="AG304" s="2" t="n">
        <v>81.67</v>
      </c>
      <c r="AH304" s="2" t="n">
        <v>81.67</v>
      </c>
      <c r="AI304" s="2" t="n">
        <v>70.06999999999999</v>
      </c>
      <c r="AJ304" s="2" t="n">
        <v>100</v>
      </c>
      <c r="AK304" s="2" t="n">
        <v>100</v>
      </c>
      <c r="AL304" s="2" t="n">
        <v>100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  <c r="EQ304" s="2" t="n">
        <v>100</v>
      </c>
      <c r="ER304" s="2" t="n">
        <v>100</v>
      </c>
      <c r="ES304" s="2" t="n">
        <v>100</v>
      </c>
      <c r="ET304" s="2" t="n">
        <v>100</v>
      </c>
      <c r="EU304" s="2" t="n">
        <v>100</v>
      </c>
      <c r="EV304" s="2" t="n">
        <v>100</v>
      </c>
      <c r="EW304" s="2" t="n">
        <v>100</v>
      </c>
      <c r="EX304" s="2" t="n">
        <v>100</v>
      </c>
      <c r="EY304" s="2" t="n">
        <v>100</v>
      </c>
      <c r="EZ304" s="2" t="n">
        <v>100</v>
      </c>
      <c r="FA304" s="2" t="n">
        <v>100</v>
      </c>
      <c r="FB304" s="2" t="n">
        <v>100</v>
      </c>
      <c r="FC304" s="2" t="n">
        <v>100</v>
      </c>
      <c r="FD304" s="2" t="n">
        <v>100</v>
      </c>
      <c r="FE304" s="2" t="n">
        <v>100</v>
      </c>
      <c r="FF304" s="2" t="n">
        <v>100</v>
      </c>
      <c r="FG304" s="2" t="n">
        <v>100</v>
      </c>
      <c r="FH304" s="2" t="n">
        <v>100</v>
      </c>
      <c r="FI304" s="2" t="n">
        <v>100</v>
      </c>
      <c r="FJ304" s="2" t="n">
        <v>100</v>
      </c>
      <c r="FK304" s="2" t="n">
        <v>100</v>
      </c>
      <c r="FL304" s="2" t="n">
        <v>100</v>
      </c>
      <c r="FM304" s="2" t="n">
        <v>100</v>
      </c>
      <c r="FN304" s="2" t="n">
        <v>100</v>
      </c>
      <c r="FO304" s="2" t="n">
        <v>100</v>
      </c>
      <c r="FP304" s="2" t="n">
        <v>100</v>
      </c>
      <c r="FQ304" s="2" t="n">
        <v>100</v>
      </c>
    </row>
    <row r="305">
      <c r="A305" s="2" t="n">
        <v>4</v>
      </c>
      <c r="B305" s="2" t="inlineStr">
        <is>
          <t>15.01.02.02</t>
        </is>
      </c>
      <c r="C305" s="2" t="inlineStr">
        <is>
          <t>Acréscimo  ao  item  "1.2"  acima,  para  a  opção  de  utilização  de polímero(Não indicado/terreno</t>
        </is>
      </c>
      <c r="D305" s="2" t="inlineStr">
        <is>
          <t>19/02/2025</t>
        </is>
      </c>
      <c r="E305" s="2" t="inlineStr">
        <is>
          <t>16/05/2025</t>
        </is>
      </c>
      <c r="F305" s="2" t="n">
        <v>83146.59884700002</v>
      </c>
      <c r="G305" s="2" t="n">
        <v>0</v>
      </c>
      <c r="H305" s="2" t="n">
        <v>83146.59884700002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0</v>
      </c>
      <c r="V305" s="2" t="n">
        <v>0</v>
      </c>
      <c r="W305" s="2" t="n">
        <v>0</v>
      </c>
      <c r="X305" s="2" t="n">
        <v>0</v>
      </c>
      <c r="Y305" s="2" t="n">
        <v>0</v>
      </c>
      <c r="Z305" s="2" t="n">
        <v>0</v>
      </c>
      <c r="AA305" s="2" t="n">
        <v>13.33</v>
      </c>
      <c r="AB305" s="2" t="n">
        <v>13.33</v>
      </c>
      <c r="AC305" s="2" t="n">
        <v>0</v>
      </c>
      <c r="AD305" s="2" t="n">
        <v>48.33</v>
      </c>
      <c r="AE305" s="2" t="n">
        <v>48.33</v>
      </c>
      <c r="AF305" s="2" t="n">
        <v>0</v>
      </c>
      <c r="AG305" s="2" t="n">
        <v>81.67</v>
      </c>
      <c r="AH305" s="2" t="n">
        <v>81.67</v>
      </c>
      <c r="AI305" s="2" t="n">
        <v>70.06999999999999</v>
      </c>
      <c r="AJ305" s="2" t="n">
        <v>100</v>
      </c>
      <c r="AK305" s="2" t="n">
        <v>100</v>
      </c>
      <c r="AL305" s="2" t="n">
        <v>100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  <c r="EQ305" s="2" t="n">
        <v>100</v>
      </c>
      <c r="ER305" s="2" t="n">
        <v>100</v>
      </c>
      <c r="ES305" s="2" t="n">
        <v>100</v>
      </c>
      <c r="ET305" s="2" t="n">
        <v>100</v>
      </c>
      <c r="EU305" s="2" t="n">
        <v>100</v>
      </c>
      <c r="EV305" s="2" t="n">
        <v>100</v>
      </c>
      <c r="EW305" s="2" t="n">
        <v>100</v>
      </c>
      <c r="EX305" s="2" t="n">
        <v>100</v>
      </c>
      <c r="EY305" s="2" t="n">
        <v>100</v>
      </c>
      <c r="EZ305" s="2" t="n">
        <v>100</v>
      </c>
      <c r="FA305" s="2" t="n">
        <v>100</v>
      </c>
      <c r="FB305" s="2" t="n">
        <v>100</v>
      </c>
      <c r="FC305" s="2" t="n">
        <v>100</v>
      </c>
      <c r="FD305" s="2" t="n">
        <v>100</v>
      </c>
      <c r="FE305" s="2" t="n">
        <v>100</v>
      </c>
      <c r="FF305" s="2" t="n">
        <v>100</v>
      </c>
      <c r="FG305" s="2" t="n">
        <v>100</v>
      </c>
      <c r="FH305" s="2" t="n">
        <v>100</v>
      </c>
      <c r="FI305" s="2" t="n">
        <v>100</v>
      </c>
      <c r="FJ305" s="2" t="n">
        <v>100</v>
      </c>
      <c r="FK305" s="2" t="n">
        <v>100</v>
      </c>
      <c r="FL305" s="2" t="n">
        <v>100</v>
      </c>
      <c r="FM305" s="2" t="n">
        <v>100</v>
      </c>
      <c r="FN305" s="2" t="n">
        <v>100</v>
      </c>
      <c r="FO305" s="2" t="n">
        <v>100</v>
      </c>
      <c r="FP305" s="2" t="n">
        <v>100</v>
      </c>
      <c r="FQ305" s="2" t="n">
        <v>100</v>
      </c>
    </row>
    <row r="306">
      <c r="A306" s="2" t="n">
        <v>3</v>
      </c>
      <c r="B306" s="2" t="inlineStr">
        <is>
          <t>15.01.03</t>
        </is>
      </c>
      <c r="C306" s="2" t="inlineStr">
        <is>
          <t>Escavaçaõ de estaca em solo com  polímero</t>
        </is>
      </c>
      <c r="D306" s="2" t="inlineStr">
        <is>
          <t>19/02/2025</t>
        </is>
      </c>
      <c r="E306" s="2" t="inlineStr">
        <is>
          <t>16/05/2025</t>
        </is>
      </c>
      <c r="F306" s="2" t="n">
        <v>208224</v>
      </c>
      <c r="G306" s="2" t="n">
        <v>0</v>
      </c>
      <c r="H306" s="2" t="n">
        <v>208224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0</v>
      </c>
      <c r="V306" s="2" t="n">
        <v>0</v>
      </c>
      <c r="W306" s="2" t="n">
        <v>0</v>
      </c>
      <c r="X306" s="2" t="n">
        <v>0</v>
      </c>
      <c r="Y306" s="2" t="n">
        <v>0</v>
      </c>
      <c r="Z306" s="2" t="n">
        <v>0</v>
      </c>
      <c r="AA306" s="2" t="n">
        <v>13.33</v>
      </c>
      <c r="AB306" s="2" t="n">
        <v>13.33</v>
      </c>
      <c r="AC306" s="2" t="n">
        <v>0</v>
      </c>
      <c r="AD306" s="2" t="n">
        <v>48.33</v>
      </c>
      <c r="AE306" s="2" t="n">
        <v>48.33</v>
      </c>
      <c r="AF306" s="2" t="n">
        <v>0</v>
      </c>
      <c r="AG306" s="2" t="n">
        <v>81.67</v>
      </c>
      <c r="AH306" s="2" t="n">
        <v>81.67</v>
      </c>
      <c r="AI306" s="2" t="n">
        <v>70.06999999999999</v>
      </c>
      <c r="AJ306" s="2" t="n">
        <v>100</v>
      </c>
      <c r="AK306" s="2" t="n">
        <v>100</v>
      </c>
      <c r="AL306" s="2" t="n">
        <v>100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  <c r="EQ306" s="2" t="n">
        <v>100</v>
      </c>
      <c r="ER306" s="2" t="n">
        <v>100</v>
      </c>
      <c r="ES306" s="2" t="n">
        <v>100</v>
      </c>
      <c r="ET306" s="2" t="n">
        <v>100</v>
      </c>
      <c r="EU306" s="2" t="n">
        <v>100</v>
      </c>
      <c r="EV306" s="2" t="n">
        <v>100</v>
      </c>
      <c r="EW306" s="2" t="n">
        <v>100</v>
      </c>
      <c r="EX306" s="2" t="n">
        <v>100</v>
      </c>
      <c r="EY306" s="2" t="n">
        <v>100</v>
      </c>
      <c r="EZ306" s="2" t="n">
        <v>100</v>
      </c>
      <c r="FA306" s="2" t="n">
        <v>100</v>
      </c>
      <c r="FB306" s="2" t="n">
        <v>100</v>
      </c>
      <c r="FC306" s="2" t="n">
        <v>100</v>
      </c>
      <c r="FD306" s="2" t="n">
        <v>100</v>
      </c>
      <c r="FE306" s="2" t="n">
        <v>100</v>
      </c>
      <c r="FF306" s="2" t="n">
        <v>100</v>
      </c>
      <c r="FG306" s="2" t="n">
        <v>100</v>
      </c>
      <c r="FH306" s="2" t="n">
        <v>100</v>
      </c>
      <c r="FI306" s="2" t="n">
        <v>100</v>
      </c>
      <c r="FJ306" s="2" t="n">
        <v>100</v>
      </c>
      <c r="FK306" s="2" t="n">
        <v>100</v>
      </c>
      <c r="FL306" s="2" t="n">
        <v>100</v>
      </c>
      <c r="FM306" s="2" t="n">
        <v>100</v>
      </c>
      <c r="FN306" s="2" t="n">
        <v>100</v>
      </c>
      <c r="FO306" s="2" t="n">
        <v>100</v>
      </c>
      <c r="FP306" s="2" t="n">
        <v>100</v>
      </c>
      <c r="FQ306" s="2" t="n">
        <v>100</v>
      </c>
    </row>
    <row r="307">
      <c r="A307" s="2" t="n">
        <v>4</v>
      </c>
      <c r="B307" s="2" t="inlineStr">
        <is>
          <t>15.01.03.01</t>
        </is>
      </c>
      <c r="C307" s="2" t="inlineStr">
        <is>
          <t>Ø 110cm</t>
        </is>
      </c>
      <c r="D307" s="2" t="inlineStr">
        <is>
          <t>19/02/2025</t>
        </is>
      </c>
      <c r="E307" s="2" t="inlineStr">
        <is>
          <t>16/05/2025</t>
        </is>
      </c>
      <c r="F307" s="2" t="n">
        <v>21168</v>
      </c>
      <c r="G307" s="2" t="n">
        <v>0</v>
      </c>
      <c r="H307" s="2" t="n">
        <v>21168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0</v>
      </c>
      <c r="V307" s="2" t="n">
        <v>0</v>
      </c>
      <c r="W307" s="2" t="n">
        <v>0</v>
      </c>
      <c r="X307" s="2" t="n">
        <v>0</v>
      </c>
      <c r="Y307" s="2" t="n">
        <v>0</v>
      </c>
      <c r="Z307" s="2" t="n">
        <v>0</v>
      </c>
      <c r="AA307" s="2" t="n">
        <v>13.33</v>
      </c>
      <c r="AB307" s="2" t="n">
        <v>13.33</v>
      </c>
      <c r="AC307" s="2" t="n">
        <v>0</v>
      </c>
      <c r="AD307" s="2" t="n">
        <v>48.33</v>
      </c>
      <c r="AE307" s="2" t="n">
        <v>48.33</v>
      </c>
      <c r="AF307" s="2" t="n">
        <v>0</v>
      </c>
      <c r="AG307" s="2" t="n">
        <v>81.67</v>
      </c>
      <c r="AH307" s="2" t="n">
        <v>81.67</v>
      </c>
      <c r="AI307" s="2" t="n">
        <v>70.06999999999999</v>
      </c>
      <c r="AJ307" s="2" t="n">
        <v>100</v>
      </c>
      <c r="AK307" s="2" t="n">
        <v>100</v>
      </c>
      <c r="AL307" s="2" t="n">
        <v>100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  <c r="EQ307" s="2" t="n">
        <v>100</v>
      </c>
      <c r="ER307" s="2" t="n">
        <v>100</v>
      </c>
      <c r="ES307" s="2" t="n">
        <v>100</v>
      </c>
      <c r="ET307" s="2" t="n">
        <v>100</v>
      </c>
      <c r="EU307" s="2" t="n">
        <v>100</v>
      </c>
      <c r="EV307" s="2" t="n">
        <v>100</v>
      </c>
      <c r="EW307" s="2" t="n">
        <v>100</v>
      </c>
      <c r="EX307" s="2" t="n">
        <v>100</v>
      </c>
      <c r="EY307" s="2" t="n">
        <v>100</v>
      </c>
      <c r="EZ307" s="2" t="n">
        <v>100</v>
      </c>
      <c r="FA307" s="2" t="n">
        <v>100</v>
      </c>
      <c r="FB307" s="2" t="n">
        <v>100</v>
      </c>
      <c r="FC307" s="2" t="n">
        <v>100</v>
      </c>
      <c r="FD307" s="2" t="n">
        <v>100</v>
      </c>
      <c r="FE307" s="2" t="n">
        <v>100</v>
      </c>
      <c r="FF307" s="2" t="n">
        <v>100</v>
      </c>
      <c r="FG307" s="2" t="n">
        <v>100</v>
      </c>
      <c r="FH307" s="2" t="n">
        <v>100</v>
      </c>
      <c r="FI307" s="2" t="n">
        <v>100</v>
      </c>
      <c r="FJ307" s="2" t="n">
        <v>100</v>
      </c>
      <c r="FK307" s="2" t="n">
        <v>100</v>
      </c>
      <c r="FL307" s="2" t="n">
        <v>100</v>
      </c>
      <c r="FM307" s="2" t="n">
        <v>100</v>
      </c>
      <c r="FN307" s="2" t="n">
        <v>100</v>
      </c>
      <c r="FO307" s="2" t="n">
        <v>100</v>
      </c>
      <c r="FP307" s="2" t="n">
        <v>100</v>
      </c>
      <c r="FQ307" s="2" t="n">
        <v>100</v>
      </c>
    </row>
    <row r="308">
      <c r="A308" s="2" t="n">
        <v>4</v>
      </c>
      <c r="B308" s="2" t="inlineStr">
        <is>
          <t>15.01.03.02</t>
        </is>
      </c>
      <c r="C308" s="2" t="inlineStr">
        <is>
          <t>Ø 120cm</t>
        </is>
      </c>
      <c r="D308" s="2" t="inlineStr">
        <is>
          <t>19/02/2025</t>
        </is>
      </c>
      <c r="E308" s="2" t="inlineStr">
        <is>
          <t>16/05/2025</t>
        </is>
      </c>
      <c r="F308" s="2" t="n">
        <v>19699.2</v>
      </c>
      <c r="G308" s="2" t="n">
        <v>0</v>
      </c>
      <c r="H308" s="2" t="n">
        <v>19699.2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0</v>
      </c>
      <c r="V308" s="2" t="n">
        <v>0</v>
      </c>
      <c r="W308" s="2" t="n">
        <v>0</v>
      </c>
      <c r="X308" s="2" t="n">
        <v>0</v>
      </c>
      <c r="Y308" s="2" t="n">
        <v>0</v>
      </c>
      <c r="Z308" s="2" t="n">
        <v>0</v>
      </c>
      <c r="AA308" s="2" t="n">
        <v>13.33</v>
      </c>
      <c r="AB308" s="2" t="n">
        <v>13.33</v>
      </c>
      <c r="AC308" s="2" t="n">
        <v>0</v>
      </c>
      <c r="AD308" s="2" t="n">
        <v>48.33</v>
      </c>
      <c r="AE308" s="2" t="n">
        <v>48.33</v>
      </c>
      <c r="AF308" s="2" t="n">
        <v>0</v>
      </c>
      <c r="AG308" s="2" t="n">
        <v>81.67</v>
      </c>
      <c r="AH308" s="2" t="n">
        <v>81.67</v>
      </c>
      <c r="AI308" s="2" t="n">
        <v>70.06999999999999</v>
      </c>
      <c r="AJ308" s="2" t="n">
        <v>100</v>
      </c>
      <c r="AK308" s="2" t="n">
        <v>100</v>
      </c>
      <c r="AL308" s="2" t="n">
        <v>100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  <c r="EQ308" s="2" t="n">
        <v>100</v>
      </c>
      <c r="ER308" s="2" t="n">
        <v>100</v>
      </c>
      <c r="ES308" s="2" t="n">
        <v>100</v>
      </c>
      <c r="ET308" s="2" t="n">
        <v>100</v>
      </c>
      <c r="EU308" s="2" t="n">
        <v>100</v>
      </c>
      <c r="EV308" s="2" t="n">
        <v>100</v>
      </c>
      <c r="EW308" s="2" t="n">
        <v>100</v>
      </c>
      <c r="EX308" s="2" t="n">
        <v>100</v>
      </c>
      <c r="EY308" s="2" t="n">
        <v>100</v>
      </c>
      <c r="EZ308" s="2" t="n">
        <v>100</v>
      </c>
      <c r="FA308" s="2" t="n">
        <v>100</v>
      </c>
      <c r="FB308" s="2" t="n">
        <v>100</v>
      </c>
      <c r="FC308" s="2" t="n">
        <v>100</v>
      </c>
      <c r="FD308" s="2" t="n">
        <v>100</v>
      </c>
      <c r="FE308" s="2" t="n">
        <v>100</v>
      </c>
      <c r="FF308" s="2" t="n">
        <v>100</v>
      </c>
      <c r="FG308" s="2" t="n">
        <v>100</v>
      </c>
      <c r="FH308" s="2" t="n">
        <v>100</v>
      </c>
      <c r="FI308" s="2" t="n">
        <v>100</v>
      </c>
      <c r="FJ308" s="2" t="n">
        <v>100</v>
      </c>
      <c r="FK308" s="2" t="n">
        <v>100</v>
      </c>
      <c r="FL308" s="2" t="n">
        <v>100</v>
      </c>
      <c r="FM308" s="2" t="n">
        <v>100</v>
      </c>
      <c r="FN308" s="2" t="n">
        <v>100</v>
      </c>
      <c r="FO308" s="2" t="n">
        <v>100</v>
      </c>
      <c r="FP308" s="2" t="n">
        <v>100</v>
      </c>
      <c r="FQ308" s="2" t="n">
        <v>100</v>
      </c>
    </row>
    <row r="309">
      <c r="A309" s="2" t="n">
        <v>4</v>
      </c>
      <c r="B309" s="2" t="inlineStr">
        <is>
          <t>15.01.03.03</t>
        </is>
      </c>
      <c r="C309" s="2" t="inlineStr">
        <is>
          <t>Ø 130cm</t>
        </is>
      </c>
      <c r="D309" s="2" t="inlineStr">
        <is>
          <t>19/02/2025</t>
        </is>
      </c>
      <c r="E309" s="2" t="inlineStr">
        <is>
          <t>16/05/2025</t>
        </is>
      </c>
      <c r="F309" s="2" t="n">
        <v>44029.44</v>
      </c>
      <c r="G309" s="2" t="n">
        <v>0</v>
      </c>
      <c r="H309" s="2" t="n">
        <v>44029.44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0</v>
      </c>
      <c r="V309" s="2" t="n">
        <v>0</v>
      </c>
      <c r="W309" s="2" t="n">
        <v>0</v>
      </c>
      <c r="X309" s="2" t="n">
        <v>0</v>
      </c>
      <c r="Y309" s="2" t="n">
        <v>0</v>
      </c>
      <c r="Z309" s="2" t="n">
        <v>0</v>
      </c>
      <c r="AA309" s="2" t="n">
        <v>13.33</v>
      </c>
      <c r="AB309" s="2" t="n">
        <v>13.33</v>
      </c>
      <c r="AC309" s="2" t="n">
        <v>0</v>
      </c>
      <c r="AD309" s="2" t="n">
        <v>48.33</v>
      </c>
      <c r="AE309" s="2" t="n">
        <v>48.33</v>
      </c>
      <c r="AF309" s="2" t="n">
        <v>0</v>
      </c>
      <c r="AG309" s="2" t="n">
        <v>81.67</v>
      </c>
      <c r="AH309" s="2" t="n">
        <v>81.67</v>
      </c>
      <c r="AI309" s="2" t="n">
        <v>70.06999999999999</v>
      </c>
      <c r="AJ309" s="2" t="n">
        <v>100</v>
      </c>
      <c r="AK309" s="2" t="n">
        <v>100</v>
      </c>
      <c r="AL309" s="2" t="n">
        <v>100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  <c r="EQ309" s="2" t="n">
        <v>100</v>
      </c>
      <c r="ER309" s="2" t="n">
        <v>100</v>
      </c>
      <c r="ES309" s="2" t="n">
        <v>100</v>
      </c>
      <c r="ET309" s="2" t="n">
        <v>100</v>
      </c>
      <c r="EU309" s="2" t="n">
        <v>100</v>
      </c>
      <c r="EV309" s="2" t="n">
        <v>100</v>
      </c>
      <c r="EW309" s="2" t="n">
        <v>100</v>
      </c>
      <c r="EX309" s="2" t="n">
        <v>100</v>
      </c>
      <c r="EY309" s="2" t="n">
        <v>100</v>
      </c>
      <c r="EZ309" s="2" t="n">
        <v>100</v>
      </c>
      <c r="FA309" s="2" t="n">
        <v>100</v>
      </c>
      <c r="FB309" s="2" t="n">
        <v>100</v>
      </c>
      <c r="FC309" s="2" t="n">
        <v>100</v>
      </c>
      <c r="FD309" s="2" t="n">
        <v>100</v>
      </c>
      <c r="FE309" s="2" t="n">
        <v>100</v>
      </c>
      <c r="FF309" s="2" t="n">
        <v>100</v>
      </c>
      <c r="FG309" s="2" t="n">
        <v>100</v>
      </c>
      <c r="FH309" s="2" t="n">
        <v>100</v>
      </c>
      <c r="FI309" s="2" t="n">
        <v>100</v>
      </c>
      <c r="FJ309" s="2" t="n">
        <v>100</v>
      </c>
      <c r="FK309" s="2" t="n">
        <v>100</v>
      </c>
      <c r="FL309" s="2" t="n">
        <v>100</v>
      </c>
      <c r="FM309" s="2" t="n">
        <v>100</v>
      </c>
      <c r="FN309" s="2" t="n">
        <v>100</v>
      </c>
      <c r="FO309" s="2" t="n">
        <v>100</v>
      </c>
      <c r="FP309" s="2" t="n">
        <v>100</v>
      </c>
      <c r="FQ309" s="2" t="n">
        <v>100</v>
      </c>
    </row>
    <row r="310">
      <c r="A310" s="2" t="n">
        <v>4</v>
      </c>
      <c r="B310" s="2" t="inlineStr">
        <is>
          <t>15.01.03.04</t>
        </is>
      </c>
      <c r="C310" s="2" t="inlineStr">
        <is>
          <t>Ø 140cm</t>
        </is>
      </c>
      <c r="D310" s="2" t="inlineStr">
        <is>
          <t>19/02/2025</t>
        </is>
      </c>
      <c r="E310" s="2" t="inlineStr">
        <is>
          <t>16/05/2025</t>
        </is>
      </c>
      <c r="F310" s="2" t="n">
        <v>116121.6</v>
      </c>
      <c r="G310" s="2" t="n">
        <v>0</v>
      </c>
      <c r="H310" s="2" t="n">
        <v>116121.6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0</v>
      </c>
      <c r="V310" s="2" t="n">
        <v>0</v>
      </c>
      <c r="W310" s="2" t="n">
        <v>0</v>
      </c>
      <c r="X310" s="2" t="n">
        <v>0</v>
      </c>
      <c r="Y310" s="2" t="n">
        <v>0</v>
      </c>
      <c r="Z310" s="2" t="n">
        <v>0</v>
      </c>
      <c r="AA310" s="2" t="n">
        <v>13.33</v>
      </c>
      <c r="AB310" s="2" t="n">
        <v>13.33</v>
      </c>
      <c r="AC310" s="2" t="n">
        <v>0</v>
      </c>
      <c r="AD310" s="2" t="n">
        <v>48.33</v>
      </c>
      <c r="AE310" s="2" t="n">
        <v>48.33</v>
      </c>
      <c r="AF310" s="2" t="n">
        <v>0</v>
      </c>
      <c r="AG310" s="2" t="n">
        <v>81.67</v>
      </c>
      <c r="AH310" s="2" t="n">
        <v>81.67</v>
      </c>
      <c r="AI310" s="2" t="n">
        <v>70.06999999999999</v>
      </c>
      <c r="AJ310" s="2" t="n">
        <v>100</v>
      </c>
      <c r="AK310" s="2" t="n">
        <v>100</v>
      </c>
      <c r="AL310" s="2" t="n">
        <v>100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  <c r="EQ310" s="2" t="n">
        <v>100</v>
      </c>
      <c r="ER310" s="2" t="n">
        <v>100</v>
      </c>
      <c r="ES310" s="2" t="n">
        <v>100</v>
      </c>
      <c r="ET310" s="2" t="n">
        <v>100</v>
      </c>
      <c r="EU310" s="2" t="n">
        <v>100</v>
      </c>
      <c r="EV310" s="2" t="n">
        <v>100</v>
      </c>
      <c r="EW310" s="2" t="n">
        <v>100</v>
      </c>
      <c r="EX310" s="2" t="n">
        <v>100</v>
      </c>
      <c r="EY310" s="2" t="n">
        <v>100</v>
      </c>
      <c r="EZ310" s="2" t="n">
        <v>100</v>
      </c>
      <c r="FA310" s="2" t="n">
        <v>100</v>
      </c>
      <c r="FB310" s="2" t="n">
        <v>100</v>
      </c>
      <c r="FC310" s="2" t="n">
        <v>100</v>
      </c>
      <c r="FD310" s="2" t="n">
        <v>100</v>
      </c>
      <c r="FE310" s="2" t="n">
        <v>100</v>
      </c>
      <c r="FF310" s="2" t="n">
        <v>100</v>
      </c>
      <c r="FG310" s="2" t="n">
        <v>100</v>
      </c>
      <c r="FH310" s="2" t="n">
        <v>100</v>
      </c>
      <c r="FI310" s="2" t="n">
        <v>100</v>
      </c>
      <c r="FJ310" s="2" t="n">
        <v>100</v>
      </c>
      <c r="FK310" s="2" t="n">
        <v>100</v>
      </c>
      <c r="FL310" s="2" t="n">
        <v>100</v>
      </c>
      <c r="FM310" s="2" t="n">
        <v>100</v>
      </c>
      <c r="FN310" s="2" t="n">
        <v>100</v>
      </c>
      <c r="FO310" s="2" t="n">
        <v>100</v>
      </c>
      <c r="FP310" s="2" t="n">
        <v>100</v>
      </c>
      <c r="FQ310" s="2" t="n">
        <v>100</v>
      </c>
    </row>
    <row r="311">
      <c r="A311" s="2" t="n">
        <v>4</v>
      </c>
      <c r="B311" s="2" t="inlineStr">
        <is>
          <t>15.01.03.05</t>
        </is>
      </c>
      <c r="C311" s="2" t="inlineStr">
        <is>
          <t>Ø 150cm</t>
        </is>
      </c>
      <c r="D311" s="2" t="inlineStr">
        <is>
          <t>19/02/2025</t>
        </is>
      </c>
      <c r="E311" s="2" t="inlineStr">
        <is>
          <t>16/05/2025</t>
        </is>
      </c>
      <c r="F311" s="2" t="n">
        <v>7205.76</v>
      </c>
      <c r="G311" s="2" t="n">
        <v>0</v>
      </c>
      <c r="H311" s="2" t="n">
        <v>7205.76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0</v>
      </c>
      <c r="V311" s="2" t="n">
        <v>0</v>
      </c>
      <c r="W311" s="2" t="n">
        <v>0</v>
      </c>
      <c r="X311" s="2" t="n">
        <v>0</v>
      </c>
      <c r="Y311" s="2" t="n">
        <v>0</v>
      </c>
      <c r="Z311" s="2" t="n">
        <v>0</v>
      </c>
      <c r="AA311" s="2" t="n">
        <v>13.33</v>
      </c>
      <c r="AB311" s="2" t="n">
        <v>13.33</v>
      </c>
      <c r="AC311" s="2" t="n">
        <v>0</v>
      </c>
      <c r="AD311" s="2" t="n">
        <v>48.33</v>
      </c>
      <c r="AE311" s="2" t="n">
        <v>48.33</v>
      </c>
      <c r="AF311" s="2" t="n">
        <v>0</v>
      </c>
      <c r="AG311" s="2" t="n">
        <v>81.67</v>
      </c>
      <c r="AH311" s="2" t="n">
        <v>81.67</v>
      </c>
      <c r="AI311" s="2" t="n">
        <v>70.06999999999999</v>
      </c>
      <c r="AJ311" s="2" t="n">
        <v>100</v>
      </c>
      <c r="AK311" s="2" t="n">
        <v>100</v>
      </c>
      <c r="AL311" s="2" t="n">
        <v>100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  <c r="EQ311" s="2" t="n">
        <v>100</v>
      </c>
      <c r="ER311" s="2" t="n">
        <v>100</v>
      </c>
      <c r="ES311" s="2" t="n">
        <v>100</v>
      </c>
      <c r="ET311" s="2" t="n">
        <v>100</v>
      </c>
      <c r="EU311" s="2" t="n">
        <v>100</v>
      </c>
      <c r="EV311" s="2" t="n">
        <v>100</v>
      </c>
      <c r="EW311" s="2" t="n">
        <v>100</v>
      </c>
      <c r="EX311" s="2" t="n">
        <v>100</v>
      </c>
      <c r="EY311" s="2" t="n">
        <v>100</v>
      </c>
      <c r="EZ311" s="2" t="n">
        <v>100</v>
      </c>
      <c r="FA311" s="2" t="n">
        <v>100</v>
      </c>
      <c r="FB311" s="2" t="n">
        <v>100</v>
      </c>
      <c r="FC311" s="2" t="n">
        <v>100</v>
      </c>
      <c r="FD311" s="2" t="n">
        <v>100</v>
      </c>
      <c r="FE311" s="2" t="n">
        <v>100</v>
      </c>
      <c r="FF311" s="2" t="n">
        <v>100</v>
      </c>
      <c r="FG311" s="2" t="n">
        <v>100</v>
      </c>
      <c r="FH311" s="2" t="n">
        <v>100</v>
      </c>
      <c r="FI311" s="2" t="n">
        <v>100</v>
      </c>
      <c r="FJ311" s="2" t="n">
        <v>100</v>
      </c>
      <c r="FK311" s="2" t="n">
        <v>100</v>
      </c>
      <c r="FL311" s="2" t="n">
        <v>100</v>
      </c>
      <c r="FM311" s="2" t="n">
        <v>100</v>
      </c>
      <c r="FN311" s="2" t="n">
        <v>100</v>
      </c>
      <c r="FO311" s="2" t="n">
        <v>100</v>
      </c>
      <c r="FP311" s="2" t="n">
        <v>100</v>
      </c>
      <c r="FQ311" s="2" t="n">
        <v>100</v>
      </c>
    </row>
    <row r="312">
      <c r="A312" s="2" t="n">
        <v>3</v>
      </c>
      <c r="B312" s="2" t="inlineStr">
        <is>
          <t>15.01.04</t>
        </is>
      </c>
      <c r="C312" s="2" t="inlineStr">
        <is>
          <t>Escavação de estaca em solo com SPT &gt; 50 golpes e até o limite da ferramenta de escavação, com polimero</t>
        </is>
      </c>
      <c r="D312" s="2" t="inlineStr">
        <is>
          <t>19/02/2025</t>
        </is>
      </c>
      <c r="E312" s="2" t="inlineStr">
        <is>
          <t>16/05/2025</t>
        </is>
      </c>
      <c r="F312" s="2" t="n">
        <v>988507.84</v>
      </c>
      <c r="G312" s="2" t="n">
        <v>0</v>
      </c>
      <c r="H312" s="2" t="n">
        <v>988507.84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0</v>
      </c>
      <c r="V312" s="2" t="n">
        <v>0</v>
      </c>
      <c r="W312" s="2" t="n">
        <v>0</v>
      </c>
      <c r="X312" s="2" t="n">
        <v>0</v>
      </c>
      <c r="Y312" s="2" t="n">
        <v>0</v>
      </c>
      <c r="Z312" s="2" t="n">
        <v>0</v>
      </c>
      <c r="AA312" s="2" t="n">
        <v>13.33</v>
      </c>
      <c r="AB312" s="2" t="n">
        <v>13.33</v>
      </c>
      <c r="AC312" s="2" t="n">
        <v>0</v>
      </c>
      <c r="AD312" s="2" t="n">
        <v>48.33</v>
      </c>
      <c r="AE312" s="2" t="n">
        <v>48.33</v>
      </c>
      <c r="AF312" s="2" t="n">
        <v>0</v>
      </c>
      <c r="AG312" s="2" t="n">
        <v>81.67</v>
      </c>
      <c r="AH312" s="2" t="n">
        <v>81.67</v>
      </c>
      <c r="AI312" s="2" t="n">
        <v>70.06999999999999</v>
      </c>
      <c r="AJ312" s="2" t="n">
        <v>100</v>
      </c>
      <c r="AK312" s="2" t="n">
        <v>100</v>
      </c>
      <c r="AL312" s="2" t="n">
        <v>100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  <c r="EQ312" s="2" t="n">
        <v>100</v>
      </c>
      <c r="ER312" s="2" t="n">
        <v>100</v>
      </c>
      <c r="ES312" s="2" t="n">
        <v>100</v>
      </c>
      <c r="ET312" s="2" t="n">
        <v>100</v>
      </c>
      <c r="EU312" s="2" t="n">
        <v>100</v>
      </c>
      <c r="EV312" s="2" t="n">
        <v>100</v>
      </c>
      <c r="EW312" s="2" t="n">
        <v>100</v>
      </c>
      <c r="EX312" s="2" t="n">
        <v>100</v>
      </c>
      <c r="EY312" s="2" t="n">
        <v>100</v>
      </c>
      <c r="EZ312" s="2" t="n">
        <v>100</v>
      </c>
      <c r="FA312" s="2" t="n">
        <v>100</v>
      </c>
      <c r="FB312" s="2" t="n">
        <v>100</v>
      </c>
      <c r="FC312" s="2" t="n">
        <v>100</v>
      </c>
      <c r="FD312" s="2" t="n">
        <v>100</v>
      </c>
      <c r="FE312" s="2" t="n">
        <v>100</v>
      </c>
      <c r="FF312" s="2" t="n">
        <v>100</v>
      </c>
      <c r="FG312" s="2" t="n">
        <v>100</v>
      </c>
      <c r="FH312" s="2" t="n">
        <v>100</v>
      </c>
      <c r="FI312" s="2" t="n">
        <v>100</v>
      </c>
      <c r="FJ312" s="2" t="n">
        <v>100</v>
      </c>
      <c r="FK312" s="2" t="n">
        <v>100</v>
      </c>
      <c r="FL312" s="2" t="n">
        <v>100</v>
      </c>
      <c r="FM312" s="2" t="n">
        <v>100</v>
      </c>
      <c r="FN312" s="2" t="n">
        <v>100</v>
      </c>
      <c r="FO312" s="2" t="n">
        <v>100</v>
      </c>
      <c r="FP312" s="2" t="n">
        <v>100</v>
      </c>
      <c r="FQ312" s="2" t="n">
        <v>100</v>
      </c>
    </row>
    <row r="313">
      <c r="A313" s="2" t="n">
        <v>4</v>
      </c>
      <c r="B313" s="2" t="inlineStr">
        <is>
          <t>15.01.04.01</t>
        </is>
      </c>
      <c r="C313" s="2" t="inlineStr">
        <is>
          <t>Ø 110cm</t>
        </is>
      </c>
      <c r="D313" s="2" t="inlineStr">
        <is>
          <t>19/02/2025</t>
        </is>
      </c>
      <c r="E313" s="2" t="inlineStr">
        <is>
          <t>16/05/2025</t>
        </is>
      </c>
      <c r="F313" s="2" t="n">
        <v>82766.88</v>
      </c>
      <c r="G313" s="2" t="n">
        <v>0</v>
      </c>
      <c r="H313" s="2" t="n">
        <v>82766.88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0</v>
      </c>
      <c r="V313" s="2" t="n">
        <v>0</v>
      </c>
      <c r="W313" s="2" t="n">
        <v>0</v>
      </c>
      <c r="X313" s="2" t="n">
        <v>0</v>
      </c>
      <c r="Y313" s="2" t="n">
        <v>0</v>
      </c>
      <c r="Z313" s="2" t="n">
        <v>0</v>
      </c>
      <c r="AA313" s="2" t="n">
        <v>13.33</v>
      </c>
      <c r="AB313" s="2" t="n">
        <v>13.33</v>
      </c>
      <c r="AC313" s="2" t="n">
        <v>0</v>
      </c>
      <c r="AD313" s="2" t="n">
        <v>48.33</v>
      </c>
      <c r="AE313" s="2" t="n">
        <v>48.33</v>
      </c>
      <c r="AF313" s="2" t="n">
        <v>0</v>
      </c>
      <c r="AG313" s="2" t="n">
        <v>81.67</v>
      </c>
      <c r="AH313" s="2" t="n">
        <v>81.67</v>
      </c>
      <c r="AI313" s="2" t="n">
        <v>70.06999999999999</v>
      </c>
      <c r="AJ313" s="2" t="n">
        <v>100</v>
      </c>
      <c r="AK313" s="2" t="n">
        <v>100</v>
      </c>
      <c r="AL313" s="2" t="n">
        <v>100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  <c r="EQ313" s="2" t="n">
        <v>100</v>
      </c>
      <c r="ER313" s="2" t="n">
        <v>100</v>
      </c>
      <c r="ES313" s="2" t="n">
        <v>100</v>
      </c>
      <c r="ET313" s="2" t="n">
        <v>100</v>
      </c>
      <c r="EU313" s="2" t="n">
        <v>100</v>
      </c>
      <c r="EV313" s="2" t="n">
        <v>100</v>
      </c>
      <c r="EW313" s="2" t="n">
        <v>100</v>
      </c>
      <c r="EX313" s="2" t="n">
        <v>100</v>
      </c>
      <c r="EY313" s="2" t="n">
        <v>100</v>
      </c>
      <c r="EZ313" s="2" t="n">
        <v>100</v>
      </c>
      <c r="FA313" s="2" t="n">
        <v>100</v>
      </c>
      <c r="FB313" s="2" t="n">
        <v>100</v>
      </c>
      <c r="FC313" s="2" t="n">
        <v>100</v>
      </c>
      <c r="FD313" s="2" t="n">
        <v>100</v>
      </c>
      <c r="FE313" s="2" t="n">
        <v>100</v>
      </c>
      <c r="FF313" s="2" t="n">
        <v>100</v>
      </c>
      <c r="FG313" s="2" t="n">
        <v>100</v>
      </c>
      <c r="FH313" s="2" t="n">
        <v>100</v>
      </c>
      <c r="FI313" s="2" t="n">
        <v>100</v>
      </c>
      <c r="FJ313" s="2" t="n">
        <v>100</v>
      </c>
      <c r="FK313" s="2" t="n">
        <v>100</v>
      </c>
      <c r="FL313" s="2" t="n">
        <v>100</v>
      </c>
      <c r="FM313" s="2" t="n">
        <v>100</v>
      </c>
      <c r="FN313" s="2" t="n">
        <v>100</v>
      </c>
      <c r="FO313" s="2" t="n">
        <v>100</v>
      </c>
      <c r="FP313" s="2" t="n">
        <v>100</v>
      </c>
      <c r="FQ313" s="2" t="n">
        <v>100</v>
      </c>
    </row>
    <row r="314">
      <c r="A314" s="2" t="n">
        <v>4</v>
      </c>
      <c r="B314" s="2" t="inlineStr">
        <is>
          <t>15.01.04.02</t>
        </is>
      </c>
      <c r="C314" s="2" t="inlineStr">
        <is>
          <t>Ø 120cm</t>
        </is>
      </c>
      <c r="D314" s="2" t="inlineStr">
        <is>
          <t>19/02/2025</t>
        </is>
      </c>
      <c r="E314" s="2" t="inlineStr">
        <is>
          <t>16/05/2025</t>
        </is>
      </c>
      <c r="F314" s="2" t="n">
        <v>77023.872</v>
      </c>
      <c r="G314" s="2" t="n">
        <v>0</v>
      </c>
      <c r="H314" s="2" t="n">
        <v>77023.872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0</v>
      </c>
      <c r="V314" s="2" t="n">
        <v>0</v>
      </c>
      <c r="W314" s="2" t="n">
        <v>0</v>
      </c>
      <c r="X314" s="2" t="n">
        <v>0</v>
      </c>
      <c r="Y314" s="2" t="n">
        <v>0</v>
      </c>
      <c r="Z314" s="2" t="n">
        <v>0</v>
      </c>
      <c r="AA314" s="2" t="n">
        <v>13.33</v>
      </c>
      <c r="AB314" s="2" t="n">
        <v>13.33</v>
      </c>
      <c r="AC314" s="2" t="n">
        <v>0</v>
      </c>
      <c r="AD314" s="2" t="n">
        <v>48.33</v>
      </c>
      <c r="AE314" s="2" t="n">
        <v>48.33</v>
      </c>
      <c r="AF314" s="2" t="n">
        <v>0</v>
      </c>
      <c r="AG314" s="2" t="n">
        <v>81.67</v>
      </c>
      <c r="AH314" s="2" t="n">
        <v>81.67</v>
      </c>
      <c r="AI314" s="2" t="n">
        <v>70.06999999999999</v>
      </c>
      <c r="AJ314" s="2" t="n">
        <v>100</v>
      </c>
      <c r="AK314" s="2" t="n">
        <v>100</v>
      </c>
      <c r="AL314" s="2" t="n">
        <v>100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  <c r="EQ314" s="2" t="n">
        <v>100</v>
      </c>
      <c r="ER314" s="2" t="n">
        <v>100</v>
      </c>
      <c r="ES314" s="2" t="n">
        <v>100</v>
      </c>
      <c r="ET314" s="2" t="n">
        <v>100</v>
      </c>
      <c r="EU314" s="2" t="n">
        <v>100</v>
      </c>
      <c r="EV314" s="2" t="n">
        <v>100</v>
      </c>
      <c r="EW314" s="2" t="n">
        <v>100</v>
      </c>
      <c r="EX314" s="2" t="n">
        <v>100</v>
      </c>
      <c r="EY314" s="2" t="n">
        <v>100</v>
      </c>
      <c r="EZ314" s="2" t="n">
        <v>100</v>
      </c>
      <c r="FA314" s="2" t="n">
        <v>100</v>
      </c>
      <c r="FB314" s="2" t="n">
        <v>100</v>
      </c>
      <c r="FC314" s="2" t="n">
        <v>100</v>
      </c>
      <c r="FD314" s="2" t="n">
        <v>100</v>
      </c>
      <c r="FE314" s="2" t="n">
        <v>100</v>
      </c>
      <c r="FF314" s="2" t="n">
        <v>100</v>
      </c>
      <c r="FG314" s="2" t="n">
        <v>100</v>
      </c>
      <c r="FH314" s="2" t="n">
        <v>100</v>
      </c>
      <c r="FI314" s="2" t="n">
        <v>100</v>
      </c>
      <c r="FJ314" s="2" t="n">
        <v>100</v>
      </c>
      <c r="FK314" s="2" t="n">
        <v>100</v>
      </c>
      <c r="FL314" s="2" t="n">
        <v>100</v>
      </c>
      <c r="FM314" s="2" t="n">
        <v>100</v>
      </c>
      <c r="FN314" s="2" t="n">
        <v>100</v>
      </c>
      <c r="FO314" s="2" t="n">
        <v>100</v>
      </c>
      <c r="FP314" s="2" t="n">
        <v>100</v>
      </c>
      <c r="FQ314" s="2" t="n">
        <v>100</v>
      </c>
    </row>
    <row r="315">
      <c r="A315" s="2" t="n">
        <v>4</v>
      </c>
      <c r="B315" s="2" t="inlineStr">
        <is>
          <t>15.01.04.03</t>
        </is>
      </c>
      <c r="C315" s="2" t="inlineStr">
        <is>
          <t>Ø 130cm</t>
        </is>
      </c>
      <c r="D315" s="2" t="inlineStr">
        <is>
          <t>19/02/2025</t>
        </is>
      </c>
      <c r="E315" s="2" t="inlineStr">
        <is>
          <t>16/05/2025</t>
        </is>
      </c>
      <c r="F315" s="2" t="n">
        <v>172155.1104</v>
      </c>
      <c r="G315" s="2" t="n">
        <v>0</v>
      </c>
      <c r="H315" s="2" t="n">
        <v>172155.1104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0</v>
      </c>
      <c r="V315" s="2" t="n">
        <v>0</v>
      </c>
      <c r="W315" s="2" t="n">
        <v>0</v>
      </c>
      <c r="X315" s="2" t="n">
        <v>0</v>
      </c>
      <c r="Y315" s="2" t="n">
        <v>0</v>
      </c>
      <c r="Z315" s="2" t="n">
        <v>0</v>
      </c>
      <c r="AA315" s="2" t="n">
        <v>13.33</v>
      </c>
      <c r="AB315" s="2" t="n">
        <v>13.33</v>
      </c>
      <c r="AC315" s="2" t="n">
        <v>0</v>
      </c>
      <c r="AD315" s="2" t="n">
        <v>48.33</v>
      </c>
      <c r="AE315" s="2" t="n">
        <v>48.33</v>
      </c>
      <c r="AF315" s="2" t="n">
        <v>0</v>
      </c>
      <c r="AG315" s="2" t="n">
        <v>81.67</v>
      </c>
      <c r="AH315" s="2" t="n">
        <v>81.67</v>
      </c>
      <c r="AI315" s="2" t="n">
        <v>70.06999999999999</v>
      </c>
      <c r="AJ315" s="2" t="n">
        <v>100</v>
      </c>
      <c r="AK315" s="2" t="n">
        <v>100</v>
      </c>
      <c r="AL315" s="2" t="n">
        <v>100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  <c r="EQ315" s="2" t="n">
        <v>100</v>
      </c>
      <c r="ER315" s="2" t="n">
        <v>100</v>
      </c>
      <c r="ES315" s="2" t="n">
        <v>100</v>
      </c>
      <c r="ET315" s="2" t="n">
        <v>100</v>
      </c>
      <c r="EU315" s="2" t="n">
        <v>100</v>
      </c>
      <c r="EV315" s="2" t="n">
        <v>100</v>
      </c>
      <c r="EW315" s="2" t="n">
        <v>100</v>
      </c>
      <c r="EX315" s="2" t="n">
        <v>100</v>
      </c>
      <c r="EY315" s="2" t="n">
        <v>100</v>
      </c>
      <c r="EZ315" s="2" t="n">
        <v>100</v>
      </c>
      <c r="FA315" s="2" t="n">
        <v>100</v>
      </c>
      <c r="FB315" s="2" t="n">
        <v>100</v>
      </c>
      <c r="FC315" s="2" t="n">
        <v>100</v>
      </c>
      <c r="FD315" s="2" t="n">
        <v>100</v>
      </c>
      <c r="FE315" s="2" t="n">
        <v>100</v>
      </c>
      <c r="FF315" s="2" t="n">
        <v>100</v>
      </c>
      <c r="FG315" s="2" t="n">
        <v>100</v>
      </c>
      <c r="FH315" s="2" t="n">
        <v>100</v>
      </c>
      <c r="FI315" s="2" t="n">
        <v>100</v>
      </c>
      <c r="FJ315" s="2" t="n">
        <v>100</v>
      </c>
      <c r="FK315" s="2" t="n">
        <v>100</v>
      </c>
      <c r="FL315" s="2" t="n">
        <v>100</v>
      </c>
      <c r="FM315" s="2" t="n">
        <v>100</v>
      </c>
      <c r="FN315" s="2" t="n">
        <v>100</v>
      </c>
      <c r="FO315" s="2" t="n">
        <v>100</v>
      </c>
      <c r="FP315" s="2" t="n">
        <v>100</v>
      </c>
      <c r="FQ315" s="2" t="n">
        <v>100</v>
      </c>
    </row>
    <row r="316">
      <c r="A316" s="2" t="n">
        <v>4</v>
      </c>
      <c r="B316" s="2" t="inlineStr">
        <is>
          <t>15.01.04.04</t>
        </is>
      </c>
      <c r="C316" s="2" t="inlineStr">
        <is>
          <t>Ø 140cm</t>
        </is>
      </c>
      <c r="D316" s="2" t="inlineStr">
        <is>
          <t>19/02/2025</t>
        </is>
      </c>
      <c r="E316" s="2" t="inlineStr">
        <is>
          <t>16/05/2025</t>
        </is>
      </c>
      <c r="F316" s="2" t="n">
        <v>454035.456</v>
      </c>
      <c r="G316" s="2" t="n">
        <v>0</v>
      </c>
      <c r="H316" s="2" t="n">
        <v>454035.456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0</v>
      </c>
      <c r="V316" s="2" t="n">
        <v>0</v>
      </c>
      <c r="W316" s="2" t="n">
        <v>0</v>
      </c>
      <c r="X316" s="2" t="n">
        <v>0</v>
      </c>
      <c r="Y316" s="2" t="n">
        <v>0</v>
      </c>
      <c r="Z316" s="2" t="n">
        <v>0</v>
      </c>
      <c r="AA316" s="2" t="n">
        <v>13.33</v>
      </c>
      <c r="AB316" s="2" t="n">
        <v>13.33</v>
      </c>
      <c r="AC316" s="2" t="n">
        <v>0</v>
      </c>
      <c r="AD316" s="2" t="n">
        <v>48.33</v>
      </c>
      <c r="AE316" s="2" t="n">
        <v>48.33</v>
      </c>
      <c r="AF316" s="2" t="n">
        <v>0</v>
      </c>
      <c r="AG316" s="2" t="n">
        <v>81.67</v>
      </c>
      <c r="AH316" s="2" t="n">
        <v>81.67</v>
      </c>
      <c r="AI316" s="2" t="n">
        <v>70.06999999999999</v>
      </c>
      <c r="AJ316" s="2" t="n">
        <v>100</v>
      </c>
      <c r="AK316" s="2" t="n">
        <v>100</v>
      </c>
      <c r="AL316" s="2" t="n">
        <v>100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  <c r="EQ316" s="2" t="n">
        <v>100</v>
      </c>
      <c r="ER316" s="2" t="n">
        <v>100</v>
      </c>
      <c r="ES316" s="2" t="n">
        <v>100</v>
      </c>
      <c r="ET316" s="2" t="n">
        <v>100</v>
      </c>
      <c r="EU316" s="2" t="n">
        <v>100</v>
      </c>
      <c r="EV316" s="2" t="n">
        <v>100</v>
      </c>
      <c r="EW316" s="2" t="n">
        <v>100</v>
      </c>
      <c r="EX316" s="2" t="n">
        <v>100</v>
      </c>
      <c r="EY316" s="2" t="n">
        <v>100</v>
      </c>
      <c r="EZ316" s="2" t="n">
        <v>100</v>
      </c>
      <c r="FA316" s="2" t="n">
        <v>100</v>
      </c>
      <c r="FB316" s="2" t="n">
        <v>100</v>
      </c>
      <c r="FC316" s="2" t="n">
        <v>100</v>
      </c>
      <c r="FD316" s="2" t="n">
        <v>100</v>
      </c>
      <c r="FE316" s="2" t="n">
        <v>100</v>
      </c>
      <c r="FF316" s="2" t="n">
        <v>100</v>
      </c>
      <c r="FG316" s="2" t="n">
        <v>100</v>
      </c>
      <c r="FH316" s="2" t="n">
        <v>100</v>
      </c>
      <c r="FI316" s="2" t="n">
        <v>100</v>
      </c>
      <c r="FJ316" s="2" t="n">
        <v>100</v>
      </c>
      <c r="FK316" s="2" t="n">
        <v>100</v>
      </c>
      <c r="FL316" s="2" t="n">
        <v>100</v>
      </c>
      <c r="FM316" s="2" t="n">
        <v>100</v>
      </c>
      <c r="FN316" s="2" t="n">
        <v>100</v>
      </c>
      <c r="FO316" s="2" t="n">
        <v>100</v>
      </c>
      <c r="FP316" s="2" t="n">
        <v>100</v>
      </c>
      <c r="FQ316" s="2" t="n">
        <v>100</v>
      </c>
    </row>
    <row r="317">
      <c r="A317" s="2" t="n">
        <v>4</v>
      </c>
      <c r="B317" s="2" t="inlineStr">
        <is>
          <t>15.01.04.05</t>
        </is>
      </c>
      <c r="C317" s="2" t="inlineStr">
        <is>
          <t>Ø 150cm</t>
        </is>
      </c>
      <c r="D317" s="2" t="inlineStr">
        <is>
          <t>19/02/2025</t>
        </is>
      </c>
      <c r="E317" s="2" t="inlineStr">
        <is>
          <t>16/05/2025</t>
        </is>
      </c>
      <c r="F317" s="2" t="n">
        <v>28174.5216</v>
      </c>
      <c r="G317" s="2" t="n">
        <v>0</v>
      </c>
      <c r="H317" s="2" t="n">
        <v>28174.5216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13.33</v>
      </c>
      <c r="AB317" s="2" t="n">
        <v>13.33</v>
      </c>
      <c r="AC317" s="2" t="n">
        <v>0</v>
      </c>
      <c r="AD317" s="2" t="n">
        <v>48.33</v>
      </c>
      <c r="AE317" s="2" t="n">
        <v>48.33</v>
      </c>
      <c r="AF317" s="2" t="n">
        <v>0</v>
      </c>
      <c r="AG317" s="2" t="n">
        <v>81.67</v>
      </c>
      <c r="AH317" s="2" t="n">
        <v>81.67</v>
      </c>
      <c r="AI317" s="2" t="n">
        <v>70.06999999999999</v>
      </c>
      <c r="AJ317" s="2" t="n">
        <v>100</v>
      </c>
      <c r="AK317" s="2" t="n">
        <v>100</v>
      </c>
      <c r="AL317" s="2" t="n">
        <v>100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  <c r="EQ317" s="2" t="n">
        <v>100</v>
      </c>
      <c r="ER317" s="2" t="n">
        <v>100</v>
      </c>
      <c r="ES317" s="2" t="n">
        <v>100</v>
      </c>
      <c r="ET317" s="2" t="n">
        <v>100</v>
      </c>
      <c r="EU317" s="2" t="n">
        <v>100</v>
      </c>
      <c r="EV317" s="2" t="n">
        <v>100</v>
      </c>
      <c r="EW317" s="2" t="n">
        <v>100</v>
      </c>
      <c r="EX317" s="2" t="n">
        <v>100</v>
      </c>
      <c r="EY317" s="2" t="n">
        <v>100</v>
      </c>
      <c r="EZ317" s="2" t="n">
        <v>100</v>
      </c>
      <c r="FA317" s="2" t="n">
        <v>100</v>
      </c>
      <c r="FB317" s="2" t="n">
        <v>100</v>
      </c>
      <c r="FC317" s="2" t="n">
        <v>100</v>
      </c>
      <c r="FD317" s="2" t="n">
        <v>100</v>
      </c>
      <c r="FE317" s="2" t="n">
        <v>100</v>
      </c>
      <c r="FF317" s="2" t="n">
        <v>100</v>
      </c>
      <c r="FG317" s="2" t="n">
        <v>100</v>
      </c>
      <c r="FH317" s="2" t="n">
        <v>100</v>
      </c>
      <c r="FI317" s="2" t="n">
        <v>100</v>
      </c>
      <c r="FJ317" s="2" t="n">
        <v>100</v>
      </c>
      <c r="FK317" s="2" t="n">
        <v>100</v>
      </c>
      <c r="FL317" s="2" t="n">
        <v>100</v>
      </c>
      <c r="FM317" s="2" t="n">
        <v>100</v>
      </c>
      <c r="FN317" s="2" t="n">
        <v>100</v>
      </c>
      <c r="FO317" s="2" t="n">
        <v>100</v>
      </c>
      <c r="FP317" s="2" t="n">
        <v>100</v>
      </c>
      <c r="FQ317" s="2" t="n">
        <v>100</v>
      </c>
    </row>
    <row r="318">
      <c r="A318" s="2" t="n">
        <v>4</v>
      </c>
      <c r="B318" s="2" t="inlineStr">
        <is>
          <t>15.01.04.06</t>
        </is>
      </c>
      <c r="C318" s="2" t="inlineStr">
        <is>
          <t>Ø 80cm</t>
        </is>
      </c>
      <c r="D318" s="2" t="inlineStr">
        <is>
          <t>19/02/2025</t>
        </is>
      </c>
      <c r="E318" s="2" t="inlineStr">
        <is>
          <t>16/05/2025</t>
        </is>
      </c>
      <c r="F318" s="2" t="n">
        <v>149328</v>
      </c>
      <c r="G318" s="2" t="n">
        <v>0</v>
      </c>
      <c r="H318" s="2" t="n">
        <v>149328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13.33</v>
      </c>
      <c r="AB318" s="2" t="n">
        <v>13.33</v>
      </c>
      <c r="AC318" s="2" t="n">
        <v>0</v>
      </c>
      <c r="AD318" s="2" t="n">
        <v>48.33</v>
      </c>
      <c r="AE318" s="2" t="n">
        <v>48.33</v>
      </c>
      <c r="AF318" s="2" t="n">
        <v>0</v>
      </c>
      <c r="AG318" s="2" t="n">
        <v>81.67</v>
      </c>
      <c r="AH318" s="2" t="n">
        <v>81.67</v>
      </c>
      <c r="AI318" s="2" t="n">
        <v>70.06999999999999</v>
      </c>
      <c r="AJ318" s="2" t="n">
        <v>100</v>
      </c>
      <c r="AK318" s="2" t="n">
        <v>100</v>
      </c>
      <c r="AL318" s="2" t="n">
        <v>100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  <c r="EQ318" s="2" t="n">
        <v>100</v>
      </c>
      <c r="ER318" s="2" t="n">
        <v>100</v>
      </c>
      <c r="ES318" s="2" t="n">
        <v>100</v>
      </c>
      <c r="ET318" s="2" t="n">
        <v>100</v>
      </c>
      <c r="EU318" s="2" t="n">
        <v>100</v>
      </c>
      <c r="EV318" s="2" t="n">
        <v>100</v>
      </c>
      <c r="EW318" s="2" t="n">
        <v>100</v>
      </c>
      <c r="EX318" s="2" t="n">
        <v>100</v>
      </c>
      <c r="EY318" s="2" t="n">
        <v>100</v>
      </c>
      <c r="EZ318" s="2" t="n">
        <v>100</v>
      </c>
      <c r="FA318" s="2" t="n">
        <v>100</v>
      </c>
      <c r="FB318" s="2" t="n">
        <v>100</v>
      </c>
      <c r="FC318" s="2" t="n">
        <v>100</v>
      </c>
      <c r="FD318" s="2" t="n">
        <v>100</v>
      </c>
      <c r="FE318" s="2" t="n">
        <v>100</v>
      </c>
      <c r="FF318" s="2" t="n">
        <v>100</v>
      </c>
      <c r="FG318" s="2" t="n">
        <v>100</v>
      </c>
      <c r="FH318" s="2" t="n">
        <v>100</v>
      </c>
      <c r="FI318" s="2" t="n">
        <v>100</v>
      </c>
      <c r="FJ318" s="2" t="n">
        <v>100</v>
      </c>
      <c r="FK318" s="2" t="n">
        <v>100</v>
      </c>
      <c r="FL318" s="2" t="n">
        <v>100</v>
      </c>
      <c r="FM318" s="2" t="n">
        <v>100</v>
      </c>
      <c r="FN318" s="2" t="n">
        <v>100</v>
      </c>
      <c r="FO318" s="2" t="n">
        <v>100</v>
      </c>
      <c r="FP318" s="2" t="n">
        <v>100</v>
      </c>
      <c r="FQ318" s="2" t="n">
        <v>100</v>
      </c>
    </row>
    <row r="319">
      <c r="A319" s="2" t="n">
        <v>4</v>
      </c>
      <c r="B319" s="2" t="inlineStr">
        <is>
          <t>15.01.04.07</t>
        </is>
      </c>
      <c r="C319" s="2" t="inlineStr">
        <is>
          <t>Ø 90cm</t>
        </is>
      </c>
      <c r="D319" s="2" t="inlineStr">
        <is>
          <t>19/02/2025</t>
        </is>
      </c>
      <c r="E319" s="2" t="inlineStr">
        <is>
          <t>16/05/2025</t>
        </is>
      </c>
      <c r="F319" s="2" t="n">
        <v>13600</v>
      </c>
      <c r="G319" s="2" t="n">
        <v>0</v>
      </c>
      <c r="H319" s="2" t="n">
        <v>13600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13.33</v>
      </c>
      <c r="AB319" s="2" t="n">
        <v>13.33</v>
      </c>
      <c r="AC319" s="2" t="n">
        <v>0</v>
      </c>
      <c r="AD319" s="2" t="n">
        <v>48.33</v>
      </c>
      <c r="AE319" s="2" t="n">
        <v>48.33</v>
      </c>
      <c r="AF319" s="2" t="n">
        <v>0</v>
      </c>
      <c r="AG319" s="2" t="n">
        <v>81.67</v>
      </c>
      <c r="AH319" s="2" t="n">
        <v>81.67</v>
      </c>
      <c r="AI319" s="2" t="n">
        <v>70.06999999999999</v>
      </c>
      <c r="AJ319" s="2" t="n">
        <v>100</v>
      </c>
      <c r="AK319" s="2" t="n">
        <v>100</v>
      </c>
      <c r="AL319" s="2" t="n">
        <v>100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  <c r="EQ319" s="2" t="n">
        <v>100</v>
      </c>
      <c r="ER319" s="2" t="n">
        <v>100</v>
      </c>
      <c r="ES319" s="2" t="n">
        <v>100</v>
      </c>
      <c r="ET319" s="2" t="n">
        <v>100</v>
      </c>
      <c r="EU319" s="2" t="n">
        <v>100</v>
      </c>
      <c r="EV319" s="2" t="n">
        <v>100</v>
      </c>
      <c r="EW319" s="2" t="n">
        <v>100</v>
      </c>
      <c r="EX319" s="2" t="n">
        <v>100</v>
      </c>
      <c r="EY319" s="2" t="n">
        <v>100</v>
      </c>
      <c r="EZ319" s="2" t="n">
        <v>100</v>
      </c>
      <c r="FA319" s="2" t="n">
        <v>100</v>
      </c>
      <c r="FB319" s="2" t="n">
        <v>100</v>
      </c>
      <c r="FC319" s="2" t="n">
        <v>100</v>
      </c>
      <c r="FD319" s="2" t="n">
        <v>100</v>
      </c>
      <c r="FE319" s="2" t="n">
        <v>100</v>
      </c>
      <c r="FF319" s="2" t="n">
        <v>100</v>
      </c>
      <c r="FG319" s="2" t="n">
        <v>100</v>
      </c>
      <c r="FH319" s="2" t="n">
        <v>100</v>
      </c>
      <c r="FI319" s="2" t="n">
        <v>100</v>
      </c>
      <c r="FJ319" s="2" t="n">
        <v>100</v>
      </c>
      <c r="FK319" s="2" t="n">
        <v>100</v>
      </c>
      <c r="FL319" s="2" t="n">
        <v>100</v>
      </c>
      <c r="FM319" s="2" t="n">
        <v>100</v>
      </c>
      <c r="FN319" s="2" t="n">
        <v>100</v>
      </c>
      <c r="FO319" s="2" t="n">
        <v>100</v>
      </c>
      <c r="FP319" s="2" t="n">
        <v>100</v>
      </c>
      <c r="FQ319" s="2" t="n">
        <v>100</v>
      </c>
    </row>
    <row r="320">
      <c r="A320" s="2" t="n">
        <v>4</v>
      </c>
      <c r="B320" s="2" t="inlineStr">
        <is>
          <t>15.01.04.08</t>
        </is>
      </c>
      <c r="C320" s="2" t="inlineStr">
        <is>
          <t>Ø 100cm</t>
        </is>
      </c>
      <c r="D320" s="2" t="inlineStr">
        <is>
          <t>19/02/2025</t>
        </is>
      </c>
      <c r="E320" s="2" t="inlineStr">
        <is>
          <t>16/05/2025</t>
        </is>
      </c>
      <c r="F320" s="2" t="n">
        <v>11424</v>
      </c>
      <c r="G320" s="2" t="n">
        <v>0</v>
      </c>
      <c r="H320" s="2" t="n">
        <v>11424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13.33</v>
      </c>
      <c r="AB320" s="2" t="n">
        <v>13.33</v>
      </c>
      <c r="AC320" s="2" t="n">
        <v>0</v>
      </c>
      <c r="AD320" s="2" t="n">
        <v>48.33</v>
      </c>
      <c r="AE320" s="2" t="n">
        <v>48.33</v>
      </c>
      <c r="AF320" s="2" t="n">
        <v>0</v>
      </c>
      <c r="AG320" s="2" t="n">
        <v>81.67</v>
      </c>
      <c r="AH320" s="2" t="n">
        <v>81.67</v>
      </c>
      <c r="AI320" s="2" t="n">
        <v>70.06999999999999</v>
      </c>
      <c r="AJ320" s="2" t="n">
        <v>100</v>
      </c>
      <c r="AK320" s="2" t="n">
        <v>100</v>
      </c>
      <c r="AL320" s="2" t="n">
        <v>100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  <c r="EQ320" s="2" t="n">
        <v>100</v>
      </c>
      <c r="ER320" s="2" t="n">
        <v>100</v>
      </c>
      <c r="ES320" s="2" t="n">
        <v>100</v>
      </c>
      <c r="ET320" s="2" t="n">
        <v>100</v>
      </c>
      <c r="EU320" s="2" t="n">
        <v>100</v>
      </c>
      <c r="EV320" s="2" t="n">
        <v>100</v>
      </c>
      <c r="EW320" s="2" t="n">
        <v>100</v>
      </c>
      <c r="EX320" s="2" t="n">
        <v>100</v>
      </c>
      <c r="EY320" s="2" t="n">
        <v>100</v>
      </c>
      <c r="EZ320" s="2" t="n">
        <v>100</v>
      </c>
      <c r="FA320" s="2" t="n">
        <v>100</v>
      </c>
      <c r="FB320" s="2" t="n">
        <v>100</v>
      </c>
      <c r="FC320" s="2" t="n">
        <v>100</v>
      </c>
      <c r="FD320" s="2" t="n">
        <v>100</v>
      </c>
      <c r="FE320" s="2" t="n">
        <v>100</v>
      </c>
      <c r="FF320" s="2" t="n">
        <v>100</v>
      </c>
      <c r="FG320" s="2" t="n">
        <v>100</v>
      </c>
      <c r="FH320" s="2" t="n">
        <v>100</v>
      </c>
      <c r="FI320" s="2" t="n">
        <v>100</v>
      </c>
      <c r="FJ320" s="2" t="n">
        <v>100</v>
      </c>
      <c r="FK320" s="2" t="n">
        <v>100</v>
      </c>
      <c r="FL320" s="2" t="n">
        <v>100</v>
      </c>
      <c r="FM320" s="2" t="n">
        <v>100</v>
      </c>
      <c r="FN320" s="2" t="n">
        <v>100</v>
      </c>
      <c r="FO320" s="2" t="n">
        <v>100</v>
      </c>
      <c r="FP320" s="2" t="n">
        <v>100</v>
      </c>
      <c r="FQ320" s="2" t="n">
        <v>100</v>
      </c>
    </row>
    <row r="321">
      <c r="A321" s="2" t="n">
        <v>3</v>
      </c>
      <c r="B321" s="2" t="inlineStr">
        <is>
          <t>15.01.05</t>
        </is>
      </c>
      <c r="C321" s="2" t="inlineStr">
        <is>
          <t>Escavaçaõ de estaca a seco em solo</t>
        </is>
      </c>
      <c r="D321" s="2" t="inlineStr">
        <is>
          <t>19/02/2025</t>
        </is>
      </c>
      <c r="E321" s="2" t="inlineStr">
        <is>
          <t>16/05/2025</t>
        </is>
      </c>
      <c r="F321" s="2" t="n">
        <v>120126</v>
      </c>
      <c r="G321" s="2" t="n">
        <v>0</v>
      </c>
      <c r="H321" s="2" t="n">
        <v>120126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13.33</v>
      </c>
      <c r="AB321" s="2" t="n">
        <v>13.33</v>
      </c>
      <c r="AC321" s="2" t="n">
        <v>0</v>
      </c>
      <c r="AD321" s="2" t="n">
        <v>48.33</v>
      </c>
      <c r="AE321" s="2" t="n">
        <v>48.33</v>
      </c>
      <c r="AF321" s="2" t="n">
        <v>0</v>
      </c>
      <c r="AG321" s="2" t="n">
        <v>81.67</v>
      </c>
      <c r="AH321" s="2" t="n">
        <v>81.67</v>
      </c>
      <c r="AI321" s="2" t="n">
        <v>70.06999999999999</v>
      </c>
      <c r="AJ321" s="2" t="n">
        <v>100</v>
      </c>
      <c r="AK321" s="2" t="n">
        <v>100</v>
      </c>
      <c r="AL321" s="2" t="n">
        <v>100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  <c r="EQ321" s="2" t="n">
        <v>100</v>
      </c>
      <c r="ER321" s="2" t="n">
        <v>100</v>
      </c>
      <c r="ES321" s="2" t="n">
        <v>100</v>
      </c>
      <c r="ET321" s="2" t="n">
        <v>100</v>
      </c>
      <c r="EU321" s="2" t="n">
        <v>100</v>
      </c>
      <c r="EV321" s="2" t="n">
        <v>100</v>
      </c>
      <c r="EW321" s="2" t="n">
        <v>100</v>
      </c>
      <c r="EX321" s="2" t="n">
        <v>100</v>
      </c>
      <c r="EY321" s="2" t="n">
        <v>100</v>
      </c>
      <c r="EZ321" s="2" t="n">
        <v>100</v>
      </c>
      <c r="FA321" s="2" t="n">
        <v>100</v>
      </c>
      <c r="FB321" s="2" t="n">
        <v>100</v>
      </c>
      <c r="FC321" s="2" t="n">
        <v>100</v>
      </c>
      <c r="FD321" s="2" t="n">
        <v>100</v>
      </c>
      <c r="FE321" s="2" t="n">
        <v>100</v>
      </c>
      <c r="FF321" s="2" t="n">
        <v>100</v>
      </c>
      <c r="FG321" s="2" t="n">
        <v>100</v>
      </c>
      <c r="FH321" s="2" t="n">
        <v>100</v>
      </c>
      <c r="FI321" s="2" t="n">
        <v>100</v>
      </c>
      <c r="FJ321" s="2" t="n">
        <v>100</v>
      </c>
      <c r="FK321" s="2" t="n">
        <v>100</v>
      </c>
      <c r="FL321" s="2" t="n">
        <v>100</v>
      </c>
      <c r="FM321" s="2" t="n">
        <v>100</v>
      </c>
      <c r="FN321" s="2" t="n">
        <v>100</v>
      </c>
      <c r="FO321" s="2" t="n">
        <v>100</v>
      </c>
      <c r="FP321" s="2" t="n">
        <v>100</v>
      </c>
      <c r="FQ321" s="2" t="n">
        <v>100</v>
      </c>
    </row>
    <row r="322">
      <c r="A322" s="2" t="n">
        <v>4</v>
      </c>
      <c r="B322" s="2" t="inlineStr">
        <is>
          <t>15.01.05.01</t>
        </is>
      </c>
      <c r="C322" s="2" t="inlineStr">
        <is>
          <t>Ø 80cm SPT &lt;50</t>
        </is>
      </c>
      <c r="D322" s="2" t="inlineStr">
        <is>
          <t>19/02/2025</t>
        </is>
      </c>
      <c r="E322" s="2" t="inlineStr">
        <is>
          <t>16/05/2025</t>
        </is>
      </c>
      <c r="F322" s="2" t="n">
        <v>98820</v>
      </c>
      <c r="G322" s="2" t="n">
        <v>0</v>
      </c>
      <c r="H322" s="2" t="n">
        <v>98820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13.33</v>
      </c>
      <c r="AB322" s="2" t="n">
        <v>13.33</v>
      </c>
      <c r="AC322" s="2" t="n">
        <v>0</v>
      </c>
      <c r="AD322" s="2" t="n">
        <v>48.33</v>
      </c>
      <c r="AE322" s="2" t="n">
        <v>48.33</v>
      </c>
      <c r="AF322" s="2" t="n">
        <v>0</v>
      </c>
      <c r="AG322" s="2" t="n">
        <v>81.67</v>
      </c>
      <c r="AH322" s="2" t="n">
        <v>81.67</v>
      </c>
      <c r="AI322" s="2" t="n">
        <v>70.06999999999999</v>
      </c>
      <c r="AJ322" s="2" t="n">
        <v>100</v>
      </c>
      <c r="AK322" s="2" t="n">
        <v>100</v>
      </c>
      <c r="AL322" s="2" t="n">
        <v>100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  <c r="EQ322" s="2" t="n">
        <v>100</v>
      </c>
      <c r="ER322" s="2" t="n">
        <v>100</v>
      </c>
      <c r="ES322" s="2" t="n">
        <v>100</v>
      </c>
      <c r="ET322" s="2" t="n">
        <v>100</v>
      </c>
      <c r="EU322" s="2" t="n">
        <v>100</v>
      </c>
      <c r="EV322" s="2" t="n">
        <v>100</v>
      </c>
      <c r="EW322" s="2" t="n">
        <v>100</v>
      </c>
      <c r="EX322" s="2" t="n">
        <v>100</v>
      </c>
      <c r="EY322" s="2" t="n">
        <v>100</v>
      </c>
      <c r="EZ322" s="2" t="n">
        <v>100</v>
      </c>
      <c r="FA322" s="2" t="n">
        <v>100</v>
      </c>
      <c r="FB322" s="2" t="n">
        <v>100</v>
      </c>
      <c r="FC322" s="2" t="n">
        <v>100</v>
      </c>
      <c r="FD322" s="2" t="n">
        <v>100</v>
      </c>
      <c r="FE322" s="2" t="n">
        <v>100</v>
      </c>
      <c r="FF322" s="2" t="n">
        <v>100</v>
      </c>
      <c r="FG322" s="2" t="n">
        <v>100</v>
      </c>
      <c r="FH322" s="2" t="n">
        <v>100</v>
      </c>
      <c r="FI322" s="2" t="n">
        <v>100</v>
      </c>
      <c r="FJ322" s="2" t="n">
        <v>100</v>
      </c>
      <c r="FK322" s="2" t="n">
        <v>100</v>
      </c>
      <c r="FL322" s="2" t="n">
        <v>100</v>
      </c>
      <c r="FM322" s="2" t="n">
        <v>100</v>
      </c>
      <c r="FN322" s="2" t="n">
        <v>100</v>
      </c>
      <c r="FO322" s="2" t="n">
        <v>100</v>
      </c>
      <c r="FP322" s="2" t="n">
        <v>100</v>
      </c>
      <c r="FQ322" s="2" t="n">
        <v>100</v>
      </c>
    </row>
    <row r="323">
      <c r="A323" s="2" t="n">
        <v>4</v>
      </c>
      <c r="B323" s="2" t="inlineStr">
        <is>
          <t>15.01.05.02</t>
        </is>
      </c>
      <c r="C323" s="2" t="inlineStr">
        <is>
          <t>Ø 90cm - SPT &lt;50</t>
        </is>
      </c>
      <c r="D323" s="2" t="inlineStr">
        <is>
          <t>19/02/2025</t>
        </is>
      </c>
      <c r="E323" s="2" t="inlineStr">
        <is>
          <t>16/05/2025</t>
        </is>
      </c>
      <c r="F323" s="2" t="n">
        <v>9000</v>
      </c>
      <c r="G323" s="2" t="n">
        <v>0</v>
      </c>
      <c r="H323" s="2" t="n">
        <v>9000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13.33</v>
      </c>
      <c r="AB323" s="2" t="n">
        <v>13.33</v>
      </c>
      <c r="AC323" s="2" t="n">
        <v>0</v>
      </c>
      <c r="AD323" s="2" t="n">
        <v>48.33</v>
      </c>
      <c r="AE323" s="2" t="n">
        <v>48.33</v>
      </c>
      <c r="AF323" s="2" t="n">
        <v>0</v>
      </c>
      <c r="AG323" s="2" t="n">
        <v>81.67</v>
      </c>
      <c r="AH323" s="2" t="n">
        <v>81.67</v>
      </c>
      <c r="AI323" s="2" t="n">
        <v>70.06999999999999</v>
      </c>
      <c r="AJ323" s="2" t="n">
        <v>100</v>
      </c>
      <c r="AK323" s="2" t="n">
        <v>100</v>
      </c>
      <c r="AL323" s="2" t="n">
        <v>100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  <c r="EQ323" s="2" t="n">
        <v>100</v>
      </c>
      <c r="ER323" s="2" t="n">
        <v>100</v>
      </c>
      <c r="ES323" s="2" t="n">
        <v>100</v>
      </c>
      <c r="ET323" s="2" t="n">
        <v>100</v>
      </c>
      <c r="EU323" s="2" t="n">
        <v>100</v>
      </c>
      <c r="EV323" s="2" t="n">
        <v>100</v>
      </c>
      <c r="EW323" s="2" t="n">
        <v>100</v>
      </c>
      <c r="EX323" s="2" t="n">
        <v>100</v>
      </c>
      <c r="EY323" s="2" t="n">
        <v>100</v>
      </c>
      <c r="EZ323" s="2" t="n">
        <v>100</v>
      </c>
      <c r="FA323" s="2" t="n">
        <v>100</v>
      </c>
      <c r="FB323" s="2" t="n">
        <v>100</v>
      </c>
      <c r="FC323" s="2" t="n">
        <v>100</v>
      </c>
      <c r="FD323" s="2" t="n">
        <v>100</v>
      </c>
      <c r="FE323" s="2" t="n">
        <v>100</v>
      </c>
      <c r="FF323" s="2" t="n">
        <v>100</v>
      </c>
      <c r="FG323" s="2" t="n">
        <v>100</v>
      </c>
      <c r="FH323" s="2" t="n">
        <v>100</v>
      </c>
      <c r="FI323" s="2" t="n">
        <v>100</v>
      </c>
      <c r="FJ323" s="2" t="n">
        <v>100</v>
      </c>
      <c r="FK323" s="2" t="n">
        <v>100</v>
      </c>
      <c r="FL323" s="2" t="n">
        <v>100</v>
      </c>
      <c r="FM323" s="2" t="n">
        <v>100</v>
      </c>
      <c r="FN323" s="2" t="n">
        <v>100</v>
      </c>
      <c r="FO323" s="2" t="n">
        <v>100</v>
      </c>
      <c r="FP323" s="2" t="n">
        <v>100</v>
      </c>
      <c r="FQ323" s="2" t="n">
        <v>100</v>
      </c>
    </row>
    <row r="324">
      <c r="A324" s="2" t="n">
        <v>4</v>
      </c>
      <c r="B324" s="2" t="inlineStr">
        <is>
          <t>15.01.05.03</t>
        </is>
      </c>
      <c r="C324" s="2" t="inlineStr">
        <is>
          <t>Ø 100cm - SPT &lt;50</t>
        </is>
      </c>
      <c r="D324" s="2" t="inlineStr">
        <is>
          <t>19/02/2025</t>
        </is>
      </c>
      <c r="E324" s="2" t="inlineStr">
        <is>
          <t>16/05/2025</t>
        </is>
      </c>
      <c r="F324" s="2" t="n">
        <v>7560</v>
      </c>
      <c r="G324" s="2" t="n">
        <v>0</v>
      </c>
      <c r="H324" s="2" t="n">
        <v>7560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13.33</v>
      </c>
      <c r="AB324" s="2" t="n">
        <v>13.33</v>
      </c>
      <c r="AC324" s="2" t="n">
        <v>0</v>
      </c>
      <c r="AD324" s="2" t="n">
        <v>48.33</v>
      </c>
      <c r="AE324" s="2" t="n">
        <v>48.33</v>
      </c>
      <c r="AF324" s="2" t="n">
        <v>0</v>
      </c>
      <c r="AG324" s="2" t="n">
        <v>81.67</v>
      </c>
      <c r="AH324" s="2" t="n">
        <v>81.67</v>
      </c>
      <c r="AI324" s="2" t="n">
        <v>70.06999999999999</v>
      </c>
      <c r="AJ324" s="2" t="n">
        <v>100</v>
      </c>
      <c r="AK324" s="2" t="n">
        <v>100</v>
      </c>
      <c r="AL324" s="2" t="n">
        <v>100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  <c r="EQ324" s="2" t="n">
        <v>100</v>
      </c>
      <c r="ER324" s="2" t="n">
        <v>100</v>
      </c>
      <c r="ES324" s="2" t="n">
        <v>100</v>
      </c>
      <c r="ET324" s="2" t="n">
        <v>100</v>
      </c>
      <c r="EU324" s="2" t="n">
        <v>100</v>
      </c>
      <c r="EV324" s="2" t="n">
        <v>100</v>
      </c>
      <c r="EW324" s="2" t="n">
        <v>100</v>
      </c>
      <c r="EX324" s="2" t="n">
        <v>100</v>
      </c>
      <c r="EY324" s="2" t="n">
        <v>100</v>
      </c>
      <c r="EZ324" s="2" t="n">
        <v>100</v>
      </c>
      <c r="FA324" s="2" t="n">
        <v>100</v>
      </c>
      <c r="FB324" s="2" t="n">
        <v>100</v>
      </c>
      <c r="FC324" s="2" t="n">
        <v>100</v>
      </c>
      <c r="FD324" s="2" t="n">
        <v>100</v>
      </c>
      <c r="FE324" s="2" t="n">
        <v>100</v>
      </c>
      <c r="FF324" s="2" t="n">
        <v>100</v>
      </c>
      <c r="FG324" s="2" t="n">
        <v>100</v>
      </c>
      <c r="FH324" s="2" t="n">
        <v>100</v>
      </c>
      <c r="FI324" s="2" t="n">
        <v>100</v>
      </c>
      <c r="FJ324" s="2" t="n">
        <v>100</v>
      </c>
      <c r="FK324" s="2" t="n">
        <v>100</v>
      </c>
      <c r="FL324" s="2" t="n">
        <v>100</v>
      </c>
      <c r="FM324" s="2" t="n">
        <v>100</v>
      </c>
      <c r="FN324" s="2" t="n">
        <v>100</v>
      </c>
      <c r="FO324" s="2" t="n">
        <v>100</v>
      </c>
      <c r="FP324" s="2" t="n">
        <v>100</v>
      </c>
      <c r="FQ324" s="2" t="n">
        <v>100</v>
      </c>
    </row>
    <row r="325">
      <c r="A325" s="2" t="n">
        <v>4</v>
      </c>
      <c r="B325" s="2" t="inlineStr">
        <is>
          <t>15.01.05.04</t>
        </is>
      </c>
      <c r="C325" s="2" t="inlineStr">
        <is>
          <t>Ø 110cm - SPT &lt;50</t>
        </is>
      </c>
      <c r="D325" s="2" t="inlineStr">
        <is>
          <t>19/02/2025</t>
        </is>
      </c>
      <c r="E325" s="2" t="inlineStr">
        <is>
          <t>16/05/2025</t>
        </is>
      </c>
      <c r="F325" s="2" t="n">
        <v>1890</v>
      </c>
      <c r="G325" s="2" t="n">
        <v>0</v>
      </c>
      <c r="H325" s="2" t="n">
        <v>1890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13.33</v>
      </c>
      <c r="AB325" s="2" t="n">
        <v>13.33</v>
      </c>
      <c r="AC325" s="2" t="n">
        <v>0</v>
      </c>
      <c r="AD325" s="2" t="n">
        <v>48.33</v>
      </c>
      <c r="AE325" s="2" t="n">
        <v>48.33</v>
      </c>
      <c r="AF325" s="2" t="n">
        <v>0</v>
      </c>
      <c r="AG325" s="2" t="n">
        <v>81.67</v>
      </c>
      <c r="AH325" s="2" t="n">
        <v>81.67</v>
      </c>
      <c r="AI325" s="2" t="n">
        <v>70.06999999999999</v>
      </c>
      <c r="AJ325" s="2" t="n">
        <v>100</v>
      </c>
      <c r="AK325" s="2" t="n">
        <v>100</v>
      </c>
      <c r="AL325" s="2" t="n">
        <v>100</v>
      </c>
      <c r="AM325" s="2" t="n">
        <v>100</v>
      </c>
      <c r="AN325" s="2" t="n">
        <v>100</v>
      </c>
      <c r="AO325" s="2" t="n">
        <v>100</v>
      </c>
      <c r="AP325" s="2" t="n">
        <v>100</v>
      </c>
      <c r="AQ325" s="2" t="n">
        <v>100</v>
      </c>
      <c r="AR325" s="2" t="n">
        <v>100</v>
      </c>
      <c r="AS325" s="2" t="n">
        <v>100</v>
      </c>
      <c r="AT325" s="2" t="n">
        <v>100</v>
      </c>
      <c r="AU325" s="2" t="n">
        <v>100</v>
      </c>
      <c r="AV325" s="2" t="n">
        <v>100</v>
      </c>
      <c r="AW325" s="2" t="n">
        <v>100</v>
      </c>
      <c r="AX325" s="2" t="n">
        <v>100</v>
      </c>
      <c r="AY325" s="2" t="n">
        <v>100</v>
      </c>
      <c r="AZ325" s="2" t="n">
        <v>100</v>
      </c>
      <c r="BA325" s="2" t="n">
        <v>100</v>
      </c>
      <c r="BB325" s="2" t="n">
        <v>100</v>
      </c>
      <c r="BC325" s="2" t="n">
        <v>100</v>
      </c>
      <c r="BD325" s="2" t="n">
        <v>100</v>
      </c>
      <c r="BE325" s="2" t="n">
        <v>100</v>
      </c>
      <c r="BF325" s="2" t="n">
        <v>100</v>
      </c>
      <c r="BG325" s="2" t="n">
        <v>100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  <c r="EQ325" s="2" t="n">
        <v>100</v>
      </c>
      <c r="ER325" s="2" t="n">
        <v>100</v>
      </c>
      <c r="ES325" s="2" t="n">
        <v>100</v>
      </c>
      <c r="ET325" s="2" t="n">
        <v>100</v>
      </c>
      <c r="EU325" s="2" t="n">
        <v>100</v>
      </c>
      <c r="EV325" s="2" t="n">
        <v>100</v>
      </c>
      <c r="EW325" s="2" t="n">
        <v>100</v>
      </c>
      <c r="EX325" s="2" t="n">
        <v>100</v>
      </c>
      <c r="EY325" s="2" t="n">
        <v>100</v>
      </c>
      <c r="EZ325" s="2" t="n">
        <v>100</v>
      </c>
      <c r="FA325" s="2" t="n">
        <v>100</v>
      </c>
      <c r="FB325" s="2" t="n">
        <v>100</v>
      </c>
      <c r="FC325" s="2" t="n">
        <v>100</v>
      </c>
      <c r="FD325" s="2" t="n">
        <v>100</v>
      </c>
      <c r="FE325" s="2" t="n">
        <v>100</v>
      </c>
      <c r="FF325" s="2" t="n">
        <v>100</v>
      </c>
      <c r="FG325" s="2" t="n">
        <v>100</v>
      </c>
      <c r="FH325" s="2" t="n">
        <v>100</v>
      </c>
      <c r="FI325" s="2" t="n">
        <v>100</v>
      </c>
      <c r="FJ325" s="2" t="n">
        <v>100</v>
      </c>
      <c r="FK325" s="2" t="n">
        <v>100</v>
      </c>
      <c r="FL325" s="2" t="n">
        <v>100</v>
      </c>
      <c r="FM325" s="2" t="n">
        <v>100</v>
      </c>
      <c r="FN325" s="2" t="n">
        <v>100</v>
      </c>
      <c r="FO325" s="2" t="n">
        <v>100</v>
      </c>
      <c r="FP325" s="2" t="n">
        <v>100</v>
      </c>
      <c r="FQ325" s="2" t="n">
        <v>100</v>
      </c>
    </row>
    <row r="326">
      <c r="A326" s="2" t="n">
        <v>4</v>
      </c>
      <c r="B326" s="2" t="inlineStr">
        <is>
          <t>15.01.05.05</t>
        </is>
      </c>
      <c r="C326" s="2" t="inlineStr">
        <is>
          <t>Ø 110cm - SPT &gt;50</t>
        </is>
      </c>
      <c r="D326" s="2" t="inlineStr">
        <is>
          <t>19/02/2025</t>
        </is>
      </c>
      <c r="E326" s="2" t="inlineStr">
        <is>
          <t>16/05/2025</t>
        </is>
      </c>
      <c r="F326" s="2" t="n">
        <v>2856</v>
      </c>
      <c r="G326" s="2" t="n">
        <v>0</v>
      </c>
      <c r="H326" s="2" t="n">
        <v>2856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13.33</v>
      </c>
      <c r="AB326" s="2" t="n">
        <v>13.33</v>
      </c>
      <c r="AC326" s="2" t="n">
        <v>0</v>
      </c>
      <c r="AD326" s="2" t="n">
        <v>48.33</v>
      </c>
      <c r="AE326" s="2" t="n">
        <v>48.33</v>
      </c>
      <c r="AF326" s="2" t="n">
        <v>0</v>
      </c>
      <c r="AG326" s="2" t="n">
        <v>81.67</v>
      </c>
      <c r="AH326" s="2" t="n">
        <v>81.67</v>
      </c>
      <c r="AI326" s="2" t="n">
        <v>70.06999999999999</v>
      </c>
      <c r="AJ326" s="2" t="n">
        <v>100</v>
      </c>
      <c r="AK326" s="2" t="n">
        <v>100</v>
      </c>
      <c r="AL326" s="2" t="n">
        <v>100</v>
      </c>
      <c r="AM326" s="2" t="n">
        <v>100</v>
      </c>
      <c r="AN326" s="2" t="n">
        <v>100</v>
      </c>
      <c r="AO326" s="2" t="n">
        <v>100</v>
      </c>
      <c r="AP326" s="2" t="n">
        <v>100</v>
      </c>
      <c r="AQ326" s="2" t="n">
        <v>100</v>
      </c>
      <c r="AR326" s="2" t="n">
        <v>100</v>
      </c>
      <c r="AS326" s="2" t="n">
        <v>100</v>
      </c>
      <c r="AT326" s="2" t="n">
        <v>100</v>
      </c>
      <c r="AU326" s="2" t="n">
        <v>100</v>
      </c>
      <c r="AV326" s="2" t="n">
        <v>100</v>
      </c>
      <c r="AW326" s="2" t="n">
        <v>100</v>
      </c>
      <c r="AX326" s="2" t="n">
        <v>100</v>
      </c>
      <c r="AY326" s="2" t="n">
        <v>100</v>
      </c>
      <c r="AZ326" s="2" t="n">
        <v>100</v>
      </c>
      <c r="BA326" s="2" t="n">
        <v>100</v>
      </c>
      <c r="BB326" s="2" t="n">
        <v>100</v>
      </c>
      <c r="BC326" s="2" t="n">
        <v>100</v>
      </c>
      <c r="BD326" s="2" t="n">
        <v>100</v>
      </c>
      <c r="BE326" s="2" t="n">
        <v>100</v>
      </c>
      <c r="BF326" s="2" t="n">
        <v>100</v>
      </c>
      <c r="BG326" s="2" t="n">
        <v>100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  <c r="EQ326" s="2" t="n">
        <v>100</v>
      </c>
      <c r="ER326" s="2" t="n">
        <v>100</v>
      </c>
      <c r="ES326" s="2" t="n">
        <v>100</v>
      </c>
      <c r="ET326" s="2" t="n">
        <v>100</v>
      </c>
      <c r="EU326" s="2" t="n">
        <v>100</v>
      </c>
      <c r="EV326" s="2" t="n">
        <v>100</v>
      </c>
      <c r="EW326" s="2" t="n">
        <v>100</v>
      </c>
      <c r="EX326" s="2" t="n">
        <v>100</v>
      </c>
      <c r="EY326" s="2" t="n">
        <v>100</v>
      </c>
      <c r="EZ326" s="2" t="n">
        <v>100</v>
      </c>
      <c r="FA326" s="2" t="n">
        <v>100</v>
      </c>
      <c r="FB326" s="2" t="n">
        <v>100</v>
      </c>
      <c r="FC326" s="2" t="n">
        <v>100</v>
      </c>
      <c r="FD326" s="2" t="n">
        <v>100</v>
      </c>
      <c r="FE326" s="2" t="n">
        <v>100</v>
      </c>
      <c r="FF326" s="2" t="n">
        <v>100</v>
      </c>
      <c r="FG326" s="2" t="n">
        <v>100</v>
      </c>
      <c r="FH326" s="2" t="n">
        <v>100</v>
      </c>
      <c r="FI326" s="2" t="n">
        <v>100</v>
      </c>
      <c r="FJ326" s="2" t="n">
        <v>100</v>
      </c>
      <c r="FK326" s="2" t="n">
        <v>100</v>
      </c>
      <c r="FL326" s="2" t="n">
        <v>100</v>
      </c>
      <c r="FM326" s="2" t="n">
        <v>100</v>
      </c>
      <c r="FN326" s="2" t="n">
        <v>100</v>
      </c>
      <c r="FO326" s="2" t="n">
        <v>100</v>
      </c>
      <c r="FP326" s="2" t="n">
        <v>100</v>
      </c>
      <c r="FQ326" s="2" t="n">
        <v>100</v>
      </c>
    </row>
    <row r="327">
      <c r="A327" s="2" t="n">
        <v>3</v>
      </c>
      <c r="B327" s="2" t="inlineStr">
        <is>
          <t>15.01.06</t>
        </is>
      </c>
      <c r="C327" s="2" t="inlineStr">
        <is>
          <t>Itens complementares</t>
        </is>
      </c>
      <c r="D327" s="2" t="inlineStr">
        <is>
          <t>19/02/2025</t>
        </is>
      </c>
      <c r="E327" s="2" t="inlineStr">
        <is>
          <t>16/05/2025</t>
        </is>
      </c>
      <c r="F327" s="2" t="n">
        <v>3635323.282120734</v>
      </c>
      <c r="G327" s="2" t="n">
        <v>0</v>
      </c>
      <c r="H327" s="2" t="n">
        <v>3635323.282120734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13.33</v>
      </c>
      <c r="AB327" s="2" t="n">
        <v>13.33</v>
      </c>
      <c r="AC327" s="2" t="n">
        <v>0</v>
      </c>
      <c r="AD327" s="2" t="n">
        <v>48.33</v>
      </c>
      <c r="AE327" s="2" t="n">
        <v>48.33</v>
      </c>
      <c r="AF327" s="2" t="n">
        <v>0</v>
      </c>
      <c r="AG327" s="2" t="n">
        <v>81.67</v>
      </c>
      <c r="AH327" s="2" t="n">
        <v>81.67</v>
      </c>
      <c r="AI327" s="2" t="n">
        <v>70.06999999999999</v>
      </c>
      <c r="AJ327" s="2" t="n">
        <v>100</v>
      </c>
      <c r="AK327" s="2" t="n">
        <v>100</v>
      </c>
      <c r="AL327" s="2" t="n">
        <v>100</v>
      </c>
      <c r="AM327" s="2" t="n">
        <v>100</v>
      </c>
      <c r="AN327" s="2" t="n">
        <v>100</v>
      </c>
      <c r="AO327" s="2" t="n">
        <v>100</v>
      </c>
      <c r="AP327" s="2" t="n">
        <v>100</v>
      </c>
      <c r="AQ327" s="2" t="n">
        <v>100</v>
      </c>
      <c r="AR327" s="2" t="n">
        <v>100</v>
      </c>
      <c r="AS327" s="2" t="n">
        <v>100</v>
      </c>
      <c r="AT327" s="2" t="n">
        <v>100</v>
      </c>
      <c r="AU327" s="2" t="n">
        <v>100</v>
      </c>
      <c r="AV327" s="2" t="n">
        <v>100</v>
      </c>
      <c r="AW327" s="2" t="n">
        <v>100</v>
      </c>
      <c r="AX327" s="2" t="n">
        <v>100</v>
      </c>
      <c r="AY327" s="2" t="n">
        <v>100</v>
      </c>
      <c r="AZ327" s="2" t="n">
        <v>100</v>
      </c>
      <c r="BA327" s="2" t="n">
        <v>100</v>
      </c>
      <c r="BB327" s="2" t="n">
        <v>100</v>
      </c>
      <c r="BC327" s="2" t="n">
        <v>100</v>
      </c>
      <c r="BD327" s="2" t="n">
        <v>100</v>
      </c>
      <c r="BE327" s="2" t="n">
        <v>100</v>
      </c>
      <c r="BF327" s="2" t="n">
        <v>100</v>
      </c>
      <c r="BG327" s="2" t="n">
        <v>100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  <c r="EQ327" s="2" t="n">
        <v>100</v>
      </c>
      <c r="ER327" s="2" t="n">
        <v>100</v>
      </c>
      <c r="ES327" s="2" t="n">
        <v>100</v>
      </c>
      <c r="ET327" s="2" t="n">
        <v>100</v>
      </c>
      <c r="EU327" s="2" t="n">
        <v>100</v>
      </c>
      <c r="EV327" s="2" t="n">
        <v>100</v>
      </c>
      <c r="EW327" s="2" t="n">
        <v>100</v>
      </c>
      <c r="EX327" s="2" t="n">
        <v>100</v>
      </c>
      <c r="EY327" s="2" t="n">
        <v>100</v>
      </c>
      <c r="EZ327" s="2" t="n">
        <v>100</v>
      </c>
      <c r="FA327" s="2" t="n">
        <v>100</v>
      </c>
      <c r="FB327" s="2" t="n">
        <v>100</v>
      </c>
      <c r="FC327" s="2" t="n">
        <v>100</v>
      </c>
      <c r="FD327" s="2" t="n">
        <v>100</v>
      </c>
      <c r="FE327" s="2" t="n">
        <v>100</v>
      </c>
      <c r="FF327" s="2" t="n">
        <v>100</v>
      </c>
      <c r="FG327" s="2" t="n">
        <v>100</v>
      </c>
      <c r="FH327" s="2" t="n">
        <v>100</v>
      </c>
      <c r="FI327" s="2" t="n">
        <v>100</v>
      </c>
      <c r="FJ327" s="2" t="n">
        <v>100</v>
      </c>
      <c r="FK327" s="2" t="n">
        <v>100</v>
      </c>
      <c r="FL327" s="2" t="n">
        <v>100</v>
      </c>
      <c r="FM327" s="2" t="n">
        <v>100</v>
      </c>
      <c r="FN327" s="2" t="n">
        <v>100</v>
      </c>
      <c r="FO327" s="2" t="n">
        <v>100</v>
      </c>
      <c r="FP327" s="2" t="n">
        <v>100</v>
      </c>
      <c r="FQ327" s="2" t="n">
        <v>100</v>
      </c>
    </row>
    <row r="328">
      <c r="A328" s="2" t="n">
        <v>4</v>
      </c>
      <c r="B328" s="2" t="inlineStr">
        <is>
          <t>15.01.06.01</t>
        </is>
      </c>
      <c r="C328" s="2" t="inlineStr">
        <is>
          <t>Descarte lama bentonitica tanque 10% volume =230m3</t>
        </is>
      </c>
      <c r="D328" s="2" t="inlineStr">
        <is>
          <t>19/02/2025</t>
        </is>
      </c>
      <c r="E328" s="2" t="inlineStr">
        <is>
          <t>16/05/2025</t>
        </is>
      </c>
      <c r="F328" s="2" t="n">
        <v>161000</v>
      </c>
      <c r="G328" s="2" t="n">
        <v>0</v>
      </c>
      <c r="H328" s="2" t="n">
        <v>161000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13.33</v>
      </c>
      <c r="AB328" s="2" t="n">
        <v>13.33</v>
      </c>
      <c r="AC328" s="2" t="n">
        <v>0</v>
      </c>
      <c r="AD328" s="2" t="n">
        <v>48.33</v>
      </c>
      <c r="AE328" s="2" t="n">
        <v>48.33</v>
      </c>
      <c r="AF328" s="2" t="n">
        <v>0</v>
      </c>
      <c r="AG328" s="2" t="n">
        <v>81.67</v>
      </c>
      <c r="AH328" s="2" t="n">
        <v>81.67</v>
      </c>
      <c r="AI328" s="2" t="n">
        <v>70.06999999999999</v>
      </c>
      <c r="AJ328" s="2" t="n">
        <v>100</v>
      </c>
      <c r="AK328" s="2" t="n">
        <v>100</v>
      </c>
      <c r="AL328" s="2" t="n">
        <v>100</v>
      </c>
      <c r="AM328" s="2" t="n">
        <v>100</v>
      </c>
      <c r="AN328" s="2" t="n">
        <v>100</v>
      </c>
      <c r="AO328" s="2" t="n">
        <v>100</v>
      </c>
      <c r="AP328" s="2" t="n">
        <v>100</v>
      </c>
      <c r="AQ328" s="2" t="n">
        <v>100</v>
      </c>
      <c r="AR328" s="2" t="n">
        <v>100</v>
      </c>
      <c r="AS328" s="2" t="n">
        <v>100</v>
      </c>
      <c r="AT328" s="2" t="n">
        <v>100</v>
      </c>
      <c r="AU328" s="2" t="n">
        <v>100</v>
      </c>
      <c r="AV328" s="2" t="n">
        <v>100</v>
      </c>
      <c r="AW328" s="2" t="n">
        <v>100</v>
      </c>
      <c r="AX328" s="2" t="n">
        <v>100</v>
      </c>
      <c r="AY328" s="2" t="n">
        <v>100</v>
      </c>
      <c r="AZ328" s="2" t="n">
        <v>100</v>
      </c>
      <c r="BA328" s="2" t="n">
        <v>100</v>
      </c>
      <c r="BB328" s="2" t="n">
        <v>100</v>
      </c>
      <c r="BC328" s="2" t="n">
        <v>100</v>
      </c>
      <c r="BD328" s="2" t="n">
        <v>100</v>
      </c>
      <c r="BE328" s="2" t="n">
        <v>100</v>
      </c>
      <c r="BF328" s="2" t="n">
        <v>100</v>
      </c>
      <c r="BG328" s="2" t="n">
        <v>100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  <c r="EQ328" s="2" t="n">
        <v>100</v>
      </c>
      <c r="ER328" s="2" t="n">
        <v>100</v>
      </c>
      <c r="ES328" s="2" t="n">
        <v>100</v>
      </c>
      <c r="ET328" s="2" t="n">
        <v>100</v>
      </c>
      <c r="EU328" s="2" t="n">
        <v>100</v>
      </c>
      <c r="EV328" s="2" t="n">
        <v>100</v>
      </c>
      <c r="EW328" s="2" t="n">
        <v>100</v>
      </c>
      <c r="EX328" s="2" t="n">
        <v>100</v>
      </c>
      <c r="EY328" s="2" t="n">
        <v>100</v>
      </c>
      <c r="EZ328" s="2" t="n">
        <v>100</v>
      </c>
      <c r="FA328" s="2" t="n">
        <v>100</v>
      </c>
      <c r="FB328" s="2" t="n">
        <v>100</v>
      </c>
      <c r="FC328" s="2" t="n">
        <v>100</v>
      </c>
      <c r="FD328" s="2" t="n">
        <v>100</v>
      </c>
      <c r="FE328" s="2" t="n">
        <v>100</v>
      </c>
      <c r="FF328" s="2" t="n">
        <v>100</v>
      </c>
      <c r="FG328" s="2" t="n">
        <v>100</v>
      </c>
      <c r="FH328" s="2" t="n">
        <v>100</v>
      </c>
      <c r="FI328" s="2" t="n">
        <v>100</v>
      </c>
      <c r="FJ328" s="2" t="n">
        <v>100</v>
      </c>
      <c r="FK328" s="2" t="n">
        <v>100</v>
      </c>
      <c r="FL328" s="2" t="n">
        <v>100</v>
      </c>
      <c r="FM328" s="2" t="n">
        <v>100</v>
      </c>
      <c r="FN328" s="2" t="n">
        <v>100</v>
      </c>
      <c r="FO328" s="2" t="n">
        <v>100</v>
      </c>
      <c r="FP328" s="2" t="n">
        <v>100</v>
      </c>
      <c r="FQ328" s="2" t="n">
        <v>100</v>
      </c>
    </row>
    <row r="329">
      <c r="A329" s="2" t="n">
        <v>4</v>
      </c>
      <c r="B329" s="2" t="inlineStr">
        <is>
          <t>15.01.06.02</t>
        </is>
      </c>
      <c r="C329" s="2" t="inlineStr">
        <is>
          <t>Caminhao Pipa (60m3/dia)( 3,93 meses x 22 dias x 60)</t>
        </is>
      </c>
      <c r="D329" s="2" t="inlineStr">
        <is>
          <t>19/02/2025</t>
        </is>
      </c>
      <c r="E329" s="2" t="inlineStr">
        <is>
          <t>16/05/2025</t>
        </is>
      </c>
      <c r="F329" s="2" t="n">
        <v>16770</v>
      </c>
      <c r="G329" s="2" t="n">
        <v>0</v>
      </c>
      <c r="H329" s="2" t="n">
        <v>16770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13.33</v>
      </c>
      <c r="AB329" s="2" t="n">
        <v>13.33</v>
      </c>
      <c r="AC329" s="2" t="n">
        <v>0</v>
      </c>
      <c r="AD329" s="2" t="n">
        <v>48.33</v>
      </c>
      <c r="AE329" s="2" t="n">
        <v>48.33</v>
      </c>
      <c r="AF329" s="2" t="n">
        <v>0</v>
      </c>
      <c r="AG329" s="2" t="n">
        <v>81.67</v>
      </c>
      <c r="AH329" s="2" t="n">
        <v>81.67</v>
      </c>
      <c r="AI329" s="2" t="n">
        <v>70.06999999999999</v>
      </c>
      <c r="AJ329" s="2" t="n">
        <v>100</v>
      </c>
      <c r="AK329" s="2" t="n">
        <v>100</v>
      </c>
      <c r="AL329" s="2" t="n">
        <v>100</v>
      </c>
      <c r="AM329" s="2" t="n">
        <v>100</v>
      </c>
      <c r="AN329" s="2" t="n">
        <v>100</v>
      </c>
      <c r="AO329" s="2" t="n">
        <v>100</v>
      </c>
      <c r="AP329" s="2" t="n">
        <v>100</v>
      </c>
      <c r="AQ329" s="2" t="n">
        <v>100</v>
      </c>
      <c r="AR329" s="2" t="n">
        <v>100</v>
      </c>
      <c r="AS329" s="2" t="n">
        <v>100</v>
      </c>
      <c r="AT329" s="2" t="n">
        <v>100</v>
      </c>
      <c r="AU329" s="2" t="n">
        <v>100</v>
      </c>
      <c r="AV329" s="2" t="n">
        <v>100</v>
      </c>
      <c r="AW329" s="2" t="n">
        <v>100</v>
      </c>
      <c r="AX329" s="2" t="n">
        <v>100</v>
      </c>
      <c r="AY329" s="2" t="n">
        <v>100</v>
      </c>
      <c r="AZ329" s="2" t="n">
        <v>100</v>
      </c>
      <c r="BA329" s="2" t="n">
        <v>100</v>
      </c>
      <c r="BB329" s="2" t="n">
        <v>100</v>
      </c>
      <c r="BC329" s="2" t="n">
        <v>100</v>
      </c>
      <c r="BD329" s="2" t="n">
        <v>100</v>
      </c>
      <c r="BE329" s="2" t="n">
        <v>100</v>
      </c>
      <c r="BF329" s="2" t="n">
        <v>100</v>
      </c>
      <c r="BG329" s="2" t="n">
        <v>100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  <c r="EQ329" s="2" t="n">
        <v>100</v>
      </c>
      <c r="ER329" s="2" t="n">
        <v>100</v>
      </c>
      <c r="ES329" s="2" t="n">
        <v>100</v>
      </c>
      <c r="ET329" s="2" t="n">
        <v>100</v>
      </c>
      <c r="EU329" s="2" t="n">
        <v>100</v>
      </c>
      <c r="EV329" s="2" t="n">
        <v>100</v>
      </c>
      <c r="EW329" s="2" t="n">
        <v>100</v>
      </c>
      <c r="EX329" s="2" t="n">
        <v>100</v>
      </c>
      <c r="EY329" s="2" t="n">
        <v>100</v>
      </c>
      <c r="EZ329" s="2" t="n">
        <v>100</v>
      </c>
      <c r="FA329" s="2" t="n">
        <v>100</v>
      </c>
      <c r="FB329" s="2" t="n">
        <v>100</v>
      </c>
      <c r="FC329" s="2" t="n">
        <v>100</v>
      </c>
      <c r="FD329" s="2" t="n">
        <v>100</v>
      </c>
      <c r="FE329" s="2" t="n">
        <v>100</v>
      </c>
      <c r="FF329" s="2" t="n">
        <v>100</v>
      </c>
      <c r="FG329" s="2" t="n">
        <v>100</v>
      </c>
      <c r="FH329" s="2" t="n">
        <v>100</v>
      </c>
      <c r="FI329" s="2" t="n">
        <v>100</v>
      </c>
      <c r="FJ329" s="2" t="n">
        <v>100</v>
      </c>
      <c r="FK329" s="2" t="n">
        <v>100</v>
      </c>
      <c r="FL329" s="2" t="n">
        <v>100</v>
      </c>
      <c r="FM329" s="2" t="n">
        <v>100</v>
      </c>
      <c r="FN329" s="2" t="n">
        <v>100</v>
      </c>
      <c r="FO329" s="2" t="n">
        <v>100</v>
      </c>
      <c r="FP329" s="2" t="n">
        <v>100</v>
      </c>
      <c r="FQ329" s="2" t="n">
        <v>100</v>
      </c>
    </row>
    <row r="330">
      <c r="A330" s="2" t="n">
        <v>4</v>
      </c>
      <c r="B330" s="2" t="inlineStr">
        <is>
          <t>15.01.06.03</t>
        </is>
      </c>
      <c r="C330" s="2" t="inlineStr">
        <is>
          <t>Descarte material de escavação</t>
        </is>
      </c>
      <c r="D330" s="2" t="inlineStr">
        <is>
          <t>19/02/2025</t>
        </is>
      </c>
      <c r="E330" s="2" t="inlineStr">
        <is>
          <t>16/05/2025</t>
        </is>
      </c>
      <c r="F330" s="2" t="n">
        <v>208228.0067196923</v>
      </c>
      <c r="G330" s="2" t="n">
        <v>0</v>
      </c>
      <c r="H330" s="2" t="n">
        <v>208228.0067196923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13.33</v>
      </c>
      <c r="AB330" s="2" t="n">
        <v>13.33</v>
      </c>
      <c r="AC330" s="2" t="n">
        <v>0</v>
      </c>
      <c r="AD330" s="2" t="n">
        <v>48.33</v>
      </c>
      <c r="AE330" s="2" t="n">
        <v>48.33</v>
      </c>
      <c r="AF330" s="2" t="n">
        <v>0</v>
      </c>
      <c r="AG330" s="2" t="n">
        <v>81.67</v>
      </c>
      <c r="AH330" s="2" t="n">
        <v>81.67</v>
      </c>
      <c r="AI330" s="2" t="n">
        <v>70.06999999999999</v>
      </c>
      <c r="AJ330" s="2" t="n">
        <v>100</v>
      </c>
      <c r="AK330" s="2" t="n">
        <v>100</v>
      </c>
      <c r="AL330" s="2" t="n">
        <v>100</v>
      </c>
      <c r="AM330" s="2" t="n">
        <v>100</v>
      </c>
      <c r="AN330" s="2" t="n">
        <v>100</v>
      </c>
      <c r="AO330" s="2" t="n">
        <v>100</v>
      </c>
      <c r="AP330" s="2" t="n">
        <v>100</v>
      </c>
      <c r="AQ330" s="2" t="n">
        <v>100</v>
      </c>
      <c r="AR330" s="2" t="n">
        <v>100</v>
      </c>
      <c r="AS330" s="2" t="n">
        <v>100</v>
      </c>
      <c r="AT330" s="2" t="n">
        <v>100</v>
      </c>
      <c r="AU330" s="2" t="n">
        <v>100</v>
      </c>
      <c r="AV330" s="2" t="n">
        <v>100</v>
      </c>
      <c r="AW330" s="2" t="n">
        <v>100</v>
      </c>
      <c r="AX330" s="2" t="n">
        <v>100</v>
      </c>
      <c r="AY330" s="2" t="n">
        <v>100</v>
      </c>
      <c r="AZ330" s="2" t="n">
        <v>100</v>
      </c>
      <c r="BA330" s="2" t="n">
        <v>100</v>
      </c>
      <c r="BB330" s="2" t="n">
        <v>100</v>
      </c>
      <c r="BC330" s="2" t="n">
        <v>100</v>
      </c>
      <c r="BD330" s="2" t="n">
        <v>100</v>
      </c>
      <c r="BE330" s="2" t="n">
        <v>100</v>
      </c>
      <c r="BF330" s="2" t="n">
        <v>100</v>
      </c>
      <c r="BG330" s="2" t="n">
        <v>100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  <c r="EQ330" s="2" t="n">
        <v>100</v>
      </c>
      <c r="ER330" s="2" t="n">
        <v>100</v>
      </c>
      <c r="ES330" s="2" t="n">
        <v>100</v>
      </c>
      <c r="ET330" s="2" t="n">
        <v>100</v>
      </c>
      <c r="EU330" s="2" t="n">
        <v>100</v>
      </c>
      <c r="EV330" s="2" t="n">
        <v>100</v>
      </c>
      <c r="EW330" s="2" t="n">
        <v>100</v>
      </c>
      <c r="EX330" s="2" t="n">
        <v>100</v>
      </c>
      <c r="EY330" s="2" t="n">
        <v>100</v>
      </c>
      <c r="EZ330" s="2" t="n">
        <v>100</v>
      </c>
      <c r="FA330" s="2" t="n">
        <v>100</v>
      </c>
      <c r="FB330" s="2" t="n">
        <v>100</v>
      </c>
      <c r="FC330" s="2" t="n">
        <v>100</v>
      </c>
      <c r="FD330" s="2" t="n">
        <v>100</v>
      </c>
      <c r="FE330" s="2" t="n">
        <v>100</v>
      </c>
      <c r="FF330" s="2" t="n">
        <v>100</v>
      </c>
      <c r="FG330" s="2" t="n">
        <v>100</v>
      </c>
      <c r="FH330" s="2" t="n">
        <v>100</v>
      </c>
      <c r="FI330" s="2" t="n">
        <v>100</v>
      </c>
      <c r="FJ330" s="2" t="n">
        <v>100</v>
      </c>
      <c r="FK330" s="2" t="n">
        <v>100</v>
      </c>
      <c r="FL330" s="2" t="n">
        <v>100</v>
      </c>
      <c r="FM330" s="2" t="n">
        <v>100</v>
      </c>
      <c r="FN330" s="2" t="n">
        <v>100</v>
      </c>
      <c r="FO330" s="2" t="n">
        <v>100</v>
      </c>
      <c r="FP330" s="2" t="n">
        <v>100</v>
      </c>
      <c r="FQ330" s="2" t="n">
        <v>100</v>
      </c>
    </row>
    <row r="331">
      <c r="A331" s="2" t="n">
        <v>4</v>
      </c>
      <c r="B331" s="2" t="inlineStr">
        <is>
          <t>15.01.06.04</t>
        </is>
      </c>
      <c r="C331" s="2" t="inlineStr">
        <is>
          <t>Embocamento</t>
        </is>
      </c>
      <c r="D331" s="2" t="inlineStr">
        <is>
          <t>19/02/2025</t>
        </is>
      </c>
      <c r="E331" s="2" t="inlineStr">
        <is>
          <t>16/05/2025</t>
        </is>
      </c>
      <c r="F331" s="2" t="n">
        <v>12240</v>
      </c>
      <c r="G331" s="2" t="n">
        <v>0</v>
      </c>
      <c r="H331" s="2" t="n">
        <v>12240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13.33</v>
      </c>
      <c r="AB331" s="2" t="n">
        <v>13.33</v>
      </c>
      <c r="AC331" s="2" t="n">
        <v>0</v>
      </c>
      <c r="AD331" s="2" t="n">
        <v>48.33</v>
      </c>
      <c r="AE331" s="2" t="n">
        <v>48.33</v>
      </c>
      <c r="AF331" s="2" t="n">
        <v>0</v>
      </c>
      <c r="AG331" s="2" t="n">
        <v>81.67</v>
      </c>
      <c r="AH331" s="2" t="n">
        <v>81.67</v>
      </c>
      <c r="AI331" s="2" t="n">
        <v>70.06999999999999</v>
      </c>
      <c r="AJ331" s="2" t="n">
        <v>100</v>
      </c>
      <c r="AK331" s="2" t="n">
        <v>100</v>
      </c>
      <c r="AL331" s="2" t="n">
        <v>100</v>
      </c>
      <c r="AM331" s="2" t="n">
        <v>100</v>
      </c>
      <c r="AN331" s="2" t="n">
        <v>100</v>
      </c>
      <c r="AO331" s="2" t="n">
        <v>100</v>
      </c>
      <c r="AP331" s="2" t="n">
        <v>100</v>
      </c>
      <c r="AQ331" s="2" t="n">
        <v>100</v>
      </c>
      <c r="AR331" s="2" t="n">
        <v>100</v>
      </c>
      <c r="AS331" s="2" t="n">
        <v>100</v>
      </c>
      <c r="AT331" s="2" t="n">
        <v>100</v>
      </c>
      <c r="AU331" s="2" t="n">
        <v>100</v>
      </c>
      <c r="AV331" s="2" t="n">
        <v>100</v>
      </c>
      <c r="AW331" s="2" t="n">
        <v>100</v>
      </c>
      <c r="AX331" s="2" t="n">
        <v>100</v>
      </c>
      <c r="AY331" s="2" t="n">
        <v>100</v>
      </c>
      <c r="AZ331" s="2" t="n">
        <v>100</v>
      </c>
      <c r="BA331" s="2" t="n">
        <v>100</v>
      </c>
      <c r="BB331" s="2" t="n">
        <v>100</v>
      </c>
      <c r="BC331" s="2" t="n">
        <v>100</v>
      </c>
      <c r="BD331" s="2" t="n">
        <v>100</v>
      </c>
      <c r="BE331" s="2" t="n">
        <v>100</v>
      </c>
      <c r="BF331" s="2" t="n">
        <v>100</v>
      </c>
      <c r="BG331" s="2" t="n">
        <v>100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  <c r="EQ331" s="2" t="n">
        <v>100</v>
      </c>
      <c r="ER331" s="2" t="n">
        <v>100</v>
      </c>
      <c r="ES331" s="2" t="n">
        <v>100</v>
      </c>
      <c r="ET331" s="2" t="n">
        <v>100</v>
      </c>
      <c r="EU331" s="2" t="n">
        <v>100</v>
      </c>
      <c r="EV331" s="2" t="n">
        <v>100</v>
      </c>
      <c r="EW331" s="2" t="n">
        <v>100</v>
      </c>
      <c r="EX331" s="2" t="n">
        <v>100</v>
      </c>
      <c r="EY331" s="2" t="n">
        <v>100</v>
      </c>
      <c r="EZ331" s="2" t="n">
        <v>100</v>
      </c>
      <c r="FA331" s="2" t="n">
        <v>100</v>
      </c>
      <c r="FB331" s="2" t="n">
        <v>100</v>
      </c>
      <c r="FC331" s="2" t="n">
        <v>100</v>
      </c>
      <c r="FD331" s="2" t="n">
        <v>100</v>
      </c>
      <c r="FE331" s="2" t="n">
        <v>100</v>
      </c>
      <c r="FF331" s="2" t="n">
        <v>100</v>
      </c>
      <c r="FG331" s="2" t="n">
        <v>100</v>
      </c>
      <c r="FH331" s="2" t="n">
        <v>100</v>
      </c>
      <c r="FI331" s="2" t="n">
        <v>100</v>
      </c>
      <c r="FJ331" s="2" t="n">
        <v>100</v>
      </c>
      <c r="FK331" s="2" t="n">
        <v>100</v>
      </c>
      <c r="FL331" s="2" t="n">
        <v>100</v>
      </c>
      <c r="FM331" s="2" t="n">
        <v>100</v>
      </c>
      <c r="FN331" s="2" t="n">
        <v>100</v>
      </c>
      <c r="FO331" s="2" t="n">
        <v>100</v>
      </c>
      <c r="FP331" s="2" t="n">
        <v>100</v>
      </c>
      <c r="FQ331" s="2" t="n">
        <v>100</v>
      </c>
    </row>
    <row r="332">
      <c r="A332" s="2" t="n">
        <v>4</v>
      </c>
      <c r="B332" s="2" t="inlineStr">
        <is>
          <t>15.01.06.05</t>
        </is>
      </c>
      <c r="C332" s="2" t="inlineStr">
        <is>
          <t>Concreto (escavação + 20%)</t>
        </is>
      </c>
      <c r="D332" s="2" t="inlineStr">
        <is>
          <t>19/02/2025</t>
        </is>
      </c>
      <c r="E332" s="2" t="inlineStr">
        <is>
          <t>16/05/2025</t>
        </is>
      </c>
      <c r="F332" s="2" t="n">
        <v>2270336.785931341</v>
      </c>
      <c r="G332" s="2" t="n">
        <v>0</v>
      </c>
      <c r="H332" s="2" t="n">
        <v>2270336.785931341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13.33</v>
      </c>
      <c r="AB332" s="2" t="n">
        <v>13.33</v>
      </c>
      <c r="AC332" s="2" t="n">
        <v>0</v>
      </c>
      <c r="AD332" s="2" t="n">
        <v>48.33</v>
      </c>
      <c r="AE332" s="2" t="n">
        <v>48.33</v>
      </c>
      <c r="AF332" s="2" t="n">
        <v>0</v>
      </c>
      <c r="AG332" s="2" t="n">
        <v>81.67</v>
      </c>
      <c r="AH332" s="2" t="n">
        <v>81.67</v>
      </c>
      <c r="AI332" s="2" t="n">
        <v>70.06999999999999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  <c r="EQ332" s="2" t="n">
        <v>100</v>
      </c>
      <c r="ER332" s="2" t="n">
        <v>100</v>
      </c>
      <c r="ES332" s="2" t="n">
        <v>100</v>
      </c>
      <c r="ET332" s="2" t="n">
        <v>100</v>
      </c>
      <c r="EU332" s="2" t="n">
        <v>100</v>
      </c>
      <c r="EV332" s="2" t="n">
        <v>100</v>
      </c>
      <c r="EW332" s="2" t="n">
        <v>100</v>
      </c>
      <c r="EX332" s="2" t="n">
        <v>100</v>
      </c>
      <c r="EY332" s="2" t="n">
        <v>100</v>
      </c>
      <c r="EZ332" s="2" t="n">
        <v>100</v>
      </c>
      <c r="FA332" s="2" t="n">
        <v>100</v>
      </c>
      <c r="FB332" s="2" t="n">
        <v>100</v>
      </c>
      <c r="FC332" s="2" t="n">
        <v>100</v>
      </c>
      <c r="FD332" s="2" t="n">
        <v>100</v>
      </c>
      <c r="FE332" s="2" t="n">
        <v>100</v>
      </c>
      <c r="FF332" s="2" t="n">
        <v>100</v>
      </c>
      <c r="FG332" s="2" t="n">
        <v>100</v>
      </c>
      <c r="FH332" s="2" t="n">
        <v>100</v>
      </c>
      <c r="FI332" s="2" t="n">
        <v>100</v>
      </c>
      <c r="FJ332" s="2" t="n">
        <v>100</v>
      </c>
      <c r="FK332" s="2" t="n">
        <v>100</v>
      </c>
      <c r="FL332" s="2" t="n">
        <v>100</v>
      </c>
      <c r="FM332" s="2" t="n">
        <v>100</v>
      </c>
      <c r="FN332" s="2" t="n">
        <v>100</v>
      </c>
      <c r="FO332" s="2" t="n">
        <v>100</v>
      </c>
      <c r="FP332" s="2" t="n">
        <v>100</v>
      </c>
      <c r="FQ332" s="2" t="n">
        <v>100</v>
      </c>
    </row>
    <row r="333">
      <c r="A333" s="2" t="n">
        <v>4</v>
      </c>
      <c r="B333" s="2" t="inlineStr">
        <is>
          <t>15.01.06.06</t>
        </is>
      </c>
      <c r="C333" s="2" t="inlineStr">
        <is>
          <t>Bombeamento</t>
        </is>
      </c>
      <c r="D333" s="2" t="inlineStr">
        <is>
          <t>19/02/2025</t>
        </is>
      </c>
      <c r="E333" s="2" t="inlineStr">
        <is>
          <t>16/05/2025</t>
        </is>
      </c>
      <c r="F333" s="2" t="n">
        <v>256053.0209697002</v>
      </c>
      <c r="G333" s="2" t="n">
        <v>0</v>
      </c>
      <c r="H333" s="2" t="n">
        <v>256053.0209697002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13.33</v>
      </c>
      <c r="AB333" s="2" t="n">
        <v>13.33</v>
      </c>
      <c r="AC333" s="2" t="n">
        <v>0</v>
      </c>
      <c r="AD333" s="2" t="n">
        <v>48.33</v>
      </c>
      <c r="AE333" s="2" t="n">
        <v>48.33</v>
      </c>
      <c r="AF333" s="2" t="n">
        <v>0</v>
      </c>
      <c r="AG333" s="2" t="n">
        <v>81.67</v>
      </c>
      <c r="AH333" s="2" t="n">
        <v>81.67</v>
      </c>
      <c r="AI333" s="2" t="n">
        <v>70.06999999999999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  <c r="EQ333" s="2" t="n">
        <v>100</v>
      </c>
      <c r="ER333" s="2" t="n">
        <v>100</v>
      </c>
      <c r="ES333" s="2" t="n">
        <v>100</v>
      </c>
      <c r="ET333" s="2" t="n">
        <v>100</v>
      </c>
      <c r="EU333" s="2" t="n">
        <v>100</v>
      </c>
      <c r="EV333" s="2" t="n">
        <v>100</v>
      </c>
      <c r="EW333" s="2" t="n">
        <v>100</v>
      </c>
      <c r="EX333" s="2" t="n">
        <v>100</v>
      </c>
      <c r="EY333" s="2" t="n">
        <v>100</v>
      </c>
      <c r="EZ333" s="2" t="n">
        <v>100</v>
      </c>
      <c r="FA333" s="2" t="n">
        <v>100</v>
      </c>
      <c r="FB333" s="2" t="n">
        <v>100</v>
      </c>
      <c r="FC333" s="2" t="n">
        <v>100</v>
      </c>
      <c r="FD333" s="2" t="n">
        <v>100</v>
      </c>
      <c r="FE333" s="2" t="n">
        <v>100</v>
      </c>
      <c r="FF333" s="2" t="n">
        <v>100</v>
      </c>
      <c r="FG333" s="2" t="n">
        <v>100</v>
      </c>
      <c r="FH333" s="2" t="n">
        <v>100</v>
      </c>
      <c r="FI333" s="2" t="n">
        <v>100</v>
      </c>
      <c r="FJ333" s="2" t="n">
        <v>100</v>
      </c>
      <c r="FK333" s="2" t="n">
        <v>100</v>
      </c>
      <c r="FL333" s="2" t="n">
        <v>100</v>
      </c>
      <c r="FM333" s="2" t="n">
        <v>100</v>
      </c>
      <c r="FN333" s="2" t="n">
        <v>100</v>
      </c>
      <c r="FO333" s="2" t="n">
        <v>100</v>
      </c>
      <c r="FP333" s="2" t="n">
        <v>100</v>
      </c>
      <c r="FQ333" s="2" t="n">
        <v>100</v>
      </c>
    </row>
    <row r="334">
      <c r="A334" s="2" t="n">
        <v>4</v>
      </c>
      <c r="B334" s="2" t="inlineStr">
        <is>
          <t>15.01.06.07</t>
        </is>
      </c>
      <c r="C334" s="2" t="inlineStr">
        <is>
          <t>Aço</t>
        </is>
      </c>
      <c r="D334" s="2" t="inlineStr">
        <is>
          <t>19/02/2025</t>
        </is>
      </c>
      <c r="E334" s="2" t="inlineStr">
        <is>
          <t>16/05/2025</t>
        </is>
      </c>
      <c r="F334" s="2" t="n">
        <v>629095.4685</v>
      </c>
      <c r="G334" s="2" t="n">
        <v>0</v>
      </c>
      <c r="H334" s="2" t="n">
        <v>629095.4685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13.33</v>
      </c>
      <c r="AB334" s="2" t="n">
        <v>13.33</v>
      </c>
      <c r="AC334" s="2" t="n">
        <v>0</v>
      </c>
      <c r="AD334" s="2" t="n">
        <v>48.33</v>
      </c>
      <c r="AE334" s="2" t="n">
        <v>48.33</v>
      </c>
      <c r="AF334" s="2" t="n">
        <v>0</v>
      </c>
      <c r="AG334" s="2" t="n">
        <v>81.67</v>
      </c>
      <c r="AH334" s="2" t="n">
        <v>81.67</v>
      </c>
      <c r="AI334" s="2" t="n">
        <v>70.06999999999999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  <c r="EQ334" s="2" t="n">
        <v>100</v>
      </c>
      <c r="ER334" s="2" t="n">
        <v>100</v>
      </c>
      <c r="ES334" s="2" t="n">
        <v>100</v>
      </c>
      <c r="ET334" s="2" t="n">
        <v>100</v>
      </c>
      <c r="EU334" s="2" t="n">
        <v>100</v>
      </c>
      <c r="EV334" s="2" t="n">
        <v>100</v>
      </c>
      <c r="EW334" s="2" t="n">
        <v>100</v>
      </c>
      <c r="EX334" s="2" t="n">
        <v>100</v>
      </c>
      <c r="EY334" s="2" t="n">
        <v>100</v>
      </c>
      <c r="EZ334" s="2" t="n">
        <v>100</v>
      </c>
      <c r="FA334" s="2" t="n">
        <v>100</v>
      </c>
      <c r="FB334" s="2" t="n">
        <v>100</v>
      </c>
      <c r="FC334" s="2" t="n">
        <v>100</v>
      </c>
      <c r="FD334" s="2" t="n">
        <v>100</v>
      </c>
      <c r="FE334" s="2" t="n">
        <v>100</v>
      </c>
      <c r="FF334" s="2" t="n">
        <v>100</v>
      </c>
      <c r="FG334" s="2" t="n">
        <v>100</v>
      </c>
      <c r="FH334" s="2" t="n">
        <v>100</v>
      </c>
      <c r="FI334" s="2" t="n">
        <v>100</v>
      </c>
      <c r="FJ334" s="2" t="n">
        <v>100</v>
      </c>
      <c r="FK334" s="2" t="n">
        <v>100</v>
      </c>
      <c r="FL334" s="2" t="n">
        <v>100</v>
      </c>
      <c r="FM334" s="2" t="n">
        <v>100</v>
      </c>
      <c r="FN334" s="2" t="n">
        <v>100</v>
      </c>
      <c r="FO334" s="2" t="n">
        <v>100</v>
      </c>
      <c r="FP334" s="2" t="n">
        <v>100</v>
      </c>
      <c r="FQ334" s="2" t="n">
        <v>100</v>
      </c>
    </row>
    <row r="335">
      <c r="A335" s="2" t="n">
        <v>4</v>
      </c>
      <c r="B335" s="2" t="inlineStr">
        <is>
          <t>15.01.06.08</t>
        </is>
      </c>
      <c r="C335" s="2" t="inlineStr">
        <is>
          <t>Arrasamento de estacas</t>
        </is>
      </c>
      <c r="D335" s="2" t="inlineStr">
        <is>
          <t>19/02/2025</t>
        </is>
      </c>
      <c r="E335" s="2" t="inlineStr">
        <is>
          <t>16/05/2025</t>
        </is>
      </c>
      <c r="F335" s="2" t="n">
        <v>81600</v>
      </c>
      <c r="G335" s="2" t="n">
        <v>0</v>
      </c>
      <c r="H335" s="2" t="n">
        <v>81600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13.33</v>
      </c>
      <c r="AB335" s="2" t="n">
        <v>13.33</v>
      </c>
      <c r="AC335" s="2" t="n">
        <v>0</v>
      </c>
      <c r="AD335" s="2" t="n">
        <v>48.33</v>
      </c>
      <c r="AE335" s="2" t="n">
        <v>48.33</v>
      </c>
      <c r="AF335" s="2" t="n">
        <v>0</v>
      </c>
      <c r="AG335" s="2" t="n">
        <v>81.67</v>
      </c>
      <c r="AH335" s="2" t="n">
        <v>81.67</v>
      </c>
      <c r="AI335" s="2" t="n">
        <v>70.06999999999999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  <c r="EQ335" s="2" t="n">
        <v>100</v>
      </c>
      <c r="ER335" s="2" t="n">
        <v>100</v>
      </c>
      <c r="ES335" s="2" t="n">
        <v>100</v>
      </c>
      <c r="ET335" s="2" t="n">
        <v>100</v>
      </c>
      <c r="EU335" s="2" t="n">
        <v>100</v>
      </c>
      <c r="EV335" s="2" t="n">
        <v>100</v>
      </c>
      <c r="EW335" s="2" t="n">
        <v>100</v>
      </c>
      <c r="EX335" s="2" t="n">
        <v>100</v>
      </c>
      <c r="EY335" s="2" t="n">
        <v>100</v>
      </c>
      <c r="EZ335" s="2" t="n">
        <v>100</v>
      </c>
      <c r="FA335" s="2" t="n">
        <v>100</v>
      </c>
      <c r="FB335" s="2" t="n">
        <v>100</v>
      </c>
      <c r="FC335" s="2" t="n">
        <v>100</v>
      </c>
      <c r="FD335" s="2" t="n">
        <v>100</v>
      </c>
      <c r="FE335" s="2" t="n">
        <v>100</v>
      </c>
      <c r="FF335" s="2" t="n">
        <v>100</v>
      </c>
      <c r="FG335" s="2" t="n">
        <v>100</v>
      </c>
      <c r="FH335" s="2" t="n">
        <v>100</v>
      </c>
      <c r="FI335" s="2" t="n">
        <v>100</v>
      </c>
      <c r="FJ335" s="2" t="n">
        <v>100</v>
      </c>
      <c r="FK335" s="2" t="n">
        <v>100</v>
      </c>
      <c r="FL335" s="2" t="n">
        <v>100</v>
      </c>
      <c r="FM335" s="2" t="n">
        <v>100</v>
      </c>
      <c r="FN335" s="2" t="n">
        <v>100</v>
      </c>
      <c r="FO335" s="2" t="n">
        <v>100</v>
      </c>
      <c r="FP335" s="2" t="n">
        <v>100</v>
      </c>
      <c r="FQ335" s="2" t="n">
        <v>100</v>
      </c>
    </row>
    <row r="336">
      <c r="A336" s="2" t="n">
        <v>1</v>
      </c>
      <c r="B336" s="2" t="inlineStr">
        <is>
          <t>16</t>
        </is>
      </c>
      <c r="C336" s="2" t="inlineStr">
        <is>
          <t>FUNDAÇÃO SUPERFICIAL</t>
        </is>
      </c>
      <c r="D336" s="2" t="inlineStr">
        <is>
          <t>14/05/2025</t>
        </is>
      </c>
      <c r="E336" s="2" t="inlineStr">
        <is>
          <t>26/07/2027</t>
        </is>
      </c>
      <c r="F336" s="2" t="n">
        <v>4052793.145766898</v>
      </c>
      <c r="G336" s="2" t="n">
        <v>0</v>
      </c>
      <c r="H336" s="2" t="n">
        <v>4052793.145766898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11.02</v>
      </c>
      <c r="AK336" s="2" t="n">
        <v>11.02</v>
      </c>
      <c r="AL336" s="2" t="n">
        <v>8.74</v>
      </c>
      <c r="AM336" s="2" t="n">
        <v>27.98</v>
      </c>
      <c r="AN336" s="2" t="n">
        <v>27.98</v>
      </c>
      <c r="AO336" s="2" t="n">
        <v>31.43</v>
      </c>
      <c r="AP336" s="2" t="n">
        <v>47.48</v>
      </c>
      <c r="AQ336" s="2" t="n">
        <v>47.48</v>
      </c>
      <c r="AR336" s="2" t="n">
        <v>52</v>
      </c>
      <c r="AS336" s="2" t="n">
        <v>65.29000000000001</v>
      </c>
      <c r="AT336" s="2" t="n">
        <v>65.29000000000001</v>
      </c>
      <c r="AU336" s="2" t="n">
        <v>67.23</v>
      </c>
      <c r="AV336" s="2" t="n">
        <v>73.77</v>
      </c>
      <c r="AW336" s="2" t="n">
        <v>73.77</v>
      </c>
      <c r="AX336" s="2" t="n">
        <v>73.68000000000001</v>
      </c>
      <c r="AY336" s="2" t="n">
        <v>73.77</v>
      </c>
      <c r="AZ336" s="2" t="n">
        <v>73.77</v>
      </c>
      <c r="BA336" s="2" t="n">
        <v>73.62</v>
      </c>
      <c r="BB336" s="2" t="n">
        <v>73.77</v>
      </c>
      <c r="BC336" s="2" t="n">
        <v>73.77</v>
      </c>
      <c r="BD336" s="2" t="n">
        <v>73.77</v>
      </c>
      <c r="BE336" s="2" t="n">
        <v>73.77</v>
      </c>
      <c r="BF336" s="2" t="n">
        <v>73.77</v>
      </c>
      <c r="BG336" s="2" t="n">
        <v>73.77</v>
      </c>
      <c r="BH336" s="2" t="n">
        <v>73.77</v>
      </c>
      <c r="BI336" s="2" t="n">
        <v>73.77</v>
      </c>
      <c r="BJ336" s="2" t="n">
        <v>73.77</v>
      </c>
      <c r="BK336" s="2" t="n">
        <v>73.77</v>
      </c>
      <c r="BL336" s="2" t="n">
        <v>73.77</v>
      </c>
      <c r="BM336" s="2" t="n">
        <v>73.77</v>
      </c>
      <c r="BN336" s="2" t="n">
        <v>73.77</v>
      </c>
      <c r="BO336" s="2" t="n">
        <v>73.77</v>
      </c>
      <c r="BP336" s="2" t="n">
        <v>73.77</v>
      </c>
      <c r="BQ336" s="2" t="n">
        <v>73.77</v>
      </c>
      <c r="BR336" s="2" t="n">
        <v>73.77</v>
      </c>
      <c r="BS336" s="2" t="n">
        <v>73.77</v>
      </c>
      <c r="BT336" s="2" t="n">
        <v>73.77</v>
      </c>
      <c r="BU336" s="2" t="n">
        <v>73.77</v>
      </c>
      <c r="BV336" s="2" t="n">
        <v>73.77</v>
      </c>
      <c r="BW336" s="2" t="n">
        <v>81.64</v>
      </c>
      <c r="BX336" s="2" t="n">
        <v>81.64</v>
      </c>
      <c r="BY336" s="2" t="n">
        <v>75.58</v>
      </c>
      <c r="BZ336" s="2" t="n">
        <v>91.86</v>
      </c>
      <c r="CA336" s="2" t="n">
        <v>91.86</v>
      </c>
      <c r="CB336" s="2" t="n">
        <v>88.23999999999999</v>
      </c>
      <c r="CC336" s="2" t="n">
        <v>91.86</v>
      </c>
      <c r="CD336" s="2" t="n">
        <v>91.86</v>
      </c>
      <c r="CE336" s="2" t="n">
        <v>88.23999999999999</v>
      </c>
      <c r="CF336" s="2" t="n">
        <v>91.86</v>
      </c>
      <c r="CG336" s="2" t="n">
        <v>91.86</v>
      </c>
      <c r="CH336" s="2" t="n">
        <v>91.86</v>
      </c>
      <c r="CI336" s="2" t="n">
        <v>91.86</v>
      </c>
      <c r="CJ336" s="2" t="n">
        <v>91.86</v>
      </c>
      <c r="CK336" s="2" t="n">
        <v>91.86</v>
      </c>
      <c r="CL336" s="2" t="n">
        <v>91.86</v>
      </c>
      <c r="CM336" s="2" t="n">
        <v>91.86</v>
      </c>
      <c r="CN336" s="2" t="n">
        <v>91.86</v>
      </c>
      <c r="CO336" s="2" t="n">
        <v>91.86</v>
      </c>
      <c r="CP336" s="2" t="n">
        <v>91.86</v>
      </c>
      <c r="CQ336" s="2" t="n">
        <v>91.86</v>
      </c>
      <c r="CR336" s="2" t="n">
        <v>91.86</v>
      </c>
      <c r="CS336" s="2" t="n">
        <v>91.86</v>
      </c>
      <c r="CT336" s="2" t="n">
        <v>91.86</v>
      </c>
      <c r="CU336" s="2" t="n">
        <v>91.86</v>
      </c>
      <c r="CV336" s="2" t="n">
        <v>91.86</v>
      </c>
      <c r="CW336" s="2" t="n">
        <v>91.86</v>
      </c>
      <c r="CX336" s="2" t="n">
        <v>91.86</v>
      </c>
      <c r="CY336" s="2" t="n">
        <v>91.86</v>
      </c>
      <c r="CZ336" s="2" t="n">
        <v>91.86</v>
      </c>
      <c r="DA336" s="2" t="n">
        <v>92.59999999999999</v>
      </c>
      <c r="DB336" s="2" t="n">
        <v>92.59999999999999</v>
      </c>
      <c r="DC336" s="2" t="n">
        <v>91.86</v>
      </c>
      <c r="DD336" s="2" t="n">
        <v>95.06999999999999</v>
      </c>
      <c r="DE336" s="2" t="n">
        <v>95.06999999999999</v>
      </c>
      <c r="DF336" s="2" t="n">
        <v>91.86</v>
      </c>
      <c r="DG336" s="2" t="n">
        <v>97.78</v>
      </c>
      <c r="DH336" s="2" t="n">
        <v>97.78</v>
      </c>
      <c r="DI336" s="2" t="n">
        <v>91.86</v>
      </c>
      <c r="DJ336" s="2" t="n">
        <v>100</v>
      </c>
      <c r="DK336" s="2" t="n">
        <v>100</v>
      </c>
      <c r="DL336" s="2" t="n">
        <v>91.86</v>
      </c>
      <c r="DM336" s="2" t="n">
        <v>100</v>
      </c>
      <c r="DN336" s="2" t="n">
        <v>100</v>
      </c>
      <c r="DO336" s="2" t="n">
        <v>91.86</v>
      </c>
      <c r="DP336" s="2" t="n">
        <v>100</v>
      </c>
      <c r="DQ336" s="2" t="n">
        <v>100</v>
      </c>
      <c r="DR336" s="2" t="n">
        <v>91.86</v>
      </c>
      <c r="DS336" s="2" t="n">
        <v>100</v>
      </c>
      <c r="DT336" s="2" t="n">
        <v>100</v>
      </c>
      <c r="DU336" s="2" t="n">
        <v>91.86</v>
      </c>
      <c r="DV336" s="2" t="n">
        <v>100</v>
      </c>
      <c r="DW336" s="2" t="n">
        <v>100</v>
      </c>
      <c r="DX336" s="2" t="n">
        <v>91.86</v>
      </c>
      <c r="DY336" s="2" t="n">
        <v>100</v>
      </c>
      <c r="DZ336" s="2" t="n">
        <v>100</v>
      </c>
      <c r="EA336" s="2" t="n">
        <v>91.86</v>
      </c>
      <c r="EB336" s="2" t="n">
        <v>100</v>
      </c>
      <c r="EC336" s="2" t="n">
        <v>100</v>
      </c>
      <c r="ED336" s="2" t="n">
        <v>91.86</v>
      </c>
      <c r="EE336" s="2" t="n">
        <v>100</v>
      </c>
      <c r="EF336" s="2" t="n">
        <v>100</v>
      </c>
      <c r="EG336" s="2" t="n">
        <v>91.86</v>
      </c>
      <c r="EH336" s="2" t="n">
        <v>100</v>
      </c>
      <c r="EI336" s="2" t="n">
        <v>100</v>
      </c>
      <c r="EJ336" s="2" t="n">
        <v>91.86</v>
      </c>
      <c r="EK336" s="2" t="n">
        <v>100</v>
      </c>
      <c r="EL336" s="2" t="n">
        <v>100</v>
      </c>
      <c r="EM336" s="2" t="n">
        <v>91.86</v>
      </c>
      <c r="EN336" s="2" t="n">
        <v>100</v>
      </c>
      <c r="EO336" s="2" t="n">
        <v>100</v>
      </c>
      <c r="EP336" s="2" t="n">
        <v>91.86</v>
      </c>
      <c r="EQ336" s="2" t="n">
        <v>100</v>
      </c>
      <c r="ER336" s="2" t="n">
        <v>100</v>
      </c>
      <c r="ES336" s="2" t="n">
        <v>91.86</v>
      </c>
      <c r="ET336" s="2" t="n">
        <v>100</v>
      </c>
      <c r="EU336" s="2" t="n">
        <v>100</v>
      </c>
      <c r="EV336" s="2" t="n">
        <v>91.86</v>
      </c>
      <c r="EW336" s="2" t="n">
        <v>100</v>
      </c>
      <c r="EX336" s="2" t="n">
        <v>100</v>
      </c>
      <c r="EY336" s="2" t="n">
        <v>91.86</v>
      </c>
      <c r="EZ336" s="2" t="n">
        <v>100</v>
      </c>
      <c r="FA336" s="2" t="n">
        <v>100</v>
      </c>
      <c r="FB336" s="2" t="n">
        <v>91.86</v>
      </c>
      <c r="FC336" s="2" t="n">
        <v>100</v>
      </c>
      <c r="FD336" s="2" t="n">
        <v>100</v>
      </c>
      <c r="FE336" s="2" t="n">
        <v>91.86</v>
      </c>
      <c r="FF336" s="2" t="n">
        <v>100</v>
      </c>
      <c r="FG336" s="2" t="n">
        <v>100</v>
      </c>
      <c r="FH336" s="2" t="n">
        <v>91.86</v>
      </c>
      <c r="FI336" s="2" t="n">
        <v>100</v>
      </c>
      <c r="FJ336" s="2" t="n">
        <v>100</v>
      </c>
      <c r="FK336" s="2" t="n">
        <v>91.86</v>
      </c>
      <c r="FL336" s="2" t="n">
        <v>100</v>
      </c>
      <c r="FM336" s="2" t="n">
        <v>100</v>
      </c>
      <c r="FN336" s="2" t="n">
        <v>91.86</v>
      </c>
      <c r="FO336" s="2" t="n">
        <v>100</v>
      </c>
      <c r="FP336" s="2" t="n">
        <v>100</v>
      </c>
      <c r="FQ336" s="2" t="n">
        <v>91.86</v>
      </c>
    </row>
    <row r="337">
      <c r="A337" s="2" t="n">
        <v>2</v>
      </c>
      <c r="B337" s="2" t="inlineStr">
        <is>
          <t>16.01</t>
        </is>
      </c>
      <c r="C337" s="2" t="inlineStr">
        <is>
          <t>Fundações Superficiais</t>
        </is>
      </c>
      <c r="D337" s="2" t="inlineStr">
        <is>
          <t>14/05/2025</t>
        </is>
      </c>
      <c r="E337" s="2" t="inlineStr">
        <is>
          <t>26/07/2027</t>
        </is>
      </c>
      <c r="F337" s="2" t="n">
        <v>4052793.145766898</v>
      </c>
      <c r="G337" s="2" t="n">
        <v>0</v>
      </c>
      <c r="H337" s="2" t="n">
        <v>4052793.145766898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11.02</v>
      </c>
      <c r="AK337" s="2" t="n">
        <v>11.02</v>
      </c>
      <c r="AL337" s="2" t="n">
        <v>8.74</v>
      </c>
      <c r="AM337" s="2" t="n">
        <v>27.98</v>
      </c>
      <c r="AN337" s="2" t="n">
        <v>27.98</v>
      </c>
      <c r="AO337" s="2" t="n">
        <v>31.43</v>
      </c>
      <c r="AP337" s="2" t="n">
        <v>47.48</v>
      </c>
      <c r="AQ337" s="2" t="n">
        <v>47.48</v>
      </c>
      <c r="AR337" s="2" t="n">
        <v>52</v>
      </c>
      <c r="AS337" s="2" t="n">
        <v>65.29000000000001</v>
      </c>
      <c r="AT337" s="2" t="n">
        <v>65.29000000000001</v>
      </c>
      <c r="AU337" s="2" t="n">
        <v>67.23</v>
      </c>
      <c r="AV337" s="2" t="n">
        <v>73.77</v>
      </c>
      <c r="AW337" s="2" t="n">
        <v>73.77</v>
      </c>
      <c r="AX337" s="2" t="n">
        <v>73.68000000000001</v>
      </c>
      <c r="AY337" s="2" t="n">
        <v>73.77</v>
      </c>
      <c r="AZ337" s="2" t="n">
        <v>73.77</v>
      </c>
      <c r="BA337" s="2" t="n">
        <v>73.62</v>
      </c>
      <c r="BB337" s="2" t="n">
        <v>73.77</v>
      </c>
      <c r="BC337" s="2" t="n">
        <v>73.77</v>
      </c>
      <c r="BD337" s="2" t="n">
        <v>73.77</v>
      </c>
      <c r="BE337" s="2" t="n">
        <v>73.77</v>
      </c>
      <c r="BF337" s="2" t="n">
        <v>73.77</v>
      </c>
      <c r="BG337" s="2" t="n">
        <v>73.77</v>
      </c>
      <c r="BH337" s="2" t="n">
        <v>73.77</v>
      </c>
      <c r="BI337" s="2" t="n">
        <v>73.77</v>
      </c>
      <c r="BJ337" s="2" t="n">
        <v>73.77</v>
      </c>
      <c r="BK337" s="2" t="n">
        <v>73.77</v>
      </c>
      <c r="BL337" s="2" t="n">
        <v>73.77</v>
      </c>
      <c r="BM337" s="2" t="n">
        <v>73.77</v>
      </c>
      <c r="BN337" s="2" t="n">
        <v>73.77</v>
      </c>
      <c r="BO337" s="2" t="n">
        <v>73.77</v>
      </c>
      <c r="BP337" s="2" t="n">
        <v>73.77</v>
      </c>
      <c r="BQ337" s="2" t="n">
        <v>73.77</v>
      </c>
      <c r="BR337" s="2" t="n">
        <v>73.77</v>
      </c>
      <c r="BS337" s="2" t="n">
        <v>73.77</v>
      </c>
      <c r="BT337" s="2" t="n">
        <v>73.77</v>
      </c>
      <c r="BU337" s="2" t="n">
        <v>73.77</v>
      </c>
      <c r="BV337" s="2" t="n">
        <v>73.77</v>
      </c>
      <c r="BW337" s="2" t="n">
        <v>81.64</v>
      </c>
      <c r="BX337" s="2" t="n">
        <v>81.64</v>
      </c>
      <c r="BY337" s="2" t="n">
        <v>75.58</v>
      </c>
      <c r="BZ337" s="2" t="n">
        <v>91.86</v>
      </c>
      <c r="CA337" s="2" t="n">
        <v>91.86</v>
      </c>
      <c r="CB337" s="2" t="n">
        <v>88.23999999999999</v>
      </c>
      <c r="CC337" s="2" t="n">
        <v>91.86</v>
      </c>
      <c r="CD337" s="2" t="n">
        <v>91.86</v>
      </c>
      <c r="CE337" s="2" t="n">
        <v>88.23999999999999</v>
      </c>
      <c r="CF337" s="2" t="n">
        <v>91.86</v>
      </c>
      <c r="CG337" s="2" t="n">
        <v>91.86</v>
      </c>
      <c r="CH337" s="2" t="n">
        <v>91.86</v>
      </c>
      <c r="CI337" s="2" t="n">
        <v>91.86</v>
      </c>
      <c r="CJ337" s="2" t="n">
        <v>91.86</v>
      </c>
      <c r="CK337" s="2" t="n">
        <v>91.86</v>
      </c>
      <c r="CL337" s="2" t="n">
        <v>91.86</v>
      </c>
      <c r="CM337" s="2" t="n">
        <v>91.86</v>
      </c>
      <c r="CN337" s="2" t="n">
        <v>91.86</v>
      </c>
      <c r="CO337" s="2" t="n">
        <v>91.86</v>
      </c>
      <c r="CP337" s="2" t="n">
        <v>91.86</v>
      </c>
      <c r="CQ337" s="2" t="n">
        <v>91.86</v>
      </c>
      <c r="CR337" s="2" t="n">
        <v>91.86</v>
      </c>
      <c r="CS337" s="2" t="n">
        <v>91.86</v>
      </c>
      <c r="CT337" s="2" t="n">
        <v>91.86</v>
      </c>
      <c r="CU337" s="2" t="n">
        <v>91.86</v>
      </c>
      <c r="CV337" s="2" t="n">
        <v>91.86</v>
      </c>
      <c r="CW337" s="2" t="n">
        <v>91.86</v>
      </c>
      <c r="CX337" s="2" t="n">
        <v>91.86</v>
      </c>
      <c r="CY337" s="2" t="n">
        <v>91.86</v>
      </c>
      <c r="CZ337" s="2" t="n">
        <v>91.86</v>
      </c>
      <c r="DA337" s="2" t="n">
        <v>92.59999999999999</v>
      </c>
      <c r="DB337" s="2" t="n">
        <v>92.59999999999999</v>
      </c>
      <c r="DC337" s="2" t="n">
        <v>91.86</v>
      </c>
      <c r="DD337" s="2" t="n">
        <v>95.06999999999999</v>
      </c>
      <c r="DE337" s="2" t="n">
        <v>95.06999999999999</v>
      </c>
      <c r="DF337" s="2" t="n">
        <v>91.86</v>
      </c>
      <c r="DG337" s="2" t="n">
        <v>97.78</v>
      </c>
      <c r="DH337" s="2" t="n">
        <v>97.78</v>
      </c>
      <c r="DI337" s="2" t="n">
        <v>91.86</v>
      </c>
      <c r="DJ337" s="2" t="n">
        <v>100</v>
      </c>
      <c r="DK337" s="2" t="n">
        <v>100</v>
      </c>
      <c r="DL337" s="2" t="n">
        <v>91.86</v>
      </c>
      <c r="DM337" s="2" t="n">
        <v>100</v>
      </c>
      <c r="DN337" s="2" t="n">
        <v>100</v>
      </c>
      <c r="DO337" s="2" t="n">
        <v>91.86</v>
      </c>
      <c r="DP337" s="2" t="n">
        <v>100</v>
      </c>
      <c r="DQ337" s="2" t="n">
        <v>100</v>
      </c>
      <c r="DR337" s="2" t="n">
        <v>91.86</v>
      </c>
      <c r="DS337" s="2" t="n">
        <v>100</v>
      </c>
      <c r="DT337" s="2" t="n">
        <v>100</v>
      </c>
      <c r="DU337" s="2" t="n">
        <v>91.86</v>
      </c>
      <c r="DV337" s="2" t="n">
        <v>100</v>
      </c>
      <c r="DW337" s="2" t="n">
        <v>100</v>
      </c>
      <c r="DX337" s="2" t="n">
        <v>91.86</v>
      </c>
      <c r="DY337" s="2" t="n">
        <v>100</v>
      </c>
      <c r="DZ337" s="2" t="n">
        <v>100</v>
      </c>
      <c r="EA337" s="2" t="n">
        <v>91.86</v>
      </c>
      <c r="EB337" s="2" t="n">
        <v>100</v>
      </c>
      <c r="EC337" s="2" t="n">
        <v>100</v>
      </c>
      <c r="ED337" s="2" t="n">
        <v>91.86</v>
      </c>
      <c r="EE337" s="2" t="n">
        <v>100</v>
      </c>
      <c r="EF337" s="2" t="n">
        <v>100</v>
      </c>
      <c r="EG337" s="2" t="n">
        <v>91.86</v>
      </c>
      <c r="EH337" s="2" t="n">
        <v>100</v>
      </c>
      <c r="EI337" s="2" t="n">
        <v>100</v>
      </c>
      <c r="EJ337" s="2" t="n">
        <v>91.86</v>
      </c>
      <c r="EK337" s="2" t="n">
        <v>100</v>
      </c>
      <c r="EL337" s="2" t="n">
        <v>100</v>
      </c>
      <c r="EM337" s="2" t="n">
        <v>91.86</v>
      </c>
      <c r="EN337" s="2" t="n">
        <v>100</v>
      </c>
      <c r="EO337" s="2" t="n">
        <v>100</v>
      </c>
      <c r="EP337" s="2" t="n">
        <v>91.86</v>
      </c>
      <c r="EQ337" s="2" t="n">
        <v>100</v>
      </c>
      <c r="ER337" s="2" t="n">
        <v>100</v>
      </c>
      <c r="ES337" s="2" t="n">
        <v>91.86</v>
      </c>
      <c r="ET337" s="2" t="n">
        <v>100</v>
      </c>
      <c r="EU337" s="2" t="n">
        <v>100</v>
      </c>
      <c r="EV337" s="2" t="n">
        <v>91.86</v>
      </c>
      <c r="EW337" s="2" t="n">
        <v>100</v>
      </c>
      <c r="EX337" s="2" t="n">
        <v>100</v>
      </c>
      <c r="EY337" s="2" t="n">
        <v>91.86</v>
      </c>
      <c r="EZ337" s="2" t="n">
        <v>100</v>
      </c>
      <c r="FA337" s="2" t="n">
        <v>100</v>
      </c>
      <c r="FB337" s="2" t="n">
        <v>91.86</v>
      </c>
      <c r="FC337" s="2" t="n">
        <v>100</v>
      </c>
      <c r="FD337" s="2" t="n">
        <v>100</v>
      </c>
      <c r="FE337" s="2" t="n">
        <v>91.86</v>
      </c>
      <c r="FF337" s="2" t="n">
        <v>100</v>
      </c>
      <c r="FG337" s="2" t="n">
        <v>100</v>
      </c>
      <c r="FH337" s="2" t="n">
        <v>91.86</v>
      </c>
      <c r="FI337" s="2" t="n">
        <v>100</v>
      </c>
      <c r="FJ337" s="2" t="n">
        <v>100</v>
      </c>
      <c r="FK337" s="2" t="n">
        <v>91.86</v>
      </c>
      <c r="FL337" s="2" t="n">
        <v>100</v>
      </c>
      <c r="FM337" s="2" t="n">
        <v>100</v>
      </c>
      <c r="FN337" s="2" t="n">
        <v>91.86</v>
      </c>
      <c r="FO337" s="2" t="n">
        <v>100</v>
      </c>
      <c r="FP337" s="2" t="n">
        <v>100</v>
      </c>
      <c r="FQ337" s="2" t="n">
        <v>91.86</v>
      </c>
    </row>
    <row r="338">
      <c r="A338" s="2" t="n">
        <v>3</v>
      </c>
      <c r="B338" s="2" t="inlineStr">
        <is>
          <t>16.01.01</t>
        </is>
      </c>
      <c r="C338" s="2" t="inlineStr">
        <is>
          <t>Blocos e cintas</t>
        </is>
      </c>
      <c r="D338" s="2" t="inlineStr">
        <is>
          <t>14/05/2025</t>
        </is>
      </c>
      <c r="E338" s="2" t="inlineStr">
        <is>
          <t>26/07/2027</t>
        </is>
      </c>
      <c r="F338" s="2" t="n">
        <v>2989834.680952411</v>
      </c>
      <c r="G338" s="2" t="n">
        <v>0</v>
      </c>
      <c r="H338" s="2" t="n">
        <v>2989834.680952411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11.02</v>
      </c>
      <c r="AK338" s="2" t="n">
        <v>11.02</v>
      </c>
      <c r="AL338" s="2" t="n">
        <v>8.74</v>
      </c>
      <c r="AM338" s="2" t="n">
        <v>27.98</v>
      </c>
      <c r="AN338" s="2" t="n">
        <v>27.98</v>
      </c>
      <c r="AO338" s="2" t="n">
        <v>31.43</v>
      </c>
      <c r="AP338" s="2" t="n">
        <v>47.48</v>
      </c>
      <c r="AQ338" s="2" t="n">
        <v>47.48</v>
      </c>
      <c r="AR338" s="2" t="n">
        <v>52</v>
      </c>
      <c r="AS338" s="2" t="n">
        <v>65.29000000000001</v>
      </c>
      <c r="AT338" s="2" t="n">
        <v>65.29000000000001</v>
      </c>
      <c r="AU338" s="2" t="n">
        <v>67.23</v>
      </c>
      <c r="AV338" s="2" t="n">
        <v>73.77</v>
      </c>
      <c r="AW338" s="2" t="n">
        <v>73.77</v>
      </c>
      <c r="AX338" s="2" t="n">
        <v>73.68000000000001</v>
      </c>
      <c r="AY338" s="2" t="n">
        <v>73.77</v>
      </c>
      <c r="AZ338" s="2" t="n">
        <v>73.77</v>
      </c>
      <c r="BA338" s="2" t="n">
        <v>73.62</v>
      </c>
      <c r="BB338" s="2" t="n">
        <v>73.77</v>
      </c>
      <c r="BC338" s="2" t="n">
        <v>73.77</v>
      </c>
      <c r="BD338" s="2" t="n">
        <v>73.77</v>
      </c>
      <c r="BE338" s="2" t="n">
        <v>73.77</v>
      </c>
      <c r="BF338" s="2" t="n">
        <v>73.77</v>
      </c>
      <c r="BG338" s="2" t="n">
        <v>73.77</v>
      </c>
      <c r="BH338" s="2" t="n">
        <v>73.77</v>
      </c>
      <c r="BI338" s="2" t="n">
        <v>73.77</v>
      </c>
      <c r="BJ338" s="2" t="n">
        <v>73.77</v>
      </c>
      <c r="BK338" s="2" t="n">
        <v>73.77</v>
      </c>
      <c r="BL338" s="2" t="n">
        <v>73.77</v>
      </c>
      <c r="BM338" s="2" t="n">
        <v>73.77</v>
      </c>
      <c r="BN338" s="2" t="n">
        <v>73.77</v>
      </c>
      <c r="BO338" s="2" t="n">
        <v>73.77</v>
      </c>
      <c r="BP338" s="2" t="n">
        <v>73.77</v>
      </c>
      <c r="BQ338" s="2" t="n">
        <v>73.77</v>
      </c>
      <c r="BR338" s="2" t="n">
        <v>73.77</v>
      </c>
      <c r="BS338" s="2" t="n">
        <v>73.77</v>
      </c>
      <c r="BT338" s="2" t="n">
        <v>73.77</v>
      </c>
      <c r="BU338" s="2" t="n">
        <v>73.77</v>
      </c>
      <c r="BV338" s="2" t="n">
        <v>73.77</v>
      </c>
      <c r="BW338" s="2" t="n">
        <v>81.64</v>
      </c>
      <c r="BX338" s="2" t="n">
        <v>81.64</v>
      </c>
      <c r="BY338" s="2" t="n">
        <v>75.58</v>
      </c>
      <c r="BZ338" s="2" t="n">
        <v>91.86</v>
      </c>
      <c r="CA338" s="2" t="n">
        <v>91.86</v>
      </c>
      <c r="CB338" s="2" t="n">
        <v>88.23999999999999</v>
      </c>
      <c r="CC338" s="2" t="n">
        <v>91.86</v>
      </c>
      <c r="CD338" s="2" t="n">
        <v>91.86</v>
      </c>
      <c r="CE338" s="2" t="n">
        <v>88.23999999999999</v>
      </c>
      <c r="CF338" s="2" t="n">
        <v>91.86</v>
      </c>
      <c r="CG338" s="2" t="n">
        <v>91.86</v>
      </c>
      <c r="CH338" s="2" t="n">
        <v>91.86</v>
      </c>
      <c r="CI338" s="2" t="n">
        <v>91.86</v>
      </c>
      <c r="CJ338" s="2" t="n">
        <v>91.86</v>
      </c>
      <c r="CK338" s="2" t="n">
        <v>91.86</v>
      </c>
      <c r="CL338" s="2" t="n">
        <v>91.86</v>
      </c>
      <c r="CM338" s="2" t="n">
        <v>91.86</v>
      </c>
      <c r="CN338" s="2" t="n">
        <v>91.86</v>
      </c>
      <c r="CO338" s="2" t="n">
        <v>91.86</v>
      </c>
      <c r="CP338" s="2" t="n">
        <v>91.86</v>
      </c>
      <c r="CQ338" s="2" t="n">
        <v>91.86</v>
      </c>
      <c r="CR338" s="2" t="n">
        <v>91.86</v>
      </c>
      <c r="CS338" s="2" t="n">
        <v>91.86</v>
      </c>
      <c r="CT338" s="2" t="n">
        <v>91.86</v>
      </c>
      <c r="CU338" s="2" t="n">
        <v>91.86</v>
      </c>
      <c r="CV338" s="2" t="n">
        <v>91.86</v>
      </c>
      <c r="CW338" s="2" t="n">
        <v>91.86</v>
      </c>
      <c r="CX338" s="2" t="n">
        <v>91.86</v>
      </c>
      <c r="CY338" s="2" t="n">
        <v>91.86</v>
      </c>
      <c r="CZ338" s="2" t="n">
        <v>91.86</v>
      </c>
      <c r="DA338" s="2" t="n">
        <v>92.59999999999999</v>
      </c>
      <c r="DB338" s="2" t="n">
        <v>92.59999999999999</v>
      </c>
      <c r="DC338" s="2" t="n">
        <v>91.86</v>
      </c>
      <c r="DD338" s="2" t="n">
        <v>95.06999999999999</v>
      </c>
      <c r="DE338" s="2" t="n">
        <v>95.06999999999999</v>
      </c>
      <c r="DF338" s="2" t="n">
        <v>91.86</v>
      </c>
      <c r="DG338" s="2" t="n">
        <v>97.78</v>
      </c>
      <c r="DH338" s="2" t="n">
        <v>97.78</v>
      </c>
      <c r="DI338" s="2" t="n">
        <v>91.86</v>
      </c>
      <c r="DJ338" s="2" t="n">
        <v>100</v>
      </c>
      <c r="DK338" s="2" t="n">
        <v>100</v>
      </c>
      <c r="DL338" s="2" t="n">
        <v>91.86</v>
      </c>
      <c r="DM338" s="2" t="n">
        <v>100</v>
      </c>
      <c r="DN338" s="2" t="n">
        <v>100</v>
      </c>
      <c r="DO338" s="2" t="n">
        <v>91.86</v>
      </c>
      <c r="DP338" s="2" t="n">
        <v>100</v>
      </c>
      <c r="DQ338" s="2" t="n">
        <v>100</v>
      </c>
      <c r="DR338" s="2" t="n">
        <v>91.86</v>
      </c>
      <c r="DS338" s="2" t="n">
        <v>100</v>
      </c>
      <c r="DT338" s="2" t="n">
        <v>100</v>
      </c>
      <c r="DU338" s="2" t="n">
        <v>91.86</v>
      </c>
      <c r="DV338" s="2" t="n">
        <v>100</v>
      </c>
      <c r="DW338" s="2" t="n">
        <v>100</v>
      </c>
      <c r="DX338" s="2" t="n">
        <v>91.86</v>
      </c>
      <c r="DY338" s="2" t="n">
        <v>100</v>
      </c>
      <c r="DZ338" s="2" t="n">
        <v>100</v>
      </c>
      <c r="EA338" s="2" t="n">
        <v>91.86</v>
      </c>
      <c r="EB338" s="2" t="n">
        <v>100</v>
      </c>
      <c r="EC338" s="2" t="n">
        <v>100</v>
      </c>
      <c r="ED338" s="2" t="n">
        <v>91.86</v>
      </c>
      <c r="EE338" s="2" t="n">
        <v>100</v>
      </c>
      <c r="EF338" s="2" t="n">
        <v>100</v>
      </c>
      <c r="EG338" s="2" t="n">
        <v>91.86</v>
      </c>
      <c r="EH338" s="2" t="n">
        <v>100</v>
      </c>
      <c r="EI338" s="2" t="n">
        <v>100</v>
      </c>
      <c r="EJ338" s="2" t="n">
        <v>91.86</v>
      </c>
      <c r="EK338" s="2" t="n">
        <v>100</v>
      </c>
      <c r="EL338" s="2" t="n">
        <v>100</v>
      </c>
      <c r="EM338" s="2" t="n">
        <v>91.86</v>
      </c>
      <c r="EN338" s="2" t="n">
        <v>100</v>
      </c>
      <c r="EO338" s="2" t="n">
        <v>100</v>
      </c>
      <c r="EP338" s="2" t="n">
        <v>91.86</v>
      </c>
      <c r="EQ338" s="2" t="n">
        <v>100</v>
      </c>
      <c r="ER338" s="2" t="n">
        <v>100</v>
      </c>
      <c r="ES338" s="2" t="n">
        <v>91.86</v>
      </c>
      <c r="ET338" s="2" t="n">
        <v>100</v>
      </c>
      <c r="EU338" s="2" t="n">
        <v>100</v>
      </c>
      <c r="EV338" s="2" t="n">
        <v>91.86</v>
      </c>
      <c r="EW338" s="2" t="n">
        <v>100</v>
      </c>
      <c r="EX338" s="2" t="n">
        <v>100</v>
      </c>
      <c r="EY338" s="2" t="n">
        <v>91.86</v>
      </c>
      <c r="EZ338" s="2" t="n">
        <v>100</v>
      </c>
      <c r="FA338" s="2" t="n">
        <v>100</v>
      </c>
      <c r="FB338" s="2" t="n">
        <v>91.86</v>
      </c>
      <c r="FC338" s="2" t="n">
        <v>100</v>
      </c>
      <c r="FD338" s="2" t="n">
        <v>100</v>
      </c>
      <c r="FE338" s="2" t="n">
        <v>91.86</v>
      </c>
      <c r="FF338" s="2" t="n">
        <v>100</v>
      </c>
      <c r="FG338" s="2" t="n">
        <v>100</v>
      </c>
      <c r="FH338" s="2" t="n">
        <v>91.86</v>
      </c>
      <c r="FI338" s="2" t="n">
        <v>100</v>
      </c>
      <c r="FJ338" s="2" t="n">
        <v>100</v>
      </c>
      <c r="FK338" s="2" t="n">
        <v>91.86</v>
      </c>
      <c r="FL338" s="2" t="n">
        <v>100</v>
      </c>
      <c r="FM338" s="2" t="n">
        <v>100</v>
      </c>
      <c r="FN338" s="2" t="n">
        <v>91.86</v>
      </c>
      <c r="FO338" s="2" t="n">
        <v>100</v>
      </c>
      <c r="FP338" s="2" t="n">
        <v>100</v>
      </c>
      <c r="FQ338" s="2" t="n">
        <v>91.86</v>
      </c>
    </row>
    <row r="339">
      <c r="A339" s="2" t="n">
        <v>4</v>
      </c>
      <c r="B339" s="2" t="inlineStr">
        <is>
          <t>16.01.01.01</t>
        </is>
      </c>
      <c r="C339" s="2" t="inlineStr">
        <is>
          <t>Escavação manual</t>
        </is>
      </c>
      <c r="D339" s="2" t="inlineStr">
        <is>
          <t>14/05/2025</t>
        </is>
      </c>
      <c r="E339" s="2" t="inlineStr">
        <is>
          <t>26/07/2027</t>
        </is>
      </c>
      <c r="F339" s="2" t="n">
        <v>446057.9526527628</v>
      </c>
      <c r="G339" s="2" t="n">
        <v>0</v>
      </c>
      <c r="H339" s="2" t="n">
        <v>446057.9526527628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11.02</v>
      </c>
      <c r="AK339" s="2" t="n">
        <v>11.02</v>
      </c>
      <c r="AL339" s="2" t="n">
        <v>8.74</v>
      </c>
      <c r="AM339" s="2" t="n">
        <v>27.98</v>
      </c>
      <c r="AN339" s="2" t="n">
        <v>27.98</v>
      </c>
      <c r="AO339" s="2" t="n">
        <v>31.43</v>
      </c>
      <c r="AP339" s="2" t="n">
        <v>47.48</v>
      </c>
      <c r="AQ339" s="2" t="n">
        <v>47.48</v>
      </c>
      <c r="AR339" s="2" t="n">
        <v>52</v>
      </c>
      <c r="AS339" s="2" t="n">
        <v>65.29000000000001</v>
      </c>
      <c r="AT339" s="2" t="n">
        <v>65.29000000000001</v>
      </c>
      <c r="AU339" s="2" t="n">
        <v>67.23</v>
      </c>
      <c r="AV339" s="2" t="n">
        <v>73.77</v>
      </c>
      <c r="AW339" s="2" t="n">
        <v>73.77</v>
      </c>
      <c r="AX339" s="2" t="n">
        <v>73.68000000000001</v>
      </c>
      <c r="AY339" s="2" t="n">
        <v>73.77</v>
      </c>
      <c r="AZ339" s="2" t="n">
        <v>73.77</v>
      </c>
      <c r="BA339" s="2" t="n">
        <v>73.62</v>
      </c>
      <c r="BB339" s="2" t="n">
        <v>73.77</v>
      </c>
      <c r="BC339" s="2" t="n">
        <v>73.77</v>
      </c>
      <c r="BD339" s="2" t="n">
        <v>73.77</v>
      </c>
      <c r="BE339" s="2" t="n">
        <v>73.77</v>
      </c>
      <c r="BF339" s="2" t="n">
        <v>73.77</v>
      </c>
      <c r="BG339" s="2" t="n">
        <v>73.77</v>
      </c>
      <c r="BH339" s="2" t="n">
        <v>73.77</v>
      </c>
      <c r="BI339" s="2" t="n">
        <v>73.77</v>
      </c>
      <c r="BJ339" s="2" t="n">
        <v>73.77</v>
      </c>
      <c r="BK339" s="2" t="n">
        <v>73.77</v>
      </c>
      <c r="BL339" s="2" t="n">
        <v>73.77</v>
      </c>
      <c r="BM339" s="2" t="n">
        <v>73.77</v>
      </c>
      <c r="BN339" s="2" t="n">
        <v>73.77</v>
      </c>
      <c r="BO339" s="2" t="n">
        <v>73.77</v>
      </c>
      <c r="BP339" s="2" t="n">
        <v>73.77</v>
      </c>
      <c r="BQ339" s="2" t="n">
        <v>73.77</v>
      </c>
      <c r="BR339" s="2" t="n">
        <v>73.77</v>
      </c>
      <c r="BS339" s="2" t="n">
        <v>73.77</v>
      </c>
      <c r="BT339" s="2" t="n">
        <v>73.77</v>
      </c>
      <c r="BU339" s="2" t="n">
        <v>73.77</v>
      </c>
      <c r="BV339" s="2" t="n">
        <v>73.77</v>
      </c>
      <c r="BW339" s="2" t="n">
        <v>81.64</v>
      </c>
      <c r="BX339" s="2" t="n">
        <v>81.64</v>
      </c>
      <c r="BY339" s="2" t="n">
        <v>75.58</v>
      </c>
      <c r="BZ339" s="2" t="n">
        <v>91.86</v>
      </c>
      <c r="CA339" s="2" t="n">
        <v>91.86</v>
      </c>
      <c r="CB339" s="2" t="n">
        <v>88.23999999999999</v>
      </c>
      <c r="CC339" s="2" t="n">
        <v>91.86</v>
      </c>
      <c r="CD339" s="2" t="n">
        <v>91.86</v>
      </c>
      <c r="CE339" s="2" t="n">
        <v>88.23999999999999</v>
      </c>
      <c r="CF339" s="2" t="n">
        <v>91.86</v>
      </c>
      <c r="CG339" s="2" t="n">
        <v>91.86</v>
      </c>
      <c r="CH339" s="2" t="n">
        <v>91.86</v>
      </c>
      <c r="CI339" s="2" t="n">
        <v>91.86</v>
      </c>
      <c r="CJ339" s="2" t="n">
        <v>91.86</v>
      </c>
      <c r="CK339" s="2" t="n">
        <v>91.86</v>
      </c>
      <c r="CL339" s="2" t="n">
        <v>91.86</v>
      </c>
      <c r="CM339" s="2" t="n">
        <v>91.86</v>
      </c>
      <c r="CN339" s="2" t="n">
        <v>91.86</v>
      </c>
      <c r="CO339" s="2" t="n">
        <v>91.86</v>
      </c>
      <c r="CP339" s="2" t="n">
        <v>91.86</v>
      </c>
      <c r="CQ339" s="2" t="n">
        <v>91.86</v>
      </c>
      <c r="CR339" s="2" t="n">
        <v>91.86</v>
      </c>
      <c r="CS339" s="2" t="n">
        <v>91.86</v>
      </c>
      <c r="CT339" s="2" t="n">
        <v>91.86</v>
      </c>
      <c r="CU339" s="2" t="n">
        <v>91.86</v>
      </c>
      <c r="CV339" s="2" t="n">
        <v>91.86</v>
      </c>
      <c r="CW339" s="2" t="n">
        <v>91.86</v>
      </c>
      <c r="CX339" s="2" t="n">
        <v>91.86</v>
      </c>
      <c r="CY339" s="2" t="n">
        <v>91.86</v>
      </c>
      <c r="CZ339" s="2" t="n">
        <v>91.86</v>
      </c>
      <c r="DA339" s="2" t="n">
        <v>92.59999999999999</v>
      </c>
      <c r="DB339" s="2" t="n">
        <v>92.59999999999999</v>
      </c>
      <c r="DC339" s="2" t="n">
        <v>91.86</v>
      </c>
      <c r="DD339" s="2" t="n">
        <v>95.06999999999999</v>
      </c>
      <c r="DE339" s="2" t="n">
        <v>95.06999999999999</v>
      </c>
      <c r="DF339" s="2" t="n">
        <v>91.86</v>
      </c>
      <c r="DG339" s="2" t="n">
        <v>97.78</v>
      </c>
      <c r="DH339" s="2" t="n">
        <v>97.78</v>
      </c>
      <c r="DI339" s="2" t="n">
        <v>91.86</v>
      </c>
      <c r="DJ339" s="2" t="n">
        <v>100</v>
      </c>
      <c r="DK339" s="2" t="n">
        <v>100</v>
      </c>
      <c r="DL339" s="2" t="n">
        <v>91.86</v>
      </c>
      <c r="DM339" s="2" t="n">
        <v>100</v>
      </c>
      <c r="DN339" s="2" t="n">
        <v>100</v>
      </c>
      <c r="DO339" s="2" t="n">
        <v>91.86</v>
      </c>
      <c r="DP339" s="2" t="n">
        <v>100</v>
      </c>
      <c r="DQ339" s="2" t="n">
        <v>100</v>
      </c>
      <c r="DR339" s="2" t="n">
        <v>91.86</v>
      </c>
      <c r="DS339" s="2" t="n">
        <v>100</v>
      </c>
      <c r="DT339" s="2" t="n">
        <v>100</v>
      </c>
      <c r="DU339" s="2" t="n">
        <v>91.86</v>
      </c>
      <c r="DV339" s="2" t="n">
        <v>100</v>
      </c>
      <c r="DW339" s="2" t="n">
        <v>100</v>
      </c>
      <c r="DX339" s="2" t="n">
        <v>91.86</v>
      </c>
      <c r="DY339" s="2" t="n">
        <v>100</v>
      </c>
      <c r="DZ339" s="2" t="n">
        <v>100</v>
      </c>
      <c r="EA339" s="2" t="n">
        <v>91.86</v>
      </c>
      <c r="EB339" s="2" t="n">
        <v>100</v>
      </c>
      <c r="EC339" s="2" t="n">
        <v>100</v>
      </c>
      <c r="ED339" s="2" t="n">
        <v>91.86</v>
      </c>
      <c r="EE339" s="2" t="n">
        <v>100</v>
      </c>
      <c r="EF339" s="2" t="n">
        <v>100</v>
      </c>
      <c r="EG339" s="2" t="n">
        <v>91.86</v>
      </c>
      <c r="EH339" s="2" t="n">
        <v>100</v>
      </c>
      <c r="EI339" s="2" t="n">
        <v>100</v>
      </c>
      <c r="EJ339" s="2" t="n">
        <v>91.86</v>
      </c>
      <c r="EK339" s="2" t="n">
        <v>100</v>
      </c>
      <c r="EL339" s="2" t="n">
        <v>100</v>
      </c>
      <c r="EM339" s="2" t="n">
        <v>91.86</v>
      </c>
      <c r="EN339" s="2" t="n">
        <v>100</v>
      </c>
      <c r="EO339" s="2" t="n">
        <v>100</v>
      </c>
      <c r="EP339" s="2" t="n">
        <v>91.86</v>
      </c>
      <c r="EQ339" s="2" t="n">
        <v>100</v>
      </c>
      <c r="ER339" s="2" t="n">
        <v>100</v>
      </c>
      <c r="ES339" s="2" t="n">
        <v>91.86</v>
      </c>
      <c r="ET339" s="2" t="n">
        <v>100</v>
      </c>
      <c r="EU339" s="2" t="n">
        <v>100</v>
      </c>
      <c r="EV339" s="2" t="n">
        <v>91.86</v>
      </c>
      <c r="EW339" s="2" t="n">
        <v>100</v>
      </c>
      <c r="EX339" s="2" t="n">
        <v>100</v>
      </c>
      <c r="EY339" s="2" t="n">
        <v>91.86</v>
      </c>
      <c r="EZ339" s="2" t="n">
        <v>100</v>
      </c>
      <c r="FA339" s="2" t="n">
        <v>100</v>
      </c>
      <c r="FB339" s="2" t="n">
        <v>91.86</v>
      </c>
      <c r="FC339" s="2" t="n">
        <v>100</v>
      </c>
      <c r="FD339" s="2" t="n">
        <v>100</v>
      </c>
      <c r="FE339" s="2" t="n">
        <v>91.86</v>
      </c>
      <c r="FF339" s="2" t="n">
        <v>100</v>
      </c>
      <c r="FG339" s="2" t="n">
        <v>100</v>
      </c>
      <c r="FH339" s="2" t="n">
        <v>91.86</v>
      </c>
      <c r="FI339" s="2" t="n">
        <v>100</v>
      </c>
      <c r="FJ339" s="2" t="n">
        <v>100</v>
      </c>
      <c r="FK339" s="2" t="n">
        <v>91.86</v>
      </c>
      <c r="FL339" s="2" t="n">
        <v>100</v>
      </c>
      <c r="FM339" s="2" t="n">
        <v>100</v>
      </c>
      <c r="FN339" s="2" t="n">
        <v>91.86</v>
      </c>
      <c r="FO339" s="2" t="n">
        <v>100</v>
      </c>
      <c r="FP339" s="2" t="n">
        <v>100</v>
      </c>
      <c r="FQ339" s="2" t="n">
        <v>91.86</v>
      </c>
    </row>
    <row r="340">
      <c r="A340" s="2" t="n">
        <v>4</v>
      </c>
      <c r="B340" s="2" t="inlineStr">
        <is>
          <t>16.01.01.02</t>
        </is>
      </c>
      <c r="C340" s="2" t="inlineStr">
        <is>
          <t>Apiloamento</t>
        </is>
      </c>
      <c r="D340" s="2" t="inlineStr">
        <is>
          <t>14/05/2025</t>
        </is>
      </c>
      <c r="E340" s="2" t="inlineStr">
        <is>
          <t>26/07/2027</t>
        </is>
      </c>
      <c r="F340" s="2" t="n">
        <v>18997.26183384209</v>
      </c>
      <c r="G340" s="2" t="n">
        <v>0</v>
      </c>
      <c r="H340" s="2" t="n">
        <v>18997.26183384209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11.02</v>
      </c>
      <c r="AK340" s="2" t="n">
        <v>11.02</v>
      </c>
      <c r="AL340" s="2" t="n">
        <v>8.74</v>
      </c>
      <c r="AM340" s="2" t="n">
        <v>27.98</v>
      </c>
      <c r="AN340" s="2" t="n">
        <v>27.98</v>
      </c>
      <c r="AO340" s="2" t="n">
        <v>31.43</v>
      </c>
      <c r="AP340" s="2" t="n">
        <v>47.48</v>
      </c>
      <c r="AQ340" s="2" t="n">
        <v>47.48</v>
      </c>
      <c r="AR340" s="2" t="n">
        <v>52</v>
      </c>
      <c r="AS340" s="2" t="n">
        <v>65.29000000000001</v>
      </c>
      <c r="AT340" s="2" t="n">
        <v>65.29000000000001</v>
      </c>
      <c r="AU340" s="2" t="n">
        <v>67.23</v>
      </c>
      <c r="AV340" s="2" t="n">
        <v>73.77</v>
      </c>
      <c r="AW340" s="2" t="n">
        <v>73.77</v>
      </c>
      <c r="AX340" s="2" t="n">
        <v>73.68000000000001</v>
      </c>
      <c r="AY340" s="2" t="n">
        <v>73.77</v>
      </c>
      <c r="AZ340" s="2" t="n">
        <v>73.77</v>
      </c>
      <c r="BA340" s="2" t="n">
        <v>73.62</v>
      </c>
      <c r="BB340" s="2" t="n">
        <v>73.77</v>
      </c>
      <c r="BC340" s="2" t="n">
        <v>73.77</v>
      </c>
      <c r="BD340" s="2" t="n">
        <v>73.77</v>
      </c>
      <c r="BE340" s="2" t="n">
        <v>73.77</v>
      </c>
      <c r="BF340" s="2" t="n">
        <v>73.77</v>
      </c>
      <c r="BG340" s="2" t="n">
        <v>73.77</v>
      </c>
      <c r="BH340" s="2" t="n">
        <v>73.77</v>
      </c>
      <c r="BI340" s="2" t="n">
        <v>73.77</v>
      </c>
      <c r="BJ340" s="2" t="n">
        <v>73.77</v>
      </c>
      <c r="BK340" s="2" t="n">
        <v>73.77</v>
      </c>
      <c r="BL340" s="2" t="n">
        <v>73.77</v>
      </c>
      <c r="BM340" s="2" t="n">
        <v>73.77</v>
      </c>
      <c r="BN340" s="2" t="n">
        <v>73.77</v>
      </c>
      <c r="BO340" s="2" t="n">
        <v>73.77</v>
      </c>
      <c r="BP340" s="2" t="n">
        <v>73.77</v>
      </c>
      <c r="BQ340" s="2" t="n">
        <v>73.77</v>
      </c>
      <c r="BR340" s="2" t="n">
        <v>73.77</v>
      </c>
      <c r="BS340" s="2" t="n">
        <v>73.77</v>
      </c>
      <c r="BT340" s="2" t="n">
        <v>73.77</v>
      </c>
      <c r="BU340" s="2" t="n">
        <v>73.77</v>
      </c>
      <c r="BV340" s="2" t="n">
        <v>73.77</v>
      </c>
      <c r="BW340" s="2" t="n">
        <v>81.64</v>
      </c>
      <c r="BX340" s="2" t="n">
        <v>81.64</v>
      </c>
      <c r="BY340" s="2" t="n">
        <v>75.58</v>
      </c>
      <c r="BZ340" s="2" t="n">
        <v>91.86</v>
      </c>
      <c r="CA340" s="2" t="n">
        <v>91.86</v>
      </c>
      <c r="CB340" s="2" t="n">
        <v>88.23999999999999</v>
      </c>
      <c r="CC340" s="2" t="n">
        <v>91.86</v>
      </c>
      <c r="CD340" s="2" t="n">
        <v>91.86</v>
      </c>
      <c r="CE340" s="2" t="n">
        <v>88.23999999999999</v>
      </c>
      <c r="CF340" s="2" t="n">
        <v>91.86</v>
      </c>
      <c r="CG340" s="2" t="n">
        <v>91.86</v>
      </c>
      <c r="CH340" s="2" t="n">
        <v>91.86</v>
      </c>
      <c r="CI340" s="2" t="n">
        <v>91.86</v>
      </c>
      <c r="CJ340" s="2" t="n">
        <v>91.86</v>
      </c>
      <c r="CK340" s="2" t="n">
        <v>91.86</v>
      </c>
      <c r="CL340" s="2" t="n">
        <v>91.86</v>
      </c>
      <c r="CM340" s="2" t="n">
        <v>91.86</v>
      </c>
      <c r="CN340" s="2" t="n">
        <v>91.86</v>
      </c>
      <c r="CO340" s="2" t="n">
        <v>91.86</v>
      </c>
      <c r="CP340" s="2" t="n">
        <v>91.86</v>
      </c>
      <c r="CQ340" s="2" t="n">
        <v>91.86</v>
      </c>
      <c r="CR340" s="2" t="n">
        <v>91.86</v>
      </c>
      <c r="CS340" s="2" t="n">
        <v>91.86</v>
      </c>
      <c r="CT340" s="2" t="n">
        <v>91.86</v>
      </c>
      <c r="CU340" s="2" t="n">
        <v>91.86</v>
      </c>
      <c r="CV340" s="2" t="n">
        <v>91.86</v>
      </c>
      <c r="CW340" s="2" t="n">
        <v>91.86</v>
      </c>
      <c r="CX340" s="2" t="n">
        <v>91.86</v>
      </c>
      <c r="CY340" s="2" t="n">
        <v>91.86</v>
      </c>
      <c r="CZ340" s="2" t="n">
        <v>91.86</v>
      </c>
      <c r="DA340" s="2" t="n">
        <v>92.59999999999999</v>
      </c>
      <c r="DB340" s="2" t="n">
        <v>92.59999999999999</v>
      </c>
      <c r="DC340" s="2" t="n">
        <v>91.86</v>
      </c>
      <c r="DD340" s="2" t="n">
        <v>95.06999999999999</v>
      </c>
      <c r="DE340" s="2" t="n">
        <v>95.06999999999999</v>
      </c>
      <c r="DF340" s="2" t="n">
        <v>91.86</v>
      </c>
      <c r="DG340" s="2" t="n">
        <v>97.78</v>
      </c>
      <c r="DH340" s="2" t="n">
        <v>97.78</v>
      </c>
      <c r="DI340" s="2" t="n">
        <v>91.86</v>
      </c>
      <c r="DJ340" s="2" t="n">
        <v>100</v>
      </c>
      <c r="DK340" s="2" t="n">
        <v>100</v>
      </c>
      <c r="DL340" s="2" t="n">
        <v>91.86</v>
      </c>
      <c r="DM340" s="2" t="n">
        <v>100</v>
      </c>
      <c r="DN340" s="2" t="n">
        <v>100</v>
      </c>
      <c r="DO340" s="2" t="n">
        <v>91.86</v>
      </c>
      <c r="DP340" s="2" t="n">
        <v>100</v>
      </c>
      <c r="DQ340" s="2" t="n">
        <v>100</v>
      </c>
      <c r="DR340" s="2" t="n">
        <v>91.86</v>
      </c>
      <c r="DS340" s="2" t="n">
        <v>100</v>
      </c>
      <c r="DT340" s="2" t="n">
        <v>100</v>
      </c>
      <c r="DU340" s="2" t="n">
        <v>91.86</v>
      </c>
      <c r="DV340" s="2" t="n">
        <v>100</v>
      </c>
      <c r="DW340" s="2" t="n">
        <v>100</v>
      </c>
      <c r="DX340" s="2" t="n">
        <v>91.86</v>
      </c>
      <c r="DY340" s="2" t="n">
        <v>100</v>
      </c>
      <c r="DZ340" s="2" t="n">
        <v>100</v>
      </c>
      <c r="EA340" s="2" t="n">
        <v>91.86</v>
      </c>
      <c r="EB340" s="2" t="n">
        <v>100</v>
      </c>
      <c r="EC340" s="2" t="n">
        <v>100</v>
      </c>
      <c r="ED340" s="2" t="n">
        <v>91.86</v>
      </c>
      <c r="EE340" s="2" t="n">
        <v>100</v>
      </c>
      <c r="EF340" s="2" t="n">
        <v>100</v>
      </c>
      <c r="EG340" s="2" t="n">
        <v>91.86</v>
      </c>
      <c r="EH340" s="2" t="n">
        <v>100</v>
      </c>
      <c r="EI340" s="2" t="n">
        <v>100</v>
      </c>
      <c r="EJ340" s="2" t="n">
        <v>91.86</v>
      </c>
      <c r="EK340" s="2" t="n">
        <v>100</v>
      </c>
      <c r="EL340" s="2" t="n">
        <v>100</v>
      </c>
      <c r="EM340" s="2" t="n">
        <v>91.86</v>
      </c>
      <c r="EN340" s="2" t="n">
        <v>100</v>
      </c>
      <c r="EO340" s="2" t="n">
        <v>100</v>
      </c>
      <c r="EP340" s="2" t="n">
        <v>91.86</v>
      </c>
      <c r="EQ340" s="2" t="n">
        <v>100</v>
      </c>
      <c r="ER340" s="2" t="n">
        <v>100</v>
      </c>
      <c r="ES340" s="2" t="n">
        <v>91.86</v>
      </c>
      <c r="ET340" s="2" t="n">
        <v>100</v>
      </c>
      <c r="EU340" s="2" t="n">
        <v>100</v>
      </c>
      <c r="EV340" s="2" t="n">
        <v>91.86</v>
      </c>
      <c r="EW340" s="2" t="n">
        <v>100</v>
      </c>
      <c r="EX340" s="2" t="n">
        <v>100</v>
      </c>
      <c r="EY340" s="2" t="n">
        <v>91.86</v>
      </c>
      <c r="EZ340" s="2" t="n">
        <v>100</v>
      </c>
      <c r="FA340" s="2" t="n">
        <v>100</v>
      </c>
      <c r="FB340" s="2" t="n">
        <v>91.86</v>
      </c>
      <c r="FC340" s="2" t="n">
        <v>100</v>
      </c>
      <c r="FD340" s="2" t="n">
        <v>100</v>
      </c>
      <c r="FE340" s="2" t="n">
        <v>91.86</v>
      </c>
      <c r="FF340" s="2" t="n">
        <v>100</v>
      </c>
      <c r="FG340" s="2" t="n">
        <v>100</v>
      </c>
      <c r="FH340" s="2" t="n">
        <v>91.86</v>
      </c>
      <c r="FI340" s="2" t="n">
        <v>100</v>
      </c>
      <c r="FJ340" s="2" t="n">
        <v>100</v>
      </c>
      <c r="FK340" s="2" t="n">
        <v>91.86</v>
      </c>
      <c r="FL340" s="2" t="n">
        <v>100</v>
      </c>
      <c r="FM340" s="2" t="n">
        <v>100</v>
      </c>
      <c r="FN340" s="2" t="n">
        <v>91.86</v>
      </c>
      <c r="FO340" s="2" t="n">
        <v>100</v>
      </c>
      <c r="FP340" s="2" t="n">
        <v>100</v>
      </c>
      <c r="FQ340" s="2" t="n">
        <v>91.86</v>
      </c>
    </row>
    <row r="341">
      <c r="A341" s="2" t="n">
        <v>4</v>
      </c>
      <c r="B341" s="2" t="inlineStr">
        <is>
          <t>16.01.01.03</t>
        </is>
      </c>
      <c r="C341" s="2" t="inlineStr">
        <is>
          <t>Formas para infra estrutura, compensado resinado 12mm, reaproveitamento 1,5x.</t>
        </is>
      </c>
      <c r="D341" s="2" t="inlineStr">
        <is>
          <t>14/05/2025</t>
        </is>
      </c>
      <c r="E341" s="2" t="inlineStr">
        <is>
          <t>26/07/2027</t>
        </is>
      </c>
      <c r="F341" s="2" t="n">
        <v>80008.71282546398</v>
      </c>
      <c r="G341" s="2" t="n">
        <v>0</v>
      </c>
      <c r="H341" s="2" t="n">
        <v>80008.71282546398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11.02</v>
      </c>
      <c r="AK341" s="2" t="n">
        <v>11.02</v>
      </c>
      <c r="AL341" s="2" t="n">
        <v>8.74</v>
      </c>
      <c r="AM341" s="2" t="n">
        <v>27.98</v>
      </c>
      <c r="AN341" s="2" t="n">
        <v>27.98</v>
      </c>
      <c r="AO341" s="2" t="n">
        <v>31.43</v>
      </c>
      <c r="AP341" s="2" t="n">
        <v>47.48</v>
      </c>
      <c r="AQ341" s="2" t="n">
        <v>47.48</v>
      </c>
      <c r="AR341" s="2" t="n">
        <v>52</v>
      </c>
      <c r="AS341" s="2" t="n">
        <v>65.29000000000001</v>
      </c>
      <c r="AT341" s="2" t="n">
        <v>65.29000000000001</v>
      </c>
      <c r="AU341" s="2" t="n">
        <v>67.23</v>
      </c>
      <c r="AV341" s="2" t="n">
        <v>73.77</v>
      </c>
      <c r="AW341" s="2" t="n">
        <v>73.77</v>
      </c>
      <c r="AX341" s="2" t="n">
        <v>73.68000000000001</v>
      </c>
      <c r="AY341" s="2" t="n">
        <v>73.77</v>
      </c>
      <c r="AZ341" s="2" t="n">
        <v>73.77</v>
      </c>
      <c r="BA341" s="2" t="n">
        <v>73.62</v>
      </c>
      <c r="BB341" s="2" t="n">
        <v>73.77</v>
      </c>
      <c r="BC341" s="2" t="n">
        <v>73.77</v>
      </c>
      <c r="BD341" s="2" t="n">
        <v>73.77</v>
      </c>
      <c r="BE341" s="2" t="n">
        <v>73.77</v>
      </c>
      <c r="BF341" s="2" t="n">
        <v>73.77</v>
      </c>
      <c r="BG341" s="2" t="n">
        <v>73.77</v>
      </c>
      <c r="BH341" s="2" t="n">
        <v>73.77</v>
      </c>
      <c r="BI341" s="2" t="n">
        <v>73.77</v>
      </c>
      <c r="BJ341" s="2" t="n">
        <v>73.77</v>
      </c>
      <c r="BK341" s="2" t="n">
        <v>73.77</v>
      </c>
      <c r="BL341" s="2" t="n">
        <v>73.77</v>
      </c>
      <c r="BM341" s="2" t="n">
        <v>73.77</v>
      </c>
      <c r="BN341" s="2" t="n">
        <v>73.77</v>
      </c>
      <c r="BO341" s="2" t="n">
        <v>73.77</v>
      </c>
      <c r="BP341" s="2" t="n">
        <v>73.77</v>
      </c>
      <c r="BQ341" s="2" t="n">
        <v>73.77</v>
      </c>
      <c r="BR341" s="2" t="n">
        <v>73.77</v>
      </c>
      <c r="BS341" s="2" t="n">
        <v>73.77</v>
      </c>
      <c r="BT341" s="2" t="n">
        <v>73.77</v>
      </c>
      <c r="BU341" s="2" t="n">
        <v>73.77</v>
      </c>
      <c r="BV341" s="2" t="n">
        <v>73.77</v>
      </c>
      <c r="BW341" s="2" t="n">
        <v>81.64</v>
      </c>
      <c r="BX341" s="2" t="n">
        <v>81.64</v>
      </c>
      <c r="BY341" s="2" t="n">
        <v>75.58</v>
      </c>
      <c r="BZ341" s="2" t="n">
        <v>91.86</v>
      </c>
      <c r="CA341" s="2" t="n">
        <v>91.86</v>
      </c>
      <c r="CB341" s="2" t="n">
        <v>88.23999999999999</v>
      </c>
      <c r="CC341" s="2" t="n">
        <v>91.86</v>
      </c>
      <c r="CD341" s="2" t="n">
        <v>91.86</v>
      </c>
      <c r="CE341" s="2" t="n">
        <v>88.23999999999999</v>
      </c>
      <c r="CF341" s="2" t="n">
        <v>91.86</v>
      </c>
      <c r="CG341" s="2" t="n">
        <v>91.86</v>
      </c>
      <c r="CH341" s="2" t="n">
        <v>91.86</v>
      </c>
      <c r="CI341" s="2" t="n">
        <v>91.86</v>
      </c>
      <c r="CJ341" s="2" t="n">
        <v>91.86</v>
      </c>
      <c r="CK341" s="2" t="n">
        <v>91.86</v>
      </c>
      <c r="CL341" s="2" t="n">
        <v>91.86</v>
      </c>
      <c r="CM341" s="2" t="n">
        <v>91.86</v>
      </c>
      <c r="CN341" s="2" t="n">
        <v>91.86</v>
      </c>
      <c r="CO341" s="2" t="n">
        <v>91.86</v>
      </c>
      <c r="CP341" s="2" t="n">
        <v>91.86</v>
      </c>
      <c r="CQ341" s="2" t="n">
        <v>91.86</v>
      </c>
      <c r="CR341" s="2" t="n">
        <v>91.86</v>
      </c>
      <c r="CS341" s="2" t="n">
        <v>91.86</v>
      </c>
      <c r="CT341" s="2" t="n">
        <v>91.86</v>
      </c>
      <c r="CU341" s="2" t="n">
        <v>91.86</v>
      </c>
      <c r="CV341" s="2" t="n">
        <v>91.86</v>
      </c>
      <c r="CW341" s="2" t="n">
        <v>91.86</v>
      </c>
      <c r="CX341" s="2" t="n">
        <v>91.86</v>
      </c>
      <c r="CY341" s="2" t="n">
        <v>91.86</v>
      </c>
      <c r="CZ341" s="2" t="n">
        <v>91.86</v>
      </c>
      <c r="DA341" s="2" t="n">
        <v>92.59999999999999</v>
      </c>
      <c r="DB341" s="2" t="n">
        <v>92.59999999999999</v>
      </c>
      <c r="DC341" s="2" t="n">
        <v>91.86</v>
      </c>
      <c r="DD341" s="2" t="n">
        <v>95.06999999999999</v>
      </c>
      <c r="DE341" s="2" t="n">
        <v>95.06999999999999</v>
      </c>
      <c r="DF341" s="2" t="n">
        <v>91.86</v>
      </c>
      <c r="DG341" s="2" t="n">
        <v>97.78</v>
      </c>
      <c r="DH341" s="2" t="n">
        <v>97.78</v>
      </c>
      <c r="DI341" s="2" t="n">
        <v>91.86</v>
      </c>
      <c r="DJ341" s="2" t="n">
        <v>100</v>
      </c>
      <c r="DK341" s="2" t="n">
        <v>100</v>
      </c>
      <c r="DL341" s="2" t="n">
        <v>91.86</v>
      </c>
      <c r="DM341" s="2" t="n">
        <v>100</v>
      </c>
      <c r="DN341" s="2" t="n">
        <v>100</v>
      </c>
      <c r="DO341" s="2" t="n">
        <v>91.86</v>
      </c>
      <c r="DP341" s="2" t="n">
        <v>100</v>
      </c>
      <c r="DQ341" s="2" t="n">
        <v>100</v>
      </c>
      <c r="DR341" s="2" t="n">
        <v>91.86</v>
      </c>
      <c r="DS341" s="2" t="n">
        <v>100</v>
      </c>
      <c r="DT341" s="2" t="n">
        <v>100</v>
      </c>
      <c r="DU341" s="2" t="n">
        <v>91.86</v>
      </c>
      <c r="DV341" s="2" t="n">
        <v>100</v>
      </c>
      <c r="DW341" s="2" t="n">
        <v>100</v>
      </c>
      <c r="DX341" s="2" t="n">
        <v>91.86</v>
      </c>
      <c r="DY341" s="2" t="n">
        <v>100</v>
      </c>
      <c r="DZ341" s="2" t="n">
        <v>100</v>
      </c>
      <c r="EA341" s="2" t="n">
        <v>91.86</v>
      </c>
      <c r="EB341" s="2" t="n">
        <v>100</v>
      </c>
      <c r="EC341" s="2" t="n">
        <v>100</v>
      </c>
      <c r="ED341" s="2" t="n">
        <v>91.86</v>
      </c>
      <c r="EE341" s="2" t="n">
        <v>100</v>
      </c>
      <c r="EF341" s="2" t="n">
        <v>100</v>
      </c>
      <c r="EG341" s="2" t="n">
        <v>91.86</v>
      </c>
      <c r="EH341" s="2" t="n">
        <v>100</v>
      </c>
      <c r="EI341" s="2" t="n">
        <v>100</v>
      </c>
      <c r="EJ341" s="2" t="n">
        <v>91.86</v>
      </c>
      <c r="EK341" s="2" t="n">
        <v>100</v>
      </c>
      <c r="EL341" s="2" t="n">
        <v>100</v>
      </c>
      <c r="EM341" s="2" t="n">
        <v>91.86</v>
      </c>
      <c r="EN341" s="2" t="n">
        <v>100</v>
      </c>
      <c r="EO341" s="2" t="n">
        <v>100</v>
      </c>
      <c r="EP341" s="2" t="n">
        <v>91.86</v>
      </c>
      <c r="EQ341" s="2" t="n">
        <v>100</v>
      </c>
      <c r="ER341" s="2" t="n">
        <v>100</v>
      </c>
      <c r="ES341" s="2" t="n">
        <v>91.86</v>
      </c>
      <c r="ET341" s="2" t="n">
        <v>100</v>
      </c>
      <c r="EU341" s="2" t="n">
        <v>100</v>
      </c>
      <c r="EV341" s="2" t="n">
        <v>91.86</v>
      </c>
      <c r="EW341" s="2" t="n">
        <v>100</v>
      </c>
      <c r="EX341" s="2" t="n">
        <v>100</v>
      </c>
      <c r="EY341" s="2" t="n">
        <v>91.86</v>
      </c>
      <c r="EZ341" s="2" t="n">
        <v>100</v>
      </c>
      <c r="FA341" s="2" t="n">
        <v>100</v>
      </c>
      <c r="FB341" s="2" t="n">
        <v>91.86</v>
      </c>
      <c r="FC341" s="2" t="n">
        <v>100</v>
      </c>
      <c r="FD341" s="2" t="n">
        <v>100</v>
      </c>
      <c r="FE341" s="2" t="n">
        <v>91.86</v>
      </c>
      <c r="FF341" s="2" t="n">
        <v>100</v>
      </c>
      <c r="FG341" s="2" t="n">
        <v>100</v>
      </c>
      <c r="FH341" s="2" t="n">
        <v>91.86</v>
      </c>
      <c r="FI341" s="2" t="n">
        <v>100</v>
      </c>
      <c r="FJ341" s="2" t="n">
        <v>100</v>
      </c>
      <c r="FK341" s="2" t="n">
        <v>91.86</v>
      </c>
      <c r="FL341" s="2" t="n">
        <v>100</v>
      </c>
      <c r="FM341" s="2" t="n">
        <v>100</v>
      </c>
      <c r="FN341" s="2" t="n">
        <v>91.86</v>
      </c>
      <c r="FO341" s="2" t="n">
        <v>100</v>
      </c>
      <c r="FP341" s="2" t="n">
        <v>100</v>
      </c>
      <c r="FQ341" s="2" t="n">
        <v>91.86</v>
      </c>
    </row>
    <row r="342">
      <c r="A342" s="2" t="n">
        <v>4</v>
      </c>
      <c r="B342" s="2" t="inlineStr">
        <is>
          <t>16.01.01.04</t>
        </is>
      </c>
      <c r="C342" s="2" t="inlineStr">
        <is>
          <t>Armadura Ca-50 adquirido cortado e dobrado, montagem e posicionamento no canteiro</t>
        </is>
      </c>
      <c r="D342" s="2" t="inlineStr">
        <is>
          <t>14/05/2025</t>
        </is>
      </c>
      <c r="E342" s="2" t="inlineStr">
        <is>
          <t>26/07/2027</t>
        </is>
      </c>
      <c r="F342" s="2" t="n">
        <v>1116924.345</v>
      </c>
      <c r="G342" s="2" t="n">
        <v>0</v>
      </c>
      <c r="H342" s="2" t="n">
        <v>1116924.345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11.02</v>
      </c>
      <c r="AK342" s="2" t="n">
        <v>11.02</v>
      </c>
      <c r="AL342" s="2" t="n">
        <v>8.74</v>
      </c>
      <c r="AM342" s="2" t="n">
        <v>27.98</v>
      </c>
      <c r="AN342" s="2" t="n">
        <v>27.98</v>
      </c>
      <c r="AO342" s="2" t="n">
        <v>31.43</v>
      </c>
      <c r="AP342" s="2" t="n">
        <v>47.48</v>
      </c>
      <c r="AQ342" s="2" t="n">
        <v>47.48</v>
      </c>
      <c r="AR342" s="2" t="n">
        <v>52</v>
      </c>
      <c r="AS342" s="2" t="n">
        <v>65.29000000000001</v>
      </c>
      <c r="AT342" s="2" t="n">
        <v>65.29000000000001</v>
      </c>
      <c r="AU342" s="2" t="n">
        <v>67.23</v>
      </c>
      <c r="AV342" s="2" t="n">
        <v>73.77</v>
      </c>
      <c r="AW342" s="2" t="n">
        <v>73.77</v>
      </c>
      <c r="AX342" s="2" t="n">
        <v>73.68000000000001</v>
      </c>
      <c r="AY342" s="2" t="n">
        <v>73.77</v>
      </c>
      <c r="AZ342" s="2" t="n">
        <v>73.77</v>
      </c>
      <c r="BA342" s="2" t="n">
        <v>73.62</v>
      </c>
      <c r="BB342" s="2" t="n">
        <v>73.77</v>
      </c>
      <c r="BC342" s="2" t="n">
        <v>73.77</v>
      </c>
      <c r="BD342" s="2" t="n">
        <v>73.77</v>
      </c>
      <c r="BE342" s="2" t="n">
        <v>73.77</v>
      </c>
      <c r="BF342" s="2" t="n">
        <v>73.77</v>
      </c>
      <c r="BG342" s="2" t="n">
        <v>73.77</v>
      </c>
      <c r="BH342" s="2" t="n">
        <v>73.77</v>
      </c>
      <c r="BI342" s="2" t="n">
        <v>73.77</v>
      </c>
      <c r="BJ342" s="2" t="n">
        <v>73.77</v>
      </c>
      <c r="BK342" s="2" t="n">
        <v>73.77</v>
      </c>
      <c r="BL342" s="2" t="n">
        <v>73.77</v>
      </c>
      <c r="BM342" s="2" t="n">
        <v>73.77</v>
      </c>
      <c r="BN342" s="2" t="n">
        <v>73.77</v>
      </c>
      <c r="BO342" s="2" t="n">
        <v>73.77</v>
      </c>
      <c r="BP342" s="2" t="n">
        <v>73.77</v>
      </c>
      <c r="BQ342" s="2" t="n">
        <v>73.77</v>
      </c>
      <c r="BR342" s="2" t="n">
        <v>73.77</v>
      </c>
      <c r="BS342" s="2" t="n">
        <v>73.77</v>
      </c>
      <c r="BT342" s="2" t="n">
        <v>73.77</v>
      </c>
      <c r="BU342" s="2" t="n">
        <v>73.77</v>
      </c>
      <c r="BV342" s="2" t="n">
        <v>73.77</v>
      </c>
      <c r="BW342" s="2" t="n">
        <v>81.64</v>
      </c>
      <c r="BX342" s="2" t="n">
        <v>81.64</v>
      </c>
      <c r="BY342" s="2" t="n">
        <v>75.58</v>
      </c>
      <c r="BZ342" s="2" t="n">
        <v>91.86</v>
      </c>
      <c r="CA342" s="2" t="n">
        <v>91.86</v>
      </c>
      <c r="CB342" s="2" t="n">
        <v>88.23999999999999</v>
      </c>
      <c r="CC342" s="2" t="n">
        <v>91.86</v>
      </c>
      <c r="CD342" s="2" t="n">
        <v>91.86</v>
      </c>
      <c r="CE342" s="2" t="n">
        <v>88.23999999999999</v>
      </c>
      <c r="CF342" s="2" t="n">
        <v>91.86</v>
      </c>
      <c r="CG342" s="2" t="n">
        <v>91.86</v>
      </c>
      <c r="CH342" s="2" t="n">
        <v>91.86</v>
      </c>
      <c r="CI342" s="2" t="n">
        <v>91.86</v>
      </c>
      <c r="CJ342" s="2" t="n">
        <v>91.86</v>
      </c>
      <c r="CK342" s="2" t="n">
        <v>91.86</v>
      </c>
      <c r="CL342" s="2" t="n">
        <v>91.86</v>
      </c>
      <c r="CM342" s="2" t="n">
        <v>91.86</v>
      </c>
      <c r="CN342" s="2" t="n">
        <v>91.86</v>
      </c>
      <c r="CO342" s="2" t="n">
        <v>91.86</v>
      </c>
      <c r="CP342" s="2" t="n">
        <v>91.86</v>
      </c>
      <c r="CQ342" s="2" t="n">
        <v>91.86</v>
      </c>
      <c r="CR342" s="2" t="n">
        <v>91.86</v>
      </c>
      <c r="CS342" s="2" t="n">
        <v>91.86</v>
      </c>
      <c r="CT342" s="2" t="n">
        <v>91.86</v>
      </c>
      <c r="CU342" s="2" t="n">
        <v>91.86</v>
      </c>
      <c r="CV342" s="2" t="n">
        <v>91.86</v>
      </c>
      <c r="CW342" s="2" t="n">
        <v>91.86</v>
      </c>
      <c r="CX342" s="2" t="n">
        <v>91.86</v>
      </c>
      <c r="CY342" s="2" t="n">
        <v>91.86</v>
      </c>
      <c r="CZ342" s="2" t="n">
        <v>91.86</v>
      </c>
      <c r="DA342" s="2" t="n">
        <v>92.59999999999999</v>
      </c>
      <c r="DB342" s="2" t="n">
        <v>92.59999999999999</v>
      </c>
      <c r="DC342" s="2" t="n">
        <v>91.86</v>
      </c>
      <c r="DD342" s="2" t="n">
        <v>95.06999999999999</v>
      </c>
      <c r="DE342" s="2" t="n">
        <v>95.06999999999999</v>
      </c>
      <c r="DF342" s="2" t="n">
        <v>91.86</v>
      </c>
      <c r="DG342" s="2" t="n">
        <v>97.78</v>
      </c>
      <c r="DH342" s="2" t="n">
        <v>97.78</v>
      </c>
      <c r="DI342" s="2" t="n">
        <v>91.86</v>
      </c>
      <c r="DJ342" s="2" t="n">
        <v>100</v>
      </c>
      <c r="DK342" s="2" t="n">
        <v>100</v>
      </c>
      <c r="DL342" s="2" t="n">
        <v>91.86</v>
      </c>
      <c r="DM342" s="2" t="n">
        <v>100</v>
      </c>
      <c r="DN342" s="2" t="n">
        <v>100</v>
      </c>
      <c r="DO342" s="2" t="n">
        <v>91.86</v>
      </c>
      <c r="DP342" s="2" t="n">
        <v>100</v>
      </c>
      <c r="DQ342" s="2" t="n">
        <v>100</v>
      </c>
      <c r="DR342" s="2" t="n">
        <v>91.86</v>
      </c>
      <c r="DS342" s="2" t="n">
        <v>100</v>
      </c>
      <c r="DT342" s="2" t="n">
        <v>100</v>
      </c>
      <c r="DU342" s="2" t="n">
        <v>91.86</v>
      </c>
      <c r="DV342" s="2" t="n">
        <v>100</v>
      </c>
      <c r="DW342" s="2" t="n">
        <v>100</v>
      </c>
      <c r="DX342" s="2" t="n">
        <v>91.86</v>
      </c>
      <c r="DY342" s="2" t="n">
        <v>100</v>
      </c>
      <c r="DZ342" s="2" t="n">
        <v>100</v>
      </c>
      <c r="EA342" s="2" t="n">
        <v>91.86</v>
      </c>
      <c r="EB342" s="2" t="n">
        <v>100</v>
      </c>
      <c r="EC342" s="2" t="n">
        <v>100</v>
      </c>
      <c r="ED342" s="2" t="n">
        <v>91.86</v>
      </c>
      <c r="EE342" s="2" t="n">
        <v>100</v>
      </c>
      <c r="EF342" s="2" t="n">
        <v>100</v>
      </c>
      <c r="EG342" s="2" t="n">
        <v>91.86</v>
      </c>
      <c r="EH342" s="2" t="n">
        <v>100</v>
      </c>
      <c r="EI342" s="2" t="n">
        <v>100</v>
      </c>
      <c r="EJ342" s="2" t="n">
        <v>91.86</v>
      </c>
      <c r="EK342" s="2" t="n">
        <v>100</v>
      </c>
      <c r="EL342" s="2" t="n">
        <v>100</v>
      </c>
      <c r="EM342" s="2" t="n">
        <v>91.86</v>
      </c>
      <c r="EN342" s="2" t="n">
        <v>100</v>
      </c>
      <c r="EO342" s="2" t="n">
        <v>100</v>
      </c>
      <c r="EP342" s="2" t="n">
        <v>91.86</v>
      </c>
      <c r="EQ342" s="2" t="n">
        <v>100</v>
      </c>
      <c r="ER342" s="2" t="n">
        <v>100</v>
      </c>
      <c r="ES342" s="2" t="n">
        <v>91.86</v>
      </c>
      <c r="ET342" s="2" t="n">
        <v>100</v>
      </c>
      <c r="EU342" s="2" t="n">
        <v>100</v>
      </c>
      <c r="EV342" s="2" t="n">
        <v>91.86</v>
      </c>
      <c r="EW342" s="2" t="n">
        <v>100</v>
      </c>
      <c r="EX342" s="2" t="n">
        <v>100</v>
      </c>
      <c r="EY342" s="2" t="n">
        <v>91.86</v>
      </c>
      <c r="EZ342" s="2" t="n">
        <v>100</v>
      </c>
      <c r="FA342" s="2" t="n">
        <v>100</v>
      </c>
      <c r="FB342" s="2" t="n">
        <v>91.86</v>
      </c>
      <c r="FC342" s="2" t="n">
        <v>100</v>
      </c>
      <c r="FD342" s="2" t="n">
        <v>100</v>
      </c>
      <c r="FE342" s="2" t="n">
        <v>91.86</v>
      </c>
      <c r="FF342" s="2" t="n">
        <v>100</v>
      </c>
      <c r="FG342" s="2" t="n">
        <v>100</v>
      </c>
      <c r="FH342" s="2" t="n">
        <v>91.86</v>
      </c>
      <c r="FI342" s="2" t="n">
        <v>100</v>
      </c>
      <c r="FJ342" s="2" t="n">
        <v>100</v>
      </c>
      <c r="FK342" s="2" t="n">
        <v>91.86</v>
      </c>
      <c r="FL342" s="2" t="n">
        <v>100</v>
      </c>
      <c r="FM342" s="2" t="n">
        <v>100</v>
      </c>
      <c r="FN342" s="2" t="n">
        <v>91.86</v>
      </c>
      <c r="FO342" s="2" t="n">
        <v>100</v>
      </c>
      <c r="FP342" s="2" t="n">
        <v>100</v>
      </c>
      <c r="FQ342" s="2" t="n">
        <v>91.86</v>
      </c>
    </row>
    <row r="343">
      <c r="A343" s="2" t="n">
        <v>4</v>
      </c>
      <c r="B343" s="2" t="inlineStr">
        <is>
          <t>16.01.01.05</t>
        </is>
      </c>
      <c r="C343" s="2" t="inlineStr">
        <is>
          <t>Armadura Ca-60 adquirido cortado e dobrado, montagem e posicionamento no canteiro</t>
        </is>
      </c>
      <c r="D343" s="2" t="inlineStr">
        <is>
          <t>14/05/2025</t>
        </is>
      </c>
      <c r="E343" s="2" t="inlineStr">
        <is>
          <t>26/07/2027</t>
        </is>
      </c>
      <c r="F343" s="2" t="n">
        <v>7103.5425</v>
      </c>
      <c r="G343" s="2" t="n">
        <v>0</v>
      </c>
      <c r="H343" s="2" t="n">
        <v>7103.5425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11.02</v>
      </c>
      <c r="AK343" s="2" t="n">
        <v>11.02</v>
      </c>
      <c r="AL343" s="2" t="n">
        <v>8.74</v>
      </c>
      <c r="AM343" s="2" t="n">
        <v>27.98</v>
      </c>
      <c r="AN343" s="2" t="n">
        <v>27.98</v>
      </c>
      <c r="AO343" s="2" t="n">
        <v>31.43</v>
      </c>
      <c r="AP343" s="2" t="n">
        <v>47.48</v>
      </c>
      <c r="AQ343" s="2" t="n">
        <v>47.48</v>
      </c>
      <c r="AR343" s="2" t="n">
        <v>52</v>
      </c>
      <c r="AS343" s="2" t="n">
        <v>65.29000000000001</v>
      </c>
      <c r="AT343" s="2" t="n">
        <v>65.29000000000001</v>
      </c>
      <c r="AU343" s="2" t="n">
        <v>67.23</v>
      </c>
      <c r="AV343" s="2" t="n">
        <v>73.77</v>
      </c>
      <c r="AW343" s="2" t="n">
        <v>73.77</v>
      </c>
      <c r="AX343" s="2" t="n">
        <v>73.68000000000001</v>
      </c>
      <c r="AY343" s="2" t="n">
        <v>73.77</v>
      </c>
      <c r="AZ343" s="2" t="n">
        <v>73.77</v>
      </c>
      <c r="BA343" s="2" t="n">
        <v>73.62</v>
      </c>
      <c r="BB343" s="2" t="n">
        <v>73.77</v>
      </c>
      <c r="BC343" s="2" t="n">
        <v>73.77</v>
      </c>
      <c r="BD343" s="2" t="n">
        <v>73.77</v>
      </c>
      <c r="BE343" s="2" t="n">
        <v>73.77</v>
      </c>
      <c r="BF343" s="2" t="n">
        <v>73.77</v>
      </c>
      <c r="BG343" s="2" t="n">
        <v>73.77</v>
      </c>
      <c r="BH343" s="2" t="n">
        <v>73.77</v>
      </c>
      <c r="BI343" s="2" t="n">
        <v>73.77</v>
      </c>
      <c r="BJ343" s="2" t="n">
        <v>73.77</v>
      </c>
      <c r="BK343" s="2" t="n">
        <v>73.77</v>
      </c>
      <c r="BL343" s="2" t="n">
        <v>73.77</v>
      </c>
      <c r="BM343" s="2" t="n">
        <v>73.77</v>
      </c>
      <c r="BN343" s="2" t="n">
        <v>73.77</v>
      </c>
      <c r="BO343" s="2" t="n">
        <v>73.77</v>
      </c>
      <c r="BP343" s="2" t="n">
        <v>73.77</v>
      </c>
      <c r="BQ343" s="2" t="n">
        <v>73.77</v>
      </c>
      <c r="BR343" s="2" t="n">
        <v>73.77</v>
      </c>
      <c r="BS343" s="2" t="n">
        <v>73.77</v>
      </c>
      <c r="BT343" s="2" t="n">
        <v>73.77</v>
      </c>
      <c r="BU343" s="2" t="n">
        <v>73.77</v>
      </c>
      <c r="BV343" s="2" t="n">
        <v>73.77</v>
      </c>
      <c r="BW343" s="2" t="n">
        <v>81.64</v>
      </c>
      <c r="BX343" s="2" t="n">
        <v>81.64</v>
      </c>
      <c r="BY343" s="2" t="n">
        <v>75.58</v>
      </c>
      <c r="BZ343" s="2" t="n">
        <v>91.86</v>
      </c>
      <c r="CA343" s="2" t="n">
        <v>91.86</v>
      </c>
      <c r="CB343" s="2" t="n">
        <v>88.23999999999999</v>
      </c>
      <c r="CC343" s="2" t="n">
        <v>91.86</v>
      </c>
      <c r="CD343" s="2" t="n">
        <v>91.86</v>
      </c>
      <c r="CE343" s="2" t="n">
        <v>88.23999999999999</v>
      </c>
      <c r="CF343" s="2" t="n">
        <v>91.86</v>
      </c>
      <c r="CG343" s="2" t="n">
        <v>91.86</v>
      </c>
      <c r="CH343" s="2" t="n">
        <v>91.86</v>
      </c>
      <c r="CI343" s="2" t="n">
        <v>91.86</v>
      </c>
      <c r="CJ343" s="2" t="n">
        <v>91.86</v>
      </c>
      <c r="CK343" s="2" t="n">
        <v>91.86</v>
      </c>
      <c r="CL343" s="2" t="n">
        <v>91.86</v>
      </c>
      <c r="CM343" s="2" t="n">
        <v>91.86</v>
      </c>
      <c r="CN343" s="2" t="n">
        <v>91.86</v>
      </c>
      <c r="CO343" s="2" t="n">
        <v>91.86</v>
      </c>
      <c r="CP343" s="2" t="n">
        <v>91.86</v>
      </c>
      <c r="CQ343" s="2" t="n">
        <v>91.86</v>
      </c>
      <c r="CR343" s="2" t="n">
        <v>91.86</v>
      </c>
      <c r="CS343" s="2" t="n">
        <v>91.86</v>
      </c>
      <c r="CT343" s="2" t="n">
        <v>91.86</v>
      </c>
      <c r="CU343" s="2" t="n">
        <v>91.86</v>
      </c>
      <c r="CV343" s="2" t="n">
        <v>91.86</v>
      </c>
      <c r="CW343" s="2" t="n">
        <v>91.86</v>
      </c>
      <c r="CX343" s="2" t="n">
        <v>91.86</v>
      </c>
      <c r="CY343" s="2" t="n">
        <v>91.86</v>
      </c>
      <c r="CZ343" s="2" t="n">
        <v>91.86</v>
      </c>
      <c r="DA343" s="2" t="n">
        <v>92.59999999999999</v>
      </c>
      <c r="DB343" s="2" t="n">
        <v>92.59999999999999</v>
      </c>
      <c r="DC343" s="2" t="n">
        <v>91.86</v>
      </c>
      <c r="DD343" s="2" t="n">
        <v>95.06999999999999</v>
      </c>
      <c r="DE343" s="2" t="n">
        <v>95.06999999999999</v>
      </c>
      <c r="DF343" s="2" t="n">
        <v>91.86</v>
      </c>
      <c r="DG343" s="2" t="n">
        <v>97.78</v>
      </c>
      <c r="DH343" s="2" t="n">
        <v>97.78</v>
      </c>
      <c r="DI343" s="2" t="n">
        <v>91.86</v>
      </c>
      <c r="DJ343" s="2" t="n">
        <v>100</v>
      </c>
      <c r="DK343" s="2" t="n">
        <v>100</v>
      </c>
      <c r="DL343" s="2" t="n">
        <v>91.86</v>
      </c>
      <c r="DM343" s="2" t="n">
        <v>100</v>
      </c>
      <c r="DN343" s="2" t="n">
        <v>100</v>
      </c>
      <c r="DO343" s="2" t="n">
        <v>91.86</v>
      </c>
      <c r="DP343" s="2" t="n">
        <v>100</v>
      </c>
      <c r="DQ343" s="2" t="n">
        <v>100</v>
      </c>
      <c r="DR343" s="2" t="n">
        <v>91.86</v>
      </c>
      <c r="DS343" s="2" t="n">
        <v>100</v>
      </c>
      <c r="DT343" s="2" t="n">
        <v>100</v>
      </c>
      <c r="DU343" s="2" t="n">
        <v>91.86</v>
      </c>
      <c r="DV343" s="2" t="n">
        <v>100</v>
      </c>
      <c r="DW343" s="2" t="n">
        <v>100</v>
      </c>
      <c r="DX343" s="2" t="n">
        <v>91.86</v>
      </c>
      <c r="DY343" s="2" t="n">
        <v>100</v>
      </c>
      <c r="DZ343" s="2" t="n">
        <v>100</v>
      </c>
      <c r="EA343" s="2" t="n">
        <v>91.86</v>
      </c>
      <c r="EB343" s="2" t="n">
        <v>100</v>
      </c>
      <c r="EC343" s="2" t="n">
        <v>100</v>
      </c>
      <c r="ED343" s="2" t="n">
        <v>91.86</v>
      </c>
      <c r="EE343" s="2" t="n">
        <v>100</v>
      </c>
      <c r="EF343" s="2" t="n">
        <v>100</v>
      </c>
      <c r="EG343" s="2" t="n">
        <v>91.86</v>
      </c>
      <c r="EH343" s="2" t="n">
        <v>100</v>
      </c>
      <c r="EI343" s="2" t="n">
        <v>100</v>
      </c>
      <c r="EJ343" s="2" t="n">
        <v>91.86</v>
      </c>
      <c r="EK343" s="2" t="n">
        <v>100</v>
      </c>
      <c r="EL343" s="2" t="n">
        <v>100</v>
      </c>
      <c r="EM343" s="2" t="n">
        <v>91.86</v>
      </c>
      <c r="EN343" s="2" t="n">
        <v>100</v>
      </c>
      <c r="EO343" s="2" t="n">
        <v>100</v>
      </c>
      <c r="EP343" s="2" t="n">
        <v>91.86</v>
      </c>
      <c r="EQ343" s="2" t="n">
        <v>100</v>
      </c>
      <c r="ER343" s="2" t="n">
        <v>100</v>
      </c>
      <c r="ES343" s="2" t="n">
        <v>91.86</v>
      </c>
      <c r="ET343" s="2" t="n">
        <v>100</v>
      </c>
      <c r="EU343" s="2" t="n">
        <v>100</v>
      </c>
      <c r="EV343" s="2" t="n">
        <v>91.86</v>
      </c>
      <c r="EW343" s="2" t="n">
        <v>100</v>
      </c>
      <c r="EX343" s="2" t="n">
        <v>100</v>
      </c>
      <c r="EY343" s="2" t="n">
        <v>91.86</v>
      </c>
      <c r="EZ343" s="2" t="n">
        <v>100</v>
      </c>
      <c r="FA343" s="2" t="n">
        <v>100</v>
      </c>
      <c r="FB343" s="2" t="n">
        <v>91.86</v>
      </c>
      <c r="FC343" s="2" t="n">
        <v>100</v>
      </c>
      <c r="FD343" s="2" t="n">
        <v>100</v>
      </c>
      <c r="FE343" s="2" t="n">
        <v>91.86</v>
      </c>
      <c r="FF343" s="2" t="n">
        <v>100</v>
      </c>
      <c r="FG343" s="2" t="n">
        <v>100</v>
      </c>
      <c r="FH343" s="2" t="n">
        <v>91.86</v>
      </c>
      <c r="FI343" s="2" t="n">
        <v>100</v>
      </c>
      <c r="FJ343" s="2" t="n">
        <v>100</v>
      </c>
      <c r="FK343" s="2" t="n">
        <v>91.86</v>
      </c>
      <c r="FL343" s="2" t="n">
        <v>100</v>
      </c>
      <c r="FM343" s="2" t="n">
        <v>100</v>
      </c>
      <c r="FN343" s="2" t="n">
        <v>91.86</v>
      </c>
      <c r="FO343" s="2" t="n">
        <v>100</v>
      </c>
      <c r="FP343" s="2" t="n">
        <v>100</v>
      </c>
      <c r="FQ343" s="2" t="n">
        <v>91.86</v>
      </c>
    </row>
    <row r="344">
      <c r="A344" s="2" t="n">
        <v>4</v>
      </c>
      <c r="B344" s="2" t="inlineStr">
        <is>
          <t>16.01.01.06</t>
        </is>
      </c>
      <c r="C344" s="2" t="inlineStr">
        <is>
          <t>Lastro de concreto magro rodado em betoneira</t>
        </is>
      </c>
      <c r="D344" s="2" t="inlineStr">
        <is>
          <t>14/05/2025</t>
        </is>
      </c>
      <c r="E344" s="2" t="inlineStr">
        <is>
          <t>26/07/2027</t>
        </is>
      </c>
      <c r="F344" s="2" t="n">
        <v>24587.56293115467</v>
      </c>
      <c r="G344" s="2" t="n">
        <v>0</v>
      </c>
      <c r="H344" s="2" t="n">
        <v>24587.56293115467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11.02</v>
      </c>
      <c r="AK344" s="2" t="n">
        <v>11.02</v>
      </c>
      <c r="AL344" s="2" t="n">
        <v>8.74</v>
      </c>
      <c r="AM344" s="2" t="n">
        <v>27.98</v>
      </c>
      <c r="AN344" s="2" t="n">
        <v>27.98</v>
      </c>
      <c r="AO344" s="2" t="n">
        <v>31.43</v>
      </c>
      <c r="AP344" s="2" t="n">
        <v>47.48</v>
      </c>
      <c r="AQ344" s="2" t="n">
        <v>47.48</v>
      </c>
      <c r="AR344" s="2" t="n">
        <v>52</v>
      </c>
      <c r="AS344" s="2" t="n">
        <v>65.29000000000001</v>
      </c>
      <c r="AT344" s="2" t="n">
        <v>65.29000000000001</v>
      </c>
      <c r="AU344" s="2" t="n">
        <v>67.23</v>
      </c>
      <c r="AV344" s="2" t="n">
        <v>73.77</v>
      </c>
      <c r="AW344" s="2" t="n">
        <v>73.77</v>
      </c>
      <c r="AX344" s="2" t="n">
        <v>73.68000000000001</v>
      </c>
      <c r="AY344" s="2" t="n">
        <v>73.77</v>
      </c>
      <c r="AZ344" s="2" t="n">
        <v>73.77</v>
      </c>
      <c r="BA344" s="2" t="n">
        <v>73.62</v>
      </c>
      <c r="BB344" s="2" t="n">
        <v>73.77</v>
      </c>
      <c r="BC344" s="2" t="n">
        <v>73.77</v>
      </c>
      <c r="BD344" s="2" t="n">
        <v>73.77</v>
      </c>
      <c r="BE344" s="2" t="n">
        <v>73.77</v>
      </c>
      <c r="BF344" s="2" t="n">
        <v>73.77</v>
      </c>
      <c r="BG344" s="2" t="n">
        <v>73.77</v>
      </c>
      <c r="BH344" s="2" t="n">
        <v>73.77</v>
      </c>
      <c r="BI344" s="2" t="n">
        <v>73.77</v>
      </c>
      <c r="BJ344" s="2" t="n">
        <v>73.77</v>
      </c>
      <c r="BK344" s="2" t="n">
        <v>73.77</v>
      </c>
      <c r="BL344" s="2" t="n">
        <v>73.77</v>
      </c>
      <c r="BM344" s="2" t="n">
        <v>73.77</v>
      </c>
      <c r="BN344" s="2" t="n">
        <v>73.77</v>
      </c>
      <c r="BO344" s="2" t="n">
        <v>73.77</v>
      </c>
      <c r="BP344" s="2" t="n">
        <v>73.77</v>
      </c>
      <c r="BQ344" s="2" t="n">
        <v>73.77</v>
      </c>
      <c r="BR344" s="2" t="n">
        <v>73.77</v>
      </c>
      <c r="BS344" s="2" t="n">
        <v>73.77</v>
      </c>
      <c r="BT344" s="2" t="n">
        <v>73.77</v>
      </c>
      <c r="BU344" s="2" t="n">
        <v>73.77</v>
      </c>
      <c r="BV344" s="2" t="n">
        <v>73.77</v>
      </c>
      <c r="BW344" s="2" t="n">
        <v>81.64</v>
      </c>
      <c r="BX344" s="2" t="n">
        <v>81.64</v>
      </c>
      <c r="BY344" s="2" t="n">
        <v>75.58</v>
      </c>
      <c r="BZ344" s="2" t="n">
        <v>91.86</v>
      </c>
      <c r="CA344" s="2" t="n">
        <v>91.86</v>
      </c>
      <c r="CB344" s="2" t="n">
        <v>88.23999999999999</v>
      </c>
      <c r="CC344" s="2" t="n">
        <v>91.86</v>
      </c>
      <c r="CD344" s="2" t="n">
        <v>91.86</v>
      </c>
      <c r="CE344" s="2" t="n">
        <v>88.23999999999999</v>
      </c>
      <c r="CF344" s="2" t="n">
        <v>91.86</v>
      </c>
      <c r="CG344" s="2" t="n">
        <v>91.86</v>
      </c>
      <c r="CH344" s="2" t="n">
        <v>91.86</v>
      </c>
      <c r="CI344" s="2" t="n">
        <v>91.86</v>
      </c>
      <c r="CJ344" s="2" t="n">
        <v>91.86</v>
      </c>
      <c r="CK344" s="2" t="n">
        <v>91.86</v>
      </c>
      <c r="CL344" s="2" t="n">
        <v>91.86</v>
      </c>
      <c r="CM344" s="2" t="n">
        <v>91.86</v>
      </c>
      <c r="CN344" s="2" t="n">
        <v>91.86</v>
      </c>
      <c r="CO344" s="2" t="n">
        <v>91.86</v>
      </c>
      <c r="CP344" s="2" t="n">
        <v>91.86</v>
      </c>
      <c r="CQ344" s="2" t="n">
        <v>91.86</v>
      </c>
      <c r="CR344" s="2" t="n">
        <v>91.86</v>
      </c>
      <c r="CS344" s="2" t="n">
        <v>91.86</v>
      </c>
      <c r="CT344" s="2" t="n">
        <v>91.86</v>
      </c>
      <c r="CU344" s="2" t="n">
        <v>91.86</v>
      </c>
      <c r="CV344" s="2" t="n">
        <v>91.86</v>
      </c>
      <c r="CW344" s="2" t="n">
        <v>91.86</v>
      </c>
      <c r="CX344" s="2" t="n">
        <v>91.86</v>
      </c>
      <c r="CY344" s="2" t="n">
        <v>91.86</v>
      </c>
      <c r="CZ344" s="2" t="n">
        <v>91.86</v>
      </c>
      <c r="DA344" s="2" t="n">
        <v>92.59999999999999</v>
      </c>
      <c r="DB344" s="2" t="n">
        <v>92.59999999999999</v>
      </c>
      <c r="DC344" s="2" t="n">
        <v>91.86</v>
      </c>
      <c r="DD344" s="2" t="n">
        <v>95.06999999999999</v>
      </c>
      <c r="DE344" s="2" t="n">
        <v>95.06999999999999</v>
      </c>
      <c r="DF344" s="2" t="n">
        <v>91.86</v>
      </c>
      <c r="DG344" s="2" t="n">
        <v>97.78</v>
      </c>
      <c r="DH344" s="2" t="n">
        <v>97.78</v>
      </c>
      <c r="DI344" s="2" t="n">
        <v>91.86</v>
      </c>
      <c r="DJ344" s="2" t="n">
        <v>100</v>
      </c>
      <c r="DK344" s="2" t="n">
        <v>100</v>
      </c>
      <c r="DL344" s="2" t="n">
        <v>91.86</v>
      </c>
      <c r="DM344" s="2" t="n">
        <v>100</v>
      </c>
      <c r="DN344" s="2" t="n">
        <v>100</v>
      </c>
      <c r="DO344" s="2" t="n">
        <v>91.86</v>
      </c>
      <c r="DP344" s="2" t="n">
        <v>100</v>
      </c>
      <c r="DQ344" s="2" t="n">
        <v>100</v>
      </c>
      <c r="DR344" s="2" t="n">
        <v>91.86</v>
      </c>
      <c r="DS344" s="2" t="n">
        <v>100</v>
      </c>
      <c r="DT344" s="2" t="n">
        <v>100</v>
      </c>
      <c r="DU344" s="2" t="n">
        <v>91.86</v>
      </c>
      <c r="DV344" s="2" t="n">
        <v>100</v>
      </c>
      <c r="DW344" s="2" t="n">
        <v>100</v>
      </c>
      <c r="DX344" s="2" t="n">
        <v>91.86</v>
      </c>
      <c r="DY344" s="2" t="n">
        <v>100</v>
      </c>
      <c r="DZ344" s="2" t="n">
        <v>100</v>
      </c>
      <c r="EA344" s="2" t="n">
        <v>91.86</v>
      </c>
      <c r="EB344" s="2" t="n">
        <v>100</v>
      </c>
      <c r="EC344" s="2" t="n">
        <v>100</v>
      </c>
      <c r="ED344" s="2" t="n">
        <v>91.86</v>
      </c>
      <c r="EE344" s="2" t="n">
        <v>100</v>
      </c>
      <c r="EF344" s="2" t="n">
        <v>100</v>
      </c>
      <c r="EG344" s="2" t="n">
        <v>91.86</v>
      </c>
      <c r="EH344" s="2" t="n">
        <v>100</v>
      </c>
      <c r="EI344" s="2" t="n">
        <v>100</v>
      </c>
      <c r="EJ344" s="2" t="n">
        <v>91.86</v>
      </c>
      <c r="EK344" s="2" t="n">
        <v>100</v>
      </c>
      <c r="EL344" s="2" t="n">
        <v>100</v>
      </c>
      <c r="EM344" s="2" t="n">
        <v>91.86</v>
      </c>
      <c r="EN344" s="2" t="n">
        <v>100</v>
      </c>
      <c r="EO344" s="2" t="n">
        <v>100</v>
      </c>
      <c r="EP344" s="2" t="n">
        <v>91.86</v>
      </c>
      <c r="EQ344" s="2" t="n">
        <v>100</v>
      </c>
      <c r="ER344" s="2" t="n">
        <v>100</v>
      </c>
      <c r="ES344" s="2" t="n">
        <v>91.86</v>
      </c>
      <c r="ET344" s="2" t="n">
        <v>100</v>
      </c>
      <c r="EU344" s="2" t="n">
        <v>100</v>
      </c>
      <c r="EV344" s="2" t="n">
        <v>91.86</v>
      </c>
      <c r="EW344" s="2" t="n">
        <v>100</v>
      </c>
      <c r="EX344" s="2" t="n">
        <v>100</v>
      </c>
      <c r="EY344" s="2" t="n">
        <v>91.86</v>
      </c>
      <c r="EZ344" s="2" t="n">
        <v>100</v>
      </c>
      <c r="FA344" s="2" t="n">
        <v>100</v>
      </c>
      <c r="FB344" s="2" t="n">
        <v>91.86</v>
      </c>
      <c r="FC344" s="2" t="n">
        <v>100</v>
      </c>
      <c r="FD344" s="2" t="n">
        <v>100</v>
      </c>
      <c r="FE344" s="2" t="n">
        <v>91.86</v>
      </c>
      <c r="FF344" s="2" t="n">
        <v>100</v>
      </c>
      <c r="FG344" s="2" t="n">
        <v>100</v>
      </c>
      <c r="FH344" s="2" t="n">
        <v>91.86</v>
      </c>
      <c r="FI344" s="2" t="n">
        <v>100</v>
      </c>
      <c r="FJ344" s="2" t="n">
        <v>100</v>
      </c>
      <c r="FK344" s="2" t="n">
        <v>91.86</v>
      </c>
      <c r="FL344" s="2" t="n">
        <v>100</v>
      </c>
      <c r="FM344" s="2" t="n">
        <v>100</v>
      </c>
      <c r="FN344" s="2" t="n">
        <v>91.86</v>
      </c>
      <c r="FO344" s="2" t="n">
        <v>100</v>
      </c>
      <c r="FP344" s="2" t="n">
        <v>100</v>
      </c>
      <c r="FQ344" s="2" t="n">
        <v>91.86</v>
      </c>
    </row>
    <row r="345">
      <c r="A345" s="2" t="n">
        <v>4</v>
      </c>
      <c r="B345" s="2" t="inlineStr">
        <is>
          <t>16.01.01.07</t>
        </is>
      </c>
      <c r="C345" s="2" t="inlineStr">
        <is>
          <t>Concreto bombeado Fck=35Mpa para superestrutura</t>
        </is>
      </c>
      <c r="D345" s="2" t="inlineStr">
        <is>
          <t>14/05/2025</t>
        </is>
      </c>
      <c r="E345" s="2" t="inlineStr">
        <is>
          <t>26/07/2027</t>
        </is>
      </c>
      <c r="F345" s="2" t="n">
        <v>879918.7887129725</v>
      </c>
      <c r="G345" s="2" t="n">
        <v>0</v>
      </c>
      <c r="H345" s="2" t="n">
        <v>879918.7887129725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11.02</v>
      </c>
      <c r="AK345" s="2" t="n">
        <v>11.02</v>
      </c>
      <c r="AL345" s="2" t="n">
        <v>8.74</v>
      </c>
      <c r="AM345" s="2" t="n">
        <v>27.98</v>
      </c>
      <c r="AN345" s="2" t="n">
        <v>27.98</v>
      </c>
      <c r="AO345" s="2" t="n">
        <v>31.43</v>
      </c>
      <c r="AP345" s="2" t="n">
        <v>47.48</v>
      </c>
      <c r="AQ345" s="2" t="n">
        <v>47.48</v>
      </c>
      <c r="AR345" s="2" t="n">
        <v>52</v>
      </c>
      <c r="AS345" s="2" t="n">
        <v>65.29000000000001</v>
      </c>
      <c r="AT345" s="2" t="n">
        <v>65.29000000000001</v>
      </c>
      <c r="AU345" s="2" t="n">
        <v>67.23</v>
      </c>
      <c r="AV345" s="2" t="n">
        <v>73.77</v>
      </c>
      <c r="AW345" s="2" t="n">
        <v>73.77</v>
      </c>
      <c r="AX345" s="2" t="n">
        <v>73.68000000000001</v>
      </c>
      <c r="AY345" s="2" t="n">
        <v>73.77</v>
      </c>
      <c r="AZ345" s="2" t="n">
        <v>73.77</v>
      </c>
      <c r="BA345" s="2" t="n">
        <v>73.62</v>
      </c>
      <c r="BB345" s="2" t="n">
        <v>73.77</v>
      </c>
      <c r="BC345" s="2" t="n">
        <v>73.77</v>
      </c>
      <c r="BD345" s="2" t="n">
        <v>73.77</v>
      </c>
      <c r="BE345" s="2" t="n">
        <v>73.77</v>
      </c>
      <c r="BF345" s="2" t="n">
        <v>73.77</v>
      </c>
      <c r="BG345" s="2" t="n">
        <v>73.77</v>
      </c>
      <c r="BH345" s="2" t="n">
        <v>73.77</v>
      </c>
      <c r="BI345" s="2" t="n">
        <v>73.77</v>
      </c>
      <c r="BJ345" s="2" t="n">
        <v>73.77</v>
      </c>
      <c r="BK345" s="2" t="n">
        <v>73.77</v>
      </c>
      <c r="BL345" s="2" t="n">
        <v>73.77</v>
      </c>
      <c r="BM345" s="2" t="n">
        <v>73.77</v>
      </c>
      <c r="BN345" s="2" t="n">
        <v>73.77</v>
      </c>
      <c r="BO345" s="2" t="n">
        <v>73.77</v>
      </c>
      <c r="BP345" s="2" t="n">
        <v>73.77</v>
      </c>
      <c r="BQ345" s="2" t="n">
        <v>73.77</v>
      </c>
      <c r="BR345" s="2" t="n">
        <v>73.77</v>
      </c>
      <c r="BS345" s="2" t="n">
        <v>73.77</v>
      </c>
      <c r="BT345" s="2" t="n">
        <v>73.77</v>
      </c>
      <c r="BU345" s="2" t="n">
        <v>73.77</v>
      </c>
      <c r="BV345" s="2" t="n">
        <v>73.77</v>
      </c>
      <c r="BW345" s="2" t="n">
        <v>81.64</v>
      </c>
      <c r="BX345" s="2" t="n">
        <v>81.64</v>
      </c>
      <c r="BY345" s="2" t="n">
        <v>75.58</v>
      </c>
      <c r="BZ345" s="2" t="n">
        <v>91.86</v>
      </c>
      <c r="CA345" s="2" t="n">
        <v>91.86</v>
      </c>
      <c r="CB345" s="2" t="n">
        <v>88.23999999999999</v>
      </c>
      <c r="CC345" s="2" t="n">
        <v>91.86</v>
      </c>
      <c r="CD345" s="2" t="n">
        <v>91.86</v>
      </c>
      <c r="CE345" s="2" t="n">
        <v>88.23999999999999</v>
      </c>
      <c r="CF345" s="2" t="n">
        <v>91.86</v>
      </c>
      <c r="CG345" s="2" t="n">
        <v>91.86</v>
      </c>
      <c r="CH345" s="2" t="n">
        <v>91.86</v>
      </c>
      <c r="CI345" s="2" t="n">
        <v>91.86</v>
      </c>
      <c r="CJ345" s="2" t="n">
        <v>91.86</v>
      </c>
      <c r="CK345" s="2" t="n">
        <v>91.86</v>
      </c>
      <c r="CL345" s="2" t="n">
        <v>91.86</v>
      </c>
      <c r="CM345" s="2" t="n">
        <v>91.86</v>
      </c>
      <c r="CN345" s="2" t="n">
        <v>91.86</v>
      </c>
      <c r="CO345" s="2" t="n">
        <v>91.86</v>
      </c>
      <c r="CP345" s="2" t="n">
        <v>91.86</v>
      </c>
      <c r="CQ345" s="2" t="n">
        <v>91.86</v>
      </c>
      <c r="CR345" s="2" t="n">
        <v>91.86</v>
      </c>
      <c r="CS345" s="2" t="n">
        <v>91.86</v>
      </c>
      <c r="CT345" s="2" t="n">
        <v>91.86</v>
      </c>
      <c r="CU345" s="2" t="n">
        <v>91.86</v>
      </c>
      <c r="CV345" s="2" t="n">
        <v>91.86</v>
      </c>
      <c r="CW345" s="2" t="n">
        <v>91.86</v>
      </c>
      <c r="CX345" s="2" t="n">
        <v>91.86</v>
      </c>
      <c r="CY345" s="2" t="n">
        <v>91.86</v>
      </c>
      <c r="CZ345" s="2" t="n">
        <v>91.86</v>
      </c>
      <c r="DA345" s="2" t="n">
        <v>92.59999999999999</v>
      </c>
      <c r="DB345" s="2" t="n">
        <v>92.59999999999999</v>
      </c>
      <c r="DC345" s="2" t="n">
        <v>91.86</v>
      </c>
      <c r="DD345" s="2" t="n">
        <v>95.06999999999999</v>
      </c>
      <c r="DE345" s="2" t="n">
        <v>95.06999999999999</v>
      </c>
      <c r="DF345" s="2" t="n">
        <v>91.86</v>
      </c>
      <c r="DG345" s="2" t="n">
        <v>97.78</v>
      </c>
      <c r="DH345" s="2" t="n">
        <v>97.78</v>
      </c>
      <c r="DI345" s="2" t="n">
        <v>91.86</v>
      </c>
      <c r="DJ345" s="2" t="n">
        <v>100</v>
      </c>
      <c r="DK345" s="2" t="n">
        <v>100</v>
      </c>
      <c r="DL345" s="2" t="n">
        <v>91.86</v>
      </c>
      <c r="DM345" s="2" t="n">
        <v>100</v>
      </c>
      <c r="DN345" s="2" t="n">
        <v>100</v>
      </c>
      <c r="DO345" s="2" t="n">
        <v>91.86</v>
      </c>
      <c r="DP345" s="2" t="n">
        <v>100</v>
      </c>
      <c r="DQ345" s="2" t="n">
        <v>100</v>
      </c>
      <c r="DR345" s="2" t="n">
        <v>91.86</v>
      </c>
      <c r="DS345" s="2" t="n">
        <v>100</v>
      </c>
      <c r="DT345" s="2" t="n">
        <v>100</v>
      </c>
      <c r="DU345" s="2" t="n">
        <v>91.86</v>
      </c>
      <c r="DV345" s="2" t="n">
        <v>100</v>
      </c>
      <c r="DW345" s="2" t="n">
        <v>100</v>
      </c>
      <c r="DX345" s="2" t="n">
        <v>91.86</v>
      </c>
      <c r="DY345" s="2" t="n">
        <v>100</v>
      </c>
      <c r="DZ345" s="2" t="n">
        <v>100</v>
      </c>
      <c r="EA345" s="2" t="n">
        <v>91.86</v>
      </c>
      <c r="EB345" s="2" t="n">
        <v>100</v>
      </c>
      <c r="EC345" s="2" t="n">
        <v>100</v>
      </c>
      <c r="ED345" s="2" t="n">
        <v>91.86</v>
      </c>
      <c r="EE345" s="2" t="n">
        <v>100</v>
      </c>
      <c r="EF345" s="2" t="n">
        <v>100</v>
      </c>
      <c r="EG345" s="2" t="n">
        <v>91.86</v>
      </c>
      <c r="EH345" s="2" t="n">
        <v>100</v>
      </c>
      <c r="EI345" s="2" t="n">
        <v>100</v>
      </c>
      <c r="EJ345" s="2" t="n">
        <v>91.86</v>
      </c>
      <c r="EK345" s="2" t="n">
        <v>100</v>
      </c>
      <c r="EL345" s="2" t="n">
        <v>100</v>
      </c>
      <c r="EM345" s="2" t="n">
        <v>91.86</v>
      </c>
      <c r="EN345" s="2" t="n">
        <v>100</v>
      </c>
      <c r="EO345" s="2" t="n">
        <v>100</v>
      </c>
      <c r="EP345" s="2" t="n">
        <v>91.86</v>
      </c>
      <c r="EQ345" s="2" t="n">
        <v>100</v>
      </c>
      <c r="ER345" s="2" t="n">
        <v>100</v>
      </c>
      <c r="ES345" s="2" t="n">
        <v>91.86</v>
      </c>
      <c r="ET345" s="2" t="n">
        <v>100</v>
      </c>
      <c r="EU345" s="2" t="n">
        <v>100</v>
      </c>
      <c r="EV345" s="2" t="n">
        <v>91.86</v>
      </c>
      <c r="EW345" s="2" t="n">
        <v>100</v>
      </c>
      <c r="EX345" s="2" t="n">
        <v>100</v>
      </c>
      <c r="EY345" s="2" t="n">
        <v>91.86</v>
      </c>
      <c r="EZ345" s="2" t="n">
        <v>100</v>
      </c>
      <c r="FA345" s="2" t="n">
        <v>100</v>
      </c>
      <c r="FB345" s="2" t="n">
        <v>91.86</v>
      </c>
      <c r="FC345" s="2" t="n">
        <v>100</v>
      </c>
      <c r="FD345" s="2" t="n">
        <v>100</v>
      </c>
      <c r="FE345" s="2" t="n">
        <v>91.86</v>
      </c>
      <c r="FF345" s="2" t="n">
        <v>100</v>
      </c>
      <c r="FG345" s="2" t="n">
        <v>100</v>
      </c>
      <c r="FH345" s="2" t="n">
        <v>91.86</v>
      </c>
      <c r="FI345" s="2" t="n">
        <v>100</v>
      </c>
      <c r="FJ345" s="2" t="n">
        <v>100</v>
      </c>
      <c r="FK345" s="2" t="n">
        <v>91.86</v>
      </c>
      <c r="FL345" s="2" t="n">
        <v>100</v>
      </c>
      <c r="FM345" s="2" t="n">
        <v>100</v>
      </c>
      <c r="FN345" s="2" t="n">
        <v>91.86</v>
      </c>
      <c r="FO345" s="2" t="n">
        <v>100</v>
      </c>
      <c r="FP345" s="2" t="n">
        <v>100</v>
      </c>
      <c r="FQ345" s="2" t="n">
        <v>91.86</v>
      </c>
    </row>
    <row r="346">
      <c r="A346" s="2" t="n">
        <v>4</v>
      </c>
      <c r="B346" s="2" t="inlineStr">
        <is>
          <t>16.01.01.08</t>
        </is>
      </c>
      <c r="C346" s="2" t="inlineStr">
        <is>
          <t>Gelo para blocos (100kg/m³)</t>
        </is>
      </c>
      <c r="D346" s="2" t="inlineStr">
        <is>
          <t>14/05/2025</t>
        </is>
      </c>
      <c r="E346" s="2" t="inlineStr">
        <is>
          <t>26/07/2027</t>
        </is>
      </c>
      <c r="F346" s="2" t="n">
        <v>40244.13</v>
      </c>
      <c r="G346" s="2" t="n">
        <v>0</v>
      </c>
      <c r="H346" s="2" t="n">
        <v>40244.13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11.02</v>
      </c>
      <c r="AK346" s="2" t="n">
        <v>11.02</v>
      </c>
      <c r="AL346" s="2" t="n">
        <v>8.74</v>
      </c>
      <c r="AM346" s="2" t="n">
        <v>27.98</v>
      </c>
      <c r="AN346" s="2" t="n">
        <v>27.98</v>
      </c>
      <c r="AO346" s="2" t="n">
        <v>31.43</v>
      </c>
      <c r="AP346" s="2" t="n">
        <v>47.48</v>
      </c>
      <c r="AQ346" s="2" t="n">
        <v>47.48</v>
      </c>
      <c r="AR346" s="2" t="n">
        <v>52</v>
      </c>
      <c r="AS346" s="2" t="n">
        <v>65.29000000000001</v>
      </c>
      <c r="AT346" s="2" t="n">
        <v>65.29000000000001</v>
      </c>
      <c r="AU346" s="2" t="n">
        <v>67.23</v>
      </c>
      <c r="AV346" s="2" t="n">
        <v>73.77</v>
      </c>
      <c r="AW346" s="2" t="n">
        <v>73.77</v>
      </c>
      <c r="AX346" s="2" t="n">
        <v>73.68000000000001</v>
      </c>
      <c r="AY346" s="2" t="n">
        <v>73.77</v>
      </c>
      <c r="AZ346" s="2" t="n">
        <v>73.77</v>
      </c>
      <c r="BA346" s="2" t="n">
        <v>73.62</v>
      </c>
      <c r="BB346" s="2" t="n">
        <v>73.77</v>
      </c>
      <c r="BC346" s="2" t="n">
        <v>73.77</v>
      </c>
      <c r="BD346" s="2" t="n">
        <v>73.77</v>
      </c>
      <c r="BE346" s="2" t="n">
        <v>73.77</v>
      </c>
      <c r="BF346" s="2" t="n">
        <v>73.77</v>
      </c>
      <c r="BG346" s="2" t="n">
        <v>73.77</v>
      </c>
      <c r="BH346" s="2" t="n">
        <v>73.77</v>
      </c>
      <c r="BI346" s="2" t="n">
        <v>73.77</v>
      </c>
      <c r="BJ346" s="2" t="n">
        <v>73.77</v>
      </c>
      <c r="BK346" s="2" t="n">
        <v>73.77</v>
      </c>
      <c r="BL346" s="2" t="n">
        <v>73.77</v>
      </c>
      <c r="BM346" s="2" t="n">
        <v>73.77</v>
      </c>
      <c r="BN346" s="2" t="n">
        <v>73.77</v>
      </c>
      <c r="BO346" s="2" t="n">
        <v>73.77</v>
      </c>
      <c r="BP346" s="2" t="n">
        <v>73.77</v>
      </c>
      <c r="BQ346" s="2" t="n">
        <v>73.77</v>
      </c>
      <c r="BR346" s="2" t="n">
        <v>73.77</v>
      </c>
      <c r="BS346" s="2" t="n">
        <v>73.77</v>
      </c>
      <c r="BT346" s="2" t="n">
        <v>73.77</v>
      </c>
      <c r="BU346" s="2" t="n">
        <v>73.77</v>
      </c>
      <c r="BV346" s="2" t="n">
        <v>73.77</v>
      </c>
      <c r="BW346" s="2" t="n">
        <v>81.64</v>
      </c>
      <c r="BX346" s="2" t="n">
        <v>81.64</v>
      </c>
      <c r="BY346" s="2" t="n">
        <v>75.58</v>
      </c>
      <c r="BZ346" s="2" t="n">
        <v>91.86</v>
      </c>
      <c r="CA346" s="2" t="n">
        <v>91.86</v>
      </c>
      <c r="CB346" s="2" t="n">
        <v>88.23999999999999</v>
      </c>
      <c r="CC346" s="2" t="n">
        <v>91.86</v>
      </c>
      <c r="CD346" s="2" t="n">
        <v>91.86</v>
      </c>
      <c r="CE346" s="2" t="n">
        <v>88.23999999999999</v>
      </c>
      <c r="CF346" s="2" t="n">
        <v>91.86</v>
      </c>
      <c r="CG346" s="2" t="n">
        <v>91.86</v>
      </c>
      <c r="CH346" s="2" t="n">
        <v>91.86</v>
      </c>
      <c r="CI346" s="2" t="n">
        <v>91.86</v>
      </c>
      <c r="CJ346" s="2" t="n">
        <v>91.86</v>
      </c>
      <c r="CK346" s="2" t="n">
        <v>91.86</v>
      </c>
      <c r="CL346" s="2" t="n">
        <v>91.86</v>
      </c>
      <c r="CM346" s="2" t="n">
        <v>91.86</v>
      </c>
      <c r="CN346" s="2" t="n">
        <v>91.86</v>
      </c>
      <c r="CO346" s="2" t="n">
        <v>91.86</v>
      </c>
      <c r="CP346" s="2" t="n">
        <v>91.86</v>
      </c>
      <c r="CQ346" s="2" t="n">
        <v>91.86</v>
      </c>
      <c r="CR346" s="2" t="n">
        <v>91.86</v>
      </c>
      <c r="CS346" s="2" t="n">
        <v>91.86</v>
      </c>
      <c r="CT346" s="2" t="n">
        <v>91.86</v>
      </c>
      <c r="CU346" s="2" t="n">
        <v>91.86</v>
      </c>
      <c r="CV346" s="2" t="n">
        <v>91.86</v>
      </c>
      <c r="CW346" s="2" t="n">
        <v>91.86</v>
      </c>
      <c r="CX346" s="2" t="n">
        <v>91.86</v>
      </c>
      <c r="CY346" s="2" t="n">
        <v>91.86</v>
      </c>
      <c r="CZ346" s="2" t="n">
        <v>91.86</v>
      </c>
      <c r="DA346" s="2" t="n">
        <v>92.59999999999999</v>
      </c>
      <c r="DB346" s="2" t="n">
        <v>92.59999999999999</v>
      </c>
      <c r="DC346" s="2" t="n">
        <v>91.86</v>
      </c>
      <c r="DD346" s="2" t="n">
        <v>95.06999999999999</v>
      </c>
      <c r="DE346" s="2" t="n">
        <v>95.06999999999999</v>
      </c>
      <c r="DF346" s="2" t="n">
        <v>91.86</v>
      </c>
      <c r="DG346" s="2" t="n">
        <v>97.78</v>
      </c>
      <c r="DH346" s="2" t="n">
        <v>97.78</v>
      </c>
      <c r="DI346" s="2" t="n">
        <v>91.86</v>
      </c>
      <c r="DJ346" s="2" t="n">
        <v>100</v>
      </c>
      <c r="DK346" s="2" t="n">
        <v>100</v>
      </c>
      <c r="DL346" s="2" t="n">
        <v>91.86</v>
      </c>
      <c r="DM346" s="2" t="n">
        <v>100</v>
      </c>
      <c r="DN346" s="2" t="n">
        <v>100</v>
      </c>
      <c r="DO346" s="2" t="n">
        <v>91.86</v>
      </c>
      <c r="DP346" s="2" t="n">
        <v>100</v>
      </c>
      <c r="DQ346" s="2" t="n">
        <v>100</v>
      </c>
      <c r="DR346" s="2" t="n">
        <v>91.86</v>
      </c>
      <c r="DS346" s="2" t="n">
        <v>100</v>
      </c>
      <c r="DT346" s="2" t="n">
        <v>100</v>
      </c>
      <c r="DU346" s="2" t="n">
        <v>91.86</v>
      </c>
      <c r="DV346" s="2" t="n">
        <v>100</v>
      </c>
      <c r="DW346" s="2" t="n">
        <v>100</v>
      </c>
      <c r="DX346" s="2" t="n">
        <v>91.86</v>
      </c>
      <c r="DY346" s="2" t="n">
        <v>100</v>
      </c>
      <c r="DZ346" s="2" t="n">
        <v>100</v>
      </c>
      <c r="EA346" s="2" t="n">
        <v>91.86</v>
      </c>
      <c r="EB346" s="2" t="n">
        <v>100</v>
      </c>
      <c r="EC346" s="2" t="n">
        <v>100</v>
      </c>
      <c r="ED346" s="2" t="n">
        <v>91.86</v>
      </c>
      <c r="EE346" s="2" t="n">
        <v>100</v>
      </c>
      <c r="EF346" s="2" t="n">
        <v>100</v>
      </c>
      <c r="EG346" s="2" t="n">
        <v>91.86</v>
      </c>
      <c r="EH346" s="2" t="n">
        <v>100</v>
      </c>
      <c r="EI346" s="2" t="n">
        <v>100</v>
      </c>
      <c r="EJ346" s="2" t="n">
        <v>91.86</v>
      </c>
      <c r="EK346" s="2" t="n">
        <v>100</v>
      </c>
      <c r="EL346" s="2" t="n">
        <v>100</v>
      </c>
      <c r="EM346" s="2" t="n">
        <v>91.86</v>
      </c>
      <c r="EN346" s="2" t="n">
        <v>100</v>
      </c>
      <c r="EO346" s="2" t="n">
        <v>100</v>
      </c>
      <c r="EP346" s="2" t="n">
        <v>91.86</v>
      </c>
      <c r="EQ346" s="2" t="n">
        <v>100</v>
      </c>
      <c r="ER346" s="2" t="n">
        <v>100</v>
      </c>
      <c r="ES346" s="2" t="n">
        <v>91.86</v>
      </c>
      <c r="ET346" s="2" t="n">
        <v>100</v>
      </c>
      <c r="EU346" s="2" t="n">
        <v>100</v>
      </c>
      <c r="EV346" s="2" t="n">
        <v>91.86</v>
      </c>
      <c r="EW346" s="2" t="n">
        <v>100</v>
      </c>
      <c r="EX346" s="2" t="n">
        <v>100</v>
      </c>
      <c r="EY346" s="2" t="n">
        <v>91.86</v>
      </c>
      <c r="EZ346" s="2" t="n">
        <v>100</v>
      </c>
      <c r="FA346" s="2" t="n">
        <v>100</v>
      </c>
      <c r="FB346" s="2" t="n">
        <v>91.86</v>
      </c>
      <c r="FC346" s="2" t="n">
        <v>100</v>
      </c>
      <c r="FD346" s="2" t="n">
        <v>100</v>
      </c>
      <c r="FE346" s="2" t="n">
        <v>91.86</v>
      </c>
      <c r="FF346" s="2" t="n">
        <v>100</v>
      </c>
      <c r="FG346" s="2" t="n">
        <v>100</v>
      </c>
      <c r="FH346" s="2" t="n">
        <v>91.86</v>
      </c>
      <c r="FI346" s="2" t="n">
        <v>100</v>
      </c>
      <c r="FJ346" s="2" t="n">
        <v>100</v>
      </c>
      <c r="FK346" s="2" t="n">
        <v>91.86</v>
      </c>
      <c r="FL346" s="2" t="n">
        <v>100</v>
      </c>
      <c r="FM346" s="2" t="n">
        <v>100</v>
      </c>
      <c r="FN346" s="2" t="n">
        <v>91.86</v>
      </c>
      <c r="FO346" s="2" t="n">
        <v>100</v>
      </c>
      <c r="FP346" s="2" t="n">
        <v>100</v>
      </c>
      <c r="FQ346" s="2" t="n">
        <v>91.86</v>
      </c>
    </row>
    <row r="347">
      <c r="A347" s="2" t="n">
        <v>4</v>
      </c>
      <c r="B347" s="2" t="inlineStr">
        <is>
          <t>16.01.01.09</t>
        </is>
      </c>
      <c r="C347" s="2" t="inlineStr">
        <is>
          <t>Aterro manual</t>
        </is>
      </c>
      <c r="D347" s="2" t="inlineStr">
        <is>
          <t>14/05/2025</t>
        </is>
      </c>
      <c r="E347" s="2" t="inlineStr">
        <is>
          <t>26/07/2027</t>
        </is>
      </c>
      <c r="F347" s="2" t="n">
        <v>81922.92211633275</v>
      </c>
      <c r="G347" s="2" t="n">
        <v>0</v>
      </c>
      <c r="H347" s="2" t="n">
        <v>81922.92211633275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11.02</v>
      </c>
      <c r="AK347" s="2" t="n">
        <v>11.02</v>
      </c>
      <c r="AL347" s="2" t="n">
        <v>8.74</v>
      </c>
      <c r="AM347" s="2" t="n">
        <v>27.98</v>
      </c>
      <c r="AN347" s="2" t="n">
        <v>27.98</v>
      </c>
      <c r="AO347" s="2" t="n">
        <v>31.43</v>
      </c>
      <c r="AP347" s="2" t="n">
        <v>47.48</v>
      </c>
      <c r="AQ347" s="2" t="n">
        <v>47.48</v>
      </c>
      <c r="AR347" s="2" t="n">
        <v>52</v>
      </c>
      <c r="AS347" s="2" t="n">
        <v>65.29000000000001</v>
      </c>
      <c r="AT347" s="2" t="n">
        <v>65.29000000000001</v>
      </c>
      <c r="AU347" s="2" t="n">
        <v>67.23</v>
      </c>
      <c r="AV347" s="2" t="n">
        <v>73.77</v>
      </c>
      <c r="AW347" s="2" t="n">
        <v>73.77</v>
      </c>
      <c r="AX347" s="2" t="n">
        <v>73.68000000000001</v>
      </c>
      <c r="AY347" s="2" t="n">
        <v>73.77</v>
      </c>
      <c r="AZ347" s="2" t="n">
        <v>73.77</v>
      </c>
      <c r="BA347" s="2" t="n">
        <v>73.62</v>
      </c>
      <c r="BB347" s="2" t="n">
        <v>73.77</v>
      </c>
      <c r="BC347" s="2" t="n">
        <v>73.77</v>
      </c>
      <c r="BD347" s="2" t="n">
        <v>73.77</v>
      </c>
      <c r="BE347" s="2" t="n">
        <v>73.77</v>
      </c>
      <c r="BF347" s="2" t="n">
        <v>73.77</v>
      </c>
      <c r="BG347" s="2" t="n">
        <v>73.77</v>
      </c>
      <c r="BH347" s="2" t="n">
        <v>73.77</v>
      </c>
      <c r="BI347" s="2" t="n">
        <v>73.77</v>
      </c>
      <c r="BJ347" s="2" t="n">
        <v>73.77</v>
      </c>
      <c r="BK347" s="2" t="n">
        <v>73.77</v>
      </c>
      <c r="BL347" s="2" t="n">
        <v>73.77</v>
      </c>
      <c r="BM347" s="2" t="n">
        <v>73.77</v>
      </c>
      <c r="BN347" s="2" t="n">
        <v>73.77</v>
      </c>
      <c r="BO347" s="2" t="n">
        <v>73.77</v>
      </c>
      <c r="BP347" s="2" t="n">
        <v>73.77</v>
      </c>
      <c r="BQ347" s="2" t="n">
        <v>73.77</v>
      </c>
      <c r="BR347" s="2" t="n">
        <v>73.77</v>
      </c>
      <c r="BS347" s="2" t="n">
        <v>73.77</v>
      </c>
      <c r="BT347" s="2" t="n">
        <v>73.77</v>
      </c>
      <c r="BU347" s="2" t="n">
        <v>73.77</v>
      </c>
      <c r="BV347" s="2" t="n">
        <v>73.77</v>
      </c>
      <c r="BW347" s="2" t="n">
        <v>81.64</v>
      </c>
      <c r="BX347" s="2" t="n">
        <v>81.64</v>
      </c>
      <c r="BY347" s="2" t="n">
        <v>75.58</v>
      </c>
      <c r="BZ347" s="2" t="n">
        <v>91.86</v>
      </c>
      <c r="CA347" s="2" t="n">
        <v>91.86</v>
      </c>
      <c r="CB347" s="2" t="n">
        <v>88.23999999999999</v>
      </c>
      <c r="CC347" s="2" t="n">
        <v>91.86</v>
      </c>
      <c r="CD347" s="2" t="n">
        <v>91.86</v>
      </c>
      <c r="CE347" s="2" t="n">
        <v>88.23999999999999</v>
      </c>
      <c r="CF347" s="2" t="n">
        <v>91.86</v>
      </c>
      <c r="CG347" s="2" t="n">
        <v>91.86</v>
      </c>
      <c r="CH347" s="2" t="n">
        <v>91.86</v>
      </c>
      <c r="CI347" s="2" t="n">
        <v>91.86</v>
      </c>
      <c r="CJ347" s="2" t="n">
        <v>91.86</v>
      </c>
      <c r="CK347" s="2" t="n">
        <v>91.86</v>
      </c>
      <c r="CL347" s="2" t="n">
        <v>91.86</v>
      </c>
      <c r="CM347" s="2" t="n">
        <v>91.86</v>
      </c>
      <c r="CN347" s="2" t="n">
        <v>91.86</v>
      </c>
      <c r="CO347" s="2" t="n">
        <v>91.86</v>
      </c>
      <c r="CP347" s="2" t="n">
        <v>91.86</v>
      </c>
      <c r="CQ347" s="2" t="n">
        <v>91.86</v>
      </c>
      <c r="CR347" s="2" t="n">
        <v>91.86</v>
      </c>
      <c r="CS347" s="2" t="n">
        <v>91.86</v>
      </c>
      <c r="CT347" s="2" t="n">
        <v>91.86</v>
      </c>
      <c r="CU347" s="2" t="n">
        <v>91.86</v>
      </c>
      <c r="CV347" s="2" t="n">
        <v>91.86</v>
      </c>
      <c r="CW347" s="2" t="n">
        <v>91.86</v>
      </c>
      <c r="CX347" s="2" t="n">
        <v>91.86</v>
      </c>
      <c r="CY347" s="2" t="n">
        <v>91.86</v>
      </c>
      <c r="CZ347" s="2" t="n">
        <v>91.86</v>
      </c>
      <c r="DA347" s="2" t="n">
        <v>92.59999999999999</v>
      </c>
      <c r="DB347" s="2" t="n">
        <v>92.59999999999999</v>
      </c>
      <c r="DC347" s="2" t="n">
        <v>91.86</v>
      </c>
      <c r="DD347" s="2" t="n">
        <v>95.06999999999999</v>
      </c>
      <c r="DE347" s="2" t="n">
        <v>95.06999999999999</v>
      </c>
      <c r="DF347" s="2" t="n">
        <v>91.86</v>
      </c>
      <c r="DG347" s="2" t="n">
        <v>97.78</v>
      </c>
      <c r="DH347" s="2" t="n">
        <v>97.78</v>
      </c>
      <c r="DI347" s="2" t="n">
        <v>91.86</v>
      </c>
      <c r="DJ347" s="2" t="n">
        <v>100</v>
      </c>
      <c r="DK347" s="2" t="n">
        <v>100</v>
      </c>
      <c r="DL347" s="2" t="n">
        <v>91.86</v>
      </c>
      <c r="DM347" s="2" t="n">
        <v>100</v>
      </c>
      <c r="DN347" s="2" t="n">
        <v>100</v>
      </c>
      <c r="DO347" s="2" t="n">
        <v>91.86</v>
      </c>
      <c r="DP347" s="2" t="n">
        <v>100</v>
      </c>
      <c r="DQ347" s="2" t="n">
        <v>100</v>
      </c>
      <c r="DR347" s="2" t="n">
        <v>91.86</v>
      </c>
      <c r="DS347" s="2" t="n">
        <v>100</v>
      </c>
      <c r="DT347" s="2" t="n">
        <v>100</v>
      </c>
      <c r="DU347" s="2" t="n">
        <v>91.86</v>
      </c>
      <c r="DV347" s="2" t="n">
        <v>100</v>
      </c>
      <c r="DW347" s="2" t="n">
        <v>100</v>
      </c>
      <c r="DX347" s="2" t="n">
        <v>91.86</v>
      </c>
      <c r="DY347" s="2" t="n">
        <v>100</v>
      </c>
      <c r="DZ347" s="2" t="n">
        <v>100</v>
      </c>
      <c r="EA347" s="2" t="n">
        <v>91.86</v>
      </c>
      <c r="EB347" s="2" t="n">
        <v>100</v>
      </c>
      <c r="EC347" s="2" t="n">
        <v>100</v>
      </c>
      <c r="ED347" s="2" t="n">
        <v>91.86</v>
      </c>
      <c r="EE347" s="2" t="n">
        <v>100</v>
      </c>
      <c r="EF347" s="2" t="n">
        <v>100</v>
      </c>
      <c r="EG347" s="2" t="n">
        <v>91.86</v>
      </c>
      <c r="EH347" s="2" t="n">
        <v>100</v>
      </c>
      <c r="EI347" s="2" t="n">
        <v>100</v>
      </c>
      <c r="EJ347" s="2" t="n">
        <v>91.86</v>
      </c>
      <c r="EK347" s="2" t="n">
        <v>100</v>
      </c>
      <c r="EL347" s="2" t="n">
        <v>100</v>
      </c>
      <c r="EM347" s="2" t="n">
        <v>91.86</v>
      </c>
      <c r="EN347" s="2" t="n">
        <v>100</v>
      </c>
      <c r="EO347" s="2" t="n">
        <v>100</v>
      </c>
      <c r="EP347" s="2" t="n">
        <v>91.86</v>
      </c>
      <c r="EQ347" s="2" t="n">
        <v>100</v>
      </c>
      <c r="ER347" s="2" t="n">
        <v>100</v>
      </c>
      <c r="ES347" s="2" t="n">
        <v>91.86</v>
      </c>
      <c r="ET347" s="2" t="n">
        <v>100</v>
      </c>
      <c r="EU347" s="2" t="n">
        <v>100</v>
      </c>
      <c r="EV347" s="2" t="n">
        <v>91.86</v>
      </c>
      <c r="EW347" s="2" t="n">
        <v>100</v>
      </c>
      <c r="EX347" s="2" t="n">
        <v>100</v>
      </c>
      <c r="EY347" s="2" t="n">
        <v>91.86</v>
      </c>
      <c r="EZ347" s="2" t="n">
        <v>100</v>
      </c>
      <c r="FA347" s="2" t="n">
        <v>100</v>
      </c>
      <c r="FB347" s="2" t="n">
        <v>91.86</v>
      </c>
      <c r="FC347" s="2" t="n">
        <v>100</v>
      </c>
      <c r="FD347" s="2" t="n">
        <v>100</v>
      </c>
      <c r="FE347" s="2" t="n">
        <v>91.86</v>
      </c>
      <c r="FF347" s="2" t="n">
        <v>100</v>
      </c>
      <c r="FG347" s="2" t="n">
        <v>100</v>
      </c>
      <c r="FH347" s="2" t="n">
        <v>91.86</v>
      </c>
      <c r="FI347" s="2" t="n">
        <v>100</v>
      </c>
      <c r="FJ347" s="2" t="n">
        <v>100</v>
      </c>
      <c r="FK347" s="2" t="n">
        <v>91.86</v>
      </c>
      <c r="FL347" s="2" t="n">
        <v>100</v>
      </c>
      <c r="FM347" s="2" t="n">
        <v>100</v>
      </c>
      <c r="FN347" s="2" t="n">
        <v>91.86</v>
      </c>
      <c r="FO347" s="2" t="n">
        <v>100</v>
      </c>
      <c r="FP347" s="2" t="n">
        <v>100</v>
      </c>
      <c r="FQ347" s="2" t="n">
        <v>91.86</v>
      </c>
    </row>
    <row r="348">
      <c r="A348" s="2" t="n">
        <v>4</v>
      </c>
      <c r="B348" s="2" t="inlineStr">
        <is>
          <t>16.01.01.10</t>
        </is>
      </c>
      <c r="C348" s="2" t="inlineStr">
        <is>
          <t>Retirada de Terra com caçamba</t>
        </is>
      </c>
      <c r="D348" s="2" t="inlineStr">
        <is>
          <t>14/05/2025</t>
        </is>
      </c>
      <c r="E348" s="2" t="inlineStr">
        <is>
          <t>26/07/2027</t>
        </is>
      </c>
      <c r="F348" s="2" t="n">
        <v>225283.2617447334</v>
      </c>
      <c r="G348" s="2" t="n">
        <v>0</v>
      </c>
      <c r="H348" s="2" t="n">
        <v>225283.2617447334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11.02</v>
      </c>
      <c r="AK348" s="2" t="n">
        <v>11.02</v>
      </c>
      <c r="AL348" s="2" t="n">
        <v>8.74</v>
      </c>
      <c r="AM348" s="2" t="n">
        <v>27.98</v>
      </c>
      <c r="AN348" s="2" t="n">
        <v>27.98</v>
      </c>
      <c r="AO348" s="2" t="n">
        <v>31.43</v>
      </c>
      <c r="AP348" s="2" t="n">
        <v>47.48</v>
      </c>
      <c r="AQ348" s="2" t="n">
        <v>47.48</v>
      </c>
      <c r="AR348" s="2" t="n">
        <v>52</v>
      </c>
      <c r="AS348" s="2" t="n">
        <v>65.29000000000001</v>
      </c>
      <c r="AT348" s="2" t="n">
        <v>65.29000000000001</v>
      </c>
      <c r="AU348" s="2" t="n">
        <v>67.23</v>
      </c>
      <c r="AV348" s="2" t="n">
        <v>73.77</v>
      </c>
      <c r="AW348" s="2" t="n">
        <v>73.77</v>
      </c>
      <c r="AX348" s="2" t="n">
        <v>73.68000000000001</v>
      </c>
      <c r="AY348" s="2" t="n">
        <v>73.77</v>
      </c>
      <c r="AZ348" s="2" t="n">
        <v>73.77</v>
      </c>
      <c r="BA348" s="2" t="n">
        <v>73.62</v>
      </c>
      <c r="BB348" s="2" t="n">
        <v>73.77</v>
      </c>
      <c r="BC348" s="2" t="n">
        <v>73.77</v>
      </c>
      <c r="BD348" s="2" t="n">
        <v>73.77</v>
      </c>
      <c r="BE348" s="2" t="n">
        <v>73.77</v>
      </c>
      <c r="BF348" s="2" t="n">
        <v>73.77</v>
      </c>
      <c r="BG348" s="2" t="n">
        <v>73.77</v>
      </c>
      <c r="BH348" s="2" t="n">
        <v>73.77</v>
      </c>
      <c r="BI348" s="2" t="n">
        <v>73.77</v>
      </c>
      <c r="BJ348" s="2" t="n">
        <v>73.77</v>
      </c>
      <c r="BK348" s="2" t="n">
        <v>73.77</v>
      </c>
      <c r="BL348" s="2" t="n">
        <v>73.77</v>
      </c>
      <c r="BM348" s="2" t="n">
        <v>73.77</v>
      </c>
      <c r="BN348" s="2" t="n">
        <v>73.77</v>
      </c>
      <c r="BO348" s="2" t="n">
        <v>73.77</v>
      </c>
      <c r="BP348" s="2" t="n">
        <v>73.77</v>
      </c>
      <c r="BQ348" s="2" t="n">
        <v>73.77</v>
      </c>
      <c r="BR348" s="2" t="n">
        <v>73.77</v>
      </c>
      <c r="BS348" s="2" t="n">
        <v>73.77</v>
      </c>
      <c r="BT348" s="2" t="n">
        <v>73.77</v>
      </c>
      <c r="BU348" s="2" t="n">
        <v>73.77</v>
      </c>
      <c r="BV348" s="2" t="n">
        <v>73.77</v>
      </c>
      <c r="BW348" s="2" t="n">
        <v>81.64</v>
      </c>
      <c r="BX348" s="2" t="n">
        <v>81.64</v>
      </c>
      <c r="BY348" s="2" t="n">
        <v>75.58</v>
      </c>
      <c r="BZ348" s="2" t="n">
        <v>91.86</v>
      </c>
      <c r="CA348" s="2" t="n">
        <v>91.86</v>
      </c>
      <c r="CB348" s="2" t="n">
        <v>88.23999999999999</v>
      </c>
      <c r="CC348" s="2" t="n">
        <v>91.86</v>
      </c>
      <c r="CD348" s="2" t="n">
        <v>91.86</v>
      </c>
      <c r="CE348" s="2" t="n">
        <v>88.23999999999999</v>
      </c>
      <c r="CF348" s="2" t="n">
        <v>91.86</v>
      </c>
      <c r="CG348" s="2" t="n">
        <v>91.86</v>
      </c>
      <c r="CH348" s="2" t="n">
        <v>91.86</v>
      </c>
      <c r="CI348" s="2" t="n">
        <v>91.86</v>
      </c>
      <c r="CJ348" s="2" t="n">
        <v>91.86</v>
      </c>
      <c r="CK348" s="2" t="n">
        <v>91.86</v>
      </c>
      <c r="CL348" s="2" t="n">
        <v>91.86</v>
      </c>
      <c r="CM348" s="2" t="n">
        <v>91.86</v>
      </c>
      <c r="CN348" s="2" t="n">
        <v>91.86</v>
      </c>
      <c r="CO348" s="2" t="n">
        <v>91.86</v>
      </c>
      <c r="CP348" s="2" t="n">
        <v>91.86</v>
      </c>
      <c r="CQ348" s="2" t="n">
        <v>91.86</v>
      </c>
      <c r="CR348" s="2" t="n">
        <v>91.86</v>
      </c>
      <c r="CS348" s="2" t="n">
        <v>91.86</v>
      </c>
      <c r="CT348" s="2" t="n">
        <v>91.86</v>
      </c>
      <c r="CU348" s="2" t="n">
        <v>91.86</v>
      </c>
      <c r="CV348" s="2" t="n">
        <v>91.86</v>
      </c>
      <c r="CW348" s="2" t="n">
        <v>91.86</v>
      </c>
      <c r="CX348" s="2" t="n">
        <v>91.86</v>
      </c>
      <c r="CY348" s="2" t="n">
        <v>91.86</v>
      </c>
      <c r="CZ348" s="2" t="n">
        <v>91.86</v>
      </c>
      <c r="DA348" s="2" t="n">
        <v>92.59999999999999</v>
      </c>
      <c r="DB348" s="2" t="n">
        <v>92.59999999999999</v>
      </c>
      <c r="DC348" s="2" t="n">
        <v>91.86</v>
      </c>
      <c r="DD348" s="2" t="n">
        <v>95.06999999999999</v>
      </c>
      <c r="DE348" s="2" t="n">
        <v>95.06999999999999</v>
      </c>
      <c r="DF348" s="2" t="n">
        <v>91.86</v>
      </c>
      <c r="DG348" s="2" t="n">
        <v>97.78</v>
      </c>
      <c r="DH348" s="2" t="n">
        <v>97.78</v>
      </c>
      <c r="DI348" s="2" t="n">
        <v>91.86</v>
      </c>
      <c r="DJ348" s="2" t="n">
        <v>100</v>
      </c>
      <c r="DK348" s="2" t="n">
        <v>100</v>
      </c>
      <c r="DL348" s="2" t="n">
        <v>91.86</v>
      </c>
      <c r="DM348" s="2" t="n">
        <v>100</v>
      </c>
      <c r="DN348" s="2" t="n">
        <v>100</v>
      </c>
      <c r="DO348" s="2" t="n">
        <v>91.86</v>
      </c>
      <c r="DP348" s="2" t="n">
        <v>100</v>
      </c>
      <c r="DQ348" s="2" t="n">
        <v>100</v>
      </c>
      <c r="DR348" s="2" t="n">
        <v>91.86</v>
      </c>
      <c r="DS348" s="2" t="n">
        <v>100</v>
      </c>
      <c r="DT348" s="2" t="n">
        <v>100</v>
      </c>
      <c r="DU348" s="2" t="n">
        <v>91.86</v>
      </c>
      <c r="DV348" s="2" t="n">
        <v>100</v>
      </c>
      <c r="DW348" s="2" t="n">
        <v>100</v>
      </c>
      <c r="DX348" s="2" t="n">
        <v>91.86</v>
      </c>
      <c r="DY348" s="2" t="n">
        <v>100</v>
      </c>
      <c r="DZ348" s="2" t="n">
        <v>100</v>
      </c>
      <c r="EA348" s="2" t="n">
        <v>91.86</v>
      </c>
      <c r="EB348" s="2" t="n">
        <v>100</v>
      </c>
      <c r="EC348" s="2" t="n">
        <v>100</v>
      </c>
      <c r="ED348" s="2" t="n">
        <v>91.86</v>
      </c>
      <c r="EE348" s="2" t="n">
        <v>100</v>
      </c>
      <c r="EF348" s="2" t="n">
        <v>100</v>
      </c>
      <c r="EG348" s="2" t="n">
        <v>91.86</v>
      </c>
      <c r="EH348" s="2" t="n">
        <v>100</v>
      </c>
      <c r="EI348" s="2" t="n">
        <v>100</v>
      </c>
      <c r="EJ348" s="2" t="n">
        <v>91.86</v>
      </c>
      <c r="EK348" s="2" t="n">
        <v>100</v>
      </c>
      <c r="EL348" s="2" t="n">
        <v>100</v>
      </c>
      <c r="EM348" s="2" t="n">
        <v>91.86</v>
      </c>
      <c r="EN348" s="2" t="n">
        <v>100</v>
      </c>
      <c r="EO348" s="2" t="n">
        <v>100</v>
      </c>
      <c r="EP348" s="2" t="n">
        <v>91.86</v>
      </c>
      <c r="EQ348" s="2" t="n">
        <v>100</v>
      </c>
      <c r="ER348" s="2" t="n">
        <v>100</v>
      </c>
      <c r="ES348" s="2" t="n">
        <v>91.86</v>
      </c>
      <c r="ET348" s="2" t="n">
        <v>100</v>
      </c>
      <c r="EU348" s="2" t="n">
        <v>100</v>
      </c>
      <c r="EV348" s="2" t="n">
        <v>91.86</v>
      </c>
      <c r="EW348" s="2" t="n">
        <v>100</v>
      </c>
      <c r="EX348" s="2" t="n">
        <v>100</v>
      </c>
      <c r="EY348" s="2" t="n">
        <v>91.86</v>
      </c>
      <c r="EZ348" s="2" t="n">
        <v>100</v>
      </c>
      <c r="FA348" s="2" t="n">
        <v>100</v>
      </c>
      <c r="FB348" s="2" t="n">
        <v>91.86</v>
      </c>
      <c r="FC348" s="2" t="n">
        <v>100</v>
      </c>
      <c r="FD348" s="2" t="n">
        <v>100</v>
      </c>
      <c r="FE348" s="2" t="n">
        <v>91.86</v>
      </c>
      <c r="FF348" s="2" t="n">
        <v>100</v>
      </c>
      <c r="FG348" s="2" t="n">
        <v>100</v>
      </c>
      <c r="FH348" s="2" t="n">
        <v>91.86</v>
      </c>
      <c r="FI348" s="2" t="n">
        <v>100</v>
      </c>
      <c r="FJ348" s="2" t="n">
        <v>100</v>
      </c>
      <c r="FK348" s="2" t="n">
        <v>91.86</v>
      </c>
      <c r="FL348" s="2" t="n">
        <v>100</v>
      </c>
      <c r="FM348" s="2" t="n">
        <v>100</v>
      </c>
      <c r="FN348" s="2" t="n">
        <v>91.86</v>
      </c>
      <c r="FO348" s="2" t="n">
        <v>100</v>
      </c>
      <c r="FP348" s="2" t="n">
        <v>100</v>
      </c>
      <c r="FQ348" s="2" t="n">
        <v>91.86</v>
      </c>
    </row>
    <row r="349">
      <c r="A349" s="2" t="n">
        <v>4</v>
      </c>
      <c r="B349" s="2" t="inlineStr">
        <is>
          <t>16.01.01.11</t>
        </is>
      </c>
      <c r="C349" s="2" t="inlineStr">
        <is>
          <t>Impermeabilização de cintas e blocos com pintura asfáltica tipo neutrol ou similar</t>
        </is>
      </c>
      <c r="D349" s="2" t="inlineStr">
        <is>
          <t>14/05/2025</t>
        </is>
      </c>
      <c r="E349" s="2" t="inlineStr">
        <is>
          <t>26/07/2027</t>
        </is>
      </c>
      <c r="F349" s="2" t="n">
        <v>21106.42379092349</v>
      </c>
      <c r="G349" s="2" t="n">
        <v>0</v>
      </c>
      <c r="H349" s="2" t="n">
        <v>21106.42379092349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11.02</v>
      </c>
      <c r="AK349" s="2" t="n">
        <v>11.02</v>
      </c>
      <c r="AL349" s="2" t="n">
        <v>8.74</v>
      </c>
      <c r="AM349" s="2" t="n">
        <v>27.98</v>
      </c>
      <c r="AN349" s="2" t="n">
        <v>27.98</v>
      </c>
      <c r="AO349" s="2" t="n">
        <v>31.43</v>
      </c>
      <c r="AP349" s="2" t="n">
        <v>47.48</v>
      </c>
      <c r="AQ349" s="2" t="n">
        <v>47.48</v>
      </c>
      <c r="AR349" s="2" t="n">
        <v>52</v>
      </c>
      <c r="AS349" s="2" t="n">
        <v>65.29000000000001</v>
      </c>
      <c r="AT349" s="2" t="n">
        <v>65.29000000000001</v>
      </c>
      <c r="AU349" s="2" t="n">
        <v>67.23</v>
      </c>
      <c r="AV349" s="2" t="n">
        <v>73.77</v>
      </c>
      <c r="AW349" s="2" t="n">
        <v>73.77</v>
      </c>
      <c r="AX349" s="2" t="n">
        <v>73.68000000000001</v>
      </c>
      <c r="AY349" s="2" t="n">
        <v>73.77</v>
      </c>
      <c r="AZ349" s="2" t="n">
        <v>73.77</v>
      </c>
      <c r="BA349" s="2" t="n">
        <v>73.62</v>
      </c>
      <c r="BB349" s="2" t="n">
        <v>73.77</v>
      </c>
      <c r="BC349" s="2" t="n">
        <v>73.77</v>
      </c>
      <c r="BD349" s="2" t="n">
        <v>73.77</v>
      </c>
      <c r="BE349" s="2" t="n">
        <v>73.77</v>
      </c>
      <c r="BF349" s="2" t="n">
        <v>73.77</v>
      </c>
      <c r="BG349" s="2" t="n">
        <v>73.77</v>
      </c>
      <c r="BH349" s="2" t="n">
        <v>73.77</v>
      </c>
      <c r="BI349" s="2" t="n">
        <v>73.77</v>
      </c>
      <c r="BJ349" s="2" t="n">
        <v>73.77</v>
      </c>
      <c r="BK349" s="2" t="n">
        <v>73.77</v>
      </c>
      <c r="BL349" s="2" t="n">
        <v>73.77</v>
      </c>
      <c r="BM349" s="2" t="n">
        <v>73.77</v>
      </c>
      <c r="BN349" s="2" t="n">
        <v>73.77</v>
      </c>
      <c r="BO349" s="2" t="n">
        <v>73.77</v>
      </c>
      <c r="BP349" s="2" t="n">
        <v>73.77</v>
      </c>
      <c r="BQ349" s="2" t="n">
        <v>73.77</v>
      </c>
      <c r="BR349" s="2" t="n">
        <v>73.77</v>
      </c>
      <c r="BS349" s="2" t="n">
        <v>73.77</v>
      </c>
      <c r="BT349" s="2" t="n">
        <v>73.77</v>
      </c>
      <c r="BU349" s="2" t="n">
        <v>73.77</v>
      </c>
      <c r="BV349" s="2" t="n">
        <v>73.77</v>
      </c>
      <c r="BW349" s="2" t="n">
        <v>81.64</v>
      </c>
      <c r="BX349" s="2" t="n">
        <v>81.64</v>
      </c>
      <c r="BY349" s="2" t="n">
        <v>75.58</v>
      </c>
      <c r="BZ349" s="2" t="n">
        <v>91.86</v>
      </c>
      <c r="CA349" s="2" t="n">
        <v>91.86</v>
      </c>
      <c r="CB349" s="2" t="n">
        <v>88.23999999999999</v>
      </c>
      <c r="CC349" s="2" t="n">
        <v>91.86</v>
      </c>
      <c r="CD349" s="2" t="n">
        <v>91.86</v>
      </c>
      <c r="CE349" s="2" t="n">
        <v>88.23999999999999</v>
      </c>
      <c r="CF349" s="2" t="n">
        <v>91.86</v>
      </c>
      <c r="CG349" s="2" t="n">
        <v>91.86</v>
      </c>
      <c r="CH349" s="2" t="n">
        <v>91.86</v>
      </c>
      <c r="CI349" s="2" t="n">
        <v>91.86</v>
      </c>
      <c r="CJ349" s="2" t="n">
        <v>91.86</v>
      </c>
      <c r="CK349" s="2" t="n">
        <v>91.86</v>
      </c>
      <c r="CL349" s="2" t="n">
        <v>91.86</v>
      </c>
      <c r="CM349" s="2" t="n">
        <v>91.86</v>
      </c>
      <c r="CN349" s="2" t="n">
        <v>91.86</v>
      </c>
      <c r="CO349" s="2" t="n">
        <v>91.86</v>
      </c>
      <c r="CP349" s="2" t="n">
        <v>91.86</v>
      </c>
      <c r="CQ349" s="2" t="n">
        <v>91.86</v>
      </c>
      <c r="CR349" s="2" t="n">
        <v>91.86</v>
      </c>
      <c r="CS349" s="2" t="n">
        <v>91.86</v>
      </c>
      <c r="CT349" s="2" t="n">
        <v>91.86</v>
      </c>
      <c r="CU349" s="2" t="n">
        <v>91.86</v>
      </c>
      <c r="CV349" s="2" t="n">
        <v>91.86</v>
      </c>
      <c r="CW349" s="2" t="n">
        <v>91.86</v>
      </c>
      <c r="CX349" s="2" t="n">
        <v>91.86</v>
      </c>
      <c r="CY349" s="2" t="n">
        <v>91.86</v>
      </c>
      <c r="CZ349" s="2" t="n">
        <v>91.86</v>
      </c>
      <c r="DA349" s="2" t="n">
        <v>92.59999999999999</v>
      </c>
      <c r="DB349" s="2" t="n">
        <v>92.59999999999999</v>
      </c>
      <c r="DC349" s="2" t="n">
        <v>91.86</v>
      </c>
      <c r="DD349" s="2" t="n">
        <v>95.06999999999999</v>
      </c>
      <c r="DE349" s="2" t="n">
        <v>95.06999999999999</v>
      </c>
      <c r="DF349" s="2" t="n">
        <v>91.86</v>
      </c>
      <c r="DG349" s="2" t="n">
        <v>97.78</v>
      </c>
      <c r="DH349" s="2" t="n">
        <v>97.78</v>
      </c>
      <c r="DI349" s="2" t="n">
        <v>91.86</v>
      </c>
      <c r="DJ349" s="2" t="n">
        <v>100</v>
      </c>
      <c r="DK349" s="2" t="n">
        <v>100</v>
      </c>
      <c r="DL349" s="2" t="n">
        <v>91.86</v>
      </c>
      <c r="DM349" s="2" t="n">
        <v>100</v>
      </c>
      <c r="DN349" s="2" t="n">
        <v>100</v>
      </c>
      <c r="DO349" s="2" t="n">
        <v>91.86</v>
      </c>
      <c r="DP349" s="2" t="n">
        <v>100</v>
      </c>
      <c r="DQ349" s="2" t="n">
        <v>100</v>
      </c>
      <c r="DR349" s="2" t="n">
        <v>91.86</v>
      </c>
      <c r="DS349" s="2" t="n">
        <v>100</v>
      </c>
      <c r="DT349" s="2" t="n">
        <v>100</v>
      </c>
      <c r="DU349" s="2" t="n">
        <v>91.86</v>
      </c>
      <c r="DV349" s="2" t="n">
        <v>100</v>
      </c>
      <c r="DW349" s="2" t="n">
        <v>100</v>
      </c>
      <c r="DX349" s="2" t="n">
        <v>91.86</v>
      </c>
      <c r="DY349" s="2" t="n">
        <v>100</v>
      </c>
      <c r="DZ349" s="2" t="n">
        <v>100</v>
      </c>
      <c r="EA349" s="2" t="n">
        <v>91.86</v>
      </c>
      <c r="EB349" s="2" t="n">
        <v>100</v>
      </c>
      <c r="EC349" s="2" t="n">
        <v>100</v>
      </c>
      <c r="ED349" s="2" t="n">
        <v>91.86</v>
      </c>
      <c r="EE349" s="2" t="n">
        <v>100</v>
      </c>
      <c r="EF349" s="2" t="n">
        <v>100</v>
      </c>
      <c r="EG349" s="2" t="n">
        <v>91.86</v>
      </c>
      <c r="EH349" s="2" t="n">
        <v>100</v>
      </c>
      <c r="EI349" s="2" t="n">
        <v>100</v>
      </c>
      <c r="EJ349" s="2" t="n">
        <v>91.86</v>
      </c>
      <c r="EK349" s="2" t="n">
        <v>100</v>
      </c>
      <c r="EL349" s="2" t="n">
        <v>100</v>
      </c>
      <c r="EM349" s="2" t="n">
        <v>91.86</v>
      </c>
      <c r="EN349" s="2" t="n">
        <v>100</v>
      </c>
      <c r="EO349" s="2" t="n">
        <v>100</v>
      </c>
      <c r="EP349" s="2" t="n">
        <v>91.86</v>
      </c>
      <c r="EQ349" s="2" t="n">
        <v>100</v>
      </c>
      <c r="ER349" s="2" t="n">
        <v>100</v>
      </c>
      <c r="ES349" s="2" t="n">
        <v>91.86</v>
      </c>
      <c r="ET349" s="2" t="n">
        <v>100</v>
      </c>
      <c r="EU349" s="2" t="n">
        <v>100</v>
      </c>
      <c r="EV349" s="2" t="n">
        <v>91.86</v>
      </c>
      <c r="EW349" s="2" t="n">
        <v>100</v>
      </c>
      <c r="EX349" s="2" t="n">
        <v>100</v>
      </c>
      <c r="EY349" s="2" t="n">
        <v>91.86</v>
      </c>
      <c r="EZ349" s="2" t="n">
        <v>100</v>
      </c>
      <c r="FA349" s="2" t="n">
        <v>100</v>
      </c>
      <c r="FB349" s="2" t="n">
        <v>91.86</v>
      </c>
      <c r="FC349" s="2" t="n">
        <v>100</v>
      </c>
      <c r="FD349" s="2" t="n">
        <v>100</v>
      </c>
      <c r="FE349" s="2" t="n">
        <v>91.86</v>
      </c>
      <c r="FF349" s="2" t="n">
        <v>100</v>
      </c>
      <c r="FG349" s="2" t="n">
        <v>100</v>
      </c>
      <c r="FH349" s="2" t="n">
        <v>91.86</v>
      </c>
      <c r="FI349" s="2" t="n">
        <v>100</v>
      </c>
      <c r="FJ349" s="2" t="n">
        <v>100</v>
      </c>
      <c r="FK349" s="2" t="n">
        <v>91.86</v>
      </c>
      <c r="FL349" s="2" t="n">
        <v>100</v>
      </c>
      <c r="FM349" s="2" t="n">
        <v>100</v>
      </c>
      <c r="FN349" s="2" t="n">
        <v>91.86</v>
      </c>
      <c r="FO349" s="2" t="n">
        <v>100</v>
      </c>
      <c r="FP349" s="2" t="n">
        <v>100</v>
      </c>
      <c r="FQ349" s="2" t="n">
        <v>91.86</v>
      </c>
    </row>
    <row r="350">
      <c r="A350" s="2" t="n">
        <v>4</v>
      </c>
      <c r="B350" s="2" t="inlineStr">
        <is>
          <t>16.01.01.12</t>
        </is>
      </c>
      <c r="C350" s="2" t="inlineStr">
        <is>
          <t>Escoramento de blocos e cintas (SST)</t>
        </is>
      </c>
      <c r="D350" s="2" t="inlineStr">
        <is>
          <t>14/05/2025</t>
        </is>
      </c>
      <c r="E350" s="2" t="inlineStr">
        <is>
          <t>26/07/2027</t>
        </is>
      </c>
      <c r="F350" s="2" t="n">
        <v>30000</v>
      </c>
      <c r="G350" s="2" t="n">
        <v>0</v>
      </c>
      <c r="H350" s="2" t="n">
        <v>30000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11.02</v>
      </c>
      <c r="AK350" s="2" t="n">
        <v>11.02</v>
      </c>
      <c r="AL350" s="2" t="n">
        <v>8.74</v>
      </c>
      <c r="AM350" s="2" t="n">
        <v>27.98</v>
      </c>
      <c r="AN350" s="2" t="n">
        <v>27.98</v>
      </c>
      <c r="AO350" s="2" t="n">
        <v>31.43</v>
      </c>
      <c r="AP350" s="2" t="n">
        <v>47.48</v>
      </c>
      <c r="AQ350" s="2" t="n">
        <v>47.48</v>
      </c>
      <c r="AR350" s="2" t="n">
        <v>52</v>
      </c>
      <c r="AS350" s="2" t="n">
        <v>65.29000000000001</v>
      </c>
      <c r="AT350" s="2" t="n">
        <v>65.29000000000001</v>
      </c>
      <c r="AU350" s="2" t="n">
        <v>67.23</v>
      </c>
      <c r="AV350" s="2" t="n">
        <v>73.77</v>
      </c>
      <c r="AW350" s="2" t="n">
        <v>73.77</v>
      </c>
      <c r="AX350" s="2" t="n">
        <v>73.68000000000001</v>
      </c>
      <c r="AY350" s="2" t="n">
        <v>73.77</v>
      </c>
      <c r="AZ350" s="2" t="n">
        <v>73.77</v>
      </c>
      <c r="BA350" s="2" t="n">
        <v>73.62</v>
      </c>
      <c r="BB350" s="2" t="n">
        <v>73.77</v>
      </c>
      <c r="BC350" s="2" t="n">
        <v>73.77</v>
      </c>
      <c r="BD350" s="2" t="n">
        <v>73.77</v>
      </c>
      <c r="BE350" s="2" t="n">
        <v>73.77</v>
      </c>
      <c r="BF350" s="2" t="n">
        <v>73.77</v>
      </c>
      <c r="BG350" s="2" t="n">
        <v>73.77</v>
      </c>
      <c r="BH350" s="2" t="n">
        <v>73.77</v>
      </c>
      <c r="BI350" s="2" t="n">
        <v>73.77</v>
      </c>
      <c r="BJ350" s="2" t="n">
        <v>73.77</v>
      </c>
      <c r="BK350" s="2" t="n">
        <v>73.77</v>
      </c>
      <c r="BL350" s="2" t="n">
        <v>73.77</v>
      </c>
      <c r="BM350" s="2" t="n">
        <v>73.77</v>
      </c>
      <c r="BN350" s="2" t="n">
        <v>73.77</v>
      </c>
      <c r="BO350" s="2" t="n">
        <v>73.77</v>
      </c>
      <c r="BP350" s="2" t="n">
        <v>73.77</v>
      </c>
      <c r="BQ350" s="2" t="n">
        <v>73.77</v>
      </c>
      <c r="BR350" s="2" t="n">
        <v>73.77</v>
      </c>
      <c r="BS350" s="2" t="n">
        <v>73.77</v>
      </c>
      <c r="BT350" s="2" t="n">
        <v>73.77</v>
      </c>
      <c r="BU350" s="2" t="n">
        <v>73.77</v>
      </c>
      <c r="BV350" s="2" t="n">
        <v>73.77</v>
      </c>
      <c r="BW350" s="2" t="n">
        <v>81.64</v>
      </c>
      <c r="BX350" s="2" t="n">
        <v>81.64</v>
      </c>
      <c r="BY350" s="2" t="n">
        <v>75.58</v>
      </c>
      <c r="BZ350" s="2" t="n">
        <v>91.86</v>
      </c>
      <c r="CA350" s="2" t="n">
        <v>91.86</v>
      </c>
      <c r="CB350" s="2" t="n">
        <v>88.23999999999999</v>
      </c>
      <c r="CC350" s="2" t="n">
        <v>91.86</v>
      </c>
      <c r="CD350" s="2" t="n">
        <v>91.86</v>
      </c>
      <c r="CE350" s="2" t="n">
        <v>88.23999999999999</v>
      </c>
      <c r="CF350" s="2" t="n">
        <v>91.86</v>
      </c>
      <c r="CG350" s="2" t="n">
        <v>91.86</v>
      </c>
      <c r="CH350" s="2" t="n">
        <v>91.86</v>
      </c>
      <c r="CI350" s="2" t="n">
        <v>91.86</v>
      </c>
      <c r="CJ350" s="2" t="n">
        <v>91.86</v>
      </c>
      <c r="CK350" s="2" t="n">
        <v>91.86</v>
      </c>
      <c r="CL350" s="2" t="n">
        <v>91.86</v>
      </c>
      <c r="CM350" s="2" t="n">
        <v>91.86</v>
      </c>
      <c r="CN350" s="2" t="n">
        <v>91.86</v>
      </c>
      <c r="CO350" s="2" t="n">
        <v>91.86</v>
      </c>
      <c r="CP350" s="2" t="n">
        <v>91.86</v>
      </c>
      <c r="CQ350" s="2" t="n">
        <v>91.86</v>
      </c>
      <c r="CR350" s="2" t="n">
        <v>91.86</v>
      </c>
      <c r="CS350" s="2" t="n">
        <v>91.86</v>
      </c>
      <c r="CT350" s="2" t="n">
        <v>91.86</v>
      </c>
      <c r="CU350" s="2" t="n">
        <v>91.86</v>
      </c>
      <c r="CV350" s="2" t="n">
        <v>91.86</v>
      </c>
      <c r="CW350" s="2" t="n">
        <v>91.86</v>
      </c>
      <c r="CX350" s="2" t="n">
        <v>91.86</v>
      </c>
      <c r="CY350" s="2" t="n">
        <v>91.86</v>
      </c>
      <c r="CZ350" s="2" t="n">
        <v>91.86</v>
      </c>
      <c r="DA350" s="2" t="n">
        <v>92.59999999999999</v>
      </c>
      <c r="DB350" s="2" t="n">
        <v>92.59999999999999</v>
      </c>
      <c r="DC350" s="2" t="n">
        <v>91.86</v>
      </c>
      <c r="DD350" s="2" t="n">
        <v>95.06999999999999</v>
      </c>
      <c r="DE350" s="2" t="n">
        <v>95.06999999999999</v>
      </c>
      <c r="DF350" s="2" t="n">
        <v>91.86</v>
      </c>
      <c r="DG350" s="2" t="n">
        <v>97.78</v>
      </c>
      <c r="DH350" s="2" t="n">
        <v>97.78</v>
      </c>
      <c r="DI350" s="2" t="n">
        <v>91.86</v>
      </c>
      <c r="DJ350" s="2" t="n">
        <v>100</v>
      </c>
      <c r="DK350" s="2" t="n">
        <v>100</v>
      </c>
      <c r="DL350" s="2" t="n">
        <v>91.86</v>
      </c>
      <c r="DM350" s="2" t="n">
        <v>100</v>
      </c>
      <c r="DN350" s="2" t="n">
        <v>100</v>
      </c>
      <c r="DO350" s="2" t="n">
        <v>91.86</v>
      </c>
      <c r="DP350" s="2" t="n">
        <v>100</v>
      </c>
      <c r="DQ350" s="2" t="n">
        <v>100</v>
      </c>
      <c r="DR350" s="2" t="n">
        <v>91.86</v>
      </c>
      <c r="DS350" s="2" t="n">
        <v>100</v>
      </c>
      <c r="DT350" s="2" t="n">
        <v>100</v>
      </c>
      <c r="DU350" s="2" t="n">
        <v>91.86</v>
      </c>
      <c r="DV350" s="2" t="n">
        <v>100</v>
      </c>
      <c r="DW350" s="2" t="n">
        <v>100</v>
      </c>
      <c r="DX350" s="2" t="n">
        <v>91.86</v>
      </c>
      <c r="DY350" s="2" t="n">
        <v>100</v>
      </c>
      <c r="DZ350" s="2" t="n">
        <v>100</v>
      </c>
      <c r="EA350" s="2" t="n">
        <v>91.86</v>
      </c>
      <c r="EB350" s="2" t="n">
        <v>100</v>
      </c>
      <c r="EC350" s="2" t="n">
        <v>100</v>
      </c>
      <c r="ED350" s="2" t="n">
        <v>91.86</v>
      </c>
      <c r="EE350" s="2" t="n">
        <v>100</v>
      </c>
      <c r="EF350" s="2" t="n">
        <v>100</v>
      </c>
      <c r="EG350" s="2" t="n">
        <v>91.86</v>
      </c>
      <c r="EH350" s="2" t="n">
        <v>100</v>
      </c>
      <c r="EI350" s="2" t="n">
        <v>100</v>
      </c>
      <c r="EJ350" s="2" t="n">
        <v>91.86</v>
      </c>
      <c r="EK350" s="2" t="n">
        <v>100</v>
      </c>
      <c r="EL350" s="2" t="n">
        <v>100</v>
      </c>
      <c r="EM350" s="2" t="n">
        <v>91.86</v>
      </c>
      <c r="EN350" s="2" t="n">
        <v>100</v>
      </c>
      <c r="EO350" s="2" t="n">
        <v>100</v>
      </c>
      <c r="EP350" s="2" t="n">
        <v>91.86</v>
      </c>
      <c r="EQ350" s="2" t="n">
        <v>100</v>
      </c>
      <c r="ER350" s="2" t="n">
        <v>100</v>
      </c>
      <c r="ES350" s="2" t="n">
        <v>91.86</v>
      </c>
      <c r="ET350" s="2" t="n">
        <v>100</v>
      </c>
      <c r="EU350" s="2" t="n">
        <v>100</v>
      </c>
      <c r="EV350" s="2" t="n">
        <v>91.86</v>
      </c>
      <c r="EW350" s="2" t="n">
        <v>100</v>
      </c>
      <c r="EX350" s="2" t="n">
        <v>100</v>
      </c>
      <c r="EY350" s="2" t="n">
        <v>91.86</v>
      </c>
      <c r="EZ350" s="2" t="n">
        <v>100</v>
      </c>
      <c r="FA350" s="2" t="n">
        <v>100</v>
      </c>
      <c r="FB350" s="2" t="n">
        <v>91.86</v>
      </c>
      <c r="FC350" s="2" t="n">
        <v>100</v>
      </c>
      <c r="FD350" s="2" t="n">
        <v>100</v>
      </c>
      <c r="FE350" s="2" t="n">
        <v>91.86</v>
      </c>
      <c r="FF350" s="2" t="n">
        <v>100</v>
      </c>
      <c r="FG350" s="2" t="n">
        <v>100</v>
      </c>
      <c r="FH350" s="2" t="n">
        <v>91.86</v>
      </c>
      <c r="FI350" s="2" t="n">
        <v>100</v>
      </c>
      <c r="FJ350" s="2" t="n">
        <v>100</v>
      </c>
      <c r="FK350" s="2" t="n">
        <v>91.86</v>
      </c>
      <c r="FL350" s="2" t="n">
        <v>100</v>
      </c>
      <c r="FM350" s="2" t="n">
        <v>100</v>
      </c>
      <c r="FN350" s="2" t="n">
        <v>91.86</v>
      </c>
      <c r="FO350" s="2" t="n">
        <v>100</v>
      </c>
      <c r="FP350" s="2" t="n">
        <v>100</v>
      </c>
      <c r="FQ350" s="2" t="n">
        <v>91.86</v>
      </c>
    </row>
    <row r="351">
      <c r="A351" s="2" t="n">
        <v>4</v>
      </c>
      <c r="B351" s="2" t="inlineStr">
        <is>
          <t>16.01.01.13</t>
        </is>
      </c>
      <c r="C351" s="2" t="inlineStr">
        <is>
          <t>Chapisco contrabarranco</t>
        </is>
      </c>
      <c r="D351" s="2" t="inlineStr">
        <is>
          <t>14/05/2025</t>
        </is>
      </c>
      <c r="E351" s="2" t="inlineStr">
        <is>
          <t>26/07/2027</t>
        </is>
      </c>
      <c r="F351" s="2" t="n">
        <v>17679.77684422539</v>
      </c>
      <c r="G351" s="2" t="n">
        <v>0</v>
      </c>
      <c r="H351" s="2" t="n">
        <v>17679.77684422539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11.02</v>
      </c>
      <c r="AK351" s="2" t="n">
        <v>11.02</v>
      </c>
      <c r="AL351" s="2" t="n">
        <v>8.74</v>
      </c>
      <c r="AM351" s="2" t="n">
        <v>27.98</v>
      </c>
      <c r="AN351" s="2" t="n">
        <v>27.98</v>
      </c>
      <c r="AO351" s="2" t="n">
        <v>31.43</v>
      </c>
      <c r="AP351" s="2" t="n">
        <v>47.48</v>
      </c>
      <c r="AQ351" s="2" t="n">
        <v>47.48</v>
      </c>
      <c r="AR351" s="2" t="n">
        <v>52</v>
      </c>
      <c r="AS351" s="2" t="n">
        <v>65.29000000000001</v>
      </c>
      <c r="AT351" s="2" t="n">
        <v>65.29000000000001</v>
      </c>
      <c r="AU351" s="2" t="n">
        <v>67.23</v>
      </c>
      <c r="AV351" s="2" t="n">
        <v>73.77</v>
      </c>
      <c r="AW351" s="2" t="n">
        <v>73.77</v>
      </c>
      <c r="AX351" s="2" t="n">
        <v>73.68000000000001</v>
      </c>
      <c r="AY351" s="2" t="n">
        <v>73.77</v>
      </c>
      <c r="AZ351" s="2" t="n">
        <v>73.77</v>
      </c>
      <c r="BA351" s="2" t="n">
        <v>73.62</v>
      </c>
      <c r="BB351" s="2" t="n">
        <v>73.77</v>
      </c>
      <c r="BC351" s="2" t="n">
        <v>73.77</v>
      </c>
      <c r="BD351" s="2" t="n">
        <v>73.77</v>
      </c>
      <c r="BE351" s="2" t="n">
        <v>73.77</v>
      </c>
      <c r="BF351" s="2" t="n">
        <v>73.77</v>
      </c>
      <c r="BG351" s="2" t="n">
        <v>73.77</v>
      </c>
      <c r="BH351" s="2" t="n">
        <v>73.77</v>
      </c>
      <c r="BI351" s="2" t="n">
        <v>73.77</v>
      </c>
      <c r="BJ351" s="2" t="n">
        <v>73.77</v>
      </c>
      <c r="BK351" s="2" t="n">
        <v>73.77</v>
      </c>
      <c r="BL351" s="2" t="n">
        <v>73.77</v>
      </c>
      <c r="BM351" s="2" t="n">
        <v>73.77</v>
      </c>
      <c r="BN351" s="2" t="n">
        <v>73.77</v>
      </c>
      <c r="BO351" s="2" t="n">
        <v>73.77</v>
      </c>
      <c r="BP351" s="2" t="n">
        <v>73.77</v>
      </c>
      <c r="BQ351" s="2" t="n">
        <v>73.77</v>
      </c>
      <c r="BR351" s="2" t="n">
        <v>73.77</v>
      </c>
      <c r="BS351" s="2" t="n">
        <v>73.77</v>
      </c>
      <c r="BT351" s="2" t="n">
        <v>73.77</v>
      </c>
      <c r="BU351" s="2" t="n">
        <v>73.77</v>
      </c>
      <c r="BV351" s="2" t="n">
        <v>73.77</v>
      </c>
      <c r="BW351" s="2" t="n">
        <v>81.64</v>
      </c>
      <c r="BX351" s="2" t="n">
        <v>81.64</v>
      </c>
      <c r="BY351" s="2" t="n">
        <v>75.58</v>
      </c>
      <c r="BZ351" s="2" t="n">
        <v>91.86</v>
      </c>
      <c r="CA351" s="2" t="n">
        <v>91.86</v>
      </c>
      <c r="CB351" s="2" t="n">
        <v>88.23999999999999</v>
      </c>
      <c r="CC351" s="2" t="n">
        <v>91.86</v>
      </c>
      <c r="CD351" s="2" t="n">
        <v>91.86</v>
      </c>
      <c r="CE351" s="2" t="n">
        <v>88.23999999999999</v>
      </c>
      <c r="CF351" s="2" t="n">
        <v>91.86</v>
      </c>
      <c r="CG351" s="2" t="n">
        <v>91.86</v>
      </c>
      <c r="CH351" s="2" t="n">
        <v>91.86</v>
      </c>
      <c r="CI351" s="2" t="n">
        <v>91.86</v>
      </c>
      <c r="CJ351" s="2" t="n">
        <v>91.86</v>
      </c>
      <c r="CK351" s="2" t="n">
        <v>91.86</v>
      </c>
      <c r="CL351" s="2" t="n">
        <v>91.86</v>
      </c>
      <c r="CM351" s="2" t="n">
        <v>91.86</v>
      </c>
      <c r="CN351" s="2" t="n">
        <v>91.86</v>
      </c>
      <c r="CO351" s="2" t="n">
        <v>91.86</v>
      </c>
      <c r="CP351" s="2" t="n">
        <v>91.86</v>
      </c>
      <c r="CQ351" s="2" t="n">
        <v>91.86</v>
      </c>
      <c r="CR351" s="2" t="n">
        <v>91.86</v>
      </c>
      <c r="CS351" s="2" t="n">
        <v>91.86</v>
      </c>
      <c r="CT351" s="2" t="n">
        <v>91.86</v>
      </c>
      <c r="CU351" s="2" t="n">
        <v>91.86</v>
      </c>
      <c r="CV351" s="2" t="n">
        <v>91.86</v>
      </c>
      <c r="CW351" s="2" t="n">
        <v>91.86</v>
      </c>
      <c r="CX351" s="2" t="n">
        <v>91.86</v>
      </c>
      <c r="CY351" s="2" t="n">
        <v>91.86</v>
      </c>
      <c r="CZ351" s="2" t="n">
        <v>91.86</v>
      </c>
      <c r="DA351" s="2" t="n">
        <v>92.59999999999999</v>
      </c>
      <c r="DB351" s="2" t="n">
        <v>92.59999999999999</v>
      </c>
      <c r="DC351" s="2" t="n">
        <v>91.86</v>
      </c>
      <c r="DD351" s="2" t="n">
        <v>95.06999999999999</v>
      </c>
      <c r="DE351" s="2" t="n">
        <v>95.06999999999999</v>
      </c>
      <c r="DF351" s="2" t="n">
        <v>91.86</v>
      </c>
      <c r="DG351" s="2" t="n">
        <v>97.78</v>
      </c>
      <c r="DH351" s="2" t="n">
        <v>97.78</v>
      </c>
      <c r="DI351" s="2" t="n">
        <v>91.86</v>
      </c>
      <c r="DJ351" s="2" t="n">
        <v>100</v>
      </c>
      <c r="DK351" s="2" t="n">
        <v>100</v>
      </c>
      <c r="DL351" s="2" t="n">
        <v>91.86</v>
      </c>
      <c r="DM351" s="2" t="n">
        <v>100</v>
      </c>
      <c r="DN351" s="2" t="n">
        <v>100</v>
      </c>
      <c r="DO351" s="2" t="n">
        <v>91.86</v>
      </c>
      <c r="DP351" s="2" t="n">
        <v>100</v>
      </c>
      <c r="DQ351" s="2" t="n">
        <v>100</v>
      </c>
      <c r="DR351" s="2" t="n">
        <v>91.86</v>
      </c>
      <c r="DS351" s="2" t="n">
        <v>100</v>
      </c>
      <c r="DT351" s="2" t="n">
        <v>100</v>
      </c>
      <c r="DU351" s="2" t="n">
        <v>91.86</v>
      </c>
      <c r="DV351" s="2" t="n">
        <v>100</v>
      </c>
      <c r="DW351" s="2" t="n">
        <v>100</v>
      </c>
      <c r="DX351" s="2" t="n">
        <v>91.86</v>
      </c>
      <c r="DY351" s="2" t="n">
        <v>100</v>
      </c>
      <c r="DZ351" s="2" t="n">
        <v>100</v>
      </c>
      <c r="EA351" s="2" t="n">
        <v>91.86</v>
      </c>
      <c r="EB351" s="2" t="n">
        <v>100</v>
      </c>
      <c r="EC351" s="2" t="n">
        <v>100</v>
      </c>
      <c r="ED351" s="2" t="n">
        <v>91.86</v>
      </c>
      <c r="EE351" s="2" t="n">
        <v>100</v>
      </c>
      <c r="EF351" s="2" t="n">
        <v>100</v>
      </c>
      <c r="EG351" s="2" t="n">
        <v>91.86</v>
      </c>
      <c r="EH351" s="2" t="n">
        <v>100</v>
      </c>
      <c r="EI351" s="2" t="n">
        <v>100</v>
      </c>
      <c r="EJ351" s="2" t="n">
        <v>91.86</v>
      </c>
      <c r="EK351" s="2" t="n">
        <v>100</v>
      </c>
      <c r="EL351" s="2" t="n">
        <v>100</v>
      </c>
      <c r="EM351" s="2" t="n">
        <v>91.86</v>
      </c>
      <c r="EN351" s="2" t="n">
        <v>100</v>
      </c>
      <c r="EO351" s="2" t="n">
        <v>100</v>
      </c>
      <c r="EP351" s="2" t="n">
        <v>91.86</v>
      </c>
      <c r="EQ351" s="2" t="n">
        <v>100</v>
      </c>
      <c r="ER351" s="2" t="n">
        <v>100</v>
      </c>
      <c r="ES351" s="2" t="n">
        <v>91.86</v>
      </c>
      <c r="ET351" s="2" t="n">
        <v>100</v>
      </c>
      <c r="EU351" s="2" t="n">
        <v>100</v>
      </c>
      <c r="EV351" s="2" t="n">
        <v>91.86</v>
      </c>
      <c r="EW351" s="2" t="n">
        <v>100</v>
      </c>
      <c r="EX351" s="2" t="n">
        <v>100</v>
      </c>
      <c r="EY351" s="2" t="n">
        <v>91.86</v>
      </c>
      <c r="EZ351" s="2" t="n">
        <v>100</v>
      </c>
      <c r="FA351" s="2" t="n">
        <v>100</v>
      </c>
      <c r="FB351" s="2" t="n">
        <v>91.86</v>
      </c>
      <c r="FC351" s="2" t="n">
        <v>100</v>
      </c>
      <c r="FD351" s="2" t="n">
        <v>100</v>
      </c>
      <c r="FE351" s="2" t="n">
        <v>91.86</v>
      </c>
      <c r="FF351" s="2" t="n">
        <v>100</v>
      </c>
      <c r="FG351" s="2" t="n">
        <v>100</v>
      </c>
      <c r="FH351" s="2" t="n">
        <v>91.86</v>
      </c>
      <c r="FI351" s="2" t="n">
        <v>100</v>
      </c>
      <c r="FJ351" s="2" t="n">
        <v>100</v>
      </c>
      <c r="FK351" s="2" t="n">
        <v>91.86</v>
      </c>
      <c r="FL351" s="2" t="n">
        <v>100</v>
      </c>
      <c r="FM351" s="2" t="n">
        <v>100</v>
      </c>
      <c r="FN351" s="2" t="n">
        <v>91.86</v>
      </c>
      <c r="FO351" s="2" t="n">
        <v>100</v>
      </c>
      <c r="FP351" s="2" t="n">
        <v>100</v>
      </c>
      <c r="FQ351" s="2" t="n">
        <v>91.86</v>
      </c>
    </row>
    <row r="352">
      <c r="A352" s="2" t="n">
        <v>3</v>
      </c>
      <c r="B352" s="2" t="inlineStr">
        <is>
          <t>16.01.02</t>
        </is>
      </c>
      <c r="C352" s="2" t="inlineStr">
        <is>
          <t>Lajes de contrapiso</t>
        </is>
      </c>
      <c r="D352" s="2" t="inlineStr">
        <is>
          <t>14/05/2025</t>
        </is>
      </c>
      <c r="E352" s="2" t="inlineStr">
        <is>
          <t>26/07/2027</t>
        </is>
      </c>
      <c r="F352" s="2" t="n">
        <v>732958.4648144875</v>
      </c>
      <c r="G352" s="2" t="n">
        <v>0</v>
      </c>
      <c r="H352" s="2" t="n">
        <v>732958.4648144875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11.02</v>
      </c>
      <c r="AK352" s="2" t="n">
        <v>11.02</v>
      </c>
      <c r="AL352" s="2" t="n">
        <v>8.74</v>
      </c>
      <c r="AM352" s="2" t="n">
        <v>27.98</v>
      </c>
      <c r="AN352" s="2" t="n">
        <v>27.98</v>
      </c>
      <c r="AO352" s="2" t="n">
        <v>31.43</v>
      </c>
      <c r="AP352" s="2" t="n">
        <v>47.48</v>
      </c>
      <c r="AQ352" s="2" t="n">
        <v>47.48</v>
      </c>
      <c r="AR352" s="2" t="n">
        <v>52</v>
      </c>
      <c r="AS352" s="2" t="n">
        <v>65.29000000000001</v>
      </c>
      <c r="AT352" s="2" t="n">
        <v>65.29000000000001</v>
      </c>
      <c r="AU352" s="2" t="n">
        <v>67.23</v>
      </c>
      <c r="AV352" s="2" t="n">
        <v>73.77</v>
      </c>
      <c r="AW352" s="2" t="n">
        <v>73.77</v>
      </c>
      <c r="AX352" s="2" t="n">
        <v>73.68000000000001</v>
      </c>
      <c r="AY352" s="2" t="n">
        <v>73.77</v>
      </c>
      <c r="AZ352" s="2" t="n">
        <v>73.77</v>
      </c>
      <c r="BA352" s="2" t="n">
        <v>73.62</v>
      </c>
      <c r="BB352" s="2" t="n">
        <v>73.77</v>
      </c>
      <c r="BC352" s="2" t="n">
        <v>73.77</v>
      </c>
      <c r="BD352" s="2" t="n">
        <v>73.77</v>
      </c>
      <c r="BE352" s="2" t="n">
        <v>73.77</v>
      </c>
      <c r="BF352" s="2" t="n">
        <v>73.77</v>
      </c>
      <c r="BG352" s="2" t="n">
        <v>73.77</v>
      </c>
      <c r="BH352" s="2" t="n">
        <v>73.77</v>
      </c>
      <c r="BI352" s="2" t="n">
        <v>73.77</v>
      </c>
      <c r="BJ352" s="2" t="n">
        <v>73.77</v>
      </c>
      <c r="BK352" s="2" t="n">
        <v>73.77</v>
      </c>
      <c r="BL352" s="2" t="n">
        <v>73.77</v>
      </c>
      <c r="BM352" s="2" t="n">
        <v>73.77</v>
      </c>
      <c r="BN352" s="2" t="n">
        <v>73.77</v>
      </c>
      <c r="BO352" s="2" t="n">
        <v>73.77</v>
      </c>
      <c r="BP352" s="2" t="n">
        <v>73.77</v>
      </c>
      <c r="BQ352" s="2" t="n">
        <v>73.77</v>
      </c>
      <c r="BR352" s="2" t="n">
        <v>73.77</v>
      </c>
      <c r="BS352" s="2" t="n">
        <v>73.77</v>
      </c>
      <c r="BT352" s="2" t="n">
        <v>73.77</v>
      </c>
      <c r="BU352" s="2" t="n">
        <v>73.77</v>
      </c>
      <c r="BV352" s="2" t="n">
        <v>73.77</v>
      </c>
      <c r="BW352" s="2" t="n">
        <v>81.64</v>
      </c>
      <c r="BX352" s="2" t="n">
        <v>81.64</v>
      </c>
      <c r="BY352" s="2" t="n">
        <v>75.58</v>
      </c>
      <c r="BZ352" s="2" t="n">
        <v>91.86</v>
      </c>
      <c r="CA352" s="2" t="n">
        <v>91.86</v>
      </c>
      <c r="CB352" s="2" t="n">
        <v>88.23999999999999</v>
      </c>
      <c r="CC352" s="2" t="n">
        <v>91.86</v>
      </c>
      <c r="CD352" s="2" t="n">
        <v>91.86</v>
      </c>
      <c r="CE352" s="2" t="n">
        <v>88.23999999999999</v>
      </c>
      <c r="CF352" s="2" t="n">
        <v>91.86</v>
      </c>
      <c r="CG352" s="2" t="n">
        <v>91.86</v>
      </c>
      <c r="CH352" s="2" t="n">
        <v>91.86</v>
      </c>
      <c r="CI352" s="2" t="n">
        <v>91.86</v>
      </c>
      <c r="CJ352" s="2" t="n">
        <v>91.86</v>
      </c>
      <c r="CK352" s="2" t="n">
        <v>91.86</v>
      </c>
      <c r="CL352" s="2" t="n">
        <v>91.86</v>
      </c>
      <c r="CM352" s="2" t="n">
        <v>91.86</v>
      </c>
      <c r="CN352" s="2" t="n">
        <v>91.86</v>
      </c>
      <c r="CO352" s="2" t="n">
        <v>91.86</v>
      </c>
      <c r="CP352" s="2" t="n">
        <v>91.86</v>
      </c>
      <c r="CQ352" s="2" t="n">
        <v>91.86</v>
      </c>
      <c r="CR352" s="2" t="n">
        <v>91.86</v>
      </c>
      <c r="CS352" s="2" t="n">
        <v>91.86</v>
      </c>
      <c r="CT352" s="2" t="n">
        <v>91.86</v>
      </c>
      <c r="CU352" s="2" t="n">
        <v>91.86</v>
      </c>
      <c r="CV352" s="2" t="n">
        <v>91.86</v>
      </c>
      <c r="CW352" s="2" t="n">
        <v>91.86</v>
      </c>
      <c r="CX352" s="2" t="n">
        <v>91.86</v>
      </c>
      <c r="CY352" s="2" t="n">
        <v>91.86</v>
      </c>
      <c r="CZ352" s="2" t="n">
        <v>91.86</v>
      </c>
      <c r="DA352" s="2" t="n">
        <v>92.59999999999999</v>
      </c>
      <c r="DB352" s="2" t="n">
        <v>92.59999999999999</v>
      </c>
      <c r="DC352" s="2" t="n">
        <v>91.86</v>
      </c>
      <c r="DD352" s="2" t="n">
        <v>95.06999999999999</v>
      </c>
      <c r="DE352" s="2" t="n">
        <v>95.06999999999999</v>
      </c>
      <c r="DF352" s="2" t="n">
        <v>91.86</v>
      </c>
      <c r="DG352" s="2" t="n">
        <v>97.78</v>
      </c>
      <c r="DH352" s="2" t="n">
        <v>97.78</v>
      </c>
      <c r="DI352" s="2" t="n">
        <v>91.86</v>
      </c>
      <c r="DJ352" s="2" t="n">
        <v>100</v>
      </c>
      <c r="DK352" s="2" t="n">
        <v>100</v>
      </c>
      <c r="DL352" s="2" t="n">
        <v>91.86</v>
      </c>
      <c r="DM352" s="2" t="n">
        <v>100</v>
      </c>
      <c r="DN352" s="2" t="n">
        <v>100</v>
      </c>
      <c r="DO352" s="2" t="n">
        <v>91.86</v>
      </c>
      <c r="DP352" s="2" t="n">
        <v>100</v>
      </c>
      <c r="DQ352" s="2" t="n">
        <v>100</v>
      </c>
      <c r="DR352" s="2" t="n">
        <v>91.86</v>
      </c>
      <c r="DS352" s="2" t="n">
        <v>100</v>
      </c>
      <c r="DT352" s="2" t="n">
        <v>100</v>
      </c>
      <c r="DU352" s="2" t="n">
        <v>91.86</v>
      </c>
      <c r="DV352" s="2" t="n">
        <v>100</v>
      </c>
      <c r="DW352" s="2" t="n">
        <v>100</v>
      </c>
      <c r="DX352" s="2" t="n">
        <v>91.86</v>
      </c>
      <c r="DY352" s="2" t="n">
        <v>100</v>
      </c>
      <c r="DZ352" s="2" t="n">
        <v>100</v>
      </c>
      <c r="EA352" s="2" t="n">
        <v>91.86</v>
      </c>
      <c r="EB352" s="2" t="n">
        <v>100</v>
      </c>
      <c r="EC352" s="2" t="n">
        <v>100</v>
      </c>
      <c r="ED352" s="2" t="n">
        <v>91.86</v>
      </c>
      <c r="EE352" s="2" t="n">
        <v>100</v>
      </c>
      <c r="EF352" s="2" t="n">
        <v>100</v>
      </c>
      <c r="EG352" s="2" t="n">
        <v>91.86</v>
      </c>
      <c r="EH352" s="2" t="n">
        <v>100</v>
      </c>
      <c r="EI352" s="2" t="n">
        <v>100</v>
      </c>
      <c r="EJ352" s="2" t="n">
        <v>91.86</v>
      </c>
      <c r="EK352" s="2" t="n">
        <v>100</v>
      </c>
      <c r="EL352" s="2" t="n">
        <v>100</v>
      </c>
      <c r="EM352" s="2" t="n">
        <v>91.86</v>
      </c>
      <c r="EN352" s="2" t="n">
        <v>100</v>
      </c>
      <c r="EO352" s="2" t="n">
        <v>100</v>
      </c>
      <c r="EP352" s="2" t="n">
        <v>91.86</v>
      </c>
      <c r="EQ352" s="2" t="n">
        <v>100</v>
      </c>
      <c r="ER352" s="2" t="n">
        <v>100</v>
      </c>
      <c r="ES352" s="2" t="n">
        <v>91.86</v>
      </c>
      <c r="ET352" s="2" t="n">
        <v>100</v>
      </c>
      <c r="EU352" s="2" t="n">
        <v>100</v>
      </c>
      <c r="EV352" s="2" t="n">
        <v>91.86</v>
      </c>
      <c r="EW352" s="2" t="n">
        <v>100</v>
      </c>
      <c r="EX352" s="2" t="n">
        <v>100</v>
      </c>
      <c r="EY352" s="2" t="n">
        <v>91.86</v>
      </c>
      <c r="EZ352" s="2" t="n">
        <v>100</v>
      </c>
      <c r="FA352" s="2" t="n">
        <v>100</v>
      </c>
      <c r="FB352" s="2" t="n">
        <v>91.86</v>
      </c>
      <c r="FC352" s="2" t="n">
        <v>100</v>
      </c>
      <c r="FD352" s="2" t="n">
        <v>100</v>
      </c>
      <c r="FE352" s="2" t="n">
        <v>91.86</v>
      </c>
      <c r="FF352" s="2" t="n">
        <v>100</v>
      </c>
      <c r="FG352" s="2" t="n">
        <v>100</v>
      </c>
      <c r="FH352" s="2" t="n">
        <v>91.86</v>
      </c>
      <c r="FI352" s="2" t="n">
        <v>100</v>
      </c>
      <c r="FJ352" s="2" t="n">
        <v>100</v>
      </c>
      <c r="FK352" s="2" t="n">
        <v>91.86</v>
      </c>
      <c r="FL352" s="2" t="n">
        <v>100</v>
      </c>
      <c r="FM352" s="2" t="n">
        <v>100</v>
      </c>
      <c r="FN352" s="2" t="n">
        <v>91.86</v>
      </c>
      <c r="FO352" s="2" t="n">
        <v>100</v>
      </c>
      <c r="FP352" s="2" t="n">
        <v>100</v>
      </c>
      <c r="FQ352" s="2" t="n">
        <v>91.86</v>
      </c>
    </row>
    <row r="353">
      <c r="A353" s="2" t="n">
        <v>4</v>
      </c>
      <c r="B353" s="2" t="inlineStr">
        <is>
          <t>16.01.02.01</t>
        </is>
      </c>
      <c r="C353" s="2" t="inlineStr">
        <is>
          <t>Apiloamento</t>
        </is>
      </c>
      <c r="D353" s="2" t="inlineStr">
        <is>
          <t>14/05/2025</t>
        </is>
      </c>
      <c r="E353" s="2" t="inlineStr">
        <is>
          <t>26/07/2027</t>
        </is>
      </c>
      <c r="F353" s="2" t="n">
        <v>33301.65786148665</v>
      </c>
      <c r="G353" s="2" t="n">
        <v>0</v>
      </c>
      <c r="H353" s="2" t="n">
        <v>33301.65786148665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11.02</v>
      </c>
      <c r="AK353" s="2" t="n">
        <v>11.02</v>
      </c>
      <c r="AL353" s="2" t="n">
        <v>8.74</v>
      </c>
      <c r="AM353" s="2" t="n">
        <v>27.98</v>
      </c>
      <c r="AN353" s="2" t="n">
        <v>27.98</v>
      </c>
      <c r="AO353" s="2" t="n">
        <v>31.43</v>
      </c>
      <c r="AP353" s="2" t="n">
        <v>47.48</v>
      </c>
      <c r="AQ353" s="2" t="n">
        <v>47.48</v>
      </c>
      <c r="AR353" s="2" t="n">
        <v>52</v>
      </c>
      <c r="AS353" s="2" t="n">
        <v>65.29000000000001</v>
      </c>
      <c r="AT353" s="2" t="n">
        <v>65.29000000000001</v>
      </c>
      <c r="AU353" s="2" t="n">
        <v>67.23</v>
      </c>
      <c r="AV353" s="2" t="n">
        <v>73.77</v>
      </c>
      <c r="AW353" s="2" t="n">
        <v>73.77</v>
      </c>
      <c r="AX353" s="2" t="n">
        <v>73.68000000000001</v>
      </c>
      <c r="AY353" s="2" t="n">
        <v>73.77</v>
      </c>
      <c r="AZ353" s="2" t="n">
        <v>73.77</v>
      </c>
      <c r="BA353" s="2" t="n">
        <v>73.62</v>
      </c>
      <c r="BB353" s="2" t="n">
        <v>73.77</v>
      </c>
      <c r="BC353" s="2" t="n">
        <v>73.77</v>
      </c>
      <c r="BD353" s="2" t="n">
        <v>73.77</v>
      </c>
      <c r="BE353" s="2" t="n">
        <v>73.77</v>
      </c>
      <c r="BF353" s="2" t="n">
        <v>73.77</v>
      </c>
      <c r="BG353" s="2" t="n">
        <v>73.77</v>
      </c>
      <c r="BH353" s="2" t="n">
        <v>73.77</v>
      </c>
      <c r="BI353" s="2" t="n">
        <v>73.77</v>
      </c>
      <c r="BJ353" s="2" t="n">
        <v>73.77</v>
      </c>
      <c r="BK353" s="2" t="n">
        <v>73.77</v>
      </c>
      <c r="BL353" s="2" t="n">
        <v>73.77</v>
      </c>
      <c r="BM353" s="2" t="n">
        <v>73.77</v>
      </c>
      <c r="BN353" s="2" t="n">
        <v>73.77</v>
      </c>
      <c r="BO353" s="2" t="n">
        <v>73.77</v>
      </c>
      <c r="BP353" s="2" t="n">
        <v>73.77</v>
      </c>
      <c r="BQ353" s="2" t="n">
        <v>73.77</v>
      </c>
      <c r="BR353" s="2" t="n">
        <v>73.77</v>
      </c>
      <c r="BS353" s="2" t="n">
        <v>73.77</v>
      </c>
      <c r="BT353" s="2" t="n">
        <v>73.77</v>
      </c>
      <c r="BU353" s="2" t="n">
        <v>73.77</v>
      </c>
      <c r="BV353" s="2" t="n">
        <v>73.77</v>
      </c>
      <c r="BW353" s="2" t="n">
        <v>81.64</v>
      </c>
      <c r="BX353" s="2" t="n">
        <v>81.64</v>
      </c>
      <c r="BY353" s="2" t="n">
        <v>75.58</v>
      </c>
      <c r="BZ353" s="2" t="n">
        <v>91.86</v>
      </c>
      <c r="CA353" s="2" t="n">
        <v>91.86</v>
      </c>
      <c r="CB353" s="2" t="n">
        <v>88.23999999999999</v>
      </c>
      <c r="CC353" s="2" t="n">
        <v>91.86</v>
      </c>
      <c r="CD353" s="2" t="n">
        <v>91.86</v>
      </c>
      <c r="CE353" s="2" t="n">
        <v>88.23999999999999</v>
      </c>
      <c r="CF353" s="2" t="n">
        <v>91.86</v>
      </c>
      <c r="CG353" s="2" t="n">
        <v>91.86</v>
      </c>
      <c r="CH353" s="2" t="n">
        <v>91.86</v>
      </c>
      <c r="CI353" s="2" t="n">
        <v>91.86</v>
      </c>
      <c r="CJ353" s="2" t="n">
        <v>91.86</v>
      </c>
      <c r="CK353" s="2" t="n">
        <v>91.86</v>
      </c>
      <c r="CL353" s="2" t="n">
        <v>91.86</v>
      </c>
      <c r="CM353" s="2" t="n">
        <v>91.86</v>
      </c>
      <c r="CN353" s="2" t="n">
        <v>91.86</v>
      </c>
      <c r="CO353" s="2" t="n">
        <v>91.86</v>
      </c>
      <c r="CP353" s="2" t="n">
        <v>91.86</v>
      </c>
      <c r="CQ353" s="2" t="n">
        <v>91.86</v>
      </c>
      <c r="CR353" s="2" t="n">
        <v>91.86</v>
      </c>
      <c r="CS353" s="2" t="n">
        <v>91.86</v>
      </c>
      <c r="CT353" s="2" t="n">
        <v>91.86</v>
      </c>
      <c r="CU353" s="2" t="n">
        <v>91.86</v>
      </c>
      <c r="CV353" s="2" t="n">
        <v>91.86</v>
      </c>
      <c r="CW353" s="2" t="n">
        <v>91.86</v>
      </c>
      <c r="CX353" s="2" t="n">
        <v>91.86</v>
      </c>
      <c r="CY353" s="2" t="n">
        <v>91.86</v>
      </c>
      <c r="CZ353" s="2" t="n">
        <v>91.86</v>
      </c>
      <c r="DA353" s="2" t="n">
        <v>92.59999999999999</v>
      </c>
      <c r="DB353" s="2" t="n">
        <v>92.59999999999999</v>
      </c>
      <c r="DC353" s="2" t="n">
        <v>91.86</v>
      </c>
      <c r="DD353" s="2" t="n">
        <v>95.06999999999999</v>
      </c>
      <c r="DE353" s="2" t="n">
        <v>95.06999999999999</v>
      </c>
      <c r="DF353" s="2" t="n">
        <v>91.86</v>
      </c>
      <c r="DG353" s="2" t="n">
        <v>97.78</v>
      </c>
      <c r="DH353" s="2" t="n">
        <v>97.78</v>
      </c>
      <c r="DI353" s="2" t="n">
        <v>91.86</v>
      </c>
      <c r="DJ353" s="2" t="n">
        <v>100</v>
      </c>
      <c r="DK353" s="2" t="n">
        <v>100</v>
      </c>
      <c r="DL353" s="2" t="n">
        <v>91.86</v>
      </c>
      <c r="DM353" s="2" t="n">
        <v>100</v>
      </c>
      <c r="DN353" s="2" t="n">
        <v>100</v>
      </c>
      <c r="DO353" s="2" t="n">
        <v>91.86</v>
      </c>
      <c r="DP353" s="2" t="n">
        <v>100</v>
      </c>
      <c r="DQ353" s="2" t="n">
        <v>100</v>
      </c>
      <c r="DR353" s="2" t="n">
        <v>91.86</v>
      </c>
      <c r="DS353" s="2" t="n">
        <v>100</v>
      </c>
      <c r="DT353" s="2" t="n">
        <v>100</v>
      </c>
      <c r="DU353" s="2" t="n">
        <v>91.86</v>
      </c>
      <c r="DV353" s="2" t="n">
        <v>100</v>
      </c>
      <c r="DW353" s="2" t="n">
        <v>100</v>
      </c>
      <c r="DX353" s="2" t="n">
        <v>91.86</v>
      </c>
      <c r="DY353" s="2" t="n">
        <v>100</v>
      </c>
      <c r="DZ353" s="2" t="n">
        <v>100</v>
      </c>
      <c r="EA353" s="2" t="n">
        <v>91.86</v>
      </c>
      <c r="EB353" s="2" t="n">
        <v>100</v>
      </c>
      <c r="EC353" s="2" t="n">
        <v>100</v>
      </c>
      <c r="ED353" s="2" t="n">
        <v>91.86</v>
      </c>
      <c r="EE353" s="2" t="n">
        <v>100</v>
      </c>
      <c r="EF353" s="2" t="n">
        <v>100</v>
      </c>
      <c r="EG353" s="2" t="n">
        <v>91.86</v>
      </c>
      <c r="EH353" s="2" t="n">
        <v>100</v>
      </c>
      <c r="EI353" s="2" t="n">
        <v>100</v>
      </c>
      <c r="EJ353" s="2" t="n">
        <v>91.86</v>
      </c>
      <c r="EK353" s="2" t="n">
        <v>100</v>
      </c>
      <c r="EL353" s="2" t="n">
        <v>100</v>
      </c>
      <c r="EM353" s="2" t="n">
        <v>91.86</v>
      </c>
      <c r="EN353" s="2" t="n">
        <v>100</v>
      </c>
      <c r="EO353" s="2" t="n">
        <v>100</v>
      </c>
      <c r="EP353" s="2" t="n">
        <v>91.86</v>
      </c>
      <c r="EQ353" s="2" t="n">
        <v>100</v>
      </c>
      <c r="ER353" s="2" t="n">
        <v>100</v>
      </c>
      <c r="ES353" s="2" t="n">
        <v>91.86</v>
      </c>
      <c r="ET353" s="2" t="n">
        <v>100</v>
      </c>
      <c r="EU353" s="2" t="n">
        <v>100</v>
      </c>
      <c r="EV353" s="2" t="n">
        <v>91.86</v>
      </c>
      <c r="EW353" s="2" t="n">
        <v>100</v>
      </c>
      <c r="EX353" s="2" t="n">
        <v>100</v>
      </c>
      <c r="EY353" s="2" t="n">
        <v>91.86</v>
      </c>
      <c r="EZ353" s="2" t="n">
        <v>100</v>
      </c>
      <c r="FA353" s="2" t="n">
        <v>100</v>
      </c>
      <c r="FB353" s="2" t="n">
        <v>91.86</v>
      </c>
      <c r="FC353" s="2" t="n">
        <v>100</v>
      </c>
      <c r="FD353" s="2" t="n">
        <v>100</v>
      </c>
      <c r="FE353" s="2" t="n">
        <v>91.86</v>
      </c>
      <c r="FF353" s="2" t="n">
        <v>100</v>
      </c>
      <c r="FG353" s="2" t="n">
        <v>100</v>
      </c>
      <c r="FH353" s="2" t="n">
        <v>91.86</v>
      </c>
      <c r="FI353" s="2" t="n">
        <v>100</v>
      </c>
      <c r="FJ353" s="2" t="n">
        <v>100</v>
      </c>
      <c r="FK353" s="2" t="n">
        <v>91.86</v>
      </c>
      <c r="FL353" s="2" t="n">
        <v>100</v>
      </c>
      <c r="FM353" s="2" t="n">
        <v>100</v>
      </c>
      <c r="FN353" s="2" t="n">
        <v>91.86</v>
      </c>
      <c r="FO353" s="2" t="n">
        <v>100</v>
      </c>
      <c r="FP353" s="2" t="n">
        <v>100</v>
      </c>
      <c r="FQ353" s="2" t="n">
        <v>91.86</v>
      </c>
    </row>
    <row r="354">
      <c r="A354" s="2" t="n">
        <v>4</v>
      </c>
      <c r="B354" s="2" t="inlineStr">
        <is>
          <t>16.01.02.02</t>
        </is>
      </c>
      <c r="C354" s="2" t="inlineStr">
        <is>
          <t>Armadura com tela soldada</t>
        </is>
      </c>
      <c r="D354" s="2" t="inlineStr">
        <is>
          <t>14/05/2025</t>
        </is>
      </c>
      <c r="E354" s="2" t="inlineStr">
        <is>
          <t>26/07/2027</t>
        </is>
      </c>
      <c r="F354" s="2" t="n">
        <v>201599.9934462022</v>
      </c>
      <c r="G354" s="2" t="n">
        <v>0</v>
      </c>
      <c r="H354" s="2" t="n">
        <v>201599.9934462022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11.02</v>
      </c>
      <c r="AK354" s="2" t="n">
        <v>11.02</v>
      </c>
      <c r="AL354" s="2" t="n">
        <v>8.74</v>
      </c>
      <c r="AM354" s="2" t="n">
        <v>27.98</v>
      </c>
      <c r="AN354" s="2" t="n">
        <v>27.98</v>
      </c>
      <c r="AO354" s="2" t="n">
        <v>31.43</v>
      </c>
      <c r="AP354" s="2" t="n">
        <v>47.48</v>
      </c>
      <c r="AQ354" s="2" t="n">
        <v>47.48</v>
      </c>
      <c r="AR354" s="2" t="n">
        <v>52</v>
      </c>
      <c r="AS354" s="2" t="n">
        <v>65.29000000000001</v>
      </c>
      <c r="AT354" s="2" t="n">
        <v>65.29000000000001</v>
      </c>
      <c r="AU354" s="2" t="n">
        <v>67.23</v>
      </c>
      <c r="AV354" s="2" t="n">
        <v>73.77</v>
      </c>
      <c r="AW354" s="2" t="n">
        <v>73.77</v>
      </c>
      <c r="AX354" s="2" t="n">
        <v>73.68000000000001</v>
      </c>
      <c r="AY354" s="2" t="n">
        <v>73.77</v>
      </c>
      <c r="AZ354" s="2" t="n">
        <v>73.77</v>
      </c>
      <c r="BA354" s="2" t="n">
        <v>73.62</v>
      </c>
      <c r="BB354" s="2" t="n">
        <v>73.77</v>
      </c>
      <c r="BC354" s="2" t="n">
        <v>73.77</v>
      </c>
      <c r="BD354" s="2" t="n">
        <v>73.77</v>
      </c>
      <c r="BE354" s="2" t="n">
        <v>73.77</v>
      </c>
      <c r="BF354" s="2" t="n">
        <v>73.77</v>
      </c>
      <c r="BG354" s="2" t="n">
        <v>73.77</v>
      </c>
      <c r="BH354" s="2" t="n">
        <v>73.77</v>
      </c>
      <c r="BI354" s="2" t="n">
        <v>73.77</v>
      </c>
      <c r="BJ354" s="2" t="n">
        <v>73.77</v>
      </c>
      <c r="BK354" s="2" t="n">
        <v>73.77</v>
      </c>
      <c r="BL354" s="2" t="n">
        <v>73.77</v>
      </c>
      <c r="BM354" s="2" t="n">
        <v>73.77</v>
      </c>
      <c r="BN354" s="2" t="n">
        <v>73.77</v>
      </c>
      <c r="BO354" s="2" t="n">
        <v>73.77</v>
      </c>
      <c r="BP354" s="2" t="n">
        <v>73.77</v>
      </c>
      <c r="BQ354" s="2" t="n">
        <v>73.77</v>
      </c>
      <c r="BR354" s="2" t="n">
        <v>73.77</v>
      </c>
      <c r="BS354" s="2" t="n">
        <v>73.77</v>
      </c>
      <c r="BT354" s="2" t="n">
        <v>73.77</v>
      </c>
      <c r="BU354" s="2" t="n">
        <v>73.77</v>
      </c>
      <c r="BV354" s="2" t="n">
        <v>73.77</v>
      </c>
      <c r="BW354" s="2" t="n">
        <v>81.64</v>
      </c>
      <c r="BX354" s="2" t="n">
        <v>81.64</v>
      </c>
      <c r="BY354" s="2" t="n">
        <v>75.58</v>
      </c>
      <c r="BZ354" s="2" t="n">
        <v>91.86</v>
      </c>
      <c r="CA354" s="2" t="n">
        <v>91.86</v>
      </c>
      <c r="CB354" s="2" t="n">
        <v>88.23999999999999</v>
      </c>
      <c r="CC354" s="2" t="n">
        <v>91.86</v>
      </c>
      <c r="CD354" s="2" t="n">
        <v>91.86</v>
      </c>
      <c r="CE354" s="2" t="n">
        <v>88.23999999999999</v>
      </c>
      <c r="CF354" s="2" t="n">
        <v>91.86</v>
      </c>
      <c r="CG354" s="2" t="n">
        <v>91.86</v>
      </c>
      <c r="CH354" s="2" t="n">
        <v>91.86</v>
      </c>
      <c r="CI354" s="2" t="n">
        <v>91.86</v>
      </c>
      <c r="CJ354" s="2" t="n">
        <v>91.86</v>
      </c>
      <c r="CK354" s="2" t="n">
        <v>91.86</v>
      </c>
      <c r="CL354" s="2" t="n">
        <v>91.86</v>
      </c>
      <c r="CM354" s="2" t="n">
        <v>91.86</v>
      </c>
      <c r="CN354" s="2" t="n">
        <v>91.86</v>
      </c>
      <c r="CO354" s="2" t="n">
        <v>91.86</v>
      </c>
      <c r="CP354" s="2" t="n">
        <v>91.86</v>
      </c>
      <c r="CQ354" s="2" t="n">
        <v>91.86</v>
      </c>
      <c r="CR354" s="2" t="n">
        <v>91.86</v>
      </c>
      <c r="CS354" s="2" t="n">
        <v>91.86</v>
      </c>
      <c r="CT354" s="2" t="n">
        <v>91.86</v>
      </c>
      <c r="CU354" s="2" t="n">
        <v>91.86</v>
      </c>
      <c r="CV354" s="2" t="n">
        <v>91.86</v>
      </c>
      <c r="CW354" s="2" t="n">
        <v>91.86</v>
      </c>
      <c r="CX354" s="2" t="n">
        <v>91.86</v>
      </c>
      <c r="CY354" s="2" t="n">
        <v>91.86</v>
      </c>
      <c r="CZ354" s="2" t="n">
        <v>91.86</v>
      </c>
      <c r="DA354" s="2" t="n">
        <v>92.59999999999999</v>
      </c>
      <c r="DB354" s="2" t="n">
        <v>92.59999999999999</v>
      </c>
      <c r="DC354" s="2" t="n">
        <v>91.86</v>
      </c>
      <c r="DD354" s="2" t="n">
        <v>95.06999999999999</v>
      </c>
      <c r="DE354" s="2" t="n">
        <v>95.06999999999999</v>
      </c>
      <c r="DF354" s="2" t="n">
        <v>91.86</v>
      </c>
      <c r="DG354" s="2" t="n">
        <v>97.78</v>
      </c>
      <c r="DH354" s="2" t="n">
        <v>97.78</v>
      </c>
      <c r="DI354" s="2" t="n">
        <v>91.86</v>
      </c>
      <c r="DJ354" s="2" t="n">
        <v>100</v>
      </c>
      <c r="DK354" s="2" t="n">
        <v>100</v>
      </c>
      <c r="DL354" s="2" t="n">
        <v>91.86</v>
      </c>
      <c r="DM354" s="2" t="n">
        <v>100</v>
      </c>
      <c r="DN354" s="2" t="n">
        <v>100</v>
      </c>
      <c r="DO354" s="2" t="n">
        <v>91.86</v>
      </c>
      <c r="DP354" s="2" t="n">
        <v>100</v>
      </c>
      <c r="DQ354" s="2" t="n">
        <v>100</v>
      </c>
      <c r="DR354" s="2" t="n">
        <v>91.86</v>
      </c>
      <c r="DS354" s="2" t="n">
        <v>100</v>
      </c>
      <c r="DT354" s="2" t="n">
        <v>100</v>
      </c>
      <c r="DU354" s="2" t="n">
        <v>91.86</v>
      </c>
      <c r="DV354" s="2" t="n">
        <v>100</v>
      </c>
      <c r="DW354" s="2" t="n">
        <v>100</v>
      </c>
      <c r="DX354" s="2" t="n">
        <v>91.86</v>
      </c>
      <c r="DY354" s="2" t="n">
        <v>100</v>
      </c>
      <c r="DZ354" s="2" t="n">
        <v>100</v>
      </c>
      <c r="EA354" s="2" t="n">
        <v>91.86</v>
      </c>
      <c r="EB354" s="2" t="n">
        <v>100</v>
      </c>
      <c r="EC354" s="2" t="n">
        <v>100</v>
      </c>
      <c r="ED354" s="2" t="n">
        <v>91.86</v>
      </c>
      <c r="EE354" s="2" t="n">
        <v>100</v>
      </c>
      <c r="EF354" s="2" t="n">
        <v>100</v>
      </c>
      <c r="EG354" s="2" t="n">
        <v>91.86</v>
      </c>
      <c r="EH354" s="2" t="n">
        <v>100</v>
      </c>
      <c r="EI354" s="2" t="n">
        <v>100</v>
      </c>
      <c r="EJ354" s="2" t="n">
        <v>91.86</v>
      </c>
      <c r="EK354" s="2" t="n">
        <v>100</v>
      </c>
      <c r="EL354" s="2" t="n">
        <v>100</v>
      </c>
      <c r="EM354" s="2" t="n">
        <v>91.86</v>
      </c>
      <c r="EN354" s="2" t="n">
        <v>100</v>
      </c>
      <c r="EO354" s="2" t="n">
        <v>100</v>
      </c>
      <c r="EP354" s="2" t="n">
        <v>91.86</v>
      </c>
      <c r="EQ354" s="2" t="n">
        <v>100</v>
      </c>
      <c r="ER354" s="2" t="n">
        <v>100</v>
      </c>
      <c r="ES354" s="2" t="n">
        <v>91.86</v>
      </c>
      <c r="ET354" s="2" t="n">
        <v>100</v>
      </c>
      <c r="EU354" s="2" t="n">
        <v>100</v>
      </c>
      <c r="EV354" s="2" t="n">
        <v>91.86</v>
      </c>
      <c r="EW354" s="2" t="n">
        <v>100</v>
      </c>
      <c r="EX354" s="2" t="n">
        <v>100</v>
      </c>
      <c r="EY354" s="2" t="n">
        <v>91.86</v>
      </c>
      <c r="EZ354" s="2" t="n">
        <v>100</v>
      </c>
      <c r="FA354" s="2" t="n">
        <v>100</v>
      </c>
      <c r="FB354" s="2" t="n">
        <v>91.86</v>
      </c>
      <c r="FC354" s="2" t="n">
        <v>100</v>
      </c>
      <c r="FD354" s="2" t="n">
        <v>100</v>
      </c>
      <c r="FE354" s="2" t="n">
        <v>91.86</v>
      </c>
      <c r="FF354" s="2" t="n">
        <v>100</v>
      </c>
      <c r="FG354" s="2" t="n">
        <v>100</v>
      </c>
      <c r="FH354" s="2" t="n">
        <v>91.86</v>
      </c>
      <c r="FI354" s="2" t="n">
        <v>100</v>
      </c>
      <c r="FJ354" s="2" t="n">
        <v>100</v>
      </c>
      <c r="FK354" s="2" t="n">
        <v>91.86</v>
      </c>
      <c r="FL354" s="2" t="n">
        <v>100</v>
      </c>
      <c r="FM354" s="2" t="n">
        <v>100</v>
      </c>
      <c r="FN354" s="2" t="n">
        <v>91.86</v>
      </c>
      <c r="FO354" s="2" t="n">
        <v>100</v>
      </c>
      <c r="FP354" s="2" t="n">
        <v>100</v>
      </c>
      <c r="FQ354" s="2" t="n">
        <v>91.86</v>
      </c>
    </row>
    <row r="355">
      <c r="A355" s="2" t="n">
        <v>4</v>
      </c>
      <c r="B355" s="2" t="inlineStr">
        <is>
          <t>16.01.02.03</t>
        </is>
      </c>
      <c r="C355" s="2" t="inlineStr">
        <is>
          <t>Lastro de brita</t>
        </is>
      </c>
      <c r="D355" s="2" t="inlineStr">
        <is>
          <t>14/05/2025</t>
        </is>
      </c>
      <c r="E355" s="2" t="inlineStr">
        <is>
          <t>26/07/2027</t>
        </is>
      </c>
      <c r="F355" s="2" t="n">
        <v>118903.5806912086</v>
      </c>
      <c r="G355" s="2" t="n">
        <v>0</v>
      </c>
      <c r="H355" s="2" t="n">
        <v>118903.5806912086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11.02</v>
      </c>
      <c r="AK355" s="2" t="n">
        <v>11.02</v>
      </c>
      <c r="AL355" s="2" t="n">
        <v>8.74</v>
      </c>
      <c r="AM355" s="2" t="n">
        <v>27.98</v>
      </c>
      <c r="AN355" s="2" t="n">
        <v>27.98</v>
      </c>
      <c r="AO355" s="2" t="n">
        <v>31.43</v>
      </c>
      <c r="AP355" s="2" t="n">
        <v>47.48</v>
      </c>
      <c r="AQ355" s="2" t="n">
        <v>47.48</v>
      </c>
      <c r="AR355" s="2" t="n">
        <v>52</v>
      </c>
      <c r="AS355" s="2" t="n">
        <v>65.29000000000001</v>
      </c>
      <c r="AT355" s="2" t="n">
        <v>65.29000000000001</v>
      </c>
      <c r="AU355" s="2" t="n">
        <v>67.23</v>
      </c>
      <c r="AV355" s="2" t="n">
        <v>73.77</v>
      </c>
      <c r="AW355" s="2" t="n">
        <v>73.77</v>
      </c>
      <c r="AX355" s="2" t="n">
        <v>73.68000000000001</v>
      </c>
      <c r="AY355" s="2" t="n">
        <v>73.77</v>
      </c>
      <c r="AZ355" s="2" t="n">
        <v>73.77</v>
      </c>
      <c r="BA355" s="2" t="n">
        <v>73.62</v>
      </c>
      <c r="BB355" s="2" t="n">
        <v>73.77</v>
      </c>
      <c r="BC355" s="2" t="n">
        <v>73.77</v>
      </c>
      <c r="BD355" s="2" t="n">
        <v>73.77</v>
      </c>
      <c r="BE355" s="2" t="n">
        <v>73.77</v>
      </c>
      <c r="BF355" s="2" t="n">
        <v>73.77</v>
      </c>
      <c r="BG355" s="2" t="n">
        <v>73.77</v>
      </c>
      <c r="BH355" s="2" t="n">
        <v>73.77</v>
      </c>
      <c r="BI355" s="2" t="n">
        <v>73.77</v>
      </c>
      <c r="BJ355" s="2" t="n">
        <v>73.77</v>
      </c>
      <c r="BK355" s="2" t="n">
        <v>73.77</v>
      </c>
      <c r="BL355" s="2" t="n">
        <v>73.77</v>
      </c>
      <c r="BM355" s="2" t="n">
        <v>73.77</v>
      </c>
      <c r="BN355" s="2" t="n">
        <v>73.77</v>
      </c>
      <c r="BO355" s="2" t="n">
        <v>73.77</v>
      </c>
      <c r="BP355" s="2" t="n">
        <v>73.77</v>
      </c>
      <c r="BQ355" s="2" t="n">
        <v>73.77</v>
      </c>
      <c r="BR355" s="2" t="n">
        <v>73.77</v>
      </c>
      <c r="BS355" s="2" t="n">
        <v>73.77</v>
      </c>
      <c r="BT355" s="2" t="n">
        <v>73.77</v>
      </c>
      <c r="BU355" s="2" t="n">
        <v>73.77</v>
      </c>
      <c r="BV355" s="2" t="n">
        <v>73.77</v>
      </c>
      <c r="BW355" s="2" t="n">
        <v>81.64</v>
      </c>
      <c r="BX355" s="2" t="n">
        <v>81.64</v>
      </c>
      <c r="BY355" s="2" t="n">
        <v>75.58</v>
      </c>
      <c r="BZ355" s="2" t="n">
        <v>91.86</v>
      </c>
      <c r="CA355" s="2" t="n">
        <v>91.86</v>
      </c>
      <c r="CB355" s="2" t="n">
        <v>88.23999999999999</v>
      </c>
      <c r="CC355" s="2" t="n">
        <v>91.86</v>
      </c>
      <c r="CD355" s="2" t="n">
        <v>91.86</v>
      </c>
      <c r="CE355" s="2" t="n">
        <v>88.23999999999999</v>
      </c>
      <c r="CF355" s="2" t="n">
        <v>91.86</v>
      </c>
      <c r="CG355" s="2" t="n">
        <v>91.86</v>
      </c>
      <c r="CH355" s="2" t="n">
        <v>91.86</v>
      </c>
      <c r="CI355" s="2" t="n">
        <v>91.86</v>
      </c>
      <c r="CJ355" s="2" t="n">
        <v>91.86</v>
      </c>
      <c r="CK355" s="2" t="n">
        <v>91.86</v>
      </c>
      <c r="CL355" s="2" t="n">
        <v>91.86</v>
      </c>
      <c r="CM355" s="2" t="n">
        <v>91.86</v>
      </c>
      <c r="CN355" s="2" t="n">
        <v>91.86</v>
      </c>
      <c r="CO355" s="2" t="n">
        <v>91.86</v>
      </c>
      <c r="CP355" s="2" t="n">
        <v>91.86</v>
      </c>
      <c r="CQ355" s="2" t="n">
        <v>91.86</v>
      </c>
      <c r="CR355" s="2" t="n">
        <v>91.86</v>
      </c>
      <c r="CS355" s="2" t="n">
        <v>91.86</v>
      </c>
      <c r="CT355" s="2" t="n">
        <v>91.86</v>
      </c>
      <c r="CU355" s="2" t="n">
        <v>91.86</v>
      </c>
      <c r="CV355" s="2" t="n">
        <v>91.86</v>
      </c>
      <c r="CW355" s="2" t="n">
        <v>91.86</v>
      </c>
      <c r="CX355" s="2" t="n">
        <v>91.86</v>
      </c>
      <c r="CY355" s="2" t="n">
        <v>91.86</v>
      </c>
      <c r="CZ355" s="2" t="n">
        <v>91.86</v>
      </c>
      <c r="DA355" s="2" t="n">
        <v>92.59999999999999</v>
      </c>
      <c r="DB355" s="2" t="n">
        <v>92.59999999999999</v>
      </c>
      <c r="DC355" s="2" t="n">
        <v>91.86</v>
      </c>
      <c r="DD355" s="2" t="n">
        <v>95.06999999999999</v>
      </c>
      <c r="DE355" s="2" t="n">
        <v>95.06999999999999</v>
      </c>
      <c r="DF355" s="2" t="n">
        <v>91.86</v>
      </c>
      <c r="DG355" s="2" t="n">
        <v>97.78</v>
      </c>
      <c r="DH355" s="2" t="n">
        <v>97.78</v>
      </c>
      <c r="DI355" s="2" t="n">
        <v>91.86</v>
      </c>
      <c r="DJ355" s="2" t="n">
        <v>100</v>
      </c>
      <c r="DK355" s="2" t="n">
        <v>100</v>
      </c>
      <c r="DL355" s="2" t="n">
        <v>91.86</v>
      </c>
      <c r="DM355" s="2" t="n">
        <v>100</v>
      </c>
      <c r="DN355" s="2" t="n">
        <v>100</v>
      </c>
      <c r="DO355" s="2" t="n">
        <v>91.86</v>
      </c>
      <c r="DP355" s="2" t="n">
        <v>100</v>
      </c>
      <c r="DQ355" s="2" t="n">
        <v>100</v>
      </c>
      <c r="DR355" s="2" t="n">
        <v>91.86</v>
      </c>
      <c r="DS355" s="2" t="n">
        <v>100</v>
      </c>
      <c r="DT355" s="2" t="n">
        <v>100</v>
      </c>
      <c r="DU355" s="2" t="n">
        <v>91.86</v>
      </c>
      <c r="DV355" s="2" t="n">
        <v>100</v>
      </c>
      <c r="DW355" s="2" t="n">
        <v>100</v>
      </c>
      <c r="DX355" s="2" t="n">
        <v>91.86</v>
      </c>
      <c r="DY355" s="2" t="n">
        <v>100</v>
      </c>
      <c r="DZ355" s="2" t="n">
        <v>100</v>
      </c>
      <c r="EA355" s="2" t="n">
        <v>91.86</v>
      </c>
      <c r="EB355" s="2" t="n">
        <v>100</v>
      </c>
      <c r="EC355" s="2" t="n">
        <v>100</v>
      </c>
      <c r="ED355" s="2" t="n">
        <v>91.86</v>
      </c>
      <c r="EE355" s="2" t="n">
        <v>100</v>
      </c>
      <c r="EF355" s="2" t="n">
        <v>100</v>
      </c>
      <c r="EG355" s="2" t="n">
        <v>91.86</v>
      </c>
      <c r="EH355" s="2" t="n">
        <v>100</v>
      </c>
      <c r="EI355" s="2" t="n">
        <v>100</v>
      </c>
      <c r="EJ355" s="2" t="n">
        <v>91.86</v>
      </c>
      <c r="EK355" s="2" t="n">
        <v>100</v>
      </c>
      <c r="EL355" s="2" t="n">
        <v>100</v>
      </c>
      <c r="EM355" s="2" t="n">
        <v>91.86</v>
      </c>
      <c r="EN355" s="2" t="n">
        <v>100</v>
      </c>
      <c r="EO355" s="2" t="n">
        <v>100</v>
      </c>
      <c r="EP355" s="2" t="n">
        <v>91.86</v>
      </c>
      <c r="EQ355" s="2" t="n">
        <v>100</v>
      </c>
      <c r="ER355" s="2" t="n">
        <v>100</v>
      </c>
      <c r="ES355" s="2" t="n">
        <v>91.86</v>
      </c>
      <c r="ET355" s="2" t="n">
        <v>100</v>
      </c>
      <c r="EU355" s="2" t="n">
        <v>100</v>
      </c>
      <c r="EV355" s="2" t="n">
        <v>91.86</v>
      </c>
      <c r="EW355" s="2" t="n">
        <v>100</v>
      </c>
      <c r="EX355" s="2" t="n">
        <v>100</v>
      </c>
      <c r="EY355" s="2" t="n">
        <v>91.86</v>
      </c>
      <c r="EZ355" s="2" t="n">
        <v>100</v>
      </c>
      <c r="FA355" s="2" t="n">
        <v>100</v>
      </c>
      <c r="FB355" s="2" t="n">
        <v>91.86</v>
      </c>
      <c r="FC355" s="2" t="n">
        <v>100</v>
      </c>
      <c r="FD355" s="2" t="n">
        <v>100</v>
      </c>
      <c r="FE355" s="2" t="n">
        <v>91.86</v>
      </c>
      <c r="FF355" s="2" t="n">
        <v>100</v>
      </c>
      <c r="FG355" s="2" t="n">
        <v>100</v>
      </c>
      <c r="FH355" s="2" t="n">
        <v>91.86</v>
      </c>
      <c r="FI355" s="2" t="n">
        <v>100</v>
      </c>
      <c r="FJ355" s="2" t="n">
        <v>100</v>
      </c>
      <c r="FK355" s="2" t="n">
        <v>91.86</v>
      </c>
      <c r="FL355" s="2" t="n">
        <v>100</v>
      </c>
      <c r="FM355" s="2" t="n">
        <v>100</v>
      </c>
      <c r="FN355" s="2" t="n">
        <v>91.86</v>
      </c>
      <c r="FO355" s="2" t="n">
        <v>100</v>
      </c>
      <c r="FP355" s="2" t="n">
        <v>100</v>
      </c>
      <c r="FQ355" s="2" t="n">
        <v>91.86</v>
      </c>
    </row>
    <row r="356">
      <c r="A356" s="2" t="n">
        <v>4</v>
      </c>
      <c r="B356" s="2" t="inlineStr">
        <is>
          <t>16.01.02.04</t>
        </is>
      </c>
      <c r="C356" s="2" t="inlineStr">
        <is>
          <t>Lona preta para isolamento da laje</t>
        </is>
      </c>
      <c r="D356" s="2" t="inlineStr">
        <is>
          <t>14/05/2025</t>
        </is>
      </c>
      <c r="E356" s="2" t="inlineStr">
        <is>
          <t>26/07/2027</t>
        </is>
      </c>
      <c r="F356" s="2" t="n">
        <v>8693.722910781022</v>
      </c>
      <c r="G356" s="2" t="n">
        <v>0</v>
      </c>
      <c r="H356" s="2" t="n">
        <v>8693.722910781022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11.02</v>
      </c>
      <c r="AK356" s="2" t="n">
        <v>11.02</v>
      </c>
      <c r="AL356" s="2" t="n">
        <v>8.74</v>
      </c>
      <c r="AM356" s="2" t="n">
        <v>27.98</v>
      </c>
      <c r="AN356" s="2" t="n">
        <v>27.98</v>
      </c>
      <c r="AO356" s="2" t="n">
        <v>31.43</v>
      </c>
      <c r="AP356" s="2" t="n">
        <v>47.48</v>
      </c>
      <c r="AQ356" s="2" t="n">
        <v>47.48</v>
      </c>
      <c r="AR356" s="2" t="n">
        <v>52</v>
      </c>
      <c r="AS356" s="2" t="n">
        <v>65.29000000000001</v>
      </c>
      <c r="AT356" s="2" t="n">
        <v>65.29000000000001</v>
      </c>
      <c r="AU356" s="2" t="n">
        <v>67.23</v>
      </c>
      <c r="AV356" s="2" t="n">
        <v>73.77</v>
      </c>
      <c r="AW356" s="2" t="n">
        <v>73.77</v>
      </c>
      <c r="AX356" s="2" t="n">
        <v>73.68000000000001</v>
      </c>
      <c r="AY356" s="2" t="n">
        <v>73.77</v>
      </c>
      <c r="AZ356" s="2" t="n">
        <v>73.77</v>
      </c>
      <c r="BA356" s="2" t="n">
        <v>73.62</v>
      </c>
      <c r="BB356" s="2" t="n">
        <v>73.77</v>
      </c>
      <c r="BC356" s="2" t="n">
        <v>73.77</v>
      </c>
      <c r="BD356" s="2" t="n">
        <v>73.77</v>
      </c>
      <c r="BE356" s="2" t="n">
        <v>73.77</v>
      </c>
      <c r="BF356" s="2" t="n">
        <v>73.77</v>
      </c>
      <c r="BG356" s="2" t="n">
        <v>73.77</v>
      </c>
      <c r="BH356" s="2" t="n">
        <v>73.77</v>
      </c>
      <c r="BI356" s="2" t="n">
        <v>73.77</v>
      </c>
      <c r="BJ356" s="2" t="n">
        <v>73.77</v>
      </c>
      <c r="BK356" s="2" t="n">
        <v>73.77</v>
      </c>
      <c r="BL356" s="2" t="n">
        <v>73.77</v>
      </c>
      <c r="BM356" s="2" t="n">
        <v>73.77</v>
      </c>
      <c r="BN356" s="2" t="n">
        <v>73.77</v>
      </c>
      <c r="BO356" s="2" t="n">
        <v>73.77</v>
      </c>
      <c r="BP356" s="2" t="n">
        <v>73.77</v>
      </c>
      <c r="BQ356" s="2" t="n">
        <v>73.77</v>
      </c>
      <c r="BR356" s="2" t="n">
        <v>73.77</v>
      </c>
      <c r="BS356" s="2" t="n">
        <v>73.77</v>
      </c>
      <c r="BT356" s="2" t="n">
        <v>73.77</v>
      </c>
      <c r="BU356" s="2" t="n">
        <v>73.77</v>
      </c>
      <c r="BV356" s="2" t="n">
        <v>73.77</v>
      </c>
      <c r="BW356" s="2" t="n">
        <v>81.64</v>
      </c>
      <c r="BX356" s="2" t="n">
        <v>81.64</v>
      </c>
      <c r="BY356" s="2" t="n">
        <v>75.58</v>
      </c>
      <c r="BZ356" s="2" t="n">
        <v>91.86</v>
      </c>
      <c r="CA356" s="2" t="n">
        <v>91.86</v>
      </c>
      <c r="CB356" s="2" t="n">
        <v>88.23999999999999</v>
      </c>
      <c r="CC356" s="2" t="n">
        <v>91.86</v>
      </c>
      <c r="CD356" s="2" t="n">
        <v>91.86</v>
      </c>
      <c r="CE356" s="2" t="n">
        <v>88.23999999999999</v>
      </c>
      <c r="CF356" s="2" t="n">
        <v>91.86</v>
      </c>
      <c r="CG356" s="2" t="n">
        <v>91.86</v>
      </c>
      <c r="CH356" s="2" t="n">
        <v>91.86</v>
      </c>
      <c r="CI356" s="2" t="n">
        <v>91.86</v>
      </c>
      <c r="CJ356" s="2" t="n">
        <v>91.86</v>
      </c>
      <c r="CK356" s="2" t="n">
        <v>91.86</v>
      </c>
      <c r="CL356" s="2" t="n">
        <v>91.86</v>
      </c>
      <c r="CM356" s="2" t="n">
        <v>91.86</v>
      </c>
      <c r="CN356" s="2" t="n">
        <v>91.86</v>
      </c>
      <c r="CO356" s="2" t="n">
        <v>91.86</v>
      </c>
      <c r="CP356" s="2" t="n">
        <v>91.86</v>
      </c>
      <c r="CQ356" s="2" t="n">
        <v>91.86</v>
      </c>
      <c r="CR356" s="2" t="n">
        <v>91.86</v>
      </c>
      <c r="CS356" s="2" t="n">
        <v>91.86</v>
      </c>
      <c r="CT356" s="2" t="n">
        <v>91.86</v>
      </c>
      <c r="CU356" s="2" t="n">
        <v>91.86</v>
      </c>
      <c r="CV356" s="2" t="n">
        <v>91.86</v>
      </c>
      <c r="CW356" s="2" t="n">
        <v>91.86</v>
      </c>
      <c r="CX356" s="2" t="n">
        <v>91.86</v>
      </c>
      <c r="CY356" s="2" t="n">
        <v>91.86</v>
      </c>
      <c r="CZ356" s="2" t="n">
        <v>91.86</v>
      </c>
      <c r="DA356" s="2" t="n">
        <v>92.59999999999999</v>
      </c>
      <c r="DB356" s="2" t="n">
        <v>92.59999999999999</v>
      </c>
      <c r="DC356" s="2" t="n">
        <v>91.86</v>
      </c>
      <c r="DD356" s="2" t="n">
        <v>95.06999999999999</v>
      </c>
      <c r="DE356" s="2" t="n">
        <v>95.06999999999999</v>
      </c>
      <c r="DF356" s="2" t="n">
        <v>91.86</v>
      </c>
      <c r="DG356" s="2" t="n">
        <v>97.78</v>
      </c>
      <c r="DH356" s="2" t="n">
        <v>97.78</v>
      </c>
      <c r="DI356" s="2" t="n">
        <v>91.86</v>
      </c>
      <c r="DJ356" s="2" t="n">
        <v>100</v>
      </c>
      <c r="DK356" s="2" t="n">
        <v>100</v>
      </c>
      <c r="DL356" s="2" t="n">
        <v>91.86</v>
      </c>
      <c r="DM356" s="2" t="n">
        <v>100</v>
      </c>
      <c r="DN356" s="2" t="n">
        <v>100</v>
      </c>
      <c r="DO356" s="2" t="n">
        <v>91.86</v>
      </c>
      <c r="DP356" s="2" t="n">
        <v>100</v>
      </c>
      <c r="DQ356" s="2" t="n">
        <v>100</v>
      </c>
      <c r="DR356" s="2" t="n">
        <v>91.86</v>
      </c>
      <c r="DS356" s="2" t="n">
        <v>100</v>
      </c>
      <c r="DT356" s="2" t="n">
        <v>100</v>
      </c>
      <c r="DU356" s="2" t="n">
        <v>91.86</v>
      </c>
      <c r="DV356" s="2" t="n">
        <v>100</v>
      </c>
      <c r="DW356" s="2" t="n">
        <v>100</v>
      </c>
      <c r="DX356" s="2" t="n">
        <v>91.86</v>
      </c>
      <c r="DY356" s="2" t="n">
        <v>100</v>
      </c>
      <c r="DZ356" s="2" t="n">
        <v>100</v>
      </c>
      <c r="EA356" s="2" t="n">
        <v>91.86</v>
      </c>
      <c r="EB356" s="2" t="n">
        <v>100</v>
      </c>
      <c r="EC356" s="2" t="n">
        <v>100</v>
      </c>
      <c r="ED356" s="2" t="n">
        <v>91.86</v>
      </c>
      <c r="EE356" s="2" t="n">
        <v>100</v>
      </c>
      <c r="EF356" s="2" t="n">
        <v>100</v>
      </c>
      <c r="EG356" s="2" t="n">
        <v>91.86</v>
      </c>
      <c r="EH356" s="2" t="n">
        <v>100</v>
      </c>
      <c r="EI356" s="2" t="n">
        <v>100</v>
      </c>
      <c r="EJ356" s="2" t="n">
        <v>91.86</v>
      </c>
      <c r="EK356" s="2" t="n">
        <v>100</v>
      </c>
      <c r="EL356" s="2" t="n">
        <v>100</v>
      </c>
      <c r="EM356" s="2" t="n">
        <v>91.86</v>
      </c>
      <c r="EN356" s="2" t="n">
        <v>100</v>
      </c>
      <c r="EO356" s="2" t="n">
        <v>100</v>
      </c>
      <c r="EP356" s="2" t="n">
        <v>91.86</v>
      </c>
      <c r="EQ356" s="2" t="n">
        <v>100</v>
      </c>
      <c r="ER356" s="2" t="n">
        <v>100</v>
      </c>
      <c r="ES356" s="2" t="n">
        <v>91.86</v>
      </c>
      <c r="ET356" s="2" t="n">
        <v>100</v>
      </c>
      <c r="EU356" s="2" t="n">
        <v>100</v>
      </c>
      <c r="EV356" s="2" t="n">
        <v>91.86</v>
      </c>
      <c r="EW356" s="2" t="n">
        <v>100</v>
      </c>
      <c r="EX356" s="2" t="n">
        <v>100</v>
      </c>
      <c r="EY356" s="2" t="n">
        <v>91.86</v>
      </c>
      <c r="EZ356" s="2" t="n">
        <v>100</v>
      </c>
      <c r="FA356" s="2" t="n">
        <v>100</v>
      </c>
      <c r="FB356" s="2" t="n">
        <v>91.86</v>
      </c>
      <c r="FC356" s="2" t="n">
        <v>100</v>
      </c>
      <c r="FD356" s="2" t="n">
        <v>100</v>
      </c>
      <c r="FE356" s="2" t="n">
        <v>91.86</v>
      </c>
      <c r="FF356" s="2" t="n">
        <v>100</v>
      </c>
      <c r="FG356" s="2" t="n">
        <v>100</v>
      </c>
      <c r="FH356" s="2" t="n">
        <v>91.86</v>
      </c>
      <c r="FI356" s="2" t="n">
        <v>100</v>
      </c>
      <c r="FJ356" s="2" t="n">
        <v>100</v>
      </c>
      <c r="FK356" s="2" t="n">
        <v>91.86</v>
      </c>
      <c r="FL356" s="2" t="n">
        <v>100</v>
      </c>
      <c r="FM356" s="2" t="n">
        <v>100</v>
      </c>
      <c r="FN356" s="2" t="n">
        <v>91.86</v>
      </c>
      <c r="FO356" s="2" t="n">
        <v>100</v>
      </c>
      <c r="FP356" s="2" t="n">
        <v>100</v>
      </c>
      <c r="FQ356" s="2" t="n">
        <v>91.86</v>
      </c>
    </row>
    <row r="357">
      <c r="A357" s="2" t="n">
        <v>4</v>
      </c>
      <c r="B357" s="2" t="inlineStr">
        <is>
          <t>16.01.02.05</t>
        </is>
      </c>
      <c r="C357" s="2" t="inlineStr">
        <is>
          <t>Concreto bombeado Fck=30Mpa para infraestrutura</t>
        </is>
      </c>
      <c r="D357" s="2" t="inlineStr">
        <is>
          <t>14/05/2025</t>
        </is>
      </c>
      <c r="E357" s="2" t="inlineStr">
        <is>
          <t>26/07/2027</t>
        </is>
      </c>
      <c r="F357" s="2" t="n">
        <v>336737.0607448091</v>
      </c>
      <c r="G357" s="2" t="n">
        <v>0</v>
      </c>
      <c r="H357" s="2" t="n">
        <v>336737.0607448091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11.02</v>
      </c>
      <c r="AK357" s="2" t="n">
        <v>11.02</v>
      </c>
      <c r="AL357" s="2" t="n">
        <v>8.74</v>
      </c>
      <c r="AM357" s="2" t="n">
        <v>27.98</v>
      </c>
      <c r="AN357" s="2" t="n">
        <v>27.98</v>
      </c>
      <c r="AO357" s="2" t="n">
        <v>31.43</v>
      </c>
      <c r="AP357" s="2" t="n">
        <v>47.48</v>
      </c>
      <c r="AQ357" s="2" t="n">
        <v>47.48</v>
      </c>
      <c r="AR357" s="2" t="n">
        <v>52</v>
      </c>
      <c r="AS357" s="2" t="n">
        <v>65.29000000000001</v>
      </c>
      <c r="AT357" s="2" t="n">
        <v>65.29000000000001</v>
      </c>
      <c r="AU357" s="2" t="n">
        <v>67.23</v>
      </c>
      <c r="AV357" s="2" t="n">
        <v>73.77</v>
      </c>
      <c r="AW357" s="2" t="n">
        <v>73.77</v>
      </c>
      <c r="AX357" s="2" t="n">
        <v>73.68000000000001</v>
      </c>
      <c r="AY357" s="2" t="n">
        <v>73.77</v>
      </c>
      <c r="AZ357" s="2" t="n">
        <v>73.77</v>
      </c>
      <c r="BA357" s="2" t="n">
        <v>73.62</v>
      </c>
      <c r="BB357" s="2" t="n">
        <v>73.77</v>
      </c>
      <c r="BC357" s="2" t="n">
        <v>73.77</v>
      </c>
      <c r="BD357" s="2" t="n">
        <v>73.77</v>
      </c>
      <c r="BE357" s="2" t="n">
        <v>73.77</v>
      </c>
      <c r="BF357" s="2" t="n">
        <v>73.77</v>
      </c>
      <c r="BG357" s="2" t="n">
        <v>73.77</v>
      </c>
      <c r="BH357" s="2" t="n">
        <v>73.77</v>
      </c>
      <c r="BI357" s="2" t="n">
        <v>73.77</v>
      </c>
      <c r="BJ357" s="2" t="n">
        <v>73.77</v>
      </c>
      <c r="BK357" s="2" t="n">
        <v>73.77</v>
      </c>
      <c r="BL357" s="2" t="n">
        <v>73.77</v>
      </c>
      <c r="BM357" s="2" t="n">
        <v>73.77</v>
      </c>
      <c r="BN357" s="2" t="n">
        <v>73.77</v>
      </c>
      <c r="BO357" s="2" t="n">
        <v>73.77</v>
      </c>
      <c r="BP357" s="2" t="n">
        <v>73.77</v>
      </c>
      <c r="BQ357" s="2" t="n">
        <v>73.77</v>
      </c>
      <c r="BR357" s="2" t="n">
        <v>73.77</v>
      </c>
      <c r="BS357" s="2" t="n">
        <v>73.77</v>
      </c>
      <c r="BT357" s="2" t="n">
        <v>73.77</v>
      </c>
      <c r="BU357" s="2" t="n">
        <v>73.77</v>
      </c>
      <c r="BV357" s="2" t="n">
        <v>73.77</v>
      </c>
      <c r="BW357" s="2" t="n">
        <v>81.64</v>
      </c>
      <c r="BX357" s="2" t="n">
        <v>81.64</v>
      </c>
      <c r="BY357" s="2" t="n">
        <v>75.58</v>
      </c>
      <c r="BZ357" s="2" t="n">
        <v>91.86</v>
      </c>
      <c r="CA357" s="2" t="n">
        <v>91.86</v>
      </c>
      <c r="CB357" s="2" t="n">
        <v>88.23999999999999</v>
      </c>
      <c r="CC357" s="2" t="n">
        <v>91.86</v>
      </c>
      <c r="CD357" s="2" t="n">
        <v>91.86</v>
      </c>
      <c r="CE357" s="2" t="n">
        <v>88.23999999999999</v>
      </c>
      <c r="CF357" s="2" t="n">
        <v>91.86</v>
      </c>
      <c r="CG357" s="2" t="n">
        <v>91.86</v>
      </c>
      <c r="CH357" s="2" t="n">
        <v>91.86</v>
      </c>
      <c r="CI357" s="2" t="n">
        <v>91.86</v>
      </c>
      <c r="CJ357" s="2" t="n">
        <v>91.86</v>
      </c>
      <c r="CK357" s="2" t="n">
        <v>91.86</v>
      </c>
      <c r="CL357" s="2" t="n">
        <v>91.86</v>
      </c>
      <c r="CM357" s="2" t="n">
        <v>91.86</v>
      </c>
      <c r="CN357" s="2" t="n">
        <v>91.86</v>
      </c>
      <c r="CO357" s="2" t="n">
        <v>91.86</v>
      </c>
      <c r="CP357" s="2" t="n">
        <v>91.86</v>
      </c>
      <c r="CQ357" s="2" t="n">
        <v>91.86</v>
      </c>
      <c r="CR357" s="2" t="n">
        <v>91.86</v>
      </c>
      <c r="CS357" s="2" t="n">
        <v>91.86</v>
      </c>
      <c r="CT357" s="2" t="n">
        <v>91.86</v>
      </c>
      <c r="CU357" s="2" t="n">
        <v>91.86</v>
      </c>
      <c r="CV357" s="2" t="n">
        <v>91.86</v>
      </c>
      <c r="CW357" s="2" t="n">
        <v>91.86</v>
      </c>
      <c r="CX357" s="2" t="n">
        <v>91.86</v>
      </c>
      <c r="CY357" s="2" t="n">
        <v>91.86</v>
      </c>
      <c r="CZ357" s="2" t="n">
        <v>91.86</v>
      </c>
      <c r="DA357" s="2" t="n">
        <v>92.59999999999999</v>
      </c>
      <c r="DB357" s="2" t="n">
        <v>92.59999999999999</v>
      </c>
      <c r="DC357" s="2" t="n">
        <v>91.86</v>
      </c>
      <c r="DD357" s="2" t="n">
        <v>95.06999999999999</v>
      </c>
      <c r="DE357" s="2" t="n">
        <v>95.06999999999999</v>
      </c>
      <c r="DF357" s="2" t="n">
        <v>91.86</v>
      </c>
      <c r="DG357" s="2" t="n">
        <v>97.78</v>
      </c>
      <c r="DH357" s="2" t="n">
        <v>97.78</v>
      </c>
      <c r="DI357" s="2" t="n">
        <v>91.86</v>
      </c>
      <c r="DJ357" s="2" t="n">
        <v>100</v>
      </c>
      <c r="DK357" s="2" t="n">
        <v>100</v>
      </c>
      <c r="DL357" s="2" t="n">
        <v>91.86</v>
      </c>
      <c r="DM357" s="2" t="n">
        <v>100</v>
      </c>
      <c r="DN357" s="2" t="n">
        <v>100</v>
      </c>
      <c r="DO357" s="2" t="n">
        <v>91.86</v>
      </c>
      <c r="DP357" s="2" t="n">
        <v>100</v>
      </c>
      <c r="DQ357" s="2" t="n">
        <v>100</v>
      </c>
      <c r="DR357" s="2" t="n">
        <v>91.86</v>
      </c>
      <c r="DS357" s="2" t="n">
        <v>100</v>
      </c>
      <c r="DT357" s="2" t="n">
        <v>100</v>
      </c>
      <c r="DU357" s="2" t="n">
        <v>91.86</v>
      </c>
      <c r="DV357" s="2" t="n">
        <v>100</v>
      </c>
      <c r="DW357" s="2" t="n">
        <v>100</v>
      </c>
      <c r="DX357" s="2" t="n">
        <v>91.86</v>
      </c>
      <c r="DY357" s="2" t="n">
        <v>100</v>
      </c>
      <c r="DZ357" s="2" t="n">
        <v>100</v>
      </c>
      <c r="EA357" s="2" t="n">
        <v>91.86</v>
      </c>
      <c r="EB357" s="2" t="n">
        <v>100</v>
      </c>
      <c r="EC357" s="2" t="n">
        <v>100</v>
      </c>
      <c r="ED357" s="2" t="n">
        <v>91.86</v>
      </c>
      <c r="EE357" s="2" t="n">
        <v>100</v>
      </c>
      <c r="EF357" s="2" t="n">
        <v>100</v>
      </c>
      <c r="EG357" s="2" t="n">
        <v>91.86</v>
      </c>
      <c r="EH357" s="2" t="n">
        <v>100</v>
      </c>
      <c r="EI357" s="2" t="n">
        <v>100</v>
      </c>
      <c r="EJ357" s="2" t="n">
        <v>91.86</v>
      </c>
      <c r="EK357" s="2" t="n">
        <v>100</v>
      </c>
      <c r="EL357" s="2" t="n">
        <v>100</v>
      </c>
      <c r="EM357" s="2" t="n">
        <v>91.86</v>
      </c>
      <c r="EN357" s="2" t="n">
        <v>100</v>
      </c>
      <c r="EO357" s="2" t="n">
        <v>100</v>
      </c>
      <c r="EP357" s="2" t="n">
        <v>91.86</v>
      </c>
      <c r="EQ357" s="2" t="n">
        <v>100</v>
      </c>
      <c r="ER357" s="2" t="n">
        <v>100</v>
      </c>
      <c r="ES357" s="2" t="n">
        <v>91.86</v>
      </c>
      <c r="ET357" s="2" t="n">
        <v>100</v>
      </c>
      <c r="EU357" s="2" t="n">
        <v>100</v>
      </c>
      <c r="EV357" s="2" t="n">
        <v>91.86</v>
      </c>
      <c r="EW357" s="2" t="n">
        <v>100</v>
      </c>
      <c r="EX357" s="2" t="n">
        <v>100</v>
      </c>
      <c r="EY357" s="2" t="n">
        <v>91.86</v>
      </c>
      <c r="EZ357" s="2" t="n">
        <v>100</v>
      </c>
      <c r="FA357" s="2" t="n">
        <v>100</v>
      </c>
      <c r="FB357" s="2" t="n">
        <v>91.86</v>
      </c>
      <c r="FC357" s="2" t="n">
        <v>100</v>
      </c>
      <c r="FD357" s="2" t="n">
        <v>100</v>
      </c>
      <c r="FE357" s="2" t="n">
        <v>91.86</v>
      </c>
      <c r="FF357" s="2" t="n">
        <v>100</v>
      </c>
      <c r="FG357" s="2" t="n">
        <v>100</v>
      </c>
      <c r="FH357" s="2" t="n">
        <v>91.86</v>
      </c>
      <c r="FI357" s="2" t="n">
        <v>100</v>
      </c>
      <c r="FJ357" s="2" t="n">
        <v>100</v>
      </c>
      <c r="FK357" s="2" t="n">
        <v>91.86</v>
      </c>
      <c r="FL357" s="2" t="n">
        <v>100</v>
      </c>
      <c r="FM357" s="2" t="n">
        <v>100</v>
      </c>
      <c r="FN357" s="2" t="n">
        <v>91.86</v>
      </c>
      <c r="FO357" s="2" t="n">
        <v>100</v>
      </c>
      <c r="FP357" s="2" t="n">
        <v>100</v>
      </c>
      <c r="FQ357" s="2" t="n">
        <v>91.86</v>
      </c>
    </row>
    <row r="358">
      <c r="A358" s="2" t="n">
        <v>4</v>
      </c>
      <c r="B358" s="2" t="inlineStr">
        <is>
          <t>16.01.02.06</t>
        </is>
      </c>
      <c r="C358" s="2" t="inlineStr">
        <is>
          <t>Polimento de pisos de concreto, acabamento sarrafeado</t>
        </is>
      </c>
      <c r="D358" s="2" t="inlineStr">
        <is>
          <t>14/05/2025</t>
        </is>
      </c>
      <c r="E358" s="2" t="inlineStr">
        <is>
          <t>26/07/2027</t>
        </is>
      </c>
      <c r="F358" s="2" t="n">
        <v>33722.44916</v>
      </c>
      <c r="G358" s="2" t="n">
        <v>0</v>
      </c>
      <c r="H358" s="2" t="n">
        <v>33722.44916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11.02</v>
      </c>
      <c r="AK358" s="2" t="n">
        <v>11.02</v>
      </c>
      <c r="AL358" s="2" t="n">
        <v>8.74</v>
      </c>
      <c r="AM358" s="2" t="n">
        <v>27.98</v>
      </c>
      <c r="AN358" s="2" t="n">
        <v>27.98</v>
      </c>
      <c r="AO358" s="2" t="n">
        <v>31.43</v>
      </c>
      <c r="AP358" s="2" t="n">
        <v>47.48</v>
      </c>
      <c r="AQ358" s="2" t="n">
        <v>47.48</v>
      </c>
      <c r="AR358" s="2" t="n">
        <v>52</v>
      </c>
      <c r="AS358" s="2" t="n">
        <v>65.29000000000001</v>
      </c>
      <c r="AT358" s="2" t="n">
        <v>65.29000000000001</v>
      </c>
      <c r="AU358" s="2" t="n">
        <v>67.23</v>
      </c>
      <c r="AV358" s="2" t="n">
        <v>73.77</v>
      </c>
      <c r="AW358" s="2" t="n">
        <v>73.77</v>
      </c>
      <c r="AX358" s="2" t="n">
        <v>73.68000000000001</v>
      </c>
      <c r="AY358" s="2" t="n">
        <v>73.77</v>
      </c>
      <c r="AZ358" s="2" t="n">
        <v>73.77</v>
      </c>
      <c r="BA358" s="2" t="n">
        <v>73.62</v>
      </c>
      <c r="BB358" s="2" t="n">
        <v>73.77</v>
      </c>
      <c r="BC358" s="2" t="n">
        <v>73.77</v>
      </c>
      <c r="BD358" s="2" t="n">
        <v>73.77</v>
      </c>
      <c r="BE358" s="2" t="n">
        <v>73.77</v>
      </c>
      <c r="BF358" s="2" t="n">
        <v>73.77</v>
      </c>
      <c r="BG358" s="2" t="n">
        <v>73.77</v>
      </c>
      <c r="BH358" s="2" t="n">
        <v>73.77</v>
      </c>
      <c r="BI358" s="2" t="n">
        <v>73.77</v>
      </c>
      <c r="BJ358" s="2" t="n">
        <v>73.77</v>
      </c>
      <c r="BK358" s="2" t="n">
        <v>73.77</v>
      </c>
      <c r="BL358" s="2" t="n">
        <v>73.77</v>
      </c>
      <c r="BM358" s="2" t="n">
        <v>73.77</v>
      </c>
      <c r="BN358" s="2" t="n">
        <v>73.77</v>
      </c>
      <c r="BO358" s="2" t="n">
        <v>73.77</v>
      </c>
      <c r="BP358" s="2" t="n">
        <v>73.77</v>
      </c>
      <c r="BQ358" s="2" t="n">
        <v>73.77</v>
      </c>
      <c r="BR358" s="2" t="n">
        <v>73.77</v>
      </c>
      <c r="BS358" s="2" t="n">
        <v>73.77</v>
      </c>
      <c r="BT358" s="2" t="n">
        <v>73.77</v>
      </c>
      <c r="BU358" s="2" t="n">
        <v>73.77</v>
      </c>
      <c r="BV358" s="2" t="n">
        <v>73.77</v>
      </c>
      <c r="BW358" s="2" t="n">
        <v>81.64</v>
      </c>
      <c r="BX358" s="2" t="n">
        <v>81.64</v>
      </c>
      <c r="BY358" s="2" t="n">
        <v>75.58</v>
      </c>
      <c r="BZ358" s="2" t="n">
        <v>91.86</v>
      </c>
      <c r="CA358" s="2" t="n">
        <v>91.86</v>
      </c>
      <c r="CB358" s="2" t="n">
        <v>88.23999999999999</v>
      </c>
      <c r="CC358" s="2" t="n">
        <v>91.86</v>
      </c>
      <c r="CD358" s="2" t="n">
        <v>91.86</v>
      </c>
      <c r="CE358" s="2" t="n">
        <v>88.23999999999999</v>
      </c>
      <c r="CF358" s="2" t="n">
        <v>91.86</v>
      </c>
      <c r="CG358" s="2" t="n">
        <v>91.86</v>
      </c>
      <c r="CH358" s="2" t="n">
        <v>91.86</v>
      </c>
      <c r="CI358" s="2" t="n">
        <v>91.86</v>
      </c>
      <c r="CJ358" s="2" t="n">
        <v>91.86</v>
      </c>
      <c r="CK358" s="2" t="n">
        <v>91.86</v>
      </c>
      <c r="CL358" s="2" t="n">
        <v>91.86</v>
      </c>
      <c r="CM358" s="2" t="n">
        <v>91.86</v>
      </c>
      <c r="CN358" s="2" t="n">
        <v>91.86</v>
      </c>
      <c r="CO358" s="2" t="n">
        <v>91.86</v>
      </c>
      <c r="CP358" s="2" t="n">
        <v>91.86</v>
      </c>
      <c r="CQ358" s="2" t="n">
        <v>91.86</v>
      </c>
      <c r="CR358" s="2" t="n">
        <v>91.86</v>
      </c>
      <c r="CS358" s="2" t="n">
        <v>91.86</v>
      </c>
      <c r="CT358" s="2" t="n">
        <v>91.86</v>
      </c>
      <c r="CU358" s="2" t="n">
        <v>91.86</v>
      </c>
      <c r="CV358" s="2" t="n">
        <v>91.86</v>
      </c>
      <c r="CW358" s="2" t="n">
        <v>91.86</v>
      </c>
      <c r="CX358" s="2" t="n">
        <v>91.86</v>
      </c>
      <c r="CY358" s="2" t="n">
        <v>91.86</v>
      </c>
      <c r="CZ358" s="2" t="n">
        <v>91.86</v>
      </c>
      <c r="DA358" s="2" t="n">
        <v>92.59999999999999</v>
      </c>
      <c r="DB358" s="2" t="n">
        <v>92.59999999999999</v>
      </c>
      <c r="DC358" s="2" t="n">
        <v>91.86</v>
      </c>
      <c r="DD358" s="2" t="n">
        <v>95.06999999999999</v>
      </c>
      <c r="DE358" s="2" t="n">
        <v>95.06999999999999</v>
      </c>
      <c r="DF358" s="2" t="n">
        <v>91.86</v>
      </c>
      <c r="DG358" s="2" t="n">
        <v>97.78</v>
      </c>
      <c r="DH358" s="2" t="n">
        <v>97.78</v>
      </c>
      <c r="DI358" s="2" t="n">
        <v>91.86</v>
      </c>
      <c r="DJ358" s="2" t="n">
        <v>100</v>
      </c>
      <c r="DK358" s="2" t="n">
        <v>100</v>
      </c>
      <c r="DL358" s="2" t="n">
        <v>91.86</v>
      </c>
      <c r="DM358" s="2" t="n">
        <v>100</v>
      </c>
      <c r="DN358" s="2" t="n">
        <v>100</v>
      </c>
      <c r="DO358" s="2" t="n">
        <v>91.86</v>
      </c>
      <c r="DP358" s="2" t="n">
        <v>100</v>
      </c>
      <c r="DQ358" s="2" t="n">
        <v>100</v>
      </c>
      <c r="DR358" s="2" t="n">
        <v>91.86</v>
      </c>
      <c r="DS358" s="2" t="n">
        <v>100</v>
      </c>
      <c r="DT358" s="2" t="n">
        <v>100</v>
      </c>
      <c r="DU358" s="2" t="n">
        <v>91.86</v>
      </c>
      <c r="DV358" s="2" t="n">
        <v>100</v>
      </c>
      <c r="DW358" s="2" t="n">
        <v>100</v>
      </c>
      <c r="DX358" s="2" t="n">
        <v>91.86</v>
      </c>
      <c r="DY358" s="2" t="n">
        <v>100</v>
      </c>
      <c r="DZ358" s="2" t="n">
        <v>100</v>
      </c>
      <c r="EA358" s="2" t="n">
        <v>91.86</v>
      </c>
      <c r="EB358" s="2" t="n">
        <v>100</v>
      </c>
      <c r="EC358" s="2" t="n">
        <v>100</v>
      </c>
      <c r="ED358" s="2" t="n">
        <v>91.86</v>
      </c>
      <c r="EE358" s="2" t="n">
        <v>100</v>
      </c>
      <c r="EF358" s="2" t="n">
        <v>100</v>
      </c>
      <c r="EG358" s="2" t="n">
        <v>91.86</v>
      </c>
      <c r="EH358" s="2" t="n">
        <v>100</v>
      </c>
      <c r="EI358" s="2" t="n">
        <v>100</v>
      </c>
      <c r="EJ358" s="2" t="n">
        <v>91.86</v>
      </c>
      <c r="EK358" s="2" t="n">
        <v>100</v>
      </c>
      <c r="EL358" s="2" t="n">
        <v>100</v>
      </c>
      <c r="EM358" s="2" t="n">
        <v>91.86</v>
      </c>
      <c r="EN358" s="2" t="n">
        <v>100</v>
      </c>
      <c r="EO358" s="2" t="n">
        <v>100</v>
      </c>
      <c r="EP358" s="2" t="n">
        <v>91.86</v>
      </c>
      <c r="EQ358" s="2" t="n">
        <v>100</v>
      </c>
      <c r="ER358" s="2" t="n">
        <v>100</v>
      </c>
      <c r="ES358" s="2" t="n">
        <v>91.86</v>
      </c>
      <c r="ET358" s="2" t="n">
        <v>100</v>
      </c>
      <c r="EU358" s="2" t="n">
        <v>100</v>
      </c>
      <c r="EV358" s="2" t="n">
        <v>91.86</v>
      </c>
      <c r="EW358" s="2" t="n">
        <v>100</v>
      </c>
      <c r="EX358" s="2" t="n">
        <v>100</v>
      </c>
      <c r="EY358" s="2" t="n">
        <v>91.86</v>
      </c>
      <c r="EZ358" s="2" t="n">
        <v>100</v>
      </c>
      <c r="FA358" s="2" t="n">
        <v>100</v>
      </c>
      <c r="FB358" s="2" t="n">
        <v>91.86</v>
      </c>
      <c r="FC358" s="2" t="n">
        <v>100</v>
      </c>
      <c r="FD358" s="2" t="n">
        <v>100</v>
      </c>
      <c r="FE358" s="2" t="n">
        <v>91.86</v>
      </c>
      <c r="FF358" s="2" t="n">
        <v>100</v>
      </c>
      <c r="FG358" s="2" t="n">
        <v>100</v>
      </c>
      <c r="FH358" s="2" t="n">
        <v>91.86</v>
      </c>
      <c r="FI358" s="2" t="n">
        <v>100</v>
      </c>
      <c r="FJ358" s="2" t="n">
        <v>100</v>
      </c>
      <c r="FK358" s="2" t="n">
        <v>91.86</v>
      </c>
      <c r="FL358" s="2" t="n">
        <v>100</v>
      </c>
      <c r="FM358" s="2" t="n">
        <v>100</v>
      </c>
      <c r="FN358" s="2" t="n">
        <v>91.86</v>
      </c>
      <c r="FO358" s="2" t="n">
        <v>100</v>
      </c>
      <c r="FP358" s="2" t="n">
        <v>100</v>
      </c>
      <c r="FQ358" s="2" t="n">
        <v>91.86</v>
      </c>
    </row>
    <row r="359">
      <c r="A359" s="2" t="n">
        <v>3</v>
      </c>
      <c r="B359" s="2" t="inlineStr">
        <is>
          <t>16.01.03</t>
        </is>
      </c>
      <c r="C359" s="2" t="inlineStr">
        <is>
          <t>Reservatório inferior</t>
        </is>
      </c>
      <c r="D359" s="2" t="inlineStr">
        <is>
          <t>14/05/2025</t>
        </is>
      </c>
      <c r="E359" s="2" t="inlineStr">
        <is>
          <t>26/07/2027</t>
        </is>
      </c>
      <c r="F359" s="2" t="n">
        <v>330000</v>
      </c>
      <c r="G359" s="2" t="n">
        <v>0</v>
      </c>
      <c r="H359" s="2" t="n">
        <v>330000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11.02</v>
      </c>
      <c r="AK359" s="2" t="n">
        <v>11.02</v>
      </c>
      <c r="AL359" s="2" t="n">
        <v>8.74</v>
      </c>
      <c r="AM359" s="2" t="n">
        <v>27.98</v>
      </c>
      <c r="AN359" s="2" t="n">
        <v>27.98</v>
      </c>
      <c r="AO359" s="2" t="n">
        <v>31.43</v>
      </c>
      <c r="AP359" s="2" t="n">
        <v>47.48</v>
      </c>
      <c r="AQ359" s="2" t="n">
        <v>47.48</v>
      </c>
      <c r="AR359" s="2" t="n">
        <v>52</v>
      </c>
      <c r="AS359" s="2" t="n">
        <v>65.29000000000001</v>
      </c>
      <c r="AT359" s="2" t="n">
        <v>65.29000000000001</v>
      </c>
      <c r="AU359" s="2" t="n">
        <v>67.23</v>
      </c>
      <c r="AV359" s="2" t="n">
        <v>73.77</v>
      </c>
      <c r="AW359" s="2" t="n">
        <v>73.77</v>
      </c>
      <c r="AX359" s="2" t="n">
        <v>73.68000000000001</v>
      </c>
      <c r="AY359" s="2" t="n">
        <v>73.77</v>
      </c>
      <c r="AZ359" s="2" t="n">
        <v>73.77</v>
      </c>
      <c r="BA359" s="2" t="n">
        <v>73.62</v>
      </c>
      <c r="BB359" s="2" t="n">
        <v>73.77</v>
      </c>
      <c r="BC359" s="2" t="n">
        <v>73.77</v>
      </c>
      <c r="BD359" s="2" t="n">
        <v>73.77</v>
      </c>
      <c r="BE359" s="2" t="n">
        <v>73.77</v>
      </c>
      <c r="BF359" s="2" t="n">
        <v>73.77</v>
      </c>
      <c r="BG359" s="2" t="n">
        <v>73.77</v>
      </c>
      <c r="BH359" s="2" t="n">
        <v>73.77</v>
      </c>
      <c r="BI359" s="2" t="n">
        <v>73.77</v>
      </c>
      <c r="BJ359" s="2" t="n">
        <v>73.77</v>
      </c>
      <c r="BK359" s="2" t="n">
        <v>73.77</v>
      </c>
      <c r="BL359" s="2" t="n">
        <v>73.77</v>
      </c>
      <c r="BM359" s="2" t="n">
        <v>73.77</v>
      </c>
      <c r="BN359" s="2" t="n">
        <v>73.77</v>
      </c>
      <c r="BO359" s="2" t="n">
        <v>73.77</v>
      </c>
      <c r="BP359" s="2" t="n">
        <v>73.77</v>
      </c>
      <c r="BQ359" s="2" t="n">
        <v>73.77</v>
      </c>
      <c r="BR359" s="2" t="n">
        <v>73.77</v>
      </c>
      <c r="BS359" s="2" t="n">
        <v>73.77</v>
      </c>
      <c r="BT359" s="2" t="n">
        <v>73.77</v>
      </c>
      <c r="BU359" s="2" t="n">
        <v>73.77</v>
      </c>
      <c r="BV359" s="2" t="n">
        <v>73.77</v>
      </c>
      <c r="BW359" s="2" t="n">
        <v>81.64</v>
      </c>
      <c r="BX359" s="2" t="n">
        <v>81.64</v>
      </c>
      <c r="BY359" s="2" t="n">
        <v>75.58</v>
      </c>
      <c r="BZ359" s="2" t="n">
        <v>91.86</v>
      </c>
      <c r="CA359" s="2" t="n">
        <v>91.86</v>
      </c>
      <c r="CB359" s="2" t="n">
        <v>88.23999999999999</v>
      </c>
      <c r="CC359" s="2" t="n">
        <v>91.86</v>
      </c>
      <c r="CD359" s="2" t="n">
        <v>91.86</v>
      </c>
      <c r="CE359" s="2" t="n">
        <v>88.23999999999999</v>
      </c>
      <c r="CF359" s="2" t="n">
        <v>91.86</v>
      </c>
      <c r="CG359" s="2" t="n">
        <v>91.86</v>
      </c>
      <c r="CH359" s="2" t="n">
        <v>91.86</v>
      </c>
      <c r="CI359" s="2" t="n">
        <v>91.86</v>
      </c>
      <c r="CJ359" s="2" t="n">
        <v>91.86</v>
      </c>
      <c r="CK359" s="2" t="n">
        <v>91.86</v>
      </c>
      <c r="CL359" s="2" t="n">
        <v>91.86</v>
      </c>
      <c r="CM359" s="2" t="n">
        <v>91.86</v>
      </c>
      <c r="CN359" s="2" t="n">
        <v>91.86</v>
      </c>
      <c r="CO359" s="2" t="n">
        <v>91.86</v>
      </c>
      <c r="CP359" s="2" t="n">
        <v>91.86</v>
      </c>
      <c r="CQ359" s="2" t="n">
        <v>91.86</v>
      </c>
      <c r="CR359" s="2" t="n">
        <v>91.86</v>
      </c>
      <c r="CS359" s="2" t="n">
        <v>91.86</v>
      </c>
      <c r="CT359" s="2" t="n">
        <v>91.86</v>
      </c>
      <c r="CU359" s="2" t="n">
        <v>91.86</v>
      </c>
      <c r="CV359" s="2" t="n">
        <v>91.86</v>
      </c>
      <c r="CW359" s="2" t="n">
        <v>91.86</v>
      </c>
      <c r="CX359" s="2" t="n">
        <v>91.86</v>
      </c>
      <c r="CY359" s="2" t="n">
        <v>91.86</v>
      </c>
      <c r="CZ359" s="2" t="n">
        <v>91.86</v>
      </c>
      <c r="DA359" s="2" t="n">
        <v>92.59999999999999</v>
      </c>
      <c r="DB359" s="2" t="n">
        <v>92.59999999999999</v>
      </c>
      <c r="DC359" s="2" t="n">
        <v>91.86</v>
      </c>
      <c r="DD359" s="2" t="n">
        <v>95.06999999999999</v>
      </c>
      <c r="DE359" s="2" t="n">
        <v>95.06999999999999</v>
      </c>
      <c r="DF359" s="2" t="n">
        <v>91.86</v>
      </c>
      <c r="DG359" s="2" t="n">
        <v>97.78</v>
      </c>
      <c r="DH359" s="2" t="n">
        <v>97.78</v>
      </c>
      <c r="DI359" s="2" t="n">
        <v>91.86</v>
      </c>
      <c r="DJ359" s="2" t="n">
        <v>100</v>
      </c>
      <c r="DK359" s="2" t="n">
        <v>100</v>
      </c>
      <c r="DL359" s="2" t="n">
        <v>91.86</v>
      </c>
      <c r="DM359" s="2" t="n">
        <v>100</v>
      </c>
      <c r="DN359" s="2" t="n">
        <v>100</v>
      </c>
      <c r="DO359" s="2" t="n">
        <v>91.86</v>
      </c>
      <c r="DP359" s="2" t="n">
        <v>100</v>
      </c>
      <c r="DQ359" s="2" t="n">
        <v>100</v>
      </c>
      <c r="DR359" s="2" t="n">
        <v>91.86</v>
      </c>
      <c r="DS359" s="2" t="n">
        <v>100</v>
      </c>
      <c r="DT359" s="2" t="n">
        <v>100</v>
      </c>
      <c r="DU359" s="2" t="n">
        <v>91.86</v>
      </c>
      <c r="DV359" s="2" t="n">
        <v>100</v>
      </c>
      <c r="DW359" s="2" t="n">
        <v>100</v>
      </c>
      <c r="DX359" s="2" t="n">
        <v>91.86</v>
      </c>
      <c r="DY359" s="2" t="n">
        <v>100</v>
      </c>
      <c r="DZ359" s="2" t="n">
        <v>100</v>
      </c>
      <c r="EA359" s="2" t="n">
        <v>91.86</v>
      </c>
      <c r="EB359" s="2" t="n">
        <v>100</v>
      </c>
      <c r="EC359" s="2" t="n">
        <v>100</v>
      </c>
      <c r="ED359" s="2" t="n">
        <v>91.86</v>
      </c>
      <c r="EE359" s="2" t="n">
        <v>100</v>
      </c>
      <c r="EF359" s="2" t="n">
        <v>100</v>
      </c>
      <c r="EG359" s="2" t="n">
        <v>91.86</v>
      </c>
      <c r="EH359" s="2" t="n">
        <v>100</v>
      </c>
      <c r="EI359" s="2" t="n">
        <v>100</v>
      </c>
      <c r="EJ359" s="2" t="n">
        <v>91.86</v>
      </c>
      <c r="EK359" s="2" t="n">
        <v>100</v>
      </c>
      <c r="EL359" s="2" t="n">
        <v>100</v>
      </c>
      <c r="EM359" s="2" t="n">
        <v>91.86</v>
      </c>
      <c r="EN359" s="2" t="n">
        <v>100</v>
      </c>
      <c r="EO359" s="2" t="n">
        <v>100</v>
      </c>
      <c r="EP359" s="2" t="n">
        <v>91.86</v>
      </c>
      <c r="EQ359" s="2" t="n">
        <v>100</v>
      </c>
      <c r="ER359" s="2" t="n">
        <v>100</v>
      </c>
      <c r="ES359" s="2" t="n">
        <v>91.86</v>
      </c>
      <c r="ET359" s="2" t="n">
        <v>100</v>
      </c>
      <c r="EU359" s="2" t="n">
        <v>100</v>
      </c>
      <c r="EV359" s="2" t="n">
        <v>91.86</v>
      </c>
      <c r="EW359" s="2" t="n">
        <v>100</v>
      </c>
      <c r="EX359" s="2" t="n">
        <v>100</v>
      </c>
      <c r="EY359" s="2" t="n">
        <v>91.86</v>
      </c>
      <c r="EZ359" s="2" t="n">
        <v>100</v>
      </c>
      <c r="FA359" s="2" t="n">
        <v>100</v>
      </c>
      <c r="FB359" s="2" t="n">
        <v>91.86</v>
      </c>
      <c r="FC359" s="2" t="n">
        <v>100</v>
      </c>
      <c r="FD359" s="2" t="n">
        <v>100</v>
      </c>
      <c r="FE359" s="2" t="n">
        <v>91.86</v>
      </c>
      <c r="FF359" s="2" t="n">
        <v>100</v>
      </c>
      <c r="FG359" s="2" t="n">
        <v>100</v>
      </c>
      <c r="FH359" s="2" t="n">
        <v>91.86</v>
      </c>
      <c r="FI359" s="2" t="n">
        <v>100</v>
      </c>
      <c r="FJ359" s="2" t="n">
        <v>100</v>
      </c>
      <c r="FK359" s="2" t="n">
        <v>91.86</v>
      </c>
      <c r="FL359" s="2" t="n">
        <v>100</v>
      </c>
      <c r="FM359" s="2" t="n">
        <v>100</v>
      </c>
      <c r="FN359" s="2" t="n">
        <v>91.86</v>
      </c>
      <c r="FO359" s="2" t="n">
        <v>100</v>
      </c>
      <c r="FP359" s="2" t="n">
        <v>100</v>
      </c>
      <c r="FQ359" s="2" t="n">
        <v>91.86</v>
      </c>
    </row>
    <row r="360">
      <c r="A360" s="2" t="n">
        <v>4</v>
      </c>
      <c r="B360" s="2" t="inlineStr">
        <is>
          <t>16.01.03.01</t>
        </is>
      </c>
      <c r="C360" s="2" t="inlineStr">
        <is>
          <t>Reservatórios inferiores</t>
        </is>
      </c>
      <c r="D360" s="2" t="inlineStr">
        <is>
          <t>14/05/2025</t>
        </is>
      </c>
      <c r="E360" s="2" t="inlineStr">
        <is>
          <t>26/07/2027</t>
        </is>
      </c>
      <c r="F360" s="2" t="n">
        <v>330000</v>
      </c>
      <c r="G360" s="2" t="n">
        <v>0</v>
      </c>
      <c r="H360" s="2" t="n">
        <v>330000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11.02</v>
      </c>
      <c r="AK360" s="2" t="n">
        <v>11.02</v>
      </c>
      <c r="AL360" s="2" t="n">
        <v>8.74</v>
      </c>
      <c r="AM360" s="2" t="n">
        <v>27.98</v>
      </c>
      <c r="AN360" s="2" t="n">
        <v>27.98</v>
      </c>
      <c r="AO360" s="2" t="n">
        <v>31.43</v>
      </c>
      <c r="AP360" s="2" t="n">
        <v>47.48</v>
      </c>
      <c r="AQ360" s="2" t="n">
        <v>47.48</v>
      </c>
      <c r="AR360" s="2" t="n">
        <v>52</v>
      </c>
      <c r="AS360" s="2" t="n">
        <v>65.29000000000001</v>
      </c>
      <c r="AT360" s="2" t="n">
        <v>65.29000000000001</v>
      </c>
      <c r="AU360" s="2" t="n">
        <v>67.23</v>
      </c>
      <c r="AV360" s="2" t="n">
        <v>73.77</v>
      </c>
      <c r="AW360" s="2" t="n">
        <v>73.77</v>
      </c>
      <c r="AX360" s="2" t="n">
        <v>73.68000000000001</v>
      </c>
      <c r="AY360" s="2" t="n">
        <v>73.77</v>
      </c>
      <c r="AZ360" s="2" t="n">
        <v>73.77</v>
      </c>
      <c r="BA360" s="2" t="n">
        <v>73.62</v>
      </c>
      <c r="BB360" s="2" t="n">
        <v>73.77</v>
      </c>
      <c r="BC360" s="2" t="n">
        <v>73.77</v>
      </c>
      <c r="BD360" s="2" t="n">
        <v>73.77</v>
      </c>
      <c r="BE360" s="2" t="n">
        <v>73.77</v>
      </c>
      <c r="BF360" s="2" t="n">
        <v>73.77</v>
      </c>
      <c r="BG360" s="2" t="n">
        <v>73.77</v>
      </c>
      <c r="BH360" s="2" t="n">
        <v>73.77</v>
      </c>
      <c r="BI360" s="2" t="n">
        <v>73.77</v>
      </c>
      <c r="BJ360" s="2" t="n">
        <v>73.77</v>
      </c>
      <c r="BK360" s="2" t="n">
        <v>73.77</v>
      </c>
      <c r="BL360" s="2" t="n">
        <v>73.77</v>
      </c>
      <c r="BM360" s="2" t="n">
        <v>73.77</v>
      </c>
      <c r="BN360" s="2" t="n">
        <v>73.77</v>
      </c>
      <c r="BO360" s="2" t="n">
        <v>73.77</v>
      </c>
      <c r="BP360" s="2" t="n">
        <v>73.77</v>
      </c>
      <c r="BQ360" s="2" t="n">
        <v>73.77</v>
      </c>
      <c r="BR360" s="2" t="n">
        <v>73.77</v>
      </c>
      <c r="BS360" s="2" t="n">
        <v>73.77</v>
      </c>
      <c r="BT360" s="2" t="n">
        <v>73.77</v>
      </c>
      <c r="BU360" s="2" t="n">
        <v>73.77</v>
      </c>
      <c r="BV360" s="2" t="n">
        <v>73.77</v>
      </c>
      <c r="BW360" s="2" t="n">
        <v>81.64</v>
      </c>
      <c r="BX360" s="2" t="n">
        <v>81.64</v>
      </c>
      <c r="BY360" s="2" t="n">
        <v>75.58</v>
      </c>
      <c r="BZ360" s="2" t="n">
        <v>91.86</v>
      </c>
      <c r="CA360" s="2" t="n">
        <v>91.86</v>
      </c>
      <c r="CB360" s="2" t="n">
        <v>88.23999999999999</v>
      </c>
      <c r="CC360" s="2" t="n">
        <v>91.86</v>
      </c>
      <c r="CD360" s="2" t="n">
        <v>91.86</v>
      </c>
      <c r="CE360" s="2" t="n">
        <v>88.23999999999999</v>
      </c>
      <c r="CF360" s="2" t="n">
        <v>91.86</v>
      </c>
      <c r="CG360" s="2" t="n">
        <v>91.86</v>
      </c>
      <c r="CH360" s="2" t="n">
        <v>91.86</v>
      </c>
      <c r="CI360" s="2" t="n">
        <v>91.86</v>
      </c>
      <c r="CJ360" s="2" t="n">
        <v>91.86</v>
      </c>
      <c r="CK360" s="2" t="n">
        <v>91.86</v>
      </c>
      <c r="CL360" s="2" t="n">
        <v>91.86</v>
      </c>
      <c r="CM360" s="2" t="n">
        <v>91.86</v>
      </c>
      <c r="CN360" s="2" t="n">
        <v>91.86</v>
      </c>
      <c r="CO360" s="2" t="n">
        <v>91.86</v>
      </c>
      <c r="CP360" s="2" t="n">
        <v>91.86</v>
      </c>
      <c r="CQ360" s="2" t="n">
        <v>91.86</v>
      </c>
      <c r="CR360" s="2" t="n">
        <v>91.86</v>
      </c>
      <c r="CS360" s="2" t="n">
        <v>91.86</v>
      </c>
      <c r="CT360" s="2" t="n">
        <v>91.86</v>
      </c>
      <c r="CU360" s="2" t="n">
        <v>91.86</v>
      </c>
      <c r="CV360" s="2" t="n">
        <v>91.86</v>
      </c>
      <c r="CW360" s="2" t="n">
        <v>91.86</v>
      </c>
      <c r="CX360" s="2" t="n">
        <v>91.86</v>
      </c>
      <c r="CY360" s="2" t="n">
        <v>91.86</v>
      </c>
      <c r="CZ360" s="2" t="n">
        <v>91.86</v>
      </c>
      <c r="DA360" s="2" t="n">
        <v>92.59999999999999</v>
      </c>
      <c r="DB360" s="2" t="n">
        <v>92.59999999999999</v>
      </c>
      <c r="DC360" s="2" t="n">
        <v>91.86</v>
      </c>
      <c r="DD360" s="2" t="n">
        <v>95.06999999999999</v>
      </c>
      <c r="DE360" s="2" t="n">
        <v>95.06999999999999</v>
      </c>
      <c r="DF360" s="2" t="n">
        <v>91.86</v>
      </c>
      <c r="DG360" s="2" t="n">
        <v>97.78</v>
      </c>
      <c r="DH360" s="2" t="n">
        <v>97.78</v>
      </c>
      <c r="DI360" s="2" t="n">
        <v>91.86</v>
      </c>
      <c r="DJ360" s="2" t="n">
        <v>100</v>
      </c>
      <c r="DK360" s="2" t="n">
        <v>100</v>
      </c>
      <c r="DL360" s="2" t="n">
        <v>91.86</v>
      </c>
      <c r="DM360" s="2" t="n">
        <v>100</v>
      </c>
      <c r="DN360" s="2" t="n">
        <v>100</v>
      </c>
      <c r="DO360" s="2" t="n">
        <v>91.86</v>
      </c>
      <c r="DP360" s="2" t="n">
        <v>100</v>
      </c>
      <c r="DQ360" s="2" t="n">
        <v>100</v>
      </c>
      <c r="DR360" s="2" t="n">
        <v>91.86</v>
      </c>
      <c r="DS360" s="2" t="n">
        <v>100</v>
      </c>
      <c r="DT360" s="2" t="n">
        <v>100</v>
      </c>
      <c r="DU360" s="2" t="n">
        <v>91.86</v>
      </c>
      <c r="DV360" s="2" t="n">
        <v>100</v>
      </c>
      <c r="DW360" s="2" t="n">
        <v>100</v>
      </c>
      <c r="DX360" s="2" t="n">
        <v>91.86</v>
      </c>
      <c r="DY360" s="2" t="n">
        <v>100</v>
      </c>
      <c r="DZ360" s="2" t="n">
        <v>100</v>
      </c>
      <c r="EA360" s="2" t="n">
        <v>91.86</v>
      </c>
      <c r="EB360" s="2" t="n">
        <v>100</v>
      </c>
      <c r="EC360" s="2" t="n">
        <v>100</v>
      </c>
      <c r="ED360" s="2" t="n">
        <v>91.86</v>
      </c>
      <c r="EE360" s="2" t="n">
        <v>100</v>
      </c>
      <c r="EF360" s="2" t="n">
        <v>100</v>
      </c>
      <c r="EG360" s="2" t="n">
        <v>91.86</v>
      </c>
      <c r="EH360" s="2" t="n">
        <v>100</v>
      </c>
      <c r="EI360" s="2" t="n">
        <v>100</v>
      </c>
      <c r="EJ360" s="2" t="n">
        <v>91.86</v>
      </c>
      <c r="EK360" s="2" t="n">
        <v>100</v>
      </c>
      <c r="EL360" s="2" t="n">
        <v>100</v>
      </c>
      <c r="EM360" s="2" t="n">
        <v>91.86</v>
      </c>
      <c r="EN360" s="2" t="n">
        <v>100</v>
      </c>
      <c r="EO360" s="2" t="n">
        <v>100</v>
      </c>
      <c r="EP360" s="2" t="n">
        <v>91.86</v>
      </c>
      <c r="EQ360" s="2" t="n">
        <v>100</v>
      </c>
      <c r="ER360" s="2" t="n">
        <v>100</v>
      </c>
      <c r="ES360" s="2" t="n">
        <v>91.86</v>
      </c>
      <c r="ET360" s="2" t="n">
        <v>100</v>
      </c>
      <c r="EU360" s="2" t="n">
        <v>100</v>
      </c>
      <c r="EV360" s="2" t="n">
        <v>91.86</v>
      </c>
      <c r="EW360" s="2" t="n">
        <v>100</v>
      </c>
      <c r="EX360" s="2" t="n">
        <v>100</v>
      </c>
      <c r="EY360" s="2" t="n">
        <v>91.86</v>
      </c>
      <c r="EZ360" s="2" t="n">
        <v>100</v>
      </c>
      <c r="FA360" s="2" t="n">
        <v>100</v>
      </c>
      <c r="FB360" s="2" t="n">
        <v>91.86</v>
      </c>
      <c r="FC360" s="2" t="n">
        <v>100</v>
      </c>
      <c r="FD360" s="2" t="n">
        <v>100</v>
      </c>
      <c r="FE360" s="2" t="n">
        <v>91.86</v>
      </c>
      <c r="FF360" s="2" t="n">
        <v>100</v>
      </c>
      <c r="FG360" s="2" t="n">
        <v>100</v>
      </c>
      <c r="FH360" s="2" t="n">
        <v>91.86</v>
      </c>
      <c r="FI360" s="2" t="n">
        <v>100</v>
      </c>
      <c r="FJ360" s="2" t="n">
        <v>100</v>
      </c>
      <c r="FK360" s="2" t="n">
        <v>91.86</v>
      </c>
      <c r="FL360" s="2" t="n">
        <v>100</v>
      </c>
      <c r="FM360" s="2" t="n">
        <v>100</v>
      </c>
      <c r="FN360" s="2" t="n">
        <v>91.86</v>
      </c>
      <c r="FO360" s="2" t="n">
        <v>100</v>
      </c>
      <c r="FP360" s="2" t="n">
        <v>100</v>
      </c>
      <c r="FQ360" s="2" t="n">
        <v>91.86</v>
      </c>
    </row>
    <row r="361">
      <c r="A361" s="2" t="n">
        <v>1</v>
      </c>
      <c r="B361" s="2" t="inlineStr">
        <is>
          <t>17</t>
        </is>
      </c>
      <c r="C361" s="2" t="inlineStr">
        <is>
          <t>ESTRUTURA EM CONCRETO</t>
        </is>
      </c>
      <c r="D361" s="2" t="inlineStr">
        <is>
          <t>19/05/2025</t>
        </is>
      </c>
      <c r="E361" s="2" t="inlineStr">
        <is>
          <t>06/04/2027</t>
        </is>
      </c>
      <c r="F361" s="2" t="n">
        <v>20273268.86616746</v>
      </c>
      <c r="G361" s="2" t="n">
        <v>0</v>
      </c>
      <c r="H361" s="2" t="n">
        <v>20273268.86616746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1.09</v>
      </c>
      <c r="AK361" s="2" t="n">
        <v>1.09</v>
      </c>
      <c r="AL361" s="2" t="n">
        <v>0</v>
      </c>
      <c r="AM361" s="2" t="n">
        <v>3.28</v>
      </c>
      <c r="AN361" s="2" t="n">
        <v>3.28</v>
      </c>
      <c r="AO361" s="2" t="n">
        <v>4.36</v>
      </c>
      <c r="AP361" s="2" t="n">
        <v>7.21</v>
      </c>
      <c r="AQ361" s="2" t="n">
        <v>7.21</v>
      </c>
      <c r="AR361" s="2" t="n">
        <v>8.73</v>
      </c>
      <c r="AS361" s="2" t="n">
        <v>12.37</v>
      </c>
      <c r="AT361" s="2" t="n">
        <v>12.37</v>
      </c>
      <c r="AU361" s="2" t="n">
        <v>11.64</v>
      </c>
      <c r="AV361" s="2" t="n">
        <v>14.59</v>
      </c>
      <c r="AW361" s="2" t="n">
        <v>14.59</v>
      </c>
      <c r="AX361" s="2" t="n">
        <v>13.33</v>
      </c>
      <c r="AY361" s="2" t="n">
        <v>20.34</v>
      </c>
      <c r="AZ361" s="2" t="n">
        <v>20.34</v>
      </c>
      <c r="BA361" s="2" t="n">
        <v>20.32</v>
      </c>
      <c r="BB361" s="2" t="n">
        <v>26.99</v>
      </c>
      <c r="BC361" s="2" t="n">
        <v>26.99</v>
      </c>
      <c r="BD361" s="2" t="n">
        <v>26.18</v>
      </c>
      <c r="BE361" s="2" t="n">
        <v>32.96</v>
      </c>
      <c r="BF361" s="2" t="n">
        <v>32.96</v>
      </c>
      <c r="BG361" s="2" t="n">
        <v>32.56</v>
      </c>
      <c r="BH361" s="2" t="n">
        <v>37.63</v>
      </c>
      <c r="BI361" s="2" t="n">
        <v>37.63</v>
      </c>
      <c r="BJ361" s="2" t="n">
        <v>37.01</v>
      </c>
      <c r="BK361" s="2" t="n">
        <v>41.46</v>
      </c>
      <c r="BL361" s="2" t="n">
        <v>41.46</v>
      </c>
      <c r="BM361" s="2" t="n">
        <v>40.79</v>
      </c>
      <c r="BN361" s="2" t="n">
        <v>45.79</v>
      </c>
      <c r="BO361" s="2" t="n">
        <v>45.79</v>
      </c>
      <c r="BP361" s="2" t="n">
        <v>45</v>
      </c>
      <c r="BQ361" s="2" t="n">
        <v>48.42</v>
      </c>
      <c r="BR361" s="2" t="n">
        <v>48.42</v>
      </c>
      <c r="BS361" s="2" t="n">
        <v>48.28</v>
      </c>
      <c r="BT361" s="2" t="n">
        <v>52.55</v>
      </c>
      <c r="BU361" s="2" t="n">
        <v>52.55</v>
      </c>
      <c r="BV361" s="2" t="n">
        <v>52.46</v>
      </c>
      <c r="BW361" s="2" t="n">
        <v>56.39</v>
      </c>
      <c r="BX361" s="2" t="n">
        <v>56.39</v>
      </c>
      <c r="BY361" s="2" t="n">
        <v>56.4</v>
      </c>
      <c r="BZ361" s="2" t="n">
        <v>61.96</v>
      </c>
      <c r="CA361" s="2" t="n">
        <v>62.37</v>
      </c>
      <c r="CB361" s="2" t="n">
        <v>62.18</v>
      </c>
      <c r="CC361" s="2" t="n">
        <v>64.34999999999999</v>
      </c>
      <c r="CD361" s="2" t="n">
        <v>66.98999999999999</v>
      </c>
      <c r="CE361" s="2" t="n">
        <v>66.95</v>
      </c>
      <c r="CF361" s="2" t="n">
        <v>66.73999999999999</v>
      </c>
      <c r="CG361" s="2" t="n">
        <v>71.81</v>
      </c>
      <c r="CH361" s="2" t="n">
        <v>69.81</v>
      </c>
      <c r="CI361" s="2" t="n">
        <v>71.45999999999999</v>
      </c>
      <c r="CJ361" s="2" t="n">
        <v>76.53</v>
      </c>
      <c r="CK361" s="2" t="n">
        <v>69.81</v>
      </c>
      <c r="CL361" s="2" t="n">
        <v>75.90000000000001</v>
      </c>
      <c r="CM361" s="2" t="n">
        <v>80.97</v>
      </c>
      <c r="CN361" s="2" t="n">
        <v>69.81</v>
      </c>
      <c r="CO361" s="2" t="n">
        <v>79.70999999999999</v>
      </c>
      <c r="CP361" s="2" t="n">
        <v>84.79000000000001</v>
      </c>
      <c r="CQ361" s="2" t="n">
        <v>69.81</v>
      </c>
      <c r="CR361" s="2" t="n">
        <v>84.48999999999999</v>
      </c>
      <c r="CS361" s="2" t="n">
        <v>89.56</v>
      </c>
      <c r="CT361" s="2" t="n">
        <v>69.81</v>
      </c>
      <c r="CU361" s="2" t="n">
        <v>88.89</v>
      </c>
      <c r="CV361" s="2" t="n">
        <v>93.95999999999999</v>
      </c>
      <c r="CW361" s="2" t="n">
        <v>69.81</v>
      </c>
      <c r="CX361" s="2" t="n">
        <v>94.58</v>
      </c>
      <c r="CY361" s="2" t="n">
        <v>99.65000000000001</v>
      </c>
      <c r="CZ361" s="2" t="n">
        <v>69.81</v>
      </c>
      <c r="DA361" s="2" t="n">
        <v>94.93000000000001</v>
      </c>
      <c r="DB361" s="2" t="n">
        <v>100</v>
      </c>
      <c r="DC361" s="2" t="n">
        <v>69.81</v>
      </c>
      <c r="DD361" s="2" t="n">
        <v>94.93000000000001</v>
      </c>
      <c r="DE361" s="2" t="n">
        <v>100</v>
      </c>
      <c r="DF361" s="2" t="n">
        <v>69.81</v>
      </c>
      <c r="DG361" s="2" t="n">
        <v>94.93000000000001</v>
      </c>
      <c r="DH361" s="2" t="n">
        <v>100</v>
      </c>
      <c r="DI361" s="2" t="n">
        <v>69.81</v>
      </c>
      <c r="DJ361" s="2" t="n">
        <v>94.93000000000001</v>
      </c>
      <c r="DK361" s="2" t="n">
        <v>100</v>
      </c>
      <c r="DL361" s="2" t="n">
        <v>69.81</v>
      </c>
      <c r="DM361" s="2" t="n">
        <v>94.93000000000001</v>
      </c>
      <c r="DN361" s="2" t="n">
        <v>100</v>
      </c>
      <c r="DO361" s="2" t="n">
        <v>69.81</v>
      </c>
      <c r="DP361" s="2" t="n">
        <v>94.93000000000001</v>
      </c>
      <c r="DQ361" s="2" t="n">
        <v>100</v>
      </c>
      <c r="DR361" s="2" t="n">
        <v>69.81</v>
      </c>
      <c r="DS361" s="2" t="n">
        <v>94.93000000000001</v>
      </c>
      <c r="DT361" s="2" t="n">
        <v>100</v>
      </c>
      <c r="DU361" s="2" t="n">
        <v>69.81</v>
      </c>
      <c r="DV361" s="2" t="n">
        <v>94.93000000000001</v>
      </c>
      <c r="DW361" s="2" t="n">
        <v>100</v>
      </c>
      <c r="DX361" s="2" t="n">
        <v>69.81</v>
      </c>
      <c r="DY361" s="2" t="n">
        <v>94.93000000000001</v>
      </c>
      <c r="DZ361" s="2" t="n">
        <v>100</v>
      </c>
      <c r="EA361" s="2" t="n">
        <v>69.81</v>
      </c>
      <c r="EB361" s="2" t="n">
        <v>94.93000000000001</v>
      </c>
      <c r="EC361" s="2" t="n">
        <v>100</v>
      </c>
      <c r="ED361" s="2" t="n">
        <v>69.81</v>
      </c>
      <c r="EE361" s="2" t="n">
        <v>94.93000000000001</v>
      </c>
      <c r="EF361" s="2" t="n">
        <v>100</v>
      </c>
      <c r="EG361" s="2" t="n">
        <v>69.81</v>
      </c>
      <c r="EH361" s="2" t="n">
        <v>94.93000000000001</v>
      </c>
      <c r="EI361" s="2" t="n">
        <v>100</v>
      </c>
      <c r="EJ361" s="2" t="n">
        <v>69.81</v>
      </c>
      <c r="EK361" s="2" t="n">
        <v>94.93000000000001</v>
      </c>
      <c r="EL361" s="2" t="n">
        <v>100</v>
      </c>
      <c r="EM361" s="2" t="n">
        <v>69.81</v>
      </c>
      <c r="EN361" s="2" t="n">
        <v>94.93000000000001</v>
      </c>
      <c r="EO361" s="2" t="n">
        <v>100</v>
      </c>
      <c r="EP361" s="2" t="n">
        <v>69.81</v>
      </c>
      <c r="EQ361" s="2" t="n">
        <v>94.93000000000001</v>
      </c>
      <c r="ER361" s="2" t="n">
        <v>100</v>
      </c>
      <c r="ES361" s="2" t="n">
        <v>69.81</v>
      </c>
      <c r="ET361" s="2" t="n">
        <v>94.93000000000001</v>
      </c>
      <c r="EU361" s="2" t="n">
        <v>100</v>
      </c>
      <c r="EV361" s="2" t="n">
        <v>69.81</v>
      </c>
      <c r="EW361" s="2" t="n">
        <v>94.93000000000001</v>
      </c>
      <c r="EX361" s="2" t="n">
        <v>100</v>
      </c>
      <c r="EY361" s="2" t="n">
        <v>69.81</v>
      </c>
      <c r="EZ361" s="2" t="n">
        <v>94.93000000000001</v>
      </c>
      <c r="FA361" s="2" t="n">
        <v>100</v>
      </c>
      <c r="FB361" s="2" t="n">
        <v>69.81</v>
      </c>
      <c r="FC361" s="2" t="n">
        <v>94.93000000000001</v>
      </c>
      <c r="FD361" s="2" t="n">
        <v>100</v>
      </c>
      <c r="FE361" s="2" t="n">
        <v>69.81</v>
      </c>
      <c r="FF361" s="2" t="n">
        <v>94.93000000000001</v>
      </c>
      <c r="FG361" s="2" t="n">
        <v>100</v>
      </c>
      <c r="FH361" s="2" t="n">
        <v>69.81</v>
      </c>
      <c r="FI361" s="2" t="n">
        <v>94.93000000000001</v>
      </c>
      <c r="FJ361" s="2" t="n">
        <v>100</v>
      </c>
      <c r="FK361" s="2" t="n">
        <v>69.81</v>
      </c>
      <c r="FL361" s="2" t="n">
        <v>94.93000000000001</v>
      </c>
      <c r="FM361" s="2" t="n">
        <v>100</v>
      </c>
      <c r="FN361" s="2" t="n">
        <v>69.81</v>
      </c>
      <c r="FO361" s="2" t="n">
        <v>94.93000000000001</v>
      </c>
      <c r="FP361" s="2" t="n">
        <v>100</v>
      </c>
      <c r="FQ361" s="2" t="n">
        <v>69.81</v>
      </c>
    </row>
    <row r="362">
      <c r="A362" s="2" t="n">
        <v>2</v>
      </c>
      <c r="B362" s="2" t="inlineStr">
        <is>
          <t>17.01</t>
        </is>
      </c>
      <c r="C362" s="2" t="inlineStr">
        <is>
          <t>Execução com efetivo próprio ou empreiteiro de formas</t>
        </is>
      </c>
      <c r="D362" s="2" t="inlineStr">
        <is>
          <t>19/05/2025</t>
        </is>
      </c>
      <c r="E362" s="2" t="inlineStr">
        <is>
          <t>06/04/2027</t>
        </is>
      </c>
      <c r="F362" s="2" t="n">
        <v>20167158.87853489</v>
      </c>
      <c r="G362" s="2" t="n">
        <v>0</v>
      </c>
      <c r="H362" s="2" t="n">
        <v>20167158.87853489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1.09</v>
      </c>
      <c r="AK362" s="2" t="n">
        <v>1.09</v>
      </c>
      <c r="AL362" s="2" t="n">
        <v>0</v>
      </c>
      <c r="AM362" s="2" t="n">
        <v>3.28</v>
      </c>
      <c r="AN362" s="2" t="n">
        <v>3.28</v>
      </c>
      <c r="AO362" s="2" t="n">
        <v>4.36</v>
      </c>
      <c r="AP362" s="2" t="n">
        <v>7.21</v>
      </c>
      <c r="AQ362" s="2" t="n">
        <v>7.21</v>
      </c>
      <c r="AR362" s="2" t="n">
        <v>8.73</v>
      </c>
      <c r="AS362" s="2" t="n">
        <v>12.37</v>
      </c>
      <c r="AT362" s="2" t="n">
        <v>12.37</v>
      </c>
      <c r="AU362" s="2" t="n">
        <v>11.64</v>
      </c>
      <c r="AV362" s="2" t="n">
        <v>14.59</v>
      </c>
      <c r="AW362" s="2" t="n">
        <v>14.59</v>
      </c>
      <c r="AX362" s="2" t="n">
        <v>13.33</v>
      </c>
      <c r="AY362" s="2" t="n">
        <v>20.34</v>
      </c>
      <c r="AZ362" s="2" t="n">
        <v>20.34</v>
      </c>
      <c r="BA362" s="2" t="n">
        <v>20.32</v>
      </c>
      <c r="BB362" s="2" t="n">
        <v>26.99</v>
      </c>
      <c r="BC362" s="2" t="n">
        <v>26.99</v>
      </c>
      <c r="BD362" s="2" t="n">
        <v>26.18</v>
      </c>
      <c r="BE362" s="2" t="n">
        <v>32.96</v>
      </c>
      <c r="BF362" s="2" t="n">
        <v>32.96</v>
      </c>
      <c r="BG362" s="2" t="n">
        <v>32.56</v>
      </c>
      <c r="BH362" s="2" t="n">
        <v>37.63</v>
      </c>
      <c r="BI362" s="2" t="n">
        <v>37.63</v>
      </c>
      <c r="BJ362" s="2" t="n">
        <v>37.01</v>
      </c>
      <c r="BK362" s="2" t="n">
        <v>41.46</v>
      </c>
      <c r="BL362" s="2" t="n">
        <v>41.46</v>
      </c>
      <c r="BM362" s="2" t="n">
        <v>40.79</v>
      </c>
      <c r="BN362" s="2" t="n">
        <v>45.79</v>
      </c>
      <c r="BO362" s="2" t="n">
        <v>45.79</v>
      </c>
      <c r="BP362" s="2" t="n">
        <v>45</v>
      </c>
      <c r="BQ362" s="2" t="n">
        <v>48.42</v>
      </c>
      <c r="BR362" s="2" t="n">
        <v>48.42</v>
      </c>
      <c r="BS362" s="2" t="n">
        <v>48.28</v>
      </c>
      <c r="BT362" s="2" t="n">
        <v>52.55</v>
      </c>
      <c r="BU362" s="2" t="n">
        <v>52.55</v>
      </c>
      <c r="BV362" s="2" t="n">
        <v>52.46</v>
      </c>
      <c r="BW362" s="2" t="n">
        <v>56.39</v>
      </c>
      <c r="BX362" s="2" t="n">
        <v>56.39</v>
      </c>
      <c r="BY362" s="2" t="n">
        <v>56.4</v>
      </c>
      <c r="BZ362" s="2" t="n">
        <v>61.96</v>
      </c>
      <c r="CA362" s="2" t="n">
        <v>62.37</v>
      </c>
      <c r="CB362" s="2" t="n">
        <v>62.18</v>
      </c>
      <c r="CC362" s="2" t="n">
        <v>64.34999999999999</v>
      </c>
      <c r="CD362" s="2" t="n">
        <v>66.98999999999999</v>
      </c>
      <c r="CE362" s="2" t="n">
        <v>66.95</v>
      </c>
      <c r="CF362" s="2" t="n">
        <v>66.73999999999999</v>
      </c>
      <c r="CG362" s="2" t="n">
        <v>71.81</v>
      </c>
      <c r="CH362" s="2" t="n">
        <v>69.81</v>
      </c>
      <c r="CI362" s="2" t="n">
        <v>71.45999999999999</v>
      </c>
      <c r="CJ362" s="2" t="n">
        <v>76.53</v>
      </c>
      <c r="CK362" s="2" t="n">
        <v>69.81</v>
      </c>
      <c r="CL362" s="2" t="n">
        <v>75.90000000000001</v>
      </c>
      <c r="CM362" s="2" t="n">
        <v>80.97</v>
      </c>
      <c r="CN362" s="2" t="n">
        <v>69.81</v>
      </c>
      <c r="CO362" s="2" t="n">
        <v>79.70999999999999</v>
      </c>
      <c r="CP362" s="2" t="n">
        <v>84.79000000000001</v>
      </c>
      <c r="CQ362" s="2" t="n">
        <v>69.81</v>
      </c>
      <c r="CR362" s="2" t="n">
        <v>84.48999999999999</v>
      </c>
      <c r="CS362" s="2" t="n">
        <v>89.56</v>
      </c>
      <c r="CT362" s="2" t="n">
        <v>69.81</v>
      </c>
      <c r="CU362" s="2" t="n">
        <v>88.89</v>
      </c>
      <c r="CV362" s="2" t="n">
        <v>93.95999999999999</v>
      </c>
      <c r="CW362" s="2" t="n">
        <v>69.81</v>
      </c>
      <c r="CX362" s="2" t="n">
        <v>94.58</v>
      </c>
      <c r="CY362" s="2" t="n">
        <v>99.65000000000001</v>
      </c>
      <c r="CZ362" s="2" t="n">
        <v>69.81</v>
      </c>
      <c r="DA362" s="2" t="n">
        <v>94.93000000000001</v>
      </c>
      <c r="DB362" s="2" t="n">
        <v>100</v>
      </c>
      <c r="DC362" s="2" t="n">
        <v>69.81</v>
      </c>
      <c r="DD362" s="2" t="n">
        <v>94.93000000000001</v>
      </c>
      <c r="DE362" s="2" t="n">
        <v>100</v>
      </c>
      <c r="DF362" s="2" t="n">
        <v>69.81</v>
      </c>
      <c r="DG362" s="2" t="n">
        <v>94.93000000000001</v>
      </c>
      <c r="DH362" s="2" t="n">
        <v>100</v>
      </c>
      <c r="DI362" s="2" t="n">
        <v>69.81</v>
      </c>
      <c r="DJ362" s="2" t="n">
        <v>94.93000000000001</v>
      </c>
      <c r="DK362" s="2" t="n">
        <v>100</v>
      </c>
      <c r="DL362" s="2" t="n">
        <v>69.81</v>
      </c>
      <c r="DM362" s="2" t="n">
        <v>94.93000000000001</v>
      </c>
      <c r="DN362" s="2" t="n">
        <v>100</v>
      </c>
      <c r="DO362" s="2" t="n">
        <v>69.81</v>
      </c>
      <c r="DP362" s="2" t="n">
        <v>94.93000000000001</v>
      </c>
      <c r="DQ362" s="2" t="n">
        <v>100</v>
      </c>
      <c r="DR362" s="2" t="n">
        <v>69.81</v>
      </c>
      <c r="DS362" s="2" t="n">
        <v>94.93000000000001</v>
      </c>
      <c r="DT362" s="2" t="n">
        <v>100</v>
      </c>
      <c r="DU362" s="2" t="n">
        <v>69.81</v>
      </c>
      <c r="DV362" s="2" t="n">
        <v>94.93000000000001</v>
      </c>
      <c r="DW362" s="2" t="n">
        <v>100</v>
      </c>
      <c r="DX362" s="2" t="n">
        <v>69.81</v>
      </c>
      <c r="DY362" s="2" t="n">
        <v>94.93000000000001</v>
      </c>
      <c r="DZ362" s="2" t="n">
        <v>100</v>
      </c>
      <c r="EA362" s="2" t="n">
        <v>69.81</v>
      </c>
      <c r="EB362" s="2" t="n">
        <v>94.93000000000001</v>
      </c>
      <c r="EC362" s="2" t="n">
        <v>100</v>
      </c>
      <c r="ED362" s="2" t="n">
        <v>69.81</v>
      </c>
      <c r="EE362" s="2" t="n">
        <v>94.93000000000001</v>
      </c>
      <c r="EF362" s="2" t="n">
        <v>100</v>
      </c>
      <c r="EG362" s="2" t="n">
        <v>69.81</v>
      </c>
      <c r="EH362" s="2" t="n">
        <v>94.93000000000001</v>
      </c>
      <c r="EI362" s="2" t="n">
        <v>100</v>
      </c>
      <c r="EJ362" s="2" t="n">
        <v>69.81</v>
      </c>
      <c r="EK362" s="2" t="n">
        <v>94.93000000000001</v>
      </c>
      <c r="EL362" s="2" t="n">
        <v>100</v>
      </c>
      <c r="EM362" s="2" t="n">
        <v>69.81</v>
      </c>
      <c r="EN362" s="2" t="n">
        <v>94.93000000000001</v>
      </c>
      <c r="EO362" s="2" t="n">
        <v>100</v>
      </c>
      <c r="EP362" s="2" t="n">
        <v>69.81</v>
      </c>
      <c r="EQ362" s="2" t="n">
        <v>94.93000000000001</v>
      </c>
      <c r="ER362" s="2" t="n">
        <v>100</v>
      </c>
      <c r="ES362" s="2" t="n">
        <v>69.81</v>
      </c>
      <c r="ET362" s="2" t="n">
        <v>94.93000000000001</v>
      </c>
      <c r="EU362" s="2" t="n">
        <v>100</v>
      </c>
      <c r="EV362" s="2" t="n">
        <v>69.81</v>
      </c>
      <c r="EW362" s="2" t="n">
        <v>94.93000000000001</v>
      </c>
      <c r="EX362" s="2" t="n">
        <v>100</v>
      </c>
      <c r="EY362" s="2" t="n">
        <v>69.81</v>
      </c>
      <c r="EZ362" s="2" t="n">
        <v>94.93000000000001</v>
      </c>
      <c r="FA362" s="2" t="n">
        <v>100</v>
      </c>
      <c r="FB362" s="2" t="n">
        <v>69.81</v>
      </c>
      <c r="FC362" s="2" t="n">
        <v>94.93000000000001</v>
      </c>
      <c r="FD362" s="2" t="n">
        <v>100</v>
      </c>
      <c r="FE362" s="2" t="n">
        <v>69.81</v>
      </c>
      <c r="FF362" s="2" t="n">
        <v>94.93000000000001</v>
      </c>
      <c r="FG362" s="2" t="n">
        <v>100</v>
      </c>
      <c r="FH362" s="2" t="n">
        <v>69.81</v>
      </c>
      <c r="FI362" s="2" t="n">
        <v>94.93000000000001</v>
      </c>
      <c r="FJ362" s="2" t="n">
        <v>100</v>
      </c>
      <c r="FK362" s="2" t="n">
        <v>69.81</v>
      </c>
      <c r="FL362" s="2" t="n">
        <v>94.93000000000001</v>
      </c>
      <c r="FM362" s="2" t="n">
        <v>100</v>
      </c>
      <c r="FN362" s="2" t="n">
        <v>69.81</v>
      </c>
      <c r="FO362" s="2" t="n">
        <v>94.93000000000001</v>
      </c>
      <c r="FP362" s="2" t="n">
        <v>100</v>
      </c>
      <c r="FQ362" s="2" t="n">
        <v>69.81</v>
      </c>
    </row>
    <row r="363">
      <c r="A363" s="2" t="n">
        <v>3</v>
      </c>
      <c r="B363" s="2" t="inlineStr">
        <is>
          <t>17.01.01</t>
        </is>
      </c>
      <c r="C363" s="2" t="inlineStr">
        <is>
          <t>Pilares, vigas e lajes</t>
        </is>
      </c>
      <c r="D363" s="2" t="inlineStr">
        <is>
          <t>19/05/2025</t>
        </is>
      </c>
      <c r="E363" s="2" t="inlineStr">
        <is>
          <t>06/04/2027</t>
        </is>
      </c>
      <c r="F363" s="2" t="n">
        <v>20167158.87853489</v>
      </c>
      <c r="G363" s="2" t="n">
        <v>0</v>
      </c>
      <c r="H363" s="2" t="n">
        <v>20167158.87853489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1.09</v>
      </c>
      <c r="AK363" s="2" t="n">
        <v>1.09</v>
      </c>
      <c r="AL363" s="2" t="n">
        <v>0</v>
      </c>
      <c r="AM363" s="2" t="n">
        <v>3.28</v>
      </c>
      <c r="AN363" s="2" t="n">
        <v>3.28</v>
      </c>
      <c r="AO363" s="2" t="n">
        <v>4.36</v>
      </c>
      <c r="AP363" s="2" t="n">
        <v>7.21</v>
      </c>
      <c r="AQ363" s="2" t="n">
        <v>7.21</v>
      </c>
      <c r="AR363" s="2" t="n">
        <v>8.73</v>
      </c>
      <c r="AS363" s="2" t="n">
        <v>12.37</v>
      </c>
      <c r="AT363" s="2" t="n">
        <v>12.37</v>
      </c>
      <c r="AU363" s="2" t="n">
        <v>11.64</v>
      </c>
      <c r="AV363" s="2" t="n">
        <v>14.59</v>
      </c>
      <c r="AW363" s="2" t="n">
        <v>14.59</v>
      </c>
      <c r="AX363" s="2" t="n">
        <v>13.33</v>
      </c>
      <c r="AY363" s="2" t="n">
        <v>20.34</v>
      </c>
      <c r="AZ363" s="2" t="n">
        <v>20.34</v>
      </c>
      <c r="BA363" s="2" t="n">
        <v>20.32</v>
      </c>
      <c r="BB363" s="2" t="n">
        <v>26.99</v>
      </c>
      <c r="BC363" s="2" t="n">
        <v>26.99</v>
      </c>
      <c r="BD363" s="2" t="n">
        <v>26.18</v>
      </c>
      <c r="BE363" s="2" t="n">
        <v>32.96</v>
      </c>
      <c r="BF363" s="2" t="n">
        <v>32.96</v>
      </c>
      <c r="BG363" s="2" t="n">
        <v>32.56</v>
      </c>
      <c r="BH363" s="2" t="n">
        <v>37.63</v>
      </c>
      <c r="BI363" s="2" t="n">
        <v>37.63</v>
      </c>
      <c r="BJ363" s="2" t="n">
        <v>37.01</v>
      </c>
      <c r="BK363" s="2" t="n">
        <v>41.46</v>
      </c>
      <c r="BL363" s="2" t="n">
        <v>41.46</v>
      </c>
      <c r="BM363" s="2" t="n">
        <v>40.79</v>
      </c>
      <c r="BN363" s="2" t="n">
        <v>45.79</v>
      </c>
      <c r="BO363" s="2" t="n">
        <v>45.79</v>
      </c>
      <c r="BP363" s="2" t="n">
        <v>45</v>
      </c>
      <c r="BQ363" s="2" t="n">
        <v>48.42</v>
      </c>
      <c r="BR363" s="2" t="n">
        <v>48.42</v>
      </c>
      <c r="BS363" s="2" t="n">
        <v>48.28</v>
      </c>
      <c r="BT363" s="2" t="n">
        <v>52.55</v>
      </c>
      <c r="BU363" s="2" t="n">
        <v>52.55</v>
      </c>
      <c r="BV363" s="2" t="n">
        <v>52.46</v>
      </c>
      <c r="BW363" s="2" t="n">
        <v>56.39</v>
      </c>
      <c r="BX363" s="2" t="n">
        <v>56.39</v>
      </c>
      <c r="BY363" s="2" t="n">
        <v>56.4</v>
      </c>
      <c r="BZ363" s="2" t="n">
        <v>61.96</v>
      </c>
      <c r="CA363" s="2" t="n">
        <v>62.37</v>
      </c>
      <c r="CB363" s="2" t="n">
        <v>62.18</v>
      </c>
      <c r="CC363" s="2" t="n">
        <v>64.34999999999999</v>
      </c>
      <c r="CD363" s="2" t="n">
        <v>66.98999999999999</v>
      </c>
      <c r="CE363" s="2" t="n">
        <v>66.95</v>
      </c>
      <c r="CF363" s="2" t="n">
        <v>66.73999999999999</v>
      </c>
      <c r="CG363" s="2" t="n">
        <v>71.81</v>
      </c>
      <c r="CH363" s="2" t="n">
        <v>69.81</v>
      </c>
      <c r="CI363" s="2" t="n">
        <v>71.45999999999999</v>
      </c>
      <c r="CJ363" s="2" t="n">
        <v>76.53</v>
      </c>
      <c r="CK363" s="2" t="n">
        <v>69.81</v>
      </c>
      <c r="CL363" s="2" t="n">
        <v>75.90000000000001</v>
      </c>
      <c r="CM363" s="2" t="n">
        <v>80.97</v>
      </c>
      <c r="CN363" s="2" t="n">
        <v>69.81</v>
      </c>
      <c r="CO363" s="2" t="n">
        <v>79.70999999999999</v>
      </c>
      <c r="CP363" s="2" t="n">
        <v>84.79000000000001</v>
      </c>
      <c r="CQ363" s="2" t="n">
        <v>69.81</v>
      </c>
      <c r="CR363" s="2" t="n">
        <v>84.48999999999999</v>
      </c>
      <c r="CS363" s="2" t="n">
        <v>89.56</v>
      </c>
      <c r="CT363" s="2" t="n">
        <v>69.81</v>
      </c>
      <c r="CU363" s="2" t="n">
        <v>88.89</v>
      </c>
      <c r="CV363" s="2" t="n">
        <v>93.95999999999999</v>
      </c>
      <c r="CW363" s="2" t="n">
        <v>69.81</v>
      </c>
      <c r="CX363" s="2" t="n">
        <v>94.58</v>
      </c>
      <c r="CY363" s="2" t="n">
        <v>99.65000000000001</v>
      </c>
      <c r="CZ363" s="2" t="n">
        <v>69.81</v>
      </c>
      <c r="DA363" s="2" t="n">
        <v>94.93000000000001</v>
      </c>
      <c r="DB363" s="2" t="n">
        <v>100</v>
      </c>
      <c r="DC363" s="2" t="n">
        <v>69.81</v>
      </c>
      <c r="DD363" s="2" t="n">
        <v>94.93000000000001</v>
      </c>
      <c r="DE363" s="2" t="n">
        <v>100</v>
      </c>
      <c r="DF363" s="2" t="n">
        <v>69.81</v>
      </c>
      <c r="DG363" s="2" t="n">
        <v>94.93000000000001</v>
      </c>
      <c r="DH363" s="2" t="n">
        <v>100</v>
      </c>
      <c r="DI363" s="2" t="n">
        <v>69.81</v>
      </c>
      <c r="DJ363" s="2" t="n">
        <v>94.93000000000001</v>
      </c>
      <c r="DK363" s="2" t="n">
        <v>100</v>
      </c>
      <c r="DL363" s="2" t="n">
        <v>69.81</v>
      </c>
      <c r="DM363" s="2" t="n">
        <v>94.93000000000001</v>
      </c>
      <c r="DN363" s="2" t="n">
        <v>100</v>
      </c>
      <c r="DO363" s="2" t="n">
        <v>69.81</v>
      </c>
      <c r="DP363" s="2" t="n">
        <v>94.93000000000001</v>
      </c>
      <c r="DQ363" s="2" t="n">
        <v>100</v>
      </c>
      <c r="DR363" s="2" t="n">
        <v>69.81</v>
      </c>
      <c r="DS363" s="2" t="n">
        <v>94.93000000000001</v>
      </c>
      <c r="DT363" s="2" t="n">
        <v>100</v>
      </c>
      <c r="DU363" s="2" t="n">
        <v>69.81</v>
      </c>
      <c r="DV363" s="2" t="n">
        <v>94.93000000000001</v>
      </c>
      <c r="DW363" s="2" t="n">
        <v>100</v>
      </c>
      <c r="DX363" s="2" t="n">
        <v>69.81</v>
      </c>
      <c r="DY363" s="2" t="n">
        <v>94.93000000000001</v>
      </c>
      <c r="DZ363" s="2" t="n">
        <v>100</v>
      </c>
      <c r="EA363" s="2" t="n">
        <v>69.81</v>
      </c>
      <c r="EB363" s="2" t="n">
        <v>94.93000000000001</v>
      </c>
      <c r="EC363" s="2" t="n">
        <v>100</v>
      </c>
      <c r="ED363" s="2" t="n">
        <v>69.81</v>
      </c>
      <c r="EE363" s="2" t="n">
        <v>94.93000000000001</v>
      </c>
      <c r="EF363" s="2" t="n">
        <v>100</v>
      </c>
      <c r="EG363" s="2" t="n">
        <v>69.81</v>
      </c>
      <c r="EH363" s="2" t="n">
        <v>94.93000000000001</v>
      </c>
      <c r="EI363" s="2" t="n">
        <v>100</v>
      </c>
      <c r="EJ363" s="2" t="n">
        <v>69.81</v>
      </c>
      <c r="EK363" s="2" t="n">
        <v>94.93000000000001</v>
      </c>
      <c r="EL363" s="2" t="n">
        <v>100</v>
      </c>
      <c r="EM363" s="2" t="n">
        <v>69.81</v>
      </c>
      <c r="EN363" s="2" t="n">
        <v>94.93000000000001</v>
      </c>
      <c r="EO363" s="2" t="n">
        <v>100</v>
      </c>
      <c r="EP363" s="2" t="n">
        <v>69.81</v>
      </c>
      <c r="EQ363" s="2" t="n">
        <v>94.93000000000001</v>
      </c>
      <c r="ER363" s="2" t="n">
        <v>100</v>
      </c>
      <c r="ES363" s="2" t="n">
        <v>69.81</v>
      </c>
      <c r="ET363" s="2" t="n">
        <v>94.93000000000001</v>
      </c>
      <c r="EU363" s="2" t="n">
        <v>100</v>
      </c>
      <c r="EV363" s="2" t="n">
        <v>69.81</v>
      </c>
      <c r="EW363" s="2" t="n">
        <v>94.93000000000001</v>
      </c>
      <c r="EX363" s="2" t="n">
        <v>100</v>
      </c>
      <c r="EY363" s="2" t="n">
        <v>69.81</v>
      </c>
      <c r="EZ363" s="2" t="n">
        <v>94.93000000000001</v>
      </c>
      <c r="FA363" s="2" t="n">
        <v>100</v>
      </c>
      <c r="FB363" s="2" t="n">
        <v>69.81</v>
      </c>
      <c r="FC363" s="2" t="n">
        <v>94.93000000000001</v>
      </c>
      <c r="FD363" s="2" t="n">
        <v>100</v>
      </c>
      <c r="FE363" s="2" t="n">
        <v>69.81</v>
      </c>
      <c r="FF363" s="2" t="n">
        <v>94.93000000000001</v>
      </c>
      <c r="FG363" s="2" t="n">
        <v>100</v>
      </c>
      <c r="FH363" s="2" t="n">
        <v>69.81</v>
      </c>
      <c r="FI363" s="2" t="n">
        <v>94.93000000000001</v>
      </c>
      <c r="FJ363" s="2" t="n">
        <v>100</v>
      </c>
      <c r="FK363" s="2" t="n">
        <v>69.81</v>
      </c>
      <c r="FL363" s="2" t="n">
        <v>94.93000000000001</v>
      </c>
      <c r="FM363" s="2" t="n">
        <v>100</v>
      </c>
      <c r="FN363" s="2" t="n">
        <v>69.81</v>
      </c>
      <c r="FO363" s="2" t="n">
        <v>94.93000000000001</v>
      </c>
      <c r="FP363" s="2" t="n">
        <v>100</v>
      </c>
      <c r="FQ363" s="2" t="n">
        <v>69.81</v>
      </c>
    </row>
    <row r="364">
      <c r="A364" s="2" t="n">
        <v>4</v>
      </c>
      <c r="B364" s="2" t="inlineStr">
        <is>
          <t>17.01.01.01</t>
        </is>
      </c>
      <c r="C364" s="2" t="inlineStr">
        <is>
          <t>Formas planas para pilares, vigas e lajes convencionais</t>
        </is>
      </c>
      <c r="D364" s="2" t="inlineStr">
        <is>
          <t>19/05/2025</t>
        </is>
      </c>
      <c r="E364" s="2" t="inlineStr">
        <is>
          <t>06/04/2027</t>
        </is>
      </c>
      <c r="F364" s="2" t="n">
        <v>2932591.48</v>
      </c>
      <c r="G364" s="2" t="n">
        <v>0</v>
      </c>
      <c r="H364" s="2" t="n">
        <v>2932591.48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1.09</v>
      </c>
      <c r="AK364" s="2" t="n">
        <v>1.09</v>
      </c>
      <c r="AL364" s="2" t="n">
        <v>0</v>
      </c>
      <c r="AM364" s="2" t="n">
        <v>3.28</v>
      </c>
      <c r="AN364" s="2" t="n">
        <v>3.28</v>
      </c>
      <c r="AO364" s="2" t="n">
        <v>4.36</v>
      </c>
      <c r="AP364" s="2" t="n">
        <v>7.21</v>
      </c>
      <c r="AQ364" s="2" t="n">
        <v>7.21</v>
      </c>
      <c r="AR364" s="2" t="n">
        <v>8.73</v>
      </c>
      <c r="AS364" s="2" t="n">
        <v>12.37</v>
      </c>
      <c r="AT364" s="2" t="n">
        <v>12.37</v>
      </c>
      <c r="AU364" s="2" t="n">
        <v>11.64</v>
      </c>
      <c r="AV364" s="2" t="n">
        <v>14.59</v>
      </c>
      <c r="AW364" s="2" t="n">
        <v>14.59</v>
      </c>
      <c r="AX364" s="2" t="n">
        <v>13.33</v>
      </c>
      <c r="AY364" s="2" t="n">
        <v>20.34</v>
      </c>
      <c r="AZ364" s="2" t="n">
        <v>20.34</v>
      </c>
      <c r="BA364" s="2" t="n">
        <v>20.32</v>
      </c>
      <c r="BB364" s="2" t="n">
        <v>26.99</v>
      </c>
      <c r="BC364" s="2" t="n">
        <v>26.99</v>
      </c>
      <c r="BD364" s="2" t="n">
        <v>26.18</v>
      </c>
      <c r="BE364" s="2" t="n">
        <v>32.96</v>
      </c>
      <c r="BF364" s="2" t="n">
        <v>32.96</v>
      </c>
      <c r="BG364" s="2" t="n">
        <v>32.56</v>
      </c>
      <c r="BH364" s="2" t="n">
        <v>37.63</v>
      </c>
      <c r="BI364" s="2" t="n">
        <v>37.63</v>
      </c>
      <c r="BJ364" s="2" t="n">
        <v>37.01</v>
      </c>
      <c r="BK364" s="2" t="n">
        <v>41.46</v>
      </c>
      <c r="BL364" s="2" t="n">
        <v>41.46</v>
      </c>
      <c r="BM364" s="2" t="n">
        <v>40.79</v>
      </c>
      <c r="BN364" s="2" t="n">
        <v>45.79</v>
      </c>
      <c r="BO364" s="2" t="n">
        <v>45.79</v>
      </c>
      <c r="BP364" s="2" t="n">
        <v>45</v>
      </c>
      <c r="BQ364" s="2" t="n">
        <v>48.42</v>
      </c>
      <c r="BR364" s="2" t="n">
        <v>48.42</v>
      </c>
      <c r="BS364" s="2" t="n">
        <v>48.28</v>
      </c>
      <c r="BT364" s="2" t="n">
        <v>52.55</v>
      </c>
      <c r="BU364" s="2" t="n">
        <v>52.55</v>
      </c>
      <c r="BV364" s="2" t="n">
        <v>52.46</v>
      </c>
      <c r="BW364" s="2" t="n">
        <v>56.39</v>
      </c>
      <c r="BX364" s="2" t="n">
        <v>56.39</v>
      </c>
      <c r="BY364" s="2" t="n">
        <v>56.4</v>
      </c>
      <c r="BZ364" s="2" t="n">
        <v>61.96</v>
      </c>
      <c r="CA364" s="2" t="n">
        <v>62.37</v>
      </c>
      <c r="CB364" s="2" t="n">
        <v>62.18</v>
      </c>
      <c r="CC364" s="2" t="n">
        <v>64.34999999999999</v>
      </c>
      <c r="CD364" s="2" t="n">
        <v>66.98999999999999</v>
      </c>
      <c r="CE364" s="2" t="n">
        <v>66.95</v>
      </c>
      <c r="CF364" s="2" t="n">
        <v>66.73999999999999</v>
      </c>
      <c r="CG364" s="2" t="n">
        <v>71.81</v>
      </c>
      <c r="CH364" s="2" t="n">
        <v>69.81</v>
      </c>
      <c r="CI364" s="2" t="n">
        <v>71.45999999999999</v>
      </c>
      <c r="CJ364" s="2" t="n">
        <v>76.53</v>
      </c>
      <c r="CK364" s="2" t="n">
        <v>69.81</v>
      </c>
      <c r="CL364" s="2" t="n">
        <v>75.90000000000001</v>
      </c>
      <c r="CM364" s="2" t="n">
        <v>80.97</v>
      </c>
      <c r="CN364" s="2" t="n">
        <v>69.81</v>
      </c>
      <c r="CO364" s="2" t="n">
        <v>79.70999999999999</v>
      </c>
      <c r="CP364" s="2" t="n">
        <v>84.79000000000001</v>
      </c>
      <c r="CQ364" s="2" t="n">
        <v>69.81</v>
      </c>
      <c r="CR364" s="2" t="n">
        <v>84.48999999999999</v>
      </c>
      <c r="CS364" s="2" t="n">
        <v>89.56</v>
      </c>
      <c r="CT364" s="2" t="n">
        <v>69.81</v>
      </c>
      <c r="CU364" s="2" t="n">
        <v>88.89</v>
      </c>
      <c r="CV364" s="2" t="n">
        <v>93.95999999999999</v>
      </c>
      <c r="CW364" s="2" t="n">
        <v>69.81</v>
      </c>
      <c r="CX364" s="2" t="n">
        <v>94.58</v>
      </c>
      <c r="CY364" s="2" t="n">
        <v>99.65000000000001</v>
      </c>
      <c r="CZ364" s="2" t="n">
        <v>69.81</v>
      </c>
      <c r="DA364" s="2" t="n">
        <v>94.93000000000001</v>
      </c>
      <c r="DB364" s="2" t="n">
        <v>100</v>
      </c>
      <c r="DC364" s="2" t="n">
        <v>69.81</v>
      </c>
      <c r="DD364" s="2" t="n">
        <v>94.93000000000001</v>
      </c>
      <c r="DE364" s="2" t="n">
        <v>100</v>
      </c>
      <c r="DF364" s="2" t="n">
        <v>69.81</v>
      </c>
      <c r="DG364" s="2" t="n">
        <v>94.93000000000001</v>
      </c>
      <c r="DH364" s="2" t="n">
        <v>100</v>
      </c>
      <c r="DI364" s="2" t="n">
        <v>69.81</v>
      </c>
      <c r="DJ364" s="2" t="n">
        <v>94.93000000000001</v>
      </c>
      <c r="DK364" s="2" t="n">
        <v>100</v>
      </c>
      <c r="DL364" s="2" t="n">
        <v>69.81</v>
      </c>
      <c r="DM364" s="2" t="n">
        <v>94.93000000000001</v>
      </c>
      <c r="DN364" s="2" t="n">
        <v>100</v>
      </c>
      <c r="DO364" s="2" t="n">
        <v>69.81</v>
      </c>
      <c r="DP364" s="2" t="n">
        <v>94.93000000000001</v>
      </c>
      <c r="DQ364" s="2" t="n">
        <v>100</v>
      </c>
      <c r="DR364" s="2" t="n">
        <v>69.81</v>
      </c>
      <c r="DS364" s="2" t="n">
        <v>94.93000000000001</v>
      </c>
      <c r="DT364" s="2" t="n">
        <v>100</v>
      </c>
      <c r="DU364" s="2" t="n">
        <v>69.81</v>
      </c>
      <c r="DV364" s="2" t="n">
        <v>94.93000000000001</v>
      </c>
      <c r="DW364" s="2" t="n">
        <v>100</v>
      </c>
      <c r="DX364" s="2" t="n">
        <v>69.81</v>
      </c>
      <c r="DY364" s="2" t="n">
        <v>94.93000000000001</v>
      </c>
      <c r="DZ364" s="2" t="n">
        <v>100</v>
      </c>
      <c r="EA364" s="2" t="n">
        <v>69.81</v>
      </c>
      <c r="EB364" s="2" t="n">
        <v>94.93000000000001</v>
      </c>
      <c r="EC364" s="2" t="n">
        <v>100</v>
      </c>
      <c r="ED364" s="2" t="n">
        <v>69.81</v>
      </c>
      <c r="EE364" s="2" t="n">
        <v>94.93000000000001</v>
      </c>
      <c r="EF364" s="2" t="n">
        <v>100</v>
      </c>
      <c r="EG364" s="2" t="n">
        <v>69.81</v>
      </c>
      <c r="EH364" s="2" t="n">
        <v>94.93000000000001</v>
      </c>
      <c r="EI364" s="2" t="n">
        <v>100</v>
      </c>
      <c r="EJ364" s="2" t="n">
        <v>69.81</v>
      </c>
      <c r="EK364" s="2" t="n">
        <v>94.93000000000001</v>
      </c>
      <c r="EL364" s="2" t="n">
        <v>100</v>
      </c>
      <c r="EM364" s="2" t="n">
        <v>69.81</v>
      </c>
      <c r="EN364" s="2" t="n">
        <v>94.93000000000001</v>
      </c>
      <c r="EO364" s="2" t="n">
        <v>100</v>
      </c>
      <c r="EP364" s="2" t="n">
        <v>69.81</v>
      </c>
      <c r="EQ364" s="2" t="n">
        <v>94.93000000000001</v>
      </c>
      <c r="ER364" s="2" t="n">
        <v>100</v>
      </c>
      <c r="ES364" s="2" t="n">
        <v>69.81</v>
      </c>
      <c r="ET364" s="2" t="n">
        <v>94.93000000000001</v>
      </c>
      <c r="EU364" s="2" t="n">
        <v>100</v>
      </c>
      <c r="EV364" s="2" t="n">
        <v>69.81</v>
      </c>
      <c r="EW364" s="2" t="n">
        <v>94.93000000000001</v>
      </c>
      <c r="EX364" s="2" t="n">
        <v>100</v>
      </c>
      <c r="EY364" s="2" t="n">
        <v>69.81</v>
      </c>
      <c r="EZ364" s="2" t="n">
        <v>94.93000000000001</v>
      </c>
      <c r="FA364" s="2" t="n">
        <v>100</v>
      </c>
      <c r="FB364" s="2" t="n">
        <v>69.81</v>
      </c>
      <c r="FC364" s="2" t="n">
        <v>94.93000000000001</v>
      </c>
      <c r="FD364" s="2" t="n">
        <v>100</v>
      </c>
      <c r="FE364" s="2" t="n">
        <v>69.81</v>
      </c>
      <c r="FF364" s="2" t="n">
        <v>94.93000000000001</v>
      </c>
      <c r="FG364" s="2" t="n">
        <v>100</v>
      </c>
      <c r="FH364" s="2" t="n">
        <v>69.81</v>
      </c>
      <c r="FI364" s="2" t="n">
        <v>94.93000000000001</v>
      </c>
      <c r="FJ364" s="2" t="n">
        <v>100</v>
      </c>
      <c r="FK364" s="2" t="n">
        <v>69.81</v>
      </c>
      <c r="FL364" s="2" t="n">
        <v>94.93000000000001</v>
      </c>
      <c r="FM364" s="2" t="n">
        <v>100</v>
      </c>
      <c r="FN364" s="2" t="n">
        <v>69.81</v>
      </c>
      <c r="FO364" s="2" t="n">
        <v>94.93000000000001</v>
      </c>
      <c r="FP364" s="2" t="n">
        <v>100</v>
      </c>
      <c r="FQ364" s="2" t="n">
        <v>69.81</v>
      </c>
    </row>
    <row r="365">
      <c r="A365" s="2" t="n">
        <v>4</v>
      </c>
      <c r="B365" s="2" t="inlineStr">
        <is>
          <t>17.01.01.02</t>
        </is>
      </c>
      <c r="C365" s="2" t="inlineStr">
        <is>
          <t>Formas planas para pilares, vigas e lajes convencionais - acréscimo de 30% para PD acima de 4,00 m</t>
        </is>
      </c>
      <c r="D365" s="2" t="inlineStr">
        <is>
          <t>19/05/2025</t>
        </is>
      </c>
      <c r="E365" s="2" t="inlineStr">
        <is>
          <t>06/04/2027</t>
        </is>
      </c>
      <c r="F365" s="2" t="n">
        <v>1569103.4292</v>
      </c>
      <c r="G365" s="2" t="n">
        <v>0</v>
      </c>
      <c r="H365" s="2" t="n">
        <v>1569103.4292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1.09</v>
      </c>
      <c r="AK365" s="2" t="n">
        <v>1.09</v>
      </c>
      <c r="AL365" s="2" t="n">
        <v>0</v>
      </c>
      <c r="AM365" s="2" t="n">
        <v>3.28</v>
      </c>
      <c r="AN365" s="2" t="n">
        <v>3.28</v>
      </c>
      <c r="AO365" s="2" t="n">
        <v>4.36</v>
      </c>
      <c r="AP365" s="2" t="n">
        <v>7.21</v>
      </c>
      <c r="AQ365" s="2" t="n">
        <v>7.21</v>
      </c>
      <c r="AR365" s="2" t="n">
        <v>8.73</v>
      </c>
      <c r="AS365" s="2" t="n">
        <v>12.37</v>
      </c>
      <c r="AT365" s="2" t="n">
        <v>12.37</v>
      </c>
      <c r="AU365" s="2" t="n">
        <v>11.64</v>
      </c>
      <c r="AV365" s="2" t="n">
        <v>14.59</v>
      </c>
      <c r="AW365" s="2" t="n">
        <v>14.59</v>
      </c>
      <c r="AX365" s="2" t="n">
        <v>13.33</v>
      </c>
      <c r="AY365" s="2" t="n">
        <v>20.34</v>
      </c>
      <c r="AZ365" s="2" t="n">
        <v>20.34</v>
      </c>
      <c r="BA365" s="2" t="n">
        <v>20.32</v>
      </c>
      <c r="BB365" s="2" t="n">
        <v>26.99</v>
      </c>
      <c r="BC365" s="2" t="n">
        <v>26.99</v>
      </c>
      <c r="BD365" s="2" t="n">
        <v>26.18</v>
      </c>
      <c r="BE365" s="2" t="n">
        <v>32.96</v>
      </c>
      <c r="BF365" s="2" t="n">
        <v>32.96</v>
      </c>
      <c r="BG365" s="2" t="n">
        <v>32.56</v>
      </c>
      <c r="BH365" s="2" t="n">
        <v>37.63</v>
      </c>
      <c r="BI365" s="2" t="n">
        <v>37.63</v>
      </c>
      <c r="BJ365" s="2" t="n">
        <v>37.01</v>
      </c>
      <c r="BK365" s="2" t="n">
        <v>41.46</v>
      </c>
      <c r="BL365" s="2" t="n">
        <v>41.46</v>
      </c>
      <c r="BM365" s="2" t="n">
        <v>40.79</v>
      </c>
      <c r="BN365" s="2" t="n">
        <v>45.79</v>
      </c>
      <c r="BO365" s="2" t="n">
        <v>45.79</v>
      </c>
      <c r="BP365" s="2" t="n">
        <v>45</v>
      </c>
      <c r="BQ365" s="2" t="n">
        <v>48.42</v>
      </c>
      <c r="BR365" s="2" t="n">
        <v>48.42</v>
      </c>
      <c r="BS365" s="2" t="n">
        <v>48.28</v>
      </c>
      <c r="BT365" s="2" t="n">
        <v>52.55</v>
      </c>
      <c r="BU365" s="2" t="n">
        <v>52.55</v>
      </c>
      <c r="BV365" s="2" t="n">
        <v>52.46</v>
      </c>
      <c r="BW365" s="2" t="n">
        <v>56.39</v>
      </c>
      <c r="BX365" s="2" t="n">
        <v>56.39</v>
      </c>
      <c r="BY365" s="2" t="n">
        <v>56.4</v>
      </c>
      <c r="BZ365" s="2" t="n">
        <v>61.96</v>
      </c>
      <c r="CA365" s="2" t="n">
        <v>62.37</v>
      </c>
      <c r="CB365" s="2" t="n">
        <v>62.18</v>
      </c>
      <c r="CC365" s="2" t="n">
        <v>64.34999999999999</v>
      </c>
      <c r="CD365" s="2" t="n">
        <v>66.98999999999999</v>
      </c>
      <c r="CE365" s="2" t="n">
        <v>66.95</v>
      </c>
      <c r="CF365" s="2" t="n">
        <v>66.73999999999999</v>
      </c>
      <c r="CG365" s="2" t="n">
        <v>71.81</v>
      </c>
      <c r="CH365" s="2" t="n">
        <v>69.81</v>
      </c>
      <c r="CI365" s="2" t="n">
        <v>71.45999999999999</v>
      </c>
      <c r="CJ365" s="2" t="n">
        <v>76.53</v>
      </c>
      <c r="CK365" s="2" t="n">
        <v>69.81</v>
      </c>
      <c r="CL365" s="2" t="n">
        <v>75.90000000000001</v>
      </c>
      <c r="CM365" s="2" t="n">
        <v>80.97</v>
      </c>
      <c r="CN365" s="2" t="n">
        <v>69.81</v>
      </c>
      <c r="CO365" s="2" t="n">
        <v>79.70999999999999</v>
      </c>
      <c r="CP365" s="2" t="n">
        <v>84.79000000000001</v>
      </c>
      <c r="CQ365" s="2" t="n">
        <v>69.81</v>
      </c>
      <c r="CR365" s="2" t="n">
        <v>84.48999999999999</v>
      </c>
      <c r="CS365" s="2" t="n">
        <v>89.56</v>
      </c>
      <c r="CT365" s="2" t="n">
        <v>69.81</v>
      </c>
      <c r="CU365" s="2" t="n">
        <v>88.89</v>
      </c>
      <c r="CV365" s="2" t="n">
        <v>93.95999999999999</v>
      </c>
      <c r="CW365" s="2" t="n">
        <v>69.81</v>
      </c>
      <c r="CX365" s="2" t="n">
        <v>94.58</v>
      </c>
      <c r="CY365" s="2" t="n">
        <v>99.65000000000001</v>
      </c>
      <c r="CZ365" s="2" t="n">
        <v>69.81</v>
      </c>
      <c r="DA365" s="2" t="n">
        <v>94.93000000000001</v>
      </c>
      <c r="DB365" s="2" t="n">
        <v>100</v>
      </c>
      <c r="DC365" s="2" t="n">
        <v>69.81</v>
      </c>
      <c r="DD365" s="2" t="n">
        <v>94.93000000000001</v>
      </c>
      <c r="DE365" s="2" t="n">
        <v>100</v>
      </c>
      <c r="DF365" s="2" t="n">
        <v>69.81</v>
      </c>
      <c r="DG365" s="2" t="n">
        <v>94.93000000000001</v>
      </c>
      <c r="DH365" s="2" t="n">
        <v>100</v>
      </c>
      <c r="DI365" s="2" t="n">
        <v>69.81</v>
      </c>
      <c r="DJ365" s="2" t="n">
        <v>94.93000000000001</v>
      </c>
      <c r="DK365" s="2" t="n">
        <v>100</v>
      </c>
      <c r="DL365" s="2" t="n">
        <v>69.81</v>
      </c>
      <c r="DM365" s="2" t="n">
        <v>94.93000000000001</v>
      </c>
      <c r="DN365" s="2" t="n">
        <v>100</v>
      </c>
      <c r="DO365" s="2" t="n">
        <v>69.81</v>
      </c>
      <c r="DP365" s="2" t="n">
        <v>94.93000000000001</v>
      </c>
      <c r="DQ365" s="2" t="n">
        <v>100</v>
      </c>
      <c r="DR365" s="2" t="n">
        <v>69.81</v>
      </c>
      <c r="DS365" s="2" t="n">
        <v>94.93000000000001</v>
      </c>
      <c r="DT365" s="2" t="n">
        <v>100</v>
      </c>
      <c r="DU365" s="2" t="n">
        <v>69.81</v>
      </c>
      <c r="DV365" s="2" t="n">
        <v>94.93000000000001</v>
      </c>
      <c r="DW365" s="2" t="n">
        <v>100</v>
      </c>
      <c r="DX365" s="2" t="n">
        <v>69.81</v>
      </c>
      <c r="DY365" s="2" t="n">
        <v>94.93000000000001</v>
      </c>
      <c r="DZ365" s="2" t="n">
        <v>100</v>
      </c>
      <c r="EA365" s="2" t="n">
        <v>69.81</v>
      </c>
      <c r="EB365" s="2" t="n">
        <v>94.93000000000001</v>
      </c>
      <c r="EC365" s="2" t="n">
        <v>100</v>
      </c>
      <c r="ED365" s="2" t="n">
        <v>69.81</v>
      </c>
      <c r="EE365" s="2" t="n">
        <v>94.93000000000001</v>
      </c>
      <c r="EF365" s="2" t="n">
        <v>100</v>
      </c>
      <c r="EG365" s="2" t="n">
        <v>69.81</v>
      </c>
      <c r="EH365" s="2" t="n">
        <v>94.93000000000001</v>
      </c>
      <c r="EI365" s="2" t="n">
        <v>100</v>
      </c>
      <c r="EJ365" s="2" t="n">
        <v>69.81</v>
      </c>
      <c r="EK365" s="2" t="n">
        <v>94.93000000000001</v>
      </c>
      <c r="EL365" s="2" t="n">
        <v>100</v>
      </c>
      <c r="EM365" s="2" t="n">
        <v>69.81</v>
      </c>
      <c r="EN365" s="2" t="n">
        <v>94.93000000000001</v>
      </c>
      <c r="EO365" s="2" t="n">
        <v>100</v>
      </c>
      <c r="EP365" s="2" t="n">
        <v>69.81</v>
      </c>
      <c r="EQ365" s="2" t="n">
        <v>94.93000000000001</v>
      </c>
      <c r="ER365" s="2" t="n">
        <v>100</v>
      </c>
      <c r="ES365" s="2" t="n">
        <v>69.81</v>
      </c>
      <c r="ET365" s="2" t="n">
        <v>94.93000000000001</v>
      </c>
      <c r="EU365" s="2" t="n">
        <v>100</v>
      </c>
      <c r="EV365" s="2" t="n">
        <v>69.81</v>
      </c>
      <c r="EW365" s="2" t="n">
        <v>94.93000000000001</v>
      </c>
      <c r="EX365" s="2" t="n">
        <v>100</v>
      </c>
      <c r="EY365" s="2" t="n">
        <v>69.81</v>
      </c>
      <c r="EZ365" s="2" t="n">
        <v>94.93000000000001</v>
      </c>
      <c r="FA365" s="2" t="n">
        <v>100</v>
      </c>
      <c r="FB365" s="2" t="n">
        <v>69.81</v>
      </c>
      <c r="FC365" s="2" t="n">
        <v>94.93000000000001</v>
      </c>
      <c r="FD365" s="2" t="n">
        <v>100</v>
      </c>
      <c r="FE365" s="2" t="n">
        <v>69.81</v>
      </c>
      <c r="FF365" s="2" t="n">
        <v>94.93000000000001</v>
      </c>
      <c r="FG365" s="2" t="n">
        <v>100</v>
      </c>
      <c r="FH365" s="2" t="n">
        <v>69.81</v>
      </c>
      <c r="FI365" s="2" t="n">
        <v>94.93000000000001</v>
      </c>
      <c r="FJ365" s="2" t="n">
        <v>100</v>
      </c>
      <c r="FK365" s="2" t="n">
        <v>69.81</v>
      </c>
      <c r="FL365" s="2" t="n">
        <v>94.93000000000001</v>
      </c>
      <c r="FM365" s="2" t="n">
        <v>100</v>
      </c>
      <c r="FN365" s="2" t="n">
        <v>69.81</v>
      </c>
      <c r="FO365" s="2" t="n">
        <v>94.93000000000001</v>
      </c>
      <c r="FP365" s="2" t="n">
        <v>100</v>
      </c>
      <c r="FQ365" s="2" t="n">
        <v>69.81</v>
      </c>
    </row>
    <row r="366">
      <c r="A366" s="2" t="n">
        <v>4</v>
      </c>
      <c r="B366" s="2" t="inlineStr">
        <is>
          <t>17.01.01.03</t>
        </is>
      </c>
      <c r="C366" s="2" t="inlineStr">
        <is>
          <t>Formas para lajes nervuradas</t>
        </is>
      </c>
      <c r="D366" s="2" t="inlineStr">
        <is>
          <t>19/05/2025</t>
        </is>
      </c>
      <c r="E366" s="2" t="inlineStr">
        <is>
          <t>06/04/2027</t>
        </is>
      </c>
      <c r="F366" s="2" t="n">
        <v>458708.3974698907</v>
      </c>
      <c r="G366" s="2" t="n">
        <v>0</v>
      </c>
      <c r="H366" s="2" t="n">
        <v>458708.3974698907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1.09</v>
      </c>
      <c r="AK366" s="2" t="n">
        <v>1.09</v>
      </c>
      <c r="AL366" s="2" t="n">
        <v>0</v>
      </c>
      <c r="AM366" s="2" t="n">
        <v>3.28</v>
      </c>
      <c r="AN366" s="2" t="n">
        <v>3.28</v>
      </c>
      <c r="AO366" s="2" t="n">
        <v>4.36</v>
      </c>
      <c r="AP366" s="2" t="n">
        <v>7.21</v>
      </c>
      <c r="AQ366" s="2" t="n">
        <v>7.21</v>
      </c>
      <c r="AR366" s="2" t="n">
        <v>8.73</v>
      </c>
      <c r="AS366" s="2" t="n">
        <v>12.37</v>
      </c>
      <c r="AT366" s="2" t="n">
        <v>12.37</v>
      </c>
      <c r="AU366" s="2" t="n">
        <v>11.64</v>
      </c>
      <c r="AV366" s="2" t="n">
        <v>14.59</v>
      </c>
      <c r="AW366" s="2" t="n">
        <v>14.59</v>
      </c>
      <c r="AX366" s="2" t="n">
        <v>13.33</v>
      </c>
      <c r="AY366" s="2" t="n">
        <v>20.34</v>
      </c>
      <c r="AZ366" s="2" t="n">
        <v>20.34</v>
      </c>
      <c r="BA366" s="2" t="n">
        <v>20.32</v>
      </c>
      <c r="BB366" s="2" t="n">
        <v>26.99</v>
      </c>
      <c r="BC366" s="2" t="n">
        <v>26.99</v>
      </c>
      <c r="BD366" s="2" t="n">
        <v>26.18</v>
      </c>
      <c r="BE366" s="2" t="n">
        <v>32.96</v>
      </c>
      <c r="BF366" s="2" t="n">
        <v>32.96</v>
      </c>
      <c r="BG366" s="2" t="n">
        <v>32.56</v>
      </c>
      <c r="BH366" s="2" t="n">
        <v>37.63</v>
      </c>
      <c r="BI366" s="2" t="n">
        <v>37.63</v>
      </c>
      <c r="BJ366" s="2" t="n">
        <v>37.01</v>
      </c>
      <c r="BK366" s="2" t="n">
        <v>41.46</v>
      </c>
      <c r="BL366" s="2" t="n">
        <v>41.46</v>
      </c>
      <c r="BM366" s="2" t="n">
        <v>40.79</v>
      </c>
      <c r="BN366" s="2" t="n">
        <v>45.79</v>
      </c>
      <c r="BO366" s="2" t="n">
        <v>45.79</v>
      </c>
      <c r="BP366" s="2" t="n">
        <v>45</v>
      </c>
      <c r="BQ366" s="2" t="n">
        <v>48.42</v>
      </c>
      <c r="BR366" s="2" t="n">
        <v>48.42</v>
      </c>
      <c r="BS366" s="2" t="n">
        <v>48.28</v>
      </c>
      <c r="BT366" s="2" t="n">
        <v>52.55</v>
      </c>
      <c r="BU366" s="2" t="n">
        <v>52.55</v>
      </c>
      <c r="BV366" s="2" t="n">
        <v>52.46</v>
      </c>
      <c r="BW366" s="2" t="n">
        <v>56.39</v>
      </c>
      <c r="BX366" s="2" t="n">
        <v>56.39</v>
      </c>
      <c r="BY366" s="2" t="n">
        <v>56.4</v>
      </c>
      <c r="BZ366" s="2" t="n">
        <v>61.96</v>
      </c>
      <c r="CA366" s="2" t="n">
        <v>62.37</v>
      </c>
      <c r="CB366" s="2" t="n">
        <v>62.18</v>
      </c>
      <c r="CC366" s="2" t="n">
        <v>64.34999999999999</v>
      </c>
      <c r="CD366" s="2" t="n">
        <v>66.98999999999999</v>
      </c>
      <c r="CE366" s="2" t="n">
        <v>66.95</v>
      </c>
      <c r="CF366" s="2" t="n">
        <v>66.73999999999999</v>
      </c>
      <c r="CG366" s="2" t="n">
        <v>71.81</v>
      </c>
      <c r="CH366" s="2" t="n">
        <v>69.81</v>
      </c>
      <c r="CI366" s="2" t="n">
        <v>71.45999999999999</v>
      </c>
      <c r="CJ366" s="2" t="n">
        <v>76.53</v>
      </c>
      <c r="CK366" s="2" t="n">
        <v>69.81</v>
      </c>
      <c r="CL366" s="2" t="n">
        <v>75.90000000000001</v>
      </c>
      <c r="CM366" s="2" t="n">
        <v>80.97</v>
      </c>
      <c r="CN366" s="2" t="n">
        <v>69.81</v>
      </c>
      <c r="CO366" s="2" t="n">
        <v>79.70999999999999</v>
      </c>
      <c r="CP366" s="2" t="n">
        <v>84.79000000000001</v>
      </c>
      <c r="CQ366" s="2" t="n">
        <v>69.81</v>
      </c>
      <c r="CR366" s="2" t="n">
        <v>84.48999999999999</v>
      </c>
      <c r="CS366" s="2" t="n">
        <v>89.56</v>
      </c>
      <c r="CT366" s="2" t="n">
        <v>69.81</v>
      </c>
      <c r="CU366" s="2" t="n">
        <v>88.89</v>
      </c>
      <c r="CV366" s="2" t="n">
        <v>93.95999999999999</v>
      </c>
      <c r="CW366" s="2" t="n">
        <v>69.81</v>
      </c>
      <c r="CX366" s="2" t="n">
        <v>94.58</v>
      </c>
      <c r="CY366" s="2" t="n">
        <v>99.65000000000001</v>
      </c>
      <c r="CZ366" s="2" t="n">
        <v>69.81</v>
      </c>
      <c r="DA366" s="2" t="n">
        <v>94.93000000000001</v>
      </c>
      <c r="DB366" s="2" t="n">
        <v>100</v>
      </c>
      <c r="DC366" s="2" t="n">
        <v>69.81</v>
      </c>
      <c r="DD366" s="2" t="n">
        <v>94.93000000000001</v>
      </c>
      <c r="DE366" s="2" t="n">
        <v>100</v>
      </c>
      <c r="DF366" s="2" t="n">
        <v>69.81</v>
      </c>
      <c r="DG366" s="2" t="n">
        <v>94.93000000000001</v>
      </c>
      <c r="DH366" s="2" t="n">
        <v>100</v>
      </c>
      <c r="DI366" s="2" t="n">
        <v>69.81</v>
      </c>
      <c r="DJ366" s="2" t="n">
        <v>94.93000000000001</v>
      </c>
      <c r="DK366" s="2" t="n">
        <v>100</v>
      </c>
      <c r="DL366" s="2" t="n">
        <v>69.81</v>
      </c>
      <c r="DM366" s="2" t="n">
        <v>94.93000000000001</v>
      </c>
      <c r="DN366" s="2" t="n">
        <v>100</v>
      </c>
      <c r="DO366" s="2" t="n">
        <v>69.81</v>
      </c>
      <c r="DP366" s="2" t="n">
        <v>94.93000000000001</v>
      </c>
      <c r="DQ366" s="2" t="n">
        <v>100</v>
      </c>
      <c r="DR366" s="2" t="n">
        <v>69.81</v>
      </c>
      <c r="DS366" s="2" t="n">
        <v>94.93000000000001</v>
      </c>
      <c r="DT366" s="2" t="n">
        <v>100</v>
      </c>
      <c r="DU366" s="2" t="n">
        <v>69.81</v>
      </c>
      <c r="DV366" s="2" t="n">
        <v>94.93000000000001</v>
      </c>
      <c r="DW366" s="2" t="n">
        <v>100</v>
      </c>
      <c r="DX366" s="2" t="n">
        <v>69.81</v>
      </c>
      <c r="DY366" s="2" t="n">
        <v>94.93000000000001</v>
      </c>
      <c r="DZ366" s="2" t="n">
        <v>100</v>
      </c>
      <c r="EA366" s="2" t="n">
        <v>69.81</v>
      </c>
      <c r="EB366" s="2" t="n">
        <v>94.93000000000001</v>
      </c>
      <c r="EC366" s="2" t="n">
        <v>100</v>
      </c>
      <c r="ED366" s="2" t="n">
        <v>69.81</v>
      </c>
      <c r="EE366" s="2" t="n">
        <v>94.93000000000001</v>
      </c>
      <c r="EF366" s="2" t="n">
        <v>100</v>
      </c>
      <c r="EG366" s="2" t="n">
        <v>69.81</v>
      </c>
      <c r="EH366" s="2" t="n">
        <v>94.93000000000001</v>
      </c>
      <c r="EI366" s="2" t="n">
        <v>100</v>
      </c>
      <c r="EJ366" s="2" t="n">
        <v>69.81</v>
      </c>
      <c r="EK366" s="2" t="n">
        <v>94.93000000000001</v>
      </c>
      <c r="EL366" s="2" t="n">
        <v>100</v>
      </c>
      <c r="EM366" s="2" t="n">
        <v>69.81</v>
      </c>
      <c r="EN366" s="2" t="n">
        <v>94.93000000000001</v>
      </c>
      <c r="EO366" s="2" t="n">
        <v>100</v>
      </c>
      <c r="EP366" s="2" t="n">
        <v>69.81</v>
      </c>
      <c r="EQ366" s="2" t="n">
        <v>94.93000000000001</v>
      </c>
      <c r="ER366" s="2" t="n">
        <v>100</v>
      </c>
      <c r="ES366" s="2" t="n">
        <v>69.81</v>
      </c>
      <c r="ET366" s="2" t="n">
        <v>94.93000000000001</v>
      </c>
      <c r="EU366" s="2" t="n">
        <v>100</v>
      </c>
      <c r="EV366" s="2" t="n">
        <v>69.81</v>
      </c>
      <c r="EW366" s="2" t="n">
        <v>94.93000000000001</v>
      </c>
      <c r="EX366" s="2" t="n">
        <v>100</v>
      </c>
      <c r="EY366" s="2" t="n">
        <v>69.81</v>
      </c>
      <c r="EZ366" s="2" t="n">
        <v>94.93000000000001</v>
      </c>
      <c r="FA366" s="2" t="n">
        <v>100</v>
      </c>
      <c r="FB366" s="2" t="n">
        <v>69.81</v>
      </c>
      <c r="FC366" s="2" t="n">
        <v>94.93000000000001</v>
      </c>
      <c r="FD366" s="2" t="n">
        <v>100</v>
      </c>
      <c r="FE366" s="2" t="n">
        <v>69.81</v>
      </c>
      <c r="FF366" s="2" t="n">
        <v>94.93000000000001</v>
      </c>
      <c r="FG366" s="2" t="n">
        <v>100</v>
      </c>
      <c r="FH366" s="2" t="n">
        <v>69.81</v>
      </c>
      <c r="FI366" s="2" t="n">
        <v>94.93000000000001</v>
      </c>
      <c r="FJ366" s="2" t="n">
        <v>100</v>
      </c>
      <c r="FK366" s="2" t="n">
        <v>69.81</v>
      </c>
      <c r="FL366" s="2" t="n">
        <v>94.93000000000001</v>
      </c>
      <c r="FM366" s="2" t="n">
        <v>100</v>
      </c>
      <c r="FN366" s="2" t="n">
        <v>69.81</v>
      </c>
      <c r="FO366" s="2" t="n">
        <v>94.93000000000001</v>
      </c>
      <c r="FP366" s="2" t="n">
        <v>100</v>
      </c>
      <c r="FQ366" s="2" t="n">
        <v>69.81</v>
      </c>
    </row>
    <row r="367">
      <c r="A367" s="2" t="n">
        <v>4</v>
      </c>
      <c r="B367" s="2" t="inlineStr">
        <is>
          <t>17.01.01.04</t>
        </is>
      </c>
      <c r="C367" s="2" t="inlineStr">
        <is>
          <t>Cimbramento pé-direito até 350cm</t>
        </is>
      </c>
      <c r="D367" s="2" t="inlineStr">
        <is>
          <t>19/05/2025</t>
        </is>
      </c>
      <c r="E367" s="2" t="inlineStr">
        <is>
          <t>06/04/2027</t>
        </is>
      </c>
      <c r="F367" s="2" t="n">
        <v>118211.1084</v>
      </c>
      <c r="G367" s="2" t="n">
        <v>0</v>
      </c>
      <c r="H367" s="2" t="n">
        <v>118211.1084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1.09</v>
      </c>
      <c r="AK367" s="2" t="n">
        <v>1.09</v>
      </c>
      <c r="AL367" s="2" t="n">
        <v>0</v>
      </c>
      <c r="AM367" s="2" t="n">
        <v>3.28</v>
      </c>
      <c r="AN367" s="2" t="n">
        <v>3.28</v>
      </c>
      <c r="AO367" s="2" t="n">
        <v>4.36</v>
      </c>
      <c r="AP367" s="2" t="n">
        <v>7.21</v>
      </c>
      <c r="AQ367" s="2" t="n">
        <v>7.21</v>
      </c>
      <c r="AR367" s="2" t="n">
        <v>8.73</v>
      </c>
      <c r="AS367" s="2" t="n">
        <v>12.37</v>
      </c>
      <c r="AT367" s="2" t="n">
        <v>12.37</v>
      </c>
      <c r="AU367" s="2" t="n">
        <v>11.64</v>
      </c>
      <c r="AV367" s="2" t="n">
        <v>14.59</v>
      </c>
      <c r="AW367" s="2" t="n">
        <v>14.59</v>
      </c>
      <c r="AX367" s="2" t="n">
        <v>13.33</v>
      </c>
      <c r="AY367" s="2" t="n">
        <v>20.34</v>
      </c>
      <c r="AZ367" s="2" t="n">
        <v>20.34</v>
      </c>
      <c r="BA367" s="2" t="n">
        <v>20.32</v>
      </c>
      <c r="BB367" s="2" t="n">
        <v>26.99</v>
      </c>
      <c r="BC367" s="2" t="n">
        <v>26.99</v>
      </c>
      <c r="BD367" s="2" t="n">
        <v>26.18</v>
      </c>
      <c r="BE367" s="2" t="n">
        <v>32.96</v>
      </c>
      <c r="BF367" s="2" t="n">
        <v>32.96</v>
      </c>
      <c r="BG367" s="2" t="n">
        <v>32.56</v>
      </c>
      <c r="BH367" s="2" t="n">
        <v>37.63</v>
      </c>
      <c r="BI367" s="2" t="n">
        <v>37.63</v>
      </c>
      <c r="BJ367" s="2" t="n">
        <v>37.01</v>
      </c>
      <c r="BK367" s="2" t="n">
        <v>41.46</v>
      </c>
      <c r="BL367" s="2" t="n">
        <v>41.46</v>
      </c>
      <c r="BM367" s="2" t="n">
        <v>40.79</v>
      </c>
      <c r="BN367" s="2" t="n">
        <v>45.79</v>
      </c>
      <c r="BO367" s="2" t="n">
        <v>45.79</v>
      </c>
      <c r="BP367" s="2" t="n">
        <v>45</v>
      </c>
      <c r="BQ367" s="2" t="n">
        <v>48.42</v>
      </c>
      <c r="BR367" s="2" t="n">
        <v>48.42</v>
      </c>
      <c r="BS367" s="2" t="n">
        <v>48.28</v>
      </c>
      <c r="BT367" s="2" t="n">
        <v>52.55</v>
      </c>
      <c r="BU367" s="2" t="n">
        <v>52.55</v>
      </c>
      <c r="BV367" s="2" t="n">
        <v>52.46</v>
      </c>
      <c r="BW367" s="2" t="n">
        <v>56.39</v>
      </c>
      <c r="BX367" s="2" t="n">
        <v>56.39</v>
      </c>
      <c r="BY367" s="2" t="n">
        <v>56.4</v>
      </c>
      <c r="BZ367" s="2" t="n">
        <v>61.96</v>
      </c>
      <c r="CA367" s="2" t="n">
        <v>62.37</v>
      </c>
      <c r="CB367" s="2" t="n">
        <v>62.18</v>
      </c>
      <c r="CC367" s="2" t="n">
        <v>64.34999999999999</v>
      </c>
      <c r="CD367" s="2" t="n">
        <v>66.98999999999999</v>
      </c>
      <c r="CE367" s="2" t="n">
        <v>66.95</v>
      </c>
      <c r="CF367" s="2" t="n">
        <v>66.73999999999999</v>
      </c>
      <c r="CG367" s="2" t="n">
        <v>71.81</v>
      </c>
      <c r="CH367" s="2" t="n">
        <v>69.81</v>
      </c>
      <c r="CI367" s="2" t="n">
        <v>71.45999999999999</v>
      </c>
      <c r="CJ367" s="2" t="n">
        <v>76.53</v>
      </c>
      <c r="CK367" s="2" t="n">
        <v>69.81</v>
      </c>
      <c r="CL367" s="2" t="n">
        <v>75.90000000000001</v>
      </c>
      <c r="CM367" s="2" t="n">
        <v>80.97</v>
      </c>
      <c r="CN367" s="2" t="n">
        <v>69.81</v>
      </c>
      <c r="CO367" s="2" t="n">
        <v>79.70999999999999</v>
      </c>
      <c r="CP367" s="2" t="n">
        <v>84.79000000000001</v>
      </c>
      <c r="CQ367" s="2" t="n">
        <v>69.81</v>
      </c>
      <c r="CR367" s="2" t="n">
        <v>84.48999999999999</v>
      </c>
      <c r="CS367" s="2" t="n">
        <v>89.56</v>
      </c>
      <c r="CT367" s="2" t="n">
        <v>69.81</v>
      </c>
      <c r="CU367" s="2" t="n">
        <v>88.89</v>
      </c>
      <c r="CV367" s="2" t="n">
        <v>93.95999999999999</v>
      </c>
      <c r="CW367" s="2" t="n">
        <v>69.81</v>
      </c>
      <c r="CX367" s="2" t="n">
        <v>94.58</v>
      </c>
      <c r="CY367" s="2" t="n">
        <v>99.65000000000001</v>
      </c>
      <c r="CZ367" s="2" t="n">
        <v>69.81</v>
      </c>
      <c r="DA367" s="2" t="n">
        <v>94.93000000000001</v>
      </c>
      <c r="DB367" s="2" t="n">
        <v>100</v>
      </c>
      <c r="DC367" s="2" t="n">
        <v>69.81</v>
      </c>
      <c r="DD367" s="2" t="n">
        <v>94.93000000000001</v>
      </c>
      <c r="DE367" s="2" t="n">
        <v>100</v>
      </c>
      <c r="DF367" s="2" t="n">
        <v>69.81</v>
      </c>
      <c r="DG367" s="2" t="n">
        <v>94.93000000000001</v>
      </c>
      <c r="DH367" s="2" t="n">
        <v>100</v>
      </c>
      <c r="DI367" s="2" t="n">
        <v>69.81</v>
      </c>
      <c r="DJ367" s="2" t="n">
        <v>94.93000000000001</v>
      </c>
      <c r="DK367" s="2" t="n">
        <v>100</v>
      </c>
      <c r="DL367" s="2" t="n">
        <v>69.81</v>
      </c>
      <c r="DM367" s="2" t="n">
        <v>94.93000000000001</v>
      </c>
      <c r="DN367" s="2" t="n">
        <v>100</v>
      </c>
      <c r="DO367" s="2" t="n">
        <v>69.81</v>
      </c>
      <c r="DP367" s="2" t="n">
        <v>94.93000000000001</v>
      </c>
      <c r="DQ367" s="2" t="n">
        <v>100</v>
      </c>
      <c r="DR367" s="2" t="n">
        <v>69.81</v>
      </c>
      <c r="DS367" s="2" t="n">
        <v>94.93000000000001</v>
      </c>
      <c r="DT367" s="2" t="n">
        <v>100</v>
      </c>
      <c r="DU367" s="2" t="n">
        <v>69.81</v>
      </c>
      <c r="DV367" s="2" t="n">
        <v>94.93000000000001</v>
      </c>
      <c r="DW367" s="2" t="n">
        <v>100</v>
      </c>
      <c r="DX367" s="2" t="n">
        <v>69.81</v>
      </c>
      <c r="DY367" s="2" t="n">
        <v>94.93000000000001</v>
      </c>
      <c r="DZ367" s="2" t="n">
        <v>100</v>
      </c>
      <c r="EA367" s="2" t="n">
        <v>69.81</v>
      </c>
      <c r="EB367" s="2" t="n">
        <v>94.93000000000001</v>
      </c>
      <c r="EC367" s="2" t="n">
        <v>100</v>
      </c>
      <c r="ED367" s="2" t="n">
        <v>69.81</v>
      </c>
      <c r="EE367" s="2" t="n">
        <v>94.93000000000001</v>
      </c>
      <c r="EF367" s="2" t="n">
        <v>100</v>
      </c>
      <c r="EG367" s="2" t="n">
        <v>69.81</v>
      </c>
      <c r="EH367" s="2" t="n">
        <v>94.93000000000001</v>
      </c>
      <c r="EI367" s="2" t="n">
        <v>100</v>
      </c>
      <c r="EJ367" s="2" t="n">
        <v>69.81</v>
      </c>
      <c r="EK367" s="2" t="n">
        <v>94.93000000000001</v>
      </c>
      <c r="EL367" s="2" t="n">
        <v>100</v>
      </c>
      <c r="EM367" s="2" t="n">
        <v>69.81</v>
      </c>
      <c r="EN367" s="2" t="n">
        <v>94.93000000000001</v>
      </c>
      <c r="EO367" s="2" t="n">
        <v>100</v>
      </c>
      <c r="EP367" s="2" t="n">
        <v>69.81</v>
      </c>
      <c r="EQ367" s="2" t="n">
        <v>94.93000000000001</v>
      </c>
      <c r="ER367" s="2" t="n">
        <v>100</v>
      </c>
      <c r="ES367" s="2" t="n">
        <v>69.81</v>
      </c>
      <c r="ET367" s="2" t="n">
        <v>94.93000000000001</v>
      </c>
      <c r="EU367" s="2" t="n">
        <v>100</v>
      </c>
      <c r="EV367" s="2" t="n">
        <v>69.81</v>
      </c>
      <c r="EW367" s="2" t="n">
        <v>94.93000000000001</v>
      </c>
      <c r="EX367" s="2" t="n">
        <v>100</v>
      </c>
      <c r="EY367" s="2" t="n">
        <v>69.81</v>
      </c>
      <c r="EZ367" s="2" t="n">
        <v>94.93000000000001</v>
      </c>
      <c r="FA367" s="2" t="n">
        <v>100</v>
      </c>
      <c r="FB367" s="2" t="n">
        <v>69.81</v>
      </c>
      <c r="FC367" s="2" t="n">
        <v>94.93000000000001</v>
      </c>
      <c r="FD367" s="2" t="n">
        <v>100</v>
      </c>
      <c r="FE367" s="2" t="n">
        <v>69.81</v>
      </c>
      <c r="FF367" s="2" t="n">
        <v>94.93000000000001</v>
      </c>
      <c r="FG367" s="2" t="n">
        <v>100</v>
      </c>
      <c r="FH367" s="2" t="n">
        <v>69.81</v>
      </c>
      <c r="FI367" s="2" t="n">
        <v>94.93000000000001</v>
      </c>
      <c r="FJ367" s="2" t="n">
        <v>100</v>
      </c>
      <c r="FK367" s="2" t="n">
        <v>69.81</v>
      </c>
      <c r="FL367" s="2" t="n">
        <v>94.93000000000001</v>
      </c>
      <c r="FM367" s="2" t="n">
        <v>100</v>
      </c>
      <c r="FN367" s="2" t="n">
        <v>69.81</v>
      </c>
      <c r="FO367" s="2" t="n">
        <v>94.93000000000001</v>
      </c>
      <c r="FP367" s="2" t="n">
        <v>100</v>
      </c>
      <c r="FQ367" s="2" t="n">
        <v>69.81</v>
      </c>
    </row>
    <row r="368">
      <c r="A368" s="2" t="n">
        <v>4</v>
      </c>
      <c r="B368" s="2" t="inlineStr">
        <is>
          <t>17.01.01.05</t>
        </is>
      </c>
      <c r="C368" s="2" t="inlineStr">
        <is>
          <t>Cimbramento pé-direito entre 350 e 500cm</t>
        </is>
      </c>
      <c r="D368" s="2" t="inlineStr">
        <is>
          <t>19/05/2025</t>
        </is>
      </c>
      <c r="E368" s="2" t="inlineStr">
        <is>
          <t>06/04/2027</t>
        </is>
      </c>
      <c r="F368" s="2" t="n">
        <v>1230557.137425</v>
      </c>
      <c r="G368" s="2" t="n">
        <v>0</v>
      </c>
      <c r="H368" s="2" t="n">
        <v>1230557.137425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1.09</v>
      </c>
      <c r="AK368" s="2" t="n">
        <v>1.09</v>
      </c>
      <c r="AL368" s="2" t="n">
        <v>0</v>
      </c>
      <c r="AM368" s="2" t="n">
        <v>3.28</v>
      </c>
      <c r="AN368" s="2" t="n">
        <v>3.28</v>
      </c>
      <c r="AO368" s="2" t="n">
        <v>4.36</v>
      </c>
      <c r="AP368" s="2" t="n">
        <v>7.21</v>
      </c>
      <c r="AQ368" s="2" t="n">
        <v>7.21</v>
      </c>
      <c r="AR368" s="2" t="n">
        <v>8.73</v>
      </c>
      <c r="AS368" s="2" t="n">
        <v>12.37</v>
      </c>
      <c r="AT368" s="2" t="n">
        <v>12.37</v>
      </c>
      <c r="AU368" s="2" t="n">
        <v>11.64</v>
      </c>
      <c r="AV368" s="2" t="n">
        <v>14.59</v>
      </c>
      <c r="AW368" s="2" t="n">
        <v>14.59</v>
      </c>
      <c r="AX368" s="2" t="n">
        <v>13.33</v>
      </c>
      <c r="AY368" s="2" t="n">
        <v>20.34</v>
      </c>
      <c r="AZ368" s="2" t="n">
        <v>20.34</v>
      </c>
      <c r="BA368" s="2" t="n">
        <v>20.32</v>
      </c>
      <c r="BB368" s="2" t="n">
        <v>26.99</v>
      </c>
      <c r="BC368" s="2" t="n">
        <v>26.99</v>
      </c>
      <c r="BD368" s="2" t="n">
        <v>26.18</v>
      </c>
      <c r="BE368" s="2" t="n">
        <v>32.96</v>
      </c>
      <c r="BF368" s="2" t="n">
        <v>32.96</v>
      </c>
      <c r="BG368" s="2" t="n">
        <v>32.56</v>
      </c>
      <c r="BH368" s="2" t="n">
        <v>37.63</v>
      </c>
      <c r="BI368" s="2" t="n">
        <v>37.63</v>
      </c>
      <c r="BJ368" s="2" t="n">
        <v>37.01</v>
      </c>
      <c r="BK368" s="2" t="n">
        <v>41.46</v>
      </c>
      <c r="BL368" s="2" t="n">
        <v>41.46</v>
      </c>
      <c r="BM368" s="2" t="n">
        <v>40.79</v>
      </c>
      <c r="BN368" s="2" t="n">
        <v>45.79</v>
      </c>
      <c r="BO368" s="2" t="n">
        <v>45.79</v>
      </c>
      <c r="BP368" s="2" t="n">
        <v>45</v>
      </c>
      <c r="BQ368" s="2" t="n">
        <v>48.42</v>
      </c>
      <c r="BR368" s="2" t="n">
        <v>48.42</v>
      </c>
      <c r="BS368" s="2" t="n">
        <v>48.28</v>
      </c>
      <c r="BT368" s="2" t="n">
        <v>52.55</v>
      </c>
      <c r="BU368" s="2" t="n">
        <v>52.55</v>
      </c>
      <c r="BV368" s="2" t="n">
        <v>52.46</v>
      </c>
      <c r="BW368" s="2" t="n">
        <v>56.39</v>
      </c>
      <c r="BX368" s="2" t="n">
        <v>56.39</v>
      </c>
      <c r="BY368" s="2" t="n">
        <v>56.4</v>
      </c>
      <c r="BZ368" s="2" t="n">
        <v>61.96</v>
      </c>
      <c r="CA368" s="2" t="n">
        <v>62.37</v>
      </c>
      <c r="CB368" s="2" t="n">
        <v>62.18</v>
      </c>
      <c r="CC368" s="2" t="n">
        <v>64.34999999999999</v>
      </c>
      <c r="CD368" s="2" t="n">
        <v>66.98999999999999</v>
      </c>
      <c r="CE368" s="2" t="n">
        <v>66.95</v>
      </c>
      <c r="CF368" s="2" t="n">
        <v>66.73999999999999</v>
      </c>
      <c r="CG368" s="2" t="n">
        <v>71.81</v>
      </c>
      <c r="CH368" s="2" t="n">
        <v>69.81</v>
      </c>
      <c r="CI368" s="2" t="n">
        <v>71.45999999999999</v>
      </c>
      <c r="CJ368" s="2" t="n">
        <v>76.53</v>
      </c>
      <c r="CK368" s="2" t="n">
        <v>69.81</v>
      </c>
      <c r="CL368" s="2" t="n">
        <v>75.90000000000001</v>
      </c>
      <c r="CM368" s="2" t="n">
        <v>80.97</v>
      </c>
      <c r="CN368" s="2" t="n">
        <v>69.81</v>
      </c>
      <c r="CO368" s="2" t="n">
        <v>79.70999999999999</v>
      </c>
      <c r="CP368" s="2" t="n">
        <v>84.79000000000001</v>
      </c>
      <c r="CQ368" s="2" t="n">
        <v>69.81</v>
      </c>
      <c r="CR368" s="2" t="n">
        <v>84.48999999999999</v>
      </c>
      <c r="CS368" s="2" t="n">
        <v>89.56</v>
      </c>
      <c r="CT368" s="2" t="n">
        <v>69.81</v>
      </c>
      <c r="CU368" s="2" t="n">
        <v>88.89</v>
      </c>
      <c r="CV368" s="2" t="n">
        <v>93.95999999999999</v>
      </c>
      <c r="CW368" s="2" t="n">
        <v>69.81</v>
      </c>
      <c r="CX368" s="2" t="n">
        <v>94.58</v>
      </c>
      <c r="CY368" s="2" t="n">
        <v>99.65000000000001</v>
      </c>
      <c r="CZ368" s="2" t="n">
        <v>69.81</v>
      </c>
      <c r="DA368" s="2" t="n">
        <v>94.93000000000001</v>
      </c>
      <c r="DB368" s="2" t="n">
        <v>100</v>
      </c>
      <c r="DC368" s="2" t="n">
        <v>69.81</v>
      </c>
      <c r="DD368" s="2" t="n">
        <v>94.93000000000001</v>
      </c>
      <c r="DE368" s="2" t="n">
        <v>100</v>
      </c>
      <c r="DF368" s="2" t="n">
        <v>69.81</v>
      </c>
      <c r="DG368" s="2" t="n">
        <v>94.93000000000001</v>
      </c>
      <c r="DH368" s="2" t="n">
        <v>100</v>
      </c>
      <c r="DI368" s="2" t="n">
        <v>69.81</v>
      </c>
      <c r="DJ368" s="2" t="n">
        <v>94.93000000000001</v>
      </c>
      <c r="DK368" s="2" t="n">
        <v>100</v>
      </c>
      <c r="DL368" s="2" t="n">
        <v>69.81</v>
      </c>
      <c r="DM368" s="2" t="n">
        <v>94.93000000000001</v>
      </c>
      <c r="DN368" s="2" t="n">
        <v>100</v>
      </c>
      <c r="DO368" s="2" t="n">
        <v>69.81</v>
      </c>
      <c r="DP368" s="2" t="n">
        <v>94.93000000000001</v>
      </c>
      <c r="DQ368" s="2" t="n">
        <v>100</v>
      </c>
      <c r="DR368" s="2" t="n">
        <v>69.81</v>
      </c>
      <c r="DS368" s="2" t="n">
        <v>94.93000000000001</v>
      </c>
      <c r="DT368" s="2" t="n">
        <v>100</v>
      </c>
      <c r="DU368" s="2" t="n">
        <v>69.81</v>
      </c>
      <c r="DV368" s="2" t="n">
        <v>94.93000000000001</v>
      </c>
      <c r="DW368" s="2" t="n">
        <v>100</v>
      </c>
      <c r="DX368" s="2" t="n">
        <v>69.81</v>
      </c>
      <c r="DY368" s="2" t="n">
        <v>94.93000000000001</v>
      </c>
      <c r="DZ368" s="2" t="n">
        <v>100</v>
      </c>
      <c r="EA368" s="2" t="n">
        <v>69.81</v>
      </c>
      <c r="EB368" s="2" t="n">
        <v>94.93000000000001</v>
      </c>
      <c r="EC368" s="2" t="n">
        <v>100</v>
      </c>
      <c r="ED368" s="2" t="n">
        <v>69.81</v>
      </c>
      <c r="EE368" s="2" t="n">
        <v>94.93000000000001</v>
      </c>
      <c r="EF368" s="2" t="n">
        <v>100</v>
      </c>
      <c r="EG368" s="2" t="n">
        <v>69.81</v>
      </c>
      <c r="EH368" s="2" t="n">
        <v>94.93000000000001</v>
      </c>
      <c r="EI368" s="2" t="n">
        <v>100</v>
      </c>
      <c r="EJ368" s="2" t="n">
        <v>69.81</v>
      </c>
      <c r="EK368" s="2" t="n">
        <v>94.93000000000001</v>
      </c>
      <c r="EL368" s="2" t="n">
        <v>100</v>
      </c>
      <c r="EM368" s="2" t="n">
        <v>69.81</v>
      </c>
      <c r="EN368" s="2" t="n">
        <v>94.93000000000001</v>
      </c>
      <c r="EO368" s="2" t="n">
        <v>100</v>
      </c>
      <c r="EP368" s="2" t="n">
        <v>69.81</v>
      </c>
      <c r="EQ368" s="2" t="n">
        <v>94.93000000000001</v>
      </c>
      <c r="ER368" s="2" t="n">
        <v>100</v>
      </c>
      <c r="ES368" s="2" t="n">
        <v>69.81</v>
      </c>
      <c r="ET368" s="2" t="n">
        <v>94.93000000000001</v>
      </c>
      <c r="EU368" s="2" t="n">
        <v>100</v>
      </c>
      <c r="EV368" s="2" t="n">
        <v>69.81</v>
      </c>
      <c r="EW368" s="2" t="n">
        <v>94.93000000000001</v>
      </c>
      <c r="EX368" s="2" t="n">
        <v>100</v>
      </c>
      <c r="EY368" s="2" t="n">
        <v>69.81</v>
      </c>
      <c r="EZ368" s="2" t="n">
        <v>94.93000000000001</v>
      </c>
      <c r="FA368" s="2" t="n">
        <v>100</v>
      </c>
      <c r="FB368" s="2" t="n">
        <v>69.81</v>
      </c>
      <c r="FC368" s="2" t="n">
        <v>94.93000000000001</v>
      </c>
      <c r="FD368" s="2" t="n">
        <v>100</v>
      </c>
      <c r="FE368" s="2" t="n">
        <v>69.81</v>
      </c>
      <c r="FF368" s="2" t="n">
        <v>94.93000000000001</v>
      </c>
      <c r="FG368" s="2" t="n">
        <v>100</v>
      </c>
      <c r="FH368" s="2" t="n">
        <v>69.81</v>
      </c>
      <c r="FI368" s="2" t="n">
        <v>94.93000000000001</v>
      </c>
      <c r="FJ368" s="2" t="n">
        <v>100</v>
      </c>
      <c r="FK368" s="2" t="n">
        <v>69.81</v>
      </c>
      <c r="FL368" s="2" t="n">
        <v>94.93000000000001</v>
      </c>
      <c r="FM368" s="2" t="n">
        <v>100</v>
      </c>
      <c r="FN368" s="2" t="n">
        <v>69.81</v>
      </c>
      <c r="FO368" s="2" t="n">
        <v>94.93000000000001</v>
      </c>
      <c r="FP368" s="2" t="n">
        <v>100</v>
      </c>
      <c r="FQ368" s="2" t="n">
        <v>69.81</v>
      </c>
    </row>
    <row r="369">
      <c r="A369" s="2" t="n">
        <v>4</v>
      </c>
      <c r="B369" s="2" t="inlineStr">
        <is>
          <t>17.01.01.06</t>
        </is>
      </c>
      <c r="C369" s="2" t="inlineStr">
        <is>
          <t>Protensão - Fornecimento, montagem e tensionamento</t>
        </is>
      </c>
      <c r="D369" s="2" t="inlineStr">
        <is>
          <t>19/05/2025</t>
        </is>
      </c>
      <c r="E369" s="2" t="inlineStr">
        <is>
          <t>06/04/2027</t>
        </is>
      </c>
      <c r="F369" s="2" t="n">
        <v>1002183</v>
      </c>
      <c r="G369" s="2" t="n">
        <v>0</v>
      </c>
      <c r="H369" s="2" t="n">
        <v>1002183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1.09</v>
      </c>
      <c r="AK369" s="2" t="n">
        <v>1.09</v>
      </c>
      <c r="AL369" s="2" t="n">
        <v>0</v>
      </c>
      <c r="AM369" s="2" t="n">
        <v>3.28</v>
      </c>
      <c r="AN369" s="2" t="n">
        <v>3.28</v>
      </c>
      <c r="AO369" s="2" t="n">
        <v>4.36</v>
      </c>
      <c r="AP369" s="2" t="n">
        <v>7.21</v>
      </c>
      <c r="AQ369" s="2" t="n">
        <v>7.21</v>
      </c>
      <c r="AR369" s="2" t="n">
        <v>8.73</v>
      </c>
      <c r="AS369" s="2" t="n">
        <v>12.37</v>
      </c>
      <c r="AT369" s="2" t="n">
        <v>12.37</v>
      </c>
      <c r="AU369" s="2" t="n">
        <v>11.64</v>
      </c>
      <c r="AV369" s="2" t="n">
        <v>14.59</v>
      </c>
      <c r="AW369" s="2" t="n">
        <v>14.59</v>
      </c>
      <c r="AX369" s="2" t="n">
        <v>13.33</v>
      </c>
      <c r="AY369" s="2" t="n">
        <v>20.34</v>
      </c>
      <c r="AZ369" s="2" t="n">
        <v>20.34</v>
      </c>
      <c r="BA369" s="2" t="n">
        <v>20.32</v>
      </c>
      <c r="BB369" s="2" t="n">
        <v>26.99</v>
      </c>
      <c r="BC369" s="2" t="n">
        <v>26.99</v>
      </c>
      <c r="BD369" s="2" t="n">
        <v>26.18</v>
      </c>
      <c r="BE369" s="2" t="n">
        <v>32.96</v>
      </c>
      <c r="BF369" s="2" t="n">
        <v>32.96</v>
      </c>
      <c r="BG369" s="2" t="n">
        <v>32.56</v>
      </c>
      <c r="BH369" s="2" t="n">
        <v>37.63</v>
      </c>
      <c r="BI369" s="2" t="n">
        <v>37.63</v>
      </c>
      <c r="BJ369" s="2" t="n">
        <v>37.01</v>
      </c>
      <c r="BK369" s="2" t="n">
        <v>41.46</v>
      </c>
      <c r="BL369" s="2" t="n">
        <v>41.46</v>
      </c>
      <c r="BM369" s="2" t="n">
        <v>40.79</v>
      </c>
      <c r="BN369" s="2" t="n">
        <v>45.79</v>
      </c>
      <c r="BO369" s="2" t="n">
        <v>45.79</v>
      </c>
      <c r="BP369" s="2" t="n">
        <v>45</v>
      </c>
      <c r="BQ369" s="2" t="n">
        <v>48.42</v>
      </c>
      <c r="BR369" s="2" t="n">
        <v>48.42</v>
      </c>
      <c r="BS369" s="2" t="n">
        <v>48.28</v>
      </c>
      <c r="BT369" s="2" t="n">
        <v>52.55</v>
      </c>
      <c r="BU369" s="2" t="n">
        <v>52.55</v>
      </c>
      <c r="BV369" s="2" t="n">
        <v>52.46</v>
      </c>
      <c r="BW369" s="2" t="n">
        <v>56.39</v>
      </c>
      <c r="BX369" s="2" t="n">
        <v>56.39</v>
      </c>
      <c r="BY369" s="2" t="n">
        <v>56.4</v>
      </c>
      <c r="BZ369" s="2" t="n">
        <v>61.96</v>
      </c>
      <c r="CA369" s="2" t="n">
        <v>62.37</v>
      </c>
      <c r="CB369" s="2" t="n">
        <v>62.18</v>
      </c>
      <c r="CC369" s="2" t="n">
        <v>64.34999999999999</v>
      </c>
      <c r="CD369" s="2" t="n">
        <v>66.98999999999999</v>
      </c>
      <c r="CE369" s="2" t="n">
        <v>66.95</v>
      </c>
      <c r="CF369" s="2" t="n">
        <v>66.73999999999999</v>
      </c>
      <c r="CG369" s="2" t="n">
        <v>71.81</v>
      </c>
      <c r="CH369" s="2" t="n">
        <v>69.81</v>
      </c>
      <c r="CI369" s="2" t="n">
        <v>71.45999999999999</v>
      </c>
      <c r="CJ369" s="2" t="n">
        <v>76.53</v>
      </c>
      <c r="CK369" s="2" t="n">
        <v>69.81</v>
      </c>
      <c r="CL369" s="2" t="n">
        <v>75.90000000000001</v>
      </c>
      <c r="CM369" s="2" t="n">
        <v>80.97</v>
      </c>
      <c r="CN369" s="2" t="n">
        <v>69.81</v>
      </c>
      <c r="CO369" s="2" t="n">
        <v>79.70999999999999</v>
      </c>
      <c r="CP369" s="2" t="n">
        <v>84.79000000000001</v>
      </c>
      <c r="CQ369" s="2" t="n">
        <v>69.81</v>
      </c>
      <c r="CR369" s="2" t="n">
        <v>84.48999999999999</v>
      </c>
      <c r="CS369" s="2" t="n">
        <v>89.56</v>
      </c>
      <c r="CT369" s="2" t="n">
        <v>69.81</v>
      </c>
      <c r="CU369" s="2" t="n">
        <v>88.89</v>
      </c>
      <c r="CV369" s="2" t="n">
        <v>93.95999999999999</v>
      </c>
      <c r="CW369" s="2" t="n">
        <v>69.81</v>
      </c>
      <c r="CX369" s="2" t="n">
        <v>94.58</v>
      </c>
      <c r="CY369" s="2" t="n">
        <v>99.65000000000001</v>
      </c>
      <c r="CZ369" s="2" t="n">
        <v>69.81</v>
      </c>
      <c r="DA369" s="2" t="n">
        <v>94.93000000000001</v>
      </c>
      <c r="DB369" s="2" t="n">
        <v>100</v>
      </c>
      <c r="DC369" s="2" t="n">
        <v>69.81</v>
      </c>
      <c r="DD369" s="2" t="n">
        <v>94.93000000000001</v>
      </c>
      <c r="DE369" s="2" t="n">
        <v>100</v>
      </c>
      <c r="DF369" s="2" t="n">
        <v>69.81</v>
      </c>
      <c r="DG369" s="2" t="n">
        <v>94.93000000000001</v>
      </c>
      <c r="DH369" s="2" t="n">
        <v>100</v>
      </c>
      <c r="DI369" s="2" t="n">
        <v>69.81</v>
      </c>
      <c r="DJ369" s="2" t="n">
        <v>94.93000000000001</v>
      </c>
      <c r="DK369" s="2" t="n">
        <v>100</v>
      </c>
      <c r="DL369" s="2" t="n">
        <v>69.81</v>
      </c>
      <c r="DM369" s="2" t="n">
        <v>94.93000000000001</v>
      </c>
      <c r="DN369" s="2" t="n">
        <v>100</v>
      </c>
      <c r="DO369" s="2" t="n">
        <v>69.81</v>
      </c>
      <c r="DP369" s="2" t="n">
        <v>94.93000000000001</v>
      </c>
      <c r="DQ369" s="2" t="n">
        <v>100</v>
      </c>
      <c r="DR369" s="2" t="n">
        <v>69.81</v>
      </c>
      <c r="DS369" s="2" t="n">
        <v>94.93000000000001</v>
      </c>
      <c r="DT369" s="2" t="n">
        <v>100</v>
      </c>
      <c r="DU369" s="2" t="n">
        <v>69.81</v>
      </c>
      <c r="DV369" s="2" t="n">
        <v>94.93000000000001</v>
      </c>
      <c r="DW369" s="2" t="n">
        <v>100</v>
      </c>
      <c r="DX369" s="2" t="n">
        <v>69.81</v>
      </c>
      <c r="DY369" s="2" t="n">
        <v>94.93000000000001</v>
      </c>
      <c r="DZ369" s="2" t="n">
        <v>100</v>
      </c>
      <c r="EA369" s="2" t="n">
        <v>69.81</v>
      </c>
      <c r="EB369" s="2" t="n">
        <v>94.93000000000001</v>
      </c>
      <c r="EC369" s="2" t="n">
        <v>100</v>
      </c>
      <c r="ED369" s="2" t="n">
        <v>69.81</v>
      </c>
      <c r="EE369" s="2" t="n">
        <v>94.93000000000001</v>
      </c>
      <c r="EF369" s="2" t="n">
        <v>100</v>
      </c>
      <c r="EG369" s="2" t="n">
        <v>69.81</v>
      </c>
      <c r="EH369" s="2" t="n">
        <v>94.93000000000001</v>
      </c>
      <c r="EI369" s="2" t="n">
        <v>100</v>
      </c>
      <c r="EJ369" s="2" t="n">
        <v>69.81</v>
      </c>
      <c r="EK369" s="2" t="n">
        <v>94.93000000000001</v>
      </c>
      <c r="EL369" s="2" t="n">
        <v>100</v>
      </c>
      <c r="EM369" s="2" t="n">
        <v>69.81</v>
      </c>
      <c r="EN369" s="2" t="n">
        <v>94.93000000000001</v>
      </c>
      <c r="EO369" s="2" t="n">
        <v>100</v>
      </c>
      <c r="EP369" s="2" t="n">
        <v>69.81</v>
      </c>
      <c r="EQ369" s="2" t="n">
        <v>94.93000000000001</v>
      </c>
      <c r="ER369" s="2" t="n">
        <v>100</v>
      </c>
      <c r="ES369" s="2" t="n">
        <v>69.81</v>
      </c>
      <c r="ET369" s="2" t="n">
        <v>94.93000000000001</v>
      </c>
      <c r="EU369" s="2" t="n">
        <v>100</v>
      </c>
      <c r="EV369" s="2" t="n">
        <v>69.81</v>
      </c>
      <c r="EW369" s="2" t="n">
        <v>94.93000000000001</v>
      </c>
      <c r="EX369" s="2" t="n">
        <v>100</v>
      </c>
      <c r="EY369" s="2" t="n">
        <v>69.81</v>
      </c>
      <c r="EZ369" s="2" t="n">
        <v>94.93000000000001</v>
      </c>
      <c r="FA369" s="2" t="n">
        <v>100</v>
      </c>
      <c r="FB369" s="2" t="n">
        <v>69.81</v>
      </c>
      <c r="FC369" s="2" t="n">
        <v>94.93000000000001</v>
      </c>
      <c r="FD369" s="2" t="n">
        <v>100</v>
      </c>
      <c r="FE369" s="2" t="n">
        <v>69.81</v>
      </c>
      <c r="FF369" s="2" t="n">
        <v>94.93000000000001</v>
      </c>
      <c r="FG369" s="2" t="n">
        <v>100</v>
      </c>
      <c r="FH369" s="2" t="n">
        <v>69.81</v>
      </c>
      <c r="FI369" s="2" t="n">
        <v>94.93000000000001</v>
      </c>
      <c r="FJ369" s="2" t="n">
        <v>100</v>
      </c>
      <c r="FK369" s="2" t="n">
        <v>69.81</v>
      </c>
      <c r="FL369" s="2" t="n">
        <v>94.93000000000001</v>
      </c>
      <c r="FM369" s="2" t="n">
        <v>100</v>
      </c>
      <c r="FN369" s="2" t="n">
        <v>69.81</v>
      </c>
      <c r="FO369" s="2" t="n">
        <v>94.93000000000001</v>
      </c>
      <c r="FP369" s="2" t="n">
        <v>100</v>
      </c>
      <c r="FQ369" s="2" t="n">
        <v>69.81</v>
      </c>
    </row>
    <row r="370">
      <c r="A370" s="2" t="n">
        <v>4</v>
      </c>
      <c r="B370" s="2" t="inlineStr">
        <is>
          <t>17.01.01.07</t>
        </is>
      </c>
      <c r="C370" s="2" t="inlineStr">
        <is>
          <t>Armadura Ca-50 adquirido cortado e dobrado, montagem e posicionamento no canteiro</t>
        </is>
      </c>
      <c r="D370" s="2" t="inlineStr">
        <is>
          <t>19/05/2025</t>
        </is>
      </c>
      <c r="E370" s="2" t="inlineStr">
        <is>
          <t>06/04/2027</t>
        </is>
      </c>
      <c r="F370" s="2" t="n">
        <v>7618532.76</v>
      </c>
      <c r="G370" s="2" t="n">
        <v>0</v>
      </c>
      <c r="H370" s="2" t="n">
        <v>7618532.76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1.09</v>
      </c>
      <c r="AK370" s="2" t="n">
        <v>1.09</v>
      </c>
      <c r="AL370" s="2" t="n">
        <v>0</v>
      </c>
      <c r="AM370" s="2" t="n">
        <v>3.28</v>
      </c>
      <c r="AN370" s="2" t="n">
        <v>3.28</v>
      </c>
      <c r="AO370" s="2" t="n">
        <v>4.36</v>
      </c>
      <c r="AP370" s="2" t="n">
        <v>7.21</v>
      </c>
      <c r="AQ370" s="2" t="n">
        <v>7.21</v>
      </c>
      <c r="AR370" s="2" t="n">
        <v>8.73</v>
      </c>
      <c r="AS370" s="2" t="n">
        <v>12.37</v>
      </c>
      <c r="AT370" s="2" t="n">
        <v>12.37</v>
      </c>
      <c r="AU370" s="2" t="n">
        <v>11.64</v>
      </c>
      <c r="AV370" s="2" t="n">
        <v>14.59</v>
      </c>
      <c r="AW370" s="2" t="n">
        <v>14.59</v>
      </c>
      <c r="AX370" s="2" t="n">
        <v>13.33</v>
      </c>
      <c r="AY370" s="2" t="n">
        <v>20.34</v>
      </c>
      <c r="AZ370" s="2" t="n">
        <v>20.34</v>
      </c>
      <c r="BA370" s="2" t="n">
        <v>20.32</v>
      </c>
      <c r="BB370" s="2" t="n">
        <v>26.99</v>
      </c>
      <c r="BC370" s="2" t="n">
        <v>26.99</v>
      </c>
      <c r="BD370" s="2" t="n">
        <v>26.18</v>
      </c>
      <c r="BE370" s="2" t="n">
        <v>32.96</v>
      </c>
      <c r="BF370" s="2" t="n">
        <v>32.96</v>
      </c>
      <c r="BG370" s="2" t="n">
        <v>32.56</v>
      </c>
      <c r="BH370" s="2" t="n">
        <v>37.63</v>
      </c>
      <c r="BI370" s="2" t="n">
        <v>37.63</v>
      </c>
      <c r="BJ370" s="2" t="n">
        <v>37.01</v>
      </c>
      <c r="BK370" s="2" t="n">
        <v>41.46</v>
      </c>
      <c r="BL370" s="2" t="n">
        <v>41.46</v>
      </c>
      <c r="BM370" s="2" t="n">
        <v>40.79</v>
      </c>
      <c r="BN370" s="2" t="n">
        <v>45.79</v>
      </c>
      <c r="BO370" s="2" t="n">
        <v>45.79</v>
      </c>
      <c r="BP370" s="2" t="n">
        <v>45</v>
      </c>
      <c r="BQ370" s="2" t="n">
        <v>48.42</v>
      </c>
      <c r="BR370" s="2" t="n">
        <v>48.42</v>
      </c>
      <c r="BS370" s="2" t="n">
        <v>48.28</v>
      </c>
      <c r="BT370" s="2" t="n">
        <v>52.55</v>
      </c>
      <c r="BU370" s="2" t="n">
        <v>52.55</v>
      </c>
      <c r="BV370" s="2" t="n">
        <v>52.46</v>
      </c>
      <c r="BW370" s="2" t="n">
        <v>56.39</v>
      </c>
      <c r="BX370" s="2" t="n">
        <v>56.39</v>
      </c>
      <c r="BY370" s="2" t="n">
        <v>56.4</v>
      </c>
      <c r="BZ370" s="2" t="n">
        <v>61.96</v>
      </c>
      <c r="CA370" s="2" t="n">
        <v>62.37</v>
      </c>
      <c r="CB370" s="2" t="n">
        <v>62.18</v>
      </c>
      <c r="CC370" s="2" t="n">
        <v>64.34999999999999</v>
      </c>
      <c r="CD370" s="2" t="n">
        <v>66.98999999999999</v>
      </c>
      <c r="CE370" s="2" t="n">
        <v>66.95</v>
      </c>
      <c r="CF370" s="2" t="n">
        <v>66.73999999999999</v>
      </c>
      <c r="CG370" s="2" t="n">
        <v>71.81</v>
      </c>
      <c r="CH370" s="2" t="n">
        <v>69.81</v>
      </c>
      <c r="CI370" s="2" t="n">
        <v>71.45999999999999</v>
      </c>
      <c r="CJ370" s="2" t="n">
        <v>76.53</v>
      </c>
      <c r="CK370" s="2" t="n">
        <v>69.81</v>
      </c>
      <c r="CL370" s="2" t="n">
        <v>75.90000000000001</v>
      </c>
      <c r="CM370" s="2" t="n">
        <v>80.97</v>
      </c>
      <c r="CN370" s="2" t="n">
        <v>69.81</v>
      </c>
      <c r="CO370" s="2" t="n">
        <v>79.70999999999999</v>
      </c>
      <c r="CP370" s="2" t="n">
        <v>84.79000000000001</v>
      </c>
      <c r="CQ370" s="2" t="n">
        <v>69.81</v>
      </c>
      <c r="CR370" s="2" t="n">
        <v>84.48999999999999</v>
      </c>
      <c r="CS370" s="2" t="n">
        <v>89.56</v>
      </c>
      <c r="CT370" s="2" t="n">
        <v>69.81</v>
      </c>
      <c r="CU370" s="2" t="n">
        <v>88.89</v>
      </c>
      <c r="CV370" s="2" t="n">
        <v>93.95999999999999</v>
      </c>
      <c r="CW370" s="2" t="n">
        <v>69.81</v>
      </c>
      <c r="CX370" s="2" t="n">
        <v>94.58</v>
      </c>
      <c r="CY370" s="2" t="n">
        <v>99.65000000000001</v>
      </c>
      <c r="CZ370" s="2" t="n">
        <v>69.81</v>
      </c>
      <c r="DA370" s="2" t="n">
        <v>94.93000000000001</v>
      </c>
      <c r="DB370" s="2" t="n">
        <v>100</v>
      </c>
      <c r="DC370" s="2" t="n">
        <v>69.81</v>
      </c>
      <c r="DD370" s="2" t="n">
        <v>94.93000000000001</v>
      </c>
      <c r="DE370" s="2" t="n">
        <v>100</v>
      </c>
      <c r="DF370" s="2" t="n">
        <v>69.81</v>
      </c>
      <c r="DG370" s="2" t="n">
        <v>94.93000000000001</v>
      </c>
      <c r="DH370" s="2" t="n">
        <v>100</v>
      </c>
      <c r="DI370" s="2" t="n">
        <v>69.81</v>
      </c>
      <c r="DJ370" s="2" t="n">
        <v>94.93000000000001</v>
      </c>
      <c r="DK370" s="2" t="n">
        <v>100</v>
      </c>
      <c r="DL370" s="2" t="n">
        <v>69.81</v>
      </c>
      <c r="DM370" s="2" t="n">
        <v>94.93000000000001</v>
      </c>
      <c r="DN370" s="2" t="n">
        <v>100</v>
      </c>
      <c r="DO370" s="2" t="n">
        <v>69.81</v>
      </c>
      <c r="DP370" s="2" t="n">
        <v>94.93000000000001</v>
      </c>
      <c r="DQ370" s="2" t="n">
        <v>100</v>
      </c>
      <c r="DR370" s="2" t="n">
        <v>69.81</v>
      </c>
      <c r="DS370" s="2" t="n">
        <v>94.93000000000001</v>
      </c>
      <c r="DT370" s="2" t="n">
        <v>100</v>
      </c>
      <c r="DU370" s="2" t="n">
        <v>69.81</v>
      </c>
      <c r="DV370" s="2" t="n">
        <v>94.93000000000001</v>
      </c>
      <c r="DW370" s="2" t="n">
        <v>100</v>
      </c>
      <c r="DX370" s="2" t="n">
        <v>69.81</v>
      </c>
      <c r="DY370" s="2" t="n">
        <v>94.93000000000001</v>
      </c>
      <c r="DZ370" s="2" t="n">
        <v>100</v>
      </c>
      <c r="EA370" s="2" t="n">
        <v>69.81</v>
      </c>
      <c r="EB370" s="2" t="n">
        <v>94.93000000000001</v>
      </c>
      <c r="EC370" s="2" t="n">
        <v>100</v>
      </c>
      <c r="ED370" s="2" t="n">
        <v>69.81</v>
      </c>
      <c r="EE370" s="2" t="n">
        <v>94.93000000000001</v>
      </c>
      <c r="EF370" s="2" t="n">
        <v>100</v>
      </c>
      <c r="EG370" s="2" t="n">
        <v>69.81</v>
      </c>
      <c r="EH370" s="2" t="n">
        <v>94.93000000000001</v>
      </c>
      <c r="EI370" s="2" t="n">
        <v>100</v>
      </c>
      <c r="EJ370" s="2" t="n">
        <v>69.81</v>
      </c>
      <c r="EK370" s="2" t="n">
        <v>94.93000000000001</v>
      </c>
      <c r="EL370" s="2" t="n">
        <v>100</v>
      </c>
      <c r="EM370" s="2" t="n">
        <v>69.81</v>
      </c>
      <c r="EN370" s="2" t="n">
        <v>94.93000000000001</v>
      </c>
      <c r="EO370" s="2" t="n">
        <v>100</v>
      </c>
      <c r="EP370" s="2" t="n">
        <v>69.81</v>
      </c>
      <c r="EQ370" s="2" t="n">
        <v>94.93000000000001</v>
      </c>
      <c r="ER370" s="2" t="n">
        <v>100</v>
      </c>
      <c r="ES370" s="2" t="n">
        <v>69.81</v>
      </c>
      <c r="ET370" s="2" t="n">
        <v>94.93000000000001</v>
      </c>
      <c r="EU370" s="2" t="n">
        <v>100</v>
      </c>
      <c r="EV370" s="2" t="n">
        <v>69.81</v>
      </c>
      <c r="EW370" s="2" t="n">
        <v>94.93000000000001</v>
      </c>
      <c r="EX370" s="2" t="n">
        <v>100</v>
      </c>
      <c r="EY370" s="2" t="n">
        <v>69.81</v>
      </c>
      <c r="EZ370" s="2" t="n">
        <v>94.93000000000001</v>
      </c>
      <c r="FA370" s="2" t="n">
        <v>100</v>
      </c>
      <c r="FB370" s="2" t="n">
        <v>69.81</v>
      </c>
      <c r="FC370" s="2" t="n">
        <v>94.93000000000001</v>
      </c>
      <c r="FD370" s="2" t="n">
        <v>100</v>
      </c>
      <c r="FE370" s="2" t="n">
        <v>69.81</v>
      </c>
      <c r="FF370" s="2" t="n">
        <v>94.93000000000001</v>
      </c>
      <c r="FG370" s="2" t="n">
        <v>100</v>
      </c>
      <c r="FH370" s="2" t="n">
        <v>69.81</v>
      </c>
      <c r="FI370" s="2" t="n">
        <v>94.93000000000001</v>
      </c>
      <c r="FJ370" s="2" t="n">
        <v>100</v>
      </c>
      <c r="FK370" s="2" t="n">
        <v>69.81</v>
      </c>
      <c r="FL370" s="2" t="n">
        <v>94.93000000000001</v>
      </c>
      <c r="FM370" s="2" t="n">
        <v>100</v>
      </c>
      <c r="FN370" s="2" t="n">
        <v>69.81</v>
      </c>
      <c r="FO370" s="2" t="n">
        <v>94.93000000000001</v>
      </c>
      <c r="FP370" s="2" t="n">
        <v>100</v>
      </c>
      <c r="FQ370" s="2" t="n">
        <v>69.81</v>
      </c>
    </row>
    <row r="371">
      <c r="A371" s="2" t="n">
        <v>4</v>
      </c>
      <c r="B371" s="2" t="inlineStr">
        <is>
          <t>17.01.01.08</t>
        </is>
      </c>
      <c r="C371" s="2" t="inlineStr">
        <is>
          <t>Armadura Ca-60 adquirido cortado e dobrado, montagem e posicionamento no canteiro</t>
        </is>
      </c>
      <c r="D371" s="2" t="inlineStr">
        <is>
          <t>19/05/2025</t>
        </is>
      </c>
      <c r="E371" s="2" t="inlineStr">
        <is>
          <t>06/04/2027</t>
        </is>
      </c>
      <c r="F371" s="2" t="n">
        <v>400980.06</v>
      </c>
      <c r="G371" s="2" t="n">
        <v>0</v>
      </c>
      <c r="H371" s="2" t="n">
        <v>400980.06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1.09</v>
      </c>
      <c r="AK371" s="2" t="n">
        <v>1.09</v>
      </c>
      <c r="AL371" s="2" t="n">
        <v>0</v>
      </c>
      <c r="AM371" s="2" t="n">
        <v>3.28</v>
      </c>
      <c r="AN371" s="2" t="n">
        <v>3.28</v>
      </c>
      <c r="AO371" s="2" t="n">
        <v>4.36</v>
      </c>
      <c r="AP371" s="2" t="n">
        <v>7.21</v>
      </c>
      <c r="AQ371" s="2" t="n">
        <v>7.21</v>
      </c>
      <c r="AR371" s="2" t="n">
        <v>8.73</v>
      </c>
      <c r="AS371" s="2" t="n">
        <v>12.37</v>
      </c>
      <c r="AT371" s="2" t="n">
        <v>12.37</v>
      </c>
      <c r="AU371" s="2" t="n">
        <v>11.64</v>
      </c>
      <c r="AV371" s="2" t="n">
        <v>14.59</v>
      </c>
      <c r="AW371" s="2" t="n">
        <v>14.59</v>
      </c>
      <c r="AX371" s="2" t="n">
        <v>13.33</v>
      </c>
      <c r="AY371" s="2" t="n">
        <v>20.34</v>
      </c>
      <c r="AZ371" s="2" t="n">
        <v>20.34</v>
      </c>
      <c r="BA371" s="2" t="n">
        <v>20.32</v>
      </c>
      <c r="BB371" s="2" t="n">
        <v>26.99</v>
      </c>
      <c r="BC371" s="2" t="n">
        <v>26.99</v>
      </c>
      <c r="BD371" s="2" t="n">
        <v>26.18</v>
      </c>
      <c r="BE371" s="2" t="n">
        <v>32.96</v>
      </c>
      <c r="BF371" s="2" t="n">
        <v>32.96</v>
      </c>
      <c r="BG371" s="2" t="n">
        <v>32.56</v>
      </c>
      <c r="BH371" s="2" t="n">
        <v>37.63</v>
      </c>
      <c r="BI371" s="2" t="n">
        <v>37.63</v>
      </c>
      <c r="BJ371" s="2" t="n">
        <v>37.01</v>
      </c>
      <c r="BK371" s="2" t="n">
        <v>41.46</v>
      </c>
      <c r="BL371" s="2" t="n">
        <v>41.46</v>
      </c>
      <c r="BM371" s="2" t="n">
        <v>40.79</v>
      </c>
      <c r="BN371" s="2" t="n">
        <v>45.79</v>
      </c>
      <c r="BO371" s="2" t="n">
        <v>45.79</v>
      </c>
      <c r="BP371" s="2" t="n">
        <v>45</v>
      </c>
      <c r="BQ371" s="2" t="n">
        <v>48.42</v>
      </c>
      <c r="BR371" s="2" t="n">
        <v>48.42</v>
      </c>
      <c r="BS371" s="2" t="n">
        <v>48.28</v>
      </c>
      <c r="BT371" s="2" t="n">
        <v>52.55</v>
      </c>
      <c r="BU371" s="2" t="n">
        <v>52.55</v>
      </c>
      <c r="BV371" s="2" t="n">
        <v>52.46</v>
      </c>
      <c r="BW371" s="2" t="n">
        <v>56.39</v>
      </c>
      <c r="BX371" s="2" t="n">
        <v>56.39</v>
      </c>
      <c r="BY371" s="2" t="n">
        <v>56.4</v>
      </c>
      <c r="BZ371" s="2" t="n">
        <v>61.96</v>
      </c>
      <c r="CA371" s="2" t="n">
        <v>62.37</v>
      </c>
      <c r="CB371" s="2" t="n">
        <v>62.18</v>
      </c>
      <c r="CC371" s="2" t="n">
        <v>64.34999999999999</v>
      </c>
      <c r="CD371" s="2" t="n">
        <v>66.98999999999999</v>
      </c>
      <c r="CE371" s="2" t="n">
        <v>66.95</v>
      </c>
      <c r="CF371" s="2" t="n">
        <v>66.73999999999999</v>
      </c>
      <c r="CG371" s="2" t="n">
        <v>71.81</v>
      </c>
      <c r="CH371" s="2" t="n">
        <v>69.81</v>
      </c>
      <c r="CI371" s="2" t="n">
        <v>71.45999999999999</v>
      </c>
      <c r="CJ371" s="2" t="n">
        <v>76.53</v>
      </c>
      <c r="CK371" s="2" t="n">
        <v>69.81</v>
      </c>
      <c r="CL371" s="2" t="n">
        <v>75.90000000000001</v>
      </c>
      <c r="CM371" s="2" t="n">
        <v>80.97</v>
      </c>
      <c r="CN371" s="2" t="n">
        <v>69.81</v>
      </c>
      <c r="CO371" s="2" t="n">
        <v>79.70999999999999</v>
      </c>
      <c r="CP371" s="2" t="n">
        <v>84.79000000000001</v>
      </c>
      <c r="CQ371" s="2" t="n">
        <v>69.81</v>
      </c>
      <c r="CR371" s="2" t="n">
        <v>84.48999999999999</v>
      </c>
      <c r="CS371" s="2" t="n">
        <v>89.56</v>
      </c>
      <c r="CT371" s="2" t="n">
        <v>69.81</v>
      </c>
      <c r="CU371" s="2" t="n">
        <v>88.89</v>
      </c>
      <c r="CV371" s="2" t="n">
        <v>93.95999999999999</v>
      </c>
      <c r="CW371" s="2" t="n">
        <v>69.81</v>
      </c>
      <c r="CX371" s="2" t="n">
        <v>94.58</v>
      </c>
      <c r="CY371" s="2" t="n">
        <v>99.65000000000001</v>
      </c>
      <c r="CZ371" s="2" t="n">
        <v>69.81</v>
      </c>
      <c r="DA371" s="2" t="n">
        <v>94.93000000000001</v>
      </c>
      <c r="DB371" s="2" t="n">
        <v>100</v>
      </c>
      <c r="DC371" s="2" t="n">
        <v>69.81</v>
      </c>
      <c r="DD371" s="2" t="n">
        <v>94.93000000000001</v>
      </c>
      <c r="DE371" s="2" t="n">
        <v>100</v>
      </c>
      <c r="DF371" s="2" t="n">
        <v>69.81</v>
      </c>
      <c r="DG371" s="2" t="n">
        <v>94.93000000000001</v>
      </c>
      <c r="DH371" s="2" t="n">
        <v>100</v>
      </c>
      <c r="DI371" s="2" t="n">
        <v>69.81</v>
      </c>
      <c r="DJ371" s="2" t="n">
        <v>94.93000000000001</v>
      </c>
      <c r="DK371" s="2" t="n">
        <v>100</v>
      </c>
      <c r="DL371" s="2" t="n">
        <v>69.81</v>
      </c>
      <c r="DM371" s="2" t="n">
        <v>94.93000000000001</v>
      </c>
      <c r="DN371" s="2" t="n">
        <v>100</v>
      </c>
      <c r="DO371" s="2" t="n">
        <v>69.81</v>
      </c>
      <c r="DP371" s="2" t="n">
        <v>94.93000000000001</v>
      </c>
      <c r="DQ371" s="2" t="n">
        <v>100</v>
      </c>
      <c r="DR371" s="2" t="n">
        <v>69.81</v>
      </c>
      <c r="DS371" s="2" t="n">
        <v>94.93000000000001</v>
      </c>
      <c r="DT371" s="2" t="n">
        <v>100</v>
      </c>
      <c r="DU371" s="2" t="n">
        <v>69.81</v>
      </c>
      <c r="DV371" s="2" t="n">
        <v>94.93000000000001</v>
      </c>
      <c r="DW371" s="2" t="n">
        <v>100</v>
      </c>
      <c r="DX371" s="2" t="n">
        <v>69.81</v>
      </c>
      <c r="DY371" s="2" t="n">
        <v>94.93000000000001</v>
      </c>
      <c r="DZ371" s="2" t="n">
        <v>100</v>
      </c>
      <c r="EA371" s="2" t="n">
        <v>69.81</v>
      </c>
      <c r="EB371" s="2" t="n">
        <v>94.93000000000001</v>
      </c>
      <c r="EC371" s="2" t="n">
        <v>100</v>
      </c>
      <c r="ED371" s="2" t="n">
        <v>69.81</v>
      </c>
      <c r="EE371" s="2" t="n">
        <v>94.93000000000001</v>
      </c>
      <c r="EF371" s="2" t="n">
        <v>100</v>
      </c>
      <c r="EG371" s="2" t="n">
        <v>69.81</v>
      </c>
      <c r="EH371" s="2" t="n">
        <v>94.93000000000001</v>
      </c>
      <c r="EI371" s="2" t="n">
        <v>100</v>
      </c>
      <c r="EJ371" s="2" t="n">
        <v>69.81</v>
      </c>
      <c r="EK371" s="2" t="n">
        <v>94.93000000000001</v>
      </c>
      <c r="EL371" s="2" t="n">
        <v>100</v>
      </c>
      <c r="EM371" s="2" t="n">
        <v>69.81</v>
      </c>
      <c r="EN371" s="2" t="n">
        <v>94.93000000000001</v>
      </c>
      <c r="EO371" s="2" t="n">
        <v>100</v>
      </c>
      <c r="EP371" s="2" t="n">
        <v>69.81</v>
      </c>
      <c r="EQ371" s="2" t="n">
        <v>94.93000000000001</v>
      </c>
      <c r="ER371" s="2" t="n">
        <v>100</v>
      </c>
      <c r="ES371" s="2" t="n">
        <v>69.81</v>
      </c>
      <c r="ET371" s="2" t="n">
        <v>94.93000000000001</v>
      </c>
      <c r="EU371" s="2" t="n">
        <v>100</v>
      </c>
      <c r="EV371" s="2" t="n">
        <v>69.81</v>
      </c>
      <c r="EW371" s="2" t="n">
        <v>94.93000000000001</v>
      </c>
      <c r="EX371" s="2" t="n">
        <v>100</v>
      </c>
      <c r="EY371" s="2" t="n">
        <v>69.81</v>
      </c>
      <c r="EZ371" s="2" t="n">
        <v>94.93000000000001</v>
      </c>
      <c r="FA371" s="2" t="n">
        <v>100</v>
      </c>
      <c r="FB371" s="2" t="n">
        <v>69.81</v>
      </c>
      <c r="FC371" s="2" t="n">
        <v>94.93000000000001</v>
      </c>
      <c r="FD371" s="2" t="n">
        <v>100</v>
      </c>
      <c r="FE371" s="2" t="n">
        <v>69.81</v>
      </c>
      <c r="FF371" s="2" t="n">
        <v>94.93000000000001</v>
      </c>
      <c r="FG371" s="2" t="n">
        <v>100</v>
      </c>
      <c r="FH371" s="2" t="n">
        <v>69.81</v>
      </c>
      <c r="FI371" s="2" t="n">
        <v>94.93000000000001</v>
      </c>
      <c r="FJ371" s="2" t="n">
        <v>100</v>
      </c>
      <c r="FK371" s="2" t="n">
        <v>69.81</v>
      </c>
      <c r="FL371" s="2" t="n">
        <v>94.93000000000001</v>
      </c>
      <c r="FM371" s="2" t="n">
        <v>100</v>
      </c>
      <c r="FN371" s="2" t="n">
        <v>69.81</v>
      </c>
      <c r="FO371" s="2" t="n">
        <v>94.93000000000001</v>
      </c>
      <c r="FP371" s="2" t="n">
        <v>100</v>
      </c>
      <c r="FQ371" s="2" t="n">
        <v>69.81</v>
      </c>
    </row>
    <row r="372">
      <c r="A372" s="2" t="n">
        <v>4</v>
      </c>
      <c r="B372" s="2" t="inlineStr">
        <is>
          <t>17.01.01.09</t>
        </is>
      </c>
      <c r="C372" s="2" t="inlineStr">
        <is>
          <t>Concreto bombeado Fck=40Mpa para superestrutura</t>
        </is>
      </c>
      <c r="D372" s="2" t="inlineStr">
        <is>
          <t>19/05/2025</t>
        </is>
      </c>
      <c r="E372" s="2" t="inlineStr">
        <is>
          <t>06/04/2027</t>
        </is>
      </c>
      <c r="F372" s="2" t="n">
        <v>4419126.856000001</v>
      </c>
      <c r="G372" s="2" t="n">
        <v>0</v>
      </c>
      <c r="H372" s="2" t="n">
        <v>4419126.856000001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1.09</v>
      </c>
      <c r="AK372" s="2" t="n">
        <v>1.09</v>
      </c>
      <c r="AL372" s="2" t="n">
        <v>0</v>
      </c>
      <c r="AM372" s="2" t="n">
        <v>3.28</v>
      </c>
      <c r="AN372" s="2" t="n">
        <v>3.28</v>
      </c>
      <c r="AO372" s="2" t="n">
        <v>4.36</v>
      </c>
      <c r="AP372" s="2" t="n">
        <v>7.21</v>
      </c>
      <c r="AQ372" s="2" t="n">
        <v>7.21</v>
      </c>
      <c r="AR372" s="2" t="n">
        <v>8.73</v>
      </c>
      <c r="AS372" s="2" t="n">
        <v>12.37</v>
      </c>
      <c r="AT372" s="2" t="n">
        <v>12.37</v>
      </c>
      <c r="AU372" s="2" t="n">
        <v>11.64</v>
      </c>
      <c r="AV372" s="2" t="n">
        <v>14.59</v>
      </c>
      <c r="AW372" s="2" t="n">
        <v>14.59</v>
      </c>
      <c r="AX372" s="2" t="n">
        <v>13.33</v>
      </c>
      <c r="AY372" s="2" t="n">
        <v>20.34</v>
      </c>
      <c r="AZ372" s="2" t="n">
        <v>20.34</v>
      </c>
      <c r="BA372" s="2" t="n">
        <v>20.32</v>
      </c>
      <c r="BB372" s="2" t="n">
        <v>26.99</v>
      </c>
      <c r="BC372" s="2" t="n">
        <v>26.99</v>
      </c>
      <c r="BD372" s="2" t="n">
        <v>26.18</v>
      </c>
      <c r="BE372" s="2" t="n">
        <v>32.96</v>
      </c>
      <c r="BF372" s="2" t="n">
        <v>32.96</v>
      </c>
      <c r="BG372" s="2" t="n">
        <v>32.56</v>
      </c>
      <c r="BH372" s="2" t="n">
        <v>37.63</v>
      </c>
      <c r="BI372" s="2" t="n">
        <v>37.63</v>
      </c>
      <c r="BJ372" s="2" t="n">
        <v>37.01</v>
      </c>
      <c r="BK372" s="2" t="n">
        <v>41.46</v>
      </c>
      <c r="BL372" s="2" t="n">
        <v>41.46</v>
      </c>
      <c r="BM372" s="2" t="n">
        <v>40.79</v>
      </c>
      <c r="BN372" s="2" t="n">
        <v>45.79</v>
      </c>
      <c r="BO372" s="2" t="n">
        <v>45.79</v>
      </c>
      <c r="BP372" s="2" t="n">
        <v>45</v>
      </c>
      <c r="BQ372" s="2" t="n">
        <v>48.42</v>
      </c>
      <c r="BR372" s="2" t="n">
        <v>48.42</v>
      </c>
      <c r="BS372" s="2" t="n">
        <v>48.28</v>
      </c>
      <c r="BT372" s="2" t="n">
        <v>52.55</v>
      </c>
      <c r="BU372" s="2" t="n">
        <v>52.55</v>
      </c>
      <c r="BV372" s="2" t="n">
        <v>52.46</v>
      </c>
      <c r="BW372" s="2" t="n">
        <v>56.39</v>
      </c>
      <c r="BX372" s="2" t="n">
        <v>56.39</v>
      </c>
      <c r="BY372" s="2" t="n">
        <v>56.4</v>
      </c>
      <c r="BZ372" s="2" t="n">
        <v>61.96</v>
      </c>
      <c r="CA372" s="2" t="n">
        <v>62.37</v>
      </c>
      <c r="CB372" s="2" t="n">
        <v>62.18</v>
      </c>
      <c r="CC372" s="2" t="n">
        <v>64.34999999999999</v>
      </c>
      <c r="CD372" s="2" t="n">
        <v>66.98999999999999</v>
      </c>
      <c r="CE372" s="2" t="n">
        <v>66.95</v>
      </c>
      <c r="CF372" s="2" t="n">
        <v>66.73999999999999</v>
      </c>
      <c r="CG372" s="2" t="n">
        <v>71.81</v>
      </c>
      <c r="CH372" s="2" t="n">
        <v>69.81</v>
      </c>
      <c r="CI372" s="2" t="n">
        <v>71.45999999999999</v>
      </c>
      <c r="CJ372" s="2" t="n">
        <v>76.53</v>
      </c>
      <c r="CK372" s="2" t="n">
        <v>69.81</v>
      </c>
      <c r="CL372" s="2" t="n">
        <v>75.90000000000001</v>
      </c>
      <c r="CM372" s="2" t="n">
        <v>80.97</v>
      </c>
      <c r="CN372" s="2" t="n">
        <v>69.81</v>
      </c>
      <c r="CO372" s="2" t="n">
        <v>79.70999999999999</v>
      </c>
      <c r="CP372" s="2" t="n">
        <v>84.79000000000001</v>
      </c>
      <c r="CQ372" s="2" t="n">
        <v>69.81</v>
      </c>
      <c r="CR372" s="2" t="n">
        <v>84.48999999999999</v>
      </c>
      <c r="CS372" s="2" t="n">
        <v>89.56</v>
      </c>
      <c r="CT372" s="2" t="n">
        <v>69.81</v>
      </c>
      <c r="CU372" s="2" t="n">
        <v>88.89</v>
      </c>
      <c r="CV372" s="2" t="n">
        <v>93.95999999999999</v>
      </c>
      <c r="CW372" s="2" t="n">
        <v>69.81</v>
      </c>
      <c r="CX372" s="2" t="n">
        <v>94.58</v>
      </c>
      <c r="CY372" s="2" t="n">
        <v>99.65000000000001</v>
      </c>
      <c r="CZ372" s="2" t="n">
        <v>69.81</v>
      </c>
      <c r="DA372" s="2" t="n">
        <v>94.93000000000001</v>
      </c>
      <c r="DB372" s="2" t="n">
        <v>100</v>
      </c>
      <c r="DC372" s="2" t="n">
        <v>69.81</v>
      </c>
      <c r="DD372" s="2" t="n">
        <v>94.93000000000001</v>
      </c>
      <c r="DE372" s="2" t="n">
        <v>100</v>
      </c>
      <c r="DF372" s="2" t="n">
        <v>69.81</v>
      </c>
      <c r="DG372" s="2" t="n">
        <v>94.93000000000001</v>
      </c>
      <c r="DH372" s="2" t="n">
        <v>100</v>
      </c>
      <c r="DI372" s="2" t="n">
        <v>69.81</v>
      </c>
      <c r="DJ372" s="2" t="n">
        <v>94.93000000000001</v>
      </c>
      <c r="DK372" s="2" t="n">
        <v>100</v>
      </c>
      <c r="DL372" s="2" t="n">
        <v>69.81</v>
      </c>
      <c r="DM372" s="2" t="n">
        <v>94.93000000000001</v>
      </c>
      <c r="DN372" s="2" t="n">
        <v>100</v>
      </c>
      <c r="DO372" s="2" t="n">
        <v>69.81</v>
      </c>
      <c r="DP372" s="2" t="n">
        <v>94.93000000000001</v>
      </c>
      <c r="DQ372" s="2" t="n">
        <v>100</v>
      </c>
      <c r="DR372" s="2" t="n">
        <v>69.81</v>
      </c>
      <c r="DS372" s="2" t="n">
        <v>94.93000000000001</v>
      </c>
      <c r="DT372" s="2" t="n">
        <v>100</v>
      </c>
      <c r="DU372" s="2" t="n">
        <v>69.81</v>
      </c>
      <c r="DV372" s="2" t="n">
        <v>94.93000000000001</v>
      </c>
      <c r="DW372" s="2" t="n">
        <v>100</v>
      </c>
      <c r="DX372" s="2" t="n">
        <v>69.81</v>
      </c>
      <c r="DY372" s="2" t="n">
        <v>94.93000000000001</v>
      </c>
      <c r="DZ372" s="2" t="n">
        <v>100</v>
      </c>
      <c r="EA372" s="2" t="n">
        <v>69.81</v>
      </c>
      <c r="EB372" s="2" t="n">
        <v>94.93000000000001</v>
      </c>
      <c r="EC372" s="2" t="n">
        <v>100</v>
      </c>
      <c r="ED372" s="2" t="n">
        <v>69.81</v>
      </c>
      <c r="EE372" s="2" t="n">
        <v>94.93000000000001</v>
      </c>
      <c r="EF372" s="2" t="n">
        <v>100</v>
      </c>
      <c r="EG372" s="2" t="n">
        <v>69.81</v>
      </c>
      <c r="EH372" s="2" t="n">
        <v>94.93000000000001</v>
      </c>
      <c r="EI372" s="2" t="n">
        <v>100</v>
      </c>
      <c r="EJ372" s="2" t="n">
        <v>69.81</v>
      </c>
      <c r="EK372" s="2" t="n">
        <v>94.93000000000001</v>
      </c>
      <c r="EL372" s="2" t="n">
        <v>100</v>
      </c>
      <c r="EM372" s="2" t="n">
        <v>69.81</v>
      </c>
      <c r="EN372" s="2" t="n">
        <v>94.93000000000001</v>
      </c>
      <c r="EO372" s="2" t="n">
        <v>100</v>
      </c>
      <c r="EP372" s="2" t="n">
        <v>69.81</v>
      </c>
      <c r="EQ372" s="2" t="n">
        <v>94.93000000000001</v>
      </c>
      <c r="ER372" s="2" t="n">
        <v>100</v>
      </c>
      <c r="ES372" s="2" t="n">
        <v>69.81</v>
      </c>
      <c r="ET372" s="2" t="n">
        <v>94.93000000000001</v>
      </c>
      <c r="EU372" s="2" t="n">
        <v>100</v>
      </c>
      <c r="EV372" s="2" t="n">
        <v>69.81</v>
      </c>
      <c r="EW372" s="2" t="n">
        <v>94.93000000000001</v>
      </c>
      <c r="EX372" s="2" t="n">
        <v>100</v>
      </c>
      <c r="EY372" s="2" t="n">
        <v>69.81</v>
      </c>
      <c r="EZ372" s="2" t="n">
        <v>94.93000000000001</v>
      </c>
      <c r="FA372" s="2" t="n">
        <v>100</v>
      </c>
      <c r="FB372" s="2" t="n">
        <v>69.81</v>
      </c>
      <c r="FC372" s="2" t="n">
        <v>94.93000000000001</v>
      </c>
      <c r="FD372" s="2" t="n">
        <v>100</v>
      </c>
      <c r="FE372" s="2" t="n">
        <v>69.81</v>
      </c>
      <c r="FF372" s="2" t="n">
        <v>94.93000000000001</v>
      </c>
      <c r="FG372" s="2" t="n">
        <v>100</v>
      </c>
      <c r="FH372" s="2" t="n">
        <v>69.81</v>
      </c>
      <c r="FI372" s="2" t="n">
        <v>94.93000000000001</v>
      </c>
      <c r="FJ372" s="2" t="n">
        <v>100</v>
      </c>
      <c r="FK372" s="2" t="n">
        <v>69.81</v>
      </c>
      <c r="FL372" s="2" t="n">
        <v>94.93000000000001</v>
      </c>
      <c r="FM372" s="2" t="n">
        <v>100</v>
      </c>
      <c r="FN372" s="2" t="n">
        <v>69.81</v>
      </c>
      <c r="FO372" s="2" t="n">
        <v>94.93000000000001</v>
      </c>
      <c r="FP372" s="2" t="n">
        <v>100</v>
      </c>
      <c r="FQ372" s="2" t="n">
        <v>69.81</v>
      </c>
    </row>
    <row r="373">
      <c r="A373" s="2" t="n">
        <v>4</v>
      </c>
      <c r="B373" s="2" t="inlineStr">
        <is>
          <t>17.01.01.10</t>
        </is>
      </c>
      <c r="C373" s="2" t="inlineStr">
        <is>
          <t>Concreto bombeado Fck=50Mpa para superestrutura</t>
        </is>
      </c>
      <c r="D373" s="2" t="inlineStr">
        <is>
          <t>19/05/2025</t>
        </is>
      </c>
      <c r="E373" s="2" t="inlineStr">
        <is>
          <t>06/04/2027</t>
        </is>
      </c>
      <c r="F373" s="2" t="n">
        <v>251366.8312</v>
      </c>
      <c r="G373" s="2" t="n">
        <v>0</v>
      </c>
      <c r="H373" s="2" t="n">
        <v>251366.8312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1.09</v>
      </c>
      <c r="AK373" s="2" t="n">
        <v>1.09</v>
      </c>
      <c r="AL373" s="2" t="n">
        <v>0</v>
      </c>
      <c r="AM373" s="2" t="n">
        <v>3.28</v>
      </c>
      <c r="AN373" s="2" t="n">
        <v>3.28</v>
      </c>
      <c r="AO373" s="2" t="n">
        <v>4.36</v>
      </c>
      <c r="AP373" s="2" t="n">
        <v>7.21</v>
      </c>
      <c r="AQ373" s="2" t="n">
        <v>7.21</v>
      </c>
      <c r="AR373" s="2" t="n">
        <v>8.73</v>
      </c>
      <c r="AS373" s="2" t="n">
        <v>12.37</v>
      </c>
      <c r="AT373" s="2" t="n">
        <v>12.37</v>
      </c>
      <c r="AU373" s="2" t="n">
        <v>11.64</v>
      </c>
      <c r="AV373" s="2" t="n">
        <v>14.59</v>
      </c>
      <c r="AW373" s="2" t="n">
        <v>14.59</v>
      </c>
      <c r="AX373" s="2" t="n">
        <v>13.33</v>
      </c>
      <c r="AY373" s="2" t="n">
        <v>20.34</v>
      </c>
      <c r="AZ373" s="2" t="n">
        <v>20.34</v>
      </c>
      <c r="BA373" s="2" t="n">
        <v>20.32</v>
      </c>
      <c r="BB373" s="2" t="n">
        <v>26.99</v>
      </c>
      <c r="BC373" s="2" t="n">
        <v>26.99</v>
      </c>
      <c r="BD373" s="2" t="n">
        <v>26.18</v>
      </c>
      <c r="BE373" s="2" t="n">
        <v>32.96</v>
      </c>
      <c r="BF373" s="2" t="n">
        <v>32.96</v>
      </c>
      <c r="BG373" s="2" t="n">
        <v>32.56</v>
      </c>
      <c r="BH373" s="2" t="n">
        <v>37.63</v>
      </c>
      <c r="BI373" s="2" t="n">
        <v>37.63</v>
      </c>
      <c r="BJ373" s="2" t="n">
        <v>37.01</v>
      </c>
      <c r="BK373" s="2" t="n">
        <v>41.46</v>
      </c>
      <c r="BL373" s="2" t="n">
        <v>41.46</v>
      </c>
      <c r="BM373" s="2" t="n">
        <v>40.79</v>
      </c>
      <c r="BN373" s="2" t="n">
        <v>45.79</v>
      </c>
      <c r="BO373" s="2" t="n">
        <v>45.79</v>
      </c>
      <c r="BP373" s="2" t="n">
        <v>45</v>
      </c>
      <c r="BQ373" s="2" t="n">
        <v>48.42</v>
      </c>
      <c r="BR373" s="2" t="n">
        <v>48.42</v>
      </c>
      <c r="BS373" s="2" t="n">
        <v>48.28</v>
      </c>
      <c r="BT373" s="2" t="n">
        <v>52.55</v>
      </c>
      <c r="BU373" s="2" t="n">
        <v>52.55</v>
      </c>
      <c r="BV373" s="2" t="n">
        <v>52.46</v>
      </c>
      <c r="BW373" s="2" t="n">
        <v>56.39</v>
      </c>
      <c r="BX373" s="2" t="n">
        <v>56.39</v>
      </c>
      <c r="BY373" s="2" t="n">
        <v>56.4</v>
      </c>
      <c r="BZ373" s="2" t="n">
        <v>61.96</v>
      </c>
      <c r="CA373" s="2" t="n">
        <v>62.37</v>
      </c>
      <c r="CB373" s="2" t="n">
        <v>62.18</v>
      </c>
      <c r="CC373" s="2" t="n">
        <v>64.34999999999999</v>
      </c>
      <c r="CD373" s="2" t="n">
        <v>66.98999999999999</v>
      </c>
      <c r="CE373" s="2" t="n">
        <v>66.95</v>
      </c>
      <c r="CF373" s="2" t="n">
        <v>66.73999999999999</v>
      </c>
      <c r="CG373" s="2" t="n">
        <v>71.81</v>
      </c>
      <c r="CH373" s="2" t="n">
        <v>69.81</v>
      </c>
      <c r="CI373" s="2" t="n">
        <v>71.45999999999999</v>
      </c>
      <c r="CJ373" s="2" t="n">
        <v>76.53</v>
      </c>
      <c r="CK373" s="2" t="n">
        <v>69.81</v>
      </c>
      <c r="CL373" s="2" t="n">
        <v>75.90000000000001</v>
      </c>
      <c r="CM373" s="2" t="n">
        <v>80.97</v>
      </c>
      <c r="CN373" s="2" t="n">
        <v>69.81</v>
      </c>
      <c r="CO373" s="2" t="n">
        <v>79.70999999999999</v>
      </c>
      <c r="CP373" s="2" t="n">
        <v>84.79000000000001</v>
      </c>
      <c r="CQ373" s="2" t="n">
        <v>69.81</v>
      </c>
      <c r="CR373" s="2" t="n">
        <v>84.48999999999999</v>
      </c>
      <c r="CS373" s="2" t="n">
        <v>89.56</v>
      </c>
      <c r="CT373" s="2" t="n">
        <v>69.81</v>
      </c>
      <c r="CU373" s="2" t="n">
        <v>88.89</v>
      </c>
      <c r="CV373" s="2" t="n">
        <v>93.95999999999999</v>
      </c>
      <c r="CW373" s="2" t="n">
        <v>69.81</v>
      </c>
      <c r="CX373" s="2" t="n">
        <v>94.58</v>
      </c>
      <c r="CY373" s="2" t="n">
        <v>99.65000000000001</v>
      </c>
      <c r="CZ373" s="2" t="n">
        <v>69.81</v>
      </c>
      <c r="DA373" s="2" t="n">
        <v>94.93000000000001</v>
      </c>
      <c r="DB373" s="2" t="n">
        <v>100</v>
      </c>
      <c r="DC373" s="2" t="n">
        <v>69.81</v>
      </c>
      <c r="DD373" s="2" t="n">
        <v>94.93000000000001</v>
      </c>
      <c r="DE373" s="2" t="n">
        <v>100</v>
      </c>
      <c r="DF373" s="2" t="n">
        <v>69.81</v>
      </c>
      <c r="DG373" s="2" t="n">
        <v>94.93000000000001</v>
      </c>
      <c r="DH373" s="2" t="n">
        <v>100</v>
      </c>
      <c r="DI373" s="2" t="n">
        <v>69.81</v>
      </c>
      <c r="DJ373" s="2" t="n">
        <v>94.93000000000001</v>
      </c>
      <c r="DK373" s="2" t="n">
        <v>100</v>
      </c>
      <c r="DL373" s="2" t="n">
        <v>69.81</v>
      </c>
      <c r="DM373" s="2" t="n">
        <v>94.93000000000001</v>
      </c>
      <c r="DN373" s="2" t="n">
        <v>100</v>
      </c>
      <c r="DO373" s="2" t="n">
        <v>69.81</v>
      </c>
      <c r="DP373" s="2" t="n">
        <v>94.93000000000001</v>
      </c>
      <c r="DQ373" s="2" t="n">
        <v>100</v>
      </c>
      <c r="DR373" s="2" t="n">
        <v>69.81</v>
      </c>
      <c r="DS373" s="2" t="n">
        <v>94.93000000000001</v>
      </c>
      <c r="DT373" s="2" t="n">
        <v>100</v>
      </c>
      <c r="DU373" s="2" t="n">
        <v>69.81</v>
      </c>
      <c r="DV373" s="2" t="n">
        <v>94.93000000000001</v>
      </c>
      <c r="DW373" s="2" t="n">
        <v>100</v>
      </c>
      <c r="DX373" s="2" t="n">
        <v>69.81</v>
      </c>
      <c r="DY373" s="2" t="n">
        <v>94.93000000000001</v>
      </c>
      <c r="DZ373" s="2" t="n">
        <v>100</v>
      </c>
      <c r="EA373" s="2" t="n">
        <v>69.81</v>
      </c>
      <c r="EB373" s="2" t="n">
        <v>94.93000000000001</v>
      </c>
      <c r="EC373" s="2" t="n">
        <v>100</v>
      </c>
      <c r="ED373" s="2" t="n">
        <v>69.81</v>
      </c>
      <c r="EE373" s="2" t="n">
        <v>94.93000000000001</v>
      </c>
      <c r="EF373" s="2" t="n">
        <v>100</v>
      </c>
      <c r="EG373" s="2" t="n">
        <v>69.81</v>
      </c>
      <c r="EH373" s="2" t="n">
        <v>94.93000000000001</v>
      </c>
      <c r="EI373" s="2" t="n">
        <v>100</v>
      </c>
      <c r="EJ373" s="2" t="n">
        <v>69.81</v>
      </c>
      <c r="EK373" s="2" t="n">
        <v>94.93000000000001</v>
      </c>
      <c r="EL373" s="2" t="n">
        <v>100</v>
      </c>
      <c r="EM373" s="2" t="n">
        <v>69.81</v>
      </c>
      <c r="EN373" s="2" t="n">
        <v>94.93000000000001</v>
      </c>
      <c r="EO373" s="2" t="n">
        <v>100</v>
      </c>
      <c r="EP373" s="2" t="n">
        <v>69.81</v>
      </c>
      <c r="EQ373" s="2" t="n">
        <v>94.93000000000001</v>
      </c>
      <c r="ER373" s="2" t="n">
        <v>100</v>
      </c>
      <c r="ES373" s="2" t="n">
        <v>69.81</v>
      </c>
      <c r="ET373" s="2" t="n">
        <v>94.93000000000001</v>
      </c>
      <c r="EU373" s="2" t="n">
        <v>100</v>
      </c>
      <c r="EV373" s="2" t="n">
        <v>69.81</v>
      </c>
      <c r="EW373" s="2" t="n">
        <v>94.93000000000001</v>
      </c>
      <c r="EX373" s="2" t="n">
        <v>100</v>
      </c>
      <c r="EY373" s="2" t="n">
        <v>69.81</v>
      </c>
      <c r="EZ373" s="2" t="n">
        <v>94.93000000000001</v>
      </c>
      <c r="FA373" s="2" t="n">
        <v>100</v>
      </c>
      <c r="FB373" s="2" t="n">
        <v>69.81</v>
      </c>
      <c r="FC373" s="2" t="n">
        <v>94.93000000000001</v>
      </c>
      <c r="FD373" s="2" t="n">
        <v>100</v>
      </c>
      <c r="FE373" s="2" t="n">
        <v>69.81</v>
      </c>
      <c r="FF373" s="2" t="n">
        <v>94.93000000000001</v>
      </c>
      <c r="FG373" s="2" t="n">
        <v>100</v>
      </c>
      <c r="FH373" s="2" t="n">
        <v>69.81</v>
      </c>
      <c r="FI373" s="2" t="n">
        <v>94.93000000000001</v>
      </c>
      <c r="FJ373" s="2" t="n">
        <v>100</v>
      </c>
      <c r="FK373" s="2" t="n">
        <v>69.81</v>
      </c>
      <c r="FL373" s="2" t="n">
        <v>94.93000000000001</v>
      </c>
      <c r="FM373" s="2" t="n">
        <v>100</v>
      </c>
      <c r="FN373" s="2" t="n">
        <v>69.81</v>
      </c>
      <c r="FO373" s="2" t="n">
        <v>94.93000000000001</v>
      </c>
      <c r="FP373" s="2" t="n">
        <v>100</v>
      </c>
      <c r="FQ373" s="2" t="n">
        <v>69.81</v>
      </c>
    </row>
    <row r="374">
      <c r="A374" s="2" t="n">
        <v>4</v>
      </c>
      <c r="B374" s="2" t="inlineStr">
        <is>
          <t>17.01.01.11</t>
        </is>
      </c>
      <c r="C374" s="2" t="inlineStr">
        <is>
          <t>Polimento de pisos de concreto, acabamento sarrafeado</t>
        </is>
      </c>
      <c r="D374" s="2" t="inlineStr">
        <is>
          <t>19/05/2025</t>
        </is>
      </c>
      <c r="E374" s="2" t="inlineStr">
        <is>
          <t>06/04/2027</t>
        </is>
      </c>
      <c r="F374" s="2" t="n">
        <v>165797.81884</v>
      </c>
      <c r="G374" s="2" t="n">
        <v>0</v>
      </c>
      <c r="H374" s="2" t="n">
        <v>165797.81884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1.09</v>
      </c>
      <c r="AK374" s="2" t="n">
        <v>1.09</v>
      </c>
      <c r="AL374" s="2" t="n">
        <v>0</v>
      </c>
      <c r="AM374" s="2" t="n">
        <v>3.28</v>
      </c>
      <c r="AN374" s="2" t="n">
        <v>3.28</v>
      </c>
      <c r="AO374" s="2" t="n">
        <v>4.36</v>
      </c>
      <c r="AP374" s="2" t="n">
        <v>7.21</v>
      </c>
      <c r="AQ374" s="2" t="n">
        <v>7.21</v>
      </c>
      <c r="AR374" s="2" t="n">
        <v>8.73</v>
      </c>
      <c r="AS374" s="2" t="n">
        <v>12.37</v>
      </c>
      <c r="AT374" s="2" t="n">
        <v>12.37</v>
      </c>
      <c r="AU374" s="2" t="n">
        <v>11.64</v>
      </c>
      <c r="AV374" s="2" t="n">
        <v>14.59</v>
      </c>
      <c r="AW374" s="2" t="n">
        <v>14.59</v>
      </c>
      <c r="AX374" s="2" t="n">
        <v>13.33</v>
      </c>
      <c r="AY374" s="2" t="n">
        <v>20.34</v>
      </c>
      <c r="AZ374" s="2" t="n">
        <v>20.34</v>
      </c>
      <c r="BA374" s="2" t="n">
        <v>20.32</v>
      </c>
      <c r="BB374" s="2" t="n">
        <v>26.99</v>
      </c>
      <c r="BC374" s="2" t="n">
        <v>26.99</v>
      </c>
      <c r="BD374" s="2" t="n">
        <v>26.18</v>
      </c>
      <c r="BE374" s="2" t="n">
        <v>32.96</v>
      </c>
      <c r="BF374" s="2" t="n">
        <v>32.96</v>
      </c>
      <c r="BG374" s="2" t="n">
        <v>32.56</v>
      </c>
      <c r="BH374" s="2" t="n">
        <v>37.63</v>
      </c>
      <c r="BI374" s="2" t="n">
        <v>37.63</v>
      </c>
      <c r="BJ374" s="2" t="n">
        <v>37.01</v>
      </c>
      <c r="BK374" s="2" t="n">
        <v>41.46</v>
      </c>
      <c r="BL374" s="2" t="n">
        <v>41.46</v>
      </c>
      <c r="BM374" s="2" t="n">
        <v>40.79</v>
      </c>
      <c r="BN374" s="2" t="n">
        <v>45.79</v>
      </c>
      <c r="BO374" s="2" t="n">
        <v>45.79</v>
      </c>
      <c r="BP374" s="2" t="n">
        <v>45</v>
      </c>
      <c r="BQ374" s="2" t="n">
        <v>48.42</v>
      </c>
      <c r="BR374" s="2" t="n">
        <v>48.42</v>
      </c>
      <c r="BS374" s="2" t="n">
        <v>48.28</v>
      </c>
      <c r="BT374" s="2" t="n">
        <v>52.55</v>
      </c>
      <c r="BU374" s="2" t="n">
        <v>52.55</v>
      </c>
      <c r="BV374" s="2" t="n">
        <v>52.46</v>
      </c>
      <c r="BW374" s="2" t="n">
        <v>56.39</v>
      </c>
      <c r="BX374" s="2" t="n">
        <v>56.39</v>
      </c>
      <c r="BY374" s="2" t="n">
        <v>56.4</v>
      </c>
      <c r="BZ374" s="2" t="n">
        <v>61.96</v>
      </c>
      <c r="CA374" s="2" t="n">
        <v>62.37</v>
      </c>
      <c r="CB374" s="2" t="n">
        <v>62.18</v>
      </c>
      <c r="CC374" s="2" t="n">
        <v>64.34999999999999</v>
      </c>
      <c r="CD374" s="2" t="n">
        <v>66.98999999999999</v>
      </c>
      <c r="CE374" s="2" t="n">
        <v>66.95</v>
      </c>
      <c r="CF374" s="2" t="n">
        <v>66.73999999999999</v>
      </c>
      <c r="CG374" s="2" t="n">
        <v>71.81</v>
      </c>
      <c r="CH374" s="2" t="n">
        <v>69.81</v>
      </c>
      <c r="CI374" s="2" t="n">
        <v>71.45999999999999</v>
      </c>
      <c r="CJ374" s="2" t="n">
        <v>76.53</v>
      </c>
      <c r="CK374" s="2" t="n">
        <v>69.81</v>
      </c>
      <c r="CL374" s="2" t="n">
        <v>75.90000000000001</v>
      </c>
      <c r="CM374" s="2" t="n">
        <v>80.97</v>
      </c>
      <c r="CN374" s="2" t="n">
        <v>69.81</v>
      </c>
      <c r="CO374" s="2" t="n">
        <v>79.70999999999999</v>
      </c>
      <c r="CP374" s="2" t="n">
        <v>84.79000000000001</v>
      </c>
      <c r="CQ374" s="2" t="n">
        <v>69.81</v>
      </c>
      <c r="CR374" s="2" t="n">
        <v>84.48999999999999</v>
      </c>
      <c r="CS374" s="2" t="n">
        <v>89.56</v>
      </c>
      <c r="CT374" s="2" t="n">
        <v>69.81</v>
      </c>
      <c r="CU374" s="2" t="n">
        <v>88.89</v>
      </c>
      <c r="CV374" s="2" t="n">
        <v>93.95999999999999</v>
      </c>
      <c r="CW374" s="2" t="n">
        <v>69.81</v>
      </c>
      <c r="CX374" s="2" t="n">
        <v>94.58</v>
      </c>
      <c r="CY374" s="2" t="n">
        <v>99.65000000000001</v>
      </c>
      <c r="CZ374" s="2" t="n">
        <v>69.81</v>
      </c>
      <c r="DA374" s="2" t="n">
        <v>94.93000000000001</v>
      </c>
      <c r="DB374" s="2" t="n">
        <v>100</v>
      </c>
      <c r="DC374" s="2" t="n">
        <v>69.81</v>
      </c>
      <c r="DD374" s="2" t="n">
        <v>94.93000000000001</v>
      </c>
      <c r="DE374" s="2" t="n">
        <v>100</v>
      </c>
      <c r="DF374" s="2" t="n">
        <v>69.81</v>
      </c>
      <c r="DG374" s="2" t="n">
        <v>94.93000000000001</v>
      </c>
      <c r="DH374" s="2" t="n">
        <v>100</v>
      </c>
      <c r="DI374" s="2" t="n">
        <v>69.81</v>
      </c>
      <c r="DJ374" s="2" t="n">
        <v>94.93000000000001</v>
      </c>
      <c r="DK374" s="2" t="n">
        <v>100</v>
      </c>
      <c r="DL374" s="2" t="n">
        <v>69.81</v>
      </c>
      <c r="DM374" s="2" t="n">
        <v>94.93000000000001</v>
      </c>
      <c r="DN374" s="2" t="n">
        <v>100</v>
      </c>
      <c r="DO374" s="2" t="n">
        <v>69.81</v>
      </c>
      <c r="DP374" s="2" t="n">
        <v>94.93000000000001</v>
      </c>
      <c r="DQ374" s="2" t="n">
        <v>100</v>
      </c>
      <c r="DR374" s="2" t="n">
        <v>69.81</v>
      </c>
      <c r="DS374" s="2" t="n">
        <v>94.93000000000001</v>
      </c>
      <c r="DT374" s="2" t="n">
        <v>100</v>
      </c>
      <c r="DU374" s="2" t="n">
        <v>69.81</v>
      </c>
      <c r="DV374" s="2" t="n">
        <v>94.93000000000001</v>
      </c>
      <c r="DW374" s="2" t="n">
        <v>100</v>
      </c>
      <c r="DX374" s="2" t="n">
        <v>69.81</v>
      </c>
      <c r="DY374" s="2" t="n">
        <v>94.93000000000001</v>
      </c>
      <c r="DZ374" s="2" t="n">
        <v>100</v>
      </c>
      <c r="EA374" s="2" t="n">
        <v>69.81</v>
      </c>
      <c r="EB374" s="2" t="n">
        <v>94.93000000000001</v>
      </c>
      <c r="EC374" s="2" t="n">
        <v>100</v>
      </c>
      <c r="ED374" s="2" t="n">
        <v>69.81</v>
      </c>
      <c r="EE374" s="2" t="n">
        <v>94.93000000000001</v>
      </c>
      <c r="EF374" s="2" t="n">
        <v>100</v>
      </c>
      <c r="EG374" s="2" t="n">
        <v>69.81</v>
      </c>
      <c r="EH374" s="2" t="n">
        <v>94.93000000000001</v>
      </c>
      <c r="EI374" s="2" t="n">
        <v>100</v>
      </c>
      <c r="EJ374" s="2" t="n">
        <v>69.81</v>
      </c>
      <c r="EK374" s="2" t="n">
        <v>94.93000000000001</v>
      </c>
      <c r="EL374" s="2" t="n">
        <v>100</v>
      </c>
      <c r="EM374" s="2" t="n">
        <v>69.81</v>
      </c>
      <c r="EN374" s="2" t="n">
        <v>94.93000000000001</v>
      </c>
      <c r="EO374" s="2" t="n">
        <v>100</v>
      </c>
      <c r="EP374" s="2" t="n">
        <v>69.81</v>
      </c>
      <c r="EQ374" s="2" t="n">
        <v>94.93000000000001</v>
      </c>
      <c r="ER374" s="2" t="n">
        <v>100</v>
      </c>
      <c r="ES374" s="2" t="n">
        <v>69.81</v>
      </c>
      <c r="ET374" s="2" t="n">
        <v>94.93000000000001</v>
      </c>
      <c r="EU374" s="2" t="n">
        <v>100</v>
      </c>
      <c r="EV374" s="2" t="n">
        <v>69.81</v>
      </c>
      <c r="EW374" s="2" t="n">
        <v>94.93000000000001</v>
      </c>
      <c r="EX374" s="2" t="n">
        <v>100</v>
      </c>
      <c r="EY374" s="2" t="n">
        <v>69.81</v>
      </c>
      <c r="EZ374" s="2" t="n">
        <v>94.93000000000001</v>
      </c>
      <c r="FA374" s="2" t="n">
        <v>100</v>
      </c>
      <c r="FB374" s="2" t="n">
        <v>69.81</v>
      </c>
      <c r="FC374" s="2" t="n">
        <v>94.93000000000001</v>
      </c>
      <c r="FD374" s="2" t="n">
        <v>100</v>
      </c>
      <c r="FE374" s="2" t="n">
        <v>69.81</v>
      </c>
      <c r="FF374" s="2" t="n">
        <v>94.93000000000001</v>
      </c>
      <c r="FG374" s="2" t="n">
        <v>100</v>
      </c>
      <c r="FH374" s="2" t="n">
        <v>69.81</v>
      </c>
      <c r="FI374" s="2" t="n">
        <v>94.93000000000001</v>
      </c>
      <c r="FJ374" s="2" t="n">
        <v>100</v>
      </c>
      <c r="FK374" s="2" t="n">
        <v>69.81</v>
      </c>
      <c r="FL374" s="2" t="n">
        <v>94.93000000000001</v>
      </c>
      <c r="FM374" s="2" t="n">
        <v>100</v>
      </c>
      <c r="FN374" s="2" t="n">
        <v>69.81</v>
      </c>
      <c r="FO374" s="2" t="n">
        <v>94.93000000000001</v>
      </c>
      <c r="FP374" s="2" t="n">
        <v>100</v>
      </c>
      <c r="FQ374" s="2" t="n">
        <v>69.81</v>
      </c>
    </row>
    <row r="375">
      <c r="A375" s="2" t="n">
        <v>2</v>
      </c>
      <c r="B375" s="2" t="inlineStr">
        <is>
          <t>17.02</t>
        </is>
      </c>
      <c r="C375" s="2" t="inlineStr">
        <is>
          <t>Complementos</t>
        </is>
      </c>
      <c r="D375" s="2" t="inlineStr">
        <is>
          <t>19/05/2025</t>
        </is>
      </c>
      <c r="E375" s="2" t="inlineStr">
        <is>
          <t>06/04/2027</t>
        </is>
      </c>
      <c r="F375" s="2" t="n">
        <v>106109.9876325694</v>
      </c>
      <c r="G375" s="2" t="n">
        <v>0</v>
      </c>
      <c r="H375" s="2" t="n">
        <v>106109.9876325694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1.09</v>
      </c>
      <c r="AK375" s="2" t="n">
        <v>1.09</v>
      </c>
      <c r="AL375" s="2" t="n">
        <v>0</v>
      </c>
      <c r="AM375" s="2" t="n">
        <v>3.28</v>
      </c>
      <c r="AN375" s="2" t="n">
        <v>3.28</v>
      </c>
      <c r="AO375" s="2" t="n">
        <v>4.36</v>
      </c>
      <c r="AP375" s="2" t="n">
        <v>7.21</v>
      </c>
      <c r="AQ375" s="2" t="n">
        <v>7.21</v>
      </c>
      <c r="AR375" s="2" t="n">
        <v>8.73</v>
      </c>
      <c r="AS375" s="2" t="n">
        <v>12.37</v>
      </c>
      <c r="AT375" s="2" t="n">
        <v>12.37</v>
      </c>
      <c r="AU375" s="2" t="n">
        <v>11.64</v>
      </c>
      <c r="AV375" s="2" t="n">
        <v>14.59</v>
      </c>
      <c r="AW375" s="2" t="n">
        <v>14.59</v>
      </c>
      <c r="AX375" s="2" t="n">
        <v>13.33</v>
      </c>
      <c r="AY375" s="2" t="n">
        <v>20.34</v>
      </c>
      <c r="AZ375" s="2" t="n">
        <v>20.34</v>
      </c>
      <c r="BA375" s="2" t="n">
        <v>20.32</v>
      </c>
      <c r="BB375" s="2" t="n">
        <v>26.99</v>
      </c>
      <c r="BC375" s="2" t="n">
        <v>26.99</v>
      </c>
      <c r="BD375" s="2" t="n">
        <v>26.18</v>
      </c>
      <c r="BE375" s="2" t="n">
        <v>32.96</v>
      </c>
      <c r="BF375" s="2" t="n">
        <v>32.96</v>
      </c>
      <c r="BG375" s="2" t="n">
        <v>32.56</v>
      </c>
      <c r="BH375" s="2" t="n">
        <v>37.63</v>
      </c>
      <c r="BI375" s="2" t="n">
        <v>37.63</v>
      </c>
      <c r="BJ375" s="2" t="n">
        <v>37.01</v>
      </c>
      <c r="BK375" s="2" t="n">
        <v>41.46</v>
      </c>
      <c r="BL375" s="2" t="n">
        <v>41.46</v>
      </c>
      <c r="BM375" s="2" t="n">
        <v>40.79</v>
      </c>
      <c r="BN375" s="2" t="n">
        <v>45.79</v>
      </c>
      <c r="BO375" s="2" t="n">
        <v>45.79</v>
      </c>
      <c r="BP375" s="2" t="n">
        <v>45</v>
      </c>
      <c r="BQ375" s="2" t="n">
        <v>48.42</v>
      </c>
      <c r="BR375" s="2" t="n">
        <v>48.42</v>
      </c>
      <c r="BS375" s="2" t="n">
        <v>48.28</v>
      </c>
      <c r="BT375" s="2" t="n">
        <v>52.55</v>
      </c>
      <c r="BU375" s="2" t="n">
        <v>52.55</v>
      </c>
      <c r="BV375" s="2" t="n">
        <v>52.46</v>
      </c>
      <c r="BW375" s="2" t="n">
        <v>56.39</v>
      </c>
      <c r="BX375" s="2" t="n">
        <v>56.39</v>
      </c>
      <c r="BY375" s="2" t="n">
        <v>56.4</v>
      </c>
      <c r="BZ375" s="2" t="n">
        <v>61.96</v>
      </c>
      <c r="CA375" s="2" t="n">
        <v>62.37</v>
      </c>
      <c r="CB375" s="2" t="n">
        <v>62.18</v>
      </c>
      <c r="CC375" s="2" t="n">
        <v>64.34999999999999</v>
      </c>
      <c r="CD375" s="2" t="n">
        <v>66.98999999999999</v>
      </c>
      <c r="CE375" s="2" t="n">
        <v>66.95</v>
      </c>
      <c r="CF375" s="2" t="n">
        <v>66.73999999999999</v>
      </c>
      <c r="CG375" s="2" t="n">
        <v>71.81</v>
      </c>
      <c r="CH375" s="2" t="n">
        <v>69.81</v>
      </c>
      <c r="CI375" s="2" t="n">
        <v>71.45999999999999</v>
      </c>
      <c r="CJ375" s="2" t="n">
        <v>76.53</v>
      </c>
      <c r="CK375" s="2" t="n">
        <v>69.81</v>
      </c>
      <c r="CL375" s="2" t="n">
        <v>75.90000000000001</v>
      </c>
      <c r="CM375" s="2" t="n">
        <v>80.97</v>
      </c>
      <c r="CN375" s="2" t="n">
        <v>69.81</v>
      </c>
      <c r="CO375" s="2" t="n">
        <v>79.70999999999999</v>
      </c>
      <c r="CP375" s="2" t="n">
        <v>84.79000000000001</v>
      </c>
      <c r="CQ375" s="2" t="n">
        <v>69.81</v>
      </c>
      <c r="CR375" s="2" t="n">
        <v>84.48999999999999</v>
      </c>
      <c r="CS375" s="2" t="n">
        <v>89.56</v>
      </c>
      <c r="CT375" s="2" t="n">
        <v>69.81</v>
      </c>
      <c r="CU375" s="2" t="n">
        <v>88.89</v>
      </c>
      <c r="CV375" s="2" t="n">
        <v>93.95999999999999</v>
      </c>
      <c r="CW375" s="2" t="n">
        <v>69.81</v>
      </c>
      <c r="CX375" s="2" t="n">
        <v>94.58</v>
      </c>
      <c r="CY375" s="2" t="n">
        <v>99.65000000000001</v>
      </c>
      <c r="CZ375" s="2" t="n">
        <v>69.81</v>
      </c>
      <c r="DA375" s="2" t="n">
        <v>94.93000000000001</v>
      </c>
      <c r="DB375" s="2" t="n">
        <v>100</v>
      </c>
      <c r="DC375" s="2" t="n">
        <v>69.81</v>
      </c>
      <c r="DD375" s="2" t="n">
        <v>94.93000000000001</v>
      </c>
      <c r="DE375" s="2" t="n">
        <v>100</v>
      </c>
      <c r="DF375" s="2" t="n">
        <v>69.81</v>
      </c>
      <c r="DG375" s="2" t="n">
        <v>94.93000000000001</v>
      </c>
      <c r="DH375" s="2" t="n">
        <v>100</v>
      </c>
      <c r="DI375" s="2" t="n">
        <v>69.81</v>
      </c>
      <c r="DJ375" s="2" t="n">
        <v>94.93000000000001</v>
      </c>
      <c r="DK375" s="2" t="n">
        <v>100</v>
      </c>
      <c r="DL375" s="2" t="n">
        <v>69.81</v>
      </c>
      <c r="DM375" s="2" t="n">
        <v>94.93000000000001</v>
      </c>
      <c r="DN375" s="2" t="n">
        <v>100</v>
      </c>
      <c r="DO375" s="2" t="n">
        <v>69.81</v>
      </c>
      <c r="DP375" s="2" t="n">
        <v>94.93000000000001</v>
      </c>
      <c r="DQ375" s="2" t="n">
        <v>100</v>
      </c>
      <c r="DR375" s="2" t="n">
        <v>69.81</v>
      </c>
      <c r="DS375" s="2" t="n">
        <v>94.93000000000001</v>
      </c>
      <c r="DT375" s="2" t="n">
        <v>100</v>
      </c>
      <c r="DU375" s="2" t="n">
        <v>69.81</v>
      </c>
      <c r="DV375" s="2" t="n">
        <v>94.93000000000001</v>
      </c>
      <c r="DW375" s="2" t="n">
        <v>100</v>
      </c>
      <c r="DX375" s="2" t="n">
        <v>69.81</v>
      </c>
      <c r="DY375" s="2" t="n">
        <v>94.93000000000001</v>
      </c>
      <c r="DZ375" s="2" t="n">
        <v>100</v>
      </c>
      <c r="EA375" s="2" t="n">
        <v>69.81</v>
      </c>
      <c r="EB375" s="2" t="n">
        <v>94.93000000000001</v>
      </c>
      <c r="EC375" s="2" t="n">
        <v>100</v>
      </c>
      <c r="ED375" s="2" t="n">
        <v>69.81</v>
      </c>
      <c r="EE375" s="2" t="n">
        <v>94.93000000000001</v>
      </c>
      <c r="EF375" s="2" t="n">
        <v>100</v>
      </c>
      <c r="EG375" s="2" t="n">
        <v>69.81</v>
      </c>
      <c r="EH375" s="2" t="n">
        <v>94.93000000000001</v>
      </c>
      <c r="EI375" s="2" t="n">
        <v>100</v>
      </c>
      <c r="EJ375" s="2" t="n">
        <v>69.81</v>
      </c>
      <c r="EK375" s="2" t="n">
        <v>94.93000000000001</v>
      </c>
      <c r="EL375" s="2" t="n">
        <v>100</v>
      </c>
      <c r="EM375" s="2" t="n">
        <v>69.81</v>
      </c>
      <c r="EN375" s="2" t="n">
        <v>94.93000000000001</v>
      </c>
      <c r="EO375" s="2" t="n">
        <v>100</v>
      </c>
      <c r="EP375" s="2" t="n">
        <v>69.81</v>
      </c>
      <c r="EQ375" s="2" t="n">
        <v>94.93000000000001</v>
      </c>
      <c r="ER375" s="2" t="n">
        <v>100</v>
      </c>
      <c r="ES375" s="2" t="n">
        <v>69.81</v>
      </c>
      <c r="ET375" s="2" t="n">
        <v>94.93000000000001</v>
      </c>
      <c r="EU375" s="2" t="n">
        <v>100</v>
      </c>
      <c r="EV375" s="2" t="n">
        <v>69.81</v>
      </c>
      <c r="EW375" s="2" t="n">
        <v>94.93000000000001</v>
      </c>
      <c r="EX375" s="2" t="n">
        <v>100</v>
      </c>
      <c r="EY375" s="2" t="n">
        <v>69.81</v>
      </c>
      <c r="EZ375" s="2" t="n">
        <v>94.93000000000001</v>
      </c>
      <c r="FA375" s="2" t="n">
        <v>100</v>
      </c>
      <c r="FB375" s="2" t="n">
        <v>69.81</v>
      </c>
      <c r="FC375" s="2" t="n">
        <v>94.93000000000001</v>
      </c>
      <c r="FD375" s="2" t="n">
        <v>100</v>
      </c>
      <c r="FE375" s="2" t="n">
        <v>69.81</v>
      </c>
      <c r="FF375" s="2" t="n">
        <v>94.93000000000001</v>
      </c>
      <c r="FG375" s="2" t="n">
        <v>100</v>
      </c>
      <c r="FH375" s="2" t="n">
        <v>69.81</v>
      </c>
      <c r="FI375" s="2" t="n">
        <v>94.93000000000001</v>
      </c>
      <c r="FJ375" s="2" t="n">
        <v>100</v>
      </c>
      <c r="FK375" s="2" t="n">
        <v>69.81</v>
      </c>
      <c r="FL375" s="2" t="n">
        <v>94.93000000000001</v>
      </c>
      <c r="FM375" s="2" t="n">
        <v>100</v>
      </c>
      <c r="FN375" s="2" t="n">
        <v>69.81</v>
      </c>
      <c r="FO375" s="2" t="n">
        <v>94.93000000000001</v>
      </c>
      <c r="FP375" s="2" t="n">
        <v>100</v>
      </c>
      <c r="FQ375" s="2" t="n">
        <v>69.81</v>
      </c>
    </row>
    <row r="376">
      <c r="A376" s="2" t="n">
        <v>3</v>
      </c>
      <c r="B376" s="2" t="inlineStr">
        <is>
          <t>17.02.01</t>
        </is>
      </c>
      <c r="C376" s="2" t="inlineStr">
        <is>
          <t>Juntas de dilatação de isopor esp. 20mm</t>
        </is>
      </c>
      <c r="D376" s="2" t="inlineStr">
        <is>
          <t>19/05/2025</t>
        </is>
      </c>
      <c r="E376" s="2" t="inlineStr">
        <is>
          <t>06/04/2027</t>
        </is>
      </c>
      <c r="F376" s="2" t="n">
        <v>9578.624621450408</v>
      </c>
      <c r="G376" s="2" t="n">
        <v>0</v>
      </c>
      <c r="H376" s="2" t="n">
        <v>9578.624621450408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1.09</v>
      </c>
      <c r="AK376" s="2" t="n">
        <v>1.09</v>
      </c>
      <c r="AL376" s="2" t="n">
        <v>0</v>
      </c>
      <c r="AM376" s="2" t="n">
        <v>3.28</v>
      </c>
      <c r="AN376" s="2" t="n">
        <v>3.28</v>
      </c>
      <c r="AO376" s="2" t="n">
        <v>4.36</v>
      </c>
      <c r="AP376" s="2" t="n">
        <v>7.21</v>
      </c>
      <c r="AQ376" s="2" t="n">
        <v>7.21</v>
      </c>
      <c r="AR376" s="2" t="n">
        <v>8.73</v>
      </c>
      <c r="AS376" s="2" t="n">
        <v>12.37</v>
      </c>
      <c r="AT376" s="2" t="n">
        <v>12.37</v>
      </c>
      <c r="AU376" s="2" t="n">
        <v>11.64</v>
      </c>
      <c r="AV376" s="2" t="n">
        <v>14.59</v>
      </c>
      <c r="AW376" s="2" t="n">
        <v>14.59</v>
      </c>
      <c r="AX376" s="2" t="n">
        <v>13.33</v>
      </c>
      <c r="AY376" s="2" t="n">
        <v>20.34</v>
      </c>
      <c r="AZ376" s="2" t="n">
        <v>20.34</v>
      </c>
      <c r="BA376" s="2" t="n">
        <v>20.32</v>
      </c>
      <c r="BB376" s="2" t="n">
        <v>26.99</v>
      </c>
      <c r="BC376" s="2" t="n">
        <v>26.99</v>
      </c>
      <c r="BD376" s="2" t="n">
        <v>26.18</v>
      </c>
      <c r="BE376" s="2" t="n">
        <v>32.96</v>
      </c>
      <c r="BF376" s="2" t="n">
        <v>32.96</v>
      </c>
      <c r="BG376" s="2" t="n">
        <v>32.56</v>
      </c>
      <c r="BH376" s="2" t="n">
        <v>37.63</v>
      </c>
      <c r="BI376" s="2" t="n">
        <v>37.63</v>
      </c>
      <c r="BJ376" s="2" t="n">
        <v>37.01</v>
      </c>
      <c r="BK376" s="2" t="n">
        <v>41.46</v>
      </c>
      <c r="BL376" s="2" t="n">
        <v>41.46</v>
      </c>
      <c r="BM376" s="2" t="n">
        <v>40.79</v>
      </c>
      <c r="BN376" s="2" t="n">
        <v>45.79</v>
      </c>
      <c r="BO376" s="2" t="n">
        <v>45.79</v>
      </c>
      <c r="BP376" s="2" t="n">
        <v>45</v>
      </c>
      <c r="BQ376" s="2" t="n">
        <v>48.42</v>
      </c>
      <c r="BR376" s="2" t="n">
        <v>48.42</v>
      </c>
      <c r="BS376" s="2" t="n">
        <v>48.28</v>
      </c>
      <c r="BT376" s="2" t="n">
        <v>52.55</v>
      </c>
      <c r="BU376" s="2" t="n">
        <v>52.55</v>
      </c>
      <c r="BV376" s="2" t="n">
        <v>52.46</v>
      </c>
      <c r="BW376" s="2" t="n">
        <v>56.39</v>
      </c>
      <c r="BX376" s="2" t="n">
        <v>56.39</v>
      </c>
      <c r="BY376" s="2" t="n">
        <v>56.4</v>
      </c>
      <c r="BZ376" s="2" t="n">
        <v>61.96</v>
      </c>
      <c r="CA376" s="2" t="n">
        <v>62.37</v>
      </c>
      <c r="CB376" s="2" t="n">
        <v>62.18</v>
      </c>
      <c r="CC376" s="2" t="n">
        <v>64.34999999999999</v>
      </c>
      <c r="CD376" s="2" t="n">
        <v>66.98999999999999</v>
      </c>
      <c r="CE376" s="2" t="n">
        <v>66.95</v>
      </c>
      <c r="CF376" s="2" t="n">
        <v>66.73999999999999</v>
      </c>
      <c r="CG376" s="2" t="n">
        <v>71.81</v>
      </c>
      <c r="CH376" s="2" t="n">
        <v>69.81</v>
      </c>
      <c r="CI376" s="2" t="n">
        <v>71.45999999999999</v>
      </c>
      <c r="CJ376" s="2" t="n">
        <v>76.53</v>
      </c>
      <c r="CK376" s="2" t="n">
        <v>69.81</v>
      </c>
      <c r="CL376" s="2" t="n">
        <v>75.90000000000001</v>
      </c>
      <c r="CM376" s="2" t="n">
        <v>80.97</v>
      </c>
      <c r="CN376" s="2" t="n">
        <v>69.81</v>
      </c>
      <c r="CO376" s="2" t="n">
        <v>79.70999999999999</v>
      </c>
      <c r="CP376" s="2" t="n">
        <v>84.79000000000001</v>
      </c>
      <c r="CQ376" s="2" t="n">
        <v>69.81</v>
      </c>
      <c r="CR376" s="2" t="n">
        <v>84.48999999999999</v>
      </c>
      <c r="CS376" s="2" t="n">
        <v>89.56</v>
      </c>
      <c r="CT376" s="2" t="n">
        <v>69.81</v>
      </c>
      <c r="CU376" s="2" t="n">
        <v>88.89</v>
      </c>
      <c r="CV376" s="2" t="n">
        <v>93.95999999999999</v>
      </c>
      <c r="CW376" s="2" t="n">
        <v>69.81</v>
      </c>
      <c r="CX376" s="2" t="n">
        <v>94.58</v>
      </c>
      <c r="CY376" s="2" t="n">
        <v>99.65000000000001</v>
      </c>
      <c r="CZ376" s="2" t="n">
        <v>69.81</v>
      </c>
      <c r="DA376" s="2" t="n">
        <v>94.93000000000001</v>
      </c>
      <c r="DB376" s="2" t="n">
        <v>100</v>
      </c>
      <c r="DC376" s="2" t="n">
        <v>69.81</v>
      </c>
      <c r="DD376" s="2" t="n">
        <v>94.93000000000001</v>
      </c>
      <c r="DE376" s="2" t="n">
        <v>100</v>
      </c>
      <c r="DF376" s="2" t="n">
        <v>69.81</v>
      </c>
      <c r="DG376" s="2" t="n">
        <v>94.93000000000001</v>
      </c>
      <c r="DH376" s="2" t="n">
        <v>100</v>
      </c>
      <c r="DI376" s="2" t="n">
        <v>69.81</v>
      </c>
      <c r="DJ376" s="2" t="n">
        <v>94.93000000000001</v>
      </c>
      <c r="DK376" s="2" t="n">
        <v>100</v>
      </c>
      <c r="DL376" s="2" t="n">
        <v>69.81</v>
      </c>
      <c r="DM376" s="2" t="n">
        <v>94.93000000000001</v>
      </c>
      <c r="DN376" s="2" t="n">
        <v>100</v>
      </c>
      <c r="DO376" s="2" t="n">
        <v>69.81</v>
      </c>
      <c r="DP376" s="2" t="n">
        <v>94.93000000000001</v>
      </c>
      <c r="DQ376" s="2" t="n">
        <v>100</v>
      </c>
      <c r="DR376" s="2" t="n">
        <v>69.81</v>
      </c>
      <c r="DS376" s="2" t="n">
        <v>94.93000000000001</v>
      </c>
      <c r="DT376" s="2" t="n">
        <v>100</v>
      </c>
      <c r="DU376" s="2" t="n">
        <v>69.81</v>
      </c>
      <c r="DV376" s="2" t="n">
        <v>94.93000000000001</v>
      </c>
      <c r="DW376" s="2" t="n">
        <v>100</v>
      </c>
      <c r="DX376" s="2" t="n">
        <v>69.81</v>
      </c>
      <c r="DY376" s="2" t="n">
        <v>94.93000000000001</v>
      </c>
      <c r="DZ376" s="2" t="n">
        <v>100</v>
      </c>
      <c r="EA376" s="2" t="n">
        <v>69.81</v>
      </c>
      <c r="EB376" s="2" t="n">
        <v>94.93000000000001</v>
      </c>
      <c r="EC376" s="2" t="n">
        <v>100</v>
      </c>
      <c r="ED376" s="2" t="n">
        <v>69.81</v>
      </c>
      <c r="EE376" s="2" t="n">
        <v>94.93000000000001</v>
      </c>
      <c r="EF376" s="2" t="n">
        <v>100</v>
      </c>
      <c r="EG376" s="2" t="n">
        <v>69.81</v>
      </c>
      <c r="EH376" s="2" t="n">
        <v>94.93000000000001</v>
      </c>
      <c r="EI376" s="2" t="n">
        <v>100</v>
      </c>
      <c r="EJ376" s="2" t="n">
        <v>69.81</v>
      </c>
      <c r="EK376" s="2" t="n">
        <v>94.93000000000001</v>
      </c>
      <c r="EL376" s="2" t="n">
        <v>100</v>
      </c>
      <c r="EM376" s="2" t="n">
        <v>69.81</v>
      </c>
      <c r="EN376" s="2" t="n">
        <v>94.93000000000001</v>
      </c>
      <c r="EO376" s="2" t="n">
        <v>100</v>
      </c>
      <c r="EP376" s="2" t="n">
        <v>69.81</v>
      </c>
      <c r="EQ376" s="2" t="n">
        <v>94.93000000000001</v>
      </c>
      <c r="ER376" s="2" t="n">
        <v>100</v>
      </c>
      <c r="ES376" s="2" t="n">
        <v>69.81</v>
      </c>
      <c r="ET376" s="2" t="n">
        <v>94.93000000000001</v>
      </c>
      <c r="EU376" s="2" t="n">
        <v>100</v>
      </c>
      <c r="EV376" s="2" t="n">
        <v>69.81</v>
      </c>
      <c r="EW376" s="2" t="n">
        <v>94.93000000000001</v>
      </c>
      <c r="EX376" s="2" t="n">
        <v>100</v>
      </c>
      <c r="EY376" s="2" t="n">
        <v>69.81</v>
      </c>
      <c r="EZ376" s="2" t="n">
        <v>94.93000000000001</v>
      </c>
      <c r="FA376" s="2" t="n">
        <v>100</v>
      </c>
      <c r="FB376" s="2" t="n">
        <v>69.81</v>
      </c>
      <c r="FC376" s="2" t="n">
        <v>94.93000000000001</v>
      </c>
      <c r="FD376" s="2" t="n">
        <v>100</v>
      </c>
      <c r="FE376" s="2" t="n">
        <v>69.81</v>
      </c>
      <c r="FF376" s="2" t="n">
        <v>94.93000000000001</v>
      </c>
      <c r="FG376" s="2" t="n">
        <v>100</v>
      </c>
      <c r="FH376" s="2" t="n">
        <v>69.81</v>
      </c>
      <c r="FI376" s="2" t="n">
        <v>94.93000000000001</v>
      </c>
      <c r="FJ376" s="2" t="n">
        <v>100</v>
      </c>
      <c r="FK376" s="2" t="n">
        <v>69.81</v>
      </c>
      <c r="FL376" s="2" t="n">
        <v>94.93000000000001</v>
      </c>
      <c r="FM376" s="2" t="n">
        <v>100</v>
      </c>
      <c r="FN376" s="2" t="n">
        <v>69.81</v>
      </c>
      <c r="FO376" s="2" t="n">
        <v>94.93000000000001</v>
      </c>
      <c r="FP376" s="2" t="n">
        <v>100</v>
      </c>
      <c r="FQ376" s="2" t="n">
        <v>69.81</v>
      </c>
    </row>
    <row r="377">
      <c r="A377" s="2" t="n">
        <v>3</v>
      </c>
      <c r="B377" s="2" t="inlineStr">
        <is>
          <t>17.02.02</t>
        </is>
      </c>
      <c r="C377" s="2" t="inlineStr">
        <is>
          <t>Tratamento de juntas de dilatação com sikaflex 1A ou similar</t>
        </is>
      </c>
      <c r="D377" s="2" t="inlineStr">
        <is>
          <t>19/05/2025</t>
        </is>
      </c>
      <c r="E377" s="2" t="inlineStr">
        <is>
          <t>06/04/2027</t>
        </is>
      </c>
      <c r="F377" s="2" t="n">
        <v>36531.36301111901</v>
      </c>
      <c r="G377" s="2" t="n">
        <v>0</v>
      </c>
      <c r="H377" s="2" t="n">
        <v>36531.36301111901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1.09</v>
      </c>
      <c r="AK377" s="2" t="n">
        <v>1.09</v>
      </c>
      <c r="AL377" s="2" t="n">
        <v>0</v>
      </c>
      <c r="AM377" s="2" t="n">
        <v>3.28</v>
      </c>
      <c r="AN377" s="2" t="n">
        <v>3.28</v>
      </c>
      <c r="AO377" s="2" t="n">
        <v>4.36</v>
      </c>
      <c r="AP377" s="2" t="n">
        <v>7.21</v>
      </c>
      <c r="AQ377" s="2" t="n">
        <v>7.21</v>
      </c>
      <c r="AR377" s="2" t="n">
        <v>8.73</v>
      </c>
      <c r="AS377" s="2" t="n">
        <v>12.37</v>
      </c>
      <c r="AT377" s="2" t="n">
        <v>12.37</v>
      </c>
      <c r="AU377" s="2" t="n">
        <v>11.64</v>
      </c>
      <c r="AV377" s="2" t="n">
        <v>14.59</v>
      </c>
      <c r="AW377" s="2" t="n">
        <v>14.59</v>
      </c>
      <c r="AX377" s="2" t="n">
        <v>13.33</v>
      </c>
      <c r="AY377" s="2" t="n">
        <v>20.34</v>
      </c>
      <c r="AZ377" s="2" t="n">
        <v>20.34</v>
      </c>
      <c r="BA377" s="2" t="n">
        <v>20.32</v>
      </c>
      <c r="BB377" s="2" t="n">
        <v>26.99</v>
      </c>
      <c r="BC377" s="2" t="n">
        <v>26.99</v>
      </c>
      <c r="BD377" s="2" t="n">
        <v>26.18</v>
      </c>
      <c r="BE377" s="2" t="n">
        <v>32.96</v>
      </c>
      <c r="BF377" s="2" t="n">
        <v>32.96</v>
      </c>
      <c r="BG377" s="2" t="n">
        <v>32.56</v>
      </c>
      <c r="BH377" s="2" t="n">
        <v>37.63</v>
      </c>
      <c r="BI377" s="2" t="n">
        <v>37.63</v>
      </c>
      <c r="BJ377" s="2" t="n">
        <v>37.01</v>
      </c>
      <c r="BK377" s="2" t="n">
        <v>41.46</v>
      </c>
      <c r="BL377" s="2" t="n">
        <v>41.46</v>
      </c>
      <c r="BM377" s="2" t="n">
        <v>40.79</v>
      </c>
      <c r="BN377" s="2" t="n">
        <v>45.79</v>
      </c>
      <c r="BO377" s="2" t="n">
        <v>45.79</v>
      </c>
      <c r="BP377" s="2" t="n">
        <v>45</v>
      </c>
      <c r="BQ377" s="2" t="n">
        <v>48.42</v>
      </c>
      <c r="BR377" s="2" t="n">
        <v>48.42</v>
      </c>
      <c r="BS377" s="2" t="n">
        <v>48.28</v>
      </c>
      <c r="BT377" s="2" t="n">
        <v>52.55</v>
      </c>
      <c r="BU377" s="2" t="n">
        <v>52.55</v>
      </c>
      <c r="BV377" s="2" t="n">
        <v>52.46</v>
      </c>
      <c r="BW377" s="2" t="n">
        <v>56.39</v>
      </c>
      <c r="BX377" s="2" t="n">
        <v>56.39</v>
      </c>
      <c r="BY377" s="2" t="n">
        <v>56.4</v>
      </c>
      <c r="BZ377" s="2" t="n">
        <v>61.96</v>
      </c>
      <c r="CA377" s="2" t="n">
        <v>62.37</v>
      </c>
      <c r="CB377" s="2" t="n">
        <v>62.18</v>
      </c>
      <c r="CC377" s="2" t="n">
        <v>64.34999999999999</v>
      </c>
      <c r="CD377" s="2" t="n">
        <v>66.98999999999999</v>
      </c>
      <c r="CE377" s="2" t="n">
        <v>66.95</v>
      </c>
      <c r="CF377" s="2" t="n">
        <v>66.73999999999999</v>
      </c>
      <c r="CG377" s="2" t="n">
        <v>71.81</v>
      </c>
      <c r="CH377" s="2" t="n">
        <v>69.81</v>
      </c>
      <c r="CI377" s="2" t="n">
        <v>71.45999999999999</v>
      </c>
      <c r="CJ377" s="2" t="n">
        <v>76.53</v>
      </c>
      <c r="CK377" s="2" t="n">
        <v>69.81</v>
      </c>
      <c r="CL377" s="2" t="n">
        <v>75.90000000000001</v>
      </c>
      <c r="CM377" s="2" t="n">
        <v>80.97</v>
      </c>
      <c r="CN377" s="2" t="n">
        <v>69.81</v>
      </c>
      <c r="CO377" s="2" t="n">
        <v>79.70999999999999</v>
      </c>
      <c r="CP377" s="2" t="n">
        <v>84.79000000000001</v>
      </c>
      <c r="CQ377" s="2" t="n">
        <v>69.81</v>
      </c>
      <c r="CR377" s="2" t="n">
        <v>84.48999999999999</v>
      </c>
      <c r="CS377" s="2" t="n">
        <v>89.56</v>
      </c>
      <c r="CT377" s="2" t="n">
        <v>69.81</v>
      </c>
      <c r="CU377" s="2" t="n">
        <v>88.89</v>
      </c>
      <c r="CV377" s="2" t="n">
        <v>93.95999999999999</v>
      </c>
      <c r="CW377" s="2" t="n">
        <v>69.81</v>
      </c>
      <c r="CX377" s="2" t="n">
        <v>94.58</v>
      </c>
      <c r="CY377" s="2" t="n">
        <v>99.65000000000001</v>
      </c>
      <c r="CZ377" s="2" t="n">
        <v>69.81</v>
      </c>
      <c r="DA377" s="2" t="n">
        <v>94.93000000000001</v>
      </c>
      <c r="DB377" s="2" t="n">
        <v>100</v>
      </c>
      <c r="DC377" s="2" t="n">
        <v>69.81</v>
      </c>
      <c r="DD377" s="2" t="n">
        <v>94.93000000000001</v>
      </c>
      <c r="DE377" s="2" t="n">
        <v>100</v>
      </c>
      <c r="DF377" s="2" t="n">
        <v>69.81</v>
      </c>
      <c r="DG377" s="2" t="n">
        <v>94.93000000000001</v>
      </c>
      <c r="DH377" s="2" t="n">
        <v>100</v>
      </c>
      <c r="DI377" s="2" t="n">
        <v>69.81</v>
      </c>
      <c r="DJ377" s="2" t="n">
        <v>94.93000000000001</v>
      </c>
      <c r="DK377" s="2" t="n">
        <v>100</v>
      </c>
      <c r="DL377" s="2" t="n">
        <v>69.81</v>
      </c>
      <c r="DM377" s="2" t="n">
        <v>94.93000000000001</v>
      </c>
      <c r="DN377" s="2" t="n">
        <v>100</v>
      </c>
      <c r="DO377" s="2" t="n">
        <v>69.81</v>
      </c>
      <c r="DP377" s="2" t="n">
        <v>94.93000000000001</v>
      </c>
      <c r="DQ377" s="2" t="n">
        <v>100</v>
      </c>
      <c r="DR377" s="2" t="n">
        <v>69.81</v>
      </c>
      <c r="DS377" s="2" t="n">
        <v>94.93000000000001</v>
      </c>
      <c r="DT377" s="2" t="n">
        <v>100</v>
      </c>
      <c r="DU377" s="2" t="n">
        <v>69.81</v>
      </c>
      <c r="DV377" s="2" t="n">
        <v>94.93000000000001</v>
      </c>
      <c r="DW377" s="2" t="n">
        <v>100</v>
      </c>
      <c r="DX377" s="2" t="n">
        <v>69.81</v>
      </c>
      <c r="DY377" s="2" t="n">
        <v>94.93000000000001</v>
      </c>
      <c r="DZ377" s="2" t="n">
        <v>100</v>
      </c>
      <c r="EA377" s="2" t="n">
        <v>69.81</v>
      </c>
      <c r="EB377" s="2" t="n">
        <v>94.93000000000001</v>
      </c>
      <c r="EC377" s="2" t="n">
        <v>100</v>
      </c>
      <c r="ED377" s="2" t="n">
        <v>69.81</v>
      </c>
      <c r="EE377" s="2" t="n">
        <v>94.93000000000001</v>
      </c>
      <c r="EF377" s="2" t="n">
        <v>100</v>
      </c>
      <c r="EG377" s="2" t="n">
        <v>69.81</v>
      </c>
      <c r="EH377" s="2" t="n">
        <v>94.93000000000001</v>
      </c>
      <c r="EI377" s="2" t="n">
        <v>100</v>
      </c>
      <c r="EJ377" s="2" t="n">
        <v>69.81</v>
      </c>
      <c r="EK377" s="2" t="n">
        <v>94.93000000000001</v>
      </c>
      <c r="EL377" s="2" t="n">
        <v>100</v>
      </c>
      <c r="EM377" s="2" t="n">
        <v>69.81</v>
      </c>
      <c r="EN377" s="2" t="n">
        <v>94.93000000000001</v>
      </c>
      <c r="EO377" s="2" t="n">
        <v>100</v>
      </c>
      <c r="EP377" s="2" t="n">
        <v>69.81</v>
      </c>
      <c r="EQ377" s="2" t="n">
        <v>94.93000000000001</v>
      </c>
      <c r="ER377" s="2" t="n">
        <v>100</v>
      </c>
      <c r="ES377" s="2" t="n">
        <v>69.81</v>
      </c>
      <c r="ET377" s="2" t="n">
        <v>94.93000000000001</v>
      </c>
      <c r="EU377" s="2" t="n">
        <v>100</v>
      </c>
      <c r="EV377" s="2" t="n">
        <v>69.81</v>
      </c>
      <c r="EW377" s="2" t="n">
        <v>94.93000000000001</v>
      </c>
      <c r="EX377" s="2" t="n">
        <v>100</v>
      </c>
      <c r="EY377" s="2" t="n">
        <v>69.81</v>
      </c>
      <c r="EZ377" s="2" t="n">
        <v>94.93000000000001</v>
      </c>
      <c r="FA377" s="2" t="n">
        <v>100</v>
      </c>
      <c r="FB377" s="2" t="n">
        <v>69.81</v>
      </c>
      <c r="FC377" s="2" t="n">
        <v>94.93000000000001</v>
      </c>
      <c r="FD377" s="2" t="n">
        <v>100</v>
      </c>
      <c r="FE377" s="2" t="n">
        <v>69.81</v>
      </c>
      <c r="FF377" s="2" t="n">
        <v>94.93000000000001</v>
      </c>
      <c r="FG377" s="2" t="n">
        <v>100</v>
      </c>
      <c r="FH377" s="2" t="n">
        <v>69.81</v>
      </c>
      <c r="FI377" s="2" t="n">
        <v>94.93000000000001</v>
      </c>
      <c r="FJ377" s="2" t="n">
        <v>100</v>
      </c>
      <c r="FK377" s="2" t="n">
        <v>69.81</v>
      </c>
      <c r="FL377" s="2" t="n">
        <v>94.93000000000001</v>
      </c>
      <c r="FM377" s="2" t="n">
        <v>100</v>
      </c>
      <c r="FN377" s="2" t="n">
        <v>69.81</v>
      </c>
      <c r="FO377" s="2" t="n">
        <v>94.93000000000001</v>
      </c>
      <c r="FP377" s="2" t="n">
        <v>100</v>
      </c>
      <c r="FQ377" s="2" t="n">
        <v>69.81</v>
      </c>
    </row>
    <row r="378">
      <c r="A378" s="2" t="n">
        <v>3</v>
      </c>
      <c r="B378" s="2" t="inlineStr">
        <is>
          <t>17.02.03</t>
        </is>
      </c>
      <c r="C378" s="2" t="inlineStr">
        <is>
          <t>Serviços imponderáveis, complementares à estrutura</t>
        </is>
      </c>
      <c r="D378" s="2" t="inlineStr">
        <is>
          <t>19/05/2025</t>
        </is>
      </c>
      <c r="E378" s="2" t="inlineStr">
        <is>
          <t>06/04/2027</t>
        </is>
      </c>
      <c r="F378" s="2" t="n">
        <v>60000</v>
      </c>
      <c r="G378" s="2" t="n">
        <v>0</v>
      </c>
      <c r="H378" s="2" t="n">
        <v>60000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1.09</v>
      </c>
      <c r="AK378" s="2" t="n">
        <v>1.09</v>
      </c>
      <c r="AL378" s="2" t="n">
        <v>0</v>
      </c>
      <c r="AM378" s="2" t="n">
        <v>3.28</v>
      </c>
      <c r="AN378" s="2" t="n">
        <v>3.28</v>
      </c>
      <c r="AO378" s="2" t="n">
        <v>4.36</v>
      </c>
      <c r="AP378" s="2" t="n">
        <v>7.21</v>
      </c>
      <c r="AQ378" s="2" t="n">
        <v>7.21</v>
      </c>
      <c r="AR378" s="2" t="n">
        <v>8.73</v>
      </c>
      <c r="AS378" s="2" t="n">
        <v>12.37</v>
      </c>
      <c r="AT378" s="2" t="n">
        <v>12.37</v>
      </c>
      <c r="AU378" s="2" t="n">
        <v>11.64</v>
      </c>
      <c r="AV378" s="2" t="n">
        <v>14.59</v>
      </c>
      <c r="AW378" s="2" t="n">
        <v>14.59</v>
      </c>
      <c r="AX378" s="2" t="n">
        <v>13.33</v>
      </c>
      <c r="AY378" s="2" t="n">
        <v>20.34</v>
      </c>
      <c r="AZ378" s="2" t="n">
        <v>20.34</v>
      </c>
      <c r="BA378" s="2" t="n">
        <v>20.32</v>
      </c>
      <c r="BB378" s="2" t="n">
        <v>26.99</v>
      </c>
      <c r="BC378" s="2" t="n">
        <v>26.99</v>
      </c>
      <c r="BD378" s="2" t="n">
        <v>26.18</v>
      </c>
      <c r="BE378" s="2" t="n">
        <v>32.96</v>
      </c>
      <c r="BF378" s="2" t="n">
        <v>32.96</v>
      </c>
      <c r="BG378" s="2" t="n">
        <v>32.56</v>
      </c>
      <c r="BH378" s="2" t="n">
        <v>37.63</v>
      </c>
      <c r="BI378" s="2" t="n">
        <v>37.63</v>
      </c>
      <c r="BJ378" s="2" t="n">
        <v>37.01</v>
      </c>
      <c r="BK378" s="2" t="n">
        <v>41.46</v>
      </c>
      <c r="BL378" s="2" t="n">
        <v>41.46</v>
      </c>
      <c r="BM378" s="2" t="n">
        <v>40.79</v>
      </c>
      <c r="BN378" s="2" t="n">
        <v>45.79</v>
      </c>
      <c r="BO378" s="2" t="n">
        <v>45.79</v>
      </c>
      <c r="BP378" s="2" t="n">
        <v>45</v>
      </c>
      <c r="BQ378" s="2" t="n">
        <v>48.42</v>
      </c>
      <c r="BR378" s="2" t="n">
        <v>48.42</v>
      </c>
      <c r="BS378" s="2" t="n">
        <v>48.28</v>
      </c>
      <c r="BT378" s="2" t="n">
        <v>52.55</v>
      </c>
      <c r="BU378" s="2" t="n">
        <v>52.55</v>
      </c>
      <c r="BV378" s="2" t="n">
        <v>52.46</v>
      </c>
      <c r="BW378" s="2" t="n">
        <v>56.39</v>
      </c>
      <c r="BX378" s="2" t="n">
        <v>56.39</v>
      </c>
      <c r="BY378" s="2" t="n">
        <v>56.4</v>
      </c>
      <c r="BZ378" s="2" t="n">
        <v>61.96</v>
      </c>
      <c r="CA378" s="2" t="n">
        <v>62.37</v>
      </c>
      <c r="CB378" s="2" t="n">
        <v>62.18</v>
      </c>
      <c r="CC378" s="2" t="n">
        <v>64.34999999999999</v>
      </c>
      <c r="CD378" s="2" t="n">
        <v>66.98999999999999</v>
      </c>
      <c r="CE378" s="2" t="n">
        <v>66.95</v>
      </c>
      <c r="CF378" s="2" t="n">
        <v>66.73999999999999</v>
      </c>
      <c r="CG378" s="2" t="n">
        <v>71.81</v>
      </c>
      <c r="CH378" s="2" t="n">
        <v>69.81</v>
      </c>
      <c r="CI378" s="2" t="n">
        <v>71.45999999999999</v>
      </c>
      <c r="CJ378" s="2" t="n">
        <v>76.53</v>
      </c>
      <c r="CK378" s="2" t="n">
        <v>69.81</v>
      </c>
      <c r="CL378" s="2" t="n">
        <v>75.90000000000001</v>
      </c>
      <c r="CM378" s="2" t="n">
        <v>80.97</v>
      </c>
      <c r="CN378" s="2" t="n">
        <v>69.81</v>
      </c>
      <c r="CO378" s="2" t="n">
        <v>79.70999999999999</v>
      </c>
      <c r="CP378" s="2" t="n">
        <v>84.79000000000001</v>
      </c>
      <c r="CQ378" s="2" t="n">
        <v>69.81</v>
      </c>
      <c r="CR378" s="2" t="n">
        <v>84.48999999999999</v>
      </c>
      <c r="CS378" s="2" t="n">
        <v>89.56</v>
      </c>
      <c r="CT378" s="2" t="n">
        <v>69.81</v>
      </c>
      <c r="CU378" s="2" t="n">
        <v>88.89</v>
      </c>
      <c r="CV378" s="2" t="n">
        <v>93.95999999999999</v>
      </c>
      <c r="CW378" s="2" t="n">
        <v>69.81</v>
      </c>
      <c r="CX378" s="2" t="n">
        <v>94.58</v>
      </c>
      <c r="CY378" s="2" t="n">
        <v>99.65000000000001</v>
      </c>
      <c r="CZ378" s="2" t="n">
        <v>69.81</v>
      </c>
      <c r="DA378" s="2" t="n">
        <v>94.93000000000001</v>
      </c>
      <c r="DB378" s="2" t="n">
        <v>100</v>
      </c>
      <c r="DC378" s="2" t="n">
        <v>69.81</v>
      </c>
      <c r="DD378" s="2" t="n">
        <v>94.93000000000001</v>
      </c>
      <c r="DE378" s="2" t="n">
        <v>100</v>
      </c>
      <c r="DF378" s="2" t="n">
        <v>69.81</v>
      </c>
      <c r="DG378" s="2" t="n">
        <v>94.93000000000001</v>
      </c>
      <c r="DH378" s="2" t="n">
        <v>100</v>
      </c>
      <c r="DI378" s="2" t="n">
        <v>69.81</v>
      </c>
      <c r="DJ378" s="2" t="n">
        <v>94.93000000000001</v>
      </c>
      <c r="DK378" s="2" t="n">
        <v>100</v>
      </c>
      <c r="DL378" s="2" t="n">
        <v>69.81</v>
      </c>
      <c r="DM378" s="2" t="n">
        <v>94.93000000000001</v>
      </c>
      <c r="DN378" s="2" t="n">
        <v>100</v>
      </c>
      <c r="DO378" s="2" t="n">
        <v>69.81</v>
      </c>
      <c r="DP378" s="2" t="n">
        <v>94.93000000000001</v>
      </c>
      <c r="DQ378" s="2" t="n">
        <v>100</v>
      </c>
      <c r="DR378" s="2" t="n">
        <v>69.81</v>
      </c>
      <c r="DS378" s="2" t="n">
        <v>94.93000000000001</v>
      </c>
      <c r="DT378" s="2" t="n">
        <v>100</v>
      </c>
      <c r="DU378" s="2" t="n">
        <v>69.81</v>
      </c>
      <c r="DV378" s="2" t="n">
        <v>94.93000000000001</v>
      </c>
      <c r="DW378" s="2" t="n">
        <v>100</v>
      </c>
      <c r="DX378" s="2" t="n">
        <v>69.81</v>
      </c>
      <c r="DY378" s="2" t="n">
        <v>94.93000000000001</v>
      </c>
      <c r="DZ378" s="2" t="n">
        <v>100</v>
      </c>
      <c r="EA378" s="2" t="n">
        <v>69.81</v>
      </c>
      <c r="EB378" s="2" t="n">
        <v>94.93000000000001</v>
      </c>
      <c r="EC378" s="2" t="n">
        <v>100</v>
      </c>
      <c r="ED378" s="2" t="n">
        <v>69.81</v>
      </c>
      <c r="EE378" s="2" t="n">
        <v>94.93000000000001</v>
      </c>
      <c r="EF378" s="2" t="n">
        <v>100</v>
      </c>
      <c r="EG378" s="2" t="n">
        <v>69.81</v>
      </c>
      <c r="EH378" s="2" t="n">
        <v>94.93000000000001</v>
      </c>
      <c r="EI378" s="2" t="n">
        <v>100</v>
      </c>
      <c r="EJ378" s="2" t="n">
        <v>69.81</v>
      </c>
      <c r="EK378" s="2" t="n">
        <v>94.93000000000001</v>
      </c>
      <c r="EL378" s="2" t="n">
        <v>100</v>
      </c>
      <c r="EM378" s="2" t="n">
        <v>69.81</v>
      </c>
      <c r="EN378" s="2" t="n">
        <v>94.93000000000001</v>
      </c>
      <c r="EO378" s="2" t="n">
        <v>100</v>
      </c>
      <c r="EP378" s="2" t="n">
        <v>69.81</v>
      </c>
      <c r="EQ378" s="2" t="n">
        <v>94.93000000000001</v>
      </c>
      <c r="ER378" s="2" t="n">
        <v>100</v>
      </c>
      <c r="ES378" s="2" t="n">
        <v>69.81</v>
      </c>
      <c r="ET378" s="2" t="n">
        <v>94.93000000000001</v>
      </c>
      <c r="EU378" s="2" t="n">
        <v>100</v>
      </c>
      <c r="EV378" s="2" t="n">
        <v>69.81</v>
      </c>
      <c r="EW378" s="2" t="n">
        <v>94.93000000000001</v>
      </c>
      <c r="EX378" s="2" t="n">
        <v>100</v>
      </c>
      <c r="EY378" s="2" t="n">
        <v>69.81</v>
      </c>
      <c r="EZ378" s="2" t="n">
        <v>94.93000000000001</v>
      </c>
      <c r="FA378" s="2" t="n">
        <v>100</v>
      </c>
      <c r="FB378" s="2" t="n">
        <v>69.81</v>
      </c>
      <c r="FC378" s="2" t="n">
        <v>94.93000000000001</v>
      </c>
      <c r="FD378" s="2" t="n">
        <v>100</v>
      </c>
      <c r="FE378" s="2" t="n">
        <v>69.81</v>
      </c>
      <c r="FF378" s="2" t="n">
        <v>94.93000000000001</v>
      </c>
      <c r="FG378" s="2" t="n">
        <v>100</v>
      </c>
      <c r="FH378" s="2" t="n">
        <v>69.81</v>
      </c>
      <c r="FI378" s="2" t="n">
        <v>94.93000000000001</v>
      </c>
      <c r="FJ378" s="2" t="n">
        <v>100</v>
      </c>
      <c r="FK378" s="2" t="n">
        <v>69.81</v>
      </c>
      <c r="FL378" s="2" t="n">
        <v>94.93000000000001</v>
      </c>
      <c r="FM378" s="2" t="n">
        <v>100</v>
      </c>
      <c r="FN378" s="2" t="n">
        <v>69.81</v>
      </c>
      <c r="FO378" s="2" t="n">
        <v>94.93000000000001</v>
      </c>
      <c r="FP378" s="2" t="n">
        <v>100</v>
      </c>
      <c r="FQ378" s="2" t="n">
        <v>69.81</v>
      </c>
    </row>
    <row r="379">
      <c r="A379" s="2" t="n">
        <v>1</v>
      </c>
      <c r="B379" s="2" t="inlineStr">
        <is>
          <t>18</t>
        </is>
      </c>
      <c r="C379" s="2" t="inlineStr">
        <is>
          <t>ESTRUTURA METÁLICA</t>
        </is>
      </c>
      <c r="D379" s="2" t="inlineStr">
        <is>
          <t>25/04/2028</t>
        </is>
      </c>
      <c r="E379" s="2" t="inlineStr">
        <is>
          <t>21/06/2028</t>
        </is>
      </c>
      <c r="F379" s="2" t="n">
        <v>195186</v>
      </c>
      <c r="G379" s="2" t="n">
        <v>0</v>
      </c>
      <c r="H379" s="2" t="n">
        <v>195186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0</v>
      </c>
      <c r="BU379" s="2" t="n">
        <v>0</v>
      </c>
      <c r="BV379" s="2" t="n">
        <v>0</v>
      </c>
      <c r="BW379" s="2" t="n">
        <v>0</v>
      </c>
      <c r="BX379" s="2" t="n">
        <v>0</v>
      </c>
      <c r="BY379" s="2" t="n">
        <v>0</v>
      </c>
      <c r="BZ379" s="2" t="n">
        <v>0</v>
      </c>
      <c r="CA379" s="2" t="n">
        <v>0</v>
      </c>
      <c r="CB379" s="2" t="n">
        <v>0</v>
      </c>
      <c r="CC379" s="2" t="n">
        <v>0</v>
      </c>
      <c r="CD379" s="2" t="n">
        <v>0</v>
      </c>
      <c r="CE379" s="2" t="n">
        <v>0</v>
      </c>
      <c r="CF379" s="2" t="n">
        <v>0</v>
      </c>
      <c r="CG379" s="2" t="n">
        <v>0</v>
      </c>
      <c r="CH379" s="2" t="n">
        <v>0</v>
      </c>
      <c r="CI379" s="2" t="n">
        <v>0</v>
      </c>
      <c r="CJ379" s="2" t="n">
        <v>0</v>
      </c>
      <c r="CK379" s="2" t="n">
        <v>0</v>
      </c>
      <c r="CL379" s="2" t="n">
        <v>0</v>
      </c>
      <c r="CM379" s="2" t="n">
        <v>0</v>
      </c>
      <c r="CN379" s="2" t="n">
        <v>0</v>
      </c>
      <c r="CO379" s="2" t="n">
        <v>0</v>
      </c>
      <c r="CP379" s="2" t="n">
        <v>0</v>
      </c>
      <c r="CQ379" s="2" t="n">
        <v>0</v>
      </c>
      <c r="CR379" s="2" t="n">
        <v>0</v>
      </c>
      <c r="CS379" s="2" t="n">
        <v>0</v>
      </c>
      <c r="CT379" s="2" t="n">
        <v>0</v>
      </c>
      <c r="CU379" s="2" t="n">
        <v>0</v>
      </c>
      <c r="CV379" s="2" t="n">
        <v>0</v>
      </c>
      <c r="CW379" s="2" t="n">
        <v>0</v>
      </c>
      <c r="CX379" s="2" t="n">
        <v>0</v>
      </c>
      <c r="CY379" s="2" t="n">
        <v>0</v>
      </c>
      <c r="CZ379" s="2" t="n">
        <v>0</v>
      </c>
      <c r="DA379" s="2" t="n">
        <v>0</v>
      </c>
      <c r="DB379" s="2" t="n">
        <v>0</v>
      </c>
      <c r="DC379" s="2" t="n">
        <v>0</v>
      </c>
      <c r="DD379" s="2" t="n">
        <v>0</v>
      </c>
      <c r="DE379" s="2" t="n">
        <v>0</v>
      </c>
      <c r="DF379" s="2" t="n">
        <v>0</v>
      </c>
      <c r="DG379" s="2" t="n">
        <v>0</v>
      </c>
      <c r="DH379" s="2" t="n">
        <v>0</v>
      </c>
      <c r="DI379" s="2" t="n">
        <v>0</v>
      </c>
      <c r="DJ379" s="2" t="n">
        <v>0</v>
      </c>
      <c r="DK379" s="2" t="n">
        <v>0</v>
      </c>
      <c r="DL379" s="2" t="n">
        <v>0</v>
      </c>
      <c r="DM379" s="2" t="n">
        <v>0</v>
      </c>
      <c r="DN379" s="2" t="n">
        <v>0</v>
      </c>
      <c r="DO379" s="2" t="n">
        <v>0</v>
      </c>
      <c r="DP379" s="2" t="n">
        <v>0</v>
      </c>
      <c r="DQ379" s="2" t="n">
        <v>0</v>
      </c>
      <c r="DR379" s="2" t="n">
        <v>0</v>
      </c>
      <c r="DS379" s="2" t="n">
        <v>0</v>
      </c>
      <c r="DT379" s="2" t="n">
        <v>0</v>
      </c>
      <c r="DU379" s="2" t="n">
        <v>0</v>
      </c>
      <c r="DV379" s="2" t="n">
        <v>0</v>
      </c>
      <c r="DW379" s="2" t="n">
        <v>0</v>
      </c>
      <c r="DX379" s="2" t="n">
        <v>0</v>
      </c>
      <c r="DY379" s="2" t="n">
        <v>0</v>
      </c>
      <c r="DZ379" s="2" t="n">
        <v>0</v>
      </c>
      <c r="EA379" s="2" t="n">
        <v>0</v>
      </c>
      <c r="EB379" s="2" t="n">
        <v>0</v>
      </c>
      <c r="EC379" s="2" t="n">
        <v>0</v>
      </c>
      <c r="ED379" s="2" t="n">
        <v>0</v>
      </c>
      <c r="EE379" s="2" t="n">
        <v>0</v>
      </c>
      <c r="EF379" s="2" t="n">
        <v>0</v>
      </c>
      <c r="EG379" s="2" t="n">
        <v>0</v>
      </c>
      <c r="EH379" s="2" t="n">
        <v>0</v>
      </c>
      <c r="EI379" s="2" t="n">
        <v>0</v>
      </c>
      <c r="EJ379" s="2" t="n">
        <v>0</v>
      </c>
      <c r="EK379" s="2" t="n">
        <v>10</v>
      </c>
      <c r="EL379" s="2" t="n">
        <v>10</v>
      </c>
      <c r="EM379" s="2" t="n">
        <v>0</v>
      </c>
      <c r="EN379" s="2" t="n">
        <v>65</v>
      </c>
      <c r="EO379" s="2" t="n">
        <v>65</v>
      </c>
      <c r="EP379" s="2" t="n">
        <v>0</v>
      </c>
      <c r="EQ379" s="2" t="n">
        <v>100</v>
      </c>
      <c r="ER379" s="2" t="n">
        <v>100</v>
      </c>
      <c r="ES379" s="2" t="n">
        <v>0</v>
      </c>
      <c r="ET379" s="2" t="n">
        <v>100</v>
      </c>
      <c r="EU379" s="2" t="n">
        <v>100</v>
      </c>
      <c r="EV379" s="2" t="n">
        <v>0</v>
      </c>
      <c r="EW379" s="2" t="n">
        <v>100</v>
      </c>
      <c r="EX379" s="2" t="n">
        <v>100</v>
      </c>
      <c r="EY379" s="2" t="n">
        <v>0</v>
      </c>
      <c r="EZ379" s="2" t="n">
        <v>100</v>
      </c>
      <c r="FA379" s="2" t="n">
        <v>100</v>
      </c>
      <c r="FB379" s="2" t="n">
        <v>0</v>
      </c>
      <c r="FC379" s="2" t="n">
        <v>100</v>
      </c>
      <c r="FD379" s="2" t="n">
        <v>100</v>
      </c>
      <c r="FE379" s="2" t="n">
        <v>0</v>
      </c>
      <c r="FF379" s="2" t="n">
        <v>100</v>
      </c>
      <c r="FG379" s="2" t="n">
        <v>100</v>
      </c>
      <c r="FH379" s="2" t="n">
        <v>0</v>
      </c>
      <c r="FI379" s="2" t="n">
        <v>100</v>
      </c>
      <c r="FJ379" s="2" t="n">
        <v>100</v>
      </c>
      <c r="FK379" s="2" t="n">
        <v>0</v>
      </c>
      <c r="FL379" s="2" t="n">
        <v>100</v>
      </c>
      <c r="FM379" s="2" t="n">
        <v>100</v>
      </c>
      <c r="FN379" s="2" t="n">
        <v>0</v>
      </c>
      <c r="FO379" s="2" t="n">
        <v>100</v>
      </c>
      <c r="FP379" s="2" t="n">
        <v>100</v>
      </c>
      <c r="FQ379" s="2" t="n">
        <v>0</v>
      </c>
    </row>
    <row r="380">
      <c r="A380" s="2" t="n">
        <v>2</v>
      </c>
      <c r="B380" s="2" t="inlineStr">
        <is>
          <t>18.01</t>
        </is>
      </c>
      <c r="C380" s="2" t="inlineStr">
        <is>
          <t>Coberturas complementares</t>
        </is>
      </c>
      <c r="D380" s="2" t="inlineStr">
        <is>
          <t>25/04/2028</t>
        </is>
      </c>
      <c r="E380" s="2" t="inlineStr">
        <is>
          <t>21/06/2028</t>
        </is>
      </c>
      <c r="F380" s="2" t="n">
        <v>195186</v>
      </c>
      <c r="G380" s="2" t="n">
        <v>0</v>
      </c>
      <c r="H380" s="2" t="n">
        <v>195186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0</v>
      </c>
      <c r="BU380" s="2" t="n">
        <v>0</v>
      </c>
      <c r="BV380" s="2" t="n">
        <v>0</v>
      </c>
      <c r="BW380" s="2" t="n">
        <v>0</v>
      </c>
      <c r="BX380" s="2" t="n">
        <v>0</v>
      </c>
      <c r="BY380" s="2" t="n">
        <v>0</v>
      </c>
      <c r="BZ380" s="2" t="n">
        <v>0</v>
      </c>
      <c r="CA380" s="2" t="n">
        <v>0</v>
      </c>
      <c r="CB380" s="2" t="n">
        <v>0</v>
      </c>
      <c r="CC380" s="2" t="n">
        <v>0</v>
      </c>
      <c r="CD380" s="2" t="n">
        <v>0</v>
      </c>
      <c r="CE380" s="2" t="n">
        <v>0</v>
      </c>
      <c r="CF380" s="2" t="n">
        <v>0</v>
      </c>
      <c r="CG380" s="2" t="n">
        <v>0</v>
      </c>
      <c r="CH380" s="2" t="n">
        <v>0</v>
      </c>
      <c r="CI380" s="2" t="n">
        <v>0</v>
      </c>
      <c r="CJ380" s="2" t="n">
        <v>0</v>
      </c>
      <c r="CK380" s="2" t="n">
        <v>0</v>
      </c>
      <c r="CL380" s="2" t="n">
        <v>0</v>
      </c>
      <c r="CM380" s="2" t="n">
        <v>0</v>
      </c>
      <c r="CN380" s="2" t="n">
        <v>0</v>
      </c>
      <c r="CO380" s="2" t="n">
        <v>0</v>
      </c>
      <c r="CP380" s="2" t="n">
        <v>0</v>
      </c>
      <c r="CQ380" s="2" t="n">
        <v>0</v>
      </c>
      <c r="CR380" s="2" t="n">
        <v>0</v>
      </c>
      <c r="CS380" s="2" t="n">
        <v>0</v>
      </c>
      <c r="CT380" s="2" t="n">
        <v>0</v>
      </c>
      <c r="CU380" s="2" t="n">
        <v>0</v>
      </c>
      <c r="CV380" s="2" t="n">
        <v>0</v>
      </c>
      <c r="CW380" s="2" t="n">
        <v>0</v>
      </c>
      <c r="CX380" s="2" t="n">
        <v>0</v>
      </c>
      <c r="CY380" s="2" t="n">
        <v>0</v>
      </c>
      <c r="CZ380" s="2" t="n">
        <v>0</v>
      </c>
      <c r="DA380" s="2" t="n">
        <v>0</v>
      </c>
      <c r="DB380" s="2" t="n">
        <v>0</v>
      </c>
      <c r="DC380" s="2" t="n">
        <v>0</v>
      </c>
      <c r="DD380" s="2" t="n">
        <v>0</v>
      </c>
      <c r="DE380" s="2" t="n">
        <v>0</v>
      </c>
      <c r="DF380" s="2" t="n">
        <v>0</v>
      </c>
      <c r="DG380" s="2" t="n">
        <v>0</v>
      </c>
      <c r="DH380" s="2" t="n">
        <v>0</v>
      </c>
      <c r="DI380" s="2" t="n">
        <v>0</v>
      </c>
      <c r="DJ380" s="2" t="n">
        <v>0</v>
      </c>
      <c r="DK380" s="2" t="n">
        <v>0</v>
      </c>
      <c r="DL380" s="2" t="n">
        <v>0</v>
      </c>
      <c r="DM380" s="2" t="n">
        <v>0</v>
      </c>
      <c r="DN380" s="2" t="n">
        <v>0</v>
      </c>
      <c r="DO380" s="2" t="n">
        <v>0</v>
      </c>
      <c r="DP380" s="2" t="n">
        <v>0</v>
      </c>
      <c r="DQ380" s="2" t="n">
        <v>0</v>
      </c>
      <c r="DR380" s="2" t="n">
        <v>0</v>
      </c>
      <c r="DS380" s="2" t="n">
        <v>0</v>
      </c>
      <c r="DT380" s="2" t="n">
        <v>0</v>
      </c>
      <c r="DU380" s="2" t="n">
        <v>0</v>
      </c>
      <c r="DV380" s="2" t="n">
        <v>0</v>
      </c>
      <c r="DW380" s="2" t="n">
        <v>0</v>
      </c>
      <c r="DX380" s="2" t="n">
        <v>0</v>
      </c>
      <c r="DY380" s="2" t="n">
        <v>0</v>
      </c>
      <c r="DZ380" s="2" t="n">
        <v>0</v>
      </c>
      <c r="EA380" s="2" t="n">
        <v>0</v>
      </c>
      <c r="EB380" s="2" t="n">
        <v>0</v>
      </c>
      <c r="EC380" s="2" t="n">
        <v>0</v>
      </c>
      <c r="ED380" s="2" t="n">
        <v>0</v>
      </c>
      <c r="EE380" s="2" t="n">
        <v>0</v>
      </c>
      <c r="EF380" s="2" t="n">
        <v>0</v>
      </c>
      <c r="EG380" s="2" t="n">
        <v>0</v>
      </c>
      <c r="EH380" s="2" t="n">
        <v>0</v>
      </c>
      <c r="EI380" s="2" t="n">
        <v>0</v>
      </c>
      <c r="EJ380" s="2" t="n">
        <v>0</v>
      </c>
      <c r="EK380" s="2" t="n">
        <v>10</v>
      </c>
      <c r="EL380" s="2" t="n">
        <v>10</v>
      </c>
      <c r="EM380" s="2" t="n">
        <v>0</v>
      </c>
      <c r="EN380" s="2" t="n">
        <v>65</v>
      </c>
      <c r="EO380" s="2" t="n">
        <v>65</v>
      </c>
      <c r="EP380" s="2" t="n">
        <v>0</v>
      </c>
      <c r="EQ380" s="2" t="n">
        <v>100</v>
      </c>
      <c r="ER380" s="2" t="n">
        <v>100</v>
      </c>
      <c r="ES380" s="2" t="n">
        <v>0</v>
      </c>
      <c r="ET380" s="2" t="n">
        <v>100</v>
      </c>
      <c r="EU380" s="2" t="n">
        <v>100</v>
      </c>
      <c r="EV380" s="2" t="n">
        <v>0</v>
      </c>
      <c r="EW380" s="2" t="n">
        <v>100</v>
      </c>
      <c r="EX380" s="2" t="n">
        <v>100</v>
      </c>
      <c r="EY380" s="2" t="n">
        <v>0</v>
      </c>
      <c r="EZ380" s="2" t="n">
        <v>100</v>
      </c>
      <c r="FA380" s="2" t="n">
        <v>100</v>
      </c>
      <c r="FB380" s="2" t="n">
        <v>0</v>
      </c>
      <c r="FC380" s="2" t="n">
        <v>100</v>
      </c>
      <c r="FD380" s="2" t="n">
        <v>100</v>
      </c>
      <c r="FE380" s="2" t="n">
        <v>0</v>
      </c>
      <c r="FF380" s="2" t="n">
        <v>100</v>
      </c>
      <c r="FG380" s="2" t="n">
        <v>100</v>
      </c>
      <c r="FH380" s="2" t="n">
        <v>0</v>
      </c>
      <c r="FI380" s="2" t="n">
        <v>100</v>
      </c>
      <c r="FJ380" s="2" t="n">
        <v>100</v>
      </c>
      <c r="FK380" s="2" t="n">
        <v>0</v>
      </c>
      <c r="FL380" s="2" t="n">
        <v>100</v>
      </c>
      <c r="FM380" s="2" t="n">
        <v>100</v>
      </c>
      <c r="FN380" s="2" t="n">
        <v>0</v>
      </c>
      <c r="FO380" s="2" t="n">
        <v>100</v>
      </c>
      <c r="FP380" s="2" t="n">
        <v>100</v>
      </c>
      <c r="FQ380" s="2" t="n">
        <v>0</v>
      </c>
    </row>
    <row r="381">
      <c r="A381" s="2" t="n">
        <v>3</v>
      </c>
      <c r="B381" s="2" t="inlineStr">
        <is>
          <t>18.01.01</t>
        </is>
      </c>
      <c r="C381" s="2" t="inlineStr">
        <is>
          <t>(Imagem 01) Pergolado metálico - COBERTURA</t>
        </is>
      </c>
      <c r="D381" s="2" t="inlineStr">
        <is>
          <t>25/04/2028</t>
        </is>
      </c>
      <c r="E381" s="2" t="inlineStr">
        <is>
          <t>21/06/2028</t>
        </is>
      </c>
      <c r="F381" s="2" t="n">
        <v>84918.75</v>
      </c>
      <c r="G381" s="2" t="n">
        <v>0</v>
      </c>
      <c r="H381" s="2" t="n">
        <v>84918.75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0</v>
      </c>
      <c r="BU381" s="2" t="n">
        <v>0</v>
      </c>
      <c r="BV381" s="2" t="n">
        <v>0</v>
      </c>
      <c r="BW381" s="2" t="n">
        <v>0</v>
      </c>
      <c r="BX381" s="2" t="n">
        <v>0</v>
      </c>
      <c r="BY381" s="2" t="n">
        <v>0</v>
      </c>
      <c r="BZ381" s="2" t="n">
        <v>0</v>
      </c>
      <c r="CA381" s="2" t="n">
        <v>0</v>
      </c>
      <c r="CB381" s="2" t="n">
        <v>0</v>
      </c>
      <c r="CC381" s="2" t="n">
        <v>0</v>
      </c>
      <c r="CD381" s="2" t="n">
        <v>0</v>
      </c>
      <c r="CE381" s="2" t="n">
        <v>0</v>
      </c>
      <c r="CF381" s="2" t="n">
        <v>0</v>
      </c>
      <c r="CG381" s="2" t="n">
        <v>0</v>
      </c>
      <c r="CH381" s="2" t="n">
        <v>0</v>
      </c>
      <c r="CI381" s="2" t="n">
        <v>0</v>
      </c>
      <c r="CJ381" s="2" t="n">
        <v>0</v>
      </c>
      <c r="CK381" s="2" t="n">
        <v>0</v>
      </c>
      <c r="CL381" s="2" t="n">
        <v>0</v>
      </c>
      <c r="CM381" s="2" t="n">
        <v>0</v>
      </c>
      <c r="CN381" s="2" t="n">
        <v>0</v>
      </c>
      <c r="CO381" s="2" t="n">
        <v>0</v>
      </c>
      <c r="CP381" s="2" t="n">
        <v>0</v>
      </c>
      <c r="CQ381" s="2" t="n">
        <v>0</v>
      </c>
      <c r="CR381" s="2" t="n">
        <v>0</v>
      </c>
      <c r="CS381" s="2" t="n">
        <v>0</v>
      </c>
      <c r="CT381" s="2" t="n">
        <v>0</v>
      </c>
      <c r="CU381" s="2" t="n">
        <v>0</v>
      </c>
      <c r="CV381" s="2" t="n">
        <v>0</v>
      </c>
      <c r="CW381" s="2" t="n">
        <v>0</v>
      </c>
      <c r="CX381" s="2" t="n">
        <v>0</v>
      </c>
      <c r="CY381" s="2" t="n">
        <v>0</v>
      </c>
      <c r="CZ381" s="2" t="n">
        <v>0</v>
      </c>
      <c r="DA381" s="2" t="n">
        <v>0</v>
      </c>
      <c r="DB381" s="2" t="n">
        <v>0</v>
      </c>
      <c r="DC381" s="2" t="n">
        <v>0</v>
      </c>
      <c r="DD381" s="2" t="n">
        <v>0</v>
      </c>
      <c r="DE381" s="2" t="n">
        <v>0</v>
      </c>
      <c r="DF381" s="2" t="n">
        <v>0</v>
      </c>
      <c r="DG381" s="2" t="n">
        <v>0</v>
      </c>
      <c r="DH381" s="2" t="n">
        <v>0</v>
      </c>
      <c r="DI381" s="2" t="n">
        <v>0</v>
      </c>
      <c r="DJ381" s="2" t="n">
        <v>0</v>
      </c>
      <c r="DK381" s="2" t="n">
        <v>0</v>
      </c>
      <c r="DL381" s="2" t="n">
        <v>0</v>
      </c>
      <c r="DM381" s="2" t="n">
        <v>0</v>
      </c>
      <c r="DN381" s="2" t="n">
        <v>0</v>
      </c>
      <c r="DO381" s="2" t="n">
        <v>0</v>
      </c>
      <c r="DP381" s="2" t="n">
        <v>0</v>
      </c>
      <c r="DQ381" s="2" t="n">
        <v>0</v>
      </c>
      <c r="DR381" s="2" t="n">
        <v>0</v>
      </c>
      <c r="DS381" s="2" t="n">
        <v>0</v>
      </c>
      <c r="DT381" s="2" t="n">
        <v>0</v>
      </c>
      <c r="DU381" s="2" t="n">
        <v>0</v>
      </c>
      <c r="DV381" s="2" t="n">
        <v>0</v>
      </c>
      <c r="DW381" s="2" t="n">
        <v>0</v>
      </c>
      <c r="DX381" s="2" t="n">
        <v>0</v>
      </c>
      <c r="DY381" s="2" t="n">
        <v>0</v>
      </c>
      <c r="DZ381" s="2" t="n">
        <v>0</v>
      </c>
      <c r="EA381" s="2" t="n">
        <v>0</v>
      </c>
      <c r="EB381" s="2" t="n">
        <v>0</v>
      </c>
      <c r="EC381" s="2" t="n">
        <v>0</v>
      </c>
      <c r="ED381" s="2" t="n">
        <v>0</v>
      </c>
      <c r="EE381" s="2" t="n">
        <v>0</v>
      </c>
      <c r="EF381" s="2" t="n">
        <v>0</v>
      </c>
      <c r="EG381" s="2" t="n">
        <v>0</v>
      </c>
      <c r="EH381" s="2" t="n">
        <v>0</v>
      </c>
      <c r="EI381" s="2" t="n">
        <v>0</v>
      </c>
      <c r="EJ381" s="2" t="n">
        <v>0</v>
      </c>
      <c r="EK381" s="2" t="n">
        <v>10</v>
      </c>
      <c r="EL381" s="2" t="n">
        <v>10</v>
      </c>
      <c r="EM381" s="2" t="n">
        <v>0</v>
      </c>
      <c r="EN381" s="2" t="n">
        <v>65</v>
      </c>
      <c r="EO381" s="2" t="n">
        <v>65</v>
      </c>
      <c r="EP381" s="2" t="n">
        <v>0</v>
      </c>
      <c r="EQ381" s="2" t="n">
        <v>100</v>
      </c>
      <c r="ER381" s="2" t="n">
        <v>100</v>
      </c>
      <c r="ES381" s="2" t="n">
        <v>0</v>
      </c>
      <c r="ET381" s="2" t="n">
        <v>100</v>
      </c>
      <c r="EU381" s="2" t="n">
        <v>100</v>
      </c>
      <c r="EV381" s="2" t="n">
        <v>0</v>
      </c>
      <c r="EW381" s="2" t="n">
        <v>100</v>
      </c>
      <c r="EX381" s="2" t="n">
        <v>100</v>
      </c>
      <c r="EY381" s="2" t="n">
        <v>0</v>
      </c>
      <c r="EZ381" s="2" t="n">
        <v>100</v>
      </c>
      <c r="FA381" s="2" t="n">
        <v>100</v>
      </c>
      <c r="FB381" s="2" t="n">
        <v>0</v>
      </c>
      <c r="FC381" s="2" t="n">
        <v>100</v>
      </c>
      <c r="FD381" s="2" t="n">
        <v>100</v>
      </c>
      <c r="FE381" s="2" t="n">
        <v>0</v>
      </c>
      <c r="FF381" s="2" t="n">
        <v>100</v>
      </c>
      <c r="FG381" s="2" t="n">
        <v>100</v>
      </c>
      <c r="FH381" s="2" t="n">
        <v>0</v>
      </c>
      <c r="FI381" s="2" t="n">
        <v>100</v>
      </c>
      <c r="FJ381" s="2" t="n">
        <v>100</v>
      </c>
      <c r="FK381" s="2" t="n">
        <v>0</v>
      </c>
      <c r="FL381" s="2" t="n">
        <v>100</v>
      </c>
      <c r="FM381" s="2" t="n">
        <v>100</v>
      </c>
      <c r="FN381" s="2" t="n">
        <v>0</v>
      </c>
      <c r="FO381" s="2" t="n">
        <v>100</v>
      </c>
      <c r="FP381" s="2" t="n">
        <v>100</v>
      </c>
      <c r="FQ381" s="2" t="n">
        <v>0</v>
      </c>
    </row>
    <row r="382">
      <c r="A382" s="2" t="n">
        <v>3</v>
      </c>
      <c r="B382" s="2" t="inlineStr">
        <is>
          <t>18.01.02</t>
        </is>
      </c>
      <c r="C382" s="2" t="inlineStr">
        <is>
          <t>(Imagem 03) Pergolado metálico com revestimento idem FCH - PILOTIS</t>
        </is>
      </c>
      <c r="D382" s="2" t="inlineStr">
        <is>
          <t>25/04/2028</t>
        </is>
      </c>
      <c r="E382" s="2" t="inlineStr">
        <is>
          <t>21/06/2028</t>
        </is>
      </c>
      <c r="F382" s="2" t="n">
        <v>110267.25</v>
      </c>
      <c r="G382" s="2" t="n">
        <v>0</v>
      </c>
      <c r="H382" s="2" t="n">
        <v>110267.25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0</v>
      </c>
      <c r="BU382" s="2" t="n">
        <v>0</v>
      </c>
      <c r="BV382" s="2" t="n">
        <v>0</v>
      </c>
      <c r="BW382" s="2" t="n">
        <v>0</v>
      </c>
      <c r="BX382" s="2" t="n">
        <v>0</v>
      </c>
      <c r="BY382" s="2" t="n">
        <v>0</v>
      </c>
      <c r="BZ382" s="2" t="n">
        <v>0</v>
      </c>
      <c r="CA382" s="2" t="n">
        <v>0</v>
      </c>
      <c r="CB382" s="2" t="n">
        <v>0</v>
      </c>
      <c r="CC382" s="2" t="n">
        <v>0</v>
      </c>
      <c r="CD382" s="2" t="n">
        <v>0</v>
      </c>
      <c r="CE382" s="2" t="n">
        <v>0</v>
      </c>
      <c r="CF382" s="2" t="n">
        <v>0</v>
      </c>
      <c r="CG382" s="2" t="n">
        <v>0</v>
      </c>
      <c r="CH382" s="2" t="n">
        <v>0</v>
      </c>
      <c r="CI382" s="2" t="n">
        <v>0</v>
      </c>
      <c r="CJ382" s="2" t="n">
        <v>0</v>
      </c>
      <c r="CK382" s="2" t="n">
        <v>0</v>
      </c>
      <c r="CL382" s="2" t="n">
        <v>0</v>
      </c>
      <c r="CM382" s="2" t="n">
        <v>0</v>
      </c>
      <c r="CN382" s="2" t="n">
        <v>0</v>
      </c>
      <c r="CO382" s="2" t="n">
        <v>0</v>
      </c>
      <c r="CP382" s="2" t="n">
        <v>0</v>
      </c>
      <c r="CQ382" s="2" t="n">
        <v>0</v>
      </c>
      <c r="CR382" s="2" t="n">
        <v>0</v>
      </c>
      <c r="CS382" s="2" t="n">
        <v>0</v>
      </c>
      <c r="CT382" s="2" t="n">
        <v>0</v>
      </c>
      <c r="CU382" s="2" t="n">
        <v>0</v>
      </c>
      <c r="CV382" s="2" t="n">
        <v>0</v>
      </c>
      <c r="CW382" s="2" t="n">
        <v>0</v>
      </c>
      <c r="CX382" s="2" t="n">
        <v>0</v>
      </c>
      <c r="CY382" s="2" t="n">
        <v>0</v>
      </c>
      <c r="CZ382" s="2" t="n">
        <v>0</v>
      </c>
      <c r="DA382" s="2" t="n">
        <v>0</v>
      </c>
      <c r="DB382" s="2" t="n">
        <v>0</v>
      </c>
      <c r="DC382" s="2" t="n">
        <v>0</v>
      </c>
      <c r="DD382" s="2" t="n">
        <v>0</v>
      </c>
      <c r="DE382" s="2" t="n">
        <v>0</v>
      </c>
      <c r="DF382" s="2" t="n">
        <v>0</v>
      </c>
      <c r="DG382" s="2" t="n">
        <v>0</v>
      </c>
      <c r="DH382" s="2" t="n">
        <v>0</v>
      </c>
      <c r="DI382" s="2" t="n">
        <v>0</v>
      </c>
      <c r="DJ382" s="2" t="n">
        <v>0</v>
      </c>
      <c r="DK382" s="2" t="n">
        <v>0</v>
      </c>
      <c r="DL382" s="2" t="n">
        <v>0</v>
      </c>
      <c r="DM382" s="2" t="n">
        <v>0</v>
      </c>
      <c r="DN382" s="2" t="n">
        <v>0</v>
      </c>
      <c r="DO382" s="2" t="n">
        <v>0</v>
      </c>
      <c r="DP382" s="2" t="n">
        <v>0</v>
      </c>
      <c r="DQ382" s="2" t="n">
        <v>0</v>
      </c>
      <c r="DR382" s="2" t="n">
        <v>0</v>
      </c>
      <c r="DS382" s="2" t="n">
        <v>0</v>
      </c>
      <c r="DT382" s="2" t="n">
        <v>0</v>
      </c>
      <c r="DU382" s="2" t="n">
        <v>0</v>
      </c>
      <c r="DV382" s="2" t="n">
        <v>0</v>
      </c>
      <c r="DW382" s="2" t="n">
        <v>0</v>
      </c>
      <c r="DX382" s="2" t="n">
        <v>0</v>
      </c>
      <c r="DY382" s="2" t="n">
        <v>0</v>
      </c>
      <c r="DZ382" s="2" t="n">
        <v>0</v>
      </c>
      <c r="EA382" s="2" t="n">
        <v>0</v>
      </c>
      <c r="EB382" s="2" t="n">
        <v>0</v>
      </c>
      <c r="EC382" s="2" t="n">
        <v>0</v>
      </c>
      <c r="ED382" s="2" t="n">
        <v>0</v>
      </c>
      <c r="EE382" s="2" t="n">
        <v>0</v>
      </c>
      <c r="EF382" s="2" t="n">
        <v>0</v>
      </c>
      <c r="EG382" s="2" t="n">
        <v>0</v>
      </c>
      <c r="EH382" s="2" t="n">
        <v>0</v>
      </c>
      <c r="EI382" s="2" t="n">
        <v>0</v>
      </c>
      <c r="EJ382" s="2" t="n">
        <v>0</v>
      </c>
      <c r="EK382" s="2" t="n">
        <v>10</v>
      </c>
      <c r="EL382" s="2" t="n">
        <v>10</v>
      </c>
      <c r="EM382" s="2" t="n">
        <v>0</v>
      </c>
      <c r="EN382" s="2" t="n">
        <v>65</v>
      </c>
      <c r="EO382" s="2" t="n">
        <v>65</v>
      </c>
      <c r="EP382" s="2" t="n">
        <v>0</v>
      </c>
      <c r="EQ382" s="2" t="n">
        <v>100</v>
      </c>
      <c r="ER382" s="2" t="n">
        <v>100</v>
      </c>
      <c r="ES382" s="2" t="n">
        <v>0</v>
      </c>
      <c r="ET382" s="2" t="n">
        <v>100</v>
      </c>
      <c r="EU382" s="2" t="n">
        <v>100</v>
      </c>
      <c r="EV382" s="2" t="n">
        <v>0</v>
      </c>
      <c r="EW382" s="2" t="n">
        <v>100</v>
      </c>
      <c r="EX382" s="2" t="n">
        <v>100</v>
      </c>
      <c r="EY382" s="2" t="n">
        <v>0</v>
      </c>
      <c r="EZ382" s="2" t="n">
        <v>100</v>
      </c>
      <c r="FA382" s="2" t="n">
        <v>100</v>
      </c>
      <c r="FB382" s="2" t="n">
        <v>0</v>
      </c>
      <c r="FC382" s="2" t="n">
        <v>100</v>
      </c>
      <c r="FD382" s="2" t="n">
        <v>100</v>
      </c>
      <c r="FE382" s="2" t="n">
        <v>0</v>
      </c>
      <c r="FF382" s="2" t="n">
        <v>100</v>
      </c>
      <c r="FG382" s="2" t="n">
        <v>100</v>
      </c>
      <c r="FH382" s="2" t="n">
        <v>0</v>
      </c>
      <c r="FI382" s="2" t="n">
        <v>100</v>
      </c>
      <c r="FJ382" s="2" t="n">
        <v>100</v>
      </c>
      <c r="FK382" s="2" t="n">
        <v>0</v>
      </c>
      <c r="FL382" s="2" t="n">
        <v>100</v>
      </c>
      <c r="FM382" s="2" t="n">
        <v>100</v>
      </c>
      <c r="FN382" s="2" t="n">
        <v>0</v>
      </c>
      <c r="FO382" s="2" t="n">
        <v>100</v>
      </c>
      <c r="FP382" s="2" t="n">
        <v>100</v>
      </c>
      <c r="FQ382" s="2" t="n">
        <v>0</v>
      </c>
    </row>
    <row r="383">
      <c r="A383" s="2" t="n">
        <v>1</v>
      </c>
      <c r="B383" s="2" t="inlineStr">
        <is>
          <t>19</t>
        </is>
      </c>
      <c r="C383" s="2" t="inlineStr">
        <is>
          <t>ALVENARIA</t>
        </is>
      </c>
      <c r="D383" s="2" t="inlineStr">
        <is>
          <t>23/03/2026</t>
        </is>
      </c>
      <c r="E383" s="2" t="inlineStr">
        <is>
          <t>02/03/2028</t>
        </is>
      </c>
      <c r="F383" s="2" t="n">
        <v>3009694.158103514</v>
      </c>
      <c r="G383" s="2" t="n">
        <v>0</v>
      </c>
      <c r="H383" s="2" t="n">
        <v>3009694.158103514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1.09</v>
      </c>
      <c r="BO383" s="2" t="n">
        <v>1.09</v>
      </c>
      <c r="BP383" s="2" t="n">
        <v>0.78</v>
      </c>
      <c r="BQ383" s="2" t="n">
        <v>3.42</v>
      </c>
      <c r="BR383" s="2" t="n">
        <v>3.42</v>
      </c>
      <c r="BS383" s="2" t="n">
        <v>3.42</v>
      </c>
      <c r="BT383" s="2" t="n">
        <v>7.16</v>
      </c>
      <c r="BU383" s="2" t="n">
        <v>7.16</v>
      </c>
      <c r="BV383" s="2" t="n">
        <v>7.29</v>
      </c>
      <c r="BW383" s="2" t="n">
        <v>11.44</v>
      </c>
      <c r="BX383" s="2" t="n">
        <v>11.41</v>
      </c>
      <c r="BY383" s="2" t="n">
        <v>13.01</v>
      </c>
      <c r="BZ383" s="2" t="n">
        <v>23.17</v>
      </c>
      <c r="CA383" s="2" t="n">
        <v>21.2</v>
      </c>
      <c r="CB383" s="2" t="n">
        <v>22.06</v>
      </c>
      <c r="CC383" s="2" t="n">
        <v>31.81</v>
      </c>
      <c r="CD383" s="2" t="n">
        <v>31.17</v>
      </c>
      <c r="CE383" s="2" t="n">
        <v>31.02</v>
      </c>
      <c r="CF383" s="2" t="n">
        <v>35.18</v>
      </c>
      <c r="CG383" s="2" t="n">
        <v>37.65</v>
      </c>
      <c r="CH383" s="2" t="n">
        <v>35.77</v>
      </c>
      <c r="CI383" s="2" t="n">
        <v>36.39</v>
      </c>
      <c r="CJ383" s="2" t="n">
        <v>38.83</v>
      </c>
      <c r="CK383" s="2" t="n">
        <v>35.77</v>
      </c>
      <c r="CL383" s="2" t="n">
        <v>39.92</v>
      </c>
      <c r="CM383" s="2" t="n">
        <v>42.2</v>
      </c>
      <c r="CN383" s="2" t="n">
        <v>35.77</v>
      </c>
      <c r="CO383" s="2" t="n">
        <v>42.78</v>
      </c>
      <c r="CP383" s="2" t="n">
        <v>44.94</v>
      </c>
      <c r="CQ383" s="2" t="n">
        <v>35.77</v>
      </c>
      <c r="CR383" s="2" t="n">
        <v>49.16</v>
      </c>
      <c r="CS383" s="2" t="n">
        <v>51.43</v>
      </c>
      <c r="CT383" s="2" t="n">
        <v>35.77</v>
      </c>
      <c r="CU383" s="2" t="n">
        <v>55.51</v>
      </c>
      <c r="CV383" s="2" t="n">
        <v>57.84</v>
      </c>
      <c r="CW383" s="2" t="n">
        <v>35.77</v>
      </c>
      <c r="CX383" s="2" t="n">
        <v>64.23</v>
      </c>
      <c r="CY383" s="2" t="n">
        <v>66.3</v>
      </c>
      <c r="CZ383" s="2" t="n">
        <v>35.77</v>
      </c>
      <c r="DA383" s="2" t="n">
        <v>74.53</v>
      </c>
      <c r="DB383" s="2" t="n">
        <v>74.34</v>
      </c>
      <c r="DC383" s="2" t="n">
        <v>35.77</v>
      </c>
      <c r="DD383" s="2" t="n">
        <v>81.54000000000001</v>
      </c>
      <c r="DE383" s="2" t="n">
        <v>81.39</v>
      </c>
      <c r="DF383" s="2" t="n">
        <v>35.77</v>
      </c>
      <c r="DG383" s="2" t="n">
        <v>88.81</v>
      </c>
      <c r="DH383" s="2" t="n">
        <v>88.77</v>
      </c>
      <c r="DI383" s="2" t="n">
        <v>35.77</v>
      </c>
      <c r="DJ383" s="2" t="n">
        <v>93.19</v>
      </c>
      <c r="DK383" s="2" t="n">
        <v>93.09999999999999</v>
      </c>
      <c r="DL383" s="2" t="n">
        <v>35.77</v>
      </c>
      <c r="DM383" s="2" t="n">
        <v>94.76000000000001</v>
      </c>
      <c r="DN383" s="2" t="n">
        <v>94.56</v>
      </c>
      <c r="DO383" s="2" t="n">
        <v>35.77</v>
      </c>
      <c r="DP383" s="2" t="n">
        <v>95.34</v>
      </c>
      <c r="DQ383" s="2" t="n">
        <v>95.08</v>
      </c>
      <c r="DR383" s="2" t="n">
        <v>35.77</v>
      </c>
      <c r="DS383" s="2" t="n">
        <v>95.66</v>
      </c>
      <c r="DT383" s="2" t="n">
        <v>95.28</v>
      </c>
      <c r="DU383" s="2" t="n">
        <v>35.77</v>
      </c>
      <c r="DV383" s="2" t="n">
        <v>95.89</v>
      </c>
      <c r="DW383" s="2" t="n">
        <v>95.56</v>
      </c>
      <c r="DX383" s="2" t="n">
        <v>35.77</v>
      </c>
      <c r="DY383" s="2" t="n">
        <v>95.89</v>
      </c>
      <c r="DZ383" s="2" t="n">
        <v>95.70999999999999</v>
      </c>
      <c r="EA383" s="2" t="n">
        <v>35.77</v>
      </c>
      <c r="EB383" s="2" t="n">
        <v>95.89</v>
      </c>
      <c r="EC383" s="2" t="n">
        <v>95.89</v>
      </c>
      <c r="ED383" s="2" t="n">
        <v>35.77</v>
      </c>
      <c r="EE383" s="2" t="n">
        <v>98.36</v>
      </c>
      <c r="EF383" s="2" t="n">
        <v>98.36</v>
      </c>
      <c r="EG383" s="2" t="n">
        <v>35.77</v>
      </c>
      <c r="EH383" s="2" t="n">
        <v>100</v>
      </c>
      <c r="EI383" s="2" t="n">
        <v>100</v>
      </c>
      <c r="EJ383" s="2" t="n">
        <v>35.77</v>
      </c>
      <c r="EK383" s="2" t="n">
        <v>100</v>
      </c>
      <c r="EL383" s="2" t="n">
        <v>100</v>
      </c>
      <c r="EM383" s="2" t="n">
        <v>35.77</v>
      </c>
      <c r="EN383" s="2" t="n">
        <v>100</v>
      </c>
      <c r="EO383" s="2" t="n">
        <v>100</v>
      </c>
      <c r="EP383" s="2" t="n">
        <v>35.77</v>
      </c>
      <c r="EQ383" s="2" t="n">
        <v>100</v>
      </c>
      <c r="ER383" s="2" t="n">
        <v>100</v>
      </c>
      <c r="ES383" s="2" t="n">
        <v>35.77</v>
      </c>
      <c r="ET383" s="2" t="n">
        <v>100</v>
      </c>
      <c r="EU383" s="2" t="n">
        <v>100</v>
      </c>
      <c r="EV383" s="2" t="n">
        <v>35.77</v>
      </c>
      <c r="EW383" s="2" t="n">
        <v>100</v>
      </c>
      <c r="EX383" s="2" t="n">
        <v>100</v>
      </c>
      <c r="EY383" s="2" t="n">
        <v>35.77</v>
      </c>
      <c r="EZ383" s="2" t="n">
        <v>100</v>
      </c>
      <c r="FA383" s="2" t="n">
        <v>100</v>
      </c>
      <c r="FB383" s="2" t="n">
        <v>35.77</v>
      </c>
      <c r="FC383" s="2" t="n">
        <v>100</v>
      </c>
      <c r="FD383" s="2" t="n">
        <v>100</v>
      </c>
      <c r="FE383" s="2" t="n">
        <v>35.77</v>
      </c>
      <c r="FF383" s="2" t="n">
        <v>100</v>
      </c>
      <c r="FG383" s="2" t="n">
        <v>100</v>
      </c>
      <c r="FH383" s="2" t="n">
        <v>35.77</v>
      </c>
      <c r="FI383" s="2" t="n">
        <v>100</v>
      </c>
      <c r="FJ383" s="2" t="n">
        <v>100</v>
      </c>
      <c r="FK383" s="2" t="n">
        <v>35.77</v>
      </c>
      <c r="FL383" s="2" t="n">
        <v>100</v>
      </c>
      <c r="FM383" s="2" t="n">
        <v>100</v>
      </c>
      <c r="FN383" s="2" t="n">
        <v>35.77</v>
      </c>
      <c r="FO383" s="2" t="n">
        <v>100</v>
      </c>
      <c r="FP383" s="2" t="n">
        <v>100</v>
      </c>
      <c r="FQ383" s="2" t="n">
        <v>35.77</v>
      </c>
    </row>
    <row r="384">
      <c r="A384" s="2" t="n">
        <v>2</v>
      </c>
      <c r="B384" s="2" t="inlineStr">
        <is>
          <t>19.01</t>
        </is>
      </c>
      <c r="C384" s="2" t="inlineStr">
        <is>
          <t>Alvenaria de vedação  com blocos cerâmicos</t>
        </is>
      </c>
      <c r="D384" s="2" t="inlineStr">
        <is>
          <t>23/03/2026</t>
        </is>
      </c>
      <c r="E384" s="2" t="inlineStr">
        <is>
          <t>02/03/2028</t>
        </is>
      </c>
      <c r="F384" s="2" t="n">
        <v>1844311.068803888</v>
      </c>
      <c r="G384" s="2" t="n">
        <v>0</v>
      </c>
      <c r="H384" s="2" t="n">
        <v>1844311.068803888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1.15</v>
      </c>
      <c r="BO384" s="2" t="n">
        <v>1.15</v>
      </c>
      <c r="BP384" s="2" t="n">
        <v>0.82</v>
      </c>
      <c r="BQ384" s="2" t="n">
        <v>3.6</v>
      </c>
      <c r="BR384" s="2" t="n">
        <v>3.6</v>
      </c>
      <c r="BS384" s="2" t="n">
        <v>3.6</v>
      </c>
      <c r="BT384" s="2" t="n">
        <v>7.54</v>
      </c>
      <c r="BU384" s="2" t="n">
        <v>7.54</v>
      </c>
      <c r="BV384" s="2" t="n">
        <v>7.67</v>
      </c>
      <c r="BW384" s="2" t="n">
        <v>12.05</v>
      </c>
      <c r="BX384" s="2" t="n">
        <v>12.01</v>
      </c>
      <c r="BY384" s="2" t="n">
        <v>13.7</v>
      </c>
      <c r="BZ384" s="2" t="n">
        <v>24.45</v>
      </c>
      <c r="CA384" s="2" t="n">
        <v>22.37</v>
      </c>
      <c r="CB384" s="2" t="n">
        <v>23.29</v>
      </c>
      <c r="CC384" s="2" t="n">
        <v>33.55</v>
      </c>
      <c r="CD384" s="2" t="n">
        <v>32.88</v>
      </c>
      <c r="CE384" s="2" t="n">
        <v>32.72</v>
      </c>
      <c r="CF384" s="2" t="n">
        <v>36.97</v>
      </c>
      <c r="CG384" s="2" t="n">
        <v>39.57</v>
      </c>
      <c r="CH384" s="2" t="n">
        <v>37.72</v>
      </c>
      <c r="CI384" s="2" t="n">
        <v>38.04</v>
      </c>
      <c r="CJ384" s="2" t="n">
        <v>40.64</v>
      </c>
      <c r="CK384" s="2" t="n">
        <v>37.72</v>
      </c>
      <c r="CL384" s="2" t="n">
        <v>41.38</v>
      </c>
      <c r="CM384" s="2" t="n">
        <v>43.98</v>
      </c>
      <c r="CN384" s="2" t="n">
        <v>37.72</v>
      </c>
      <c r="CO384" s="2" t="n">
        <v>44.22</v>
      </c>
      <c r="CP384" s="2" t="n">
        <v>46.82</v>
      </c>
      <c r="CQ384" s="2" t="n">
        <v>37.72</v>
      </c>
      <c r="CR384" s="2" t="n">
        <v>50.67</v>
      </c>
      <c r="CS384" s="2" t="n">
        <v>53.27</v>
      </c>
      <c r="CT384" s="2" t="n">
        <v>37.72</v>
      </c>
      <c r="CU384" s="2" t="n">
        <v>57.13</v>
      </c>
      <c r="CV384" s="2" t="n">
        <v>59.73</v>
      </c>
      <c r="CW384" s="2" t="n">
        <v>37.72</v>
      </c>
      <c r="CX384" s="2" t="n">
        <v>66.06999999999999</v>
      </c>
      <c r="CY384" s="2" t="n">
        <v>68.33</v>
      </c>
      <c r="CZ384" s="2" t="n">
        <v>37.72</v>
      </c>
      <c r="DA384" s="2" t="n">
        <v>76.34</v>
      </c>
      <c r="DB384" s="2" t="n">
        <v>76.34</v>
      </c>
      <c r="DC384" s="2" t="n">
        <v>37.72</v>
      </c>
      <c r="DD384" s="2" t="n">
        <v>83.27</v>
      </c>
      <c r="DE384" s="2" t="n">
        <v>83.27</v>
      </c>
      <c r="DF384" s="2" t="n">
        <v>37.72</v>
      </c>
      <c r="DG384" s="2" t="n">
        <v>90.20999999999999</v>
      </c>
      <c r="DH384" s="2" t="n">
        <v>90.20999999999999</v>
      </c>
      <c r="DI384" s="2" t="n">
        <v>37.72</v>
      </c>
      <c r="DJ384" s="2" t="n">
        <v>94.5</v>
      </c>
      <c r="DK384" s="2" t="n">
        <v>94.5</v>
      </c>
      <c r="DL384" s="2" t="n">
        <v>37.72</v>
      </c>
      <c r="DM384" s="2" t="n">
        <v>95.68000000000001</v>
      </c>
      <c r="DN384" s="2" t="n">
        <v>95.68000000000001</v>
      </c>
      <c r="DO384" s="2" t="n">
        <v>37.72</v>
      </c>
      <c r="DP384" s="2" t="n">
        <v>95.68000000000001</v>
      </c>
      <c r="DQ384" s="2" t="n">
        <v>95.68000000000001</v>
      </c>
      <c r="DR384" s="2" t="n">
        <v>37.72</v>
      </c>
      <c r="DS384" s="2" t="n">
        <v>95.68000000000001</v>
      </c>
      <c r="DT384" s="2" t="n">
        <v>95.68000000000001</v>
      </c>
      <c r="DU384" s="2" t="n">
        <v>37.72</v>
      </c>
      <c r="DV384" s="2" t="n">
        <v>95.68000000000001</v>
      </c>
      <c r="DW384" s="2" t="n">
        <v>95.68000000000001</v>
      </c>
      <c r="DX384" s="2" t="n">
        <v>37.72</v>
      </c>
      <c r="DY384" s="2" t="n">
        <v>95.68000000000001</v>
      </c>
      <c r="DZ384" s="2" t="n">
        <v>95.68000000000001</v>
      </c>
      <c r="EA384" s="2" t="n">
        <v>37.72</v>
      </c>
      <c r="EB384" s="2" t="n">
        <v>95.68000000000001</v>
      </c>
      <c r="EC384" s="2" t="n">
        <v>95.68000000000001</v>
      </c>
      <c r="ED384" s="2" t="n">
        <v>37.72</v>
      </c>
      <c r="EE384" s="2" t="n">
        <v>98.27</v>
      </c>
      <c r="EF384" s="2" t="n">
        <v>98.27</v>
      </c>
      <c r="EG384" s="2" t="n">
        <v>37.72</v>
      </c>
      <c r="EH384" s="2" t="n">
        <v>100</v>
      </c>
      <c r="EI384" s="2" t="n">
        <v>100</v>
      </c>
      <c r="EJ384" s="2" t="n">
        <v>37.72</v>
      </c>
      <c r="EK384" s="2" t="n">
        <v>100</v>
      </c>
      <c r="EL384" s="2" t="n">
        <v>100</v>
      </c>
      <c r="EM384" s="2" t="n">
        <v>37.72</v>
      </c>
      <c r="EN384" s="2" t="n">
        <v>100</v>
      </c>
      <c r="EO384" s="2" t="n">
        <v>100</v>
      </c>
      <c r="EP384" s="2" t="n">
        <v>37.72</v>
      </c>
      <c r="EQ384" s="2" t="n">
        <v>100</v>
      </c>
      <c r="ER384" s="2" t="n">
        <v>100</v>
      </c>
      <c r="ES384" s="2" t="n">
        <v>37.72</v>
      </c>
      <c r="ET384" s="2" t="n">
        <v>100</v>
      </c>
      <c r="EU384" s="2" t="n">
        <v>100</v>
      </c>
      <c r="EV384" s="2" t="n">
        <v>37.72</v>
      </c>
      <c r="EW384" s="2" t="n">
        <v>100</v>
      </c>
      <c r="EX384" s="2" t="n">
        <v>100</v>
      </c>
      <c r="EY384" s="2" t="n">
        <v>37.72</v>
      </c>
      <c r="EZ384" s="2" t="n">
        <v>100</v>
      </c>
      <c r="FA384" s="2" t="n">
        <v>100</v>
      </c>
      <c r="FB384" s="2" t="n">
        <v>37.72</v>
      </c>
      <c r="FC384" s="2" t="n">
        <v>100</v>
      </c>
      <c r="FD384" s="2" t="n">
        <v>100</v>
      </c>
      <c r="FE384" s="2" t="n">
        <v>37.72</v>
      </c>
      <c r="FF384" s="2" t="n">
        <v>100</v>
      </c>
      <c r="FG384" s="2" t="n">
        <v>100</v>
      </c>
      <c r="FH384" s="2" t="n">
        <v>37.72</v>
      </c>
      <c r="FI384" s="2" t="n">
        <v>100</v>
      </c>
      <c r="FJ384" s="2" t="n">
        <v>100</v>
      </c>
      <c r="FK384" s="2" t="n">
        <v>37.72</v>
      </c>
      <c r="FL384" s="2" t="n">
        <v>100</v>
      </c>
      <c r="FM384" s="2" t="n">
        <v>100</v>
      </c>
      <c r="FN384" s="2" t="n">
        <v>37.72</v>
      </c>
      <c r="FO384" s="2" t="n">
        <v>100</v>
      </c>
      <c r="FP384" s="2" t="n">
        <v>100</v>
      </c>
      <c r="FQ384" s="2" t="n">
        <v>37.72</v>
      </c>
    </row>
    <row r="385">
      <c r="A385" s="2" t="n">
        <v>3</v>
      </c>
      <c r="B385" s="2" t="inlineStr">
        <is>
          <t>19.01.01</t>
        </is>
      </c>
      <c r="C385" s="2" t="inlineStr">
        <is>
          <t>Esp. 9cm</t>
        </is>
      </c>
      <c r="D385" s="2" t="inlineStr">
        <is>
          <t>23/03/2026</t>
        </is>
      </c>
      <c r="E385" s="2" t="inlineStr">
        <is>
          <t>02/03/2028</t>
        </is>
      </c>
      <c r="F385" s="2" t="n">
        <v>187878.1801855944</v>
      </c>
      <c r="G385" s="2" t="n">
        <v>0</v>
      </c>
      <c r="H385" s="2" t="n">
        <v>187878.1801855944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1.15</v>
      </c>
      <c r="BO385" s="2" t="n">
        <v>1.15</v>
      </c>
      <c r="BP385" s="2" t="n">
        <v>0.82</v>
      </c>
      <c r="BQ385" s="2" t="n">
        <v>3.6</v>
      </c>
      <c r="BR385" s="2" t="n">
        <v>3.6</v>
      </c>
      <c r="BS385" s="2" t="n">
        <v>3.6</v>
      </c>
      <c r="BT385" s="2" t="n">
        <v>7.54</v>
      </c>
      <c r="BU385" s="2" t="n">
        <v>7.54</v>
      </c>
      <c r="BV385" s="2" t="n">
        <v>7.67</v>
      </c>
      <c r="BW385" s="2" t="n">
        <v>12.05</v>
      </c>
      <c r="BX385" s="2" t="n">
        <v>12.01</v>
      </c>
      <c r="BY385" s="2" t="n">
        <v>13.7</v>
      </c>
      <c r="BZ385" s="2" t="n">
        <v>24.45</v>
      </c>
      <c r="CA385" s="2" t="n">
        <v>22.37</v>
      </c>
      <c r="CB385" s="2" t="n">
        <v>23.29</v>
      </c>
      <c r="CC385" s="2" t="n">
        <v>33.55</v>
      </c>
      <c r="CD385" s="2" t="n">
        <v>32.88</v>
      </c>
      <c r="CE385" s="2" t="n">
        <v>32.72</v>
      </c>
      <c r="CF385" s="2" t="n">
        <v>36.97</v>
      </c>
      <c r="CG385" s="2" t="n">
        <v>39.57</v>
      </c>
      <c r="CH385" s="2" t="n">
        <v>37.72</v>
      </c>
      <c r="CI385" s="2" t="n">
        <v>38.04</v>
      </c>
      <c r="CJ385" s="2" t="n">
        <v>40.64</v>
      </c>
      <c r="CK385" s="2" t="n">
        <v>37.72</v>
      </c>
      <c r="CL385" s="2" t="n">
        <v>41.38</v>
      </c>
      <c r="CM385" s="2" t="n">
        <v>43.98</v>
      </c>
      <c r="CN385" s="2" t="n">
        <v>37.72</v>
      </c>
      <c r="CO385" s="2" t="n">
        <v>44.22</v>
      </c>
      <c r="CP385" s="2" t="n">
        <v>46.82</v>
      </c>
      <c r="CQ385" s="2" t="n">
        <v>37.72</v>
      </c>
      <c r="CR385" s="2" t="n">
        <v>50.67</v>
      </c>
      <c r="CS385" s="2" t="n">
        <v>53.27</v>
      </c>
      <c r="CT385" s="2" t="n">
        <v>37.72</v>
      </c>
      <c r="CU385" s="2" t="n">
        <v>57.13</v>
      </c>
      <c r="CV385" s="2" t="n">
        <v>59.73</v>
      </c>
      <c r="CW385" s="2" t="n">
        <v>37.72</v>
      </c>
      <c r="CX385" s="2" t="n">
        <v>66.06999999999999</v>
      </c>
      <c r="CY385" s="2" t="n">
        <v>68.33</v>
      </c>
      <c r="CZ385" s="2" t="n">
        <v>37.72</v>
      </c>
      <c r="DA385" s="2" t="n">
        <v>76.34</v>
      </c>
      <c r="DB385" s="2" t="n">
        <v>76.34</v>
      </c>
      <c r="DC385" s="2" t="n">
        <v>37.72</v>
      </c>
      <c r="DD385" s="2" t="n">
        <v>83.27</v>
      </c>
      <c r="DE385" s="2" t="n">
        <v>83.27</v>
      </c>
      <c r="DF385" s="2" t="n">
        <v>37.72</v>
      </c>
      <c r="DG385" s="2" t="n">
        <v>90.20999999999999</v>
      </c>
      <c r="DH385" s="2" t="n">
        <v>90.20999999999999</v>
      </c>
      <c r="DI385" s="2" t="n">
        <v>37.72</v>
      </c>
      <c r="DJ385" s="2" t="n">
        <v>94.5</v>
      </c>
      <c r="DK385" s="2" t="n">
        <v>94.5</v>
      </c>
      <c r="DL385" s="2" t="n">
        <v>37.72</v>
      </c>
      <c r="DM385" s="2" t="n">
        <v>95.68000000000001</v>
      </c>
      <c r="DN385" s="2" t="n">
        <v>95.68000000000001</v>
      </c>
      <c r="DO385" s="2" t="n">
        <v>37.72</v>
      </c>
      <c r="DP385" s="2" t="n">
        <v>95.68000000000001</v>
      </c>
      <c r="DQ385" s="2" t="n">
        <v>95.68000000000001</v>
      </c>
      <c r="DR385" s="2" t="n">
        <v>37.72</v>
      </c>
      <c r="DS385" s="2" t="n">
        <v>95.68000000000001</v>
      </c>
      <c r="DT385" s="2" t="n">
        <v>95.68000000000001</v>
      </c>
      <c r="DU385" s="2" t="n">
        <v>37.72</v>
      </c>
      <c r="DV385" s="2" t="n">
        <v>95.68000000000001</v>
      </c>
      <c r="DW385" s="2" t="n">
        <v>95.68000000000001</v>
      </c>
      <c r="DX385" s="2" t="n">
        <v>37.72</v>
      </c>
      <c r="DY385" s="2" t="n">
        <v>95.68000000000001</v>
      </c>
      <c r="DZ385" s="2" t="n">
        <v>95.68000000000001</v>
      </c>
      <c r="EA385" s="2" t="n">
        <v>37.72</v>
      </c>
      <c r="EB385" s="2" t="n">
        <v>95.68000000000001</v>
      </c>
      <c r="EC385" s="2" t="n">
        <v>95.68000000000001</v>
      </c>
      <c r="ED385" s="2" t="n">
        <v>37.72</v>
      </c>
      <c r="EE385" s="2" t="n">
        <v>98.27</v>
      </c>
      <c r="EF385" s="2" t="n">
        <v>98.27</v>
      </c>
      <c r="EG385" s="2" t="n">
        <v>37.72</v>
      </c>
      <c r="EH385" s="2" t="n">
        <v>100</v>
      </c>
      <c r="EI385" s="2" t="n">
        <v>100</v>
      </c>
      <c r="EJ385" s="2" t="n">
        <v>37.72</v>
      </c>
      <c r="EK385" s="2" t="n">
        <v>100</v>
      </c>
      <c r="EL385" s="2" t="n">
        <v>100</v>
      </c>
      <c r="EM385" s="2" t="n">
        <v>37.72</v>
      </c>
      <c r="EN385" s="2" t="n">
        <v>100</v>
      </c>
      <c r="EO385" s="2" t="n">
        <v>100</v>
      </c>
      <c r="EP385" s="2" t="n">
        <v>37.72</v>
      </c>
      <c r="EQ385" s="2" t="n">
        <v>100</v>
      </c>
      <c r="ER385" s="2" t="n">
        <v>100</v>
      </c>
      <c r="ES385" s="2" t="n">
        <v>37.72</v>
      </c>
      <c r="ET385" s="2" t="n">
        <v>100</v>
      </c>
      <c r="EU385" s="2" t="n">
        <v>100</v>
      </c>
      <c r="EV385" s="2" t="n">
        <v>37.72</v>
      </c>
      <c r="EW385" s="2" t="n">
        <v>100</v>
      </c>
      <c r="EX385" s="2" t="n">
        <v>100</v>
      </c>
      <c r="EY385" s="2" t="n">
        <v>37.72</v>
      </c>
      <c r="EZ385" s="2" t="n">
        <v>100</v>
      </c>
      <c r="FA385" s="2" t="n">
        <v>100</v>
      </c>
      <c r="FB385" s="2" t="n">
        <v>37.72</v>
      </c>
      <c r="FC385" s="2" t="n">
        <v>100</v>
      </c>
      <c r="FD385" s="2" t="n">
        <v>100</v>
      </c>
      <c r="FE385" s="2" t="n">
        <v>37.72</v>
      </c>
      <c r="FF385" s="2" t="n">
        <v>100</v>
      </c>
      <c r="FG385" s="2" t="n">
        <v>100</v>
      </c>
      <c r="FH385" s="2" t="n">
        <v>37.72</v>
      </c>
      <c r="FI385" s="2" t="n">
        <v>100</v>
      </c>
      <c r="FJ385" s="2" t="n">
        <v>100</v>
      </c>
      <c r="FK385" s="2" t="n">
        <v>37.72</v>
      </c>
      <c r="FL385" s="2" t="n">
        <v>100</v>
      </c>
      <c r="FM385" s="2" t="n">
        <v>100</v>
      </c>
      <c r="FN385" s="2" t="n">
        <v>37.72</v>
      </c>
      <c r="FO385" s="2" t="n">
        <v>100</v>
      </c>
      <c r="FP385" s="2" t="n">
        <v>100</v>
      </c>
      <c r="FQ385" s="2" t="n">
        <v>37.72</v>
      </c>
    </row>
    <row r="386">
      <c r="A386" s="2" t="n">
        <v>4</v>
      </c>
      <c r="B386" s="2" t="inlineStr">
        <is>
          <t>19.01.01.01</t>
        </is>
      </c>
      <c r="C386" s="2" t="inlineStr">
        <is>
          <t>Demarcação de alvenaria de vedação com blocos cerâmicos esp.9cm</t>
        </is>
      </c>
      <c r="D386" s="2" t="inlineStr">
        <is>
          <t>23/03/2026</t>
        </is>
      </c>
      <c r="E386" s="2" t="inlineStr">
        <is>
          <t>02/03/2028</t>
        </is>
      </c>
      <c r="F386" s="2" t="n">
        <v>13353.468285184</v>
      </c>
      <c r="G386" s="2" t="n">
        <v>0</v>
      </c>
      <c r="H386" s="2" t="n">
        <v>13353.468285184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1.15</v>
      </c>
      <c r="BO386" s="2" t="n">
        <v>1.15</v>
      </c>
      <c r="BP386" s="2" t="n">
        <v>0.82</v>
      </c>
      <c r="BQ386" s="2" t="n">
        <v>3.6</v>
      </c>
      <c r="BR386" s="2" t="n">
        <v>3.6</v>
      </c>
      <c r="BS386" s="2" t="n">
        <v>3.6</v>
      </c>
      <c r="BT386" s="2" t="n">
        <v>7.54</v>
      </c>
      <c r="BU386" s="2" t="n">
        <v>7.54</v>
      </c>
      <c r="BV386" s="2" t="n">
        <v>7.67</v>
      </c>
      <c r="BW386" s="2" t="n">
        <v>12.05</v>
      </c>
      <c r="BX386" s="2" t="n">
        <v>12.01</v>
      </c>
      <c r="BY386" s="2" t="n">
        <v>13.7</v>
      </c>
      <c r="BZ386" s="2" t="n">
        <v>24.45</v>
      </c>
      <c r="CA386" s="2" t="n">
        <v>22.37</v>
      </c>
      <c r="CB386" s="2" t="n">
        <v>23.29</v>
      </c>
      <c r="CC386" s="2" t="n">
        <v>33.55</v>
      </c>
      <c r="CD386" s="2" t="n">
        <v>32.88</v>
      </c>
      <c r="CE386" s="2" t="n">
        <v>32.72</v>
      </c>
      <c r="CF386" s="2" t="n">
        <v>36.97</v>
      </c>
      <c r="CG386" s="2" t="n">
        <v>39.57</v>
      </c>
      <c r="CH386" s="2" t="n">
        <v>37.72</v>
      </c>
      <c r="CI386" s="2" t="n">
        <v>38.04</v>
      </c>
      <c r="CJ386" s="2" t="n">
        <v>40.64</v>
      </c>
      <c r="CK386" s="2" t="n">
        <v>37.72</v>
      </c>
      <c r="CL386" s="2" t="n">
        <v>41.38</v>
      </c>
      <c r="CM386" s="2" t="n">
        <v>43.98</v>
      </c>
      <c r="CN386" s="2" t="n">
        <v>37.72</v>
      </c>
      <c r="CO386" s="2" t="n">
        <v>44.22</v>
      </c>
      <c r="CP386" s="2" t="n">
        <v>46.82</v>
      </c>
      <c r="CQ386" s="2" t="n">
        <v>37.72</v>
      </c>
      <c r="CR386" s="2" t="n">
        <v>50.67</v>
      </c>
      <c r="CS386" s="2" t="n">
        <v>53.27</v>
      </c>
      <c r="CT386" s="2" t="n">
        <v>37.72</v>
      </c>
      <c r="CU386" s="2" t="n">
        <v>57.13</v>
      </c>
      <c r="CV386" s="2" t="n">
        <v>59.73</v>
      </c>
      <c r="CW386" s="2" t="n">
        <v>37.72</v>
      </c>
      <c r="CX386" s="2" t="n">
        <v>66.06999999999999</v>
      </c>
      <c r="CY386" s="2" t="n">
        <v>68.33</v>
      </c>
      <c r="CZ386" s="2" t="n">
        <v>37.72</v>
      </c>
      <c r="DA386" s="2" t="n">
        <v>76.34</v>
      </c>
      <c r="DB386" s="2" t="n">
        <v>76.34</v>
      </c>
      <c r="DC386" s="2" t="n">
        <v>37.72</v>
      </c>
      <c r="DD386" s="2" t="n">
        <v>83.27</v>
      </c>
      <c r="DE386" s="2" t="n">
        <v>83.27</v>
      </c>
      <c r="DF386" s="2" t="n">
        <v>37.72</v>
      </c>
      <c r="DG386" s="2" t="n">
        <v>90.20999999999999</v>
      </c>
      <c r="DH386" s="2" t="n">
        <v>90.20999999999999</v>
      </c>
      <c r="DI386" s="2" t="n">
        <v>37.72</v>
      </c>
      <c r="DJ386" s="2" t="n">
        <v>94.5</v>
      </c>
      <c r="DK386" s="2" t="n">
        <v>94.5</v>
      </c>
      <c r="DL386" s="2" t="n">
        <v>37.72</v>
      </c>
      <c r="DM386" s="2" t="n">
        <v>95.68000000000001</v>
      </c>
      <c r="DN386" s="2" t="n">
        <v>95.68000000000001</v>
      </c>
      <c r="DO386" s="2" t="n">
        <v>37.72</v>
      </c>
      <c r="DP386" s="2" t="n">
        <v>95.68000000000001</v>
      </c>
      <c r="DQ386" s="2" t="n">
        <v>95.68000000000001</v>
      </c>
      <c r="DR386" s="2" t="n">
        <v>37.72</v>
      </c>
      <c r="DS386" s="2" t="n">
        <v>95.68000000000001</v>
      </c>
      <c r="DT386" s="2" t="n">
        <v>95.68000000000001</v>
      </c>
      <c r="DU386" s="2" t="n">
        <v>37.72</v>
      </c>
      <c r="DV386" s="2" t="n">
        <v>95.68000000000001</v>
      </c>
      <c r="DW386" s="2" t="n">
        <v>95.68000000000001</v>
      </c>
      <c r="DX386" s="2" t="n">
        <v>37.72</v>
      </c>
      <c r="DY386" s="2" t="n">
        <v>95.68000000000001</v>
      </c>
      <c r="DZ386" s="2" t="n">
        <v>95.68000000000001</v>
      </c>
      <c r="EA386" s="2" t="n">
        <v>37.72</v>
      </c>
      <c r="EB386" s="2" t="n">
        <v>95.68000000000001</v>
      </c>
      <c r="EC386" s="2" t="n">
        <v>95.68000000000001</v>
      </c>
      <c r="ED386" s="2" t="n">
        <v>37.72</v>
      </c>
      <c r="EE386" s="2" t="n">
        <v>98.27</v>
      </c>
      <c r="EF386" s="2" t="n">
        <v>98.27</v>
      </c>
      <c r="EG386" s="2" t="n">
        <v>37.72</v>
      </c>
      <c r="EH386" s="2" t="n">
        <v>100</v>
      </c>
      <c r="EI386" s="2" t="n">
        <v>100</v>
      </c>
      <c r="EJ386" s="2" t="n">
        <v>37.72</v>
      </c>
      <c r="EK386" s="2" t="n">
        <v>100</v>
      </c>
      <c r="EL386" s="2" t="n">
        <v>100</v>
      </c>
      <c r="EM386" s="2" t="n">
        <v>37.72</v>
      </c>
      <c r="EN386" s="2" t="n">
        <v>100</v>
      </c>
      <c r="EO386" s="2" t="n">
        <v>100</v>
      </c>
      <c r="EP386" s="2" t="n">
        <v>37.72</v>
      </c>
      <c r="EQ386" s="2" t="n">
        <v>100</v>
      </c>
      <c r="ER386" s="2" t="n">
        <v>100</v>
      </c>
      <c r="ES386" s="2" t="n">
        <v>37.72</v>
      </c>
      <c r="ET386" s="2" t="n">
        <v>100</v>
      </c>
      <c r="EU386" s="2" t="n">
        <v>100</v>
      </c>
      <c r="EV386" s="2" t="n">
        <v>37.72</v>
      </c>
      <c r="EW386" s="2" t="n">
        <v>100</v>
      </c>
      <c r="EX386" s="2" t="n">
        <v>100</v>
      </c>
      <c r="EY386" s="2" t="n">
        <v>37.72</v>
      </c>
      <c r="EZ386" s="2" t="n">
        <v>100</v>
      </c>
      <c r="FA386" s="2" t="n">
        <v>100</v>
      </c>
      <c r="FB386" s="2" t="n">
        <v>37.72</v>
      </c>
      <c r="FC386" s="2" t="n">
        <v>100</v>
      </c>
      <c r="FD386" s="2" t="n">
        <v>100</v>
      </c>
      <c r="FE386" s="2" t="n">
        <v>37.72</v>
      </c>
      <c r="FF386" s="2" t="n">
        <v>100</v>
      </c>
      <c r="FG386" s="2" t="n">
        <v>100</v>
      </c>
      <c r="FH386" s="2" t="n">
        <v>37.72</v>
      </c>
      <c r="FI386" s="2" t="n">
        <v>100</v>
      </c>
      <c r="FJ386" s="2" t="n">
        <v>100</v>
      </c>
      <c r="FK386" s="2" t="n">
        <v>37.72</v>
      </c>
      <c r="FL386" s="2" t="n">
        <v>100</v>
      </c>
      <c r="FM386" s="2" t="n">
        <v>100</v>
      </c>
      <c r="FN386" s="2" t="n">
        <v>37.72</v>
      </c>
      <c r="FO386" s="2" t="n">
        <v>100</v>
      </c>
      <c r="FP386" s="2" t="n">
        <v>100</v>
      </c>
      <c r="FQ386" s="2" t="n">
        <v>37.72</v>
      </c>
    </row>
    <row r="387">
      <c r="A387" s="2" t="n">
        <v>4</v>
      </c>
      <c r="B387" s="2" t="inlineStr">
        <is>
          <t>19.01.01.02</t>
        </is>
      </c>
      <c r="C387" s="2" t="inlineStr">
        <is>
          <t>Alvenaria de vedação com blocos cerâmicos esp. 9cm</t>
        </is>
      </c>
      <c r="D387" s="2" t="inlineStr">
        <is>
          <t>23/03/2026</t>
        </is>
      </c>
      <c r="E387" s="2" t="inlineStr">
        <is>
          <t>02/03/2028</t>
        </is>
      </c>
      <c r="F387" s="2" t="n">
        <v>162874.82258992</v>
      </c>
      <c r="G387" s="2" t="n">
        <v>0</v>
      </c>
      <c r="H387" s="2" t="n">
        <v>162874.82258992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1.15</v>
      </c>
      <c r="BO387" s="2" t="n">
        <v>1.15</v>
      </c>
      <c r="BP387" s="2" t="n">
        <v>0.82</v>
      </c>
      <c r="BQ387" s="2" t="n">
        <v>3.6</v>
      </c>
      <c r="BR387" s="2" t="n">
        <v>3.6</v>
      </c>
      <c r="BS387" s="2" t="n">
        <v>3.6</v>
      </c>
      <c r="BT387" s="2" t="n">
        <v>7.54</v>
      </c>
      <c r="BU387" s="2" t="n">
        <v>7.54</v>
      </c>
      <c r="BV387" s="2" t="n">
        <v>7.67</v>
      </c>
      <c r="BW387" s="2" t="n">
        <v>12.05</v>
      </c>
      <c r="BX387" s="2" t="n">
        <v>12.01</v>
      </c>
      <c r="BY387" s="2" t="n">
        <v>13.7</v>
      </c>
      <c r="BZ387" s="2" t="n">
        <v>24.45</v>
      </c>
      <c r="CA387" s="2" t="n">
        <v>22.37</v>
      </c>
      <c r="CB387" s="2" t="n">
        <v>23.29</v>
      </c>
      <c r="CC387" s="2" t="n">
        <v>33.55</v>
      </c>
      <c r="CD387" s="2" t="n">
        <v>32.88</v>
      </c>
      <c r="CE387" s="2" t="n">
        <v>32.72</v>
      </c>
      <c r="CF387" s="2" t="n">
        <v>36.97</v>
      </c>
      <c r="CG387" s="2" t="n">
        <v>39.57</v>
      </c>
      <c r="CH387" s="2" t="n">
        <v>37.72</v>
      </c>
      <c r="CI387" s="2" t="n">
        <v>38.04</v>
      </c>
      <c r="CJ387" s="2" t="n">
        <v>40.64</v>
      </c>
      <c r="CK387" s="2" t="n">
        <v>37.72</v>
      </c>
      <c r="CL387" s="2" t="n">
        <v>41.38</v>
      </c>
      <c r="CM387" s="2" t="n">
        <v>43.98</v>
      </c>
      <c r="CN387" s="2" t="n">
        <v>37.72</v>
      </c>
      <c r="CO387" s="2" t="n">
        <v>44.22</v>
      </c>
      <c r="CP387" s="2" t="n">
        <v>46.82</v>
      </c>
      <c r="CQ387" s="2" t="n">
        <v>37.72</v>
      </c>
      <c r="CR387" s="2" t="n">
        <v>50.67</v>
      </c>
      <c r="CS387" s="2" t="n">
        <v>53.27</v>
      </c>
      <c r="CT387" s="2" t="n">
        <v>37.72</v>
      </c>
      <c r="CU387" s="2" t="n">
        <v>57.13</v>
      </c>
      <c r="CV387" s="2" t="n">
        <v>59.73</v>
      </c>
      <c r="CW387" s="2" t="n">
        <v>37.72</v>
      </c>
      <c r="CX387" s="2" t="n">
        <v>66.06999999999999</v>
      </c>
      <c r="CY387" s="2" t="n">
        <v>68.33</v>
      </c>
      <c r="CZ387" s="2" t="n">
        <v>37.72</v>
      </c>
      <c r="DA387" s="2" t="n">
        <v>76.34</v>
      </c>
      <c r="DB387" s="2" t="n">
        <v>76.34</v>
      </c>
      <c r="DC387" s="2" t="n">
        <v>37.72</v>
      </c>
      <c r="DD387" s="2" t="n">
        <v>83.27</v>
      </c>
      <c r="DE387" s="2" t="n">
        <v>83.27</v>
      </c>
      <c r="DF387" s="2" t="n">
        <v>37.72</v>
      </c>
      <c r="DG387" s="2" t="n">
        <v>90.20999999999999</v>
      </c>
      <c r="DH387" s="2" t="n">
        <v>90.20999999999999</v>
      </c>
      <c r="DI387" s="2" t="n">
        <v>37.72</v>
      </c>
      <c r="DJ387" s="2" t="n">
        <v>94.5</v>
      </c>
      <c r="DK387" s="2" t="n">
        <v>94.5</v>
      </c>
      <c r="DL387" s="2" t="n">
        <v>37.72</v>
      </c>
      <c r="DM387" s="2" t="n">
        <v>95.68000000000001</v>
      </c>
      <c r="DN387" s="2" t="n">
        <v>95.68000000000001</v>
      </c>
      <c r="DO387" s="2" t="n">
        <v>37.72</v>
      </c>
      <c r="DP387" s="2" t="n">
        <v>95.68000000000001</v>
      </c>
      <c r="DQ387" s="2" t="n">
        <v>95.68000000000001</v>
      </c>
      <c r="DR387" s="2" t="n">
        <v>37.72</v>
      </c>
      <c r="DS387" s="2" t="n">
        <v>95.68000000000001</v>
      </c>
      <c r="DT387" s="2" t="n">
        <v>95.68000000000001</v>
      </c>
      <c r="DU387" s="2" t="n">
        <v>37.72</v>
      </c>
      <c r="DV387" s="2" t="n">
        <v>95.68000000000001</v>
      </c>
      <c r="DW387" s="2" t="n">
        <v>95.68000000000001</v>
      </c>
      <c r="DX387" s="2" t="n">
        <v>37.72</v>
      </c>
      <c r="DY387" s="2" t="n">
        <v>95.68000000000001</v>
      </c>
      <c r="DZ387" s="2" t="n">
        <v>95.68000000000001</v>
      </c>
      <c r="EA387" s="2" t="n">
        <v>37.72</v>
      </c>
      <c r="EB387" s="2" t="n">
        <v>95.68000000000001</v>
      </c>
      <c r="EC387" s="2" t="n">
        <v>95.68000000000001</v>
      </c>
      <c r="ED387" s="2" t="n">
        <v>37.72</v>
      </c>
      <c r="EE387" s="2" t="n">
        <v>98.27</v>
      </c>
      <c r="EF387" s="2" t="n">
        <v>98.27</v>
      </c>
      <c r="EG387" s="2" t="n">
        <v>37.72</v>
      </c>
      <c r="EH387" s="2" t="n">
        <v>100</v>
      </c>
      <c r="EI387" s="2" t="n">
        <v>100</v>
      </c>
      <c r="EJ387" s="2" t="n">
        <v>37.72</v>
      </c>
      <c r="EK387" s="2" t="n">
        <v>100</v>
      </c>
      <c r="EL387" s="2" t="n">
        <v>100</v>
      </c>
      <c r="EM387" s="2" t="n">
        <v>37.72</v>
      </c>
      <c r="EN387" s="2" t="n">
        <v>100</v>
      </c>
      <c r="EO387" s="2" t="n">
        <v>100</v>
      </c>
      <c r="EP387" s="2" t="n">
        <v>37.72</v>
      </c>
      <c r="EQ387" s="2" t="n">
        <v>100</v>
      </c>
      <c r="ER387" s="2" t="n">
        <v>100</v>
      </c>
      <c r="ES387" s="2" t="n">
        <v>37.72</v>
      </c>
      <c r="ET387" s="2" t="n">
        <v>100</v>
      </c>
      <c r="EU387" s="2" t="n">
        <v>100</v>
      </c>
      <c r="EV387" s="2" t="n">
        <v>37.72</v>
      </c>
      <c r="EW387" s="2" t="n">
        <v>100</v>
      </c>
      <c r="EX387" s="2" t="n">
        <v>100</v>
      </c>
      <c r="EY387" s="2" t="n">
        <v>37.72</v>
      </c>
      <c r="EZ387" s="2" t="n">
        <v>100</v>
      </c>
      <c r="FA387" s="2" t="n">
        <v>100</v>
      </c>
      <c r="FB387" s="2" t="n">
        <v>37.72</v>
      </c>
      <c r="FC387" s="2" t="n">
        <v>100</v>
      </c>
      <c r="FD387" s="2" t="n">
        <v>100</v>
      </c>
      <c r="FE387" s="2" t="n">
        <v>37.72</v>
      </c>
      <c r="FF387" s="2" t="n">
        <v>100</v>
      </c>
      <c r="FG387" s="2" t="n">
        <v>100</v>
      </c>
      <c r="FH387" s="2" t="n">
        <v>37.72</v>
      </c>
      <c r="FI387" s="2" t="n">
        <v>100</v>
      </c>
      <c r="FJ387" s="2" t="n">
        <v>100</v>
      </c>
      <c r="FK387" s="2" t="n">
        <v>37.72</v>
      </c>
      <c r="FL387" s="2" t="n">
        <v>100</v>
      </c>
      <c r="FM387" s="2" t="n">
        <v>100</v>
      </c>
      <c r="FN387" s="2" t="n">
        <v>37.72</v>
      </c>
      <c r="FO387" s="2" t="n">
        <v>100</v>
      </c>
      <c r="FP387" s="2" t="n">
        <v>100</v>
      </c>
      <c r="FQ387" s="2" t="n">
        <v>37.72</v>
      </c>
    </row>
    <row r="388">
      <c r="A388" s="2" t="n">
        <v>4</v>
      </c>
      <c r="B388" s="2" t="inlineStr">
        <is>
          <t>19.01.01.03</t>
        </is>
      </c>
      <c r="C388" s="2" t="inlineStr">
        <is>
          <t>Encunhamento com espuma expansiva de poliuretano</t>
        </is>
      </c>
      <c r="D388" s="2" t="inlineStr">
        <is>
          <t>23/03/2026</t>
        </is>
      </c>
      <c r="E388" s="2" t="inlineStr">
        <is>
          <t>02/03/2028</t>
        </is>
      </c>
      <c r="F388" s="2" t="n">
        <v>3094.665508298862</v>
      </c>
      <c r="G388" s="2" t="n">
        <v>0</v>
      </c>
      <c r="H388" s="2" t="n">
        <v>3094.665508298862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1.15</v>
      </c>
      <c r="BO388" s="2" t="n">
        <v>1.15</v>
      </c>
      <c r="BP388" s="2" t="n">
        <v>0.82</v>
      </c>
      <c r="BQ388" s="2" t="n">
        <v>3.6</v>
      </c>
      <c r="BR388" s="2" t="n">
        <v>3.6</v>
      </c>
      <c r="BS388" s="2" t="n">
        <v>3.6</v>
      </c>
      <c r="BT388" s="2" t="n">
        <v>7.54</v>
      </c>
      <c r="BU388" s="2" t="n">
        <v>7.54</v>
      </c>
      <c r="BV388" s="2" t="n">
        <v>7.67</v>
      </c>
      <c r="BW388" s="2" t="n">
        <v>12.05</v>
      </c>
      <c r="BX388" s="2" t="n">
        <v>12.01</v>
      </c>
      <c r="BY388" s="2" t="n">
        <v>13.7</v>
      </c>
      <c r="BZ388" s="2" t="n">
        <v>24.45</v>
      </c>
      <c r="CA388" s="2" t="n">
        <v>22.37</v>
      </c>
      <c r="CB388" s="2" t="n">
        <v>23.29</v>
      </c>
      <c r="CC388" s="2" t="n">
        <v>33.55</v>
      </c>
      <c r="CD388" s="2" t="n">
        <v>32.88</v>
      </c>
      <c r="CE388" s="2" t="n">
        <v>32.72</v>
      </c>
      <c r="CF388" s="2" t="n">
        <v>36.97</v>
      </c>
      <c r="CG388" s="2" t="n">
        <v>39.57</v>
      </c>
      <c r="CH388" s="2" t="n">
        <v>37.72</v>
      </c>
      <c r="CI388" s="2" t="n">
        <v>38.04</v>
      </c>
      <c r="CJ388" s="2" t="n">
        <v>40.64</v>
      </c>
      <c r="CK388" s="2" t="n">
        <v>37.72</v>
      </c>
      <c r="CL388" s="2" t="n">
        <v>41.38</v>
      </c>
      <c r="CM388" s="2" t="n">
        <v>43.98</v>
      </c>
      <c r="CN388" s="2" t="n">
        <v>37.72</v>
      </c>
      <c r="CO388" s="2" t="n">
        <v>44.22</v>
      </c>
      <c r="CP388" s="2" t="n">
        <v>46.82</v>
      </c>
      <c r="CQ388" s="2" t="n">
        <v>37.72</v>
      </c>
      <c r="CR388" s="2" t="n">
        <v>50.67</v>
      </c>
      <c r="CS388" s="2" t="n">
        <v>53.27</v>
      </c>
      <c r="CT388" s="2" t="n">
        <v>37.72</v>
      </c>
      <c r="CU388" s="2" t="n">
        <v>57.13</v>
      </c>
      <c r="CV388" s="2" t="n">
        <v>59.73</v>
      </c>
      <c r="CW388" s="2" t="n">
        <v>37.72</v>
      </c>
      <c r="CX388" s="2" t="n">
        <v>66.06999999999999</v>
      </c>
      <c r="CY388" s="2" t="n">
        <v>68.33</v>
      </c>
      <c r="CZ388" s="2" t="n">
        <v>37.72</v>
      </c>
      <c r="DA388" s="2" t="n">
        <v>76.34</v>
      </c>
      <c r="DB388" s="2" t="n">
        <v>76.34</v>
      </c>
      <c r="DC388" s="2" t="n">
        <v>37.72</v>
      </c>
      <c r="DD388" s="2" t="n">
        <v>83.27</v>
      </c>
      <c r="DE388" s="2" t="n">
        <v>83.27</v>
      </c>
      <c r="DF388" s="2" t="n">
        <v>37.72</v>
      </c>
      <c r="DG388" s="2" t="n">
        <v>90.20999999999999</v>
      </c>
      <c r="DH388" s="2" t="n">
        <v>90.20999999999999</v>
      </c>
      <c r="DI388" s="2" t="n">
        <v>37.72</v>
      </c>
      <c r="DJ388" s="2" t="n">
        <v>94.5</v>
      </c>
      <c r="DK388" s="2" t="n">
        <v>94.5</v>
      </c>
      <c r="DL388" s="2" t="n">
        <v>37.72</v>
      </c>
      <c r="DM388" s="2" t="n">
        <v>95.68000000000001</v>
      </c>
      <c r="DN388" s="2" t="n">
        <v>95.68000000000001</v>
      </c>
      <c r="DO388" s="2" t="n">
        <v>37.72</v>
      </c>
      <c r="DP388" s="2" t="n">
        <v>95.68000000000001</v>
      </c>
      <c r="DQ388" s="2" t="n">
        <v>95.68000000000001</v>
      </c>
      <c r="DR388" s="2" t="n">
        <v>37.72</v>
      </c>
      <c r="DS388" s="2" t="n">
        <v>95.68000000000001</v>
      </c>
      <c r="DT388" s="2" t="n">
        <v>95.68000000000001</v>
      </c>
      <c r="DU388" s="2" t="n">
        <v>37.72</v>
      </c>
      <c r="DV388" s="2" t="n">
        <v>95.68000000000001</v>
      </c>
      <c r="DW388" s="2" t="n">
        <v>95.68000000000001</v>
      </c>
      <c r="DX388" s="2" t="n">
        <v>37.72</v>
      </c>
      <c r="DY388" s="2" t="n">
        <v>95.68000000000001</v>
      </c>
      <c r="DZ388" s="2" t="n">
        <v>95.68000000000001</v>
      </c>
      <c r="EA388" s="2" t="n">
        <v>37.72</v>
      </c>
      <c r="EB388" s="2" t="n">
        <v>95.68000000000001</v>
      </c>
      <c r="EC388" s="2" t="n">
        <v>95.68000000000001</v>
      </c>
      <c r="ED388" s="2" t="n">
        <v>37.72</v>
      </c>
      <c r="EE388" s="2" t="n">
        <v>98.27</v>
      </c>
      <c r="EF388" s="2" t="n">
        <v>98.27</v>
      </c>
      <c r="EG388" s="2" t="n">
        <v>37.72</v>
      </c>
      <c r="EH388" s="2" t="n">
        <v>100</v>
      </c>
      <c r="EI388" s="2" t="n">
        <v>100</v>
      </c>
      <c r="EJ388" s="2" t="n">
        <v>37.72</v>
      </c>
      <c r="EK388" s="2" t="n">
        <v>100</v>
      </c>
      <c r="EL388" s="2" t="n">
        <v>100</v>
      </c>
      <c r="EM388" s="2" t="n">
        <v>37.72</v>
      </c>
      <c r="EN388" s="2" t="n">
        <v>100</v>
      </c>
      <c r="EO388" s="2" t="n">
        <v>100</v>
      </c>
      <c r="EP388" s="2" t="n">
        <v>37.72</v>
      </c>
      <c r="EQ388" s="2" t="n">
        <v>100</v>
      </c>
      <c r="ER388" s="2" t="n">
        <v>100</v>
      </c>
      <c r="ES388" s="2" t="n">
        <v>37.72</v>
      </c>
      <c r="ET388" s="2" t="n">
        <v>100</v>
      </c>
      <c r="EU388" s="2" t="n">
        <v>100</v>
      </c>
      <c r="EV388" s="2" t="n">
        <v>37.72</v>
      </c>
      <c r="EW388" s="2" t="n">
        <v>100</v>
      </c>
      <c r="EX388" s="2" t="n">
        <v>100</v>
      </c>
      <c r="EY388" s="2" t="n">
        <v>37.72</v>
      </c>
      <c r="EZ388" s="2" t="n">
        <v>100</v>
      </c>
      <c r="FA388" s="2" t="n">
        <v>100</v>
      </c>
      <c r="FB388" s="2" t="n">
        <v>37.72</v>
      </c>
      <c r="FC388" s="2" t="n">
        <v>100</v>
      </c>
      <c r="FD388" s="2" t="n">
        <v>100</v>
      </c>
      <c r="FE388" s="2" t="n">
        <v>37.72</v>
      </c>
      <c r="FF388" s="2" t="n">
        <v>100</v>
      </c>
      <c r="FG388" s="2" t="n">
        <v>100</v>
      </c>
      <c r="FH388" s="2" t="n">
        <v>37.72</v>
      </c>
      <c r="FI388" s="2" t="n">
        <v>100</v>
      </c>
      <c r="FJ388" s="2" t="n">
        <v>100</v>
      </c>
      <c r="FK388" s="2" t="n">
        <v>37.72</v>
      </c>
      <c r="FL388" s="2" t="n">
        <v>100</v>
      </c>
      <c r="FM388" s="2" t="n">
        <v>100</v>
      </c>
      <c r="FN388" s="2" t="n">
        <v>37.72</v>
      </c>
      <c r="FO388" s="2" t="n">
        <v>100</v>
      </c>
      <c r="FP388" s="2" t="n">
        <v>100</v>
      </c>
      <c r="FQ388" s="2" t="n">
        <v>37.72</v>
      </c>
    </row>
    <row r="389">
      <c r="A389" s="2" t="n">
        <v>4</v>
      </c>
      <c r="B389" s="2" t="inlineStr">
        <is>
          <t>19.01.01.04</t>
        </is>
      </c>
      <c r="C389" s="2" t="inlineStr">
        <is>
          <t>Amarração de Alvenaria</t>
        </is>
      </c>
      <c r="D389" s="2" t="inlineStr">
        <is>
          <t>23/03/2026</t>
        </is>
      </c>
      <c r="E389" s="2" t="inlineStr">
        <is>
          <t>02/03/2028</t>
        </is>
      </c>
      <c r="F389" s="2" t="n">
        <v>8555.223802191511</v>
      </c>
      <c r="G389" s="2" t="n">
        <v>0</v>
      </c>
      <c r="H389" s="2" t="n">
        <v>8555.223802191511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1.15</v>
      </c>
      <c r="BO389" s="2" t="n">
        <v>1.15</v>
      </c>
      <c r="BP389" s="2" t="n">
        <v>0.82</v>
      </c>
      <c r="BQ389" s="2" t="n">
        <v>3.6</v>
      </c>
      <c r="BR389" s="2" t="n">
        <v>3.6</v>
      </c>
      <c r="BS389" s="2" t="n">
        <v>3.6</v>
      </c>
      <c r="BT389" s="2" t="n">
        <v>7.54</v>
      </c>
      <c r="BU389" s="2" t="n">
        <v>7.54</v>
      </c>
      <c r="BV389" s="2" t="n">
        <v>7.67</v>
      </c>
      <c r="BW389" s="2" t="n">
        <v>12.05</v>
      </c>
      <c r="BX389" s="2" t="n">
        <v>12.01</v>
      </c>
      <c r="BY389" s="2" t="n">
        <v>13.7</v>
      </c>
      <c r="BZ389" s="2" t="n">
        <v>24.45</v>
      </c>
      <c r="CA389" s="2" t="n">
        <v>22.37</v>
      </c>
      <c r="CB389" s="2" t="n">
        <v>23.29</v>
      </c>
      <c r="CC389" s="2" t="n">
        <v>33.55</v>
      </c>
      <c r="CD389" s="2" t="n">
        <v>32.88</v>
      </c>
      <c r="CE389" s="2" t="n">
        <v>32.72</v>
      </c>
      <c r="CF389" s="2" t="n">
        <v>36.97</v>
      </c>
      <c r="CG389" s="2" t="n">
        <v>39.57</v>
      </c>
      <c r="CH389" s="2" t="n">
        <v>37.72</v>
      </c>
      <c r="CI389" s="2" t="n">
        <v>38.04</v>
      </c>
      <c r="CJ389" s="2" t="n">
        <v>40.64</v>
      </c>
      <c r="CK389" s="2" t="n">
        <v>37.72</v>
      </c>
      <c r="CL389" s="2" t="n">
        <v>41.38</v>
      </c>
      <c r="CM389" s="2" t="n">
        <v>43.98</v>
      </c>
      <c r="CN389" s="2" t="n">
        <v>37.72</v>
      </c>
      <c r="CO389" s="2" t="n">
        <v>44.22</v>
      </c>
      <c r="CP389" s="2" t="n">
        <v>46.82</v>
      </c>
      <c r="CQ389" s="2" t="n">
        <v>37.72</v>
      </c>
      <c r="CR389" s="2" t="n">
        <v>50.67</v>
      </c>
      <c r="CS389" s="2" t="n">
        <v>53.27</v>
      </c>
      <c r="CT389" s="2" t="n">
        <v>37.72</v>
      </c>
      <c r="CU389" s="2" t="n">
        <v>57.13</v>
      </c>
      <c r="CV389" s="2" t="n">
        <v>59.73</v>
      </c>
      <c r="CW389" s="2" t="n">
        <v>37.72</v>
      </c>
      <c r="CX389" s="2" t="n">
        <v>66.06999999999999</v>
      </c>
      <c r="CY389" s="2" t="n">
        <v>68.33</v>
      </c>
      <c r="CZ389" s="2" t="n">
        <v>37.72</v>
      </c>
      <c r="DA389" s="2" t="n">
        <v>76.34</v>
      </c>
      <c r="DB389" s="2" t="n">
        <v>76.34</v>
      </c>
      <c r="DC389" s="2" t="n">
        <v>37.72</v>
      </c>
      <c r="DD389" s="2" t="n">
        <v>83.27</v>
      </c>
      <c r="DE389" s="2" t="n">
        <v>83.27</v>
      </c>
      <c r="DF389" s="2" t="n">
        <v>37.72</v>
      </c>
      <c r="DG389" s="2" t="n">
        <v>90.20999999999999</v>
      </c>
      <c r="DH389" s="2" t="n">
        <v>90.20999999999999</v>
      </c>
      <c r="DI389" s="2" t="n">
        <v>37.72</v>
      </c>
      <c r="DJ389" s="2" t="n">
        <v>94.5</v>
      </c>
      <c r="DK389" s="2" t="n">
        <v>94.5</v>
      </c>
      <c r="DL389" s="2" t="n">
        <v>37.72</v>
      </c>
      <c r="DM389" s="2" t="n">
        <v>95.68000000000001</v>
      </c>
      <c r="DN389" s="2" t="n">
        <v>95.68000000000001</v>
      </c>
      <c r="DO389" s="2" t="n">
        <v>37.72</v>
      </c>
      <c r="DP389" s="2" t="n">
        <v>95.68000000000001</v>
      </c>
      <c r="DQ389" s="2" t="n">
        <v>95.68000000000001</v>
      </c>
      <c r="DR389" s="2" t="n">
        <v>37.72</v>
      </c>
      <c r="DS389" s="2" t="n">
        <v>95.68000000000001</v>
      </c>
      <c r="DT389" s="2" t="n">
        <v>95.68000000000001</v>
      </c>
      <c r="DU389" s="2" t="n">
        <v>37.72</v>
      </c>
      <c r="DV389" s="2" t="n">
        <v>95.68000000000001</v>
      </c>
      <c r="DW389" s="2" t="n">
        <v>95.68000000000001</v>
      </c>
      <c r="DX389" s="2" t="n">
        <v>37.72</v>
      </c>
      <c r="DY389" s="2" t="n">
        <v>95.68000000000001</v>
      </c>
      <c r="DZ389" s="2" t="n">
        <v>95.68000000000001</v>
      </c>
      <c r="EA389" s="2" t="n">
        <v>37.72</v>
      </c>
      <c r="EB389" s="2" t="n">
        <v>95.68000000000001</v>
      </c>
      <c r="EC389" s="2" t="n">
        <v>95.68000000000001</v>
      </c>
      <c r="ED389" s="2" t="n">
        <v>37.72</v>
      </c>
      <c r="EE389" s="2" t="n">
        <v>98.27</v>
      </c>
      <c r="EF389" s="2" t="n">
        <v>98.27</v>
      </c>
      <c r="EG389" s="2" t="n">
        <v>37.72</v>
      </c>
      <c r="EH389" s="2" t="n">
        <v>100</v>
      </c>
      <c r="EI389" s="2" t="n">
        <v>100</v>
      </c>
      <c r="EJ389" s="2" t="n">
        <v>37.72</v>
      </c>
      <c r="EK389" s="2" t="n">
        <v>100</v>
      </c>
      <c r="EL389" s="2" t="n">
        <v>100</v>
      </c>
      <c r="EM389" s="2" t="n">
        <v>37.72</v>
      </c>
      <c r="EN389" s="2" t="n">
        <v>100</v>
      </c>
      <c r="EO389" s="2" t="n">
        <v>100</v>
      </c>
      <c r="EP389" s="2" t="n">
        <v>37.72</v>
      </c>
      <c r="EQ389" s="2" t="n">
        <v>100</v>
      </c>
      <c r="ER389" s="2" t="n">
        <v>100</v>
      </c>
      <c r="ES389" s="2" t="n">
        <v>37.72</v>
      </c>
      <c r="ET389" s="2" t="n">
        <v>100</v>
      </c>
      <c r="EU389" s="2" t="n">
        <v>100</v>
      </c>
      <c r="EV389" s="2" t="n">
        <v>37.72</v>
      </c>
      <c r="EW389" s="2" t="n">
        <v>100</v>
      </c>
      <c r="EX389" s="2" t="n">
        <v>100</v>
      </c>
      <c r="EY389" s="2" t="n">
        <v>37.72</v>
      </c>
      <c r="EZ389" s="2" t="n">
        <v>100</v>
      </c>
      <c r="FA389" s="2" t="n">
        <v>100</v>
      </c>
      <c r="FB389" s="2" t="n">
        <v>37.72</v>
      </c>
      <c r="FC389" s="2" t="n">
        <v>100</v>
      </c>
      <c r="FD389" s="2" t="n">
        <v>100</v>
      </c>
      <c r="FE389" s="2" t="n">
        <v>37.72</v>
      </c>
      <c r="FF389" s="2" t="n">
        <v>100</v>
      </c>
      <c r="FG389" s="2" t="n">
        <v>100</v>
      </c>
      <c r="FH389" s="2" t="n">
        <v>37.72</v>
      </c>
      <c r="FI389" s="2" t="n">
        <v>100</v>
      </c>
      <c r="FJ389" s="2" t="n">
        <v>100</v>
      </c>
      <c r="FK389" s="2" t="n">
        <v>37.72</v>
      </c>
      <c r="FL389" s="2" t="n">
        <v>100</v>
      </c>
      <c r="FM389" s="2" t="n">
        <v>100</v>
      </c>
      <c r="FN389" s="2" t="n">
        <v>37.72</v>
      </c>
      <c r="FO389" s="2" t="n">
        <v>100</v>
      </c>
      <c r="FP389" s="2" t="n">
        <v>100</v>
      </c>
      <c r="FQ389" s="2" t="n">
        <v>37.72</v>
      </c>
    </row>
    <row r="390">
      <c r="A390" s="2" t="n">
        <v>3</v>
      </c>
      <c r="B390" s="2" t="inlineStr">
        <is>
          <t>19.01.02</t>
        </is>
      </c>
      <c r="C390" s="2" t="inlineStr">
        <is>
          <t>Esp. 14cm</t>
        </is>
      </c>
      <c r="D390" s="2" t="inlineStr">
        <is>
          <t>23/03/2026</t>
        </is>
      </c>
      <c r="E390" s="2" t="inlineStr">
        <is>
          <t>02/03/2028</t>
        </is>
      </c>
      <c r="F390" s="2" t="n">
        <v>820616.8520266045</v>
      </c>
      <c r="G390" s="2" t="n">
        <v>0</v>
      </c>
      <c r="H390" s="2" t="n">
        <v>820616.8520266045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1.15</v>
      </c>
      <c r="BO390" s="2" t="n">
        <v>1.15</v>
      </c>
      <c r="BP390" s="2" t="n">
        <v>0.82</v>
      </c>
      <c r="BQ390" s="2" t="n">
        <v>3.6</v>
      </c>
      <c r="BR390" s="2" t="n">
        <v>3.6</v>
      </c>
      <c r="BS390" s="2" t="n">
        <v>3.6</v>
      </c>
      <c r="BT390" s="2" t="n">
        <v>7.54</v>
      </c>
      <c r="BU390" s="2" t="n">
        <v>7.54</v>
      </c>
      <c r="BV390" s="2" t="n">
        <v>7.67</v>
      </c>
      <c r="BW390" s="2" t="n">
        <v>12.05</v>
      </c>
      <c r="BX390" s="2" t="n">
        <v>12.01</v>
      </c>
      <c r="BY390" s="2" t="n">
        <v>13.7</v>
      </c>
      <c r="BZ390" s="2" t="n">
        <v>24.45</v>
      </c>
      <c r="CA390" s="2" t="n">
        <v>22.37</v>
      </c>
      <c r="CB390" s="2" t="n">
        <v>23.29</v>
      </c>
      <c r="CC390" s="2" t="n">
        <v>33.55</v>
      </c>
      <c r="CD390" s="2" t="n">
        <v>32.88</v>
      </c>
      <c r="CE390" s="2" t="n">
        <v>32.72</v>
      </c>
      <c r="CF390" s="2" t="n">
        <v>36.97</v>
      </c>
      <c r="CG390" s="2" t="n">
        <v>39.57</v>
      </c>
      <c r="CH390" s="2" t="n">
        <v>37.72</v>
      </c>
      <c r="CI390" s="2" t="n">
        <v>38.04</v>
      </c>
      <c r="CJ390" s="2" t="n">
        <v>40.64</v>
      </c>
      <c r="CK390" s="2" t="n">
        <v>37.72</v>
      </c>
      <c r="CL390" s="2" t="n">
        <v>41.38</v>
      </c>
      <c r="CM390" s="2" t="n">
        <v>43.98</v>
      </c>
      <c r="CN390" s="2" t="n">
        <v>37.72</v>
      </c>
      <c r="CO390" s="2" t="n">
        <v>44.22</v>
      </c>
      <c r="CP390" s="2" t="n">
        <v>46.82</v>
      </c>
      <c r="CQ390" s="2" t="n">
        <v>37.72</v>
      </c>
      <c r="CR390" s="2" t="n">
        <v>50.67</v>
      </c>
      <c r="CS390" s="2" t="n">
        <v>53.27</v>
      </c>
      <c r="CT390" s="2" t="n">
        <v>37.72</v>
      </c>
      <c r="CU390" s="2" t="n">
        <v>57.13</v>
      </c>
      <c r="CV390" s="2" t="n">
        <v>59.73</v>
      </c>
      <c r="CW390" s="2" t="n">
        <v>37.72</v>
      </c>
      <c r="CX390" s="2" t="n">
        <v>66.06999999999999</v>
      </c>
      <c r="CY390" s="2" t="n">
        <v>68.33</v>
      </c>
      <c r="CZ390" s="2" t="n">
        <v>37.72</v>
      </c>
      <c r="DA390" s="2" t="n">
        <v>76.34</v>
      </c>
      <c r="DB390" s="2" t="n">
        <v>76.34</v>
      </c>
      <c r="DC390" s="2" t="n">
        <v>37.72</v>
      </c>
      <c r="DD390" s="2" t="n">
        <v>83.27</v>
      </c>
      <c r="DE390" s="2" t="n">
        <v>83.27</v>
      </c>
      <c r="DF390" s="2" t="n">
        <v>37.72</v>
      </c>
      <c r="DG390" s="2" t="n">
        <v>90.20999999999999</v>
      </c>
      <c r="DH390" s="2" t="n">
        <v>90.20999999999999</v>
      </c>
      <c r="DI390" s="2" t="n">
        <v>37.72</v>
      </c>
      <c r="DJ390" s="2" t="n">
        <v>94.5</v>
      </c>
      <c r="DK390" s="2" t="n">
        <v>94.5</v>
      </c>
      <c r="DL390" s="2" t="n">
        <v>37.72</v>
      </c>
      <c r="DM390" s="2" t="n">
        <v>95.68000000000001</v>
      </c>
      <c r="DN390" s="2" t="n">
        <v>95.68000000000001</v>
      </c>
      <c r="DO390" s="2" t="n">
        <v>37.72</v>
      </c>
      <c r="DP390" s="2" t="n">
        <v>95.68000000000001</v>
      </c>
      <c r="DQ390" s="2" t="n">
        <v>95.68000000000001</v>
      </c>
      <c r="DR390" s="2" t="n">
        <v>37.72</v>
      </c>
      <c r="DS390" s="2" t="n">
        <v>95.68000000000001</v>
      </c>
      <c r="DT390" s="2" t="n">
        <v>95.68000000000001</v>
      </c>
      <c r="DU390" s="2" t="n">
        <v>37.72</v>
      </c>
      <c r="DV390" s="2" t="n">
        <v>95.68000000000001</v>
      </c>
      <c r="DW390" s="2" t="n">
        <v>95.68000000000001</v>
      </c>
      <c r="DX390" s="2" t="n">
        <v>37.72</v>
      </c>
      <c r="DY390" s="2" t="n">
        <v>95.68000000000001</v>
      </c>
      <c r="DZ390" s="2" t="n">
        <v>95.68000000000001</v>
      </c>
      <c r="EA390" s="2" t="n">
        <v>37.72</v>
      </c>
      <c r="EB390" s="2" t="n">
        <v>95.68000000000001</v>
      </c>
      <c r="EC390" s="2" t="n">
        <v>95.68000000000001</v>
      </c>
      <c r="ED390" s="2" t="n">
        <v>37.72</v>
      </c>
      <c r="EE390" s="2" t="n">
        <v>98.27</v>
      </c>
      <c r="EF390" s="2" t="n">
        <v>98.27</v>
      </c>
      <c r="EG390" s="2" t="n">
        <v>37.72</v>
      </c>
      <c r="EH390" s="2" t="n">
        <v>100</v>
      </c>
      <c r="EI390" s="2" t="n">
        <v>100</v>
      </c>
      <c r="EJ390" s="2" t="n">
        <v>37.72</v>
      </c>
      <c r="EK390" s="2" t="n">
        <v>100</v>
      </c>
      <c r="EL390" s="2" t="n">
        <v>100</v>
      </c>
      <c r="EM390" s="2" t="n">
        <v>37.72</v>
      </c>
      <c r="EN390" s="2" t="n">
        <v>100</v>
      </c>
      <c r="EO390" s="2" t="n">
        <v>100</v>
      </c>
      <c r="EP390" s="2" t="n">
        <v>37.72</v>
      </c>
      <c r="EQ390" s="2" t="n">
        <v>100</v>
      </c>
      <c r="ER390" s="2" t="n">
        <v>100</v>
      </c>
      <c r="ES390" s="2" t="n">
        <v>37.72</v>
      </c>
      <c r="ET390" s="2" t="n">
        <v>100</v>
      </c>
      <c r="EU390" s="2" t="n">
        <v>100</v>
      </c>
      <c r="EV390" s="2" t="n">
        <v>37.72</v>
      </c>
      <c r="EW390" s="2" t="n">
        <v>100</v>
      </c>
      <c r="EX390" s="2" t="n">
        <v>100</v>
      </c>
      <c r="EY390" s="2" t="n">
        <v>37.72</v>
      </c>
      <c r="EZ390" s="2" t="n">
        <v>100</v>
      </c>
      <c r="FA390" s="2" t="n">
        <v>100</v>
      </c>
      <c r="FB390" s="2" t="n">
        <v>37.72</v>
      </c>
      <c r="FC390" s="2" t="n">
        <v>100</v>
      </c>
      <c r="FD390" s="2" t="n">
        <v>100</v>
      </c>
      <c r="FE390" s="2" t="n">
        <v>37.72</v>
      </c>
      <c r="FF390" s="2" t="n">
        <v>100</v>
      </c>
      <c r="FG390" s="2" t="n">
        <v>100</v>
      </c>
      <c r="FH390" s="2" t="n">
        <v>37.72</v>
      </c>
      <c r="FI390" s="2" t="n">
        <v>100</v>
      </c>
      <c r="FJ390" s="2" t="n">
        <v>100</v>
      </c>
      <c r="FK390" s="2" t="n">
        <v>37.72</v>
      </c>
      <c r="FL390" s="2" t="n">
        <v>100</v>
      </c>
      <c r="FM390" s="2" t="n">
        <v>100</v>
      </c>
      <c r="FN390" s="2" t="n">
        <v>37.72</v>
      </c>
      <c r="FO390" s="2" t="n">
        <v>100</v>
      </c>
      <c r="FP390" s="2" t="n">
        <v>100</v>
      </c>
      <c r="FQ390" s="2" t="n">
        <v>37.72</v>
      </c>
    </row>
    <row r="391">
      <c r="A391" s="2" t="n">
        <v>4</v>
      </c>
      <c r="B391" s="2" t="inlineStr">
        <is>
          <t>19.01.02.01</t>
        </is>
      </c>
      <c r="C391" s="2" t="inlineStr">
        <is>
          <t>Demarcação de alvenaria de vedação com blocos cerâmicos  esp. 14cm</t>
        </is>
      </c>
      <c r="D391" s="2" t="inlineStr">
        <is>
          <t>23/03/2026</t>
        </is>
      </c>
      <c r="E391" s="2" t="inlineStr">
        <is>
          <t>02/03/2028</t>
        </is>
      </c>
      <c r="F391" s="2" t="n">
        <v>79226.355499044</v>
      </c>
      <c r="G391" s="2" t="n">
        <v>0</v>
      </c>
      <c r="H391" s="2" t="n">
        <v>79226.355499044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1.15</v>
      </c>
      <c r="BO391" s="2" t="n">
        <v>1.15</v>
      </c>
      <c r="BP391" s="2" t="n">
        <v>0.82</v>
      </c>
      <c r="BQ391" s="2" t="n">
        <v>3.6</v>
      </c>
      <c r="BR391" s="2" t="n">
        <v>3.6</v>
      </c>
      <c r="BS391" s="2" t="n">
        <v>3.6</v>
      </c>
      <c r="BT391" s="2" t="n">
        <v>7.54</v>
      </c>
      <c r="BU391" s="2" t="n">
        <v>7.54</v>
      </c>
      <c r="BV391" s="2" t="n">
        <v>7.67</v>
      </c>
      <c r="BW391" s="2" t="n">
        <v>12.05</v>
      </c>
      <c r="BX391" s="2" t="n">
        <v>12.01</v>
      </c>
      <c r="BY391" s="2" t="n">
        <v>13.7</v>
      </c>
      <c r="BZ391" s="2" t="n">
        <v>24.45</v>
      </c>
      <c r="CA391" s="2" t="n">
        <v>22.37</v>
      </c>
      <c r="CB391" s="2" t="n">
        <v>23.29</v>
      </c>
      <c r="CC391" s="2" t="n">
        <v>33.55</v>
      </c>
      <c r="CD391" s="2" t="n">
        <v>32.88</v>
      </c>
      <c r="CE391" s="2" t="n">
        <v>32.72</v>
      </c>
      <c r="CF391" s="2" t="n">
        <v>36.97</v>
      </c>
      <c r="CG391" s="2" t="n">
        <v>39.57</v>
      </c>
      <c r="CH391" s="2" t="n">
        <v>37.72</v>
      </c>
      <c r="CI391" s="2" t="n">
        <v>38.04</v>
      </c>
      <c r="CJ391" s="2" t="n">
        <v>40.64</v>
      </c>
      <c r="CK391" s="2" t="n">
        <v>37.72</v>
      </c>
      <c r="CL391" s="2" t="n">
        <v>41.38</v>
      </c>
      <c r="CM391" s="2" t="n">
        <v>43.98</v>
      </c>
      <c r="CN391" s="2" t="n">
        <v>37.72</v>
      </c>
      <c r="CO391" s="2" t="n">
        <v>44.22</v>
      </c>
      <c r="CP391" s="2" t="n">
        <v>46.82</v>
      </c>
      <c r="CQ391" s="2" t="n">
        <v>37.72</v>
      </c>
      <c r="CR391" s="2" t="n">
        <v>50.67</v>
      </c>
      <c r="CS391" s="2" t="n">
        <v>53.27</v>
      </c>
      <c r="CT391" s="2" t="n">
        <v>37.72</v>
      </c>
      <c r="CU391" s="2" t="n">
        <v>57.13</v>
      </c>
      <c r="CV391" s="2" t="n">
        <v>59.73</v>
      </c>
      <c r="CW391" s="2" t="n">
        <v>37.72</v>
      </c>
      <c r="CX391" s="2" t="n">
        <v>66.06999999999999</v>
      </c>
      <c r="CY391" s="2" t="n">
        <v>68.33</v>
      </c>
      <c r="CZ391" s="2" t="n">
        <v>37.72</v>
      </c>
      <c r="DA391" s="2" t="n">
        <v>76.34</v>
      </c>
      <c r="DB391" s="2" t="n">
        <v>76.34</v>
      </c>
      <c r="DC391" s="2" t="n">
        <v>37.72</v>
      </c>
      <c r="DD391" s="2" t="n">
        <v>83.27</v>
      </c>
      <c r="DE391" s="2" t="n">
        <v>83.27</v>
      </c>
      <c r="DF391" s="2" t="n">
        <v>37.72</v>
      </c>
      <c r="DG391" s="2" t="n">
        <v>90.20999999999999</v>
      </c>
      <c r="DH391" s="2" t="n">
        <v>90.20999999999999</v>
      </c>
      <c r="DI391" s="2" t="n">
        <v>37.72</v>
      </c>
      <c r="DJ391" s="2" t="n">
        <v>94.5</v>
      </c>
      <c r="DK391" s="2" t="n">
        <v>94.5</v>
      </c>
      <c r="DL391" s="2" t="n">
        <v>37.72</v>
      </c>
      <c r="DM391" s="2" t="n">
        <v>95.68000000000001</v>
      </c>
      <c r="DN391" s="2" t="n">
        <v>95.68000000000001</v>
      </c>
      <c r="DO391" s="2" t="n">
        <v>37.72</v>
      </c>
      <c r="DP391" s="2" t="n">
        <v>95.68000000000001</v>
      </c>
      <c r="DQ391" s="2" t="n">
        <v>95.68000000000001</v>
      </c>
      <c r="DR391" s="2" t="n">
        <v>37.72</v>
      </c>
      <c r="DS391" s="2" t="n">
        <v>95.68000000000001</v>
      </c>
      <c r="DT391" s="2" t="n">
        <v>95.68000000000001</v>
      </c>
      <c r="DU391" s="2" t="n">
        <v>37.72</v>
      </c>
      <c r="DV391" s="2" t="n">
        <v>95.68000000000001</v>
      </c>
      <c r="DW391" s="2" t="n">
        <v>95.68000000000001</v>
      </c>
      <c r="DX391" s="2" t="n">
        <v>37.72</v>
      </c>
      <c r="DY391" s="2" t="n">
        <v>95.68000000000001</v>
      </c>
      <c r="DZ391" s="2" t="n">
        <v>95.68000000000001</v>
      </c>
      <c r="EA391" s="2" t="n">
        <v>37.72</v>
      </c>
      <c r="EB391" s="2" t="n">
        <v>95.68000000000001</v>
      </c>
      <c r="EC391" s="2" t="n">
        <v>95.68000000000001</v>
      </c>
      <c r="ED391" s="2" t="n">
        <v>37.72</v>
      </c>
      <c r="EE391" s="2" t="n">
        <v>98.27</v>
      </c>
      <c r="EF391" s="2" t="n">
        <v>98.27</v>
      </c>
      <c r="EG391" s="2" t="n">
        <v>37.72</v>
      </c>
      <c r="EH391" s="2" t="n">
        <v>100</v>
      </c>
      <c r="EI391" s="2" t="n">
        <v>100</v>
      </c>
      <c r="EJ391" s="2" t="n">
        <v>37.72</v>
      </c>
      <c r="EK391" s="2" t="n">
        <v>100</v>
      </c>
      <c r="EL391" s="2" t="n">
        <v>100</v>
      </c>
      <c r="EM391" s="2" t="n">
        <v>37.72</v>
      </c>
      <c r="EN391" s="2" t="n">
        <v>100</v>
      </c>
      <c r="EO391" s="2" t="n">
        <v>100</v>
      </c>
      <c r="EP391" s="2" t="n">
        <v>37.72</v>
      </c>
      <c r="EQ391" s="2" t="n">
        <v>100</v>
      </c>
      <c r="ER391" s="2" t="n">
        <v>100</v>
      </c>
      <c r="ES391" s="2" t="n">
        <v>37.72</v>
      </c>
      <c r="ET391" s="2" t="n">
        <v>100</v>
      </c>
      <c r="EU391" s="2" t="n">
        <v>100</v>
      </c>
      <c r="EV391" s="2" t="n">
        <v>37.72</v>
      </c>
      <c r="EW391" s="2" t="n">
        <v>100</v>
      </c>
      <c r="EX391" s="2" t="n">
        <v>100</v>
      </c>
      <c r="EY391" s="2" t="n">
        <v>37.72</v>
      </c>
      <c r="EZ391" s="2" t="n">
        <v>100</v>
      </c>
      <c r="FA391" s="2" t="n">
        <v>100</v>
      </c>
      <c r="FB391" s="2" t="n">
        <v>37.72</v>
      </c>
      <c r="FC391" s="2" t="n">
        <v>100</v>
      </c>
      <c r="FD391" s="2" t="n">
        <v>100</v>
      </c>
      <c r="FE391" s="2" t="n">
        <v>37.72</v>
      </c>
      <c r="FF391" s="2" t="n">
        <v>100</v>
      </c>
      <c r="FG391" s="2" t="n">
        <v>100</v>
      </c>
      <c r="FH391" s="2" t="n">
        <v>37.72</v>
      </c>
      <c r="FI391" s="2" t="n">
        <v>100</v>
      </c>
      <c r="FJ391" s="2" t="n">
        <v>100</v>
      </c>
      <c r="FK391" s="2" t="n">
        <v>37.72</v>
      </c>
      <c r="FL391" s="2" t="n">
        <v>100</v>
      </c>
      <c r="FM391" s="2" t="n">
        <v>100</v>
      </c>
      <c r="FN391" s="2" t="n">
        <v>37.72</v>
      </c>
      <c r="FO391" s="2" t="n">
        <v>100</v>
      </c>
      <c r="FP391" s="2" t="n">
        <v>100</v>
      </c>
      <c r="FQ391" s="2" t="n">
        <v>37.72</v>
      </c>
    </row>
    <row r="392">
      <c r="A392" s="2" t="n">
        <v>4</v>
      </c>
      <c r="B392" s="2" t="inlineStr">
        <is>
          <t>19.01.02.02</t>
        </is>
      </c>
      <c r="C392" s="2" t="inlineStr">
        <is>
          <t>Alvenaria de vedação com blocos cerâmicos esp. 14m</t>
        </is>
      </c>
      <c r="D392" s="2" t="inlineStr">
        <is>
          <t>23/03/2026</t>
        </is>
      </c>
      <c r="E392" s="2" t="inlineStr">
        <is>
          <t>02/03/2028</t>
        </is>
      </c>
      <c r="F392" s="2" t="n">
        <v>692359.7253319679</v>
      </c>
      <c r="G392" s="2" t="n">
        <v>0</v>
      </c>
      <c r="H392" s="2" t="n">
        <v>692359.7253319679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1.15</v>
      </c>
      <c r="BO392" s="2" t="n">
        <v>1.15</v>
      </c>
      <c r="BP392" s="2" t="n">
        <v>0.82</v>
      </c>
      <c r="BQ392" s="2" t="n">
        <v>3.6</v>
      </c>
      <c r="BR392" s="2" t="n">
        <v>3.6</v>
      </c>
      <c r="BS392" s="2" t="n">
        <v>3.6</v>
      </c>
      <c r="BT392" s="2" t="n">
        <v>7.54</v>
      </c>
      <c r="BU392" s="2" t="n">
        <v>7.54</v>
      </c>
      <c r="BV392" s="2" t="n">
        <v>7.67</v>
      </c>
      <c r="BW392" s="2" t="n">
        <v>12.05</v>
      </c>
      <c r="BX392" s="2" t="n">
        <v>12.01</v>
      </c>
      <c r="BY392" s="2" t="n">
        <v>13.7</v>
      </c>
      <c r="BZ392" s="2" t="n">
        <v>24.45</v>
      </c>
      <c r="CA392" s="2" t="n">
        <v>22.37</v>
      </c>
      <c r="CB392" s="2" t="n">
        <v>23.29</v>
      </c>
      <c r="CC392" s="2" t="n">
        <v>33.55</v>
      </c>
      <c r="CD392" s="2" t="n">
        <v>32.88</v>
      </c>
      <c r="CE392" s="2" t="n">
        <v>32.72</v>
      </c>
      <c r="CF392" s="2" t="n">
        <v>36.97</v>
      </c>
      <c r="CG392" s="2" t="n">
        <v>39.57</v>
      </c>
      <c r="CH392" s="2" t="n">
        <v>37.72</v>
      </c>
      <c r="CI392" s="2" t="n">
        <v>38.04</v>
      </c>
      <c r="CJ392" s="2" t="n">
        <v>40.64</v>
      </c>
      <c r="CK392" s="2" t="n">
        <v>37.72</v>
      </c>
      <c r="CL392" s="2" t="n">
        <v>41.38</v>
      </c>
      <c r="CM392" s="2" t="n">
        <v>43.98</v>
      </c>
      <c r="CN392" s="2" t="n">
        <v>37.72</v>
      </c>
      <c r="CO392" s="2" t="n">
        <v>44.22</v>
      </c>
      <c r="CP392" s="2" t="n">
        <v>46.82</v>
      </c>
      <c r="CQ392" s="2" t="n">
        <v>37.72</v>
      </c>
      <c r="CR392" s="2" t="n">
        <v>50.67</v>
      </c>
      <c r="CS392" s="2" t="n">
        <v>53.27</v>
      </c>
      <c r="CT392" s="2" t="n">
        <v>37.72</v>
      </c>
      <c r="CU392" s="2" t="n">
        <v>57.13</v>
      </c>
      <c r="CV392" s="2" t="n">
        <v>59.73</v>
      </c>
      <c r="CW392" s="2" t="n">
        <v>37.72</v>
      </c>
      <c r="CX392" s="2" t="n">
        <v>66.06999999999999</v>
      </c>
      <c r="CY392" s="2" t="n">
        <v>68.33</v>
      </c>
      <c r="CZ392" s="2" t="n">
        <v>37.72</v>
      </c>
      <c r="DA392" s="2" t="n">
        <v>76.34</v>
      </c>
      <c r="DB392" s="2" t="n">
        <v>76.34</v>
      </c>
      <c r="DC392" s="2" t="n">
        <v>37.72</v>
      </c>
      <c r="DD392" s="2" t="n">
        <v>83.27</v>
      </c>
      <c r="DE392" s="2" t="n">
        <v>83.27</v>
      </c>
      <c r="DF392" s="2" t="n">
        <v>37.72</v>
      </c>
      <c r="DG392" s="2" t="n">
        <v>90.20999999999999</v>
      </c>
      <c r="DH392" s="2" t="n">
        <v>90.20999999999999</v>
      </c>
      <c r="DI392" s="2" t="n">
        <v>37.72</v>
      </c>
      <c r="DJ392" s="2" t="n">
        <v>94.5</v>
      </c>
      <c r="DK392" s="2" t="n">
        <v>94.5</v>
      </c>
      <c r="DL392" s="2" t="n">
        <v>37.72</v>
      </c>
      <c r="DM392" s="2" t="n">
        <v>95.68000000000001</v>
      </c>
      <c r="DN392" s="2" t="n">
        <v>95.68000000000001</v>
      </c>
      <c r="DO392" s="2" t="n">
        <v>37.72</v>
      </c>
      <c r="DP392" s="2" t="n">
        <v>95.68000000000001</v>
      </c>
      <c r="DQ392" s="2" t="n">
        <v>95.68000000000001</v>
      </c>
      <c r="DR392" s="2" t="n">
        <v>37.72</v>
      </c>
      <c r="DS392" s="2" t="n">
        <v>95.68000000000001</v>
      </c>
      <c r="DT392" s="2" t="n">
        <v>95.68000000000001</v>
      </c>
      <c r="DU392" s="2" t="n">
        <v>37.72</v>
      </c>
      <c r="DV392" s="2" t="n">
        <v>95.68000000000001</v>
      </c>
      <c r="DW392" s="2" t="n">
        <v>95.68000000000001</v>
      </c>
      <c r="DX392" s="2" t="n">
        <v>37.72</v>
      </c>
      <c r="DY392" s="2" t="n">
        <v>95.68000000000001</v>
      </c>
      <c r="DZ392" s="2" t="n">
        <v>95.68000000000001</v>
      </c>
      <c r="EA392" s="2" t="n">
        <v>37.72</v>
      </c>
      <c r="EB392" s="2" t="n">
        <v>95.68000000000001</v>
      </c>
      <c r="EC392" s="2" t="n">
        <v>95.68000000000001</v>
      </c>
      <c r="ED392" s="2" t="n">
        <v>37.72</v>
      </c>
      <c r="EE392" s="2" t="n">
        <v>98.27</v>
      </c>
      <c r="EF392" s="2" t="n">
        <v>98.27</v>
      </c>
      <c r="EG392" s="2" t="n">
        <v>37.72</v>
      </c>
      <c r="EH392" s="2" t="n">
        <v>100</v>
      </c>
      <c r="EI392" s="2" t="n">
        <v>100</v>
      </c>
      <c r="EJ392" s="2" t="n">
        <v>37.72</v>
      </c>
      <c r="EK392" s="2" t="n">
        <v>100</v>
      </c>
      <c r="EL392" s="2" t="n">
        <v>100</v>
      </c>
      <c r="EM392" s="2" t="n">
        <v>37.72</v>
      </c>
      <c r="EN392" s="2" t="n">
        <v>100</v>
      </c>
      <c r="EO392" s="2" t="n">
        <v>100</v>
      </c>
      <c r="EP392" s="2" t="n">
        <v>37.72</v>
      </c>
      <c r="EQ392" s="2" t="n">
        <v>100</v>
      </c>
      <c r="ER392" s="2" t="n">
        <v>100</v>
      </c>
      <c r="ES392" s="2" t="n">
        <v>37.72</v>
      </c>
      <c r="ET392" s="2" t="n">
        <v>100</v>
      </c>
      <c r="EU392" s="2" t="n">
        <v>100</v>
      </c>
      <c r="EV392" s="2" t="n">
        <v>37.72</v>
      </c>
      <c r="EW392" s="2" t="n">
        <v>100</v>
      </c>
      <c r="EX392" s="2" t="n">
        <v>100</v>
      </c>
      <c r="EY392" s="2" t="n">
        <v>37.72</v>
      </c>
      <c r="EZ392" s="2" t="n">
        <v>100</v>
      </c>
      <c r="FA392" s="2" t="n">
        <v>100</v>
      </c>
      <c r="FB392" s="2" t="n">
        <v>37.72</v>
      </c>
      <c r="FC392" s="2" t="n">
        <v>100</v>
      </c>
      <c r="FD392" s="2" t="n">
        <v>100</v>
      </c>
      <c r="FE392" s="2" t="n">
        <v>37.72</v>
      </c>
      <c r="FF392" s="2" t="n">
        <v>100</v>
      </c>
      <c r="FG392" s="2" t="n">
        <v>100</v>
      </c>
      <c r="FH392" s="2" t="n">
        <v>37.72</v>
      </c>
      <c r="FI392" s="2" t="n">
        <v>100</v>
      </c>
      <c r="FJ392" s="2" t="n">
        <v>100</v>
      </c>
      <c r="FK392" s="2" t="n">
        <v>37.72</v>
      </c>
      <c r="FL392" s="2" t="n">
        <v>100</v>
      </c>
      <c r="FM392" s="2" t="n">
        <v>100</v>
      </c>
      <c r="FN392" s="2" t="n">
        <v>37.72</v>
      </c>
      <c r="FO392" s="2" t="n">
        <v>100</v>
      </c>
      <c r="FP392" s="2" t="n">
        <v>100</v>
      </c>
      <c r="FQ392" s="2" t="n">
        <v>37.72</v>
      </c>
    </row>
    <row r="393">
      <c r="A393" s="2" t="n">
        <v>4</v>
      </c>
      <c r="B393" s="2" t="inlineStr">
        <is>
          <t>19.01.02.03</t>
        </is>
      </c>
      <c r="C393" s="2" t="inlineStr">
        <is>
          <t>Encunhamento com espuma expansiva de poliuretano</t>
        </is>
      </c>
      <c r="D393" s="2" t="inlineStr">
        <is>
          <t>23/03/2026</t>
        </is>
      </c>
      <c r="E393" s="2" t="inlineStr">
        <is>
          <t>02/03/2028</t>
        </is>
      </c>
      <c r="F393" s="2" t="n">
        <v>18964.11023485543</v>
      </c>
      <c r="G393" s="2" t="n">
        <v>0</v>
      </c>
      <c r="H393" s="2" t="n">
        <v>18964.11023485543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1.15</v>
      </c>
      <c r="BO393" s="2" t="n">
        <v>1.15</v>
      </c>
      <c r="BP393" s="2" t="n">
        <v>0.82</v>
      </c>
      <c r="BQ393" s="2" t="n">
        <v>3.6</v>
      </c>
      <c r="BR393" s="2" t="n">
        <v>3.6</v>
      </c>
      <c r="BS393" s="2" t="n">
        <v>3.6</v>
      </c>
      <c r="BT393" s="2" t="n">
        <v>7.54</v>
      </c>
      <c r="BU393" s="2" t="n">
        <v>7.54</v>
      </c>
      <c r="BV393" s="2" t="n">
        <v>7.67</v>
      </c>
      <c r="BW393" s="2" t="n">
        <v>12.05</v>
      </c>
      <c r="BX393" s="2" t="n">
        <v>12.01</v>
      </c>
      <c r="BY393" s="2" t="n">
        <v>13.7</v>
      </c>
      <c r="BZ393" s="2" t="n">
        <v>24.45</v>
      </c>
      <c r="CA393" s="2" t="n">
        <v>22.37</v>
      </c>
      <c r="CB393" s="2" t="n">
        <v>23.29</v>
      </c>
      <c r="CC393" s="2" t="n">
        <v>33.55</v>
      </c>
      <c r="CD393" s="2" t="n">
        <v>32.88</v>
      </c>
      <c r="CE393" s="2" t="n">
        <v>32.72</v>
      </c>
      <c r="CF393" s="2" t="n">
        <v>36.97</v>
      </c>
      <c r="CG393" s="2" t="n">
        <v>39.57</v>
      </c>
      <c r="CH393" s="2" t="n">
        <v>37.72</v>
      </c>
      <c r="CI393" s="2" t="n">
        <v>38.04</v>
      </c>
      <c r="CJ393" s="2" t="n">
        <v>40.64</v>
      </c>
      <c r="CK393" s="2" t="n">
        <v>37.72</v>
      </c>
      <c r="CL393" s="2" t="n">
        <v>41.38</v>
      </c>
      <c r="CM393" s="2" t="n">
        <v>43.98</v>
      </c>
      <c r="CN393" s="2" t="n">
        <v>37.72</v>
      </c>
      <c r="CO393" s="2" t="n">
        <v>44.22</v>
      </c>
      <c r="CP393" s="2" t="n">
        <v>46.82</v>
      </c>
      <c r="CQ393" s="2" t="n">
        <v>37.72</v>
      </c>
      <c r="CR393" s="2" t="n">
        <v>50.67</v>
      </c>
      <c r="CS393" s="2" t="n">
        <v>53.27</v>
      </c>
      <c r="CT393" s="2" t="n">
        <v>37.72</v>
      </c>
      <c r="CU393" s="2" t="n">
        <v>57.13</v>
      </c>
      <c r="CV393" s="2" t="n">
        <v>59.73</v>
      </c>
      <c r="CW393" s="2" t="n">
        <v>37.72</v>
      </c>
      <c r="CX393" s="2" t="n">
        <v>66.06999999999999</v>
      </c>
      <c r="CY393" s="2" t="n">
        <v>68.33</v>
      </c>
      <c r="CZ393" s="2" t="n">
        <v>37.72</v>
      </c>
      <c r="DA393" s="2" t="n">
        <v>76.34</v>
      </c>
      <c r="DB393" s="2" t="n">
        <v>76.34</v>
      </c>
      <c r="DC393" s="2" t="n">
        <v>37.72</v>
      </c>
      <c r="DD393" s="2" t="n">
        <v>83.27</v>
      </c>
      <c r="DE393" s="2" t="n">
        <v>83.27</v>
      </c>
      <c r="DF393" s="2" t="n">
        <v>37.72</v>
      </c>
      <c r="DG393" s="2" t="n">
        <v>90.20999999999999</v>
      </c>
      <c r="DH393" s="2" t="n">
        <v>90.20999999999999</v>
      </c>
      <c r="DI393" s="2" t="n">
        <v>37.72</v>
      </c>
      <c r="DJ393" s="2" t="n">
        <v>94.5</v>
      </c>
      <c r="DK393" s="2" t="n">
        <v>94.5</v>
      </c>
      <c r="DL393" s="2" t="n">
        <v>37.72</v>
      </c>
      <c r="DM393" s="2" t="n">
        <v>95.68000000000001</v>
      </c>
      <c r="DN393" s="2" t="n">
        <v>95.68000000000001</v>
      </c>
      <c r="DO393" s="2" t="n">
        <v>37.72</v>
      </c>
      <c r="DP393" s="2" t="n">
        <v>95.68000000000001</v>
      </c>
      <c r="DQ393" s="2" t="n">
        <v>95.68000000000001</v>
      </c>
      <c r="DR393" s="2" t="n">
        <v>37.72</v>
      </c>
      <c r="DS393" s="2" t="n">
        <v>95.68000000000001</v>
      </c>
      <c r="DT393" s="2" t="n">
        <v>95.68000000000001</v>
      </c>
      <c r="DU393" s="2" t="n">
        <v>37.72</v>
      </c>
      <c r="DV393" s="2" t="n">
        <v>95.68000000000001</v>
      </c>
      <c r="DW393" s="2" t="n">
        <v>95.68000000000001</v>
      </c>
      <c r="DX393" s="2" t="n">
        <v>37.72</v>
      </c>
      <c r="DY393" s="2" t="n">
        <v>95.68000000000001</v>
      </c>
      <c r="DZ393" s="2" t="n">
        <v>95.68000000000001</v>
      </c>
      <c r="EA393" s="2" t="n">
        <v>37.72</v>
      </c>
      <c r="EB393" s="2" t="n">
        <v>95.68000000000001</v>
      </c>
      <c r="EC393" s="2" t="n">
        <v>95.68000000000001</v>
      </c>
      <c r="ED393" s="2" t="n">
        <v>37.72</v>
      </c>
      <c r="EE393" s="2" t="n">
        <v>98.27</v>
      </c>
      <c r="EF393" s="2" t="n">
        <v>98.27</v>
      </c>
      <c r="EG393" s="2" t="n">
        <v>37.72</v>
      </c>
      <c r="EH393" s="2" t="n">
        <v>100</v>
      </c>
      <c r="EI393" s="2" t="n">
        <v>100</v>
      </c>
      <c r="EJ393" s="2" t="n">
        <v>37.72</v>
      </c>
      <c r="EK393" s="2" t="n">
        <v>100</v>
      </c>
      <c r="EL393" s="2" t="n">
        <v>100</v>
      </c>
      <c r="EM393" s="2" t="n">
        <v>37.72</v>
      </c>
      <c r="EN393" s="2" t="n">
        <v>100</v>
      </c>
      <c r="EO393" s="2" t="n">
        <v>100</v>
      </c>
      <c r="EP393" s="2" t="n">
        <v>37.72</v>
      </c>
      <c r="EQ393" s="2" t="n">
        <v>100</v>
      </c>
      <c r="ER393" s="2" t="n">
        <v>100</v>
      </c>
      <c r="ES393" s="2" t="n">
        <v>37.72</v>
      </c>
      <c r="ET393" s="2" t="n">
        <v>100</v>
      </c>
      <c r="EU393" s="2" t="n">
        <v>100</v>
      </c>
      <c r="EV393" s="2" t="n">
        <v>37.72</v>
      </c>
      <c r="EW393" s="2" t="n">
        <v>100</v>
      </c>
      <c r="EX393" s="2" t="n">
        <v>100</v>
      </c>
      <c r="EY393" s="2" t="n">
        <v>37.72</v>
      </c>
      <c r="EZ393" s="2" t="n">
        <v>100</v>
      </c>
      <c r="FA393" s="2" t="n">
        <v>100</v>
      </c>
      <c r="FB393" s="2" t="n">
        <v>37.72</v>
      </c>
      <c r="FC393" s="2" t="n">
        <v>100</v>
      </c>
      <c r="FD393" s="2" t="n">
        <v>100</v>
      </c>
      <c r="FE393" s="2" t="n">
        <v>37.72</v>
      </c>
      <c r="FF393" s="2" t="n">
        <v>100</v>
      </c>
      <c r="FG393" s="2" t="n">
        <v>100</v>
      </c>
      <c r="FH393" s="2" t="n">
        <v>37.72</v>
      </c>
      <c r="FI393" s="2" t="n">
        <v>100</v>
      </c>
      <c r="FJ393" s="2" t="n">
        <v>100</v>
      </c>
      <c r="FK393" s="2" t="n">
        <v>37.72</v>
      </c>
      <c r="FL393" s="2" t="n">
        <v>100</v>
      </c>
      <c r="FM393" s="2" t="n">
        <v>100</v>
      </c>
      <c r="FN393" s="2" t="n">
        <v>37.72</v>
      </c>
      <c r="FO393" s="2" t="n">
        <v>100</v>
      </c>
      <c r="FP393" s="2" t="n">
        <v>100</v>
      </c>
      <c r="FQ393" s="2" t="n">
        <v>37.72</v>
      </c>
    </row>
    <row r="394">
      <c r="A394" s="2" t="n">
        <v>4</v>
      </c>
      <c r="B394" s="2" t="inlineStr">
        <is>
          <t>19.01.02.04</t>
        </is>
      </c>
      <c r="C394" s="2" t="inlineStr">
        <is>
          <t>Amarração de Alvenaria</t>
        </is>
      </c>
      <c r="D394" s="2" t="inlineStr">
        <is>
          <t>23/03/2026</t>
        </is>
      </c>
      <c r="E394" s="2" t="inlineStr">
        <is>
          <t>02/03/2028</t>
        </is>
      </c>
      <c r="F394" s="2" t="n">
        <v>30066.66096073698</v>
      </c>
      <c r="G394" s="2" t="n">
        <v>0</v>
      </c>
      <c r="H394" s="2" t="n">
        <v>30066.66096073698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1.15</v>
      </c>
      <c r="BO394" s="2" t="n">
        <v>1.15</v>
      </c>
      <c r="BP394" s="2" t="n">
        <v>0.82</v>
      </c>
      <c r="BQ394" s="2" t="n">
        <v>3.6</v>
      </c>
      <c r="BR394" s="2" t="n">
        <v>3.6</v>
      </c>
      <c r="BS394" s="2" t="n">
        <v>3.6</v>
      </c>
      <c r="BT394" s="2" t="n">
        <v>7.54</v>
      </c>
      <c r="BU394" s="2" t="n">
        <v>7.54</v>
      </c>
      <c r="BV394" s="2" t="n">
        <v>7.67</v>
      </c>
      <c r="BW394" s="2" t="n">
        <v>12.05</v>
      </c>
      <c r="BX394" s="2" t="n">
        <v>12.01</v>
      </c>
      <c r="BY394" s="2" t="n">
        <v>13.7</v>
      </c>
      <c r="BZ394" s="2" t="n">
        <v>24.45</v>
      </c>
      <c r="CA394" s="2" t="n">
        <v>22.37</v>
      </c>
      <c r="CB394" s="2" t="n">
        <v>23.29</v>
      </c>
      <c r="CC394" s="2" t="n">
        <v>33.55</v>
      </c>
      <c r="CD394" s="2" t="n">
        <v>32.88</v>
      </c>
      <c r="CE394" s="2" t="n">
        <v>32.72</v>
      </c>
      <c r="CF394" s="2" t="n">
        <v>36.97</v>
      </c>
      <c r="CG394" s="2" t="n">
        <v>39.57</v>
      </c>
      <c r="CH394" s="2" t="n">
        <v>37.72</v>
      </c>
      <c r="CI394" s="2" t="n">
        <v>38.04</v>
      </c>
      <c r="CJ394" s="2" t="n">
        <v>40.64</v>
      </c>
      <c r="CK394" s="2" t="n">
        <v>37.72</v>
      </c>
      <c r="CL394" s="2" t="n">
        <v>41.38</v>
      </c>
      <c r="CM394" s="2" t="n">
        <v>43.98</v>
      </c>
      <c r="CN394" s="2" t="n">
        <v>37.72</v>
      </c>
      <c r="CO394" s="2" t="n">
        <v>44.22</v>
      </c>
      <c r="CP394" s="2" t="n">
        <v>46.82</v>
      </c>
      <c r="CQ394" s="2" t="n">
        <v>37.72</v>
      </c>
      <c r="CR394" s="2" t="n">
        <v>50.67</v>
      </c>
      <c r="CS394" s="2" t="n">
        <v>53.27</v>
      </c>
      <c r="CT394" s="2" t="n">
        <v>37.72</v>
      </c>
      <c r="CU394" s="2" t="n">
        <v>57.13</v>
      </c>
      <c r="CV394" s="2" t="n">
        <v>59.73</v>
      </c>
      <c r="CW394" s="2" t="n">
        <v>37.72</v>
      </c>
      <c r="CX394" s="2" t="n">
        <v>66.06999999999999</v>
      </c>
      <c r="CY394" s="2" t="n">
        <v>68.33</v>
      </c>
      <c r="CZ394" s="2" t="n">
        <v>37.72</v>
      </c>
      <c r="DA394" s="2" t="n">
        <v>76.34</v>
      </c>
      <c r="DB394" s="2" t="n">
        <v>76.34</v>
      </c>
      <c r="DC394" s="2" t="n">
        <v>37.72</v>
      </c>
      <c r="DD394" s="2" t="n">
        <v>83.27</v>
      </c>
      <c r="DE394" s="2" t="n">
        <v>83.27</v>
      </c>
      <c r="DF394" s="2" t="n">
        <v>37.72</v>
      </c>
      <c r="DG394" s="2" t="n">
        <v>90.20999999999999</v>
      </c>
      <c r="DH394" s="2" t="n">
        <v>90.20999999999999</v>
      </c>
      <c r="DI394" s="2" t="n">
        <v>37.72</v>
      </c>
      <c r="DJ394" s="2" t="n">
        <v>94.5</v>
      </c>
      <c r="DK394" s="2" t="n">
        <v>94.5</v>
      </c>
      <c r="DL394" s="2" t="n">
        <v>37.72</v>
      </c>
      <c r="DM394" s="2" t="n">
        <v>95.68000000000001</v>
      </c>
      <c r="DN394" s="2" t="n">
        <v>95.68000000000001</v>
      </c>
      <c r="DO394" s="2" t="n">
        <v>37.72</v>
      </c>
      <c r="DP394" s="2" t="n">
        <v>95.68000000000001</v>
      </c>
      <c r="DQ394" s="2" t="n">
        <v>95.68000000000001</v>
      </c>
      <c r="DR394" s="2" t="n">
        <v>37.72</v>
      </c>
      <c r="DS394" s="2" t="n">
        <v>95.68000000000001</v>
      </c>
      <c r="DT394" s="2" t="n">
        <v>95.68000000000001</v>
      </c>
      <c r="DU394" s="2" t="n">
        <v>37.72</v>
      </c>
      <c r="DV394" s="2" t="n">
        <v>95.68000000000001</v>
      </c>
      <c r="DW394" s="2" t="n">
        <v>95.68000000000001</v>
      </c>
      <c r="DX394" s="2" t="n">
        <v>37.72</v>
      </c>
      <c r="DY394" s="2" t="n">
        <v>95.68000000000001</v>
      </c>
      <c r="DZ394" s="2" t="n">
        <v>95.68000000000001</v>
      </c>
      <c r="EA394" s="2" t="n">
        <v>37.72</v>
      </c>
      <c r="EB394" s="2" t="n">
        <v>95.68000000000001</v>
      </c>
      <c r="EC394" s="2" t="n">
        <v>95.68000000000001</v>
      </c>
      <c r="ED394" s="2" t="n">
        <v>37.72</v>
      </c>
      <c r="EE394" s="2" t="n">
        <v>98.27</v>
      </c>
      <c r="EF394" s="2" t="n">
        <v>98.27</v>
      </c>
      <c r="EG394" s="2" t="n">
        <v>37.72</v>
      </c>
      <c r="EH394" s="2" t="n">
        <v>100</v>
      </c>
      <c r="EI394" s="2" t="n">
        <v>100</v>
      </c>
      <c r="EJ394" s="2" t="n">
        <v>37.72</v>
      </c>
      <c r="EK394" s="2" t="n">
        <v>100</v>
      </c>
      <c r="EL394" s="2" t="n">
        <v>100</v>
      </c>
      <c r="EM394" s="2" t="n">
        <v>37.72</v>
      </c>
      <c r="EN394" s="2" t="n">
        <v>100</v>
      </c>
      <c r="EO394" s="2" t="n">
        <v>100</v>
      </c>
      <c r="EP394" s="2" t="n">
        <v>37.72</v>
      </c>
      <c r="EQ394" s="2" t="n">
        <v>100</v>
      </c>
      <c r="ER394" s="2" t="n">
        <v>100</v>
      </c>
      <c r="ES394" s="2" t="n">
        <v>37.72</v>
      </c>
      <c r="ET394" s="2" t="n">
        <v>100</v>
      </c>
      <c r="EU394" s="2" t="n">
        <v>100</v>
      </c>
      <c r="EV394" s="2" t="n">
        <v>37.72</v>
      </c>
      <c r="EW394" s="2" t="n">
        <v>100</v>
      </c>
      <c r="EX394" s="2" t="n">
        <v>100</v>
      </c>
      <c r="EY394" s="2" t="n">
        <v>37.72</v>
      </c>
      <c r="EZ394" s="2" t="n">
        <v>100</v>
      </c>
      <c r="FA394" s="2" t="n">
        <v>100</v>
      </c>
      <c r="FB394" s="2" t="n">
        <v>37.72</v>
      </c>
      <c r="FC394" s="2" t="n">
        <v>100</v>
      </c>
      <c r="FD394" s="2" t="n">
        <v>100</v>
      </c>
      <c r="FE394" s="2" t="n">
        <v>37.72</v>
      </c>
      <c r="FF394" s="2" t="n">
        <v>100</v>
      </c>
      <c r="FG394" s="2" t="n">
        <v>100</v>
      </c>
      <c r="FH394" s="2" t="n">
        <v>37.72</v>
      </c>
      <c r="FI394" s="2" t="n">
        <v>100</v>
      </c>
      <c r="FJ394" s="2" t="n">
        <v>100</v>
      </c>
      <c r="FK394" s="2" t="n">
        <v>37.72</v>
      </c>
      <c r="FL394" s="2" t="n">
        <v>100</v>
      </c>
      <c r="FM394" s="2" t="n">
        <v>100</v>
      </c>
      <c r="FN394" s="2" t="n">
        <v>37.72</v>
      </c>
      <c r="FO394" s="2" t="n">
        <v>100</v>
      </c>
      <c r="FP394" s="2" t="n">
        <v>100</v>
      </c>
      <c r="FQ394" s="2" t="n">
        <v>37.72</v>
      </c>
    </row>
    <row r="395">
      <c r="A395" s="2" t="n">
        <v>3</v>
      </c>
      <c r="B395" s="2" t="inlineStr">
        <is>
          <t>19.01.03</t>
        </is>
      </c>
      <c r="C395" s="2" t="inlineStr">
        <is>
          <t>Esp. 19cm</t>
        </is>
      </c>
      <c r="D395" s="2" t="inlineStr">
        <is>
          <t>23/03/2026</t>
        </is>
      </c>
      <c r="E395" s="2" t="inlineStr">
        <is>
          <t>02/03/2028</t>
        </is>
      </c>
      <c r="F395" s="2" t="n">
        <v>835816.0365916889</v>
      </c>
      <c r="G395" s="2" t="n">
        <v>0</v>
      </c>
      <c r="H395" s="2" t="n">
        <v>835816.0365916889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1.15</v>
      </c>
      <c r="BO395" s="2" t="n">
        <v>1.15</v>
      </c>
      <c r="BP395" s="2" t="n">
        <v>0.82</v>
      </c>
      <c r="BQ395" s="2" t="n">
        <v>3.6</v>
      </c>
      <c r="BR395" s="2" t="n">
        <v>3.6</v>
      </c>
      <c r="BS395" s="2" t="n">
        <v>3.6</v>
      </c>
      <c r="BT395" s="2" t="n">
        <v>7.54</v>
      </c>
      <c r="BU395" s="2" t="n">
        <v>7.54</v>
      </c>
      <c r="BV395" s="2" t="n">
        <v>7.67</v>
      </c>
      <c r="BW395" s="2" t="n">
        <v>12.05</v>
      </c>
      <c r="BX395" s="2" t="n">
        <v>12.01</v>
      </c>
      <c r="BY395" s="2" t="n">
        <v>13.7</v>
      </c>
      <c r="BZ395" s="2" t="n">
        <v>24.45</v>
      </c>
      <c r="CA395" s="2" t="n">
        <v>22.37</v>
      </c>
      <c r="CB395" s="2" t="n">
        <v>23.29</v>
      </c>
      <c r="CC395" s="2" t="n">
        <v>33.55</v>
      </c>
      <c r="CD395" s="2" t="n">
        <v>32.88</v>
      </c>
      <c r="CE395" s="2" t="n">
        <v>32.72</v>
      </c>
      <c r="CF395" s="2" t="n">
        <v>36.97</v>
      </c>
      <c r="CG395" s="2" t="n">
        <v>39.57</v>
      </c>
      <c r="CH395" s="2" t="n">
        <v>37.72</v>
      </c>
      <c r="CI395" s="2" t="n">
        <v>38.04</v>
      </c>
      <c r="CJ395" s="2" t="n">
        <v>40.64</v>
      </c>
      <c r="CK395" s="2" t="n">
        <v>37.72</v>
      </c>
      <c r="CL395" s="2" t="n">
        <v>41.38</v>
      </c>
      <c r="CM395" s="2" t="n">
        <v>43.98</v>
      </c>
      <c r="CN395" s="2" t="n">
        <v>37.72</v>
      </c>
      <c r="CO395" s="2" t="n">
        <v>44.22</v>
      </c>
      <c r="CP395" s="2" t="n">
        <v>46.82</v>
      </c>
      <c r="CQ395" s="2" t="n">
        <v>37.72</v>
      </c>
      <c r="CR395" s="2" t="n">
        <v>50.67</v>
      </c>
      <c r="CS395" s="2" t="n">
        <v>53.27</v>
      </c>
      <c r="CT395" s="2" t="n">
        <v>37.72</v>
      </c>
      <c r="CU395" s="2" t="n">
        <v>57.13</v>
      </c>
      <c r="CV395" s="2" t="n">
        <v>59.73</v>
      </c>
      <c r="CW395" s="2" t="n">
        <v>37.72</v>
      </c>
      <c r="CX395" s="2" t="n">
        <v>66.06999999999999</v>
      </c>
      <c r="CY395" s="2" t="n">
        <v>68.33</v>
      </c>
      <c r="CZ395" s="2" t="n">
        <v>37.72</v>
      </c>
      <c r="DA395" s="2" t="n">
        <v>76.34</v>
      </c>
      <c r="DB395" s="2" t="n">
        <v>76.34</v>
      </c>
      <c r="DC395" s="2" t="n">
        <v>37.72</v>
      </c>
      <c r="DD395" s="2" t="n">
        <v>83.27</v>
      </c>
      <c r="DE395" s="2" t="n">
        <v>83.27</v>
      </c>
      <c r="DF395" s="2" t="n">
        <v>37.72</v>
      </c>
      <c r="DG395" s="2" t="n">
        <v>90.20999999999999</v>
      </c>
      <c r="DH395" s="2" t="n">
        <v>90.20999999999999</v>
      </c>
      <c r="DI395" s="2" t="n">
        <v>37.72</v>
      </c>
      <c r="DJ395" s="2" t="n">
        <v>94.5</v>
      </c>
      <c r="DK395" s="2" t="n">
        <v>94.5</v>
      </c>
      <c r="DL395" s="2" t="n">
        <v>37.72</v>
      </c>
      <c r="DM395" s="2" t="n">
        <v>95.68000000000001</v>
      </c>
      <c r="DN395" s="2" t="n">
        <v>95.68000000000001</v>
      </c>
      <c r="DO395" s="2" t="n">
        <v>37.72</v>
      </c>
      <c r="DP395" s="2" t="n">
        <v>95.68000000000001</v>
      </c>
      <c r="DQ395" s="2" t="n">
        <v>95.68000000000001</v>
      </c>
      <c r="DR395" s="2" t="n">
        <v>37.72</v>
      </c>
      <c r="DS395" s="2" t="n">
        <v>95.68000000000001</v>
      </c>
      <c r="DT395" s="2" t="n">
        <v>95.68000000000001</v>
      </c>
      <c r="DU395" s="2" t="n">
        <v>37.72</v>
      </c>
      <c r="DV395" s="2" t="n">
        <v>95.68000000000001</v>
      </c>
      <c r="DW395" s="2" t="n">
        <v>95.68000000000001</v>
      </c>
      <c r="DX395" s="2" t="n">
        <v>37.72</v>
      </c>
      <c r="DY395" s="2" t="n">
        <v>95.68000000000001</v>
      </c>
      <c r="DZ395" s="2" t="n">
        <v>95.68000000000001</v>
      </c>
      <c r="EA395" s="2" t="n">
        <v>37.72</v>
      </c>
      <c r="EB395" s="2" t="n">
        <v>95.68000000000001</v>
      </c>
      <c r="EC395" s="2" t="n">
        <v>95.68000000000001</v>
      </c>
      <c r="ED395" s="2" t="n">
        <v>37.72</v>
      </c>
      <c r="EE395" s="2" t="n">
        <v>98.27</v>
      </c>
      <c r="EF395" s="2" t="n">
        <v>98.27</v>
      </c>
      <c r="EG395" s="2" t="n">
        <v>37.72</v>
      </c>
      <c r="EH395" s="2" t="n">
        <v>100</v>
      </c>
      <c r="EI395" s="2" t="n">
        <v>100</v>
      </c>
      <c r="EJ395" s="2" t="n">
        <v>37.72</v>
      </c>
      <c r="EK395" s="2" t="n">
        <v>100</v>
      </c>
      <c r="EL395" s="2" t="n">
        <v>100</v>
      </c>
      <c r="EM395" s="2" t="n">
        <v>37.72</v>
      </c>
      <c r="EN395" s="2" t="n">
        <v>100</v>
      </c>
      <c r="EO395" s="2" t="n">
        <v>100</v>
      </c>
      <c r="EP395" s="2" t="n">
        <v>37.72</v>
      </c>
      <c r="EQ395" s="2" t="n">
        <v>100</v>
      </c>
      <c r="ER395" s="2" t="n">
        <v>100</v>
      </c>
      <c r="ES395" s="2" t="n">
        <v>37.72</v>
      </c>
      <c r="ET395" s="2" t="n">
        <v>100</v>
      </c>
      <c r="EU395" s="2" t="n">
        <v>100</v>
      </c>
      <c r="EV395" s="2" t="n">
        <v>37.72</v>
      </c>
      <c r="EW395" s="2" t="n">
        <v>100</v>
      </c>
      <c r="EX395" s="2" t="n">
        <v>100</v>
      </c>
      <c r="EY395" s="2" t="n">
        <v>37.72</v>
      </c>
      <c r="EZ395" s="2" t="n">
        <v>100</v>
      </c>
      <c r="FA395" s="2" t="n">
        <v>100</v>
      </c>
      <c r="FB395" s="2" t="n">
        <v>37.72</v>
      </c>
      <c r="FC395" s="2" t="n">
        <v>100</v>
      </c>
      <c r="FD395" s="2" t="n">
        <v>100</v>
      </c>
      <c r="FE395" s="2" t="n">
        <v>37.72</v>
      </c>
      <c r="FF395" s="2" t="n">
        <v>100</v>
      </c>
      <c r="FG395" s="2" t="n">
        <v>100</v>
      </c>
      <c r="FH395" s="2" t="n">
        <v>37.72</v>
      </c>
      <c r="FI395" s="2" t="n">
        <v>100</v>
      </c>
      <c r="FJ395" s="2" t="n">
        <v>100</v>
      </c>
      <c r="FK395" s="2" t="n">
        <v>37.72</v>
      </c>
      <c r="FL395" s="2" t="n">
        <v>100</v>
      </c>
      <c r="FM395" s="2" t="n">
        <v>100</v>
      </c>
      <c r="FN395" s="2" t="n">
        <v>37.72</v>
      </c>
      <c r="FO395" s="2" t="n">
        <v>100</v>
      </c>
      <c r="FP395" s="2" t="n">
        <v>100</v>
      </c>
      <c r="FQ395" s="2" t="n">
        <v>37.72</v>
      </c>
    </row>
    <row r="396">
      <c r="A396" s="2" t="n">
        <v>4</v>
      </c>
      <c r="B396" s="2" t="inlineStr">
        <is>
          <t>19.01.03.01</t>
        </is>
      </c>
      <c r="C396" s="2" t="inlineStr">
        <is>
          <t>Demarcação de alvenaria de vedação com blocos cerâmicos esp.19cm</t>
        </is>
      </c>
      <c r="D396" s="2" t="inlineStr">
        <is>
          <t>23/03/2026</t>
        </is>
      </c>
      <c r="E396" s="2" t="inlineStr">
        <is>
          <t>02/03/2028</t>
        </is>
      </c>
      <c r="F396" s="2" t="n">
        <v>95036.98768450799</v>
      </c>
      <c r="G396" s="2" t="n">
        <v>0</v>
      </c>
      <c r="H396" s="2" t="n">
        <v>95036.98768450799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1.15</v>
      </c>
      <c r="BO396" s="2" t="n">
        <v>1.15</v>
      </c>
      <c r="BP396" s="2" t="n">
        <v>0.82</v>
      </c>
      <c r="BQ396" s="2" t="n">
        <v>3.6</v>
      </c>
      <c r="BR396" s="2" t="n">
        <v>3.6</v>
      </c>
      <c r="BS396" s="2" t="n">
        <v>3.6</v>
      </c>
      <c r="BT396" s="2" t="n">
        <v>7.54</v>
      </c>
      <c r="BU396" s="2" t="n">
        <v>7.54</v>
      </c>
      <c r="BV396" s="2" t="n">
        <v>7.67</v>
      </c>
      <c r="BW396" s="2" t="n">
        <v>12.05</v>
      </c>
      <c r="BX396" s="2" t="n">
        <v>12.01</v>
      </c>
      <c r="BY396" s="2" t="n">
        <v>13.7</v>
      </c>
      <c r="BZ396" s="2" t="n">
        <v>24.45</v>
      </c>
      <c r="CA396" s="2" t="n">
        <v>22.37</v>
      </c>
      <c r="CB396" s="2" t="n">
        <v>23.29</v>
      </c>
      <c r="CC396" s="2" t="n">
        <v>33.55</v>
      </c>
      <c r="CD396" s="2" t="n">
        <v>32.88</v>
      </c>
      <c r="CE396" s="2" t="n">
        <v>32.72</v>
      </c>
      <c r="CF396" s="2" t="n">
        <v>36.97</v>
      </c>
      <c r="CG396" s="2" t="n">
        <v>39.57</v>
      </c>
      <c r="CH396" s="2" t="n">
        <v>37.72</v>
      </c>
      <c r="CI396" s="2" t="n">
        <v>38.04</v>
      </c>
      <c r="CJ396" s="2" t="n">
        <v>40.64</v>
      </c>
      <c r="CK396" s="2" t="n">
        <v>37.72</v>
      </c>
      <c r="CL396" s="2" t="n">
        <v>41.38</v>
      </c>
      <c r="CM396" s="2" t="n">
        <v>43.98</v>
      </c>
      <c r="CN396" s="2" t="n">
        <v>37.72</v>
      </c>
      <c r="CO396" s="2" t="n">
        <v>44.22</v>
      </c>
      <c r="CP396" s="2" t="n">
        <v>46.82</v>
      </c>
      <c r="CQ396" s="2" t="n">
        <v>37.72</v>
      </c>
      <c r="CR396" s="2" t="n">
        <v>50.67</v>
      </c>
      <c r="CS396" s="2" t="n">
        <v>53.27</v>
      </c>
      <c r="CT396" s="2" t="n">
        <v>37.72</v>
      </c>
      <c r="CU396" s="2" t="n">
        <v>57.13</v>
      </c>
      <c r="CV396" s="2" t="n">
        <v>59.73</v>
      </c>
      <c r="CW396" s="2" t="n">
        <v>37.72</v>
      </c>
      <c r="CX396" s="2" t="n">
        <v>66.06999999999999</v>
      </c>
      <c r="CY396" s="2" t="n">
        <v>68.33</v>
      </c>
      <c r="CZ396" s="2" t="n">
        <v>37.72</v>
      </c>
      <c r="DA396" s="2" t="n">
        <v>76.34</v>
      </c>
      <c r="DB396" s="2" t="n">
        <v>76.34</v>
      </c>
      <c r="DC396" s="2" t="n">
        <v>37.72</v>
      </c>
      <c r="DD396" s="2" t="n">
        <v>83.27</v>
      </c>
      <c r="DE396" s="2" t="n">
        <v>83.27</v>
      </c>
      <c r="DF396" s="2" t="n">
        <v>37.72</v>
      </c>
      <c r="DG396" s="2" t="n">
        <v>90.20999999999999</v>
      </c>
      <c r="DH396" s="2" t="n">
        <v>90.20999999999999</v>
      </c>
      <c r="DI396" s="2" t="n">
        <v>37.72</v>
      </c>
      <c r="DJ396" s="2" t="n">
        <v>94.5</v>
      </c>
      <c r="DK396" s="2" t="n">
        <v>94.5</v>
      </c>
      <c r="DL396" s="2" t="n">
        <v>37.72</v>
      </c>
      <c r="DM396" s="2" t="n">
        <v>95.68000000000001</v>
      </c>
      <c r="DN396" s="2" t="n">
        <v>95.68000000000001</v>
      </c>
      <c r="DO396" s="2" t="n">
        <v>37.72</v>
      </c>
      <c r="DP396" s="2" t="n">
        <v>95.68000000000001</v>
      </c>
      <c r="DQ396" s="2" t="n">
        <v>95.68000000000001</v>
      </c>
      <c r="DR396" s="2" t="n">
        <v>37.72</v>
      </c>
      <c r="DS396" s="2" t="n">
        <v>95.68000000000001</v>
      </c>
      <c r="DT396" s="2" t="n">
        <v>95.68000000000001</v>
      </c>
      <c r="DU396" s="2" t="n">
        <v>37.72</v>
      </c>
      <c r="DV396" s="2" t="n">
        <v>95.68000000000001</v>
      </c>
      <c r="DW396" s="2" t="n">
        <v>95.68000000000001</v>
      </c>
      <c r="DX396" s="2" t="n">
        <v>37.72</v>
      </c>
      <c r="DY396" s="2" t="n">
        <v>95.68000000000001</v>
      </c>
      <c r="DZ396" s="2" t="n">
        <v>95.68000000000001</v>
      </c>
      <c r="EA396" s="2" t="n">
        <v>37.72</v>
      </c>
      <c r="EB396" s="2" t="n">
        <v>95.68000000000001</v>
      </c>
      <c r="EC396" s="2" t="n">
        <v>95.68000000000001</v>
      </c>
      <c r="ED396" s="2" t="n">
        <v>37.72</v>
      </c>
      <c r="EE396" s="2" t="n">
        <v>98.27</v>
      </c>
      <c r="EF396" s="2" t="n">
        <v>98.27</v>
      </c>
      <c r="EG396" s="2" t="n">
        <v>37.72</v>
      </c>
      <c r="EH396" s="2" t="n">
        <v>100</v>
      </c>
      <c r="EI396" s="2" t="n">
        <v>100</v>
      </c>
      <c r="EJ396" s="2" t="n">
        <v>37.72</v>
      </c>
      <c r="EK396" s="2" t="n">
        <v>100</v>
      </c>
      <c r="EL396" s="2" t="n">
        <v>100</v>
      </c>
      <c r="EM396" s="2" t="n">
        <v>37.72</v>
      </c>
      <c r="EN396" s="2" t="n">
        <v>100</v>
      </c>
      <c r="EO396" s="2" t="n">
        <v>100</v>
      </c>
      <c r="EP396" s="2" t="n">
        <v>37.72</v>
      </c>
      <c r="EQ396" s="2" t="n">
        <v>100</v>
      </c>
      <c r="ER396" s="2" t="n">
        <v>100</v>
      </c>
      <c r="ES396" s="2" t="n">
        <v>37.72</v>
      </c>
      <c r="ET396" s="2" t="n">
        <v>100</v>
      </c>
      <c r="EU396" s="2" t="n">
        <v>100</v>
      </c>
      <c r="EV396" s="2" t="n">
        <v>37.72</v>
      </c>
      <c r="EW396" s="2" t="n">
        <v>100</v>
      </c>
      <c r="EX396" s="2" t="n">
        <v>100</v>
      </c>
      <c r="EY396" s="2" t="n">
        <v>37.72</v>
      </c>
      <c r="EZ396" s="2" t="n">
        <v>100</v>
      </c>
      <c r="FA396" s="2" t="n">
        <v>100</v>
      </c>
      <c r="FB396" s="2" t="n">
        <v>37.72</v>
      </c>
      <c r="FC396" s="2" t="n">
        <v>100</v>
      </c>
      <c r="FD396" s="2" t="n">
        <v>100</v>
      </c>
      <c r="FE396" s="2" t="n">
        <v>37.72</v>
      </c>
      <c r="FF396" s="2" t="n">
        <v>100</v>
      </c>
      <c r="FG396" s="2" t="n">
        <v>100</v>
      </c>
      <c r="FH396" s="2" t="n">
        <v>37.72</v>
      </c>
      <c r="FI396" s="2" t="n">
        <v>100</v>
      </c>
      <c r="FJ396" s="2" t="n">
        <v>100</v>
      </c>
      <c r="FK396" s="2" t="n">
        <v>37.72</v>
      </c>
      <c r="FL396" s="2" t="n">
        <v>100</v>
      </c>
      <c r="FM396" s="2" t="n">
        <v>100</v>
      </c>
      <c r="FN396" s="2" t="n">
        <v>37.72</v>
      </c>
      <c r="FO396" s="2" t="n">
        <v>100</v>
      </c>
      <c r="FP396" s="2" t="n">
        <v>100</v>
      </c>
      <c r="FQ396" s="2" t="n">
        <v>37.72</v>
      </c>
    </row>
    <row r="397">
      <c r="A397" s="2" t="n">
        <v>4</v>
      </c>
      <c r="B397" s="2" t="inlineStr">
        <is>
          <t>19.01.03.02</t>
        </is>
      </c>
      <c r="C397" s="2" t="inlineStr">
        <is>
          <t>Alvenaria de vedação com blocos cerâmicos  esp. 19m</t>
        </is>
      </c>
      <c r="D397" s="2" t="inlineStr">
        <is>
          <t>23/03/2026</t>
        </is>
      </c>
      <c r="E397" s="2" t="inlineStr">
        <is>
          <t>02/03/2028</t>
        </is>
      </c>
      <c r="F397" s="2" t="n">
        <v>555662.88374</v>
      </c>
      <c r="G397" s="2" t="n">
        <v>0</v>
      </c>
      <c r="H397" s="2" t="n">
        <v>555662.88374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1.15</v>
      </c>
      <c r="BO397" s="2" t="n">
        <v>1.15</v>
      </c>
      <c r="BP397" s="2" t="n">
        <v>0.82</v>
      </c>
      <c r="BQ397" s="2" t="n">
        <v>3.6</v>
      </c>
      <c r="BR397" s="2" t="n">
        <v>3.6</v>
      </c>
      <c r="BS397" s="2" t="n">
        <v>3.6</v>
      </c>
      <c r="BT397" s="2" t="n">
        <v>7.54</v>
      </c>
      <c r="BU397" s="2" t="n">
        <v>7.54</v>
      </c>
      <c r="BV397" s="2" t="n">
        <v>7.67</v>
      </c>
      <c r="BW397" s="2" t="n">
        <v>12.05</v>
      </c>
      <c r="BX397" s="2" t="n">
        <v>12.01</v>
      </c>
      <c r="BY397" s="2" t="n">
        <v>13.7</v>
      </c>
      <c r="BZ397" s="2" t="n">
        <v>24.45</v>
      </c>
      <c r="CA397" s="2" t="n">
        <v>22.37</v>
      </c>
      <c r="CB397" s="2" t="n">
        <v>23.29</v>
      </c>
      <c r="CC397" s="2" t="n">
        <v>33.55</v>
      </c>
      <c r="CD397" s="2" t="n">
        <v>32.88</v>
      </c>
      <c r="CE397" s="2" t="n">
        <v>32.72</v>
      </c>
      <c r="CF397" s="2" t="n">
        <v>36.97</v>
      </c>
      <c r="CG397" s="2" t="n">
        <v>39.57</v>
      </c>
      <c r="CH397" s="2" t="n">
        <v>37.72</v>
      </c>
      <c r="CI397" s="2" t="n">
        <v>38.04</v>
      </c>
      <c r="CJ397" s="2" t="n">
        <v>40.64</v>
      </c>
      <c r="CK397" s="2" t="n">
        <v>37.72</v>
      </c>
      <c r="CL397" s="2" t="n">
        <v>41.38</v>
      </c>
      <c r="CM397" s="2" t="n">
        <v>43.98</v>
      </c>
      <c r="CN397" s="2" t="n">
        <v>37.72</v>
      </c>
      <c r="CO397" s="2" t="n">
        <v>44.22</v>
      </c>
      <c r="CP397" s="2" t="n">
        <v>46.82</v>
      </c>
      <c r="CQ397" s="2" t="n">
        <v>37.72</v>
      </c>
      <c r="CR397" s="2" t="n">
        <v>50.67</v>
      </c>
      <c r="CS397" s="2" t="n">
        <v>53.27</v>
      </c>
      <c r="CT397" s="2" t="n">
        <v>37.72</v>
      </c>
      <c r="CU397" s="2" t="n">
        <v>57.13</v>
      </c>
      <c r="CV397" s="2" t="n">
        <v>59.73</v>
      </c>
      <c r="CW397" s="2" t="n">
        <v>37.72</v>
      </c>
      <c r="CX397" s="2" t="n">
        <v>66.06999999999999</v>
      </c>
      <c r="CY397" s="2" t="n">
        <v>68.33</v>
      </c>
      <c r="CZ397" s="2" t="n">
        <v>37.72</v>
      </c>
      <c r="DA397" s="2" t="n">
        <v>76.34</v>
      </c>
      <c r="DB397" s="2" t="n">
        <v>76.34</v>
      </c>
      <c r="DC397" s="2" t="n">
        <v>37.72</v>
      </c>
      <c r="DD397" s="2" t="n">
        <v>83.27</v>
      </c>
      <c r="DE397" s="2" t="n">
        <v>83.27</v>
      </c>
      <c r="DF397" s="2" t="n">
        <v>37.72</v>
      </c>
      <c r="DG397" s="2" t="n">
        <v>90.20999999999999</v>
      </c>
      <c r="DH397" s="2" t="n">
        <v>90.20999999999999</v>
      </c>
      <c r="DI397" s="2" t="n">
        <v>37.72</v>
      </c>
      <c r="DJ397" s="2" t="n">
        <v>94.5</v>
      </c>
      <c r="DK397" s="2" t="n">
        <v>94.5</v>
      </c>
      <c r="DL397" s="2" t="n">
        <v>37.72</v>
      </c>
      <c r="DM397" s="2" t="n">
        <v>95.68000000000001</v>
      </c>
      <c r="DN397" s="2" t="n">
        <v>95.68000000000001</v>
      </c>
      <c r="DO397" s="2" t="n">
        <v>37.72</v>
      </c>
      <c r="DP397" s="2" t="n">
        <v>95.68000000000001</v>
      </c>
      <c r="DQ397" s="2" t="n">
        <v>95.68000000000001</v>
      </c>
      <c r="DR397" s="2" t="n">
        <v>37.72</v>
      </c>
      <c r="DS397" s="2" t="n">
        <v>95.68000000000001</v>
      </c>
      <c r="DT397" s="2" t="n">
        <v>95.68000000000001</v>
      </c>
      <c r="DU397" s="2" t="n">
        <v>37.72</v>
      </c>
      <c r="DV397" s="2" t="n">
        <v>95.68000000000001</v>
      </c>
      <c r="DW397" s="2" t="n">
        <v>95.68000000000001</v>
      </c>
      <c r="DX397" s="2" t="n">
        <v>37.72</v>
      </c>
      <c r="DY397" s="2" t="n">
        <v>95.68000000000001</v>
      </c>
      <c r="DZ397" s="2" t="n">
        <v>95.68000000000001</v>
      </c>
      <c r="EA397" s="2" t="n">
        <v>37.72</v>
      </c>
      <c r="EB397" s="2" t="n">
        <v>95.68000000000001</v>
      </c>
      <c r="EC397" s="2" t="n">
        <v>95.68000000000001</v>
      </c>
      <c r="ED397" s="2" t="n">
        <v>37.72</v>
      </c>
      <c r="EE397" s="2" t="n">
        <v>98.27</v>
      </c>
      <c r="EF397" s="2" t="n">
        <v>98.27</v>
      </c>
      <c r="EG397" s="2" t="n">
        <v>37.72</v>
      </c>
      <c r="EH397" s="2" t="n">
        <v>100</v>
      </c>
      <c r="EI397" s="2" t="n">
        <v>100</v>
      </c>
      <c r="EJ397" s="2" t="n">
        <v>37.72</v>
      </c>
      <c r="EK397" s="2" t="n">
        <v>100</v>
      </c>
      <c r="EL397" s="2" t="n">
        <v>100</v>
      </c>
      <c r="EM397" s="2" t="n">
        <v>37.72</v>
      </c>
      <c r="EN397" s="2" t="n">
        <v>100</v>
      </c>
      <c r="EO397" s="2" t="n">
        <v>100</v>
      </c>
      <c r="EP397" s="2" t="n">
        <v>37.72</v>
      </c>
      <c r="EQ397" s="2" t="n">
        <v>100</v>
      </c>
      <c r="ER397" s="2" t="n">
        <v>100</v>
      </c>
      <c r="ES397" s="2" t="n">
        <v>37.72</v>
      </c>
      <c r="ET397" s="2" t="n">
        <v>100</v>
      </c>
      <c r="EU397" s="2" t="n">
        <v>100</v>
      </c>
      <c r="EV397" s="2" t="n">
        <v>37.72</v>
      </c>
      <c r="EW397" s="2" t="n">
        <v>100</v>
      </c>
      <c r="EX397" s="2" t="n">
        <v>100</v>
      </c>
      <c r="EY397" s="2" t="n">
        <v>37.72</v>
      </c>
      <c r="EZ397" s="2" t="n">
        <v>100</v>
      </c>
      <c r="FA397" s="2" t="n">
        <v>100</v>
      </c>
      <c r="FB397" s="2" t="n">
        <v>37.72</v>
      </c>
      <c r="FC397" s="2" t="n">
        <v>100</v>
      </c>
      <c r="FD397" s="2" t="n">
        <v>100</v>
      </c>
      <c r="FE397" s="2" t="n">
        <v>37.72</v>
      </c>
      <c r="FF397" s="2" t="n">
        <v>100</v>
      </c>
      <c r="FG397" s="2" t="n">
        <v>100</v>
      </c>
      <c r="FH397" s="2" t="n">
        <v>37.72</v>
      </c>
      <c r="FI397" s="2" t="n">
        <v>100</v>
      </c>
      <c r="FJ397" s="2" t="n">
        <v>100</v>
      </c>
      <c r="FK397" s="2" t="n">
        <v>37.72</v>
      </c>
      <c r="FL397" s="2" t="n">
        <v>100</v>
      </c>
      <c r="FM397" s="2" t="n">
        <v>100</v>
      </c>
      <c r="FN397" s="2" t="n">
        <v>37.72</v>
      </c>
      <c r="FO397" s="2" t="n">
        <v>100</v>
      </c>
      <c r="FP397" s="2" t="n">
        <v>100</v>
      </c>
      <c r="FQ397" s="2" t="n">
        <v>37.72</v>
      </c>
    </row>
    <row r="398">
      <c r="A398" s="2" t="n">
        <v>4</v>
      </c>
      <c r="B398" s="2" t="inlineStr">
        <is>
          <t>19.01.03.03</t>
        </is>
      </c>
      <c r="C398" s="2" t="inlineStr">
        <is>
          <t>Encunhamento com espuma expansiva de poliuretano</t>
        </is>
      </c>
      <c r="D398" s="2" t="inlineStr">
        <is>
          <t>23/03/2026</t>
        </is>
      </c>
      <c r="E398" s="2" t="inlineStr">
        <is>
          <t>02/03/2028</t>
        </is>
      </c>
      <c r="F398" s="2" t="n">
        <v>40502.98217261551</v>
      </c>
      <c r="G398" s="2" t="n">
        <v>0</v>
      </c>
      <c r="H398" s="2" t="n">
        <v>40502.98217261551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1.15</v>
      </c>
      <c r="BO398" s="2" t="n">
        <v>1.15</v>
      </c>
      <c r="BP398" s="2" t="n">
        <v>0.82</v>
      </c>
      <c r="BQ398" s="2" t="n">
        <v>3.6</v>
      </c>
      <c r="BR398" s="2" t="n">
        <v>3.6</v>
      </c>
      <c r="BS398" s="2" t="n">
        <v>3.6</v>
      </c>
      <c r="BT398" s="2" t="n">
        <v>7.54</v>
      </c>
      <c r="BU398" s="2" t="n">
        <v>7.54</v>
      </c>
      <c r="BV398" s="2" t="n">
        <v>7.67</v>
      </c>
      <c r="BW398" s="2" t="n">
        <v>12.05</v>
      </c>
      <c r="BX398" s="2" t="n">
        <v>12.01</v>
      </c>
      <c r="BY398" s="2" t="n">
        <v>13.7</v>
      </c>
      <c r="BZ398" s="2" t="n">
        <v>24.45</v>
      </c>
      <c r="CA398" s="2" t="n">
        <v>22.37</v>
      </c>
      <c r="CB398" s="2" t="n">
        <v>23.29</v>
      </c>
      <c r="CC398" s="2" t="n">
        <v>33.55</v>
      </c>
      <c r="CD398" s="2" t="n">
        <v>32.88</v>
      </c>
      <c r="CE398" s="2" t="n">
        <v>32.72</v>
      </c>
      <c r="CF398" s="2" t="n">
        <v>36.97</v>
      </c>
      <c r="CG398" s="2" t="n">
        <v>39.57</v>
      </c>
      <c r="CH398" s="2" t="n">
        <v>37.72</v>
      </c>
      <c r="CI398" s="2" t="n">
        <v>38.04</v>
      </c>
      <c r="CJ398" s="2" t="n">
        <v>40.64</v>
      </c>
      <c r="CK398" s="2" t="n">
        <v>37.72</v>
      </c>
      <c r="CL398" s="2" t="n">
        <v>41.38</v>
      </c>
      <c r="CM398" s="2" t="n">
        <v>43.98</v>
      </c>
      <c r="CN398" s="2" t="n">
        <v>37.72</v>
      </c>
      <c r="CO398" s="2" t="n">
        <v>44.22</v>
      </c>
      <c r="CP398" s="2" t="n">
        <v>46.82</v>
      </c>
      <c r="CQ398" s="2" t="n">
        <v>37.72</v>
      </c>
      <c r="CR398" s="2" t="n">
        <v>50.67</v>
      </c>
      <c r="CS398" s="2" t="n">
        <v>53.27</v>
      </c>
      <c r="CT398" s="2" t="n">
        <v>37.72</v>
      </c>
      <c r="CU398" s="2" t="n">
        <v>57.13</v>
      </c>
      <c r="CV398" s="2" t="n">
        <v>59.73</v>
      </c>
      <c r="CW398" s="2" t="n">
        <v>37.72</v>
      </c>
      <c r="CX398" s="2" t="n">
        <v>66.06999999999999</v>
      </c>
      <c r="CY398" s="2" t="n">
        <v>68.33</v>
      </c>
      <c r="CZ398" s="2" t="n">
        <v>37.72</v>
      </c>
      <c r="DA398" s="2" t="n">
        <v>76.34</v>
      </c>
      <c r="DB398" s="2" t="n">
        <v>76.34</v>
      </c>
      <c r="DC398" s="2" t="n">
        <v>37.72</v>
      </c>
      <c r="DD398" s="2" t="n">
        <v>83.27</v>
      </c>
      <c r="DE398" s="2" t="n">
        <v>83.27</v>
      </c>
      <c r="DF398" s="2" t="n">
        <v>37.72</v>
      </c>
      <c r="DG398" s="2" t="n">
        <v>90.20999999999999</v>
      </c>
      <c r="DH398" s="2" t="n">
        <v>90.20999999999999</v>
      </c>
      <c r="DI398" s="2" t="n">
        <v>37.72</v>
      </c>
      <c r="DJ398" s="2" t="n">
        <v>94.5</v>
      </c>
      <c r="DK398" s="2" t="n">
        <v>94.5</v>
      </c>
      <c r="DL398" s="2" t="n">
        <v>37.72</v>
      </c>
      <c r="DM398" s="2" t="n">
        <v>95.68000000000001</v>
      </c>
      <c r="DN398" s="2" t="n">
        <v>95.68000000000001</v>
      </c>
      <c r="DO398" s="2" t="n">
        <v>37.72</v>
      </c>
      <c r="DP398" s="2" t="n">
        <v>95.68000000000001</v>
      </c>
      <c r="DQ398" s="2" t="n">
        <v>95.68000000000001</v>
      </c>
      <c r="DR398" s="2" t="n">
        <v>37.72</v>
      </c>
      <c r="DS398" s="2" t="n">
        <v>95.68000000000001</v>
      </c>
      <c r="DT398" s="2" t="n">
        <v>95.68000000000001</v>
      </c>
      <c r="DU398" s="2" t="n">
        <v>37.72</v>
      </c>
      <c r="DV398" s="2" t="n">
        <v>95.68000000000001</v>
      </c>
      <c r="DW398" s="2" t="n">
        <v>95.68000000000001</v>
      </c>
      <c r="DX398" s="2" t="n">
        <v>37.72</v>
      </c>
      <c r="DY398" s="2" t="n">
        <v>95.68000000000001</v>
      </c>
      <c r="DZ398" s="2" t="n">
        <v>95.68000000000001</v>
      </c>
      <c r="EA398" s="2" t="n">
        <v>37.72</v>
      </c>
      <c r="EB398" s="2" t="n">
        <v>95.68000000000001</v>
      </c>
      <c r="EC398" s="2" t="n">
        <v>95.68000000000001</v>
      </c>
      <c r="ED398" s="2" t="n">
        <v>37.72</v>
      </c>
      <c r="EE398" s="2" t="n">
        <v>98.27</v>
      </c>
      <c r="EF398" s="2" t="n">
        <v>98.27</v>
      </c>
      <c r="EG398" s="2" t="n">
        <v>37.72</v>
      </c>
      <c r="EH398" s="2" t="n">
        <v>100</v>
      </c>
      <c r="EI398" s="2" t="n">
        <v>100</v>
      </c>
      <c r="EJ398" s="2" t="n">
        <v>37.72</v>
      </c>
      <c r="EK398" s="2" t="n">
        <v>100</v>
      </c>
      <c r="EL398" s="2" t="n">
        <v>100</v>
      </c>
      <c r="EM398" s="2" t="n">
        <v>37.72</v>
      </c>
      <c r="EN398" s="2" t="n">
        <v>100</v>
      </c>
      <c r="EO398" s="2" t="n">
        <v>100</v>
      </c>
      <c r="EP398" s="2" t="n">
        <v>37.72</v>
      </c>
      <c r="EQ398" s="2" t="n">
        <v>100</v>
      </c>
      <c r="ER398" s="2" t="n">
        <v>100</v>
      </c>
      <c r="ES398" s="2" t="n">
        <v>37.72</v>
      </c>
      <c r="ET398" s="2" t="n">
        <v>100</v>
      </c>
      <c r="EU398" s="2" t="n">
        <v>100</v>
      </c>
      <c r="EV398" s="2" t="n">
        <v>37.72</v>
      </c>
      <c r="EW398" s="2" t="n">
        <v>100</v>
      </c>
      <c r="EX398" s="2" t="n">
        <v>100</v>
      </c>
      <c r="EY398" s="2" t="n">
        <v>37.72</v>
      </c>
      <c r="EZ398" s="2" t="n">
        <v>100</v>
      </c>
      <c r="FA398" s="2" t="n">
        <v>100</v>
      </c>
      <c r="FB398" s="2" t="n">
        <v>37.72</v>
      </c>
      <c r="FC398" s="2" t="n">
        <v>100</v>
      </c>
      <c r="FD398" s="2" t="n">
        <v>100</v>
      </c>
      <c r="FE398" s="2" t="n">
        <v>37.72</v>
      </c>
      <c r="FF398" s="2" t="n">
        <v>100</v>
      </c>
      <c r="FG398" s="2" t="n">
        <v>100</v>
      </c>
      <c r="FH398" s="2" t="n">
        <v>37.72</v>
      </c>
      <c r="FI398" s="2" t="n">
        <v>100</v>
      </c>
      <c r="FJ398" s="2" t="n">
        <v>100</v>
      </c>
      <c r="FK398" s="2" t="n">
        <v>37.72</v>
      </c>
      <c r="FL398" s="2" t="n">
        <v>100</v>
      </c>
      <c r="FM398" s="2" t="n">
        <v>100</v>
      </c>
      <c r="FN398" s="2" t="n">
        <v>37.72</v>
      </c>
      <c r="FO398" s="2" t="n">
        <v>100</v>
      </c>
      <c r="FP398" s="2" t="n">
        <v>100</v>
      </c>
      <c r="FQ398" s="2" t="n">
        <v>37.72</v>
      </c>
    </row>
    <row r="399">
      <c r="A399" s="2" t="n">
        <v>4</v>
      </c>
      <c r="B399" s="2" t="inlineStr">
        <is>
          <t>19.01.03.04</t>
        </is>
      </c>
      <c r="C399" s="2" t="inlineStr">
        <is>
          <t>Amarração de Alvenaria</t>
        </is>
      </c>
      <c r="D399" s="2" t="inlineStr">
        <is>
          <t>23/03/2026</t>
        </is>
      </c>
      <c r="E399" s="2" t="inlineStr">
        <is>
          <t>02/03/2028</t>
        </is>
      </c>
      <c r="F399" s="2" t="n">
        <v>19787.34692899177</v>
      </c>
      <c r="G399" s="2" t="n">
        <v>0</v>
      </c>
      <c r="H399" s="2" t="n">
        <v>19787.34692899177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1.15</v>
      </c>
      <c r="BO399" s="2" t="n">
        <v>1.15</v>
      </c>
      <c r="BP399" s="2" t="n">
        <v>0.82</v>
      </c>
      <c r="BQ399" s="2" t="n">
        <v>3.6</v>
      </c>
      <c r="BR399" s="2" t="n">
        <v>3.6</v>
      </c>
      <c r="BS399" s="2" t="n">
        <v>3.6</v>
      </c>
      <c r="BT399" s="2" t="n">
        <v>7.54</v>
      </c>
      <c r="BU399" s="2" t="n">
        <v>7.54</v>
      </c>
      <c r="BV399" s="2" t="n">
        <v>7.67</v>
      </c>
      <c r="BW399" s="2" t="n">
        <v>12.05</v>
      </c>
      <c r="BX399" s="2" t="n">
        <v>12.01</v>
      </c>
      <c r="BY399" s="2" t="n">
        <v>13.7</v>
      </c>
      <c r="BZ399" s="2" t="n">
        <v>24.45</v>
      </c>
      <c r="CA399" s="2" t="n">
        <v>22.37</v>
      </c>
      <c r="CB399" s="2" t="n">
        <v>23.29</v>
      </c>
      <c r="CC399" s="2" t="n">
        <v>33.55</v>
      </c>
      <c r="CD399" s="2" t="n">
        <v>32.88</v>
      </c>
      <c r="CE399" s="2" t="n">
        <v>32.72</v>
      </c>
      <c r="CF399" s="2" t="n">
        <v>36.97</v>
      </c>
      <c r="CG399" s="2" t="n">
        <v>39.57</v>
      </c>
      <c r="CH399" s="2" t="n">
        <v>37.72</v>
      </c>
      <c r="CI399" s="2" t="n">
        <v>38.04</v>
      </c>
      <c r="CJ399" s="2" t="n">
        <v>40.64</v>
      </c>
      <c r="CK399" s="2" t="n">
        <v>37.72</v>
      </c>
      <c r="CL399" s="2" t="n">
        <v>41.38</v>
      </c>
      <c r="CM399" s="2" t="n">
        <v>43.98</v>
      </c>
      <c r="CN399" s="2" t="n">
        <v>37.72</v>
      </c>
      <c r="CO399" s="2" t="n">
        <v>44.22</v>
      </c>
      <c r="CP399" s="2" t="n">
        <v>46.82</v>
      </c>
      <c r="CQ399" s="2" t="n">
        <v>37.72</v>
      </c>
      <c r="CR399" s="2" t="n">
        <v>50.67</v>
      </c>
      <c r="CS399" s="2" t="n">
        <v>53.27</v>
      </c>
      <c r="CT399" s="2" t="n">
        <v>37.72</v>
      </c>
      <c r="CU399" s="2" t="n">
        <v>57.13</v>
      </c>
      <c r="CV399" s="2" t="n">
        <v>59.73</v>
      </c>
      <c r="CW399" s="2" t="n">
        <v>37.72</v>
      </c>
      <c r="CX399" s="2" t="n">
        <v>66.06999999999999</v>
      </c>
      <c r="CY399" s="2" t="n">
        <v>68.33</v>
      </c>
      <c r="CZ399" s="2" t="n">
        <v>37.72</v>
      </c>
      <c r="DA399" s="2" t="n">
        <v>76.34</v>
      </c>
      <c r="DB399" s="2" t="n">
        <v>76.34</v>
      </c>
      <c r="DC399" s="2" t="n">
        <v>37.72</v>
      </c>
      <c r="DD399" s="2" t="n">
        <v>83.27</v>
      </c>
      <c r="DE399" s="2" t="n">
        <v>83.27</v>
      </c>
      <c r="DF399" s="2" t="n">
        <v>37.72</v>
      </c>
      <c r="DG399" s="2" t="n">
        <v>90.20999999999999</v>
      </c>
      <c r="DH399" s="2" t="n">
        <v>90.20999999999999</v>
      </c>
      <c r="DI399" s="2" t="n">
        <v>37.72</v>
      </c>
      <c r="DJ399" s="2" t="n">
        <v>94.5</v>
      </c>
      <c r="DK399" s="2" t="n">
        <v>94.5</v>
      </c>
      <c r="DL399" s="2" t="n">
        <v>37.72</v>
      </c>
      <c r="DM399" s="2" t="n">
        <v>95.68000000000001</v>
      </c>
      <c r="DN399" s="2" t="n">
        <v>95.68000000000001</v>
      </c>
      <c r="DO399" s="2" t="n">
        <v>37.72</v>
      </c>
      <c r="DP399" s="2" t="n">
        <v>95.68000000000001</v>
      </c>
      <c r="DQ399" s="2" t="n">
        <v>95.68000000000001</v>
      </c>
      <c r="DR399" s="2" t="n">
        <v>37.72</v>
      </c>
      <c r="DS399" s="2" t="n">
        <v>95.68000000000001</v>
      </c>
      <c r="DT399" s="2" t="n">
        <v>95.68000000000001</v>
      </c>
      <c r="DU399" s="2" t="n">
        <v>37.72</v>
      </c>
      <c r="DV399" s="2" t="n">
        <v>95.68000000000001</v>
      </c>
      <c r="DW399" s="2" t="n">
        <v>95.68000000000001</v>
      </c>
      <c r="DX399" s="2" t="n">
        <v>37.72</v>
      </c>
      <c r="DY399" s="2" t="n">
        <v>95.68000000000001</v>
      </c>
      <c r="DZ399" s="2" t="n">
        <v>95.68000000000001</v>
      </c>
      <c r="EA399" s="2" t="n">
        <v>37.72</v>
      </c>
      <c r="EB399" s="2" t="n">
        <v>95.68000000000001</v>
      </c>
      <c r="EC399" s="2" t="n">
        <v>95.68000000000001</v>
      </c>
      <c r="ED399" s="2" t="n">
        <v>37.72</v>
      </c>
      <c r="EE399" s="2" t="n">
        <v>98.27</v>
      </c>
      <c r="EF399" s="2" t="n">
        <v>98.27</v>
      </c>
      <c r="EG399" s="2" t="n">
        <v>37.72</v>
      </c>
      <c r="EH399" s="2" t="n">
        <v>100</v>
      </c>
      <c r="EI399" s="2" t="n">
        <v>100</v>
      </c>
      <c r="EJ399" s="2" t="n">
        <v>37.72</v>
      </c>
      <c r="EK399" s="2" t="n">
        <v>100</v>
      </c>
      <c r="EL399" s="2" t="n">
        <v>100</v>
      </c>
      <c r="EM399" s="2" t="n">
        <v>37.72</v>
      </c>
      <c r="EN399" s="2" t="n">
        <v>100</v>
      </c>
      <c r="EO399" s="2" t="n">
        <v>100</v>
      </c>
      <c r="EP399" s="2" t="n">
        <v>37.72</v>
      </c>
      <c r="EQ399" s="2" t="n">
        <v>100</v>
      </c>
      <c r="ER399" s="2" t="n">
        <v>100</v>
      </c>
      <c r="ES399" s="2" t="n">
        <v>37.72</v>
      </c>
      <c r="ET399" s="2" t="n">
        <v>100</v>
      </c>
      <c r="EU399" s="2" t="n">
        <v>100</v>
      </c>
      <c r="EV399" s="2" t="n">
        <v>37.72</v>
      </c>
      <c r="EW399" s="2" t="n">
        <v>100</v>
      </c>
      <c r="EX399" s="2" t="n">
        <v>100</v>
      </c>
      <c r="EY399" s="2" t="n">
        <v>37.72</v>
      </c>
      <c r="EZ399" s="2" t="n">
        <v>100</v>
      </c>
      <c r="FA399" s="2" t="n">
        <v>100</v>
      </c>
      <c r="FB399" s="2" t="n">
        <v>37.72</v>
      </c>
      <c r="FC399" s="2" t="n">
        <v>100</v>
      </c>
      <c r="FD399" s="2" t="n">
        <v>100</v>
      </c>
      <c r="FE399" s="2" t="n">
        <v>37.72</v>
      </c>
      <c r="FF399" s="2" t="n">
        <v>100</v>
      </c>
      <c r="FG399" s="2" t="n">
        <v>100</v>
      </c>
      <c r="FH399" s="2" t="n">
        <v>37.72</v>
      </c>
      <c r="FI399" s="2" t="n">
        <v>100</v>
      </c>
      <c r="FJ399" s="2" t="n">
        <v>100</v>
      </c>
      <c r="FK399" s="2" t="n">
        <v>37.72</v>
      </c>
      <c r="FL399" s="2" t="n">
        <v>100</v>
      </c>
      <c r="FM399" s="2" t="n">
        <v>100</v>
      </c>
      <c r="FN399" s="2" t="n">
        <v>37.72</v>
      </c>
      <c r="FO399" s="2" t="n">
        <v>100</v>
      </c>
      <c r="FP399" s="2" t="n">
        <v>100</v>
      </c>
      <c r="FQ399" s="2" t="n">
        <v>37.72</v>
      </c>
    </row>
    <row r="400">
      <c r="A400" s="2" t="n">
        <v>4</v>
      </c>
      <c r="B400" s="2" t="inlineStr">
        <is>
          <t>19.01.03.05</t>
        </is>
      </c>
      <c r="C400" s="2" t="inlineStr">
        <is>
          <t>Tela murfor</t>
        </is>
      </c>
      <c r="D400" s="2" t="inlineStr">
        <is>
          <t>23/03/2026</t>
        </is>
      </c>
      <c r="E400" s="2" t="inlineStr">
        <is>
          <t>02/03/2028</t>
        </is>
      </c>
      <c r="F400" s="2" t="n">
        <v>124825.8360655738</v>
      </c>
      <c r="G400" s="2" t="n">
        <v>0</v>
      </c>
      <c r="H400" s="2" t="n">
        <v>124825.8360655738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1.15</v>
      </c>
      <c r="BO400" s="2" t="n">
        <v>1.15</v>
      </c>
      <c r="BP400" s="2" t="n">
        <v>0.82</v>
      </c>
      <c r="BQ400" s="2" t="n">
        <v>3.6</v>
      </c>
      <c r="BR400" s="2" t="n">
        <v>3.6</v>
      </c>
      <c r="BS400" s="2" t="n">
        <v>3.6</v>
      </c>
      <c r="BT400" s="2" t="n">
        <v>7.54</v>
      </c>
      <c r="BU400" s="2" t="n">
        <v>7.54</v>
      </c>
      <c r="BV400" s="2" t="n">
        <v>7.67</v>
      </c>
      <c r="BW400" s="2" t="n">
        <v>12.05</v>
      </c>
      <c r="BX400" s="2" t="n">
        <v>12.01</v>
      </c>
      <c r="BY400" s="2" t="n">
        <v>13.7</v>
      </c>
      <c r="BZ400" s="2" t="n">
        <v>24.45</v>
      </c>
      <c r="CA400" s="2" t="n">
        <v>22.37</v>
      </c>
      <c r="CB400" s="2" t="n">
        <v>23.29</v>
      </c>
      <c r="CC400" s="2" t="n">
        <v>33.55</v>
      </c>
      <c r="CD400" s="2" t="n">
        <v>32.88</v>
      </c>
      <c r="CE400" s="2" t="n">
        <v>32.72</v>
      </c>
      <c r="CF400" s="2" t="n">
        <v>36.97</v>
      </c>
      <c r="CG400" s="2" t="n">
        <v>39.57</v>
      </c>
      <c r="CH400" s="2" t="n">
        <v>37.72</v>
      </c>
      <c r="CI400" s="2" t="n">
        <v>38.04</v>
      </c>
      <c r="CJ400" s="2" t="n">
        <v>40.64</v>
      </c>
      <c r="CK400" s="2" t="n">
        <v>37.72</v>
      </c>
      <c r="CL400" s="2" t="n">
        <v>41.38</v>
      </c>
      <c r="CM400" s="2" t="n">
        <v>43.98</v>
      </c>
      <c r="CN400" s="2" t="n">
        <v>37.72</v>
      </c>
      <c r="CO400" s="2" t="n">
        <v>44.22</v>
      </c>
      <c r="CP400" s="2" t="n">
        <v>46.82</v>
      </c>
      <c r="CQ400" s="2" t="n">
        <v>37.72</v>
      </c>
      <c r="CR400" s="2" t="n">
        <v>50.67</v>
      </c>
      <c r="CS400" s="2" t="n">
        <v>53.27</v>
      </c>
      <c r="CT400" s="2" t="n">
        <v>37.72</v>
      </c>
      <c r="CU400" s="2" t="n">
        <v>57.13</v>
      </c>
      <c r="CV400" s="2" t="n">
        <v>59.73</v>
      </c>
      <c r="CW400" s="2" t="n">
        <v>37.72</v>
      </c>
      <c r="CX400" s="2" t="n">
        <v>66.06999999999999</v>
      </c>
      <c r="CY400" s="2" t="n">
        <v>68.33</v>
      </c>
      <c r="CZ400" s="2" t="n">
        <v>37.72</v>
      </c>
      <c r="DA400" s="2" t="n">
        <v>76.34</v>
      </c>
      <c r="DB400" s="2" t="n">
        <v>76.34</v>
      </c>
      <c r="DC400" s="2" t="n">
        <v>37.72</v>
      </c>
      <c r="DD400" s="2" t="n">
        <v>83.27</v>
      </c>
      <c r="DE400" s="2" t="n">
        <v>83.27</v>
      </c>
      <c r="DF400" s="2" t="n">
        <v>37.72</v>
      </c>
      <c r="DG400" s="2" t="n">
        <v>90.20999999999999</v>
      </c>
      <c r="DH400" s="2" t="n">
        <v>90.20999999999999</v>
      </c>
      <c r="DI400" s="2" t="n">
        <v>37.72</v>
      </c>
      <c r="DJ400" s="2" t="n">
        <v>94.5</v>
      </c>
      <c r="DK400" s="2" t="n">
        <v>94.5</v>
      </c>
      <c r="DL400" s="2" t="n">
        <v>37.72</v>
      </c>
      <c r="DM400" s="2" t="n">
        <v>95.68000000000001</v>
      </c>
      <c r="DN400" s="2" t="n">
        <v>95.68000000000001</v>
      </c>
      <c r="DO400" s="2" t="n">
        <v>37.72</v>
      </c>
      <c r="DP400" s="2" t="n">
        <v>95.68000000000001</v>
      </c>
      <c r="DQ400" s="2" t="n">
        <v>95.68000000000001</v>
      </c>
      <c r="DR400" s="2" t="n">
        <v>37.72</v>
      </c>
      <c r="DS400" s="2" t="n">
        <v>95.68000000000001</v>
      </c>
      <c r="DT400" s="2" t="n">
        <v>95.68000000000001</v>
      </c>
      <c r="DU400" s="2" t="n">
        <v>37.72</v>
      </c>
      <c r="DV400" s="2" t="n">
        <v>95.68000000000001</v>
      </c>
      <c r="DW400" s="2" t="n">
        <v>95.68000000000001</v>
      </c>
      <c r="DX400" s="2" t="n">
        <v>37.72</v>
      </c>
      <c r="DY400" s="2" t="n">
        <v>95.68000000000001</v>
      </c>
      <c r="DZ400" s="2" t="n">
        <v>95.68000000000001</v>
      </c>
      <c r="EA400" s="2" t="n">
        <v>37.72</v>
      </c>
      <c r="EB400" s="2" t="n">
        <v>95.68000000000001</v>
      </c>
      <c r="EC400" s="2" t="n">
        <v>95.68000000000001</v>
      </c>
      <c r="ED400" s="2" t="n">
        <v>37.72</v>
      </c>
      <c r="EE400" s="2" t="n">
        <v>98.27</v>
      </c>
      <c r="EF400" s="2" t="n">
        <v>98.27</v>
      </c>
      <c r="EG400" s="2" t="n">
        <v>37.72</v>
      </c>
      <c r="EH400" s="2" t="n">
        <v>100</v>
      </c>
      <c r="EI400" s="2" t="n">
        <v>100</v>
      </c>
      <c r="EJ400" s="2" t="n">
        <v>37.72</v>
      </c>
      <c r="EK400" s="2" t="n">
        <v>100</v>
      </c>
      <c r="EL400" s="2" t="n">
        <v>100</v>
      </c>
      <c r="EM400" s="2" t="n">
        <v>37.72</v>
      </c>
      <c r="EN400" s="2" t="n">
        <v>100</v>
      </c>
      <c r="EO400" s="2" t="n">
        <v>100</v>
      </c>
      <c r="EP400" s="2" t="n">
        <v>37.72</v>
      </c>
      <c r="EQ400" s="2" t="n">
        <v>100</v>
      </c>
      <c r="ER400" s="2" t="n">
        <v>100</v>
      </c>
      <c r="ES400" s="2" t="n">
        <v>37.72</v>
      </c>
      <c r="ET400" s="2" t="n">
        <v>100</v>
      </c>
      <c r="EU400" s="2" t="n">
        <v>100</v>
      </c>
      <c r="EV400" s="2" t="n">
        <v>37.72</v>
      </c>
      <c r="EW400" s="2" t="n">
        <v>100</v>
      </c>
      <c r="EX400" s="2" t="n">
        <v>100</v>
      </c>
      <c r="EY400" s="2" t="n">
        <v>37.72</v>
      </c>
      <c r="EZ400" s="2" t="n">
        <v>100</v>
      </c>
      <c r="FA400" s="2" t="n">
        <v>100</v>
      </c>
      <c r="FB400" s="2" t="n">
        <v>37.72</v>
      </c>
      <c r="FC400" s="2" t="n">
        <v>100</v>
      </c>
      <c r="FD400" s="2" t="n">
        <v>100</v>
      </c>
      <c r="FE400" s="2" t="n">
        <v>37.72</v>
      </c>
      <c r="FF400" s="2" t="n">
        <v>100</v>
      </c>
      <c r="FG400" s="2" t="n">
        <v>100</v>
      </c>
      <c r="FH400" s="2" t="n">
        <v>37.72</v>
      </c>
      <c r="FI400" s="2" t="n">
        <v>100</v>
      </c>
      <c r="FJ400" s="2" t="n">
        <v>100</v>
      </c>
      <c r="FK400" s="2" t="n">
        <v>37.72</v>
      </c>
      <c r="FL400" s="2" t="n">
        <v>100</v>
      </c>
      <c r="FM400" s="2" t="n">
        <v>100</v>
      </c>
      <c r="FN400" s="2" t="n">
        <v>37.72</v>
      </c>
      <c r="FO400" s="2" t="n">
        <v>100</v>
      </c>
      <c r="FP400" s="2" t="n">
        <v>100</v>
      </c>
      <c r="FQ400" s="2" t="n">
        <v>37.72</v>
      </c>
    </row>
    <row r="401">
      <c r="A401" s="2" t="n">
        <v>2</v>
      </c>
      <c r="B401" s="2" t="inlineStr">
        <is>
          <t>19.02</t>
        </is>
      </c>
      <c r="C401" s="2" t="inlineStr">
        <is>
          <t>Alvenaria de vedação  com blocos de concreto</t>
        </is>
      </c>
      <c r="D401" s="2" t="inlineStr">
        <is>
          <t>23/03/2026</t>
        </is>
      </c>
      <c r="E401" s="2" t="inlineStr">
        <is>
          <t>02/03/2028</t>
        </is>
      </c>
      <c r="F401" s="2" t="n">
        <v>876381.5485996271</v>
      </c>
      <c r="G401" s="2" t="n">
        <v>0</v>
      </c>
      <c r="H401" s="2" t="n">
        <v>876381.5485996271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1.15</v>
      </c>
      <c r="BO401" s="2" t="n">
        <v>1.15</v>
      </c>
      <c r="BP401" s="2" t="n">
        <v>0.82</v>
      </c>
      <c r="BQ401" s="2" t="n">
        <v>3.6</v>
      </c>
      <c r="BR401" s="2" t="n">
        <v>3.6</v>
      </c>
      <c r="BS401" s="2" t="n">
        <v>3.6</v>
      </c>
      <c r="BT401" s="2" t="n">
        <v>7.54</v>
      </c>
      <c r="BU401" s="2" t="n">
        <v>7.54</v>
      </c>
      <c r="BV401" s="2" t="n">
        <v>7.67</v>
      </c>
      <c r="BW401" s="2" t="n">
        <v>12.05</v>
      </c>
      <c r="BX401" s="2" t="n">
        <v>12.01</v>
      </c>
      <c r="BY401" s="2" t="n">
        <v>13.7</v>
      </c>
      <c r="BZ401" s="2" t="n">
        <v>24.29</v>
      </c>
      <c r="CA401" s="2" t="n">
        <v>22.22</v>
      </c>
      <c r="CB401" s="2" t="n">
        <v>23.13</v>
      </c>
      <c r="CC401" s="2" t="n">
        <v>33.39</v>
      </c>
      <c r="CD401" s="2" t="n">
        <v>32.72</v>
      </c>
      <c r="CE401" s="2" t="n">
        <v>32.56</v>
      </c>
      <c r="CF401" s="2" t="n">
        <v>36.81</v>
      </c>
      <c r="CG401" s="2" t="n">
        <v>39.41</v>
      </c>
      <c r="CH401" s="2" t="n">
        <v>37.56</v>
      </c>
      <c r="CI401" s="2" t="n">
        <v>37.88</v>
      </c>
      <c r="CJ401" s="2" t="n">
        <v>40.48</v>
      </c>
      <c r="CK401" s="2" t="n">
        <v>37.56</v>
      </c>
      <c r="CL401" s="2" t="n">
        <v>41.22</v>
      </c>
      <c r="CM401" s="2" t="n">
        <v>43.82</v>
      </c>
      <c r="CN401" s="2" t="n">
        <v>37.56</v>
      </c>
      <c r="CO401" s="2" t="n">
        <v>44.07</v>
      </c>
      <c r="CP401" s="2" t="n">
        <v>46.66</v>
      </c>
      <c r="CQ401" s="2" t="n">
        <v>37.56</v>
      </c>
      <c r="CR401" s="2" t="n">
        <v>50.58</v>
      </c>
      <c r="CS401" s="2" t="n">
        <v>53.18</v>
      </c>
      <c r="CT401" s="2" t="n">
        <v>37.56</v>
      </c>
      <c r="CU401" s="2" t="n">
        <v>57.15</v>
      </c>
      <c r="CV401" s="2" t="n">
        <v>59.74</v>
      </c>
      <c r="CW401" s="2" t="n">
        <v>37.56</v>
      </c>
      <c r="CX401" s="2" t="n">
        <v>66.09</v>
      </c>
      <c r="CY401" s="2" t="n">
        <v>68.34</v>
      </c>
      <c r="CZ401" s="2" t="n">
        <v>37.56</v>
      </c>
      <c r="DA401" s="2" t="n">
        <v>76.34999999999999</v>
      </c>
      <c r="DB401" s="2" t="n">
        <v>76.34999999999999</v>
      </c>
      <c r="DC401" s="2" t="n">
        <v>37.56</v>
      </c>
      <c r="DD401" s="2" t="n">
        <v>83.28</v>
      </c>
      <c r="DE401" s="2" t="n">
        <v>83.28</v>
      </c>
      <c r="DF401" s="2" t="n">
        <v>37.56</v>
      </c>
      <c r="DG401" s="2" t="n">
        <v>90.22</v>
      </c>
      <c r="DH401" s="2" t="n">
        <v>90.22</v>
      </c>
      <c r="DI401" s="2" t="n">
        <v>37.56</v>
      </c>
      <c r="DJ401" s="2" t="n">
        <v>94.51000000000001</v>
      </c>
      <c r="DK401" s="2" t="n">
        <v>94.51000000000001</v>
      </c>
      <c r="DL401" s="2" t="n">
        <v>37.56</v>
      </c>
      <c r="DM401" s="2" t="n">
        <v>95.68000000000001</v>
      </c>
      <c r="DN401" s="2" t="n">
        <v>95.68000000000001</v>
      </c>
      <c r="DO401" s="2" t="n">
        <v>37.56</v>
      </c>
      <c r="DP401" s="2" t="n">
        <v>95.68000000000001</v>
      </c>
      <c r="DQ401" s="2" t="n">
        <v>95.68000000000001</v>
      </c>
      <c r="DR401" s="2" t="n">
        <v>37.56</v>
      </c>
      <c r="DS401" s="2" t="n">
        <v>95.68000000000001</v>
      </c>
      <c r="DT401" s="2" t="n">
        <v>95.68000000000001</v>
      </c>
      <c r="DU401" s="2" t="n">
        <v>37.56</v>
      </c>
      <c r="DV401" s="2" t="n">
        <v>95.68000000000001</v>
      </c>
      <c r="DW401" s="2" t="n">
        <v>95.68000000000001</v>
      </c>
      <c r="DX401" s="2" t="n">
        <v>37.56</v>
      </c>
      <c r="DY401" s="2" t="n">
        <v>95.68000000000001</v>
      </c>
      <c r="DZ401" s="2" t="n">
        <v>95.68000000000001</v>
      </c>
      <c r="EA401" s="2" t="n">
        <v>37.56</v>
      </c>
      <c r="EB401" s="2" t="n">
        <v>95.68000000000001</v>
      </c>
      <c r="EC401" s="2" t="n">
        <v>95.68000000000001</v>
      </c>
      <c r="ED401" s="2" t="n">
        <v>37.56</v>
      </c>
      <c r="EE401" s="2" t="n">
        <v>98.27</v>
      </c>
      <c r="EF401" s="2" t="n">
        <v>98.27</v>
      </c>
      <c r="EG401" s="2" t="n">
        <v>37.56</v>
      </c>
      <c r="EH401" s="2" t="n">
        <v>100</v>
      </c>
      <c r="EI401" s="2" t="n">
        <v>100</v>
      </c>
      <c r="EJ401" s="2" t="n">
        <v>37.56</v>
      </c>
      <c r="EK401" s="2" t="n">
        <v>100</v>
      </c>
      <c r="EL401" s="2" t="n">
        <v>100</v>
      </c>
      <c r="EM401" s="2" t="n">
        <v>37.56</v>
      </c>
      <c r="EN401" s="2" t="n">
        <v>100</v>
      </c>
      <c r="EO401" s="2" t="n">
        <v>100</v>
      </c>
      <c r="EP401" s="2" t="n">
        <v>37.56</v>
      </c>
      <c r="EQ401" s="2" t="n">
        <v>100</v>
      </c>
      <c r="ER401" s="2" t="n">
        <v>100</v>
      </c>
      <c r="ES401" s="2" t="n">
        <v>37.56</v>
      </c>
      <c r="ET401" s="2" t="n">
        <v>100</v>
      </c>
      <c r="EU401" s="2" t="n">
        <v>100</v>
      </c>
      <c r="EV401" s="2" t="n">
        <v>37.56</v>
      </c>
      <c r="EW401" s="2" t="n">
        <v>100</v>
      </c>
      <c r="EX401" s="2" t="n">
        <v>100</v>
      </c>
      <c r="EY401" s="2" t="n">
        <v>37.56</v>
      </c>
      <c r="EZ401" s="2" t="n">
        <v>100</v>
      </c>
      <c r="FA401" s="2" t="n">
        <v>100</v>
      </c>
      <c r="FB401" s="2" t="n">
        <v>37.56</v>
      </c>
      <c r="FC401" s="2" t="n">
        <v>100</v>
      </c>
      <c r="FD401" s="2" t="n">
        <v>100</v>
      </c>
      <c r="FE401" s="2" t="n">
        <v>37.56</v>
      </c>
      <c r="FF401" s="2" t="n">
        <v>100</v>
      </c>
      <c r="FG401" s="2" t="n">
        <v>100</v>
      </c>
      <c r="FH401" s="2" t="n">
        <v>37.56</v>
      </c>
      <c r="FI401" s="2" t="n">
        <v>100</v>
      </c>
      <c r="FJ401" s="2" t="n">
        <v>100</v>
      </c>
      <c r="FK401" s="2" t="n">
        <v>37.56</v>
      </c>
      <c r="FL401" s="2" t="n">
        <v>100</v>
      </c>
      <c r="FM401" s="2" t="n">
        <v>100</v>
      </c>
      <c r="FN401" s="2" t="n">
        <v>37.56</v>
      </c>
      <c r="FO401" s="2" t="n">
        <v>100</v>
      </c>
      <c r="FP401" s="2" t="n">
        <v>100</v>
      </c>
      <c r="FQ401" s="2" t="n">
        <v>37.56</v>
      </c>
    </row>
    <row r="402">
      <c r="A402" s="2" t="n">
        <v>3</v>
      </c>
      <c r="B402" s="2" t="inlineStr">
        <is>
          <t>19.02.01</t>
        </is>
      </c>
      <c r="C402" s="2" t="inlineStr">
        <is>
          <t>Esp. 9cm</t>
        </is>
      </c>
      <c r="D402" s="2" t="inlineStr">
        <is>
          <t>23/03/2026</t>
        </is>
      </c>
      <c r="E402" s="2" t="inlineStr">
        <is>
          <t>02/03/2028</t>
        </is>
      </c>
      <c r="F402" s="2" t="n">
        <v>102258.4644170593</v>
      </c>
      <c r="G402" s="2" t="n">
        <v>0</v>
      </c>
      <c r="H402" s="2" t="n">
        <v>102258.4644170593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1.15</v>
      </c>
      <c r="BO402" s="2" t="n">
        <v>1.15</v>
      </c>
      <c r="BP402" s="2" t="n">
        <v>0.82</v>
      </c>
      <c r="BQ402" s="2" t="n">
        <v>3.6</v>
      </c>
      <c r="BR402" s="2" t="n">
        <v>3.6</v>
      </c>
      <c r="BS402" s="2" t="n">
        <v>3.6</v>
      </c>
      <c r="BT402" s="2" t="n">
        <v>7.54</v>
      </c>
      <c r="BU402" s="2" t="n">
        <v>7.54</v>
      </c>
      <c r="BV402" s="2" t="n">
        <v>7.67</v>
      </c>
      <c r="BW402" s="2" t="n">
        <v>12.05</v>
      </c>
      <c r="BX402" s="2" t="n">
        <v>12.01</v>
      </c>
      <c r="BY402" s="2" t="n">
        <v>13.7</v>
      </c>
      <c r="BZ402" s="2" t="n">
        <v>24.29</v>
      </c>
      <c r="CA402" s="2" t="n">
        <v>22.22</v>
      </c>
      <c r="CB402" s="2" t="n">
        <v>23.13</v>
      </c>
      <c r="CC402" s="2" t="n">
        <v>33.39</v>
      </c>
      <c r="CD402" s="2" t="n">
        <v>32.72</v>
      </c>
      <c r="CE402" s="2" t="n">
        <v>32.56</v>
      </c>
      <c r="CF402" s="2" t="n">
        <v>36.81</v>
      </c>
      <c r="CG402" s="2" t="n">
        <v>39.41</v>
      </c>
      <c r="CH402" s="2" t="n">
        <v>37.56</v>
      </c>
      <c r="CI402" s="2" t="n">
        <v>37.88</v>
      </c>
      <c r="CJ402" s="2" t="n">
        <v>40.48</v>
      </c>
      <c r="CK402" s="2" t="n">
        <v>37.56</v>
      </c>
      <c r="CL402" s="2" t="n">
        <v>41.22</v>
      </c>
      <c r="CM402" s="2" t="n">
        <v>43.82</v>
      </c>
      <c r="CN402" s="2" t="n">
        <v>37.56</v>
      </c>
      <c r="CO402" s="2" t="n">
        <v>44.07</v>
      </c>
      <c r="CP402" s="2" t="n">
        <v>46.66</v>
      </c>
      <c r="CQ402" s="2" t="n">
        <v>37.56</v>
      </c>
      <c r="CR402" s="2" t="n">
        <v>50.58</v>
      </c>
      <c r="CS402" s="2" t="n">
        <v>53.18</v>
      </c>
      <c r="CT402" s="2" t="n">
        <v>37.56</v>
      </c>
      <c r="CU402" s="2" t="n">
        <v>57.15</v>
      </c>
      <c r="CV402" s="2" t="n">
        <v>59.74</v>
      </c>
      <c r="CW402" s="2" t="n">
        <v>37.56</v>
      </c>
      <c r="CX402" s="2" t="n">
        <v>66.09</v>
      </c>
      <c r="CY402" s="2" t="n">
        <v>68.34</v>
      </c>
      <c r="CZ402" s="2" t="n">
        <v>37.56</v>
      </c>
      <c r="DA402" s="2" t="n">
        <v>76.34999999999999</v>
      </c>
      <c r="DB402" s="2" t="n">
        <v>76.34999999999999</v>
      </c>
      <c r="DC402" s="2" t="n">
        <v>37.56</v>
      </c>
      <c r="DD402" s="2" t="n">
        <v>83.28</v>
      </c>
      <c r="DE402" s="2" t="n">
        <v>83.28</v>
      </c>
      <c r="DF402" s="2" t="n">
        <v>37.56</v>
      </c>
      <c r="DG402" s="2" t="n">
        <v>90.22</v>
      </c>
      <c r="DH402" s="2" t="n">
        <v>90.22</v>
      </c>
      <c r="DI402" s="2" t="n">
        <v>37.56</v>
      </c>
      <c r="DJ402" s="2" t="n">
        <v>94.51000000000001</v>
      </c>
      <c r="DK402" s="2" t="n">
        <v>94.51000000000001</v>
      </c>
      <c r="DL402" s="2" t="n">
        <v>37.56</v>
      </c>
      <c r="DM402" s="2" t="n">
        <v>95.68000000000001</v>
      </c>
      <c r="DN402" s="2" t="n">
        <v>95.68000000000001</v>
      </c>
      <c r="DO402" s="2" t="n">
        <v>37.56</v>
      </c>
      <c r="DP402" s="2" t="n">
        <v>95.68000000000001</v>
      </c>
      <c r="DQ402" s="2" t="n">
        <v>95.68000000000001</v>
      </c>
      <c r="DR402" s="2" t="n">
        <v>37.56</v>
      </c>
      <c r="DS402" s="2" t="n">
        <v>95.68000000000001</v>
      </c>
      <c r="DT402" s="2" t="n">
        <v>95.68000000000001</v>
      </c>
      <c r="DU402" s="2" t="n">
        <v>37.56</v>
      </c>
      <c r="DV402" s="2" t="n">
        <v>95.68000000000001</v>
      </c>
      <c r="DW402" s="2" t="n">
        <v>95.68000000000001</v>
      </c>
      <c r="DX402" s="2" t="n">
        <v>37.56</v>
      </c>
      <c r="DY402" s="2" t="n">
        <v>95.68000000000001</v>
      </c>
      <c r="DZ402" s="2" t="n">
        <v>95.68000000000001</v>
      </c>
      <c r="EA402" s="2" t="n">
        <v>37.56</v>
      </c>
      <c r="EB402" s="2" t="n">
        <v>95.68000000000001</v>
      </c>
      <c r="EC402" s="2" t="n">
        <v>95.68000000000001</v>
      </c>
      <c r="ED402" s="2" t="n">
        <v>37.56</v>
      </c>
      <c r="EE402" s="2" t="n">
        <v>98.27</v>
      </c>
      <c r="EF402" s="2" t="n">
        <v>98.27</v>
      </c>
      <c r="EG402" s="2" t="n">
        <v>37.56</v>
      </c>
      <c r="EH402" s="2" t="n">
        <v>100</v>
      </c>
      <c r="EI402" s="2" t="n">
        <v>100</v>
      </c>
      <c r="EJ402" s="2" t="n">
        <v>37.56</v>
      </c>
      <c r="EK402" s="2" t="n">
        <v>100</v>
      </c>
      <c r="EL402" s="2" t="n">
        <v>100</v>
      </c>
      <c r="EM402" s="2" t="n">
        <v>37.56</v>
      </c>
      <c r="EN402" s="2" t="n">
        <v>100</v>
      </c>
      <c r="EO402" s="2" t="n">
        <v>100</v>
      </c>
      <c r="EP402" s="2" t="n">
        <v>37.56</v>
      </c>
      <c r="EQ402" s="2" t="n">
        <v>100</v>
      </c>
      <c r="ER402" s="2" t="n">
        <v>100</v>
      </c>
      <c r="ES402" s="2" t="n">
        <v>37.56</v>
      </c>
      <c r="ET402" s="2" t="n">
        <v>100</v>
      </c>
      <c r="EU402" s="2" t="n">
        <v>100</v>
      </c>
      <c r="EV402" s="2" t="n">
        <v>37.56</v>
      </c>
      <c r="EW402" s="2" t="n">
        <v>100</v>
      </c>
      <c r="EX402" s="2" t="n">
        <v>100</v>
      </c>
      <c r="EY402" s="2" t="n">
        <v>37.56</v>
      </c>
      <c r="EZ402" s="2" t="n">
        <v>100</v>
      </c>
      <c r="FA402" s="2" t="n">
        <v>100</v>
      </c>
      <c r="FB402" s="2" t="n">
        <v>37.56</v>
      </c>
      <c r="FC402" s="2" t="n">
        <v>100</v>
      </c>
      <c r="FD402" s="2" t="n">
        <v>100</v>
      </c>
      <c r="FE402" s="2" t="n">
        <v>37.56</v>
      </c>
      <c r="FF402" s="2" t="n">
        <v>100</v>
      </c>
      <c r="FG402" s="2" t="n">
        <v>100</v>
      </c>
      <c r="FH402" s="2" t="n">
        <v>37.56</v>
      </c>
      <c r="FI402" s="2" t="n">
        <v>100</v>
      </c>
      <c r="FJ402" s="2" t="n">
        <v>100</v>
      </c>
      <c r="FK402" s="2" t="n">
        <v>37.56</v>
      </c>
      <c r="FL402" s="2" t="n">
        <v>100</v>
      </c>
      <c r="FM402" s="2" t="n">
        <v>100</v>
      </c>
      <c r="FN402" s="2" t="n">
        <v>37.56</v>
      </c>
      <c r="FO402" s="2" t="n">
        <v>100</v>
      </c>
      <c r="FP402" s="2" t="n">
        <v>100</v>
      </c>
      <c r="FQ402" s="2" t="n">
        <v>37.56</v>
      </c>
    </row>
    <row r="403">
      <c r="A403" s="2" t="n">
        <v>4</v>
      </c>
      <c r="B403" s="2" t="inlineStr">
        <is>
          <t>19.02.01.01</t>
        </is>
      </c>
      <c r="C403" s="2" t="inlineStr">
        <is>
          <t>Alvenaria de vedação com blocos de concreto esp. 9cm preenchidos com concreto - Alvéolos para fixação de fachada aerada</t>
        </is>
      </c>
      <c r="D403" s="2" t="inlineStr">
        <is>
          <t>23/03/2026</t>
        </is>
      </c>
      <c r="E403" s="2" t="inlineStr">
        <is>
          <t>02/03/2028</t>
        </is>
      </c>
      <c r="F403" s="2" t="n">
        <v>102258.4644170593</v>
      </c>
      <c r="G403" s="2" t="n">
        <v>0</v>
      </c>
      <c r="H403" s="2" t="n">
        <v>102258.4644170593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1.15</v>
      </c>
      <c r="BO403" s="2" t="n">
        <v>1.15</v>
      </c>
      <c r="BP403" s="2" t="n">
        <v>0.82</v>
      </c>
      <c r="BQ403" s="2" t="n">
        <v>3.6</v>
      </c>
      <c r="BR403" s="2" t="n">
        <v>3.6</v>
      </c>
      <c r="BS403" s="2" t="n">
        <v>3.6</v>
      </c>
      <c r="BT403" s="2" t="n">
        <v>7.54</v>
      </c>
      <c r="BU403" s="2" t="n">
        <v>7.54</v>
      </c>
      <c r="BV403" s="2" t="n">
        <v>7.67</v>
      </c>
      <c r="BW403" s="2" t="n">
        <v>12.05</v>
      </c>
      <c r="BX403" s="2" t="n">
        <v>12.01</v>
      </c>
      <c r="BY403" s="2" t="n">
        <v>13.7</v>
      </c>
      <c r="BZ403" s="2" t="n">
        <v>24.29</v>
      </c>
      <c r="CA403" s="2" t="n">
        <v>22.22</v>
      </c>
      <c r="CB403" s="2" t="n">
        <v>23.13</v>
      </c>
      <c r="CC403" s="2" t="n">
        <v>33.39</v>
      </c>
      <c r="CD403" s="2" t="n">
        <v>32.72</v>
      </c>
      <c r="CE403" s="2" t="n">
        <v>32.56</v>
      </c>
      <c r="CF403" s="2" t="n">
        <v>36.81</v>
      </c>
      <c r="CG403" s="2" t="n">
        <v>39.41</v>
      </c>
      <c r="CH403" s="2" t="n">
        <v>37.56</v>
      </c>
      <c r="CI403" s="2" t="n">
        <v>37.88</v>
      </c>
      <c r="CJ403" s="2" t="n">
        <v>40.48</v>
      </c>
      <c r="CK403" s="2" t="n">
        <v>37.56</v>
      </c>
      <c r="CL403" s="2" t="n">
        <v>41.22</v>
      </c>
      <c r="CM403" s="2" t="n">
        <v>43.82</v>
      </c>
      <c r="CN403" s="2" t="n">
        <v>37.56</v>
      </c>
      <c r="CO403" s="2" t="n">
        <v>44.07</v>
      </c>
      <c r="CP403" s="2" t="n">
        <v>46.66</v>
      </c>
      <c r="CQ403" s="2" t="n">
        <v>37.56</v>
      </c>
      <c r="CR403" s="2" t="n">
        <v>50.58</v>
      </c>
      <c r="CS403" s="2" t="n">
        <v>53.18</v>
      </c>
      <c r="CT403" s="2" t="n">
        <v>37.56</v>
      </c>
      <c r="CU403" s="2" t="n">
        <v>57.15</v>
      </c>
      <c r="CV403" s="2" t="n">
        <v>59.74</v>
      </c>
      <c r="CW403" s="2" t="n">
        <v>37.56</v>
      </c>
      <c r="CX403" s="2" t="n">
        <v>66.09</v>
      </c>
      <c r="CY403" s="2" t="n">
        <v>68.34</v>
      </c>
      <c r="CZ403" s="2" t="n">
        <v>37.56</v>
      </c>
      <c r="DA403" s="2" t="n">
        <v>76.34999999999999</v>
      </c>
      <c r="DB403" s="2" t="n">
        <v>76.34999999999999</v>
      </c>
      <c r="DC403" s="2" t="n">
        <v>37.56</v>
      </c>
      <c r="DD403" s="2" t="n">
        <v>83.28</v>
      </c>
      <c r="DE403" s="2" t="n">
        <v>83.28</v>
      </c>
      <c r="DF403" s="2" t="n">
        <v>37.56</v>
      </c>
      <c r="DG403" s="2" t="n">
        <v>90.22</v>
      </c>
      <c r="DH403" s="2" t="n">
        <v>90.22</v>
      </c>
      <c r="DI403" s="2" t="n">
        <v>37.56</v>
      </c>
      <c r="DJ403" s="2" t="n">
        <v>94.51000000000001</v>
      </c>
      <c r="DK403" s="2" t="n">
        <v>94.51000000000001</v>
      </c>
      <c r="DL403" s="2" t="n">
        <v>37.56</v>
      </c>
      <c r="DM403" s="2" t="n">
        <v>95.68000000000001</v>
      </c>
      <c r="DN403" s="2" t="n">
        <v>95.68000000000001</v>
      </c>
      <c r="DO403" s="2" t="n">
        <v>37.56</v>
      </c>
      <c r="DP403" s="2" t="n">
        <v>95.68000000000001</v>
      </c>
      <c r="DQ403" s="2" t="n">
        <v>95.68000000000001</v>
      </c>
      <c r="DR403" s="2" t="n">
        <v>37.56</v>
      </c>
      <c r="DS403" s="2" t="n">
        <v>95.68000000000001</v>
      </c>
      <c r="DT403" s="2" t="n">
        <v>95.68000000000001</v>
      </c>
      <c r="DU403" s="2" t="n">
        <v>37.56</v>
      </c>
      <c r="DV403" s="2" t="n">
        <v>95.68000000000001</v>
      </c>
      <c r="DW403" s="2" t="n">
        <v>95.68000000000001</v>
      </c>
      <c r="DX403" s="2" t="n">
        <v>37.56</v>
      </c>
      <c r="DY403" s="2" t="n">
        <v>95.68000000000001</v>
      </c>
      <c r="DZ403" s="2" t="n">
        <v>95.68000000000001</v>
      </c>
      <c r="EA403" s="2" t="n">
        <v>37.56</v>
      </c>
      <c r="EB403" s="2" t="n">
        <v>95.68000000000001</v>
      </c>
      <c r="EC403" s="2" t="n">
        <v>95.68000000000001</v>
      </c>
      <c r="ED403" s="2" t="n">
        <v>37.56</v>
      </c>
      <c r="EE403" s="2" t="n">
        <v>98.27</v>
      </c>
      <c r="EF403" s="2" t="n">
        <v>98.27</v>
      </c>
      <c r="EG403" s="2" t="n">
        <v>37.56</v>
      </c>
      <c r="EH403" s="2" t="n">
        <v>100</v>
      </c>
      <c r="EI403" s="2" t="n">
        <v>100</v>
      </c>
      <c r="EJ403" s="2" t="n">
        <v>37.56</v>
      </c>
      <c r="EK403" s="2" t="n">
        <v>100</v>
      </c>
      <c r="EL403" s="2" t="n">
        <v>100</v>
      </c>
      <c r="EM403" s="2" t="n">
        <v>37.56</v>
      </c>
      <c r="EN403" s="2" t="n">
        <v>100</v>
      </c>
      <c r="EO403" s="2" t="n">
        <v>100</v>
      </c>
      <c r="EP403" s="2" t="n">
        <v>37.56</v>
      </c>
      <c r="EQ403" s="2" t="n">
        <v>100</v>
      </c>
      <c r="ER403" s="2" t="n">
        <v>100</v>
      </c>
      <c r="ES403" s="2" t="n">
        <v>37.56</v>
      </c>
      <c r="ET403" s="2" t="n">
        <v>100</v>
      </c>
      <c r="EU403" s="2" t="n">
        <v>100</v>
      </c>
      <c r="EV403" s="2" t="n">
        <v>37.56</v>
      </c>
      <c r="EW403" s="2" t="n">
        <v>100</v>
      </c>
      <c r="EX403" s="2" t="n">
        <v>100</v>
      </c>
      <c r="EY403" s="2" t="n">
        <v>37.56</v>
      </c>
      <c r="EZ403" s="2" t="n">
        <v>100</v>
      </c>
      <c r="FA403" s="2" t="n">
        <v>100</v>
      </c>
      <c r="FB403" s="2" t="n">
        <v>37.56</v>
      </c>
      <c r="FC403" s="2" t="n">
        <v>100</v>
      </c>
      <c r="FD403" s="2" t="n">
        <v>100</v>
      </c>
      <c r="FE403" s="2" t="n">
        <v>37.56</v>
      </c>
      <c r="FF403" s="2" t="n">
        <v>100</v>
      </c>
      <c r="FG403" s="2" t="n">
        <v>100</v>
      </c>
      <c r="FH403" s="2" t="n">
        <v>37.56</v>
      </c>
      <c r="FI403" s="2" t="n">
        <v>100</v>
      </c>
      <c r="FJ403" s="2" t="n">
        <v>100</v>
      </c>
      <c r="FK403" s="2" t="n">
        <v>37.56</v>
      </c>
      <c r="FL403" s="2" t="n">
        <v>100</v>
      </c>
      <c r="FM403" s="2" t="n">
        <v>100</v>
      </c>
      <c r="FN403" s="2" t="n">
        <v>37.56</v>
      </c>
      <c r="FO403" s="2" t="n">
        <v>100</v>
      </c>
      <c r="FP403" s="2" t="n">
        <v>100</v>
      </c>
      <c r="FQ403" s="2" t="n">
        <v>37.56</v>
      </c>
    </row>
    <row r="404">
      <c r="A404" s="2" t="n">
        <v>3</v>
      </c>
      <c r="B404" s="2" t="inlineStr">
        <is>
          <t>19.02.02</t>
        </is>
      </c>
      <c r="C404" s="2" t="inlineStr">
        <is>
          <t>Esp. 14cm</t>
        </is>
      </c>
      <c r="D404" s="2" t="inlineStr">
        <is>
          <t>23/03/2026</t>
        </is>
      </c>
      <c r="E404" s="2" t="inlineStr">
        <is>
          <t>02/03/2028</t>
        </is>
      </c>
      <c r="F404" s="2" t="n">
        <v>433618.3459975678</v>
      </c>
      <c r="G404" s="2" t="n">
        <v>0</v>
      </c>
      <c r="H404" s="2" t="n">
        <v>433618.3459975678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1.15</v>
      </c>
      <c r="BO404" s="2" t="n">
        <v>1.15</v>
      </c>
      <c r="BP404" s="2" t="n">
        <v>0.82</v>
      </c>
      <c r="BQ404" s="2" t="n">
        <v>3.6</v>
      </c>
      <c r="BR404" s="2" t="n">
        <v>3.6</v>
      </c>
      <c r="BS404" s="2" t="n">
        <v>3.6</v>
      </c>
      <c r="BT404" s="2" t="n">
        <v>7.54</v>
      </c>
      <c r="BU404" s="2" t="n">
        <v>7.54</v>
      </c>
      <c r="BV404" s="2" t="n">
        <v>7.67</v>
      </c>
      <c r="BW404" s="2" t="n">
        <v>12.05</v>
      </c>
      <c r="BX404" s="2" t="n">
        <v>12.01</v>
      </c>
      <c r="BY404" s="2" t="n">
        <v>13.7</v>
      </c>
      <c r="BZ404" s="2" t="n">
        <v>24.29</v>
      </c>
      <c r="CA404" s="2" t="n">
        <v>22.22</v>
      </c>
      <c r="CB404" s="2" t="n">
        <v>23.13</v>
      </c>
      <c r="CC404" s="2" t="n">
        <v>33.39</v>
      </c>
      <c r="CD404" s="2" t="n">
        <v>32.72</v>
      </c>
      <c r="CE404" s="2" t="n">
        <v>32.56</v>
      </c>
      <c r="CF404" s="2" t="n">
        <v>36.81</v>
      </c>
      <c r="CG404" s="2" t="n">
        <v>39.41</v>
      </c>
      <c r="CH404" s="2" t="n">
        <v>37.56</v>
      </c>
      <c r="CI404" s="2" t="n">
        <v>37.88</v>
      </c>
      <c r="CJ404" s="2" t="n">
        <v>40.48</v>
      </c>
      <c r="CK404" s="2" t="n">
        <v>37.56</v>
      </c>
      <c r="CL404" s="2" t="n">
        <v>41.22</v>
      </c>
      <c r="CM404" s="2" t="n">
        <v>43.82</v>
      </c>
      <c r="CN404" s="2" t="n">
        <v>37.56</v>
      </c>
      <c r="CO404" s="2" t="n">
        <v>44.07</v>
      </c>
      <c r="CP404" s="2" t="n">
        <v>46.66</v>
      </c>
      <c r="CQ404" s="2" t="n">
        <v>37.56</v>
      </c>
      <c r="CR404" s="2" t="n">
        <v>50.58</v>
      </c>
      <c r="CS404" s="2" t="n">
        <v>53.18</v>
      </c>
      <c r="CT404" s="2" t="n">
        <v>37.56</v>
      </c>
      <c r="CU404" s="2" t="n">
        <v>57.15</v>
      </c>
      <c r="CV404" s="2" t="n">
        <v>59.74</v>
      </c>
      <c r="CW404" s="2" t="n">
        <v>37.56</v>
      </c>
      <c r="CX404" s="2" t="n">
        <v>66.09</v>
      </c>
      <c r="CY404" s="2" t="n">
        <v>68.34</v>
      </c>
      <c r="CZ404" s="2" t="n">
        <v>37.56</v>
      </c>
      <c r="DA404" s="2" t="n">
        <v>76.34999999999999</v>
      </c>
      <c r="DB404" s="2" t="n">
        <v>76.34999999999999</v>
      </c>
      <c r="DC404" s="2" t="n">
        <v>37.56</v>
      </c>
      <c r="DD404" s="2" t="n">
        <v>83.28</v>
      </c>
      <c r="DE404" s="2" t="n">
        <v>83.28</v>
      </c>
      <c r="DF404" s="2" t="n">
        <v>37.56</v>
      </c>
      <c r="DG404" s="2" t="n">
        <v>90.22</v>
      </c>
      <c r="DH404" s="2" t="n">
        <v>90.22</v>
      </c>
      <c r="DI404" s="2" t="n">
        <v>37.56</v>
      </c>
      <c r="DJ404" s="2" t="n">
        <v>94.51000000000001</v>
      </c>
      <c r="DK404" s="2" t="n">
        <v>94.51000000000001</v>
      </c>
      <c r="DL404" s="2" t="n">
        <v>37.56</v>
      </c>
      <c r="DM404" s="2" t="n">
        <v>95.68000000000001</v>
      </c>
      <c r="DN404" s="2" t="n">
        <v>95.68000000000001</v>
      </c>
      <c r="DO404" s="2" t="n">
        <v>37.56</v>
      </c>
      <c r="DP404" s="2" t="n">
        <v>95.68000000000001</v>
      </c>
      <c r="DQ404" s="2" t="n">
        <v>95.68000000000001</v>
      </c>
      <c r="DR404" s="2" t="n">
        <v>37.56</v>
      </c>
      <c r="DS404" s="2" t="n">
        <v>95.68000000000001</v>
      </c>
      <c r="DT404" s="2" t="n">
        <v>95.68000000000001</v>
      </c>
      <c r="DU404" s="2" t="n">
        <v>37.56</v>
      </c>
      <c r="DV404" s="2" t="n">
        <v>95.68000000000001</v>
      </c>
      <c r="DW404" s="2" t="n">
        <v>95.68000000000001</v>
      </c>
      <c r="DX404" s="2" t="n">
        <v>37.56</v>
      </c>
      <c r="DY404" s="2" t="n">
        <v>95.68000000000001</v>
      </c>
      <c r="DZ404" s="2" t="n">
        <v>95.68000000000001</v>
      </c>
      <c r="EA404" s="2" t="n">
        <v>37.56</v>
      </c>
      <c r="EB404" s="2" t="n">
        <v>95.68000000000001</v>
      </c>
      <c r="EC404" s="2" t="n">
        <v>95.68000000000001</v>
      </c>
      <c r="ED404" s="2" t="n">
        <v>37.56</v>
      </c>
      <c r="EE404" s="2" t="n">
        <v>98.27</v>
      </c>
      <c r="EF404" s="2" t="n">
        <v>98.27</v>
      </c>
      <c r="EG404" s="2" t="n">
        <v>37.56</v>
      </c>
      <c r="EH404" s="2" t="n">
        <v>100</v>
      </c>
      <c r="EI404" s="2" t="n">
        <v>100</v>
      </c>
      <c r="EJ404" s="2" t="n">
        <v>37.56</v>
      </c>
      <c r="EK404" s="2" t="n">
        <v>100</v>
      </c>
      <c r="EL404" s="2" t="n">
        <v>100</v>
      </c>
      <c r="EM404" s="2" t="n">
        <v>37.56</v>
      </c>
      <c r="EN404" s="2" t="n">
        <v>100</v>
      </c>
      <c r="EO404" s="2" t="n">
        <v>100</v>
      </c>
      <c r="EP404" s="2" t="n">
        <v>37.56</v>
      </c>
      <c r="EQ404" s="2" t="n">
        <v>100</v>
      </c>
      <c r="ER404" s="2" t="n">
        <v>100</v>
      </c>
      <c r="ES404" s="2" t="n">
        <v>37.56</v>
      </c>
      <c r="ET404" s="2" t="n">
        <v>100</v>
      </c>
      <c r="EU404" s="2" t="n">
        <v>100</v>
      </c>
      <c r="EV404" s="2" t="n">
        <v>37.56</v>
      </c>
      <c r="EW404" s="2" t="n">
        <v>100</v>
      </c>
      <c r="EX404" s="2" t="n">
        <v>100</v>
      </c>
      <c r="EY404" s="2" t="n">
        <v>37.56</v>
      </c>
      <c r="EZ404" s="2" t="n">
        <v>100</v>
      </c>
      <c r="FA404" s="2" t="n">
        <v>100</v>
      </c>
      <c r="FB404" s="2" t="n">
        <v>37.56</v>
      </c>
      <c r="FC404" s="2" t="n">
        <v>100</v>
      </c>
      <c r="FD404" s="2" t="n">
        <v>100</v>
      </c>
      <c r="FE404" s="2" t="n">
        <v>37.56</v>
      </c>
      <c r="FF404" s="2" t="n">
        <v>100</v>
      </c>
      <c r="FG404" s="2" t="n">
        <v>100</v>
      </c>
      <c r="FH404" s="2" t="n">
        <v>37.56</v>
      </c>
      <c r="FI404" s="2" t="n">
        <v>100</v>
      </c>
      <c r="FJ404" s="2" t="n">
        <v>100</v>
      </c>
      <c r="FK404" s="2" t="n">
        <v>37.56</v>
      </c>
      <c r="FL404" s="2" t="n">
        <v>100</v>
      </c>
      <c r="FM404" s="2" t="n">
        <v>100</v>
      </c>
      <c r="FN404" s="2" t="n">
        <v>37.56</v>
      </c>
      <c r="FO404" s="2" t="n">
        <v>100</v>
      </c>
      <c r="FP404" s="2" t="n">
        <v>100</v>
      </c>
      <c r="FQ404" s="2" t="n">
        <v>37.56</v>
      </c>
    </row>
    <row r="405">
      <c r="A405" s="2" t="n">
        <v>4</v>
      </c>
      <c r="B405" s="2" t="inlineStr">
        <is>
          <t>19.02.02.01</t>
        </is>
      </c>
      <c r="C405" s="2" t="inlineStr">
        <is>
          <t>Alvenaria de vedação com blocos de concreto esp. 14cm preenchidos com concreto - Alvéolos para fixação de fachada aerada</t>
        </is>
      </c>
      <c r="D405" s="2" t="inlineStr">
        <is>
          <t>23/03/2026</t>
        </is>
      </c>
      <c r="E405" s="2" t="inlineStr">
        <is>
          <t>02/03/2028</t>
        </is>
      </c>
      <c r="F405" s="2" t="n">
        <v>433618.3459975678</v>
      </c>
      <c r="G405" s="2" t="n">
        <v>0</v>
      </c>
      <c r="H405" s="2" t="n">
        <v>433618.3459975678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1.15</v>
      </c>
      <c r="BO405" s="2" t="n">
        <v>1.15</v>
      </c>
      <c r="BP405" s="2" t="n">
        <v>0.82</v>
      </c>
      <c r="BQ405" s="2" t="n">
        <v>3.6</v>
      </c>
      <c r="BR405" s="2" t="n">
        <v>3.6</v>
      </c>
      <c r="BS405" s="2" t="n">
        <v>3.6</v>
      </c>
      <c r="BT405" s="2" t="n">
        <v>7.54</v>
      </c>
      <c r="BU405" s="2" t="n">
        <v>7.54</v>
      </c>
      <c r="BV405" s="2" t="n">
        <v>7.67</v>
      </c>
      <c r="BW405" s="2" t="n">
        <v>12.05</v>
      </c>
      <c r="BX405" s="2" t="n">
        <v>12.01</v>
      </c>
      <c r="BY405" s="2" t="n">
        <v>13.7</v>
      </c>
      <c r="BZ405" s="2" t="n">
        <v>24.29</v>
      </c>
      <c r="CA405" s="2" t="n">
        <v>22.22</v>
      </c>
      <c r="CB405" s="2" t="n">
        <v>23.13</v>
      </c>
      <c r="CC405" s="2" t="n">
        <v>33.39</v>
      </c>
      <c r="CD405" s="2" t="n">
        <v>32.72</v>
      </c>
      <c r="CE405" s="2" t="n">
        <v>32.56</v>
      </c>
      <c r="CF405" s="2" t="n">
        <v>36.81</v>
      </c>
      <c r="CG405" s="2" t="n">
        <v>39.41</v>
      </c>
      <c r="CH405" s="2" t="n">
        <v>37.56</v>
      </c>
      <c r="CI405" s="2" t="n">
        <v>37.88</v>
      </c>
      <c r="CJ405" s="2" t="n">
        <v>40.48</v>
      </c>
      <c r="CK405" s="2" t="n">
        <v>37.56</v>
      </c>
      <c r="CL405" s="2" t="n">
        <v>41.22</v>
      </c>
      <c r="CM405" s="2" t="n">
        <v>43.82</v>
      </c>
      <c r="CN405" s="2" t="n">
        <v>37.56</v>
      </c>
      <c r="CO405" s="2" t="n">
        <v>44.07</v>
      </c>
      <c r="CP405" s="2" t="n">
        <v>46.66</v>
      </c>
      <c r="CQ405" s="2" t="n">
        <v>37.56</v>
      </c>
      <c r="CR405" s="2" t="n">
        <v>50.58</v>
      </c>
      <c r="CS405" s="2" t="n">
        <v>53.18</v>
      </c>
      <c r="CT405" s="2" t="n">
        <v>37.56</v>
      </c>
      <c r="CU405" s="2" t="n">
        <v>57.15</v>
      </c>
      <c r="CV405" s="2" t="n">
        <v>59.74</v>
      </c>
      <c r="CW405" s="2" t="n">
        <v>37.56</v>
      </c>
      <c r="CX405" s="2" t="n">
        <v>66.09</v>
      </c>
      <c r="CY405" s="2" t="n">
        <v>68.34</v>
      </c>
      <c r="CZ405" s="2" t="n">
        <v>37.56</v>
      </c>
      <c r="DA405" s="2" t="n">
        <v>76.34999999999999</v>
      </c>
      <c r="DB405" s="2" t="n">
        <v>76.34999999999999</v>
      </c>
      <c r="DC405" s="2" t="n">
        <v>37.56</v>
      </c>
      <c r="DD405" s="2" t="n">
        <v>83.28</v>
      </c>
      <c r="DE405" s="2" t="n">
        <v>83.28</v>
      </c>
      <c r="DF405" s="2" t="n">
        <v>37.56</v>
      </c>
      <c r="DG405" s="2" t="n">
        <v>90.22</v>
      </c>
      <c r="DH405" s="2" t="n">
        <v>90.22</v>
      </c>
      <c r="DI405" s="2" t="n">
        <v>37.56</v>
      </c>
      <c r="DJ405" s="2" t="n">
        <v>94.51000000000001</v>
      </c>
      <c r="DK405" s="2" t="n">
        <v>94.51000000000001</v>
      </c>
      <c r="DL405" s="2" t="n">
        <v>37.56</v>
      </c>
      <c r="DM405" s="2" t="n">
        <v>95.68000000000001</v>
      </c>
      <c r="DN405" s="2" t="n">
        <v>95.68000000000001</v>
      </c>
      <c r="DO405" s="2" t="n">
        <v>37.56</v>
      </c>
      <c r="DP405" s="2" t="n">
        <v>95.68000000000001</v>
      </c>
      <c r="DQ405" s="2" t="n">
        <v>95.68000000000001</v>
      </c>
      <c r="DR405" s="2" t="n">
        <v>37.56</v>
      </c>
      <c r="DS405" s="2" t="n">
        <v>95.68000000000001</v>
      </c>
      <c r="DT405" s="2" t="n">
        <v>95.68000000000001</v>
      </c>
      <c r="DU405" s="2" t="n">
        <v>37.56</v>
      </c>
      <c r="DV405" s="2" t="n">
        <v>95.68000000000001</v>
      </c>
      <c r="DW405" s="2" t="n">
        <v>95.68000000000001</v>
      </c>
      <c r="DX405" s="2" t="n">
        <v>37.56</v>
      </c>
      <c r="DY405" s="2" t="n">
        <v>95.68000000000001</v>
      </c>
      <c r="DZ405" s="2" t="n">
        <v>95.68000000000001</v>
      </c>
      <c r="EA405" s="2" t="n">
        <v>37.56</v>
      </c>
      <c r="EB405" s="2" t="n">
        <v>95.68000000000001</v>
      </c>
      <c r="EC405" s="2" t="n">
        <v>95.68000000000001</v>
      </c>
      <c r="ED405" s="2" t="n">
        <v>37.56</v>
      </c>
      <c r="EE405" s="2" t="n">
        <v>98.27</v>
      </c>
      <c r="EF405" s="2" t="n">
        <v>98.27</v>
      </c>
      <c r="EG405" s="2" t="n">
        <v>37.56</v>
      </c>
      <c r="EH405" s="2" t="n">
        <v>100</v>
      </c>
      <c r="EI405" s="2" t="n">
        <v>100</v>
      </c>
      <c r="EJ405" s="2" t="n">
        <v>37.56</v>
      </c>
      <c r="EK405" s="2" t="n">
        <v>100</v>
      </c>
      <c r="EL405" s="2" t="n">
        <v>100</v>
      </c>
      <c r="EM405" s="2" t="n">
        <v>37.56</v>
      </c>
      <c r="EN405" s="2" t="n">
        <v>100</v>
      </c>
      <c r="EO405" s="2" t="n">
        <v>100</v>
      </c>
      <c r="EP405" s="2" t="n">
        <v>37.56</v>
      </c>
      <c r="EQ405" s="2" t="n">
        <v>100</v>
      </c>
      <c r="ER405" s="2" t="n">
        <v>100</v>
      </c>
      <c r="ES405" s="2" t="n">
        <v>37.56</v>
      </c>
      <c r="ET405" s="2" t="n">
        <v>100</v>
      </c>
      <c r="EU405" s="2" t="n">
        <v>100</v>
      </c>
      <c r="EV405" s="2" t="n">
        <v>37.56</v>
      </c>
      <c r="EW405" s="2" t="n">
        <v>100</v>
      </c>
      <c r="EX405" s="2" t="n">
        <v>100</v>
      </c>
      <c r="EY405" s="2" t="n">
        <v>37.56</v>
      </c>
      <c r="EZ405" s="2" t="n">
        <v>100</v>
      </c>
      <c r="FA405" s="2" t="n">
        <v>100</v>
      </c>
      <c r="FB405" s="2" t="n">
        <v>37.56</v>
      </c>
      <c r="FC405" s="2" t="n">
        <v>100</v>
      </c>
      <c r="FD405" s="2" t="n">
        <v>100</v>
      </c>
      <c r="FE405" s="2" t="n">
        <v>37.56</v>
      </c>
      <c r="FF405" s="2" t="n">
        <v>100</v>
      </c>
      <c r="FG405" s="2" t="n">
        <v>100</v>
      </c>
      <c r="FH405" s="2" t="n">
        <v>37.56</v>
      </c>
      <c r="FI405" s="2" t="n">
        <v>100</v>
      </c>
      <c r="FJ405" s="2" t="n">
        <v>100</v>
      </c>
      <c r="FK405" s="2" t="n">
        <v>37.56</v>
      </c>
      <c r="FL405" s="2" t="n">
        <v>100</v>
      </c>
      <c r="FM405" s="2" t="n">
        <v>100</v>
      </c>
      <c r="FN405" s="2" t="n">
        <v>37.56</v>
      </c>
      <c r="FO405" s="2" t="n">
        <v>100</v>
      </c>
      <c r="FP405" s="2" t="n">
        <v>100</v>
      </c>
      <c r="FQ405" s="2" t="n">
        <v>37.56</v>
      </c>
    </row>
    <row r="406">
      <c r="A406" s="2" t="n">
        <v>3</v>
      </c>
      <c r="B406" s="2" t="inlineStr">
        <is>
          <t>19.02.03</t>
        </is>
      </c>
      <c r="C406" s="2" t="inlineStr">
        <is>
          <t>Esp. 19cm</t>
        </is>
      </c>
      <c r="D406" s="2" t="inlineStr">
        <is>
          <t>23/03/2026</t>
        </is>
      </c>
      <c r="E406" s="2" t="inlineStr">
        <is>
          <t>02/03/2028</t>
        </is>
      </c>
      <c r="F406" s="2" t="n">
        <v>340504.738185</v>
      </c>
      <c r="G406" s="2" t="n">
        <v>0</v>
      </c>
      <c r="H406" s="2" t="n">
        <v>340504.738185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1.15</v>
      </c>
      <c r="BO406" s="2" t="n">
        <v>1.15</v>
      </c>
      <c r="BP406" s="2" t="n">
        <v>0.82</v>
      </c>
      <c r="BQ406" s="2" t="n">
        <v>3.6</v>
      </c>
      <c r="BR406" s="2" t="n">
        <v>3.6</v>
      </c>
      <c r="BS406" s="2" t="n">
        <v>3.6</v>
      </c>
      <c r="BT406" s="2" t="n">
        <v>7.54</v>
      </c>
      <c r="BU406" s="2" t="n">
        <v>7.54</v>
      </c>
      <c r="BV406" s="2" t="n">
        <v>7.67</v>
      </c>
      <c r="BW406" s="2" t="n">
        <v>12.05</v>
      </c>
      <c r="BX406" s="2" t="n">
        <v>12.01</v>
      </c>
      <c r="BY406" s="2" t="n">
        <v>13.7</v>
      </c>
      <c r="BZ406" s="2" t="n">
        <v>24.29</v>
      </c>
      <c r="CA406" s="2" t="n">
        <v>22.22</v>
      </c>
      <c r="CB406" s="2" t="n">
        <v>23.13</v>
      </c>
      <c r="CC406" s="2" t="n">
        <v>33.39</v>
      </c>
      <c r="CD406" s="2" t="n">
        <v>32.72</v>
      </c>
      <c r="CE406" s="2" t="n">
        <v>32.56</v>
      </c>
      <c r="CF406" s="2" t="n">
        <v>36.81</v>
      </c>
      <c r="CG406" s="2" t="n">
        <v>39.41</v>
      </c>
      <c r="CH406" s="2" t="n">
        <v>37.56</v>
      </c>
      <c r="CI406" s="2" t="n">
        <v>37.88</v>
      </c>
      <c r="CJ406" s="2" t="n">
        <v>40.48</v>
      </c>
      <c r="CK406" s="2" t="n">
        <v>37.56</v>
      </c>
      <c r="CL406" s="2" t="n">
        <v>41.22</v>
      </c>
      <c r="CM406" s="2" t="n">
        <v>43.82</v>
      </c>
      <c r="CN406" s="2" t="n">
        <v>37.56</v>
      </c>
      <c r="CO406" s="2" t="n">
        <v>44.07</v>
      </c>
      <c r="CP406" s="2" t="n">
        <v>46.66</v>
      </c>
      <c r="CQ406" s="2" t="n">
        <v>37.56</v>
      </c>
      <c r="CR406" s="2" t="n">
        <v>50.58</v>
      </c>
      <c r="CS406" s="2" t="n">
        <v>53.18</v>
      </c>
      <c r="CT406" s="2" t="n">
        <v>37.56</v>
      </c>
      <c r="CU406" s="2" t="n">
        <v>57.15</v>
      </c>
      <c r="CV406" s="2" t="n">
        <v>59.74</v>
      </c>
      <c r="CW406" s="2" t="n">
        <v>37.56</v>
      </c>
      <c r="CX406" s="2" t="n">
        <v>66.09</v>
      </c>
      <c r="CY406" s="2" t="n">
        <v>68.34</v>
      </c>
      <c r="CZ406" s="2" t="n">
        <v>37.56</v>
      </c>
      <c r="DA406" s="2" t="n">
        <v>76.34999999999999</v>
      </c>
      <c r="DB406" s="2" t="n">
        <v>76.34999999999999</v>
      </c>
      <c r="DC406" s="2" t="n">
        <v>37.56</v>
      </c>
      <c r="DD406" s="2" t="n">
        <v>83.28</v>
      </c>
      <c r="DE406" s="2" t="n">
        <v>83.28</v>
      </c>
      <c r="DF406" s="2" t="n">
        <v>37.56</v>
      </c>
      <c r="DG406" s="2" t="n">
        <v>90.22</v>
      </c>
      <c r="DH406" s="2" t="n">
        <v>90.22</v>
      </c>
      <c r="DI406" s="2" t="n">
        <v>37.56</v>
      </c>
      <c r="DJ406" s="2" t="n">
        <v>94.51000000000001</v>
      </c>
      <c r="DK406" s="2" t="n">
        <v>94.51000000000001</v>
      </c>
      <c r="DL406" s="2" t="n">
        <v>37.56</v>
      </c>
      <c r="DM406" s="2" t="n">
        <v>95.68000000000001</v>
      </c>
      <c r="DN406" s="2" t="n">
        <v>95.68000000000001</v>
      </c>
      <c r="DO406" s="2" t="n">
        <v>37.56</v>
      </c>
      <c r="DP406" s="2" t="n">
        <v>95.68000000000001</v>
      </c>
      <c r="DQ406" s="2" t="n">
        <v>95.68000000000001</v>
      </c>
      <c r="DR406" s="2" t="n">
        <v>37.56</v>
      </c>
      <c r="DS406" s="2" t="n">
        <v>95.68000000000001</v>
      </c>
      <c r="DT406" s="2" t="n">
        <v>95.68000000000001</v>
      </c>
      <c r="DU406" s="2" t="n">
        <v>37.56</v>
      </c>
      <c r="DV406" s="2" t="n">
        <v>95.68000000000001</v>
      </c>
      <c r="DW406" s="2" t="n">
        <v>95.68000000000001</v>
      </c>
      <c r="DX406" s="2" t="n">
        <v>37.56</v>
      </c>
      <c r="DY406" s="2" t="n">
        <v>95.68000000000001</v>
      </c>
      <c r="DZ406" s="2" t="n">
        <v>95.68000000000001</v>
      </c>
      <c r="EA406" s="2" t="n">
        <v>37.56</v>
      </c>
      <c r="EB406" s="2" t="n">
        <v>95.68000000000001</v>
      </c>
      <c r="EC406" s="2" t="n">
        <v>95.68000000000001</v>
      </c>
      <c r="ED406" s="2" t="n">
        <v>37.56</v>
      </c>
      <c r="EE406" s="2" t="n">
        <v>98.27</v>
      </c>
      <c r="EF406" s="2" t="n">
        <v>98.27</v>
      </c>
      <c r="EG406" s="2" t="n">
        <v>37.56</v>
      </c>
      <c r="EH406" s="2" t="n">
        <v>100</v>
      </c>
      <c r="EI406" s="2" t="n">
        <v>100</v>
      </c>
      <c r="EJ406" s="2" t="n">
        <v>37.56</v>
      </c>
      <c r="EK406" s="2" t="n">
        <v>100</v>
      </c>
      <c r="EL406" s="2" t="n">
        <v>100</v>
      </c>
      <c r="EM406" s="2" t="n">
        <v>37.56</v>
      </c>
      <c r="EN406" s="2" t="n">
        <v>100</v>
      </c>
      <c r="EO406" s="2" t="n">
        <v>100</v>
      </c>
      <c r="EP406" s="2" t="n">
        <v>37.56</v>
      </c>
      <c r="EQ406" s="2" t="n">
        <v>100</v>
      </c>
      <c r="ER406" s="2" t="n">
        <v>100</v>
      </c>
      <c r="ES406" s="2" t="n">
        <v>37.56</v>
      </c>
      <c r="ET406" s="2" t="n">
        <v>100</v>
      </c>
      <c r="EU406" s="2" t="n">
        <v>100</v>
      </c>
      <c r="EV406" s="2" t="n">
        <v>37.56</v>
      </c>
      <c r="EW406" s="2" t="n">
        <v>100</v>
      </c>
      <c r="EX406" s="2" t="n">
        <v>100</v>
      </c>
      <c r="EY406" s="2" t="n">
        <v>37.56</v>
      </c>
      <c r="EZ406" s="2" t="n">
        <v>100</v>
      </c>
      <c r="FA406" s="2" t="n">
        <v>100</v>
      </c>
      <c r="FB406" s="2" t="n">
        <v>37.56</v>
      </c>
      <c r="FC406" s="2" t="n">
        <v>100</v>
      </c>
      <c r="FD406" s="2" t="n">
        <v>100</v>
      </c>
      <c r="FE406" s="2" t="n">
        <v>37.56</v>
      </c>
      <c r="FF406" s="2" t="n">
        <v>100</v>
      </c>
      <c r="FG406" s="2" t="n">
        <v>100</v>
      </c>
      <c r="FH406" s="2" t="n">
        <v>37.56</v>
      </c>
      <c r="FI406" s="2" t="n">
        <v>100</v>
      </c>
      <c r="FJ406" s="2" t="n">
        <v>100</v>
      </c>
      <c r="FK406" s="2" t="n">
        <v>37.56</v>
      </c>
      <c r="FL406" s="2" t="n">
        <v>100</v>
      </c>
      <c r="FM406" s="2" t="n">
        <v>100</v>
      </c>
      <c r="FN406" s="2" t="n">
        <v>37.56</v>
      </c>
      <c r="FO406" s="2" t="n">
        <v>100</v>
      </c>
      <c r="FP406" s="2" t="n">
        <v>100</v>
      </c>
      <c r="FQ406" s="2" t="n">
        <v>37.56</v>
      </c>
    </row>
    <row r="407">
      <c r="A407" s="2" t="n">
        <v>4</v>
      </c>
      <c r="B407" s="2" t="inlineStr">
        <is>
          <t>19.02.03.01</t>
        </is>
      </c>
      <c r="C407" s="2" t="inlineStr">
        <is>
          <t>Alvenaria de vedação com blocos de concreto  esp. 19cm preenchidos com concreto - Alvéolos para fixação de fachada aerada</t>
        </is>
      </c>
      <c r="D407" s="2" t="inlineStr">
        <is>
          <t>23/03/2026</t>
        </is>
      </c>
      <c r="E407" s="2" t="inlineStr">
        <is>
          <t>02/03/2028</t>
        </is>
      </c>
      <c r="F407" s="2" t="n">
        <v>340504.738185</v>
      </c>
      <c r="G407" s="2" t="n">
        <v>0</v>
      </c>
      <c r="H407" s="2" t="n">
        <v>340504.738185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1.15</v>
      </c>
      <c r="BO407" s="2" t="n">
        <v>1.15</v>
      </c>
      <c r="BP407" s="2" t="n">
        <v>0.82</v>
      </c>
      <c r="BQ407" s="2" t="n">
        <v>3.6</v>
      </c>
      <c r="BR407" s="2" t="n">
        <v>3.6</v>
      </c>
      <c r="BS407" s="2" t="n">
        <v>3.6</v>
      </c>
      <c r="BT407" s="2" t="n">
        <v>7.54</v>
      </c>
      <c r="BU407" s="2" t="n">
        <v>7.54</v>
      </c>
      <c r="BV407" s="2" t="n">
        <v>7.67</v>
      </c>
      <c r="BW407" s="2" t="n">
        <v>12.05</v>
      </c>
      <c r="BX407" s="2" t="n">
        <v>12.01</v>
      </c>
      <c r="BY407" s="2" t="n">
        <v>13.7</v>
      </c>
      <c r="BZ407" s="2" t="n">
        <v>24.29</v>
      </c>
      <c r="CA407" s="2" t="n">
        <v>22.22</v>
      </c>
      <c r="CB407" s="2" t="n">
        <v>23.13</v>
      </c>
      <c r="CC407" s="2" t="n">
        <v>33.39</v>
      </c>
      <c r="CD407" s="2" t="n">
        <v>32.72</v>
      </c>
      <c r="CE407" s="2" t="n">
        <v>32.56</v>
      </c>
      <c r="CF407" s="2" t="n">
        <v>36.81</v>
      </c>
      <c r="CG407" s="2" t="n">
        <v>39.41</v>
      </c>
      <c r="CH407" s="2" t="n">
        <v>37.56</v>
      </c>
      <c r="CI407" s="2" t="n">
        <v>37.88</v>
      </c>
      <c r="CJ407" s="2" t="n">
        <v>40.48</v>
      </c>
      <c r="CK407" s="2" t="n">
        <v>37.56</v>
      </c>
      <c r="CL407" s="2" t="n">
        <v>41.22</v>
      </c>
      <c r="CM407" s="2" t="n">
        <v>43.82</v>
      </c>
      <c r="CN407" s="2" t="n">
        <v>37.56</v>
      </c>
      <c r="CO407" s="2" t="n">
        <v>44.07</v>
      </c>
      <c r="CP407" s="2" t="n">
        <v>46.66</v>
      </c>
      <c r="CQ407" s="2" t="n">
        <v>37.56</v>
      </c>
      <c r="CR407" s="2" t="n">
        <v>50.58</v>
      </c>
      <c r="CS407" s="2" t="n">
        <v>53.18</v>
      </c>
      <c r="CT407" s="2" t="n">
        <v>37.56</v>
      </c>
      <c r="CU407" s="2" t="n">
        <v>57.15</v>
      </c>
      <c r="CV407" s="2" t="n">
        <v>59.74</v>
      </c>
      <c r="CW407" s="2" t="n">
        <v>37.56</v>
      </c>
      <c r="CX407" s="2" t="n">
        <v>66.09</v>
      </c>
      <c r="CY407" s="2" t="n">
        <v>68.34</v>
      </c>
      <c r="CZ407" s="2" t="n">
        <v>37.56</v>
      </c>
      <c r="DA407" s="2" t="n">
        <v>76.34999999999999</v>
      </c>
      <c r="DB407" s="2" t="n">
        <v>76.34999999999999</v>
      </c>
      <c r="DC407" s="2" t="n">
        <v>37.56</v>
      </c>
      <c r="DD407" s="2" t="n">
        <v>83.28</v>
      </c>
      <c r="DE407" s="2" t="n">
        <v>83.28</v>
      </c>
      <c r="DF407" s="2" t="n">
        <v>37.56</v>
      </c>
      <c r="DG407" s="2" t="n">
        <v>90.22</v>
      </c>
      <c r="DH407" s="2" t="n">
        <v>90.22</v>
      </c>
      <c r="DI407" s="2" t="n">
        <v>37.56</v>
      </c>
      <c r="DJ407" s="2" t="n">
        <v>94.51000000000001</v>
      </c>
      <c r="DK407" s="2" t="n">
        <v>94.51000000000001</v>
      </c>
      <c r="DL407" s="2" t="n">
        <v>37.56</v>
      </c>
      <c r="DM407" s="2" t="n">
        <v>95.68000000000001</v>
      </c>
      <c r="DN407" s="2" t="n">
        <v>95.68000000000001</v>
      </c>
      <c r="DO407" s="2" t="n">
        <v>37.56</v>
      </c>
      <c r="DP407" s="2" t="n">
        <v>95.68000000000001</v>
      </c>
      <c r="DQ407" s="2" t="n">
        <v>95.68000000000001</v>
      </c>
      <c r="DR407" s="2" t="n">
        <v>37.56</v>
      </c>
      <c r="DS407" s="2" t="n">
        <v>95.68000000000001</v>
      </c>
      <c r="DT407" s="2" t="n">
        <v>95.68000000000001</v>
      </c>
      <c r="DU407" s="2" t="n">
        <v>37.56</v>
      </c>
      <c r="DV407" s="2" t="n">
        <v>95.68000000000001</v>
      </c>
      <c r="DW407" s="2" t="n">
        <v>95.68000000000001</v>
      </c>
      <c r="DX407" s="2" t="n">
        <v>37.56</v>
      </c>
      <c r="DY407" s="2" t="n">
        <v>95.68000000000001</v>
      </c>
      <c r="DZ407" s="2" t="n">
        <v>95.68000000000001</v>
      </c>
      <c r="EA407" s="2" t="n">
        <v>37.56</v>
      </c>
      <c r="EB407" s="2" t="n">
        <v>95.68000000000001</v>
      </c>
      <c r="EC407" s="2" t="n">
        <v>95.68000000000001</v>
      </c>
      <c r="ED407" s="2" t="n">
        <v>37.56</v>
      </c>
      <c r="EE407" s="2" t="n">
        <v>98.27</v>
      </c>
      <c r="EF407" s="2" t="n">
        <v>98.27</v>
      </c>
      <c r="EG407" s="2" t="n">
        <v>37.56</v>
      </c>
      <c r="EH407" s="2" t="n">
        <v>100</v>
      </c>
      <c r="EI407" s="2" t="n">
        <v>100</v>
      </c>
      <c r="EJ407" s="2" t="n">
        <v>37.56</v>
      </c>
      <c r="EK407" s="2" t="n">
        <v>100</v>
      </c>
      <c r="EL407" s="2" t="n">
        <v>100</v>
      </c>
      <c r="EM407" s="2" t="n">
        <v>37.56</v>
      </c>
      <c r="EN407" s="2" t="n">
        <v>100</v>
      </c>
      <c r="EO407" s="2" t="n">
        <v>100</v>
      </c>
      <c r="EP407" s="2" t="n">
        <v>37.56</v>
      </c>
      <c r="EQ407" s="2" t="n">
        <v>100</v>
      </c>
      <c r="ER407" s="2" t="n">
        <v>100</v>
      </c>
      <c r="ES407" s="2" t="n">
        <v>37.56</v>
      </c>
      <c r="ET407" s="2" t="n">
        <v>100</v>
      </c>
      <c r="EU407" s="2" t="n">
        <v>100</v>
      </c>
      <c r="EV407" s="2" t="n">
        <v>37.56</v>
      </c>
      <c r="EW407" s="2" t="n">
        <v>100</v>
      </c>
      <c r="EX407" s="2" t="n">
        <v>100</v>
      </c>
      <c r="EY407" s="2" t="n">
        <v>37.56</v>
      </c>
      <c r="EZ407" s="2" t="n">
        <v>100</v>
      </c>
      <c r="FA407" s="2" t="n">
        <v>100</v>
      </c>
      <c r="FB407" s="2" t="n">
        <v>37.56</v>
      </c>
      <c r="FC407" s="2" t="n">
        <v>100</v>
      </c>
      <c r="FD407" s="2" t="n">
        <v>100</v>
      </c>
      <c r="FE407" s="2" t="n">
        <v>37.56</v>
      </c>
      <c r="FF407" s="2" t="n">
        <v>100</v>
      </c>
      <c r="FG407" s="2" t="n">
        <v>100</v>
      </c>
      <c r="FH407" s="2" t="n">
        <v>37.56</v>
      </c>
      <c r="FI407" s="2" t="n">
        <v>100</v>
      </c>
      <c r="FJ407" s="2" t="n">
        <v>100</v>
      </c>
      <c r="FK407" s="2" t="n">
        <v>37.56</v>
      </c>
      <c r="FL407" s="2" t="n">
        <v>100</v>
      </c>
      <c r="FM407" s="2" t="n">
        <v>100</v>
      </c>
      <c r="FN407" s="2" t="n">
        <v>37.56</v>
      </c>
      <c r="FO407" s="2" t="n">
        <v>100</v>
      </c>
      <c r="FP407" s="2" t="n">
        <v>100</v>
      </c>
      <c r="FQ407" s="2" t="n">
        <v>37.56</v>
      </c>
    </row>
    <row r="408">
      <c r="A408" s="2" t="n">
        <v>2</v>
      </c>
      <c r="B408" s="2" t="inlineStr">
        <is>
          <t>19.03</t>
        </is>
      </c>
      <c r="C408" s="2" t="inlineStr">
        <is>
          <t>Gesso acartonado (Dry-wall)</t>
        </is>
      </c>
      <c r="D408" s="2" t="inlineStr">
        <is>
          <t>16/09/2026</t>
        </is>
      </c>
      <c r="E408" s="2" t="inlineStr">
        <is>
          <t>11/01/2028</t>
        </is>
      </c>
      <c r="F408" s="2" t="n">
        <v>151326.96</v>
      </c>
      <c r="G408" s="2" t="n">
        <v>0</v>
      </c>
      <c r="H408" s="2" t="n">
        <v>151326.96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2.49</v>
      </c>
      <c r="CG408" s="2" t="n">
        <v>2.49</v>
      </c>
      <c r="CH408" s="2" t="n">
        <v>0</v>
      </c>
      <c r="CI408" s="2" t="n">
        <v>6.23</v>
      </c>
      <c r="CJ408" s="2" t="n">
        <v>5.8</v>
      </c>
      <c r="CK408" s="2" t="n">
        <v>0</v>
      </c>
      <c r="CL408" s="2" t="n">
        <v>13.53</v>
      </c>
      <c r="CM408" s="2" t="n">
        <v>9.66</v>
      </c>
      <c r="CN408" s="2" t="n">
        <v>0</v>
      </c>
      <c r="CO408" s="2" t="n">
        <v>16.54</v>
      </c>
      <c r="CP408" s="2" t="n">
        <v>10.52</v>
      </c>
      <c r="CQ408" s="2" t="n">
        <v>0</v>
      </c>
      <c r="CR408" s="2" t="n">
        <v>21.26</v>
      </c>
      <c r="CS408" s="2" t="n">
        <v>17.39</v>
      </c>
      <c r="CT408" s="2" t="n">
        <v>0</v>
      </c>
      <c r="CU408" s="2" t="n">
        <v>24.7</v>
      </c>
      <c r="CV408" s="2" t="n">
        <v>22.12</v>
      </c>
      <c r="CW408" s="2" t="n">
        <v>0</v>
      </c>
      <c r="CX408" s="2" t="n">
        <v>29.24</v>
      </c>
      <c r="CY408" s="2" t="n">
        <v>27.92</v>
      </c>
      <c r="CZ408" s="2" t="n">
        <v>0</v>
      </c>
      <c r="DA408" s="2" t="n">
        <v>40.24</v>
      </c>
      <c r="DB408" s="2" t="n">
        <v>36.37</v>
      </c>
      <c r="DC408" s="2" t="n">
        <v>0</v>
      </c>
      <c r="DD408" s="2" t="n">
        <v>48.83</v>
      </c>
      <c r="DE408" s="2" t="n">
        <v>45.82</v>
      </c>
      <c r="DF408" s="2" t="n">
        <v>0</v>
      </c>
      <c r="DG408" s="2" t="n">
        <v>62.36</v>
      </c>
      <c r="DH408" s="2" t="n">
        <v>61.5</v>
      </c>
      <c r="DI408" s="2" t="n">
        <v>0</v>
      </c>
      <c r="DJ408" s="2" t="n">
        <v>68.37</v>
      </c>
      <c r="DK408" s="2" t="n">
        <v>66.65000000000001</v>
      </c>
      <c r="DL408" s="2" t="n">
        <v>0</v>
      </c>
      <c r="DM408" s="2" t="n">
        <v>77.39</v>
      </c>
      <c r="DN408" s="2" t="n">
        <v>73.52</v>
      </c>
      <c r="DO408" s="2" t="n">
        <v>0</v>
      </c>
      <c r="DP408" s="2" t="n">
        <v>88.98</v>
      </c>
      <c r="DQ408" s="2" t="n">
        <v>83.83</v>
      </c>
      <c r="DR408" s="2" t="n">
        <v>0</v>
      </c>
      <c r="DS408" s="2" t="n">
        <v>95.43000000000001</v>
      </c>
      <c r="DT408" s="2" t="n">
        <v>87.7</v>
      </c>
      <c r="DU408" s="2" t="n">
        <v>0</v>
      </c>
      <c r="DV408" s="2" t="n">
        <v>100</v>
      </c>
      <c r="DW408" s="2" t="n">
        <v>93.28</v>
      </c>
      <c r="DX408" s="2" t="n">
        <v>0</v>
      </c>
      <c r="DY408" s="2" t="n">
        <v>100</v>
      </c>
      <c r="DZ408" s="2" t="n">
        <v>96.44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  <c r="ET408" s="2" t="n">
        <v>100</v>
      </c>
      <c r="EU408" s="2" t="n">
        <v>100</v>
      </c>
      <c r="EV408" s="2" t="n">
        <v>0</v>
      </c>
      <c r="EW408" s="2" t="n">
        <v>100</v>
      </c>
      <c r="EX408" s="2" t="n">
        <v>100</v>
      </c>
      <c r="EY408" s="2" t="n">
        <v>0</v>
      </c>
      <c r="EZ408" s="2" t="n">
        <v>100</v>
      </c>
      <c r="FA408" s="2" t="n">
        <v>100</v>
      </c>
      <c r="FB408" s="2" t="n">
        <v>0</v>
      </c>
      <c r="FC408" s="2" t="n">
        <v>100</v>
      </c>
      <c r="FD408" s="2" t="n">
        <v>100</v>
      </c>
      <c r="FE408" s="2" t="n">
        <v>0</v>
      </c>
      <c r="FF408" s="2" t="n">
        <v>100</v>
      </c>
      <c r="FG408" s="2" t="n">
        <v>100</v>
      </c>
      <c r="FH408" s="2" t="n">
        <v>0</v>
      </c>
      <c r="FI408" s="2" t="n">
        <v>100</v>
      </c>
      <c r="FJ408" s="2" t="n">
        <v>100</v>
      </c>
      <c r="FK408" s="2" t="n">
        <v>0</v>
      </c>
      <c r="FL408" s="2" t="n">
        <v>100</v>
      </c>
      <c r="FM408" s="2" t="n">
        <v>100</v>
      </c>
      <c r="FN408" s="2" t="n">
        <v>0</v>
      </c>
      <c r="FO408" s="2" t="n">
        <v>100</v>
      </c>
      <c r="FP408" s="2" t="n">
        <v>100</v>
      </c>
      <c r="FQ408" s="2" t="n">
        <v>0</v>
      </c>
    </row>
    <row r="409">
      <c r="A409" s="2" t="n">
        <v>3</v>
      </c>
      <c r="B409" s="2" t="inlineStr">
        <is>
          <t>19.03.01</t>
        </is>
      </c>
      <c r="C409" s="2" t="inlineStr">
        <is>
          <t>Gesso acartonado - S-A-S</t>
        </is>
      </c>
      <c r="D409" s="2" t="inlineStr">
        <is>
          <t>16/09/2026</t>
        </is>
      </c>
      <c r="E409" s="2" t="inlineStr">
        <is>
          <t>11/01/2028</t>
        </is>
      </c>
      <c r="F409" s="2" t="n">
        <v>47768.4</v>
      </c>
      <c r="G409" s="2" t="n">
        <v>0</v>
      </c>
      <c r="H409" s="2" t="n">
        <v>47768.4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2.49</v>
      </c>
      <c r="CG409" s="2" t="n">
        <v>2.49</v>
      </c>
      <c r="CH409" s="2" t="n">
        <v>0</v>
      </c>
      <c r="CI409" s="2" t="n">
        <v>6.23</v>
      </c>
      <c r="CJ409" s="2" t="n">
        <v>5.8</v>
      </c>
      <c r="CK409" s="2" t="n">
        <v>0</v>
      </c>
      <c r="CL409" s="2" t="n">
        <v>13.53</v>
      </c>
      <c r="CM409" s="2" t="n">
        <v>9.66</v>
      </c>
      <c r="CN409" s="2" t="n">
        <v>0</v>
      </c>
      <c r="CO409" s="2" t="n">
        <v>16.54</v>
      </c>
      <c r="CP409" s="2" t="n">
        <v>10.52</v>
      </c>
      <c r="CQ409" s="2" t="n">
        <v>0</v>
      </c>
      <c r="CR409" s="2" t="n">
        <v>21.26</v>
      </c>
      <c r="CS409" s="2" t="n">
        <v>17.39</v>
      </c>
      <c r="CT409" s="2" t="n">
        <v>0</v>
      </c>
      <c r="CU409" s="2" t="n">
        <v>24.7</v>
      </c>
      <c r="CV409" s="2" t="n">
        <v>22.12</v>
      </c>
      <c r="CW409" s="2" t="n">
        <v>0</v>
      </c>
      <c r="CX409" s="2" t="n">
        <v>29.24</v>
      </c>
      <c r="CY409" s="2" t="n">
        <v>27.92</v>
      </c>
      <c r="CZ409" s="2" t="n">
        <v>0</v>
      </c>
      <c r="DA409" s="2" t="n">
        <v>40.24</v>
      </c>
      <c r="DB409" s="2" t="n">
        <v>36.37</v>
      </c>
      <c r="DC409" s="2" t="n">
        <v>0</v>
      </c>
      <c r="DD409" s="2" t="n">
        <v>48.83</v>
      </c>
      <c r="DE409" s="2" t="n">
        <v>45.82</v>
      </c>
      <c r="DF409" s="2" t="n">
        <v>0</v>
      </c>
      <c r="DG409" s="2" t="n">
        <v>62.36</v>
      </c>
      <c r="DH409" s="2" t="n">
        <v>61.5</v>
      </c>
      <c r="DI409" s="2" t="n">
        <v>0</v>
      </c>
      <c r="DJ409" s="2" t="n">
        <v>68.37</v>
      </c>
      <c r="DK409" s="2" t="n">
        <v>66.65000000000001</v>
      </c>
      <c r="DL409" s="2" t="n">
        <v>0</v>
      </c>
      <c r="DM409" s="2" t="n">
        <v>77.39</v>
      </c>
      <c r="DN409" s="2" t="n">
        <v>73.52</v>
      </c>
      <c r="DO409" s="2" t="n">
        <v>0</v>
      </c>
      <c r="DP409" s="2" t="n">
        <v>88.98</v>
      </c>
      <c r="DQ409" s="2" t="n">
        <v>83.83</v>
      </c>
      <c r="DR409" s="2" t="n">
        <v>0</v>
      </c>
      <c r="DS409" s="2" t="n">
        <v>95.43000000000001</v>
      </c>
      <c r="DT409" s="2" t="n">
        <v>87.7</v>
      </c>
      <c r="DU409" s="2" t="n">
        <v>0</v>
      </c>
      <c r="DV409" s="2" t="n">
        <v>100</v>
      </c>
      <c r="DW409" s="2" t="n">
        <v>93.28</v>
      </c>
      <c r="DX409" s="2" t="n">
        <v>0</v>
      </c>
      <c r="DY409" s="2" t="n">
        <v>100</v>
      </c>
      <c r="DZ409" s="2" t="n">
        <v>96.44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  <c r="ET409" s="2" t="n">
        <v>100</v>
      </c>
      <c r="EU409" s="2" t="n">
        <v>100</v>
      </c>
      <c r="EV409" s="2" t="n">
        <v>0</v>
      </c>
      <c r="EW409" s="2" t="n">
        <v>100</v>
      </c>
      <c r="EX409" s="2" t="n">
        <v>100</v>
      </c>
      <c r="EY409" s="2" t="n">
        <v>0</v>
      </c>
      <c r="EZ409" s="2" t="n">
        <v>100</v>
      </c>
      <c r="FA409" s="2" t="n">
        <v>100</v>
      </c>
      <c r="FB409" s="2" t="n">
        <v>0</v>
      </c>
      <c r="FC409" s="2" t="n">
        <v>100</v>
      </c>
      <c r="FD409" s="2" t="n">
        <v>100</v>
      </c>
      <c r="FE409" s="2" t="n">
        <v>0</v>
      </c>
      <c r="FF409" s="2" t="n">
        <v>100</v>
      </c>
      <c r="FG409" s="2" t="n">
        <v>100</v>
      </c>
      <c r="FH409" s="2" t="n">
        <v>0</v>
      </c>
      <c r="FI409" s="2" t="n">
        <v>100</v>
      </c>
      <c r="FJ409" s="2" t="n">
        <v>100</v>
      </c>
      <c r="FK409" s="2" t="n">
        <v>0</v>
      </c>
      <c r="FL409" s="2" t="n">
        <v>100</v>
      </c>
      <c r="FM409" s="2" t="n">
        <v>100</v>
      </c>
      <c r="FN409" s="2" t="n">
        <v>0</v>
      </c>
      <c r="FO409" s="2" t="n">
        <v>100</v>
      </c>
      <c r="FP409" s="2" t="n">
        <v>100</v>
      </c>
      <c r="FQ409" s="2" t="n">
        <v>0</v>
      </c>
    </row>
    <row r="410">
      <c r="A410" s="2" t="n">
        <v>3</v>
      </c>
      <c r="B410" s="2" t="inlineStr">
        <is>
          <t>19.03.02</t>
        </is>
      </c>
      <c r="C410" s="2" t="inlineStr">
        <is>
          <t>Gesso acartonado - S-A-RU</t>
        </is>
      </c>
      <c r="D410" s="2" t="inlineStr">
        <is>
          <t>16/09/2026</t>
        </is>
      </c>
      <c r="E410" s="2" t="inlineStr">
        <is>
          <t>11/01/2028</t>
        </is>
      </c>
      <c r="F410" s="2" t="n">
        <v>103558.56</v>
      </c>
      <c r="G410" s="2" t="n">
        <v>0</v>
      </c>
      <c r="H410" s="2" t="n">
        <v>103558.56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2.49</v>
      </c>
      <c r="CG410" s="2" t="n">
        <v>2.49</v>
      </c>
      <c r="CH410" s="2" t="n">
        <v>0</v>
      </c>
      <c r="CI410" s="2" t="n">
        <v>6.23</v>
      </c>
      <c r="CJ410" s="2" t="n">
        <v>5.8</v>
      </c>
      <c r="CK410" s="2" t="n">
        <v>0</v>
      </c>
      <c r="CL410" s="2" t="n">
        <v>13.53</v>
      </c>
      <c r="CM410" s="2" t="n">
        <v>9.66</v>
      </c>
      <c r="CN410" s="2" t="n">
        <v>0</v>
      </c>
      <c r="CO410" s="2" t="n">
        <v>16.54</v>
      </c>
      <c r="CP410" s="2" t="n">
        <v>10.52</v>
      </c>
      <c r="CQ410" s="2" t="n">
        <v>0</v>
      </c>
      <c r="CR410" s="2" t="n">
        <v>21.26</v>
      </c>
      <c r="CS410" s="2" t="n">
        <v>17.39</v>
      </c>
      <c r="CT410" s="2" t="n">
        <v>0</v>
      </c>
      <c r="CU410" s="2" t="n">
        <v>24.7</v>
      </c>
      <c r="CV410" s="2" t="n">
        <v>22.12</v>
      </c>
      <c r="CW410" s="2" t="n">
        <v>0</v>
      </c>
      <c r="CX410" s="2" t="n">
        <v>29.24</v>
      </c>
      <c r="CY410" s="2" t="n">
        <v>27.92</v>
      </c>
      <c r="CZ410" s="2" t="n">
        <v>0</v>
      </c>
      <c r="DA410" s="2" t="n">
        <v>40.24</v>
      </c>
      <c r="DB410" s="2" t="n">
        <v>36.37</v>
      </c>
      <c r="DC410" s="2" t="n">
        <v>0</v>
      </c>
      <c r="DD410" s="2" t="n">
        <v>48.83</v>
      </c>
      <c r="DE410" s="2" t="n">
        <v>45.82</v>
      </c>
      <c r="DF410" s="2" t="n">
        <v>0</v>
      </c>
      <c r="DG410" s="2" t="n">
        <v>62.36</v>
      </c>
      <c r="DH410" s="2" t="n">
        <v>61.5</v>
      </c>
      <c r="DI410" s="2" t="n">
        <v>0</v>
      </c>
      <c r="DJ410" s="2" t="n">
        <v>68.37</v>
      </c>
      <c r="DK410" s="2" t="n">
        <v>66.65000000000001</v>
      </c>
      <c r="DL410" s="2" t="n">
        <v>0</v>
      </c>
      <c r="DM410" s="2" t="n">
        <v>77.39</v>
      </c>
      <c r="DN410" s="2" t="n">
        <v>73.52</v>
      </c>
      <c r="DO410" s="2" t="n">
        <v>0</v>
      </c>
      <c r="DP410" s="2" t="n">
        <v>88.98</v>
      </c>
      <c r="DQ410" s="2" t="n">
        <v>83.83</v>
      </c>
      <c r="DR410" s="2" t="n">
        <v>0</v>
      </c>
      <c r="DS410" s="2" t="n">
        <v>95.43000000000001</v>
      </c>
      <c r="DT410" s="2" t="n">
        <v>87.7</v>
      </c>
      <c r="DU410" s="2" t="n">
        <v>0</v>
      </c>
      <c r="DV410" s="2" t="n">
        <v>100</v>
      </c>
      <c r="DW410" s="2" t="n">
        <v>93.28</v>
      </c>
      <c r="DX410" s="2" t="n">
        <v>0</v>
      </c>
      <c r="DY410" s="2" t="n">
        <v>100</v>
      </c>
      <c r="DZ410" s="2" t="n">
        <v>96.44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  <c r="ET410" s="2" t="n">
        <v>100</v>
      </c>
      <c r="EU410" s="2" t="n">
        <v>100</v>
      </c>
      <c r="EV410" s="2" t="n">
        <v>0</v>
      </c>
      <c r="EW410" s="2" t="n">
        <v>100</v>
      </c>
      <c r="EX410" s="2" t="n">
        <v>100</v>
      </c>
      <c r="EY410" s="2" t="n">
        <v>0</v>
      </c>
      <c r="EZ410" s="2" t="n">
        <v>100</v>
      </c>
      <c r="FA410" s="2" t="n">
        <v>100</v>
      </c>
      <c r="FB410" s="2" t="n">
        <v>0</v>
      </c>
      <c r="FC410" s="2" t="n">
        <v>100</v>
      </c>
      <c r="FD410" s="2" t="n">
        <v>100</v>
      </c>
      <c r="FE410" s="2" t="n">
        <v>0</v>
      </c>
      <c r="FF410" s="2" t="n">
        <v>100</v>
      </c>
      <c r="FG410" s="2" t="n">
        <v>100</v>
      </c>
      <c r="FH410" s="2" t="n">
        <v>0</v>
      </c>
      <c r="FI410" s="2" t="n">
        <v>100</v>
      </c>
      <c r="FJ410" s="2" t="n">
        <v>100</v>
      </c>
      <c r="FK410" s="2" t="n">
        <v>0</v>
      </c>
      <c r="FL410" s="2" t="n">
        <v>100</v>
      </c>
      <c r="FM410" s="2" t="n">
        <v>100</v>
      </c>
      <c r="FN410" s="2" t="n">
        <v>0</v>
      </c>
      <c r="FO410" s="2" t="n">
        <v>100</v>
      </c>
      <c r="FP410" s="2" t="n">
        <v>100</v>
      </c>
      <c r="FQ410" s="2" t="n">
        <v>0</v>
      </c>
    </row>
    <row r="411">
      <c r="A411" s="2" t="n">
        <v>2</v>
      </c>
      <c r="B411" s="2" t="inlineStr">
        <is>
          <t>19.04</t>
        </is>
      </c>
      <c r="C411" s="2" t="inlineStr">
        <is>
          <t>Verga e Contra-verga</t>
        </is>
      </c>
      <c r="D411" s="2" t="inlineStr">
        <is>
          <t>23/03/2026</t>
        </is>
      </c>
      <c r="E411" s="2" t="inlineStr">
        <is>
          <t>02/03/2028</t>
        </is>
      </c>
      <c r="F411" s="2" t="n">
        <v>137674.5807</v>
      </c>
      <c r="G411" s="2" t="n">
        <v>0</v>
      </c>
      <c r="H411" s="2" t="n">
        <v>137674.5807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1.15</v>
      </c>
      <c r="BO411" s="2" t="n">
        <v>1.15</v>
      </c>
      <c r="BP411" s="2" t="n">
        <v>0.82</v>
      </c>
      <c r="BQ411" s="2" t="n">
        <v>3.6</v>
      </c>
      <c r="BR411" s="2" t="n">
        <v>3.6</v>
      </c>
      <c r="BS411" s="2" t="n">
        <v>3.6</v>
      </c>
      <c r="BT411" s="2" t="n">
        <v>7.54</v>
      </c>
      <c r="BU411" s="2" t="n">
        <v>7.54</v>
      </c>
      <c r="BV411" s="2" t="n">
        <v>7.67</v>
      </c>
      <c r="BW411" s="2" t="n">
        <v>12.05</v>
      </c>
      <c r="BX411" s="2" t="n">
        <v>12.01</v>
      </c>
      <c r="BY411" s="2" t="n">
        <v>13.7</v>
      </c>
      <c r="BZ411" s="2" t="n">
        <v>24.29</v>
      </c>
      <c r="CA411" s="2" t="n">
        <v>22.22</v>
      </c>
      <c r="CB411" s="2" t="n">
        <v>23.13</v>
      </c>
      <c r="CC411" s="2" t="n">
        <v>33.39</v>
      </c>
      <c r="CD411" s="2" t="n">
        <v>32.72</v>
      </c>
      <c r="CE411" s="2" t="n">
        <v>32.56</v>
      </c>
      <c r="CF411" s="2" t="n">
        <v>36.81</v>
      </c>
      <c r="CG411" s="2" t="n">
        <v>39.41</v>
      </c>
      <c r="CH411" s="2" t="n">
        <v>37.56</v>
      </c>
      <c r="CI411" s="2" t="n">
        <v>37.88</v>
      </c>
      <c r="CJ411" s="2" t="n">
        <v>40.48</v>
      </c>
      <c r="CK411" s="2" t="n">
        <v>37.56</v>
      </c>
      <c r="CL411" s="2" t="n">
        <v>41.22</v>
      </c>
      <c r="CM411" s="2" t="n">
        <v>43.82</v>
      </c>
      <c r="CN411" s="2" t="n">
        <v>37.56</v>
      </c>
      <c r="CO411" s="2" t="n">
        <v>44.07</v>
      </c>
      <c r="CP411" s="2" t="n">
        <v>46.66</v>
      </c>
      <c r="CQ411" s="2" t="n">
        <v>37.56</v>
      </c>
      <c r="CR411" s="2" t="n">
        <v>50.58</v>
      </c>
      <c r="CS411" s="2" t="n">
        <v>53.18</v>
      </c>
      <c r="CT411" s="2" t="n">
        <v>37.56</v>
      </c>
      <c r="CU411" s="2" t="n">
        <v>57.15</v>
      </c>
      <c r="CV411" s="2" t="n">
        <v>59.74</v>
      </c>
      <c r="CW411" s="2" t="n">
        <v>37.56</v>
      </c>
      <c r="CX411" s="2" t="n">
        <v>66.09</v>
      </c>
      <c r="CY411" s="2" t="n">
        <v>68.34</v>
      </c>
      <c r="CZ411" s="2" t="n">
        <v>37.56</v>
      </c>
      <c r="DA411" s="2" t="n">
        <v>76.34999999999999</v>
      </c>
      <c r="DB411" s="2" t="n">
        <v>76.34999999999999</v>
      </c>
      <c r="DC411" s="2" t="n">
        <v>37.56</v>
      </c>
      <c r="DD411" s="2" t="n">
        <v>83.28</v>
      </c>
      <c r="DE411" s="2" t="n">
        <v>83.28</v>
      </c>
      <c r="DF411" s="2" t="n">
        <v>37.56</v>
      </c>
      <c r="DG411" s="2" t="n">
        <v>90.22</v>
      </c>
      <c r="DH411" s="2" t="n">
        <v>90.22</v>
      </c>
      <c r="DI411" s="2" t="n">
        <v>37.56</v>
      </c>
      <c r="DJ411" s="2" t="n">
        <v>94.51000000000001</v>
      </c>
      <c r="DK411" s="2" t="n">
        <v>94.51000000000001</v>
      </c>
      <c r="DL411" s="2" t="n">
        <v>37.56</v>
      </c>
      <c r="DM411" s="2" t="n">
        <v>95.69</v>
      </c>
      <c r="DN411" s="2" t="n">
        <v>95.69</v>
      </c>
      <c r="DO411" s="2" t="n">
        <v>37.56</v>
      </c>
      <c r="DP411" s="2" t="n">
        <v>95.69</v>
      </c>
      <c r="DQ411" s="2" t="n">
        <v>95.69</v>
      </c>
      <c r="DR411" s="2" t="n">
        <v>37.56</v>
      </c>
      <c r="DS411" s="2" t="n">
        <v>95.69</v>
      </c>
      <c r="DT411" s="2" t="n">
        <v>95.69</v>
      </c>
      <c r="DU411" s="2" t="n">
        <v>37.56</v>
      </c>
      <c r="DV411" s="2" t="n">
        <v>95.69</v>
      </c>
      <c r="DW411" s="2" t="n">
        <v>95.69</v>
      </c>
      <c r="DX411" s="2" t="n">
        <v>37.56</v>
      </c>
      <c r="DY411" s="2" t="n">
        <v>95.69</v>
      </c>
      <c r="DZ411" s="2" t="n">
        <v>95.69</v>
      </c>
      <c r="EA411" s="2" t="n">
        <v>37.56</v>
      </c>
      <c r="EB411" s="2" t="n">
        <v>95.69</v>
      </c>
      <c r="EC411" s="2" t="n">
        <v>95.69</v>
      </c>
      <c r="ED411" s="2" t="n">
        <v>37.56</v>
      </c>
      <c r="EE411" s="2" t="n">
        <v>98.28</v>
      </c>
      <c r="EF411" s="2" t="n">
        <v>98.28</v>
      </c>
      <c r="EG411" s="2" t="n">
        <v>37.56</v>
      </c>
      <c r="EH411" s="2" t="n">
        <v>100</v>
      </c>
      <c r="EI411" s="2" t="n">
        <v>100</v>
      </c>
      <c r="EJ411" s="2" t="n">
        <v>37.56</v>
      </c>
      <c r="EK411" s="2" t="n">
        <v>100</v>
      </c>
      <c r="EL411" s="2" t="n">
        <v>100</v>
      </c>
      <c r="EM411" s="2" t="n">
        <v>37.56</v>
      </c>
      <c r="EN411" s="2" t="n">
        <v>100</v>
      </c>
      <c r="EO411" s="2" t="n">
        <v>100</v>
      </c>
      <c r="EP411" s="2" t="n">
        <v>37.56</v>
      </c>
      <c r="EQ411" s="2" t="n">
        <v>100</v>
      </c>
      <c r="ER411" s="2" t="n">
        <v>100</v>
      </c>
      <c r="ES411" s="2" t="n">
        <v>37.56</v>
      </c>
      <c r="ET411" s="2" t="n">
        <v>100</v>
      </c>
      <c r="EU411" s="2" t="n">
        <v>100</v>
      </c>
      <c r="EV411" s="2" t="n">
        <v>37.56</v>
      </c>
      <c r="EW411" s="2" t="n">
        <v>100</v>
      </c>
      <c r="EX411" s="2" t="n">
        <v>100</v>
      </c>
      <c r="EY411" s="2" t="n">
        <v>37.56</v>
      </c>
      <c r="EZ411" s="2" t="n">
        <v>100</v>
      </c>
      <c r="FA411" s="2" t="n">
        <v>100</v>
      </c>
      <c r="FB411" s="2" t="n">
        <v>37.56</v>
      </c>
      <c r="FC411" s="2" t="n">
        <v>100</v>
      </c>
      <c r="FD411" s="2" t="n">
        <v>100</v>
      </c>
      <c r="FE411" s="2" t="n">
        <v>37.56</v>
      </c>
      <c r="FF411" s="2" t="n">
        <v>100</v>
      </c>
      <c r="FG411" s="2" t="n">
        <v>100</v>
      </c>
      <c r="FH411" s="2" t="n">
        <v>37.56</v>
      </c>
      <c r="FI411" s="2" t="n">
        <v>100</v>
      </c>
      <c r="FJ411" s="2" t="n">
        <v>100</v>
      </c>
      <c r="FK411" s="2" t="n">
        <v>37.56</v>
      </c>
      <c r="FL411" s="2" t="n">
        <v>100</v>
      </c>
      <c r="FM411" s="2" t="n">
        <v>100</v>
      </c>
      <c r="FN411" s="2" t="n">
        <v>37.56</v>
      </c>
      <c r="FO411" s="2" t="n">
        <v>100</v>
      </c>
      <c r="FP411" s="2" t="n">
        <v>100</v>
      </c>
      <c r="FQ411" s="2" t="n">
        <v>37.56</v>
      </c>
    </row>
    <row r="412">
      <c r="A412" s="2" t="n">
        <v>3</v>
      </c>
      <c r="B412" s="2" t="inlineStr">
        <is>
          <t>19.04.01</t>
        </is>
      </c>
      <c r="C412" s="2" t="inlineStr">
        <is>
          <t>Vergas e contravergas</t>
        </is>
      </c>
      <c r="D412" s="2" t="inlineStr">
        <is>
          <t>23/03/2026</t>
        </is>
      </c>
      <c r="E412" s="2" t="inlineStr">
        <is>
          <t>02/03/2028</t>
        </is>
      </c>
      <c r="F412" s="2" t="n">
        <v>137674.5807</v>
      </c>
      <c r="G412" s="2" t="n">
        <v>0</v>
      </c>
      <c r="H412" s="2" t="n">
        <v>137674.5807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1.15</v>
      </c>
      <c r="BO412" s="2" t="n">
        <v>1.15</v>
      </c>
      <c r="BP412" s="2" t="n">
        <v>0.82</v>
      </c>
      <c r="BQ412" s="2" t="n">
        <v>3.6</v>
      </c>
      <c r="BR412" s="2" t="n">
        <v>3.6</v>
      </c>
      <c r="BS412" s="2" t="n">
        <v>3.6</v>
      </c>
      <c r="BT412" s="2" t="n">
        <v>7.54</v>
      </c>
      <c r="BU412" s="2" t="n">
        <v>7.54</v>
      </c>
      <c r="BV412" s="2" t="n">
        <v>7.67</v>
      </c>
      <c r="BW412" s="2" t="n">
        <v>12.05</v>
      </c>
      <c r="BX412" s="2" t="n">
        <v>12.01</v>
      </c>
      <c r="BY412" s="2" t="n">
        <v>13.7</v>
      </c>
      <c r="BZ412" s="2" t="n">
        <v>24.29</v>
      </c>
      <c r="CA412" s="2" t="n">
        <v>22.22</v>
      </c>
      <c r="CB412" s="2" t="n">
        <v>23.13</v>
      </c>
      <c r="CC412" s="2" t="n">
        <v>33.39</v>
      </c>
      <c r="CD412" s="2" t="n">
        <v>32.72</v>
      </c>
      <c r="CE412" s="2" t="n">
        <v>32.56</v>
      </c>
      <c r="CF412" s="2" t="n">
        <v>36.81</v>
      </c>
      <c r="CG412" s="2" t="n">
        <v>39.41</v>
      </c>
      <c r="CH412" s="2" t="n">
        <v>37.56</v>
      </c>
      <c r="CI412" s="2" t="n">
        <v>37.88</v>
      </c>
      <c r="CJ412" s="2" t="n">
        <v>40.48</v>
      </c>
      <c r="CK412" s="2" t="n">
        <v>37.56</v>
      </c>
      <c r="CL412" s="2" t="n">
        <v>41.22</v>
      </c>
      <c r="CM412" s="2" t="n">
        <v>43.82</v>
      </c>
      <c r="CN412" s="2" t="n">
        <v>37.56</v>
      </c>
      <c r="CO412" s="2" t="n">
        <v>44.07</v>
      </c>
      <c r="CP412" s="2" t="n">
        <v>46.66</v>
      </c>
      <c r="CQ412" s="2" t="n">
        <v>37.56</v>
      </c>
      <c r="CR412" s="2" t="n">
        <v>50.58</v>
      </c>
      <c r="CS412" s="2" t="n">
        <v>53.18</v>
      </c>
      <c r="CT412" s="2" t="n">
        <v>37.56</v>
      </c>
      <c r="CU412" s="2" t="n">
        <v>57.15</v>
      </c>
      <c r="CV412" s="2" t="n">
        <v>59.74</v>
      </c>
      <c r="CW412" s="2" t="n">
        <v>37.56</v>
      </c>
      <c r="CX412" s="2" t="n">
        <v>66.09</v>
      </c>
      <c r="CY412" s="2" t="n">
        <v>68.34</v>
      </c>
      <c r="CZ412" s="2" t="n">
        <v>37.56</v>
      </c>
      <c r="DA412" s="2" t="n">
        <v>76.34999999999999</v>
      </c>
      <c r="DB412" s="2" t="n">
        <v>76.34999999999999</v>
      </c>
      <c r="DC412" s="2" t="n">
        <v>37.56</v>
      </c>
      <c r="DD412" s="2" t="n">
        <v>83.28</v>
      </c>
      <c r="DE412" s="2" t="n">
        <v>83.28</v>
      </c>
      <c r="DF412" s="2" t="n">
        <v>37.56</v>
      </c>
      <c r="DG412" s="2" t="n">
        <v>90.22</v>
      </c>
      <c r="DH412" s="2" t="n">
        <v>90.22</v>
      </c>
      <c r="DI412" s="2" t="n">
        <v>37.56</v>
      </c>
      <c r="DJ412" s="2" t="n">
        <v>94.51000000000001</v>
      </c>
      <c r="DK412" s="2" t="n">
        <v>94.51000000000001</v>
      </c>
      <c r="DL412" s="2" t="n">
        <v>37.56</v>
      </c>
      <c r="DM412" s="2" t="n">
        <v>95.69</v>
      </c>
      <c r="DN412" s="2" t="n">
        <v>95.69</v>
      </c>
      <c r="DO412" s="2" t="n">
        <v>37.56</v>
      </c>
      <c r="DP412" s="2" t="n">
        <v>95.69</v>
      </c>
      <c r="DQ412" s="2" t="n">
        <v>95.69</v>
      </c>
      <c r="DR412" s="2" t="n">
        <v>37.56</v>
      </c>
      <c r="DS412" s="2" t="n">
        <v>95.69</v>
      </c>
      <c r="DT412" s="2" t="n">
        <v>95.69</v>
      </c>
      <c r="DU412" s="2" t="n">
        <v>37.56</v>
      </c>
      <c r="DV412" s="2" t="n">
        <v>95.69</v>
      </c>
      <c r="DW412" s="2" t="n">
        <v>95.69</v>
      </c>
      <c r="DX412" s="2" t="n">
        <v>37.56</v>
      </c>
      <c r="DY412" s="2" t="n">
        <v>95.69</v>
      </c>
      <c r="DZ412" s="2" t="n">
        <v>95.69</v>
      </c>
      <c r="EA412" s="2" t="n">
        <v>37.56</v>
      </c>
      <c r="EB412" s="2" t="n">
        <v>95.69</v>
      </c>
      <c r="EC412" s="2" t="n">
        <v>95.69</v>
      </c>
      <c r="ED412" s="2" t="n">
        <v>37.56</v>
      </c>
      <c r="EE412" s="2" t="n">
        <v>98.28</v>
      </c>
      <c r="EF412" s="2" t="n">
        <v>98.28</v>
      </c>
      <c r="EG412" s="2" t="n">
        <v>37.56</v>
      </c>
      <c r="EH412" s="2" t="n">
        <v>100</v>
      </c>
      <c r="EI412" s="2" t="n">
        <v>100</v>
      </c>
      <c r="EJ412" s="2" t="n">
        <v>37.56</v>
      </c>
      <c r="EK412" s="2" t="n">
        <v>100</v>
      </c>
      <c r="EL412" s="2" t="n">
        <v>100</v>
      </c>
      <c r="EM412" s="2" t="n">
        <v>37.56</v>
      </c>
      <c r="EN412" s="2" t="n">
        <v>100</v>
      </c>
      <c r="EO412" s="2" t="n">
        <v>100</v>
      </c>
      <c r="EP412" s="2" t="n">
        <v>37.56</v>
      </c>
      <c r="EQ412" s="2" t="n">
        <v>100</v>
      </c>
      <c r="ER412" s="2" t="n">
        <v>100</v>
      </c>
      <c r="ES412" s="2" t="n">
        <v>37.56</v>
      </c>
      <c r="ET412" s="2" t="n">
        <v>100</v>
      </c>
      <c r="EU412" s="2" t="n">
        <v>100</v>
      </c>
      <c r="EV412" s="2" t="n">
        <v>37.56</v>
      </c>
      <c r="EW412" s="2" t="n">
        <v>100</v>
      </c>
      <c r="EX412" s="2" t="n">
        <v>100</v>
      </c>
      <c r="EY412" s="2" t="n">
        <v>37.56</v>
      </c>
      <c r="EZ412" s="2" t="n">
        <v>100</v>
      </c>
      <c r="FA412" s="2" t="n">
        <v>100</v>
      </c>
      <c r="FB412" s="2" t="n">
        <v>37.56</v>
      </c>
      <c r="FC412" s="2" t="n">
        <v>100</v>
      </c>
      <c r="FD412" s="2" t="n">
        <v>100</v>
      </c>
      <c r="FE412" s="2" t="n">
        <v>37.56</v>
      </c>
      <c r="FF412" s="2" t="n">
        <v>100</v>
      </c>
      <c r="FG412" s="2" t="n">
        <v>100</v>
      </c>
      <c r="FH412" s="2" t="n">
        <v>37.56</v>
      </c>
      <c r="FI412" s="2" t="n">
        <v>100</v>
      </c>
      <c r="FJ412" s="2" t="n">
        <v>100</v>
      </c>
      <c r="FK412" s="2" t="n">
        <v>37.56</v>
      </c>
      <c r="FL412" s="2" t="n">
        <v>100</v>
      </c>
      <c r="FM412" s="2" t="n">
        <v>100</v>
      </c>
      <c r="FN412" s="2" t="n">
        <v>37.56</v>
      </c>
      <c r="FO412" s="2" t="n">
        <v>100</v>
      </c>
      <c r="FP412" s="2" t="n">
        <v>100</v>
      </c>
      <c r="FQ412" s="2" t="n">
        <v>37.56</v>
      </c>
    </row>
    <row r="413">
      <c r="A413" s="2" t="n">
        <v>1</v>
      </c>
      <c r="B413" s="2" t="inlineStr">
        <is>
          <t>20</t>
        </is>
      </c>
      <c r="C413" s="2" t="inlineStr">
        <is>
          <t>IMPERMEABILIZAÇÃO</t>
        </is>
      </c>
      <c r="D413" s="2" t="inlineStr">
        <is>
          <t>26/11/2026</t>
        </is>
      </c>
      <c r="E413" s="2" t="inlineStr">
        <is>
          <t>07/02/2028</t>
        </is>
      </c>
      <c r="F413" s="2" t="n">
        <v>3799651.259552314</v>
      </c>
      <c r="G413" s="2" t="n">
        <v>0</v>
      </c>
      <c r="H413" s="2" t="n">
        <v>3799651.259552314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0</v>
      </c>
      <c r="CJ413" s="2" t="n">
        <v>0</v>
      </c>
      <c r="CK413" s="2" t="n">
        <v>0</v>
      </c>
      <c r="CL413" s="2" t="n">
        <v>4.03</v>
      </c>
      <c r="CM413" s="2" t="n">
        <v>1.1</v>
      </c>
      <c r="CN413" s="2" t="n">
        <v>0</v>
      </c>
      <c r="CO413" s="2" t="n">
        <v>7.26</v>
      </c>
      <c r="CP413" s="2" t="n">
        <v>3.87</v>
      </c>
      <c r="CQ413" s="2" t="n">
        <v>0</v>
      </c>
      <c r="CR413" s="2" t="n">
        <v>14.9</v>
      </c>
      <c r="CS413" s="2" t="n">
        <v>9.199999999999999</v>
      </c>
      <c r="CT413" s="2" t="n">
        <v>0</v>
      </c>
      <c r="CU413" s="2" t="n">
        <v>16.62</v>
      </c>
      <c r="CV413" s="2" t="n">
        <v>15.76</v>
      </c>
      <c r="CW413" s="2" t="n">
        <v>0</v>
      </c>
      <c r="CX413" s="2" t="n">
        <v>21.56</v>
      </c>
      <c r="CY413" s="2" t="n">
        <v>20.39</v>
      </c>
      <c r="CZ413" s="2" t="n">
        <v>0</v>
      </c>
      <c r="DA413" s="2" t="n">
        <v>29.51</v>
      </c>
      <c r="DB413" s="2" t="n">
        <v>27.71</v>
      </c>
      <c r="DC413" s="2" t="n">
        <v>0</v>
      </c>
      <c r="DD413" s="2" t="n">
        <v>38.52</v>
      </c>
      <c r="DE413" s="2" t="n">
        <v>37.07</v>
      </c>
      <c r="DF413" s="2" t="n">
        <v>0</v>
      </c>
      <c r="DG413" s="2" t="n">
        <v>52.61</v>
      </c>
      <c r="DH413" s="2" t="n">
        <v>49.69</v>
      </c>
      <c r="DI413" s="2" t="n">
        <v>0</v>
      </c>
      <c r="DJ413" s="2" t="n">
        <v>60.56</v>
      </c>
      <c r="DK413" s="2" t="n">
        <v>60.59</v>
      </c>
      <c r="DL413" s="2" t="n">
        <v>0</v>
      </c>
      <c r="DM413" s="2" t="n">
        <v>67.95</v>
      </c>
      <c r="DN413" s="2" t="n">
        <v>65.94</v>
      </c>
      <c r="DO413" s="2" t="n">
        <v>0</v>
      </c>
      <c r="DP413" s="2" t="n">
        <v>80.36</v>
      </c>
      <c r="DQ413" s="2" t="n">
        <v>76.16</v>
      </c>
      <c r="DR413" s="2" t="n">
        <v>0</v>
      </c>
      <c r="DS413" s="2" t="n">
        <v>91.52</v>
      </c>
      <c r="DT413" s="2" t="n">
        <v>84.45999999999999</v>
      </c>
      <c r="DU413" s="2" t="n">
        <v>0</v>
      </c>
      <c r="DV413" s="2" t="n">
        <v>96.2</v>
      </c>
      <c r="DW413" s="2" t="n">
        <v>90.06999999999999</v>
      </c>
      <c r="DX413" s="2" t="n">
        <v>0</v>
      </c>
      <c r="DY413" s="2" t="n">
        <v>98.98999999999999</v>
      </c>
      <c r="DZ413" s="2" t="n">
        <v>93.86</v>
      </c>
      <c r="EA413" s="2" t="n">
        <v>0</v>
      </c>
      <c r="EB413" s="2" t="n">
        <v>100</v>
      </c>
      <c r="EC413" s="2" t="n">
        <v>99.44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  <c r="ET413" s="2" t="n">
        <v>100</v>
      </c>
      <c r="EU413" s="2" t="n">
        <v>100</v>
      </c>
      <c r="EV413" s="2" t="n">
        <v>0</v>
      </c>
      <c r="EW413" s="2" t="n">
        <v>100</v>
      </c>
      <c r="EX413" s="2" t="n">
        <v>100</v>
      </c>
      <c r="EY413" s="2" t="n">
        <v>0</v>
      </c>
      <c r="EZ413" s="2" t="n">
        <v>100</v>
      </c>
      <c r="FA413" s="2" t="n">
        <v>100</v>
      </c>
      <c r="FB413" s="2" t="n">
        <v>0</v>
      </c>
      <c r="FC413" s="2" t="n">
        <v>100</v>
      </c>
      <c r="FD413" s="2" t="n">
        <v>100</v>
      </c>
      <c r="FE413" s="2" t="n">
        <v>0</v>
      </c>
      <c r="FF413" s="2" t="n">
        <v>100</v>
      </c>
      <c r="FG413" s="2" t="n">
        <v>100</v>
      </c>
      <c r="FH413" s="2" t="n">
        <v>0</v>
      </c>
      <c r="FI413" s="2" t="n">
        <v>100</v>
      </c>
      <c r="FJ413" s="2" t="n">
        <v>100</v>
      </c>
      <c r="FK413" s="2" t="n">
        <v>0</v>
      </c>
      <c r="FL413" s="2" t="n">
        <v>100</v>
      </c>
      <c r="FM413" s="2" t="n">
        <v>100</v>
      </c>
      <c r="FN413" s="2" t="n">
        <v>0</v>
      </c>
      <c r="FO413" s="2" t="n">
        <v>100</v>
      </c>
      <c r="FP413" s="2" t="n">
        <v>100</v>
      </c>
      <c r="FQ413" s="2" t="n">
        <v>0</v>
      </c>
    </row>
    <row r="414">
      <c r="A414" s="2" t="n">
        <v>2</v>
      </c>
      <c r="B414" s="2" t="inlineStr">
        <is>
          <t>20.01</t>
        </is>
      </c>
      <c r="C414" s="2" t="inlineStr">
        <is>
          <t>Impermeabilização com argamassa flexível com consumo de 4,0kg/m2, estruturado com tela poliéster resinada malha de 3x3cm (*Nos box de chuveiro a impermeabilização deverá subir até a altura mínima de 1,80m nas paredes.| Onde houver fechamento em drywall deverá ser feito reforço do sistema no rodapé| Na sauna, impermeabilização integral envelopando o ambiente: Paredes, piso e teto).</t>
        </is>
      </c>
      <c r="D414" s="2" t="inlineStr">
        <is>
          <t>26/11/2026</t>
        </is>
      </c>
      <c r="E414" s="2" t="inlineStr">
        <is>
          <t>07/02/2028</t>
        </is>
      </c>
      <c r="F414" s="2" t="n">
        <v>422618.3471186766</v>
      </c>
      <c r="G414" s="2" t="n">
        <v>0</v>
      </c>
      <c r="H414" s="2" t="n">
        <v>422618.3471186766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0</v>
      </c>
      <c r="CJ414" s="2" t="n">
        <v>0</v>
      </c>
      <c r="CK414" s="2" t="n">
        <v>0</v>
      </c>
      <c r="CL414" s="2" t="n">
        <v>4.03</v>
      </c>
      <c r="CM414" s="2" t="n">
        <v>1.1</v>
      </c>
      <c r="CN414" s="2" t="n">
        <v>0</v>
      </c>
      <c r="CO414" s="2" t="n">
        <v>7.26</v>
      </c>
      <c r="CP414" s="2" t="n">
        <v>3.87</v>
      </c>
      <c r="CQ414" s="2" t="n">
        <v>0</v>
      </c>
      <c r="CR414" s="2" t="n">
        <v>14.9</v>
      </c>
      <c r="CS414" s="2" t="n">
        <v>9.199999999999999</v>
      </c>
      <c r="CT414" s="2" t="n">
        <v>0</v>
      </c>
      <c r="CU414" s="2" t="n">
        <v>16.62</v>
      </c>
      <c r="CV414" s="2" t="n">
        <v>15.76</v>
      </c>
      <c r="CW414" s="2" t="n">
        <v>0</v>
      </c>
      <c r="CX414" s="2" t="n">
        <v>21.56</v>
      </c>
      <c r="CY414" s="2" t="n">
        <v>20.39</v>
      </c>
      <c r="CZ414" s="2" t="n">
        <v>0</v>
      </c>
      <c r="DA414" s="2" t="n">
        <v>29.51</v>
      </c>
      <c r="DB414" s="2" t="n">
        <v>27.71</v>
      </c>
      <c r="DC414" s="2" t="n">
        <v>0</v>
      </c>
      <c r="DD414" s="2" t="n">
        <v>38.52</v>
      </c>
      <c r="DE414" s="2" t="n">
        <v>37.07</v>
      </c>
      <c r="DF414" s="2" t="n">
        <v>0</v>
      </c>
      <c r="DG414" s="2" t="n">
        <v>52.61</v>
      </c>
      <c r="DH414" s="2" t="n">
        <v>49.69</v>
      </c>
      <c r="DI414" s="2" t="n">
        <v>0</v>
      </c>
      <c r="DJ414" s="2" t="n">
        <v>60.56</v>
      </c>
      <c r="DK414" s="2" t="n">
        <v>60.59</v>
      </c>
      <c r="DL414" s="2" t="n">
        <v>0</v>
      </c>
      <c r="DM414" s="2" t="n">
        <v>67.95</v>
      </c>
      <c r="DN414" s="2" t="n">
        <v>65.94</v>
      </c>
      <c r="DO414" s="2" t="n">
        <v>0</v>
      </c>
      <c r="DP414" s="2" t="n">
        <v>80.36</v>
      </c>
      <c r="DQ414" s="2" t="n">
        <v>76.16</v>
      </c>
      <c r="DR414" s="2" t="n">
        <v>0</v>
      </c>
      <c r="DS414" s="2" t="n">
        <v>91.52</v>
      </c>
      <c r="DT414" s="2" t="n">
        <v>84.45999999999999</v>
      </c>
      <c r="DU414" s="2" t="n">
        <v>0</v>
      </c>
      <c r="DV414" s="2" t="n">
        <v>96.2</v>
      </c>
      <c r="DW414" s="2" t="n">
        <v>90.06999999999999</v>
      </c>
      <c r="DX414" s="2" t="n">
        <v>0</v>
      </c>
      <c r="DY414" s="2" t="n">
        <v>98.98999999999999</v>
      </c>
      <c r="DZ414" s="2" t="n">
        <v>93.86</v>
      </c>
      <c r="EA414" s="2" t="n">
        <v>0</v>
      </c>
      <c r="EB414" s="2" t="n">
        <v>100</v>
      </c>
      <c r="EC414" s="2" t="n">
        <v>99.44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  <c r="ET414" s="2" t="n">
        <v>100</v>
      </c>
      <c r="EU414" s="2" t="n">
        <v>100</v>
      </c>
      <c r="EV414" s="2" t="n">
        <v>0</v>
      </c>
      <c r="EW414" s="2" t="n">
        <v>100</v>
      </c>
      <c r="EX414" s="2" t="n">
        <v>100</v>
      </c>
      <c r="EY414" s="2" t="n">
        <v>0</v>
      </c>
      <c r="EZ414" s="2" t="n">
        <v>100</v>
      </c>
      <c r="FA414" s="2" t="n">
        <v>100</v>
      </c>
      <c r="FB414" s="2" t="n">
        <v>0</v>
      </c>
      <c r="FC414" s="2" t="n">
        <v>100</v>
      </c>
      <c r="FD414" s="2" t="n">
        <v>100</v>
      </c>
      <c r="FE414" s="2" t="n">
        <v>0</v>
      </c>
      <c r="FF414" s="2" t="n">
        <v>100</v>
      </c>
      <c r="FG414" s="2" t="n">
        <v>100</v>
      </c>
      <c r="FH414" s="2" t="n">
        <v>0</v>
      </c>
      <c r="FI414" s="2" t="n">
        <v>100</v>
      </c>
      <c r="FJ414" s="2" t="n">
        <v>100</v>
      </c>
      <c r="FK414" s="2" t="n">
        <v>0</v>
      </c>
      <c r="FL414" s="2" t="n">
        <v>100</v>
      </c>
      <c r="FM414" s="2" t="n">
        <v>100</v>
      </c>
      <c r="FN414" s="2" t="n">
        <v>0</v>
      </c>
      <c r="FO414" s="2" t="n">
        <v>100</v>
      </c>
      <c r="FP414" s="2" t="n">
        <v>100</v>
      </c>
      <c r="FQ414" s="2" t="n">
        <v>0</v>
      </c>
    </row>
    <row r="415">
      <c r="A415" s="2" t="n">
        <v>3</v>
      </c>
      <c r="B415" s="2" t="inlineStr">
        <is>
          <t>20.01.01</t>
        </is>
      </c>
      <c r="C415" s="2" t="inlineStr">
        <is>
          <t>Cozinhas, espaço gourmet</t>
        </is>
      </c>
      <c r="D415" s="2" t="inlineStr">
        <is>
          <t>26/11/2026</t>
        </is>
      </c>
      <c r="E415" s="2" t="inlineStr">
        <is>
          <t>07/02/2028</t>
        </is>
      </c>
      <c r="F415" s="2" t="n">
        <v>113103.2419467307</v>
      </c>
      <c r="G415" s="2" t="n">
        <v>0</v>
      </c>
      <c r="H415" s="2" t="n">
        <v>113103.2419467307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0</v>
      </c>
      <c r="CJ415" s="2" t="n">
        <v>0</v>
      </c>
      <c r="CK415" s="2" t="n">
        <v>0</v>
      </c>
      <c r="CL415" s="2" t="n">
        <v>4.03</v>
      </c>
      <c r="CM415" s="2" t="n">
        <v>1.1</v>
      </c>
      <c r="CN415" s="2" t="n">
        <v>0</v>
      </c>
      <c r="CO415" s="2" t="n">
        <v>7.26</v>
      </c>
      <c r="CP415" s="2" t="n">
        <v>3.87</v>
      </c>
      <c r="CQ415" s="2" t="n">
        <v>0</v>
      </c>
      <c r="CR415" s="2" t="n">
        <v>14.9</v>
      </c>
      <c r="CS415" s="2" t="n">
        <v>9.199999999999999</v>
      </c>
      <c r="CT415" s="2" t="n">
        <v>0</v>
      </c>
      <c r="CU415" s="2" t="n">
        <v>16.62</v>
      </c>
      <c r="CV415" s="2" t="n">
        <v>15.76</v>
      </c>
      <c r="CW415" s="2" t="n">
        <v>0</v>
      </c>
      <c r="CX415" s="2" t="n">
        <v>21.56</v>
      </c>
      <c r="CY415" s="2" t="n">
        <v>20.39</v>
      </c>
      <c r="CZ415" s="2" t="n">
        <v>0</v>
      </c>
      <c r="DA415" s="2" t="n">
        <v>29.51</v>
      </c>
      <c r="DB415" s="2" t="n">
        <v>27.71</v>
      </c>
      <c r="DC415" s="2" t="n">
        <v>0</v>
      </c>
      <c r="DD415" s="2" t="n">
        <v>38.52</v>
      </c>
      <c r="DE415" s="2" t="n">
        <v>37.07</v>
      </c>
      <c r="DF415" s="2" t="n">
        <v>0</v>
      </c>
      <c r="DG415" s="2" t="n">
        <v>52.61</v>
      </c>
      <c r="DH415" s="2" t="n">
        <v>49.69</v>
      </c>
      <c r="DI415" s="2" t="n">
        <v>0</v>
      </c>
      <c r="DJ415" s="2" t="n">
        <v>60.56</v>
      </c>
      <c r="DK415" s="2" t="n">
        <v>60.59</v>
      </c>
      <c r="DL415" s="2" t="n">
        <v>0</v>
      </c>
      <c r="DM415" s="2" t="n">
        <v>67.95</v>
      </c>
      <c r="DN415" s="2" t="n">
        <v>65.94</v>
      </c>
      <c r="DO415" s="2" t="n">
        <v>0</v>
      </c>
      <c r="DP415" s="2" t="n">
        <v>80.36</v>
      </c>
      <c r="DQ415" s="2" t="n">
        <v>76.16</v>
      </c>
      <c r="DR415" s="2" t="n">
        <v>0</v>
      </c>
      <c r="DS415" s="2" t="n">
        <v>91.52</v>
      </c>
      <c r="DT415" s="2" t="n">
        <v>84.45999999999999</v>
      </c>
      <c r="DU415" s="2" t="n">
        <v>0</v>
      </c>
      <c r="DV415" s="2" t="n">
        <v>96.2</v>
      </c>
      <c r="DW415" s="2" t="n">
        <v>90.06999999999999</v>
      </c>
      <c r="DX415" s="2" t="n">
        <v>0</v>
      </c>
      <c r="DY415" s="2" t="n">
        <v>98.98999999999999</v>
      </c>
      <c r="DZ415" s="2" t="n">
        <v>93.86</v>
      </c>
      <c r="EA415" s="2" t="n">
        <v>0</v>
      </c>
      <c r="EB415" s="2" t="n">
        <v>100</v>
      </c>
      <c r="EC415" s="2" t="n">
        <v>99.44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  <c r="ET415" s="2" t="n">
        <v>100</v>
      </c>
      <c r="EU415" s="2" t="n">
        <v>100</v>
      </c>
      <c r="EV415" s="2" t="n">
        <v>0</v>
      </c>
      <c r="EW415" s="2" t="n">
        <v>100</v>
      </c>
      <c r="EX415" s="2" t="n">
        <v>100</v>
      </c>
      <c r="EY415" s="2" t="n">
        <v>0</v>
      </c>
      <c r="EZ415" s="2" t="n">
        <v>100</v>
      </c>
      <c r="FA415" s="2" t="n">
        <v>100</v>
      </c>
      <c r="FB415" s="2" t="n">
        <v>0</v>
      </c>
      <c r="FC415" s="2" t="n">
        <v>100</v>
      </c>
      <c r="FD415" s="2" t="n">
        <v>100</v>
      </c>
      <c r="FE415" s="2" t="n">
        <v>0</v>
      </c>
      <c r="FF415" s="2" t="n">
        <v>100</v>
      </c>
      <c r="FG415" s="2" t="n">
        <v>100</v>
      </c>
      <c r="FH415" s="2" t="n">
        <v>0</v>
      </c>
      <c r="FI415" s="2" t="n">
        <v>100</v>
      </c>
      <c r="FJ415" s="2" t="n">
        <v>100</v>
      </c>
      <c r="FK415" s="2" t="n">
        <v>0</v>
      </c>
      <c r="FL415" s="2" t="n">
        <v>100</v>
      </c>
      <c r="FM415" s="2" t="n">
        <v>100</v>
      </c>
      <c r="FN415" s="2" t="n">
        <v>0</v>
      </c>
      <c r="FO415" s="2" t="n">
        <v>100</v>
      </c>
      <c r="FP415" s="2" t="n">
        <v>100</v>
      </c>
      <c r="FQ415" s="2" t="n">
        <v>0</v>
      </c>
    </row>
    <row r="416">
      <c r="A416" s="2" t="n">
        <v>3</v>
      </c>
      <c r="B416" s="2" t="inlineStr">
        <is>
          <t>20.01.02</t>
        </is>
      </c>
      <c r="C416" s="2" t="inlineStr">
        <is>
          <t>Áreas de serviço</t>
        </is>
      </c>
      <c r="D416" s="2" t="inlineStr">
        <is>
          <t>26/11/2026</t>
        </is>
      </c>
      <c r="E416" s="2" t="inlineStr">
        <is>
          <t>07/02/2028</t>
        </is>
      </c>
      <c r="F416" s="2" t="n">
        <v>57949.90324357154</v>
      </c>
      <c r="G416" s="2" t="n">
        <v>0</v>
      </c>
      <c r="H416" s="2" t="n">
        <v>57949.90324357154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0</v>
      </c>
      <c r="CJ416" s="2" t="n">
        <v>0</v>
      </c>
      <c r="CK416" s="2" t="n">
        <v>0</v>
      </c>
      <c r="CL416" s="2" t="n">
        <v>4.03</v>
      </c>
      <c r="CM416" s="2" t="n">
        <v>1.1</v>
      </c>
      <c r="CN416" s="2" t="n">
        <v>0</v>
      </c>
      <c r="CO416" s="2" t="n">
        <v>7.26</v>
      </c>
      <c r="CP416" s="2" t="n">
        <v>3.87</v>
      </c>
      <c r="CQ416" s="2" t="n">
        <v>0</v>
      </c>
      <c r="CR416" s="2" t="n">
        <v>14.9</v>
      </c>
      <c r="CS416" s="2" t="n">
        <v>9.199999999999999</v>
      </c>
      <c r="CT416" s="2" t="n">
        <v>0</v>
      </c>
      <c r="CU416" s="2" t="n">
        <v>16.62</v>
      </c>
      <c r="CV416" s="2" t="n">
        <v>15.76</v>
      </c>
      <c r="CW416" s="2" t="n">
        <v>0</v>
      </c>
      <c r="CX416" s="2" t="n">
        <v>21.56</v>
      </c>
      <c r="CY416" s="2" t="n">
        <v>20.39</v>
      </c>
      <c r="CZ416" s="2" t="n">
        <v>0</v>
      </c>
      <c r="DA416" s="2" t="n">
        <v>29.51</v>
      </c>
      <c r="DB416" s="2" t="n">
        <v>27.71</v>
      </c>
      <c r="DC416" s="2" t="n">
        <v>0</v>
      </c>
      <c r="DD416" s="2" t="n">
        <v>38.52</v>
      </c>
      <c r="DE416" s="2" t="n">
        <v>37.07</v>
      </c>
      <c r="DF416" s="2" t="n">
        <v>0</v>
      </c>
      <c r="DG416" s="2" t="n">
        <v>52.61</v>
      </c>
      <c r="DH416" s="2" t="n">
        <v>49.69</v>
      </c>
      <c r="DI416" s="2" t="n">
        <v>0</v>
      </c>
      <c r="DJ416" s="2" t="n">
        <v>60.56</v>
      </c>
      <c r="DK416" s="2" t="n">
        <v>60.59</v>
      </c>
      <c r="DL416" s="2" t="n">
        <v>0</v>
      </c>
      <c r="DM416" s="2" t="n">
        <v>67.95</v>
      </c>
      <c r="DN416" s="2" t="n">
        <v>65.94</v>
      </c>
      <c r="DO416" s="2" t="n">
        <v>0</v>
      </c>
      <c r="DP416" s="2" t="n">
        <v>80.36</v>
      </c>
      <c r="DQ416" s="2" t="n">
        <v>76.16</v>
      </c>
      <c r="DR416" s="2" t="n">
        <v>0</v>
      </c>
      <c r="DS416" s="2" t="n">
        <v>91.52</v>
      </c>
      <c r="DT416" s="2" t="n">
        <v>84.45999999999999</v>
      </c>
      <c r="DU416" s="2" t="n">
        <v>0</v>
      </c>
      <c r="DV416" s="2" t="n">
        <v>96.2</v>
      </c>
      <c r="DW416" s="2" t="n">
        <v>90.06999999999999</v>
      </c>
      <c r="DX416" s="2" t="n">
        <v>0</v>
      </c>
      <c r="DY416" s="2" t="n">
        <v>98.98999999999999</v>
      </c>
      <c r="DZ416" s="2" t="n">
        <v>93.86</v>
      </c>
      <c r="EA416" s="2" t="n">
        <v>0</v>
      </c>
      <c r="EB416" s="2" t="n">
        <v>100</v>
      </c>
      <c r="EC416" s="2" t="n">
        <v>99.44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  <c r="ET416" s="2" t="n">
        <v>100</v>
      </c>
      <c r="EU416" s="2" t="n">
        <v>100</v>
      </c>
      <c r="EV416" s="2" t="n">
        <v>0</v>
      </c>
      <c r="EW416" s="2" t="n">
        <v>100</v>
      </c>
      <c r="EX416" s="2" t="n">
        <v>100</v>
      </c>
      <c r="EY416" s="2" t="n">
        <v>0</v>
      </c>
      <c r="EZ416" s="2" t="n">
        <v>100</v>
      </c>
      <c r="FA416" s="2" t="n">
        <v>100</v>
      </c>
      <c r="FB416" s="2" t="n">
        <v>0</v>
      </c>
      <c r="FC416" s="2" t="n">
        <v>100</v>
      </c>
      <c r="FD416" s="2" t="n">
        <v>100</v>
      </c>
      <c r="FE416" s="2" t="n">
        <v>0</v>
      </c>
      <c r="FF416" s="2" t="n">
        <v>100</v>
      </c>
      <c r="FG416" s="2" t="n">
        <v>100</v>
      </c>
      <c r="FH416" s="2" t="n">
        <v>0</v>
      </c>
      <c r="FI416" s="2" t="n">
        <v>100</v>
      </c>
      <c r="FJ416" s="2" t="n">
        <v>100</v>
      </c>
      <c r="FK416" s="2" t="n">
        <v>0</v>
      </c>
      <c r="FL416" s="2" t="n">
        <v>100</v>
      </c>
      <c r="FM416" s="2" t="n">
        <v>100</v>
      </c>
      <c r="FN416" s="2" t="n">
        <v>0</v>
      </c>
      <c r="FO416" s="2" t="n">
        <v>100</v>
      </c>
      <c r="FP416" s="2" t="n">
        <v>100</v>
      </c>
      <c r="FQ416" s="2" t="n">
        <v>0</v>
      </c>
    </row>
    <row r="417">
      <c r="A417" s="2" t="n">
        <v>3</v>
      </c>
      <c r="B417" s="2" t="inlineStr">
        <is>
          <t>20.01.03</t>
        </is>
      </c>
      <c r="C417" s="2" t="inlineStr">
        <is>
          <t>Banheiros</t>
        </is>
      </c>
      <c r="D417" s="2" t="inlineStr">
        <is>
          <t>26/11/2026</t>
        </is>
      </c>
      <c r="E417" s="2" t="inlineStr">
        <is>
          <t>07/02/2028</t>
        </is>
      </c>
      <c r="F417" s="2" t="n">
        <v>176483.3800783776</v>
      </c>
      <c r="G417" s="2" t="n">
        <v>0</v>
      </c>
      <c r="H417" s="2" t="n">
        <v>176483.3800783776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0</v>
      </c>
      <c r="CJ417" s="2" t="n">
        <v>0</v>
      </c>
      <c r="CK417" s="2" t="n">
        <v>0</v>
      </c>
      <c r="CL417" s="2" t="n">
        <v>4.03</v>
      </c>
      <c r="CM417" s="2" t="n">
        <v>1.1</v>
      </c>
      <c r="CN417" s="2" t="n">
        <v>0</v>
      </c>
      <c r="CO417" s="2" t="n">
        <v>7.26</v>
      </c>
      <c r="CP417" s="2" t="n">
        <v>3.87</v>
      </c>
      <c r="CQ417" s="2" t="n">
        <v>0</v>
      </c>
      <c r="CR417" s="2" t="n">
        <v>14.9</v>
      </c>
      <c r="CS417" s="2" t="n">
        <v>9.199999999999999</v>
      </c>
      <c r="CT417" s="2" t="n">
        <v>0</v>
      </c>
      <c r="CU417" s="2" t="n">
        <v>16.62</v>
      </c>
      <c r="CV417" s="2" t="n">
        <v>15.76</v>
      </c>
      <c r="CW417" s="2" t="n">
        <v>0</v>
      </c>
      <c r="CX417" s="2" t="n">
        <v>21.56</v>
      </c>
      <c r="CY417" s="2" t="n">
        <v>20.39</v>
      </c>
      <c r="CZ417" s="2" t="n">
        <v>0</v>
      </c>
      <c r="DA417" s="2" t="n">
        <v>29.51</v>
      </c>
      <c r="DB417" s="2" t="n">
        <v>27.71</v>
      </c>
      <c r="DC417" s="2" t="n">
        <v>0</v>
      </c>
      <c r="DD417" s="2" t="n">
        <v>38.52</v>
      </c>
      <c r="DE417" s="2" t="n">
        <v>37.07</v>
      </c>
      <c r="DF417" s="2" t="n">
        <v>0</v>
      </c>
      <c r="DG417" s="2" t="n">
        <v>52.61</v>
      </c>
      <c r="DH417" s="2" t="n">
        <v>49.69</v>
      </c>
      <c r="DI417" s="2" t="n">
        <v>0</v>
      </c>
      <c r="DJ417" s="2" t="n">
        <v>60.56</v>
      </c>
      <c r="DK417" s="2" t="n">
        <v>60.59</v>
      </c>
      <c r="DL417" s="2" t="n">
        <v>0</v>
      </c>
      <c r="DM417" s="2" t="n">
        <v>67.95</v>
      </c>
      <c r="DN417" s="2" t="n">
        <v>65.94</v>
      </c>
      <c r="DO417" s="2" t="n">
        <v>0</v>
      </c>
      <c r="DP417" s="2" t="n">
        <v>80.36</v>
      </c>
      <c r="DQ417" s="2" t="n">
        <v>76.16</v>
      </c>
      <c r="DR417" s="2" t="n">
        <v>0</v>
      </c>
      <c r="DS417" s="2" t="n">
        <v>91.52</v>
      </c>
      <c r="DT417" s="2" t="n">
        <v>84.45999999999999</v>
      </c>
      <c r="DU417" s="2" t="n">
        <v>0</v>
      </c>
      <c r="DV417" s="2" t="n">
        <v>96.2</v>
      </c>
      <c r="DW417" s="2" t="n">
        <v>90.06999999999999</v>
      </c>
      <c r="DX417" s="2" t="n">
        <v>0</v>
      </c>
      <c r="DY417" s="2" t="n">
        <v>98.98999999999999</v>
      </c>
      <c r="DZ417" s="2" t="n">
        <v>93.86</v>
      </c>
      <c r="EA417" s="2" t="n">
        <v>0</v>
      </c>
      <c r="EB417" s="2" t="n">
        <v>100</v>
      </c>
      <c r="EC417" s="2" t="n">
        <v>99.44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  <c r="ET417" s="2" t="n">
        <v>100</v>
      </c>
      <c r="EU417" s="2" t="n">
        <v>100</v>
      </c>
      <c r="EV417" s="2" t="n">
        <v>0</v>
      </c>
      <c r="EW417" s="2" t="n">
        <v>100</v>
      </c>
      <c r="EX417" s="2" t="n">
        <v>100</v>
      </c>
      <c r="EY417" s="2" t="n">
        <v>0</v>
      </c>
      <c r="EZ417" s="2" t="n">
        <v>100</v>
      </c>
      <c r="FA417" s="2" t="n">
        <v>100</v>
      </c>
      <c r="FB417" s="2" t="n">
        <v>0</v>
      </c>
      <c r="FC417" s="2" t="n">
        <v>100</v>
      </c>
      <c r="FD417" s="2" t="n">
        <v>100</v>
      </c>
      <c r="FE417" s="2" t="n">
        <v>0</v>
      </c>
      <c r="FF417" s="2" t="n">
        <v>100</v>
      </c>
      <c r="FG417" s="2" t="n">
        <v>100</v>
      </c>
      <c r="FH417" s="2" t="n">
        <v>0</v>
      </c>
      <c r="FI417" s="2" t="n">
        <v>100</v>
      </c>
      <c r="FJ417" s="2" t="n">
        <v>100</v>
      </c>
      <c r="FK417" s="2" t="n">
        <v>0</v>
      </c>
      <c r="FL417" s="2" t="n">
        <v>100</v>
      </c>
      <c r="FM417" s="2" t="n">
        <v>100</v>
      </c>
      <c r="FN417" s="2" t="n">
        <v>0</v>
      </c>
      <c r="FO417" s="2" t="n">
        <v>100</v>
      </c>
      <c r="FP417" s="2" t="n">
        <v>100</v>
      </c>
      <c r="FQ417" s="2" t="n">
        <v>0</v>
      </c>
    </row>
    <row r="418">
      <c r="A418" s="2" t="n">
        <v>3</v>
      </c>
      <c r="B418" s="2" t="inlineStr">
        <is>
          <t>20.01.04</t>
        </is>
      </c>
      <c r="C418" s="2" t="inlineStr">
        <is>
          <t>Sauna a vapor, sauna seca</t>
        </is>
      </c>
      <c r="D418" s="2" t="inlineStr">
        <is>
          <t>26/11/2026</t>
        </is>
      </c>
      <c r="E418" s="2" t="inlineStr">
        <is>
          <t>07/02/2028</t>
        </is>
      </c>
      <c r="F418" s="2" t="n">
        <v>6995.705327667349</v>
      </c>
      <c r="G418" s="2" t="n">
        <v>0</v>
      </c>
      <c r="H418" s="2" t="n">
        <v>6995.705327667349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0</v>
      </c>
      <c r="CJ418" s="2" t="n">
        <v>0</v>
      </c>
      <c r="CK418" s="2" t="n">
        <v>0</v>
      </c>
      <c r="CL418" s="2" t="n">
        <v>4.03</v>
      </c>
      <c r="CM418" s="2" t="n">
        <v>1.1</v>
      </c>
      <c r="CN418" s="2" t="n">
        <v>0</v>
      </c>
      <c r="CO418" s="2" t="n">
        <v>7.26</v>
      </c>
      <c r="CP418" s="2" t="n">
        <v>3.87</v>
      </c>
      <c r="CQ418" s="2" t="n">
        <v>0</v>
      </c>
      <c r="CR418" s="2" t="n">
        <v>14.9</v>
      </c>
      <c r="CS418" s="2" t="n">
        <v>9.199999999999999</v>
      </c>
      <c r="CT418" s="2" t="n">
        <v>0</v>
      </c>
      <c r="CU418" s="2" t="n">
        <v>16.62</v>
      </c>
      <c r="CV418" s="2" t="n">
        <v>15.76</v>
      </c>
      <c r="CW418" s="2" t="n">
        <v>0</v>
      </c>
      <c r="CX418" s="2" t="n">
        <v>21.56</v>
      </c>
      <c r="CY418" s="2" t="n">
        <v>20.39</v>
      </c>
      <c r="CZ418" s="2" t="n">
        <v>0</v>
      </c>
      <c r="DA418" s="2" t="n">
        <v>29.51</v>
      </c>
      <c r="DB418" s="2" t="n">
        <v>27.71</v>
      </c>
      <c r="DC418" s="2" t="n">
        <v>0</v>
      </c>
      <c r="DD418" s="2" t="n">
        <v>38.52</v>
      </c>
      <c r="DE418" s="2" t="n">
        <v>37.07</v>
      </c>
      <c r="DF418" s="2" t="n">
        <v>0</v>
      </c>
      <c r="DG418" s="2" t="n">
        <v>52.61</v>
      </c>
      <c r="DH418" s="2" t="n">
        <v>49.69</v>
      </c>
      <c r="DI418" s="2" t="n">
        <v>0</v>
      </c>
      <c r="DJ418" s="2" t="n">
        <v>60.56</v>
      </c>
      <c r="DK418" s="2" t="n">
        <v>60.59</v>
      </c>
      <c r="DL418" s="2" t="n">
        <v>0</v>
      </c>
      <c r="DM418" s="2" t="n">
        <v>67.95</v>
      </c>
      <c r="DN418" s="2" t="n">
        <v>65.94</v>
      </c>
      <c r="DO418" s="2" t="n">
        <v>0</v>
      </c>
      <c r="DP418" s="2" t="n">
        <v>80.36</v>
      </c>
      <c r="DQ418" s="2" t="n">
        <v>76.16</v>
      </c>
      <c r="DR418" s="2" t="n">
        <v>0</v>
      </c>
      <c r="DS418" s="2" t="n">
        <v>91.52</v>
      </c>
      <c r="DT418" s="2" t="n">
        <v>84.45999999999999</v>
      </c>
      <c r="DU418" s="2" t="n">
        <v>0</v>
      </c>
      <c r="DV418" s="2" t="n">
        <v>96.2</v>
      </c>
      <c r="DW418" s="2" t="n">
        <v>90.06999999999999</v>
      </c>
      <c r="DX418" s="2" t="n">
        <v>0</v>
      </c>
      <c r="DY418" s="2" t="n">
        <v>98.98999999999999</v>
      </c>
      <c r="DZ418" s="2" t="n">
        <v>93.86</v>
      </c>
      <c r="EA418" s="2" t="n">
        <v>0</v>
      </c>
      <c r="EB418" s="2" t="n">
        <v>100</v>
      </c>
      <c r="EC418" s="2" t="n">
        <v>99.44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  <c r="ET418" s="2" t="n">
        <v>100</v>
      </c>
      <c r="EU418" s="2" t="n">
        <v>100</v>
      </c>
      <c r="EV418" s="2" t="n">
        <v>0</v>
      </c>
      <c r="EW418" s="2" t="n">
        <v>100</v>
      </c>
      <c r="EX418" s="2" t="n">
        <v>100</v>
      </c>
      <c r="EY418" s="2" t="n">
        <v>0</v>
      </c>
      <c r="EZ418" s="2" t="n">
        <v>100</v>
      </c>
      <c r="FA418" s="2" t="n">
        <v>100</v>
      </c>
      <c r="FB418" s="2" t="n">
        <v>0</v>
      </c>
      <c r="FC418" s="2" t="n">
        <v>100</v>
      </c>
      <c r="FD418" s="2" t="n">
        <v>100</v>
      </c>
      <c r="FE418" s="2" t="n">
        <v>0</v>
      </c>
      <c r="FF418" s="2" t="n">
        <v>100</v>
      </c>
      <c r="FG418" s="2" t="n">
        <v>100</v>
      </c>
      <c r="FH418" s="2" t="n">
        <v>0</v>
      </c>
      <c r="FI418" s="2" t="n">
        <v>100</v>
      </c>
      <c r="FJ418" s="2" t="n">
        <v>100</v>
      </c>
      <c r="FK418" s="2" t="n">
        <v>0</v>
      </c>
      <c r="FL418" s="2" t="n">
        <v>100</v>
      </c>
      <c r="FM418" s="2" t="n">
        <v>100</v>
      </c>
      <c r="FN418" s="2" t="n">
        <v>0</v>
      </c>
      <c r="FO418" s="2" t="n">
        <v>100</v>
      </c>
      <c r="FP418" s="2" t="n">
        <v>100</v>
      </c>
      <c r="FQ418" s="2" t="n">
        <v>0</v>
      </c>
    </row>
    <row r="419">
      <c r="A419" s="2" t="n">
        <v>3</v>
      </c>
      <c r="B419" s="2" t="inlineStr">
        <is>
          <t>20.01.05</t>
        </is>
      </c>
      <c r="C419" s="2" t="inlineStr">
        <is>
          <t>Varanda técnica</t>
        </is>
      </c>
      <c r="D419" s="2" t="inlineStr">
        <is>
          <t>26/11/2026</t>
        </is>
      </c>
      <c r="E419" s="2" t="inlineStr">
        <is>
          <t>07/02/2028</t>
        </is>
      </c>
      <c r="F419" s="2" t="n">
        <v>19338.57057482778</v>
      </c>
      <c r="G419" s="2" t="n">
        <v>0</v>
      </c>
      <c r="H419" s="2" t="n">
        <v>19338.57057482778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0</v>
      </c>
      <c r="CJ419" s="2" t="n">
        <v>0</v>
      </c>
      <c r="CK419" s="2" t="n">
        <v>0</v>
      </c>
      <c r="CL419" s="2" t="n">
        <v>4.03</v>
      </c>
      <c r="CM419" s="2" t="n">
        <v>1.1</v>
      </c>
      <c r="CN419" s="2" t="n">
        <v>0</v>
      </c>
      <c r="CO419" s="2" t="n">
        <v>7.26</v>
      </c>
      <c r="CP419" s="2" t="n">
        <v>3.87</v>
      </c>
      <c r="CQ419" s="2" t="n">
        <v>0</v>
      </c>
      <c r="CR419" s="2" t="n">
        <v>14.9</v>
      </c>
      <c r="CS419" s="2" t="n">
        <v>9.199999999999999</v>
      </c>
      <c r="CT419" s="2" t="n">
        <v>0</v>
      </c>
      <c r="CU419" s="2" t="n">
        <v>16.62</v>
      </c>
      <c r="CV419" s="2" t="n">
        <v>15.76</v>
      </c>
      <c r="CW419" s="2" t="n">
        <v>0</v>
      </c>
      <c r="CX419" s="2" t="n">
        <v>21.56</v>
      </c>
      <c r="CY419" s="2" t="n">
        <v>20.39</v>
      </c>
      <c r="CZ419" s="2" t="n">
        <v>0</v>
      </c>
      <c r="DA419" s="2" t="n">
        <v>29.51</v>
      </c>
      <c r="DB419" s="2" t="n">
        <v>27.71</v>
      </c>
      <c r="DC419" s="2" t="n">
        <v>0</v>
      </c>
      <c r="DD419" s="2" t="n">
        <v>38.52</v>
      </c>
      <c r="DE419" s="2" t="n">
        <v>37.07</v>
      </c>
      <c r="DF419" s="2" t="n">
        <v>0</v>
      </c>
      <c r="DG419" s="2" t="n">
        <v>52.61</v>
      </c>
      <c r="DH419" s="2" t="n">
        <v>49.69</v>
      </c>
      <c r="DI419" s="2" t="n">
        <v>0</v>
      </c>
      <c r="DJ419" s="2" t="n">
        <v>60.56</v>
      </c>
      <c r="DK419" s="2" t="n">
        <v>60.59</v>
      </c>
      <c r="DL419" s="2" t="n">
        <v>0</v>
      </c>
      <c r="DM419" s="2" t="n">
        <v>67.95</v>
      </c>
      <c r="DN419" s="2" t="n">
        <v>65.94</v>
      </c>
      <c r="DO419" s="2" t="n">
        <v>0</v>
      </c>
      <c r="DP419" s="2" t="n">
        <v>80.36</v>
      </c>
      <c r="DQ419" s="2" t="n">
        <v>76.16</v>
      </c>
      <c r="DR419" s="2" t="n">
        <v>0</v>
      </c>
      <c r="DS419" s="2" t="n">
        <v>91.52</v>
      </c>
      <c r="DT419" s="2" t="n">
        <v>84.45999999999999</v>
      </c>
      <c r="DU419" s="2" t="n">
        <v>0</v>
      </c>
      <c r="DV419" s="2" t="n">
        <v>96.2</v>
      </c>
      <c r="DW419" s="2" t="n">
        <v>90.06999999999999</v>
      </c>
      <c r="DX419" s="2" t="n">
        <v>0</v>
      </c>
      <c r="DY419" s="2" t="n">
        <v>98.98999999999999</v>
      </c>
      <c r="DZ419" s="2" t="n">
        <v>93.86</v>
      </c>
      <c r="EA419" s="2" t="n">
        <v>0</v>
      </c>
      <c r="EB419" s="2" t="n">
        <v>100</v>
      </c>
      <c r="EC419" s="2" t="n">
        <v>99.44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  <c r="ET419" s="2" t="n">
        <v>100</v>
      </c>
      <c r="EU419" s="2" t="n">
        <v>100</v>
      </c>
      <c r="EV419" s="2" t="n">
        <v>0</v>
      </c>
      <c r="EW419" s="2" t="n">
        <v>100</v>
      </c>
      <c r="EX419" s="2" t="n">
        <v>100</v>
      </c>
      <c r="EY419" s="2" t="n">
        <v>0</v>
      </c>
      <c r="EZ419" s="2" t="n">
        <v>100</v>
      </c>
      <c r="FA419" s="2" t="n">
        <v>100</v>
      </c>
      <c r="FB419" s="2" t="n">
        <v>0</v>
      </c>
      <c r="FC419" s="2" t="n">
        <v>100</v>
      </c>
      <c r="FD419" s="2" t="n">
        <v>100</v>
      </c>
      <c r="FE419" s="2" t="n">
        <v>0</v>
      </c>
      <c r="FF419" s="2" t="n">
        <v>100</v>
      </c>
      <c r="FG419" s="2" t="n">
        <v>100</v>
      </c>
      <c r="FH419" s="2" t="n">
        <v>0</v>
      </c>
      <c r="FI419" s="2" t="n">
        <v>100</v>
      </c>
      <c r="FJ419" s="2" t="n">
        <v>100</v>
      </c>
      <c r="FK419" s="2" t="n">
        <v>0</v>
      </c>
      <c r="FL419" s="2" t="n">
        <v>100</v>
      </c>
      <c r="FM419" s="2" t="n">
        <v>100</v>
      </c>
      <c r="FN419" s="2" t="n">
        <v>0</v>
      </c>
      <c r="FO419" s="2" t="n">
        <v>100</v>
      </c>
      <c r="FP419" s="2" t="n">
        <v>100</v>
      </c>
      <c r="FQ419" s="2" t="n">
        <v>0</v>
      </c>
    </row>
    <row r="420">
      <c r="A420" s="2" t="n">
        <v>3</v>
      </c>
      <c r="B420" s="2" t="inlineStr">
        <is>
          <t>20.01.06</t>
        </is>
      </c>
      <c r="C420" s="2" t="inlineStr">
        <is>
          <t>Barrilete| bombas hidráulicas e de incêndio</t>
        </is>
      </c>
      <c r="D420" s="2" t="inlineStr">
        <is>
          <t>26/11/2026</t>
        </is>
      </c>
      <c r="E420" s="2" t="inlineStr">
        <is>
          <t>07/02/2028</t>
        </is>
      </c>
      <c r="F420" s="2" t="n">
        <v>5672.212441190523</v>
      </c>
      <c r="G420" s="2" t="n">
        <v>0</v>
      </c>
      <c r="H420" s="2" t="n">
        <v>5672.212441190523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0</v>
      </c>
      <c r="CJ420" s="2" t="n">
        <v>0</v>
      </c>
      <c r="CK420" s="2" t="n">
        <v>0</v>
      </c>
      <c r="CL420" s="2" t="n">
        <v>4.03</v>
      </c>
      <c r="CM420" s="2" t="n">
        <v>1.1</v>
      </c>
      <c r="CN420" s="2" t="n">
        <v>0</v>
      </c>
      <c r="CO420" s="2" t="n">
        <v>7.26</v>
      </c>
      <c r="CP420" s="2" t="n">
        <v>3.87</v>
      </c>
      <c r="CQ420" s="2" t="n">
        <v>0</v>
      </c>
      <c r="CR420" s="2" t="n">
        <v>14.9</v>
      </c>
      <c r="CS420" s="2" t="n">
        <v>9.199999999999999</v>
      </c>
      <c r="CT420" s="2" t="n">
        <v>0</v>
      </c>
      <c r="CU420" s="2" t="n">
        <v>16.62</v>
      </c>
      <c r="CV420" s="2" t="n">
        <v>15.76</v>
      </c>
      <c r="CW420" s="2" t="n">
        <v>0</v>
      </c>
      <c r="CX420" s="2" t="n">
        <v>21.56</v>
      </c>
      <c r="CY420" s="2" t="n">
        <v>20.39</v>
      </c>
      <c r="CZ420" s="2" t="n">
        <v>0</v>
      </c>
      <c r="DA420" s="2" t="n">
        <v>29.51</v>
      </c>
      <c r="DB420" s="2" t="n">
        <v>27.71</v>
      </c>
      <c r="DC420" s="2" t="n">
        <v>0</v>
      </c>
      <c r="DD420" s="2" t="n">
        <v>38.52</v>
      </c>
      <c r="DE420" s="2" t="n">
        <v>37.07</v>
      </c>
      <c r="DF420" s="2" t="n">
        <v>0</v>
      </c>
      <c r="DG420" s="2" t="n">
        <v>52.61</v>
      </c>
      <c r="DH420" s="2" t="n">
        <v>49.69</v>
      </c>
      <c r="DI420" s="2" t="n">
        <v>0</v>
      </c>
      <c r="DJ420" s="2" t="n">
        <v>60.56</v>
      </c>
      <c r="DK420" s="2" t="n">
        <v>60.59</v>
      </c>
      <c r="DL420" s="2" t="n">
        <v>0</v>
      </c>
      <c r="DM420" s="2" t="n">
        <v>67.95</v>
      </c>
      <c r="DN420" s="2" t="n">
        <v>65.94</v>
      </c>
      <c r="DO420" s="2" t="n">
        <v>0</v>
      </c>
      <c r="DP420" s="2" t="n">
        <v>80.36</v>
      </c>
      <c r="DQ420" s="2" t="n">
        <v>76.16</v>
      </c>
      <c r="DR420" s="2" t="n">
        <v>0</v>
      </c>
      <c r="DS420" s="2" t="n">
        <v>91.52</v>
      </c>
      <c r="DT420" s="2" t="n">
        <v>84.45999999999999</v>
      </c>
      <c r="DU420" s="2" t="n">
        <v>0</v>
      </c>
      <c r="DV420" s="2" t="n">
        <v>96.2</v>
      </c>
      <c r="DW420" s="2" t="n">
        <v>90.06999999999999</v>
      </c>
      <c r="DX420" s="2" t="n">
        <v>0</v>
      </c>
      <c r="DY420" s="2" t="n">
        <v>98.98999999999999</v>
      </c>
      <c r="DZ420" s="2" t="n">
        <v>93.86</v>
      </c>
      <c r="EA420" s="2" t="n">
        <v>0</v>
      </c>
      <c r="EB420" s="2" t="n">
        <v>100</v>
      </c>
      <c r="EC420" s="2" t="n">
        <v>99.44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  <c r="ET420" s="2" t="n">
        <v>100</v>
      </c>
      <c r="EU420" s="2" t="n">
        <v>100</v>
      </c>
      <c r="EV420" s="2" t="n">
        <v>0</v>
      </c>
      <c r="EW420" s="2" t="n">
        <v>100</v>
      </c>
      <c r="EX420" s="2" t="n">
        <v>100</v>
      </c>
      <c r="EY420" s="2" t="n">
        <v>0</v>
      </c>
      <c r="EZ420" s="2" t="n">
        <v>100</v>
      </c>
      <c r="FA420" s="2" t="n">
        <v>100</v>
      </c>
      <c r="FB420" s="2" t="n">
        <v>0</v>
      </c>
      <c r="FC420" s="2" t="n">
        <v>100</v>
      </c>
      <c r="FD420" s="2" t="n">
        <v>100</v>
      </c>
      <c r="FE420" s="2" t="n">
        <v>0</v>
      </c>
      <c r="FF420" s="2" t="n">
        <v>100</v>
      </c>
      <c r="FG420" s="2" t="n">
        <v>100</v>
      </c>
      <c r="FH420" s="2" t="n">
        <v>0</v>
      </c>
      <c r="FI420" s="2" t="n">
        <v>100</v>
      </c>
      <c r="FJ420" s="2" t="n">
        <v>100</v>
      </c>
      <c r="FK420" s="2" t="n">
        <v>0</v>
      </c>
      <c r="FL420" s="2" t="n">
        <v>100</v>
      </c>
      <c r="FM420" s="2" t="n">
        <v>100</v>
      </c>
      <c r="FN420" s="2" t="n">
        <v>0</v>
      </c>
      <c r="FO420" s="2" t="n">
        <v>100</v>
      </c>
      <c r="FP420" s="2" t="n">
        <v>100</v>
      </c>
      <c r="FQ420" s="2" t="n">
        <v>0</v>
      </c>
    </row>
    <row r="421">
      <c r="A421" s="2" t="n">
        <v>3</v>
      </c>
      <c r="B421" s="2" t="inlineStr">
        <is>
          <t>20.01.07</t>
        </is>
      </c>
      <c r="C421" s="2" t="inlineStr">
        <is>
          <t>Dml</t>
        </is>
      </c>
      <c r="D421" s="2" t="inlineStr">
        <is>
          <t>26/11/2026</t>
        </is>
      </c>
      <c r="E421" s="2" t="inlineStr">
        <is>
          <t>07/02/2028</t>
        </is>
      </c>
      <c r="F421" s="2" t="n">
        <v>2858.306446443837</v>
      </c>
      <c r="G421" s="2" t="n">
        <v>0</v>
      </c>
      <c r="H421" s="2" t="n">
        <v>2858.306446443837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0</v>
      </c>
      <c r="CJ421" s="2" t="n">
        <v>0</v>
      </c>
      <c r="CK421" s="2" t="n">
        <v>0</v>
      </c>
      <c r="CL421" s="2" t="n">
        <v>4.03</v>
      </c>
      <c r="CM421" s="2" t="n">
        <v>1.1</v>
      </c>
      <c r="CN421" s="2" t="n">
        <v>0</v>
      </c>
      <c r="CO421" s="2" t="n">
        <v>7.26</v>
      </c>
      <c r="CP421" s="2" t="n">
        <v>3.87</v>
      </c>
      <c r="CQ421" s="2" t="n">
        <v>0</v>
      </c>
      <c r="CR421" s="2" t="n">
        <v>14.9</v>
      </c>
      <c r="CS421" s="2" t="n">
        <v>9.199999999999999</v>
      </c>
      <c r="CT421" s="2" t="n">
        <v>0</v>
      </c>
      <c r="CU421" s="2" t="n">
        <v>16.62</v>
      </c>
      <c r="CV421" s="2" t="n">
        <v>15.76</v>
      </c>
      <c r="CW421" s="2" t="n">
        <v>0</v>
      </c>
      <c r="CX421" s="2" t="n">
        <v>21.56</v>
      </c>
      <c r="CY421" s="2" t="n">
        <v>20.39</v>
      </c>
      <c r="CZ421" s="2" t="n">
        <v>0</v>
      </c>
      <c r="DA421" s="2" t="n">
        <v>29.51</v>
      </c>
      <c r="DB421" s="2" t="n">
        <v>27.71</v>
      </c>
      <c r="DC421" s="2" t="n">
        <v>0</v>
      </c>
      <c r="DD421" s="2" t="n">
        <v>38.52</v>
      </c>
      <c r="DE421" s="2" t="n">
        <v>37.07</v>
      </c>
      <c r="DF421" s="2" t="n">
        <v>0</v>
      </c>
      <c r="DG421" s="2" t="n">
        <v>52.61</v>
      </c>
      <c r="DH421" s="2" t="n">
        <v>49.69</v>
      </c>
      <c r="DI421" s="2" t="n">
        <v>0</v>
      </c>
      <c r="DJ421" s="2" t="n">
        <v>60.56</v>
      </c>
      <c r="DK421" s="2" t="n">
        <v>60.59</v>
      </c>
      <c r="DL421" s="2" t="n">
        <v>0</v>
      </c>
      <c r="DM421" s="2" t="n">
        <v>67.95</v>
      </c>
      <c r="DN421" s="2" t="n">
        <v>65.94</v>
      </c>
      <c r="DO421" s="2" t="n">
        <v>0</v>
      </c>
      <c r="DP421" s="2" t="n">
        <v>80.36</v>
      </c>
      <c r="DQ421" s="2" t="n">
        <v>76.16</v>
      </c>
      <c r="DR421" s="2" t="n">
        <v>0</v>
      </c>
      <c r="DS421" s="2" t="n">
        <v>91.52</v>
      </c>
      <c r="DT421" s="2" t="n">
        <v>84.45999999999999</v>
      </c>
      <c r="DU421" s="2" t="n">
        <v>0</v>
      </c>
      <c r="DV421" s="2" t="n">
        <v>96.2</v>
      </c>
      <c r="DW421" s="2" t="n">
        <v>90.06999999999999</v>
      </c>
      <c r="DX421" s="2" t="n">
        <v>0</v>
      </c>
      <c r="DY421" s="2" t="n">
        <v>98.98999999999999</v>
      </c>
      <c r="DZ421" s="2" t="n">
        <v>93.86</v>
      </c>
      <c r="EA421" s="2" t="n">
        <v>0</v>
      </c>
      <c r="EB421" s="2" t="n">
        <v>100</v>
      </c>
      <c r="EC421" s="2" t="n">
        <v>99.44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  <c r="ET421" s="2" t="n">
        <v>100</v>
      </c>
      <c r="EU421" s="2" t="n">
        <v>100</v>
      </c>
      <c r="EV421" s="2" t="n">
        <v>0</v>
      </c>
      <c r="EW421" s="2" t="n">
        <v>100</v>
      </c>
      <c r="EX421" s="2" t="n">
        <v>100</v>
      </c>
      <c r="EY421" s="2" t="n">
        <v>0</v>
      </c>
      <c r="EZ421" s="2" t="n">
        <v>100</v>
      </c>
      <c r="FA421" s="2" t="n">
        <v>100</v>
      </c>
      <c r="FB421" s="2" t="n">
        <v>0</v>
      </c>
      <c r="FC421" s="2" t="n">
        <v>100</v>
      </c>
      <c r="FD421" s="2" t="n">
        <v>100</v>
      </c>
      <c r="FE421" s="2" t="n">
        <v>0</v>
      </c>
      <c r="FF421" s="2" t="n">
        <v>100</v>
      </c>
      <c r="FG421" s="2" t="n">
        <v>100</v>
      </c>
      <c r="FH421" s="2" t="n">
        <v>0</v>
      </c>
      <c r="FI421" s="2" t="n">
        <v>100</v>
      </c>
      <c r="FJ421" s="2" t="n">
        <v>100</v>
      </c>
      <c r="FK421" s="2" t="n">
        <v>0</v>
      </c>
      <c r="FL421" s="2" t="n">
        <v>100</v>
      </c>
      <c r="FM421" s="2" t="n">
        <v>100</v>
      </c>
      <c r="FN421" s="2" t="n">
        <v>0</v>
      </c>
      <c r="FO421" s="2" t="n">
        <v>100</v>
      </c>
      <c r="FP421" s="2" t="n">
        <v>100</v>
      </c>
      <c r="FQ421" s="2" t="n">
        <v>0</v>
      </c>
    </row>
    <row r="422">
      <c r="A422" s="2" t="n">
        <v>3</v>
      </c>
      <c r="B422" s="2" t="inlineStr">
        <is>
          <t>20.01.08</t>
        </is>
      </c>
      <c r="C422" s="2" t="inlineStr">
        <is>
          <t>ARS</t>
        </is>
      </c>
      <c r="D422" s="2" t="inlineStr">
        <is>
          <t>26/11/2026</t>
        </is>
      </c>
      <c r="E422" s="2" t="inlineStr">
        <is>
          <t>07/02/2028</t>
        </is>
      </c>
      <c r="F422" s="2" t="n">
        <v>5723.226867790075</v>
      </c>
      <c r="G422" s="2" t="n">
        <v>0</v>
      </c>
      <c r="H422" s="2" t="n">
        <v>5723.226867790075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0</v>
      </c>
      <c r="CJ422" s="2" t="n">
        <v>0</v>
      </c>
      <c r="CK422" s="2" t="n">
        <v>0</v>
      </c>
      <c r="CL422" s="2" t="n">
        <v>4.03</v>
      </c>
      <c r="CM422" s="2" t="n">
        <v>1.1</v>
      </c>
      <c r="CN422" s="2" t="n">
        <v>0</v>
      </c>
      <c r="CO422" s="2" t="n">
        <v>7.26</v>
      </c>
      <c r="CP422" s="2" t="n">
        <v>3.87</v>
      </c>
      <c r="CQ422" s="2" t="n">
        <v>0</v>
      </c>
      <c r="CR422" s="2" t="n">
        <v>14.9</v>
      </c>
      <c r="CS422" s="2" t="n">
        <v>9.199999999999999</v>
      </c>
      <c r="CT422" s="2" t="n">
        <v>0</v>
      </c>
      <c r="CU422" s="2" t="n">
        <v>16.62</v>
      </c>
      <c r="CV422" s="2" t="n">
        <v>15.76</v>
      </c>
      <c r="CW422" s="2" t="n">
        <v>0</v>
      </c>
      <c r="CX422" s="2" t="n">
        <v>21.56</v>
      </c>
      <c r="CY422" s="2" t="n">
        <v>20.39</v>
      </c>
      <c r="CZ422" s="2" t="n">
        <v>0</v>
      </c>
      <c r="DA422" s="2" t="n">
        <v>29.51</v>
      </c>
      <c r="DB422" s="2" t="n">
        <v>27.71</v>
      </c>
      <c r="DC422" s="2" t="n">
        <v>0</v>
      </c>
      <c r="DD422" s="2" t="n">
        <v>38.52</v>
      </c>
      <c r="DE422" s="2" t="n">
        <v>37.07</v>
      </c>
      <c r="DF422" s="2" t="n">
        <v>0</v>
      </c>
      <c r="DG422" s="2" t="n">
        <v>52.61</v>
      </c>
      <c r="DH422" s="2" t="n">
        <v>49.69</v>
      </c>
      <c r="DI422" s="2" t="n">
        <v>0</v>
      </c>
      <c r="DJ422" s="2" t="n">
        <v>60.56</v>
      </c>
      <c r="DK422" s="2" t="n">
        <v>60.59</v>
      </c>
      <c r="DL422" s="2" t="n">
        <v>0</v>
      </c>
      <c r="DM422" s="2" t="n">
        <v>67.95</v>
      </c>
      <c r="DN422" s="2" t="n">
        <v>65.94</v>
      </c>
      <c r="DO422" s="2" t="n">
        <v>0</v>
      </c>
      <c r="DP422" s="2" t="n">
        <v>80.36</v>
      </c>
      <c r="DQ422" s="2" t="n">
        <v>76.16</v>
      </c>
      <c r="DR422" s="2" t="n">
        <v>0</v>
      </c>
      <c r="DS422" s="2" t="n">
        <v>91.52</v>
      </c>
      <c r="DT422" s="2" t="n">
        <v>84.45999999999999</v>
      </c>
      <c r="DU422" s="2" t="n">
        <v>0</v>
      </c>
      <c r="DV422" s="2" t="n">
        <v>96.2</v>
      </c>
      <c r="DW422" s="2" t="n">
        <v>90.06999999999999</v>
      </c>
      <c r="DX422" s="2" t="n">
        <v>0</v>
      </c>
      <c r="DY422" s="2" t="n">
        <v>98.98999999999999</v>
      </c>
      <c r="DZ422" s="2" t="n">
        <v>93.86</v>
      </c>
      <c r="EA422" s="2" t="n">
        <v>0</v>
      </c>
      <c r="EB422" s="2" t="n">
        <v>100</v>
      </c>
      <c r="EC422" s="2" t="n">
        <v>99.44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  <c r="ET422" s="2" t="n">
        <v>100</v>
      </c>
      <c r="EU422" s="2" t="n">
        <v>100</v>
      </c>
      <c r="EV422" s="2" t="n">
        <v>0</v>
      </c>
      <c r="EW422" s="2" t="n">
        <v>100</v>
      </c>
      <c r="EX422" s="2" t="n">
        <v>100</v>
      </c>
      <c r="EY422" s="2" t="n">
        <v>0</v>
      </c>
      <c r="EZ422" s="2" t="n">
        <v>100</v>
      </c>
      <c r="FA422" s="2" t="n">
        <v>100</v>
      </c>
      <c r="FB422" s="2" t="n">
        <v>0</v>
      </c>
      <c r="FC422" s="2" t="n">
        <v>100</v>
      </c>
      <c r="FD422" s="2" t="n">
        <v>100</v>
      </c>
      <c r="FE422" s="2" t="n">
        <v>0</v>
      </c>
      <c r="FF422" s="2" t="n">
        <v>100</v>
      </c>
      <c r="FG422" s="2" t="n">
        <v>100</v>
      </c>
      <c r="FH422" s="2" t="n">
        <v>0</v>
      </c>
      <c r="FI422" s="2" t="n">
        <v>100</v>
      </c>
      <c r="FJ422" s="2" t="n">
        <v>100</v>
      </c>
      <c r="FK422" s="2" t="n">
        <v>0</v>
      </c>
      <c r="FL422" s="2" t="n">
        <v>100</v>
      </c>
      <c r="FM422" s="2" t="n">
        <v>100</v>
      </c>
      <c r="FN422" s="2" t="n">
        <v>0</v>
      </c>
      <c r="FO422" s="2" t="n">
        <v>100</v>
      </c>
      <c r="FP422" s="2" t="n">
        <v>100</v>
      </c>
      <c r="FQ422" s="2" t="n">
        <v>0</v>
      </c>
    </row>
    <row r="423">
      <c r="A423" s="2" t="n">
        <v>3</v>
      </c>
      <c r="B423" s="2" t="inlineStr">
        <is>
          <t>20.01.09</t>
        </is>
      </c>
      <c r="C423" s="2" t="inlineStr">
        <is>
          <t>Casa de bombas</t>
        </is>
      </c>
      <c r="D423" s="2" t="inlineStr">
        <is>
          <t>26/11/2026</t>
        </is>
      </c>
      <c r="E423" s="2" t="inlineStr">
        <is>
          <t>07/02/2028</t>
        </is>
      </c>
      <c r="F423" s="2" t="n">
        <v>3656.478760267806</v>
      </c>
      <c r="G423" s="2" t="n">
        <v>0</v>
      </c>
      <c r="H423" s="2" t="n">
        <v>3656.478760267806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0</v>
      </c>
      <c r="CJ423" s="2" t="n">
        <v>0</v>
      </c>
      <c r="CK423" s="2" t="n">
        <v>0</v>
      </c>
      <c r="CL423" s="2" t="n">
        <v>4.03</v>
      </c>
      <c r="CM423" s="2" t="n">
        <v>1.1</v>
      </c>
      <c r="CN423" s="2" t="n">
        <v>0</v>
      </c>
      <c r="CO423" s="2" t="n">
        <v>7.26</v>
      </c>
      <c r="CP423" s="2" t="n">
        <v>3.87</v>
      </c>
      <c r="CQ423" s="2" t="n">
        <v>0</v>
      </c>
      <c r="CR423" s="2" t="n">
        <v>14.9</v>
      </c>
      <c r="CS423" s="2" t="n">
        <v>9.199999999999999</v>
      </c>
      <c r="CT423" s="2" t="n">
        <v>0</v>
      </c>
      <c r="CU423" s="2" t="n">
        <v>16.62</v>
      </c>
      <c r="CV423" s="2" t="n">
        <v>15.76</v>
      </c>
      <c r="CW423" s="2" t="n">
        <v>0</v>
      </c>
      <c r="CX423" s="2" t="n">
        <v>21.56</v>
      </c>
      <c r="CY423" s="2" t="n">
        <v>20.39</v>
      </c>
      <c r="CZ423" s="2" t="n">
        <v>0</v>
      </c>
      <c r="DA423" s="2" t="n">
        <v>29.51</v>
      </c>
      <c r="DB423" s="2" t="n">
        <v>27.71</v>
      </c>
      <c r="DC423" s="2" t="n">
        <v>0</v>
      </c>
      <c r="DD423" s="2" t="n">
        <v>38.52</v>
      </c>
      <c r="DE423" s="2" t="n">
        <v>37.07</v>
      </c>
      <c r="DF423" s="2" t="n">
        <v>0</v>
      </c>
      <c r="DG423" s="2" t="n">
        <v>52.61</v>
      </c>
      <c r="DH423" s="2" t="n">
        <v>49.69</v>
      </c>
      <c r="DI423" s="2" t="n">
        <v>0</v>
      </c>
      <c r="DJ423" s="2" t="n">
        <v>60.56</v>
      </c>
      <c r="DK423" s="2" t="n">
        <v>60.59</v>
      </c>
      <c r="DL423" s="2" t="n">
        <v>0</v>
      </c>
      <c r="DM423" s="2" t="n">
        <v>67.95</v>
      </c>
      <c r="DN423" s="2" t="n">
        <v>65.94</v>
      </c>
      <c r="DO423" s="2" t="n">
        <v>0</v>
      </c>
      <c r="DP423" s="2" t="n">
        <v>80.36</v>
      </c>
      <c r="DQ423" s="2" t="n">
        <v>76.16</v>
      </c>
      <c r="DR423" s="2" t="n">
        <v>0</v>
      </c>
      <c r="DS423" s="2" t="n">
        <v>91.52</v>
      </c>
      <c r="DT423" s="2" t="n">
        <v>84.45999999999999</v>
      </c>
      <c r="DU423" s="2" t="n">
        <v>0</v>
      </c>
      <c r="DV423" s="2" t="n">
        <v>96.2</v>
      </c>
      <c r="DW423" s="2" t="n">
        <v>90.06999999999999</v>
      </c>
      <c r="DX423" s="2" t="n">
        <v>0</v>
      </c>
      <c r="DY423" s="2" t="n">
        <v>98.98999999999999</v>
      </c>
      <c r="DZ423" s="2" t="n">
        <v>93.86</v>
      </c>
      <c r="EA423" s="2" t="n">
        <v>0</v>
      </c>
      <c r="EB423" s="2" t="n">
        <v>100</v>
      </c>
      <c r="EC423" s="2" t="n">
        <v>99.44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  <c r="ET423" s="2" t="n">
        <v>100</v>
      </c>
      <c r="EU423" s="2" t="n">
        <v>100</v>
      </c>
      <c r="EV423" s="2" t="n">
        <v>0</v>
      </c>
      <c r="EW423" s="2" t="n">
        <v>100</v>
      </c>
      <c r="EX423" s="2" t="n">
        <v>100</v>
      </c>
      <c r="EY423" s="2" t="n">
        <v>0</v>
      </c>
      <c r="EZ423" s="2" t="n">
        <v>100</v>
      </c>
      <c r="FA423" s="2" t="n">
        <v>100</v>
      </c>
      <c r="FB423" s="2" t="n">
        <v>0</v>
      </c>
      <c r="FC423" s="2" t="n">
        <v>100</v>
      </c>
      <c r="FD423" s="2" t="n">
        <v>100</v>
      </c>
      <c r="FE423" s="2" t="n">
        <v>0</v>
      </c>
      <c r="FF423" s="2" t="n">
        <v>100</v>
      </c>
      <c r="FG423" s="2" t="n">
        <v>100</v>
      </c>
      <c r="FH423" s="2" t="n">
        <v>0</v>
      </c>
      <c r="FI423" s="2" t="n">
        <v>100</v>
      </c>
      <c r="FJ423" s="2" t="n">
        <v>100</v>
      </c>
      <c r="FK423" s="2" t="n">
        <v>0</v>
      </c>
      <c r="FL423" s="2" t="n">
        <v>100</v>
      </c>
      <c r="FM423" s="2" t="n">
        <v>100</v>
      </c>
      <c r="FN423" s="2" t="n">
        <v>0</v>
      </c>
      <c r="FO423" s="2" t="n">
        <v>100</v>
      </c>
      <c r="FP423" s="2" t="n">
        <v>100</v>
      </c>
      <c r="FQ423" s="2" t="n">
        <v>0</v>
      </c>
    </row>
    <row r="424">
      <c r="A424" s="2" t="n">
        <v>3</v>
      </c>
      <c r="B424" s="2" t="inlineStr">
        <is>
          <t>20.01.10</t>
        </is>
      </c>
      <c r="C424" s="2" t="inlineStr">
        <is>
          <t>Espaço termas</t>
        </is>
      </c>
      <c r="D424" s="2" t="inlineStr">
        <is>
          <t>26/11/2026</t>
        </is>
      </c>
      <c r="E424" s="2" t="inlineStr">
        <is>
          <t>07/02/2028</t>
        </is>
      </c>
      <c r="F424" s="2" t="n">
        <v>15228.78245941644</v>
      </c>
      <c r="G424" s="2" t="n">
        <v>0</v>
      </c>
      <c r="H424" s="2" t="n">
        <v>15228.78245941644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0</v>
      </c>
      <c r="CJ424" s="2" t="n">
        <v>0</v>
      </c>
      <c r="CK424" s="2" t="n">
        <v>0</v>
      </c>
      <c r="CL424" s="2" t="n">
        <v>4.03</v>
      </c>
      <c r="CM424" s="2" t="n">
        <v>1.1</v>
      </c>
      <c r="CN424" s="2" t="n">
        <v>0</v>
      </c>
      <c r="CO424" s="2" t="n">
        <v>7.26</v>
      </c>
      <c r="CP424" s="2" t="n">
        <v>3.87</v>
      </c>
      <c r="CQ424" s="2" t="n">
        <v>0</v>
      </c>
      <c r="CR424" s="2" t="n">
        <v>14.9</v>
      </c>
      <c r="CS424" s="2" t="n">
        <v>9.199999999999999</v>
      </c>
      <c r="CT424" s="2" t="n">
        <v>0</v>
      </c>
      <c r="CU424" s="2" t="n">
        <v>16.62</v>
      </c>
      <c r="CV424" s="2" t="n">
        <v>15.76</v>
      </c>
      <c r="CW424" s="2" t="n">
        <v>0</v>
      </c>
      <c r="CX424" s="2" t="n">
        <v>21.56</v>
      </c>
      <c r="CY424" s="2" t="n">
        <v>20.39</v>
      </c>
      <c r="CZ424" s="2" t="n">
        <v>0</v>
      </c>
      <c r="DA424" s="2" t="n">
        <v>29.51</v>
      </c>
      <c r="DB424" s="2" t="n">
        <v>27.71</v>
      </c>
      <c r="DC424" s="2" t="n">
        <v>0</v>
      </c>
      <c r="DD424" s="2" t="n">
        <v>38.52</v>
      </c>
      <c r="DE424" s="2" t="n">
        <v>37.07</v>
      </c>
      <c r="DF424" s="2" t="n">
        <v>0</v>
      </c>
      <c r="DG424" s="2" t="n">
        <v>52.61</v>
      </c>
      <c r="DH424" s="2" t="n">
        <v>49.69</v>
      </c>
      <c r="DI424" s="2" t="n">
        <v>0</v>
      </c>
      <c r="DJ424" s="2" t="n">
        <v>60.56</v>
      </c>
      <c r="DK424" s="2" t="n">
        <v>60.59</v>
      </c>
      <c r="DL424" s="2" t="n">
        <v>0</v>
      </c>
      <c r="DM424" s="2" t="n">
        <v>67.95</v>
      </c>
      <c r="DN424" s="2" t="n">
        <v>65.94</v>
      </c>
      <c r="DO424" s="2" t="n">
        <v>0</v>
      </c>
      <c r="DP424" s="2" t="n">
        <v>80.36</v>
      </c>
      <c r="DQ424" s="2" t="n">
        <v>76.16</v>
      </c>
      <c r="DR424" s="2" t="n">
        <v>0</v>
      </c>
      <c r="DS424" s="2" t="n">
        <v>91.52</v>
      </c>
      <c r="DT424" s="2" t="n">
        <v>84.45999999999999</v>
      </c>
      <c r="DU424" s="2" t="n">
        <v>0</v>
      </c>
      <c r="DV424" s="2" t="n">
        <v>96.2</v>
      </c>
      <c r="DW424" s="2" t="n">
        <v>90.06999999999999</v>
      </c>
      <c r="DX424" s="2" t="n">
        <v>0</v>
      </c>
      <c r="DY424" s="2" t="n">
        <v>98.98999999999999</v>
      </c>
      <c r="DZ424" s="2" t="n">
        <v>93.86</v>
      </c>
      <c r="EA424" s="2" t="n">
        <v>0</v>
      </c>
      <c r="EB424" s="2" t="n">
        <v>100</v>
      </c>
      <c r="EC424" s="2" t="n">
        <v>99.44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  <c r="ET424" s="2" t="n">
        <v>100</v>
      </c>
      <c r="EU424" s="2" t="n">
        <v>100</v>
      </c>
      <c r="EV424" s="2" t="n">
        <v>0</v>
      </c>
      <c r="EW424" s="2" t="n">
        <v>100</v>
      </c>
      <c r="EX424" s="2" t="n">
        <v>100</v>
      </c>
      <c r="EY424" s="2" t="n">
        <v>0</v>
      </c>
      <c r="EZ424" s="2" t="n">
        <v>100</v>
      </c>
      <c r="FA424" s="2" t="n">
        <v>100</v>
      </c>
      <c r="FB424" s="2" t="n">
        <v>0</v>
      </c>
      <c r="FC424" s="2" t="n">
        <v>100</v>
      </c>
      <c r="FD424" s="2" t="n">
        <v>100</v>
      </c>
      <c r="FE424" s="2" t="n">
        <v>0</v>
      </c>
      <c r="FF424" s="2" t="n">
        <v>100</v>
      </c>
      <c r="FG424" s="2" t="n">
        <v>100</v>
      </c>
      <c r="FH424" s="2" t="n">
        <v>0</v>
      </c>
      <c r="FI424" s="2" t="n">
        <v>100</v>
      </c>
      <c r="FJ424" s="2" t="n">
        <v>100</v>
      </c>
      <c r="FK424" s="2" t="n">
        <v>0</v>
      </c>
      <c r="FL424" s="2" t="n">
        <v>100</v>
      </c>
      <c r="FM424" s="2" t="n">
        <v>100</v>
      </c>
      <c r="FN424" s="2" t="n">
        <v>0</v>
      </c>
      <c r="FO424" s="2" t="n">
        <v>100</v>
      </c>
      <c r="FP424" s="2" t="n">
        <v>100</v>
      </c>
      <c r="FQ424" s="2" t="n">
        <v>0</v>
      </c>
    </row>
    <row r="425">
      <c r="A425" s="2" t="n">
        <v>3</v>
      </c>
      <c r="B425" s="2" t="inlineStr">
        <is>
          <t>20.01.11</t>
        </is>
      </c>
      <c r="C425" s="2" t="inlineStr">
        <is>
          <t>Impermabilização de ralos</t>
        </is>
      </c>
      <c r="D425" s="2" t="inlineStr">
        <is>
          <t>26/11/2026</t>
        </is>
      </c>
      <c r="E425" s="2" t="inlineStr">
        <is>
          <t>07/02/2028</t>
        </is>
      </c>
      <c r="F425" s="2" t="n">
        <v>15608.53897239296</v>
      </c>
      <c r="G425" s="2" t="n">
        <v>0</v>
      </c>
      <c r="H425" s="2" t="n">
        <v>15608.53897239296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0</v>
      </c>
      <c r="CJ425" s="2" t="n">
        <v>0</v>
      </c>
      <c r="CK425" s="2" t="n">
        <v>0</v>
      </c>
      <c r="CL425" s="2" t="n">
        <v>4.03</v>
      </c>
      <c r="CM425" s="2" t="n">
        <v>1.1</v>
      </c>
      <c r="CN425" s="2" t="n">
        <v>0</v>
      </c>
      <c r="CO425" s="2" t="n">
        <v>7.26</v>
      </c>
      <c r="CP425" s="2" t="n">
        <v>3.87</v>
      </c>
      <c r="CQ425" s="2" t="n">
        <v>0</v>
      </c>
      <c r="CR425" s="2" t="n">
        <v>14.9</v>
      </c>
      <c r="CS425" s="2" t="n">
        <v>9.199999999999999</v>
      </c>
      <c r="CT425" s="2" t="n">
        <v>0</v>
      </c>
      <c r="CU425" s="2" t="n">
        <v>16.62</v>
      </c>
      <c r="CV425" s="2" t="n">
        <v>15.76</v>
      </c>
      <c r="CW425" s="2" t="n">
        <v>0</v>
      </c>
      <c r="CX425" s="2" t="n">
        <v>21.56</v>
      </c>
      <c r="CY425" s="2" t="n">
        <v>20.39</v>
      </c>
      <c r="CZ425" s="2" t="n">
        <v>0</v>
      </c>
      <c r="DA425" s="2" t="n">
        <v>29.51</v>
      </c>
      <c r="DB425" s="2" t="n">
        <v>27.71</v>
      </c>
      <c r="DC425" s="2" t="n">
        <v>0</v>
      </c>
      <c r="DD425" s="2" t="n">
        <v>38.52</v>
      </c>
      <c r="DE425" s="2" t="n">
        <v>37.07</v>
      </c>
      <c r="DF425" s="2" t="n">
        <v>0</v>
      </c>
      <c r="DG425" s="2" t="n">
        <v>52.61</v>
      </c>
      <c r="DH425" s="2" t="n">
        <v>49.69</v>
      </c>
      <c r="DI425" s="2" t="n">
        <v>0</v>
      </c>
      <c r="DJ425" s="2" t="n">
        <v>60.56</v>
      </c>
      <c r="DK425" s="2" t="n">
        <v>60.59</v>
      </c>
      <c r="DL425" s="2" t="n">
        <v>0</v>
      </c>
      <c r="DM425" s="2" t="n">
        <v>67.95</v>
      </c>
      <c r="DN425" s="2" t="n">
        <v>65.94</v>
      </c>
      <c r="DO425" s="2" t="n">
        <v>0</v>
      </c>
      <c r="DP425" s="2" t="n">
        <v>80.36</v>
      </c>
      <c r="DQ425" s="2" t="n">
        <v>76.16</v>
      </c>
      <c r="DR425" s="2" t="n">
        <v>0</v>
      </c>
      <c r="DS425" s="2" t="n">
        <v>91.52</v>
      </c>
      <c r="DT425" s="2" t="n">
        <v>84.45999999999999</v>
      </c>
      <c r="DU425" s="2" t="n">
        <v>0</v>
      </c>
      <c r="DV425" s="2" t="n">
        <v>96.2</v>
      </c>
      <c r="DW425" s="2" t="n">
        <v>90.06999999999999</v>
      </c>
      <c r="DX425" s="2" t="n">
        <v>0</v>
      </c>
      <c r="DY425" s="2" t="n">
        <v>98.98999999999999</v>
      </c>
      <c r="DZ425" s="2" t="n">
        <v>93.86</v>
      </c>
      <c r="EA425" s="2" t="n">
        <v>0</v>
      </c>
      <c r="EB425" s="2" t="n">
        <v>100</v>
      </c>
      <c r="EC425" s="2" t="n">
        <v>99.44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  <c r="ET425" s="2" t="n">
        <v>100</v>
      </c>
      <c r="EU425" s="2" t="n">
        <v>100</v>
      </c>
      <c r="EV425" s="2" t="n">
        <v>0</v>
      </c>
      <c r="EW425" s="2" t="n">
        <v>100</v>
      </c>
      <c r="EX425" s="2" t="n">
        <v>100</v>
      </c>
      <c r="EY425" s="2" t="n">
        <v>0</v>
      </c>
      <c r="EZ425" s="2" t="n">
        <v>100</v>
      </c>
      <c r="FA425" s="2" t="n">
        <v>100</v>
      </c>
      <c r="FB425" s="2" t="n">
        <v>0</v>
      </c>
      <c r="FC425" s="2" t="n">
        <v>100</v>
      </c>
      <c r="FD425" s="2" t="n">
        <v>100</v>
      </c>
      <c r="FE425" s="2" t="n">
        <v>0</v>
      </c>
      <c r="FF425" s="2" t="n">
        <v>100</v>
      </c>
      <c r="FG425" s="2" t="n">
        <v>100</v>
      </c>
      <c r="FH425" s="2" t="n">
        <v>0</v>
      </c>
      <c r="FI425" s="2" t="n">
        <v>100</v>
      </c>
      <c r="FJ425" s="2" t="n">
        <v>100</v>
      </c>
      <c r="FK425" s="2" t="n">
        <v>0</v>
      </c>
      <c r="FL425" s="2" t="n">
        <v>100</v>
      </c>
      <c r="FM425" s="2" t="n">
        <v>100</v>
      </c>
      <c r="FN425" s="2" t="n">
        <v>0</v>
      </c>
      <c r="FO425" s="2" t="n">
        <v>100</v>
      </c>
      <c r="FP425" s="2" t="n">
        <v>100</v>
      </c>
      <c r="FQ425" s="2" t="n">
        <v>0</v>
      </c>
    </row>
    <row r="426">
      <c r="A426" s="2" t="n">
        <v>2</v>
      </c>
      <c r="B426" s="2" t="inlineStr">
        <is>
          <t>20.02</t>
        </is>
      </c>
      <c r="C426" s="2" t="inlineStr">
        <is>
          <t>Resina epóxi na cor cinza ou branca com consumo de 1,5kg/m2 (sobre superfícies recuperadas). Na última demão do epóxi fresco, espargir areaia média e lavada para ponte de aderência)</t>
        </is>
      </c>
      <c r="D426" s="2" t="inlineStr">
        <is>
          <t>26/11/2026</t>
        </is>
      </c>
      <c r="E426" s="2" t="inlineStr">
        <is>
          <t>07/02/2028</t>
        </is>
      </c>
      <c r="F426" s="2" t="n">
        <v>9167.315907097995</v>
      </c>
      <c r="G426" s="2" t="n">
        <v>0</v>
      </c>
      <c r="H426" s="2" t="n">
        <v>9167.315907097995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0</v>
      </c>
      <c r="CJ426" s="2" t="n">
        <v>0</v>
      </c>
      <c r="CK426" s="2" t="n">
        <v>0</v>
      </c>
      <c r="CL426" s="2" t="n">
        <v>4.03</v>
      </c>
      <c r="CM426" s="2" t="n">
        <v>1.1</v>
      </c>
      <c r="CN426" s="2" t="n">
        <v>0</v>
      </c>
      <c r="CO426" s="2" t="n">
        <v>7.26</v>
      </c>
      <c r="CP426" s="2" t="n">
        <v>3.87</v>
      </c>
      <c r="CQ426" s="2" t="n">
        <v>0</v>
      </c>
      <c r="CR426" s="2" t="n">
        <v>14.9</v>
      </c>
      <c r="CS426" s="2" t="n">
        <v>9.199999999999999</v>
      </c>
      <c r="CT426" s="2" t="n">
        <v>0</v>
      </c>
      <c r="CU426" s="2" t="n">
        <v>16.62</v>
      </c>
      <c r="CV426" s="2" t="n">
        <v>15.76</v>
      </c>
      <c r="CW426" s="2" t="n">
        <v>0</v>
      </c>
      <c r="CX426" s="2" t="n">
        <v>21.56</v>
      </c>
      <c r="CY426" s="2" t="n">
        <v>20.39</v>
      </c>
      <c r="CZ426" s="2" t="n">
        <v>0</v>
      </c>
      <c r="DA426" s="2" t="n">
        <v>29.51</v>
      </c>
      <c r="DB426" s="2" t="n">
        <v>27.71</v>
      </c>
      <c r="DC426" s="2" t="n">
        <v>0</v>
      </c>
      <c r="DD426" s="2" t="n">
        <v>38.52</v>
      </c>
      <c r="DE426" s="2" t="n">
        <v>37.07</v>
      </c>
      <c r="DF426" s="2" t="n">
        <v>0</v>
      </c>
      <c r="DG426" s="2" t="n">
        <v>52.61</v>
      </c>
      <c r="DH426" s="2" t="n">
        <v>49.69</v>
      </c>
      <c r="DI426" s="2" t="n">
        <v>0</v>
      </c>
      <c r="DJ426" s="2" t="n">
        <v>60.56</v>
      </c>
      <c r="DK426" s="2" t="n">
        <v>60.59</v>
      </c>
      <c r="DL426" s="2" t="n">
        <v>0</v>
      </c>
      <c r="DM426" s="2" t="n">
        <v>67.95</v>
      </c>
      <c r="DN426" s="2" t="n">
        <v>65.94</v>
      </c>
      <c r="DO426" s="2" t="n">
        <v>0</v>
      </c>
      <c r="DP426" s="2" t="n">
        <v>80.36</v>
      </c>
      <c r="DQ426" s="2" t="n">
        <v>76.16</v>
      </c>
      <c r="DR426" s="2" t="n">
        <v>0</v>
      </c>
      <c r="DS426" s="2" t="n">
        <v>91.52</v>
      </c>
      <c r="DT426" s="2" t="n">
        <v>84.45999999999999</v>
      </c>
      <c r="DU426" s="2" t="n">
        <v>0</v>
      </c>
      <c r="DV426" s="2" t="n">
        <v>96.2</v>
      </c>
      <c r="DW426" s="2" t="n">
        <v>90.06999999999999</v>
      </c>
      <c r="DX426" s="2" t="n">
        <v>0</v>
      </c>
      <c r="DY426" s="2" t="n">
        <v>98.98999999999999</v>
      </c>
      <c r="DZ426" s="2" t="n">
        <v>93.86</v>
      </c>
      <c r="EA426" s="2" t="n">
        <v>0</v>
      </c>
      <c r="EB426" s="2" t="n">
        <v>100</v>
      </c>
      <c r="EC426" s="2" t="n">
        <v>99.44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  <c r="ET426" s="2" t="n">
        <v>100</v>
      </c>
      <c r="EU426" s="2" t="n">
        <v>100</v>
      </c>
      <c r="EV426" s="2" t="n">
        <v>0</v>
      </c>
      <c r="EW426" s="2" t="n">
        <v>100</v>
      </c>
      <c r="EX426" s="2" t="n">
        <v>100</v>
      </c>
      <c r="EY426" s="2" t="n">
        <v>0</v>
      </c>
      <c r="EZ426" s="2" t="n">
        <v>100</v>
      </c>
      <c r="FA426" s="2" t="n">
        <v>100</v>
      </c>
      <c r="FB426" s="2" t="n">
        <v>0</v>
      </c>
      <c r="FC426" s="2" t="n">
        <v>100</v>
      </c>
      <c r="FD426" s="2" t="n">
        <v>100</v>
      </c>
      <c r="FE426" s="2" t="n">
        <v>0</v>
      </c>
      <c r="FF426" s="2" t="n">
        <v>100</v>
      </c>
      <c r="FG426" s="2" t="n">
        <v>100</v>
      </c>
      <c r="FH426" s="2" t="n">
        <v>0</v>
      </c>
      <c r="FI426" s="2" t="n">
        <v>100</v>
      </c>
      <c r="FJ426" s="2" t="n">
        <v>100</v>
      </c>
      <c r="FK426" s="2" t="n">
        <v>0</v>
      </c>
      <c r="FL426" s="2" t="n">
        <v>100</v>
      </c>
      <c r="FM426" s="2" t="n">
        <v>100</v>
      </c>
      <c r="FN426" s="2" t="n">
        <v>0</v>
      </c>
      <c r="FO426" s="2" t="n">
        <v>100</v>
      </c>
      <c r="FP426" s="2" t="n">
        <v>100</v>
      </c>
      <c r="FQ426" s="2" t="n">
        <v>0</v>
      </c>
    </row>
    <row r="427">
      <c r="A427" s="2" t="n">
        <v>3</v>
      </c>
      <c r="B427" s="2" t="inlineStr">
        <is>
          <t>20.02.01</t>
        </is>
      </c>
      <c r="C427" s="2" t="inlineStr">
        <is>
          <t>Camada de regularização com argamassa de cimento e areia</t>
        </is>
      </c>
      <c r="D427" s="2" t="inlineStr">
        <is>
          <t>26/11/2026</t>
        </is>
      </c>
      <c r="E427" s="2" t="inlineStr">
        <is>
          <t>07/02/2028</t>
        </is>
      </c>
      <c r="F427" s="2" t="n">
        <v>2362.46888508288</v>
      </c>
      <c r="G427" s="2" t="n">
        <v>0</v>
      </c>
      <c r="H427" s="2" t="n">
        <v>2362.46888508288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0</v>
      </c>
      <c r="CJ427" s="2" t="n">
        <v>0</v>
      </c>
      <c r="CK427" s="2" t="n">
        <v>0</v>
      </c>
      <c r="CL427" s="2" t="n">
        <v>4.03</v>
      </c>
      <c r="CM427" s="2" t="n">
        <v>1.1</v>
      </c>
      <c r="CN427" s="2" t="n">
        <v>0</v>
      </c>
      <c r="CO427" s="2" t="n">
        <v>7.26</v>
      </c>
      <c r="CP427" s="2" t="n">
        <v>3.87</v>
      </c>
      <c r="CQ427" s="2" t="n">
        <v>0</v>
      </c>
      <c r="CR427" s="2" t="n">
        <v>14.9</v>
      </c>
      <c r="CS427" s="2" t="n">
        <v>9.199999999999999</v>
      </c>
      <c r="CT427" s="2" t="n">
        <v>0</v>
      </c>
      <c r="CU427" s="2" t="n">
        <v>16.62</v>
      </c>
      <c r="CV427" s="2" t="n">
        <v>15.76</v>
      </c>
      <c r="CW427" s="2" t="n">
        <v>0</v>
      </c>
      <c r="CX427" s="2" t="n">
        <v>21.56</v>
      </c>
      <c r="CY427" s="2" t="n">
        <v>20.39</v>
      </c>
      <c r="CZ427" s="2" t="n">
        <v>0</v>
      </c>
      <c r="DA427" s="2" t="n">
        <v>29.51</v>
      </c>
      <c r="DB427" s="2" t="n">
        <v>27.71</v>
      </c>
      <c r="DC427" s="2" t="n">
        <v>0</v>
      </c>
      <c r="DD427" s="2" t="n">
        <v>38.52</v>
      </c>
      <c r="DE427" s="2" t="n">
        <v>37.07</v>
      </c>
      <c r="DF427" s="2" t="n">
        <v>0</v>
      </c>
      <c r="DG427" s="2" t="n">
        <v>52.61</v>
      </c>
      <c r="DH427" s="2" t="n">
        <v>49.69</v>
      </c>
      <c r="DI427" s="2" t="n">
        <v>0</v>
      </c>
      <c r="DJ427" s="2" t="n">
        <v>60.56</v>
      </c>
      <c r="DK427" s="2" t="n">
        <v>60.59</v>
      </c>
      <c r="DL427" s="2" t="n">
        <v>0</v>
      </c>
      <c r="DM427" s="2" t="n">
        <v>67.95</v>
      </c>
      <c r="DN427" s="2" t="n">
        <v>65.94</v>
      </c>
      <c r="DO427" s="2" t="n">
        <v>0</v>
      </c>
      <c r="DP427" s="2" t="n">
        <v>80.36</v>
      </c>
      <c r="DQ427" s="2" t="n">
        <v>76.16</v>
      </c>
      <c r="DR427" s="2" t="n">
        <v>0</v>
      </c>
      <c r="DS427" s="2" t="n">
        <v>91.52</v>
      </c>
      <c r="DT427" s="2" t="n">
        <v>84.45999999999999</v>
      </c>
      <c r="DU427" s="2" t="n">
        <v>0</v>
      </c>
      <c r="DV427" s="2" t="n">
        <v>96.2</v>
      </c>
      <c r="DW427" s="2" t="n">
        <v>90.06999999999999</v>
      </c>
      <c r="DX427" s="2" t="n">
        <v>0</v>
      </c>
      <c r="DY427" s="2" t="n">
        <v>98.98999999999999</v>
      </c>
      <c r="DZ427" s="2" t="n">
        <v>93.86</v>
      </c>
      <c r="EA427" s="2" t="n">
        <v>0</v>
      </c>
      <c r="EB427" s="2" t="n">
        <v>100</v>
      </c>
      <c r="EC427" s="2" t="n">
        <v>99.44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  <c r="ET427" s="2" t="n">
        <v>100</v>
      </c>
      <c r="EU427" s="2" t="n">
        <v>100</v>
      </c>
      <c r="EV427" s="2" t="n">
        <v>0</v>
      </c>
      <c r="EW427" s="2" t="n">
        <v>100</v>
      </c>
      <c r="EX427" s="2" t="n">
        <v>100</v>
      </c>
      <c r="EY427" s="2" t="n">
        <v>0</v>
      </c>
      <c r="EZ427" s="2" t="n">
        <v>100</v>
      </c>
      <c r="FA427" s="2" t="n">
        <v>100</v>
      </c>
      <c r="FB427" s="2" t="n">
        <v>0</v>
      </c>
      <c r="FC427" s="2" t="n">
        <v>100</v>
      </c>
      <c r="FD427" s="2" t="n">
        <v>100</v>
      </c>
      <c r="FE427" s="2" t="n">
        <v>0</v>
      </c>
      <c r="FF427" s="2" t="n">
        <v>100</v>
      </c>
      <c r="FG427" s="2" t="n">
        <v>100</v>
      </c>
      <c r="FH427" s="2" t="n">
        <v>0</v>
      </c>
      <c r="FI427" s="2" t="n">
        <v>100</v>
      </c>
      <c r="FJ427" s="2" t="n">
        <v>100</v>
      </c>
      <c r="FK427" s="2" t="n">
        <v>0</v>
      </c>
      <c r="FL427" s="2" t="n">
        <v>100</v>
      </c>
      <c r="FM427" s="2" t="n">
        <v>100</v>
      </c>
      <c r="FN427" s="2" t="n">
        <v>0</v>
      </c>
      <c r="FO427" s="2" t="n">
        <v>100</v>
      </c>
      <c r="FP427" s="2" t="n">
        <v>100</v>
      </c>
      <c r="FQ427" s="2" t="n">
        <v>0</v>
      </c>
    </row>
    <row r="428">
      <c r="A428" s="2" t="n">
        <v>3</v>
      </c>
      <c r="B428" s="2" t="inlineStr">
        <is>
          <t>20.02.02</t>
        </is>
      </c>
      <c r="C428" s="2" t="inlineStr">
        <is>
          <t>Reforço de canto com adesivo epóxi e argamassa epoxídica (apicoar para aderência), se aplica apenas quando há brocas</t>
        </is>
      </c>
      <c r="D428" s="2" t="inlineStr">
        <is>
          <t>26/11/2026</t>
        </is>
      </c>
      <c r="E428" s="2" t="inlineStr">
        <is>
          <t>07/02/2028</t>
        </is>
      </c>
      <c r="F428" s="2" t="n">
        <v>1155.591</v>
      </c>
      <c r="G428" s="2" t="n">
        <v>0</v>
      </c>
      <c r="H428" s="2" t="n">
        <v>1155.591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0</v>
      </c>
      <c r="CJ428" s="2" t="n">
        <v>0</v>
      </c>
      <c r="CK428" s="2" t="n">
        <v>0</v>
      </c>
      <c r="CL428" s="2" t="n">
        <v>4.03</v>
      </c>
      <c r="CM428" s="2" t="n">
        <v>1.1</v>
      </c>
      <c r="CN428" s="2" t="n">
        <v>0</v>
      </c>
      <c r="CO428" s="2" t="n">
        <v>7.26</v>
      </c>
      <c r="CP428" s="2" t="n">
        <v>3.87</v>
      </c>
      <c r="CQ428" s="2" t="n">
        <v>0</v>
      </c>
      <c r="CR428" s="2" t="n">
        <v>14.9</v>
      </c>
      <c r="CS428" s="2" t="n">
        <v>9.199999999999999</v>
      </c>
      <c r="CT428" s="2" t="n">
        <v>0</v>
      </c>
      <c r="CU428" s="2" t="n">
        <v>16.62</v>
      </c>
      <c r="CV428" s="2" t="n">
        <v>15.76</v>
      </c>
      <c r="CW428" s="2" t="n">
        <v>0</v>
      </c>
      <c r="CX428" s="2" t="n">
        <v>21.56</v>
      </c>
      <c r="CY428" s="2" t="n">
        <v>20.39</v>
      </c>
      <c r="CZ428" s="2" t="n">
        <v>0</v>
      </c>
      <c r="DA428" s="2" t="n">
        <v>29.51</v>
      </c>
      <c r="DB428" s="2" t="n">
        <v>27.71</v>
      </c>
      <c r="DC428" s="2" t="n">
        <v>0</v>
      </c>
      <c r="DD428" s="2" t="n">
        <v>38.52</v>
      </c>
      <c r="DE428" s="2" t="n">
        <v>37.07</v>
      </c>
      <c r="DF428" s="2" t="n">
        <v>0</v>
      </c>
      <c r="DG428" s="2" t="n">
        <v>52.61</v>
      </c>
      <c r="DH428" s="2" t="n">
        <v>49.69</v>
      </c>
      <c r="DI428" s="2" t="n">
        <v>0</v>
      </c>
      <c r="DJ428" s="2" t="n">
        <v>60.56</v>
      </c>
      <c r="DK428" s="2" t="n">
        <v>60.59</v>
      </c>
      <c r="DL428" s="2" t="n">
        <v>0</v>
      </c>
      <c r="DM428" s="2" t="n">
        <v>67.95</v>
      </c>
      <c r="DN428" s="2" t="n">
        <v>65.94</v>
      </c>
      <c r="DO428" s="2" t="n">
        <v>0</v>
      </c>
      <c r="DP428" s="2" t="n">
        <v>80.36</v>
      </c>
      <c r="DQ428" s="2" t="n">
        <v>76.16</v>
      </c>
      <c r="DR428" s="2" t="n">
        <v>0</v>
      </c>
      <c r="DS428" s="2" t="n">
        <v>91.52</v>
      </c>
      <c r="DT428" s="2" t="n">
        <v>84.45999999999999</v>
      </c>
      <c r="DU428" s="2" t="n">
        <v>0</v>
      </c>
      <c r="DV428" s="2" t="n">
        <v>96.2</v>
      </c>
      <c r="DW428" s="2" t="n">
        <v>90.06999999999999</v>
      </c>
      <c r="DX428" s="2" t="n">
        <v>0</v>
      </c>
      <c r="DY428" s="2" t="n">
        <v>98.98999999999999</v>
      </c>
      <c r="DZ428" s="2" t="n">
        <v>93.86</v>
      </c>
      <c r="EA428" s="2" t="n">
        <v>0</v>
      </c>
      <c r="EB428" s="2" t="n">
        <v>100</v>
      </c>
      <c r="EC428" s="2" t="n">
        <v>99.44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  <c r="ET428" s="2" t="n">
        <v>100</v>
      </c>
      <c r="EU428" s="2" t="n">
        <v>100</v>
      </c>
      <c r="EV428" s="2" t="n">
        <v>0</v>
      </c>
      <c r="EW428" s="2" t="n">
        <v>100</v>
      </c>
      <c r="EX428" s="2" t="n">
        <v>100</v>
      </c>
      <c r="EY428" s="2" t="n">
        <v>0</v>
      </c>
      <c r="EZ428" s="2" t="n">
        <v>100</v>
      </c>
      <c r="FA428" s="2" t="n">
        <v>100</v>
      </c>
      <c r="FB428" s="2" t="n">
        <v>0</v>
      </c>
      <c r="FC428" s="2" t="n">
        <v>100</v>
      </c>
      <c r="FD428" s="2" t="n">
        <v>100</v>
      </c>
      <c r="FE428" s="2" t="n">
        <v>0</v>
      </c>
      <c r="FF428" s="2" t="n">
        <v>100</v>
      </c>
      <c r="FG428" s="2" t="n">
        <v>100</v>
      </c>
      <c r="FH428" s="2" t="n">
        <v>0</v>
      </c>
      <c r="FI428" s="2" t="n">
        <v>100</v>
      </c>
      <c r="FJ428" s="2" t="n">
        <v>100</v>
      </c>
      <c r="FK428" s="2" t="n">
        <v>0</v>
      </c>
      <c r="FL428" s="2" t="n">
        <v>100</v>
      </c>
      <c r="FM428" s="2" t="n">
        <v>100</v>
      </c>
      <c r="FN428" s="2" t="n">
        <v>0</v>
      </c>
      <c r="FO428" s="2" t="n">
        <v>100</v>
      </c>
      <c r="FP428" s="2" t="n">
        <v>100</v>
      </c>
      <c r="FQ428" s="2" t="n">
        <v>0</v>
      </c>
    </row>
    <row r="429">
      <c r="A429" s="2" t="n">
        <v>3</v>
      </c>
      <c r="B429" s="2" t="inlineStr">
        <is>
          <t>20.02.03</t>
        </is>
      </c>
      <c r="C429" s="2" t="inlineStr">
        <is>
          <t>Fundo dos poços de elevadores</t>
        </is>
      </c>
      <c r="D429" s="2" t="inlineStr">
        <is>
          <t>26/11/2026</t>
        </is>
      </c>
      <c r="E429" s="2" t="inlineStr">
        <is>
          <t>07/02/2028</t>
        </is>
      </c>
      <c r="F429" s="2" t="n">
        <v>5048.9276</v>
      </c>
      <c r="G429" s="2" t="n">
        <v>0</v>
      </c>
      <c r="H429" s="2" t="n">
        <v>5048.9276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0</v>
      </c>
      <c r="CJ429" s="2" t="n">
        <v>0</v>
      </c>
      <c r="CK429" s="2" t="n">
        <v>0</v>
      </c>
      <c r="CL429" s="2" t="n">
        <v>4.03</v>
      </c>
      <c r="CM429" s="2" t="n">
        <v>1.1</v>
      </c>
      <c r="CN429" s="2" t="n">
        <v>0</v>
      </c>
      <c r="CO429" s="2" t="n">
        <v>7.26</v>
      </c>
      <c r="CP429" s="2" t="n">
        <v>3.87</v>
      </c>
      <c r="CQ429" s="2" t="n">
        <v>0</v>
      </c>
      <c r="CR429" s="2" t="n">
        <v>14.9</v>
      </c>
      <c r="CS429" s="2" t="n">
        <v>9.199999999999999</v>
      </c>
      <c r="CT429" s="2" t="n">
        <v>0</v>
      </c>
      <c r="CU429" s="2" t="n">
        <v>16.62</v>
      </c>
      <c r="CV429" s="2" t="n">
        <v>15.76</v>
      </c>
      <c r="CW429" s="2" t="n">
        <v>0</v>
      </c>
      <c r="CX429" s="2" t="n">
        <v>21.56</v>
      </c>
      <c r="CY429" s="2" t="n">
        <v>20.39</v>
      </c>
      <c r="CZ429" s="2" t="n">
        <v>0</v>
      </c>
      <c r="DA429" s="2" t="n">
        <v>29.51</v>
      </c>
      <c r="DB429" s="2" t="n">
        <v>27.71</v>
      </c>
      <c r="DC429" s="2" t="n">
        <v>0</v>
      </c>
      <c r="DD429" s="2" t="n">
        <v>38.52</v>
      </c>
      <c r="DE429" s="2" t="n">
        <v>37.07</v>
      </c>
      <c r="DF429" s="2" t="n">
        <v>0</v>
      </c>
      <c r="DG429" s="2" t="n">
        <v>52.61</v>
      </c>
      <c r="DH429" s="2" t="n">
        <v>49.69</v>
      </c>
      <c r="DI429" s="2" t="n">
        <v>0</v>
      </c>
      <c r="DJ429" s="2" t="n">
        <v>60.56</v>
      </c>
      <c r="DK429" s="2" t="n">
        <v>60.59</v>
      </c>
      <c r="DL429" s="2" t="n">
        <v>0</v>
      </c>
      <c r="DM429" s="2" t="n">
        <v>67.95</v>
      </c>
      <c r="DN429" s="2" t="n">
        <v>65.94</v>
      </c>
      <c r="DO429" s="2" t="n">
        <v>0</v>
      </c>
      <c r="DP429" s="2" t="n">
        <v>80.36</v>
      </c>
      <c r="DQ429" s="2" t="n">
        <v>76.16</v>
      </c>
      <c r="DR429" s="2" t="n">
        <v>0</v>
      </c>
      <c r="DS429" s="2" t="n">
        <v>91.52</v>
      </c>
      <c r="DT429" s="2" t="n">
        <v>84.45999999999999</v>
      </c>
      <c r="DU429" s="2" t="n">
        <v>0</v>
      </c>
      <c r="DV429" s="2" t="n">
        <v>96.2</v>
      </c>
      <c r="DW429" s="2" t="n">
        <v>90.06999999999999</v>
      </c>
      <c r="DX429" s="2" t="n">
        <v>0</v>
      </c>
      <c r="DY429" s="2" t="n">
        <v>98.98999999999999</v>
      </c>
      <c r="DZ429" s="2" t="n">
        <v>93.86</v>
      </c>
      <c r="EA429" s="2" t="n">
        <v>0</v>
      </c>
      <c r="EB429" s="2" t="n">
        <v>100</v>
      </c>
      <c r="EC429" s="2" t="n">
        <v>99.44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  <c r="ET429" s="2" t="n">
        <v>100</v>
      </c>
      <c r="EU429" s="2" t="n">
        <v>100</v>
      </c>
      <c r="EV429" s="2" t="n">
        <v>0</v>
      </c>
      <c r="EW429" s="2" t="n">
        <v>100</v>
      </c>
      <c r="EX429" s="2" t="n">
        <v>100</v>
      </c>
      <c r="EY429" s="2" t="n">
        <v>0</v>
      </c>
      <c r="EZ429" s="2" t="n">
        <v>100</v>
      </c>
      <c r="FA429" s="2" t="n">
        <v>100</v>
      </c>
      <c r="FB429" s="2" t="n">
        <v>0</v>
      </c>
      <c r="FC429" s="2" t="n">
        <v>100</v>
      </c>
      <c r="FD429" s="2" t="n">
        <v>100</v>
      </c>
      <c r="FE429" s="2" t="n">
        <v>0</v>
      </c>
      <c r="FF429" s="2" t="n">
        <v>100</v>
      </c>
      <c r="FG429" s="2" t="n">
        <v>100</v>
      </c>
      <c r="FH429" s="2" t="n">
        <v>0</v>
      </c>
      <c r="FI429" s="2" t="n">
        <v>100</v>
      </c>
      <c r="FJ429" s="2" t="n">
        <v>100</v>
      </c>
      <c r="FK429" s="2" t="n">
        <v>0</v>
      </c>
      <c r="FL429" s="2" t="n">
        <v>100</v>
      </c>
      <c r="FM429" s="2" t="n">
        <v>100</v>
      </c>
      <c r="FN429" s="2" t="n">
        <v>0</v>
      </c>
      <c r="FO429" s="2" t="n">
        <v>100</v>
      </c>
      <c r="FP429" s="2" t="n">
        <v>100</v>
      </c>
      <c r="FQ429" s="2" t="n">
        <v>0</v>
      </c>
    </row>
    <row r="430">
      <c r="A430" s="2" t="n">
        <v>3</v>
      </c>
      <c r="B430" s="2" t="inlineStr">
        <is>
          <t>20.02.04</t>
        </is>
      </c>
      <c r="C430" s="2" t="inlineStr">
        <is>
          <t>Impermabilização de ralos</t>
        </is>
      </c>
      <c r="D430" s="2" t="inlineStr">
        <is>
          <t>26/11/2026</t>
        </is>
      </c>
      <c r="E430" s="2" t="inlineStr">
        <is>
          <t>07/02/2028</t>
        </is>
      </c>
      <c r="F430" s="2" t="n">
        <v>600.3284220151139</v>
      </c>
      <c r="G430" s="2" t="n">
        <v>0</v>
      </c>
      <c r="H430" s="2" t="n">
        <v>600.3284220151139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0</v>
      </c>
      <c r="CJ430" s="2" t="n">
        <v>0</v>
      </c>
      <c r="CK430" s="2" t="n">
        <v>0</v>
      </c>
      <c r="CL430" s="2" t="n">
        <v>4.03</v>
      </c>
      <c r="CM430" s="2" t="n">
        <v>1.1</v>
      </c>
      <c r="CN430" s="2" t="n">
        <v>0</v>
      </c>
      <c r="CO430" s="2" t="n">
        <v>7.26</v>
      </c>
      <c r="CP430" s="2" t="n">
        <v>3.87</v>
      </c>
      <c r="CQ430" s="2" t="n">
        <v>0</v>
      </c>
      <c r="CR430" s="2" t="n">
        <v>14.9</v>
      </c>
      <c r="CS430" s="2" t="n">
        <v>9.199999999999999</v>
      </c>
      <c r="CT430" s="2" t="n">
        <v>0</v>
      </c>
      <c r="CU430" s="2" t="n">
        <v>16.62</v>
      </c>
      <c r="CV430" s="2" t="n">
        <v>15.76</v>
      </c>
      <c r="CW430" s="2" t="n">
        <v>0</v>
      </c>
      <c r="CX430" s="2" t="n">
        <v>21.56</v>
      </c>
      <c r="CY430" s="2" t="n">
        <v>20.39</v>
      </c>
      <c r="CZ430" s="2" t="n">
        <v>0</v>
      </c>
      <c r="DA430" s="2" t="n">
        <v>29.51</v>
      </c>
      <c r="DB430" s="2" t="n">
        <v>27.71</v>
      </c>
      <c r="DC430" s="2" t="n">
        <v>0</v>
      </c>
      <c r="DD430" s="2" t="n">
        <v>38.52</v>
      </c>
      <c r="DE430" s="2" t="n">
        <v>37.07</v>
      </c>
      <c r="DF430" s="2" t="n">
        <v>0</v>
      </c>
      <c r="DG430" s="2" t="n">
        <v>52.61</v>
      </c>
      <c r="DH430" s="2" t="n">
        <v>49.69</v>
      </c>
      <c r="DI430" s="2" t="n">
        <v>0</v>
      </c>
      <c r="DJ430" s="2" t="n">
        <v>60.56</v>
      </c>
      <c r="DK430" s="2" t="n">
        <v>60.59</v>
      </c>
      <c r="DL430" s="2" t="n">
        <v>0</v>
      </c>
      <c r="DM430" s="2" t="n">
        <v>67.95</v>
      </c>
      <c r="DN430" s="2" t="n">
        <v>65.94</v>
      </c>
      <c r="DO430" s="2" t="n">
        <v>0</v>
      </c>
      <c r="DP430" s="2" t="n">
        <v>80.36</v>
      </c>
      <c r="DQ430" s="2" t="n">
        <v>76.16</v>
      </c>
      <c r="DR430" s="2" t="n">
        <v>0</v>
      </c>
      <c r="DS430" s="2" t="n">
        <v>91.52</v>
      </c>
      <c r="DT430" s="2" t="n">
        <v>84.45999999999999</v>
      </c>
      <c r="DU430" s="2" t="n">
        <v>0</v>
      </c>
      <c r="DV430" s="2" t="n">
        <v>96.2</v>
      </c>
      <c r="DW430" s="2" t="n">
        <v>90.06999999999999</v>
      </c>
      <c r="DX430" s="2" t="n">
        <v>0</v>
      </c>
      <c r="DY430" s="2" t="n">
        <v>98.98999999999999</v>
      </c>
      <c r="DZ430" s="2" t="n">
        <v>93.86</v>
      </c>
      <c r="EA430" s="2" t="n">
        <v>0</v>
      </c>
      <c r="EB430" s="2" t="n">
        <v>100</v>
      </c>
      <c r="EC430" s="2" t="n">
        <v>99.44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  <c r="ET430" s="2" t="n">
        <v>100</v>
      </c>
      <c r="EU430" s="2" t="n">
        <v>100</v>
      </c>
      <c r="EV430" s="2" t="n">
        <v>0</v>
      </c>
      <c r="EW430" s="2" t="n">
        <v>100</v>
      </c>
      <c r="EX430" s="2" t="n">
        <v>100</v>
      </c>
      <c r="EY430" s="2" t="n">
        <v>0</v>
      </c>
      <c r="EZ430" s="2" t="n">
        <v>100</v>
      </c>
      <c r="FA430" s="2" t="n">
        <v>100</v>
      </c>
      <c r="FB430" s="2" t="n">
        <v>0</v>
      </c>
      <c r="FC430" s="2" t="n">
        <v>100</v>
      </c>
      <c r="FD430" s="2" t="n">
        <v>100</v>
      </c>
      <c r="FE430" s="2" t="n">
        <v>0</v>
      </c>
      <c r="FF430" s="2" t="n">
        <v>100</v>
      </c>
      <c r="FG430" s="2" t="n">
        <v>100</v>
      </c>
      <c r="FH430" s="2" t="n">
        <v>0</v>
      </c>
      <c r="FI430" s="2" t="n">
        <v>100</v>
      </c>
      <c r="FJ430" s="2" t="n">
        <v>100</v>
      </c>
      <c r="FK430" s="2" t="n">
        <v>0</v>
      </c>
      <c r="FL430" s="2" t="n">
        <v>100</v>
      </c>
      <c r="FM430" s="2" t="n">
        <v>100</v>
      </c>
      <c r="FN430" s="2" t="n">
        <v>0</v>
      </c>
      <c r="FO430" s="2" t="n">
        <v>100</v>
      </c>
      <c r="FP430" s="2" t="n">
        <v>100</v>
      </c>
      <c r="FQ430" s="2" t="n">
        <v>0</v>
      </c>
    </row>
    <row r="431">
      <c r="A431" s="2" t="n">
        <v>2</v>
      </c>
      <c r="B431" s="2" t="inlineStr">
        <is>
          <t>20.03</t>
        </is>
      </c>
      <c r="C431" s="2" t="inlineStr">
        <is>
          <t>Impermeabilização com dupla manta asfáltica antiraiz, tipo III, ambas de 4mm de espessura, classe B acabamento PP ambas coladas com  maçarico</t>
        </is>
      </c>
      <c r="D431" s="2" t="inlineStr">
        <is>
          <t>26/11/2026</t>
        </is>
      </c>
      <c r="E431" s="2" t="inlineStr">
        <is>
          <t>07/02/2028</t>
        </is>
      </c>
      <c r="F431" s="2" t="n">
        <v>828931.1781307771</v>
      </c>
      <c r="G431" s="2" t="n">
        <v>0</v>
      </c>
      <c r="H431" s="2" t="n">
        <v>828931.1781307771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0</v>
      </c>
      <c r="CJ431" s="2" t="n">
        <v>0</v>
      </c>
      <c r="CK431" s="2" t="n">
        <v>0</v>
      </c>
      <c r="CL431" s="2" t="n">
        <v>4.03</v>
      </c>
      <c r="CM431" s="2" t="n">
        <v>1.1</v>
      </c>
      <c r="CN431" s="2" t="n">
        <v>0</v>
      </c>
      <c r="CO431" s="2" t="n">
        <v>7.26</v>
      </c>
      <c r="CP431" s="2" t="n">
        <v>3.87</v>
      </c>
      <c r="CQ431" s="2" t="n">
        <v>0</v>
      </c>
      <c r="CR431" s="2" t="n">
        <v>14.9</v>
      </c>
      <c r="CS431" s="2" t="n">
        <v>9.199999999999999</v>
      </c>
      <c r="CT431" s="2" t="n">
        <v>0</v>
      </c>
      <c r="CU431" s="2" t="n">
        <v>16.62</v>
      </c>
      <c r="CV431" s="2" t="n">
        <v>15.76</v>
      </c>
      <c r="CW431" s="2" t="n">
        <v>0</v>
      </c>
      <c r="CX431" s="2" t="n">
        <v>21.56</v>
      </c>
      <c r="CY431" s="2" t="n">
        <v>20.39</v>
      </c>
      <c r="CZ431" s="2" t="n">
        <v>0</v>
      </c>
      <c r="DA431" s="2" t="n">
        <v>29.51</v>
      </c>
      <c r="DB431" s="2" t="n">
        <v>27.71</v>
      </c>
      <c r="DC431" s="2" t="n">
        <v>0</v>
      </c>
      <c r="DD431" s="2" t="n">
        <v>38.52</v>
      </c>
      <c r="DE431" s="2" t="n">
        <v>37.07</v>
      </c>
      <c r="DF431" s="2" t="n">
        <v>0</v>
      </c>
      <c r="DG431" s="2" t="n">
        <v>52.61</v>
      </c>
      <c r="DH431" s="2" t="n">
        <v>49.69</v>
      </c>
      <c r="DI431" s="2" t="n">
        <v>0</v>
      </c>
      <c r="DJ431" s="2" t="n">
        <v>60.56</v>
      </c>
      <c r="DK431" s="2" t="n">
        <v>60.59</v>
      </c>
      <c r="DL431" s="2" t="n">
        <v>0</v>
      </c>
      <c r="DM431" s="2" t="n">
        <v>67.95</v>
      </c>
      <c r="DN431" s="2" t="n">
        <v>65.94</v>
      </c>
      <c r="DO431" s="2" t="n">
        <v>0</v>
      </c>
      <c r="DP431" s="2" t="n">
        <v>80.36</v>
      </c>
      <c r="DQ431" s="2" t="n">
        <v>76.16</v>
      </c>
      <c r="DR431" s="2" t="n">
        <v>0</v>
      </c>
      <c r="DS431" s="2" t="n">
        <v>91.52</v>
      </c>
      <c r="DT431" s="2" t="n">
        <v>84.45999999999999</v>
      </c>
      <c r="DU431" s="2" t="n">
        <v>0</v>
      </c>
      <c r="DV431" s="2" t="n">
        <v>96.2</v>
      </c>
      <c r="DW431" s="2" t="n">
        <v>90.06999999999999</v>
      </c>
      <c r="DX431" s="2" t="n">
        <v>0</v>
      </c>
      <c r="DY431" s="2" t="n">
        <v>98.98999999999999</v>
      </c>
      <c r="DZ431" s="2" t="n">
        <v>93.86</v>
      </c>
      <c r="EA431" s="2" t="n">
        <v>0</v>
      </c>
      <c r="EB431" s="2" t="n">
        <v>100</v>
      </c>
      <c r="EC431" s="2" t="n">
        <v>99.44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  <c r="ET431" s="2" t="n">
        <v>100</v>
      </c>
      <c r="EU431" s="2" t="n">
        <v>100</v>
      </c>
      <c r="EV431" s="2" t="n">
        <v>0</v>
      </c>
      <c r="EW431" s="2" t="n">
        <v>100</v>
      </c>
      <c r="EX431" s="2" t="n">
        <v>100</v>
      </c>
      <c r="EY431" s="2" t="n">
        <v>0</v>
      </c>
      <c r="EZ431" s="2" t="n">
        <v>100</v>
      </c>
      <c r="FA431" s="2" t="n">
        <v>100</v>
      </c>
      <c r="FB431" s="2" t="n">
        <v>0</v>
      </c>
      <c r="FC431" s="2" t="n">
        <v>100</v>
      </c>
      <c r="FD431" s="2" t="n">
        <v>100</v>
      </c>
      <c r="FE431" s="2" t="n">
        <v>0</v>
      </c>
      <c r="FF431" s="2" t="n">
        <v>100</v>
      </c>
      <c r="FG431" s="2" t="n">
        <v>100</v>
      </c>
      <c r="FH431" s="2" t="n">
        <v>0</v>
      </c>
      <c r="FI431" s="2" t="n">
        <v>100</v>
      </c>
      <c r="FJ431" s="2" t="n">
        <v>100</v>
      </c>
      <c r="FK431" s="2" t="n">
        <v>0</v>
      </c>
      <c r="FL431" s="2" t="n">
        <v>100</v>
      </c>
      <c r="FM431" s="2" t="n">
        <v>100</v>
      </c>
      <c r="FN431" s="2" t="n">
        <v>0</v>
      </c>
      <c r="FO431" s="2" t="n">
        <v>100</v>
      </c>
      <c r="FP431" s="2" t="n">
        <v>100</v>
      </c>
      <c r="FQ431" s="2" t="n">
        <v>0</v>
      </c>
    </row>
    <row r="432">
      <c r="A432" s="2" t="n">
        <v>3</v>
      </c>
      <c r="B432" s="2" t="inlineStr">
        <is>
          <t>20.03.01</t>
        </is>
      </c>
      <c r="C432" s="2" t="inlineStr">
        <is>
          <t>Camada de regularização com argamassa de cimento e areia</t>
        </is>
      </c>
      <c r="D432" s="2" t="inlineStr">
        <is>
          <t>26/11/2026</t>
        </is>
      </c>
      <c r="E432" s="2" t="inlineStr">
        <is>
          <t>07/02/2028</t>
        </is>
      </c>
      <c r="F432" s="2" t="n">
        <v>103097.0966608066</v>
      </c>
      <c r="G432" s="2" t="n">
        <v>0</v>
      </c>
      <c r="H432" s="2" t="n">
        <v>103097.0966608066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0</v>
      </c>
      <c r="CJ432" s="2" t="n">
        <v>0</v>
      </c>
      <c r="CK432" s="2" t="n">
        <v>0</v>
      </c>
      <c r="CL432" s="2" t="n">
        <v>4.03</v>
      </c>
      <c r="CM432" s="2" t="n">
        <v>1.1</v>
      </c>
      <c r="CN432" s="2" t="n">
        <v>0</v>
      </c>
      <c r="CO432" s="2" t="n">
        <v>7.26</v>
      </c>
      <c r="CP432" s="2" t="n">
        <v>3.87</v>
      </c>
      <c r="CQ432" s="2" t="n">
        <v>0</v>
      </c>
      <c r="CR432" s="2" t="n">
        <v>14.9</v>
      </c>
      <c r="CS432" s="2" t="n">
        <v>9.199999999999999</v>
      </c>
      <c r="CT432" s="2" t="n">
        <v>0</v>
      </c>
      <c r="CU432" s="2" t="n">
        <v>16.62</v>
      </c>
      <c r="CV432" s="2" t="n">
        <v>15.76</v>
      </c>
      <c r="CW432" s="2" t="n">
        <v>0</v>
      </c>
      <c r="CX432" s="2" t="n">
        <v>21.56</v>
      </c>
      <c r="CY432" s="2" t="n">
        <v>20.39</v>
      </c>
      <c r="CZ432" s="2" t="n">
        <v>0</v>
      </c>
      <c r="DA432" s="2" t="n">
        <v>29.51</v>
      </c>
      <c r="DB432" s="2" t="n">
        <v>27.71</v>
      </c>
      <c r="DC432" s="2" t="n">
        <v>0</v>
      </c>
      <c r="DD432" s="2" t="n">
        <v>38.52</v>
      </c>
      <c r="DE432" s="2" t="n">
        <v>37.07</v>
      </c>
      <c r="DF432" s="2" t="n">
        <v>0</v>
      </c>
      <c r="DG432" s="2" t="n">
        <v>52.61</v>
      </c>
      <c r="DH432" s="2" t="n">
        <v>49.69</v>
      </c>
      <c r="DI432" s="2" t="n">
        <v>0</v>
      </c>
      <c r="DJ432" s="2" t="n">
        <v>60.56</v>
      </c>
      <c r="DK432" s="2" t="n">
        <v>60.59</v>
      </c>
      <c r="DL432" s="2" t="n">
        <v>0</v>
      </c>
      <c r="DM432" s="2" t="n">
        <v>67.95</v>
      </c>
      <c r="DN432" s="2" t="n">
        <v>65.94</v>
      </c>
      <c r="DO432" s="2" t="n">
        <v>0</v>
      </c>
      <c r="DP432" s="2" t="n">
        <v>80.36</v>
      </c>
      <c r="DQ432" s="2" t="n">
        <v>76.16</v>
      </c>
      <c r="DR432" s="2" t="n">
        <v>0</v>
      </c>
      <c r="DS432" s="2" t="n">
        <v>91.52</v>
      </c>
      <c r="DT432" s="2" t="n">
        <v>84.45999999999999</v>
      </c>
      <c r="DU432" s="2" t="n">
        <v>0</v>
      </c>
      <c r="DV432" s="2" t="n">
        <v>96.2</v>
      </c>
      <c r="DW432" s="2" t="n">
        <v>90.06999999999999</v>
      </c>
      <c r="DX432" s="2" t="n">
        <v>0</v>
      </c>
      <c r="DY432" s="2" t="n">
        <v>98.98999999999999</v>
      </c>
      <c r="DZ432" s="2" t="n">
        <v>93.86</v>
      </c>
      <c r="EA432" s="2" t="n">
        <v>0</v>
      </c>
      <c r="EB432" s="2" t="n">
        <v>100</v>
      </c>
      <c r="EC432" s="2" t="n">
        <v>99.44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  <c r="ET432" s="2" t="n">
        <v>100</v>
      </c>
      <c r="EU432" s="2" t="n">
        <v>100</v>
      </c>
      <c r="EV432" s="2" t="n">
        <v>0</v>
      </c>
      <c r="EW432" s="2" t="n">
        <v>100</v>
      </c>
      <c r="EX432" s="2" t="n">
        <v>100</v>
      </c>
      <c r="EY432" s="2" t="n">
        <v>0</v>
      </c>
      <c r="EZ432" s="2" t="n">
        <v>100</v>
      </c>
      <c r="FA432" s="2" t="n">
        <v>100</v>
      </c>
      <c r="FB432" s="2" t="n">
        <v>0</v>
      </c>
      <c r="FC432" s="2" t="n">
        <v>100</v>
      </c>
      <c r="FD432" s="2" t="n">
        <v>100</v>
      </c>
      <c r="FE432" s="2" t="n">
        <v>0</v>
      </c>
      <c r="FF432" s="2" t="n">
        <v>100</v>
      </c>
      <c r="FG432" s="2" t="n">
        <v>100</v>
      </c>
      <c r="FH432" s="2" t="n">
        <v>0</v>
      </c>
      <c r="FI432" s="2" t="n">
        <v>100</v>
      </c>
      <c r="FJ432" s="2" t="n">
        <v>100</v>
      </c>
      <c r="FK432" s="2" t="n">
        <v>0</v>
      </c>
      <c r="FL432" s="2" t="n">
        <v>100</v>
      </c>
      <c r="FM432" s="2" t="n">
        <v>100</v>
      </c>
      <c r="FN432" s="2" t="n">
        <v>0</v>
      </c>
      <c r="FO432" s="2" t="n">
        <v>100</v>
      </c>
      <c r="FP432" s="2" t="n">
        <v>100</v>
      </c>
      <c r="FQ432" s="2" t="n">
        <v>0</v>
      </c>
    </row>
    <row r="433">
      <c r="A433" s="2" t="n">
        <v>3</v>
      </c>
      <c r="B433" s="2" t="inlineStr">
        <is>
          <t>20.03.02</t>
        </is>
      </c>
      <c r="C433" s="2" t="inlineStr">
        <is>
          <t>Proteção mecânica armada estruturada com tela galvanizada fio 22 malha 1"</t>
        </is>
      </c>
      <c r="D433" s="2" t="inlineStr">
        <is>
          <t>26/11/2026</t>
        </is>
      </c>
      <c r="E433" s="2" t="inlineStr">
        <is>
          <t>07/02/2028</t>
        </is>
      </c>
      <c r="F433" s="2" t="n">
        <v>464743.5553365001</v>
      </c>
      <c r="G433" s="2" t="n">
        <v>0</v>
      </c>
      <c r="H433" s="2" t="n">
        <v>464743.5553365001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0</v>
      </c>
      <c r="CJ433" s="2" t="n">
        <v>0</v>
      </c>
      <c r="CK433" s="2" t="n">
        <v>0</v>
      </c>
      <c r="CL433" s="2" t="n">
        <v>4.03</v>
      </c>
      <c r="CM433" s="2" t="n">
        <v>1.1</v>
      </c>
      <c r="CN433" s="2" t="n">
        <v>0</v>
      </c>
      <c r="CO433" s="2" t="n">
        <v>7.26</v>
      </c>
      <c r="CP433" s="2" t="n">
        <v>3.87</v>
      </c>
      <c r="CQ433" s="2" t="n">
        <v>0</v>
      </c>
      <c r="CR433" s="2" t="n">
        <v>14.9</v>
      </c>
      <c r="CS433" s="2" t="n">
        <v>9.199999999999999</v>
      </c>
      <c r="CT433" s="2" t="n">
        <v>0</v>
      </c>
      <c r="CU433" s="2" t="n">
        <v>16.62</v>
      </c>
      <c r="CV433" s="2" t="n">
        <v>15.76</v>
      </c>
      <c r="CW433" s="2" t="n">
        <v>0</v>
      </c>
      <c r="CX433" s="2" t="n">
        <v>21.56</v>
      </c>
      <c r="CY433" s="2" t="n">
        <v>20.39</v>
      </c>
      <c r="CZ433" s="2" t="n">
        <v>0</v>
      </c>
      <c r="DA433" s="2" t="n">
        <v>29.51</v>
      </c>
      <c r="DB433" s="2" t="n">
        <v>27.71</v>
      </c>
      <c r="DC433" s="2" t="n">
        <v>0</v>
      </c>
      <c r="DD433" s="2" t="n">
        <v>38.52</v>
      </c>
      <c r="DE433" s="2" t="n">
        <v>37.07</v>
      </c>
      <c r="DF433" s="2" t="n">
        <v>0</v>
      </c>
      <c r="DG433" s="2" t="n">
        <v>52.61</v>
      </c>
      <c r="DH433" s="2" t="n">
        <v>49.69</v>
      </c>
      <c r="DI433" s="2" t="n">
        <v>0</v>
      </c>
      <c r="DJ433" s="2" t="n">
        <v>60.56</v>
      </c>
      <c r="DK433" s="2" t="n">
        <v>60.59</v>
      </c>
      <c r="DL433" s="2" t="n">
        <v>0</v>
      </c>
      <c r="DM433" s="2" t="n">
        <v>67.95</v>
      </c>
      <c r="DN433" s="2" t="n">
        <v>65.94</v>
      </c>
      <c r="DO433" s="2" t="n">
        <v>0</v>
      </c>
      <c r="DP433" s="2" t="n">
        <v>80.36</v>
      </c>
      <c r="DQ433" s="2" t="n">
        <v>76.16</v>
      </c>
      <c r="DR433" s="2" t="n">
        <v>0</v>
      </c>
      <c r="DS433" s="2" t="n">
        <v>91.52</v>
      </c>
      <c r="DT433" s="2" t="n">
        <v>84.45999999999999</v>
      </c>
      <c r="DU433" s="2" t="n">
        <v>0</v>
      </c>
      <c r="DV433" s="2" t="n">
        <v>96.2</v>
      </c>
      <c r="DW433" s="2" t="n">
        <v>90.06999999999999</v>
      </c>
      <c r="DX433" s="2" t="n">
        <v>0</v>
      </c>
      <c r="DY433" s="2" t="n">
        <v>98.98999999999999</v>
      </c>
      <c r="DZ433" s="2" t="n">
        <v>93.86</v>
      </c>
      <c r="EA433" s="2" t="n">
        <v>0</v>
      </c>
      <c r="EB433" s="2" t="n">
        <v>100</v>
      </c>
      <c r="EC433" s="2" t="n">
        <v>99.44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  <c r="ET433" s="2" t="n">
        <v>100</v>
      </c>
      <c r="EU433" s="2" t="n">
        <v>100</v>
      </c>
      <c r="EV433" s="2" t="n">
        <v>0</v>
      </c>
      <c r="EW433" s="2" t="n">
        <v>100</v>
      </c>
      <c r="EX433" s="2" t="n">
        <v>100</v>
      </c>
      <c r="EY433" s="2" t="n">
        <v>0</v>
      </c>
      <c r="EZ433" s="2" t="n">
        <v>100</v>
      </c>
      <c r="FA433" s="2" t="n">
        <v>100</v>
      </c>
      <c r="FB433" s="2" t="n">
        <v>0</v>
      </c>
      <c r="FC433" s="2" t="n">
        <v>100</v>
      </c>
      <c r="FD433" s="2" t="n">
        <v>100</v>
      </c>
      <c r="FE433" s="2" t="n">
        <v>0</v>
      </c>
      <c r="FF433" s="2" t="n">
        <v>100</v>
      </c>
      <c r="FG433" s="2" t="n">
        <v>100</v>
      </c>
      <c r="FH433" s="2" t="n">
        <v>0</v>
      </c>
      <c r="FI433" s="2" t="n">
        <v>100</v>
      </c>
      <c r="FJ433" s="2" t="n">
        <v>100</v>
      </c>
      <c r="FK433" s="2" t="n">
        <v>0</v>
      </c>
      <c r="FL433" s="2" t="n">
        <v>100</v>
      </c>
      <c r="FM433" s="2" t="n">
        <v>100</v>
      </c>
      <c r="FN433" s="2" t="n">
        <v>0</v>
      </c>
      <c r="FO433" s="2" t="n">
        <v>100</v>
      </c>
      <c r="FP433" s="2" t="n">
        <v>100</v>
      </c>
      <c r="FQ433" s="2" t="n">
        <v>0</v>
      </c>
    </row>
    <row r="434">
      <c r="A434" s="2" t="n">
        <v>3</v>
      </c>
      <c r="B434" s="2" t="inlineStr">
        <is>
          <t>20.03.03</t>
        </is>
      </c>
      <c r="C434" s="2" t="inlineStr">
        <is>
          <t>Camada com transição geotextil 200g/m³</t>
        </is>
      </c>
      <c r="D434" s="2" t="inlineStr">
        <is>
          <t>26/11/2026</t>
        </is>
      </c>
      <c r="E434" s="2" t="inlineStr">
        <is>
          <t>07/02/2028</t>
        </is>
      </c>
      <c r="F434" s="2" t="n">
        <v>3710.7</v>
      </c>
      <c r="G434" s="2" t="n">
        <v>0</v>
      </c>
      <c r="H434" s="2" t="n">
        <v>3710.7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0</v>
      </c>
      <c r="CJ434" s="2" t="n">
        <v>0</v>
      </c>
      <c r="CK434" s="2" t="n">
        <v>0</v>
      </c>
      <c r="CL434" s="2" t="n">
        <v>4.03</v>
      </c>
      <c r="CM434" s="2" t="n">
        <v>1.1</v>
      </c>
      <c r="CN434" s="2" t="n">
        <v>0</v>
      </c>
      <c r="CO434" s="2" t="n">
        <v>7.26</v>
      </c>
      <c r="CP434" s="2" t="n">
        <v>3.87</v>
      </c>
      <c r="CQ434" s="2" t="n">
        <v>0</v>
      </c>
      <c r="CR434" s="2" t="n">
        <v>14.9</v>
      </c>
      <c r="CS434" s="2" t="n">
        <v>9.199999999999999</v>
      </c>
      <c r="CT434" s="2" t="n">
        <v>0</v>
      </c>
      <c r="CU434" s="2" t="n">
        <v>16.62</v>
      </c>
      <c r="CV434" s="2" t="n">
        <v>15.76</v>
      </c>
      <c r="CW434" s="2" t="n">
        <v>0</v>
      </c>
      <c r="CX434" s="2" t="n">
        <v>21.56</v>
      </c>
      <c r="CY434" s="2" t="n">
        <v>20.39</v>
      </c>
      <c r="CZ434" s="2" t="n">
        <v>0</v>
      </c>
      <c r="DA434" s="2" t="n">
        <v>29.51</v>
      </c>
      <c r="DB434" s="2" t="n">
        <v>27.71</v>
      </c>
      <c r="DC434" s="2" t="n">
        <v>0</v>
      </c>
      <c r="DD434" s="2" t="n">
        <v>38.52</v>
      </c>
      <c r="DE434" s="2" t="n">
        <v>37.07</v>
      </c>
      <c r="DF434" s="2" t="n">
        <v>0</v>
      </c>
      <c r="DG434" s="2" t="n">
        <v>52.61</v>
      </c>
      <c r="DH434" s="2" t="n">
        <v>49.69</v>
      </c>
      <c r="DI434" s="2" t="n">
        <v>0</v>
      </c>
      <c r="DJ434" s="2" t="n">
        <v>60.56</v>
      </c>
      <c r="DK434" s="2" t="n">
        <v>60.59</v>
      </c>
      <c r="DL434" s="2" t="n">
        <v>0</v>
      </c>
      <c r="DM434" s="2" t="n">
        <v>67.95</v>
      </c>
      <c r="DN434" s="2" t="n">
        <v>65.94</v>
      </c>
      <c r="DO434" s="2" t="n">
        <v>0</v>
      </c>
      <c r="DP434" s="2" t="n">
        <v>80.36</v>
      </c>
      <c r="DQ434" s="2" t="n">
        <v>76.16</v>
      </c>
      <c r="DR434" s="2" t="n">
        <v>0</v>
      </c>
      <c r="DS434" s="2" t="n">
        <v>91.52</v>
      </c>
      <c r="DT434" s="2" t="n">
        <v>84.45999999999999</v>
      </c>
      <c r="DU434" s="2" t="n">
        <v>0</v>
      </c>
      <c r="DV434" s="2" t="n">
        <v>96.2</v>
      </c>
      <c r="DW434" s="2" t="n">
        <v>90.06999999999999</v>
      </c>
      <c r="DX434" s="2" t="n">
        <v>0</v>
      </c>
      <c r="DY434" s="2" t="n">
        <v>98.98999999999999</v>
      </c>
      <c r="DZ434" s="2" t="n">
        <v>93.86</v>
      </c>
      <c r="EA434" s="2" t="n">
        <v>0</v>
      </c>
      <c r="EB434" s="2" t="n">
        <v>100</v>
      </c>
      <c r="EC434" s="2" t="n">
        <v>99.44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  <c r="ET434" s="2" t="n">
        <v>100</v>
      </c>
      <c r="EU434" s="2" t="n">
        <v>100</v>
      </c>
      <c r="EV434" s="2" t="n">
        <v>0</v>
      </c>
      <c r="EW434" s="2" t="n">
        <v>100</v>
      </c>
      <c r="EX434" s="2" t="n">
        <v>100</v>
      </c>
      <c r="EY434" s="2" t="n">
        <v>0</v>
      </c>
      <c r="EZ434" s="2" t="n">
        <v>100</v>
      </c>
      <c r="FA434" s="2" t="n">
        <v>100</v>
      </c>
      <c r="FB434" s="2" t="n">
        <v>0</v>
      </c>
      <c r="FC434" s="2" t="n">
        <v>100</v>
      </c>
      <c r="FD434" s="2" t="n">
        <v>100</v>
      </c>
      <c r="FE434" s="2" t="n">
        <v>0</v>
      </c>
      <c r="FF434" s="2" t="n">
        <v>100</v>
      </c>
      <c r="FG434" s="2" t="n">
        <v>100</v>
      </c>
      <c r="FH434" s="2" t="n">
        <v>0</v>
      </c>
      <c r="FI434" s="2" t="n">
        <v>100</v>
      </c>
      <c r="FJ434" s="2" t="n">
        <v>100</v>
      </c>
      <c r="FK434" s="2" t="n">
        <v>0</v>
      </c>
      <c r="FL434" s="2" t="n">
        <v>100</v>
      </c>
      <c r="FM434" s="2" t="n">
        <v>100</v>
      </c>
      <c r="FN434" s="2" t="n">
        <v>0</v>
      </c>
      <c r="FO434" s="2" t="n">
        <v>100</v>
      </c>
      <c r="FP434" s="2" t="n">
        <v>100</v>
      </c>
      <c r="FQ434" s="2" t="n">
        <v>0</v>
      </c>
    </row>
    <row r="435">
      <c r="A435" s="2" t="n">
        <v>3</v>
      </c>
      <c r="B435" s="2" t="inlineStr">
        <is>
          <t>20.03.04</t>
        </is>
      </c>
      <c r="C435" s="2" t="inlineStr">
        <is>
          <t>Camada drenante com britas 1 e 2</t>
        </is>
      </c>
      <c r="D435" s="2" t="inlineStr">
        <is>
          <t>26/11/2026</t>
        </is>
      </c>
      <c r="E435" s="2" t="inlineStr">
        <is>
          <t>07/02/2028</t>
        </is>
      </c>
      <c r="F435" s="2" t="n">
        <v>39741.39322520758</v>
      </c>
      <c r="G435" s="2" t="n">
        <v>0</v>
      </c>
      <c r="H435" s="2" t="n">
        <v>39741.39322520758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0</v>
      </c>
      <c r="CJ435" s="2" t="n">
        <v>0</v>
      </c>
      <c r="CK435" s="2" t="n">
        <v>0</v>
      </c>
      <c r="CL435" s="2" t="n">
        <v>4.03</v>
      </c>
      <c r="CM435" s="2" t="n">
        <v>1.1</v>
      </c>
      <c r="CN435" s="2" t="n">
        <v>0</v>
      </c>
      <c r="CO435" s="2" t="n">
        <v>7.26</v>
      </c>
      <c r="CP435" s="2" t="n">
        <v>3.87</v>
      </c>
      <c r="CQ435" s="2" t="n">
        <v>0</v>
      </c>
      <c r="CR435" s="2" t="n">
        <v>14.9</v>
      </c>
      <c r="CS435" s="2" t="n">
        <v>9.199999999999999</v>
      </c>
      <c r="CT435" s="2" t="n">
        <v>0</v>
      </c>
      <c r="CU435" s="2" t="n">
        <v>16.62</v>
      </c>
      <c r="CV435" s="2" t="n">
        <v>15.76</v>
      </c>
      <c r="CW435" s="2" t="n">
        <v>0</v>
      </c>
      <c r="CX435" s="2" t="n">
        <v>21.56</v>
      </c>
      <c r="CY435" s="2" t="n">
        <v>20.39</v>
      </c>
      <c r="CZ435" s="2" t="n">
        <v>0</v>
      </c>
      <c r="DA435" s="2" t="n">
        <v>29.51</v>
      </c>
      <c r="DB435" s="2" t="n">
        <v>27.71</v>
      </c>
      <c r="DC435" s="2" t="n">
        <v>0</v>
      </c>
      <c r="DD435" s="2" t="n">
        <v>38.52</v>
      </c>
      <c r="DE435" s="2" t="n">
        <v>37.07</v>
      </c>
      <c r="DF435" s="2" t="n">
        <v>0</v>
      </c>
      <c r="DG435" s="2" t="n">
        <v>52.61</v>
      </c>
      <c r="DH435" s="2" t="n">
        <v>49.69</v>
      </c>
      <c r="DI435" s="2" t="n">
        <v>0</v>
      </c>
      <c r="DJ435" s="2" t="n">
        <v>60.56</v>
      </c>
      <c r="DK435" s="2" t="n">
        <v>60.59</v>
      </c>
      <c r="DL435" s="2" t="n">
        <v>0</v>
      </c>
      <c r="DM435" s="2" t="n">
        <v>67.95</v>
      </c>
      <c r="DN435" s="2" t="n">
        <v>65.94</v>
      </c>
      <c r="DO435" s="2" t="n">
        <v>0</v>
      </c>
      <c r="DP435" s="2" t="n">
        <v>80.36</v>
      </c>
      <c r="DQ435" s="2" t="n">
        <v>76.16</v>
      </c>
      <c r="DR435" s="2" t="n">
        <v>0</v>
      </c>
      <c r="DS435" s="2" t="n">
        <v>91.52</v>
      </c>
      <c r="DT435" s="2" t="n">
        <v>84.45999999999999</v>
      </c>
      <c r="DU435" s="2" t="n">
        <v>0</v>
      </c>
      <c r="DV435" s="2" t="n">
        <v>96.2</v>
      </c>
      <c r="DW435" s="2" t="n">
        <v>90.06999999999999</v>
      </c>
      <c r="DX435" s="2" t="n">
        <v>0</v>
      </c>
      <c r="DY435" s="2" t="n">
        <v>98.98999999999999</v>
      </c>
      <c r="DZ435" s="2" t="n">
        <v>93.86</v>
      </c>
      <c r="EA435" s="2" t="n">
        <v>0</v>
      </c>
      <c r="EB435" s="2" t="n">
        <v>100</v>
      </c>
      <c r="EC435" s="2" t="n">
        <v>99.44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  <c r="ET435" s="2" t="n">
        <v>100</v>
      </c>
      <c r="EU435" s="2" t="n">
        <v>100</v>
      </c>
      <c r="EV435" s="2" t="n">
        <v>0</v>
      </c>
      <c r="EW435" s="2" t="n">
        <v>100</v>
      </c>
      <c r="EX435" s="2" t="n">
        <v>100</v>
      </c>
      <c r="EY435" s="2" t="n">
        <v>0</v>
      </c>
      <c r="EZ435" s="2" t="n">
        <v>100</v>
      </c>
      <c r="FA435" s="2" t="n">
        <v>100</v>
      </c>
      <c r="FB435" s="2" t="n">
        <v>0</v>
      </c>
      <c r="FC435" s="2" t="n">
        <v>100</v>
      </c>
      <c r="FD435" s="2" t="n">
        <v>100</v>
      </c>
      <c r="FE435" s="2" t="n">
        <v>0</v>
      </c>
      <c r="FF435" s="2" t="n">
        <v>100</v>
      </c>
      <c r="FG435" s="2" t="n">
        <v>100</v>
      </c>
      <c r="FH435" s="2" t="n">
        <v>0</v>
      </c>
      <c r="FI435" s="2" t="n">
        <v>100</v>
      </c>
      <c r="FJ435" s="2" t="n">
        <v>100</v>
      </c>
      <c r="FK435" s="2" t="n">
        <v>0</v>
      </c>
      <c r="FL435" s="2" t="n">
        <v>100</v>
      </c>
      <c r="FM435" s="2" t="n">
        <v>100</v>
      </c>
      <c r="FN435" s="2" t="n">
        <v>0</v>
      </c>
      <c r="FO435" s="2" t="n">
        <v>100</v>
      </c>
      <c r="FP435" s="2" t="n">
        <v>100</v>
      </c>
      <c r="FQ435" s="2" t="n">
        <v>0</v>
      </c>
    </row>
    <row r="436">
      <c r="A436" s="2" t="n">
        <v>3</v>
      </c>
      <c r="B436" s="2" t="inlineStr">
        <is>
          <t>20.03.05</t>
        </is>
      </c>
      <c r="C436" s="2" t="inlineStr">
        <is>
          <t>Tratamento drenante com sistema de manta do tipo Macdrain 2l</t>
        </is>
      </c>
      <c r="D436" s="2" t="inlineStr">
        <is>
          <t>26/11/2026</t>
        </is>
      </c>
      <c r="E436" s="2" t="inlineStr">
        <is>
          <t>07/02/2028</t>
        </is>
      </c>
      <c r="F436" s="2" t="n">
        <v>215072.5166125</v>
      </c>
      <c r="G436" s="2" t="n">
        <v>0</v>
      </c>
      <c r="H436" s="2" t="n">
        <v>215072.5166125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0</v>
      </c>
      <c r="CJ436" s="2" t="n">
        <v>0</v>
      </c>
      <c r="CK436" s="2" t="n">
        <v>0</v>
      </c>
      <c r="CL436" s="2" t="n">
        <v>4.03</v>
      </c>
      <c r="CM436" s="2" t="n">
        <v>1.1</v>
      </c>
      <c r="CN436" s="2" t="n">
        <v>0</v>
      </c>
      <c r="CO436" s="2" t="n">
        <v>7.26</v>
      </c>
      <c r="CP436" s="2" t="n">
        <v>3.87</v>
      </c>
      <c r="CQ436" s="2" t="n">
        <v>0</v>
      </c>
      <c r="CR436" s="2" t="n">
        <v>14.9</v>
      </c>
      <c r="CS436" s="2" t="n">
        <v>9.199999999999999</v>
      </c>
      <c r="CT436" s="2" t="n">
        <v>0</v>
      </c>
      <c r="CU436" s="2" t="n">
        <v>16.62</v>
      </c>
      <c r="CV436" s="2" t="n">
        <v>15.76</v>
      </c>
      <c r="CW436" s="2" t="n">
        <v>0</v>
      </c>
      <c r="CX436" s="2" t="n">
        <v>21.56</v>
      </c>
      <c r="CY436" s="2" t="n">
        <v>20.39</v>
      </c>
      <c r="CZ436" s="2" t="n">
        <v>0</v>
      </c>
      <c r="DA436" s="2" t="n">
        <v>29.51</v>
      </c>
      <c r="DB436" s="2" t="n">
        <v>27.71</v>
      </c>
      <c r="DC436" s="2" t="n">
        <v>0</v>
      </c>
      <c r="DD436" s="2" t="n">
        <v>38.52</v>
      </c>
      <c r="DE436" s="2" t="n">
        <v>37.07</v>
      </c>
      <c r="DF436" s="2" t="n">
        <v>0</v>
      </c>
      <c r="DG436" s="2" t="n">
        <v>52.61</v>
      </c>
      <c r="DH436" s="2" t="n">
        <v>49.69</v>
      </c>
      <c r="DI436" s="2" t="n">
        <v>0</v>
      </c>
      <c r="DJ436" s="2" t="n">
        <v>60.56</v>
      </c>
      <c r="DK436" s="2" t="n">
        <v>60.59</v>
      </c>
      <c r="DL436" s="2" t="n">
        <v>0</v>
      </c>
      <c r="DM436" s="2" t="n">
        <v>67.95</v>
      </c>
      <c r="DN436" s="2" t="n">
        <v>65.94</v>
      </c>
      <c r="DO436" s="2" t="n">
        <v>0</v>
      </c>
      <c r="DP436" s="2" t="n">
        <v>80.36</v>
      </c>
      <c r="DQ436" s="2" t="n">
        <v>76.16</v>
      </c>
      <c r="DR436" s="2" t="n">
        <v>0</v>
      </c>
      <c r="DS436" s="2" t="n">
        <v>91.52</v>
      </c>
      <c r="DT436" s="2" t="n">
        <v>84.45999999999999</v>
      </c>
      <c r="DU436" s="2" t="n">
        <v>0</v>
      </c>
      <c r="DV436" s="2" t="n">
        <v>96.2</v>
      </c>
      <c r="DW436" s="2" t="n">
        <v>90.06999999999999</v>
      </c>
      <c r="DX436" s="2" t="n">
        <v>0</v>
      </c>
      <c r="DY436" s="2" t="n">
        <v>98.98999999999999</v>
      </c>
      <c r="DZ436" s="2" t="n">
        <v>93.86</v>
      </c>
      <c r="EA436" s="2" t="n">
        <v>0</v>
      </c>
      <c r="EB436" s="2" t="n">
        <v>100</v>
      </c>
      <c r="EC436" s="2" t="n">
        <v>99.44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  <c r="ET436" s="2" t="n">
        <v>100</v>
      </c>
      <c r="EU436" s="2" t="n">
        <v>100</v>
      </c>
      <c r="EV436" s="2" t="n">
        <v>0</v>
      </c>
      <c r="EW436" s="2" t="n">
        <v>100</v>
      </c>
      <c r="EX436" s="2" t="n">
        <v>100</v>
      </c>
      <c r="EY436" s="2" t="n">
        <v>0</v>
      </c>
      <c r="EZ436" s="2" t="n">
        <v>100</v>
      </c>
      <c r="FA436" s="2" t="n">
        <v>100</v>
      </c>
      <c r="FB436" s="2" t="n">
        <v>0</v>
      </c>
      <c r="FC436" s="2" t="n">
        <v>100</v>
      </c>
      <c r="FD436" s="2" t="n">
        <v>100</v>
      </c>
      <c r="FE436" s="2" t="n">
        <v>0</v>
      </c>
      <c r="FF436" s="2" t="n">
        <v>100</v>
      </c>
      <c r="FG436" s="2" t="n">
        <v>100</v>
      </c>
      <c r="FH436" s="2" t="n">
        <v>0</v>
      </c>
      <c r="FI436" s="2" t="n">
        <v>100</v>
      </c>
      <c r="FJ436" s="2" t="n">
        <v>100</v>
      </c>
      <c r="FK436" s="2" t="n">
        <v>0</v>
      </c>
      <c r="FL436" s="2" t="n">
        <v>100</v>
      </c>
      <c r="FM436" s="2" t="n">
        <v>100</v>
      </c>
      <c r="FN436" s="2" t="n">
        <v>0</v>
      </c>
      <c r="FO436" s="2" t="n">
        <v>100</v>
      </c>
      <c r="FP436" s="2" t="n">
        <v>100</v>
      </c>
      <c r="FQ436" s="2" t="n">
        <v>0</v>
      </c>
    </row>
    <row r="437">
      <c r="A437" s="2" t="n">
        <v>3</v>
      </c>
      <c r="B437" s="2" t="inlineStr">
        <is>
          <t>20.03.06</t>
        </is>
      </c>
      <c r="C437" s="2" t="inlineStr">
        <is>
          <t>Junta perimetral preenchida com mastique de poliuretano</t>
        </is>
      </c>
      <c r="D437" s="2" t="inlineStr">
        <is>
          <t>26/11/2026</t>
        </is>
      </c>
      <c r="E437" s="2" t="inlineStr">
        <is>
          <t>07/02/2028</t>
        </is>
      </c>
      <c r="F437" s="2" t="n">
        <v>554.340204235698</v>
      </c>
      <c r="G437" s="2" t="n">
        <v>0</v>
      </c>
      <c r="H437" s="2" t="n">
        <v>554.340204235698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0</v>
      </c>
      <c r="CJ437" s="2" t="n">
        <v>0</v>
      </c>
      <c r="CK437" s="2" t="n">
        <v>0</v>
      </c>
      <c r="CL437" s="2" t="n">
        <v>4.03</v>
      </c>
      <c r="CM437" s="2" t="n">
        <v>1.1</v>
      </c>
      <c r="CN437" s="2" t="n">
        <v>0</v>
      </c>
      <c r="CO437" s="2" t="n">
        <v>7.26</v>
      </c>
      <c r="CP437" s="2" t="n">
        <v>3.87</v>
      </c>
      <c r="CQ437" s="2" t="n">
        <v>0</v>
      </c>
      <c r="CR437" s="2" t="n">
        <v>14.9</v>
      </c>
      <c r="CS437" s="2" t="n">
        <v>9.199999999999999</v>
      </c>
      <c r="CT437" s="2" t="n">
        <v>0</v>
      </c>
      <c r="CU437" s="2" t="n">
        <v>16.62</v>
      </c>
      <c r="CV437" s="2" t="n">
        <v>15.76</v>
      </c>
      <c r="CW437" s="2" t="n">
        <v>0</v>
      </c>
      <c r="CX437" s="2" t="n">
        <v>21.56</v>
      </c>
      <c r="CY437" s="2" t="n">
        <v>20.39</v>
      </c>
      <c r="CZ437" s="2" t="n">
        <v>0</v>
      </c>
      <c r="DA437" s="2" t="n">
        <v>29.51</v>
      </c>
      <c r="DB437" s="2" t="n">
        <v>27.71</v>
      </c>
      <c r="DC437" s="2" t="n">
        <v>0</v>
      </c>
      <c r="DD437" s="2" t="n">
        <v>38.52</v>
      </c>
      <c r="DE437" s="2" t="n">
        <v>37.07</v>
      </c>
      <c r="DF437" s="2" t="n">
        <v>0</v>
      </c>
      <c r="DG437" s="2" t="n">
        <v>52.61</v>
      </c>
      <c r="DH437" s="2" t="n">
        <v>49.69</v>
      </c>
      <c r="DI437" s="2" t="n">
        <v>0</v>
      </c>
      <c r="DJ437" s="2" t="n">
        <v>60.56</v>
      </c>
      <c r="DK437" s="2" t="n">
        <v>60.59</v>
      </c>
      <c r="DL437" s="2" t="n">
        <v>0</v>
      </c>
      <c r="DM437" s="2" t="n">
        <v>67.95</v>
      </c>
      <c r="DN437" s="2" t="n">
        <v>65.94</v>
      </c>
      <c r="DO437" s="2" t="n">
        <v>0</v>
      </c>
      <c r="DP437" s="2" t="n">
        <v>80.36</v>
      </c>
      <c r="DQ437" s="2" t="n">
        <v>76.16</v>
      </c>
      <c r="DR437" s="2" t="n">
        <v>0</v>
      </c>
      <c r="DS437" s="2" t="n">
        <v>91.52</v>
      </c>
      <c r="DT437" s="2" t="n">
        <v>84.45999999999999</v>
      </c>
      <c r="DU437" s="2" t="n">
        <v>0</v>
      </c>
      <c r="DV437" s="2" t="n">
        <v>96.2</v>
      </c>
      <c r="DW437" s="2" t="n">
        <v>90.06999999999999</v>
      </c>
      <c r="DX437" s="2" t="n">
        <v>0</v>
      </c>
      <c r="DY437" s="2" t="n">
        <v>98.98999999999999</v>
      </c>
      <c r="DZ437" s="2" t="n">
        <v>93.86</v>
      </c>
      <c r="EA437" s="2" t="n">
        <v>0</v>
      </c>
      <c r="EB437" s="2" t="n">
        <v>100</v>
      </c>
      <c r="EC437" s="2" t="n">
        <v>99.44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  <c r="ET437" s="2" t="n">
        <v>100</v>
      </c>
      <c r="EU437" s="2" t="n">
        <v>100</v>
      </c>
      <c r="EV437" s="2" t="n">
        <v>0</v>
      </c>
      <c r="EW437" s="2" t="n">
        <v>100</v>
      </c>
      <c r="EX437" s="2" t="n">
        <v>100</v>
      </c>
      <c r="EY437" s="2" t="n">
        <v>0</v>
      </c>
      <c r="EZ437" s="2" t="n">
        <v>100</v>
      </c>
      <c r="FA437" s="2" t="n">
        <v>100</v>
      </c>
      <c r="FB437" s="2" t="n">
        <v>0</v>
      </c>
      <c r="FC437" s="2" t="n">
        <v>100</v>
      </c>
      <c r="FD437" s="2" t="n">
        <v>100</v>
      </c>
      <c r="FE437" s="2" t="n">
        <v>0</v>
      </c>
      <c r="FF437" s="2" t="n">
        <v>100</v>
      </c>
      <c r="FG437" s="2" t="n">
        <v>100</v>
      </c>
      <c r="FH437" s="2" t="n">
        <v>0</v>
      </c>
      <c r="FI437" s="2" t="n">
        <v>100</v>
      </c>
      <c r="FJ437" s="2" t="n">
        <v>100</v>
      </c>
      <c r="FK437" s="2" t="n">
        <v>0</v>
      </c>
      <c r="FL437" s="2" t="n">
        <v>100</v>
      </c>
      <c r="FM437" s="2" t="n">
        <v>100</v>
      </c>
      <c r="FN437" s="2" t="n">
        <v>0</v>
      </c>
      <c r="FO437" s="2" t="n">
        <v>100</v>
      </c>
      <c r="FP437" s="2" t="n">
        <v>100</v>
      </c>
      <c r="FQ437" s="2" t="n">
        <v>0</v>
      </c>
    </row>
    <row r="438">
      <c r="A438" s="2" t="n">
        <v>3</v>
      </c>
      <c r="B438" s="2" t="inlineStr">
        <is>
          <t>20.03.07</t>
        </is>
      </c>
      <c r="C438" s="2" t="inlineStr">
        <is>
          <t>Cantoneira de alumínio/ galvanizada 2x2cm fixada com parafuso e bucha S6 a cada 30cm</t>
        </is>
      </c>
      <c r="D438" s="2" t="inlineStr">
        <is>
          <t>26/11/2026</t>
        </is>
      </c>
      <c r="E438" s="2" t="inlineStr">
        <is>
          <t>07/02/2028</t>
        </is>
      </c>
      <c r="F438" s="2" t="n">
        <v>2011.576091527179</v>
      </c>
      <c r="G438" s="2" t="n">
        <v>0</v>
      </c>
      <c r="H438" s="2" t="n">
        <v>2011.576091527179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0</v>
      </c>
      <c r="CJ438" s="2" t="n">
        <v>0</v>
      </c>
      <c r="CK438" s="2" t="n">
        <v>0</v>
      </c>
      <c r="CL438" s="2" t="n">
        <v>4.03</v>
      </c>
      <c r="CM438" s="2" t="n">
        <v>1.1</v>
      </c>
      <c r="CN438" s="2" t="n">
        <v>0</v>
      </c>
      <c r="CO438" s="2" t="n">
        <v>7.26</v>
      </c>
      <c r="CP438" s="2" t="n">
        <v>3.87</v>
      </c>
      <c r="CQ438" s="2" t="n">
        <v>0</v>
      </c>
      <c r="CR438" s="2" t="n">
        <v>14.9</v>
      </c>
      <c r="CS438" s="2" t="n">
        <v>9.199999999999999</v>
      </c>
      <c r="CT438" s="2" t="n">
        <v>0</v>
      </c>
      <c r="CU438" s="2" t="n">
        <v>16.62</v>
      </c>
      <c r="CV438" s="2" t="n">
        <v>15.76</v>
      </c>
      <c r="CW438" s="2" t="n">
        <v>0</v>
      </c>
      <c r="CX438" s="2" t="n">
        <v>21.56</v>
      </c>
      <c r="CY438" s="2" t="n">
        <v>20.39</v>
      </c>
      <c r="CZ438" s="2" t="n">
        <v>0</v>
      </c>
      <c r="DA438" s="2" t="n">
        <v>29.51</v>
      </c>
      <c r="DB438" s="2" t="n">
        <v>27.71</v>
      </c>
      <c r="DC438" s="2" t="n">
        <v>0</v>
      </c>
      <c r="DD438" s="2" t="n">
        <v>38.52</v>
      </c>
      <c r="DE438" s="2" t="n">
        <v>37.07</v>
      </c>
      <c r="DF438" s="2" t="n">
        <v>0</v>
      </c>
      <c r="DG438" s="2" t="n">
        <v>52.61</v>
      </c>
      <c r="DH438" s="2" t="n">
        <v>49.69</v>
      </c>
      <c r="DI438" s="2" t="n">
        <v>0</v>
      </c>
      <c r="DJ438" s="2" t="n">
        <v>60.56</v>
      </c>
      <c r="DK438" s="2" t="n">
        <v>60.59</v>
      </c>
      <c r="DL438" s="2" t="n">
        <v>0</v>
      </c>
      <c r="DM438" s="2" t="n">
        <v>67.95</v>
      </c>
      <c r="DN438" s="2" t="n">
        <v>65.94</v>
      </c>
      <c r="DO438" s="2" t="n">
        <v>0</v>
      </c>
      <c r="DP438" s="2" t="n">
        <v>80.36</v>
      </c>
      <c r="DQ438" s="2" t="n">
        <v>76.16</v>
      </c>
      <c r="DR438" s="2" t="n">
        <v>0</v>
      </c>
      <c r="DS438" s="2" t="n">
        <v>91.52</v>
      </c>
      <c r="DT438" s="2" t="n">
        <v>84.45999999999999</v>
      </c>
      <c r="DU438" s="2" t="n">
        <v>0</v>
      </c>
      <c r="DV438" s="2" t="n">
        <v>96.2</v>
      </c>
      <c r="DW438" s="2" t="n">
        <v>90.06999999999999</v>
      </c>
      <c r="DX438" s="2" t="n">
        <v>0</v>
      </c>
      <c r="DY438" s="2" t="n">
        <v>98.98999999999999</v>
      </c>
      <c r="DZ438" s="2" t="n">
        <v>93.86</v>
      </c>
      <c r="EA438" s="2" t="n">
        <v>0</v>
      </c>
      <c r="EB438" s="2" t="n">
        <v>100</v>
      </c>
      <c r="EC438" s="2" t="n">
        <v>99.44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  <c r="ET438" s="2" t="n">
        <v>100</v>
      </c>
      <c r="EU438" s="2" t="n">
        <v>100</v>
      </c>
      <c r="EV438" s="2" t="n">
        <v>0</v>
      </c>
      <c r="EW438" s="2" t="n">
        <v>100</v>
      </c>
      <c r="EX438" s="2" t="n">
        <v>100</v>
      </c>
      <c r="EY438" s="2" t="n">
        <v>0</v>
      </c>
      <c r="EZ438" s="2" t="n">
        <v>100</v>
      </c>
      <c r="FA438" s="2" t="n">
        <v>100</v>
      </c>
      <c r="FB438" s="2" t="n">
        <v>0</v>
      </c>
      <c r="FC438" s="2" t="n">
        <v>100</v>
      </c>
      <c r="FD438" s="2" t="n">
        <v>100</v>
      </c>
      <c r="FE438" s="2" t="n">
        <v>0</v>
      </c>
      <c r="FF438" s="2" t="n">
        <v>100</v>
      </c>
      <c r="FG438" s="2" t="n">
        <v>100</v>
      </c>
      <c r="FH438" s="2" t="n">
        <v>0</v>
      </c>
      <c r="FI438" s="2" t="n">
        <v>100</v>
      </c>
      <c r="FJ438" s="2" t="n">
        <v>100</v>
      </c>
      <c r="FK438" s="2" t="n">
        <v>0</v>
      </c>
      <c r="FL438" s="2" t="n">
        <v>100</v>
      </c>
      <c r="FM438" s="2" t="n">
        <v>100</v>
      </c>
      <c r="FN438" s="2" t="n">
        <v>0</v>
      </c>
      <c r="FO438" s="2" t="n">
        <v>100</v>
      </c>
      <c r="FP438" s="2" t="n">
        <v>100</v>
      </c>
      <c r="FQ438" s="2" t="n">
        <v>0</v>
      </c>
    </row>
    <row r="439">
      <c r="A439" s="2" t="n">
        <v>2</v>
      </c>
      <c r="B439" s="2" t="inlineStr">
        <is>
          <t>20.04</t>
        </is>
      </c>
      <c r="C439" s="2" t="inlineStr">
        <is>
          <t>Impermeabilização com dupla manta asfáltica antiraiz, tipo III, ambas de 4mm de espessura, classe B acabamento AA ambas coladas com asfalto oxidado a quente com consumo de 3,0kg/m2 sobre manta</t>
        </is>
      </c>
      <c r="D439" s="2" t="inlineStr">
        <is>
          <t>26/11/2026</t>
        </is>
      </c>
      <c r="E439" s="2" t="inlineStr">
        <is>
          <t>07/02/2028</t>
        </is>
      </c>
      <c r="F439" s="2" t="n">
        <v>663765.1210381676</v>
      </c>
      <c r="G439" s="2" t="n">
        <v>0</v>
      </c>
      <c r="H439" s="2" t="n">
        <v>663765.1210381676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0</v>
      </c>
      <c r="CJ439" s="2" t="n">
        <v>0</v>
      </c>
      <c r="CK439" s="2" t="n">
        <v>0</v>
      </c>
      <c r="CL439" s="2" t="n">
        <v>4.03</v>
      </c>
      <c r="CM439" s="2" t="n">
        <v>1.1</v>
      </c>
      <c r="CN439" s="2" t="n">
        <v>0</v>
      </c>
      <c r="CO439" s="2" t="n">
        <v>7.26</v>
      </c>
      <c r="CP439" s="2" t="n">
        <v>3.87</v>
      </c>
      <c r="CQ439" s="2" t="n">
        <v>0</v>
      </c>
      <c r="CR439" s="2" t="n">
        <v>14.9</v>
      </c>
      <c r="CS439" s="2" t="n">
        <v>9.199999999999999</v>
      </c>
      <c r="CT439" s="2" t="n">
        <v>0</v>
      </c>
      <c r="CU439" s="2" t="n">
        <v>16.62</v>
      </c>
      <c r="CV439" s="2" t="n">
        <v>15.76</v>
      </c>
      <c r="CW439" s="2" t="n">
        <v>0</v>
      </c>
      <c r="CX439" s="2" t="n">
        <v>21.56</v>
      </c>
      <c r="CY439" s="2" t="n">
        <v>20.39</v>
      </c>
      <c r="CZ439" s="2" t="n">
        <v>0</v>
      </c>
      <c r="DA439" s="2" t="n">
        <v>29.51</v>
      </c>
      <c r="DB439" s="2" t="n">
        <v>27.71</v>
      </c>
      <c r="DC439" s="2" t="n">
        <v>0</v>
      </c>
      <c r="DD439" s="2" t="n">
        <v>38.52</v>
      </c>
      <c r="DE439" s="2" t="n">
        <v>37.07</v>
      </c>
      <c r="DF439" s="2" t="n">
        <v>0</v>
      </c>
      <c r="DG439" s="2" t="n">
        <v>52.61</v>
      </c>
      <c r="DH439" s="2" t="n">
        <v>49.69</v>
      </c>
      <c r="DI439" s="2" t="n">
        <v>0</v>
      </c>
      <c r="DJ439" s="2" t="n">
        <v>60.56</v>
      </c>
      <c r="DK439" s="2" t="n">
        <v>60.59</v>
      </c>
      <c r="DL439" s="2" t="n">
        <v>0</v>
      </c>
      <c r="DM439" s="2" t="n">
        <v>67.95</v>
      </c>
      <c r="DN439" s="2" t="n">
        <v>65.94</v>
      </c>
      <c r="DO439" s="2" t="n">
        <v>0</v>
      </c>
      <c r="DP439" s="2" t="n">
        <v>80.36</v>
      </c>
      <c r="DQ439" s="2" t="n">
        <v>76.16</v>
      </c>
      <c r="DR439" s="2" t="n">
        <v>0</v>
      </c>
      <c r="DS439" s="2" t="n">
        <v>91.52</v>
      </c>
      <c r="DT439" s="2" t="n">
        <v>84.45999999999999</v>
      </c>
      <c r="DU439" s="2" t="n">
        <v>0</v>
      </c>
      <c r="DV439" s="2" t="n">
        <v>96.2</v>
      </c>
      <c r="DW439" s="2" t="n">
        <v>90.06999999999999</v>
      </c>
      <c r="DX439" s="2" t="n">
        <v>0</v>
      </c>
      <c r="DY439" s="2" t="n">
        <v>98.98999999999999</v>
      </c>
      <c r="DZ439" s="2" t="n">
        <v>93.86</v>
      </c>
      <c r="EA439" s="2" t="n">
        <v>0</v>
      </c>
      <c r="EB439" s="2" t="n">
        <v>100</v>
      </c>
      <c r="EC439" s="2" t="n">
        <v>99.44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  <c r="ET439" s="2" t="n">
        <v>100</v>
      </c>
      <c r="EU439" s="2" t="n">
        <v>100</v>
      </c>
      <c r="EV439" s="2" t="n">
        <v>0</v>
      </c>
      <c r="EW439" s="2" t="n">
        <v>100</v>
      </c>
      <c r="EX439" s="2" t="n">
        <v>100</v>
      </c>
      <c r="EY439" s="2" t="n">
        <v>0</v>
      </c>
      <c r="EZ439" s="2" t="n">
        <v>100</v>
      </c>
      <c r="FA439" s="2" t="n">
        <v>100</v>
      </c>
      <c r="FB439" s="2" t="n">
        <v>0</v>
      </c>
      <c r="FC439" s="2" t="n">
        <v>100</v>
      </c>
      <c r="FD439" s="2" t="n">
        <v>100</v>
      </c>
      <c r="FE439" s="2" t="n">
        <v>0</v>
      </c>
      <c r="FF439" s="2" t="n">
        <v>100</v>
      </c>
      <c r="FG439" s="2" t="n">
        <v>100</v>
      </c>
      <c r="FH439" s="2" t="n">
        <v>0</v>
      </c>
      <c r="FI439" s="2" t="n">
        <v>100</v>
      </c>
      <c r="FJ439" s="2" t="n">
        <v>100</v>
      </c>
      <c r="FK439" s="2" t="n">
        <v>0</v>
      </c>
      <c r="FL439" s="2" t="n">
        <v>100</v>
      </c>
      <c r="FM439" s="2" t="n">
        <v>100</v>
      </c>
      <c r="FN439" s="2" t="n">
        <v>0</v>
      </c>
      <c r="FO439" s="2" t="n">
        <v>100</v>
      </c>
      <c r="FP439" s="2" t="n">
        <v>100</v>
      </c>
      <c r="FQ439" s="2" t="n">
        <v>0</v>
      </c>
    </row>
    <row r="440">
      <c r="A440" s="2" t="n">
        <v>3</v>
      </c>
      <c r="B440" s="2" t="inlineStr">
        <is>
          <t>20.04.01</t>
        </is>
      </c>
      <c r="C440" s="2" t="inlineStr">
        <is>
          <t>Camada de regularização com argamassa de cimento e areia</t>
        </is>
      </c>
      <c r="D440" s="2" t="inlineStr">
        <is>
          <t>26/11/2026</t>
        </is>
      </c>
      <c r="E440" s="2" t="inlineStr">
        <is>
          <t>07/02/2028</t>
        </is>
      </c>
      <c r="F440" s="2" t="n">
        <v>66725.33421174216</v>
      </c>
      <c r="G440" s="2" t="n">
        <v>0</v>
      </c>
      <c r="H440" s="2" t="n">
        <v>66725.33421174216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0</v>
      </c>
      <c r="CJ440" s="2" t="n">
        <v>0</v>
      </c>
      <c r="CK440" s="2" t="n">
        <v>0</v>
      </c>
      <c r="CL440" s="2" t="n">
        <v>4.03</v>
      </c>
      <c r="CM440" s="2" t="n">
        <v>1.1</v>
      </c>
      <c r="CN440" s="2" t="n">
        <v>0</v>
      </c>
      <c r="CO440" s="2" t="n">
        <v>7.26</v>
      </c>
      <c r="CP440" s="2" t="n">
        <v>3.87</v>
      </c>
      <c r="CQ440" s="2" t="n">
        <v>0</v>
      </c>
      <c r="CR440" s="2" t="n">
        <v>14.9</v>
      </c>
      <c r="CS440" s="2" t="n">
        <v>9.199999999999999</v>
      </c>
      <c r="CT440" s="2" t="n">
        <v>0</v>
      </c>
      <c r="CU440" s="2" t="n">
        <v>16.62</v>
      </c>
      <c r="CV440" s="2" t="n">
        <v>15.76</v>
      </c>
      <c r="CW440" s="2" t="n">
        <v>0</v>
      </c>
      <c r="CX440" s="2" t="n">
        <v>21.56</v>
      </c>
      <c r="CY440" s="2" t="n">
        <v>20.39</v>
      </c>
      <c r="CZ440" s="2" t="n">
        <v>0</v>
      </c>
      <c r="DA440" s="2" t="n">
        <v>29.51</v>
      </c>
      <c r="DB440" s="2" t="n">
        <v>27.71</v>
      </c>
      <c r="DC440" s="2" t="n">
        <v>0</v>
      </c>
      <c r="DD440" s="2" t="n">
        <v>38.52</v>
      </c>
      <c r="DE440" s="2" t="n">
        <v>37.07</v>
      </c>
      <c r="DF440" s="2" t="n">
        <v>0</v>
      </c>
      <c r="DG440" s="2" t="n">
        <v>52.61</v>
      </c>
      <c r="DH440" s="2" t="n">
        <v>49.69</v>
      </c>
      <c r="DI440" s="2" t="n">
        <v>0</v>
      </c>
      <c r="DJ440" s="2" t="n">
        <v>60.56</v>
      </c>
      <c r="DK440" s="2" t="n">
        <v>60.59</v>
      </c>
      <c r="DL440" s="2" t="n">
        <v>0</v>
      </c>
      <c r="DM440" s="2" t="n">
        <v>67.95</v>
      </c>
      <c r="DN440" s="2" t="n">
        <v>65.94</v>
      </c>
      <c r="DO440" s="2" t="n">
        <v>0</v>
      </c>
      <c r="DP440" s="2" t="n">
        <v>80.36</v>
      </c>
      <c r="DQ440" s="2" t="n">
        <v>76.16</v>
      </c>
      <c r="DR440" s="2" t="n">
        <v>0</v>
      </c>
      <c r="DS440" s="2" t="n">
        <v>91.52</v>
      </c>
      <c r="DT440" s="2" t="n">
        <v>84.45999999999999</v>
      </c>
      <c r="DU440" s="2" t="n">
        <v>0</v>
      </c>
      <c r="DV440" s="2" t="n">
        <v>96.2</v>
      </c>
      <c r="DW440" s="2" t="n">
        <v>90.06999999999999</v>
      </c>
      <c r="DX440" s="2" t="n">
        <v>0</v>
      </c>
      <c r="DY440" s="2" t="n">
        <v>98.98999999999999</v>
      </c>
      <c r="DZ440" s="2" t="n">
        <v>93.86</v>
      </c>
      <c r="EA440" s="2" t="n">
        <v>0</v>
      </c>
      <c r="EB440" s="2" t="n">
        <v>100</v>
      </c>
      <c r="EC440" s="2" t="n">
        <v>99.44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  <c r="ET440" s="2" t="n">
        <v>100</v>
      </c>
      <c r="EU440" s="2" t="n">
        <v>100</v>
      </c>
      <c r="EV440" s="2" t="n">
        <v>0</v>
      </c>
      <c r="EW440" s="2" t="n">
        <v>100</v>
      </c>
      <c r="EX440" s="2" t="n">
        <v>100</v>
      </c>
      <c r="EY440" s="2" t="n">
        <v>0</v>
      </c>
      <c r="EZ440" s="2" t="n">
        <v>100</v>
      </c>
      <c r="FA440" s="2" t="n">
        <v>100</v>
      </c>
      <c r="FB440" s="2" t="n">
        <v>0</v>
      </c>
      <c r="FC440" s="2" t="n">
        <v>100</v>
      </c>
      <c r="FD440" s="2" t="n">
        <v>100</v>
      </c>
      <c r="FE440" s="2" t="n">
        <v>0</v>
      </c>
      <c r="FF440" s="2" t="n">
        <v>100</v>
      </c>
      <c r="FG440" s="2" t="n">
        <v>100</v>
      </c>
      <c r="FH440" s="2" t="n">
        <v>0</v>
      </c>
      <c r="FI440" s="2" t="n">
        <v>100</v>
      </c>
      <c r="FJ440" s="2" t="n">
        <v>100</v>
      </c>
      <c r="FK440" s="2" t="n">
        <v>0</v>
      </c>
      <c r="FL440" s="2" t="n">
        <v>100</v>
      </c>
      <c r="FM440" s="2" t="n">
        <v>100</v>
      </c>
      <c r="FN440" s="2" t="n">
        <v>0</v>
      </c>
      <c r="FO440" s="2" t="n">
        <v>100</v>
      </c>
      <c r="FP440" s="2" t="n">
        <v>100</v>
      </c>
      <c r="FQ440" s="2" t="n">
        <v>0</v>
      </c>
    </row>
    <row r="441">
      <c r="A441" s="2" t="n">
        <v>3</v>
      </c>
      <c r="B441" s="2" t="inlineStr">
        <is>
          <t>20.04.02</t>
        </is>
      </c>
      <c r="C441" s="2" t="inlineStr">
        <is>
          <t>Proteção mecânica armada estruturada com tela galvanizada fio 22 malha 1"</t>
        </is>
      </c>
      <c r="D441" s="2" t="inlineStr">
        <is>
          <t>26/11/2026</t>
        </is>
      </c>
      <c r="E441" s="2" t="inlineStr">
        <is>
          <t>07/02/2028</t>
        </is>
      </c>
      <c r="F441" s="2" t="n">
        <v>300786.0556404018</v>
      </c>
      <c r="G441" s="2" t="n">
        <v>0</v>
      </c>
      <c r="H441" s="2" t="n">
        <v>300786.0556404018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0</v>
      </c>
      <c r="CJ441" s="2" t="n">
        <v>0</v>
      </c>
      <c r="CK441" s="2" t="n">
        <v>0</v>
      </c>
      <c r="CL441" s="2" t="n">
        <v>4.03</v>
      </c>
      <c r="CM441" s="2" t="n">
        <v>1.1</v>
      </c>
      <c r="CN441" s="2" t="n">
        <v>0</v>
      </c>
      <c r="CO441" s="2" t="n">
        <v>7.26</v>
      </c>
      <c r="CP441" s="2" t="n">
        <v>3.87</v>
      </c>
      <c r="CQ441" s="2" t="n">
        <v>0</v>
      </c>
      <c r="CR441" s="2" t="n">
        <v>14.9</v>
      </c>
      <c r="CS441" s="2" t="n">
        <v>9.199999999999999</v>
      </c>
      <c r="CT441" s="2" t="n">
        <v>0</v>
      </c>
      <c r="CU441" s="2" t="n">
        <v>16.62</v>
      </c>
      <c r="CV441" s="2" t="n">
        <v>15.76</v>
      </c>
      <c r="CW441" s="2" t="n">
        <v>0</v>
      </c>
      <c r="CX441" s="2" t="n">
        <v>21.56</v>
      </c>
      <c r="CY441" s="2" t="n">
        <v>20.39</v>
      </c>
      <c r="CZ441" s="2" t="n">
        <v>0</v>
      </c>
      <c r="DA441" s="2" t="n">
        <v>29.51</v>
      </c>
      <c r="DB441" s="2" t="n">
        <v>27.71</v>
      </c>
      <c r="DC441" s="2" t="n">
        <v>0</v>
      </c>
      <c r="DD441" s="2" t="n">
        <v>38.52</v>
      </c>
      <c r="DE441" s="2" t="n">
        <v>37.07</v>
      </c>
      <c r="DF441" s="2" t="n">
        <v>0</v>
      </c>
      <c r="DG441" s="2" t="n">
        <v>52.61</v>
      </c>
      <c r="DH441" s="2" t="n">
        <v>49.69</v>
      </c>
      <c r="DI441" s="2" t="n">
        <v>0</v>
      </c>
      <c r="DJ441" s="2" t="n">
        <v>60.56</v>
      </c>
      <c r="DK441" s="2" t="n">
        <v>60.59</v>
      </c>
      <c r="DL441" s="2" t="n">
        <v>0</v>
      </c>
      <c r="DM441" s="2" t="n">
        <v>67.95</v>
      </c>
      <c r="DN441" s="2" t="n">
        <v>65.94</v>
      </c>
      <c r="DO441" s="2" t="n">
        <v>0</v>
      </c>
      <c r="DP441" s="2" t="n">
        <v>80.36</v>
      </c>
      <c r="DQ441" s="2" t="n">
        <v>76.16</v>
      </c>
      <c r="DR441" s="2" t="n">
        <v>0</v>
      </c>
      <c r="DS441" s="2" t="n">
        <v>91.52</v>
      </c>
      <c r="DT441" s="2" t="n">
        <v>84.45999999999999</v>
      </c>
      <c r="DU441" s="2" t="n">
        <v>0</v>
      </c>
      <c r="DV441" s="2" t="n">
        <v>96.2</v>
      </c>
      <c r="DW441" s="2" t="n">
        <v>90.06999999999999</v>
      </c>
      <c r="DX441" s="2" t="n">
        <v>0</v>
      </c>
      <c r="DY441" s="2" t="n">
        <v>98.98999999999999</v>
      </c>
      <c r="DZ441" s="2" t="n">
        <v>93.86</v>
      </c>
      <c r="EA441" s="2" t="n">
        <v>0</v>
      </c>
      <c r="EB441" s="2" t="n">
        <v>100</v>
      </c>
      <c r="EC441" s="2" t="n">
        <v>99.44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  <c r="ET441" s="2" t="n">
        <v>100</v>
      </c>
      <c r="EU441" s="2" t="n">
        <v>100</v>
      </c>
      <c r="EV441" s="2" t="n">
        <v>0</v>
      </c>
      <c r="EW441" s="2" t="n">
        <v>100</v>
      </c>
      <c r="EX441" s="2" t="n">
        <v>100</v>
      </c>
      <c r="EY441" s="2" t="n">
        <v>0</v>
      </c>
      <c r="EZ441" s="2" t="n">
        <v>100</v>
      </c>
      <c r="FA441" s="2" t="n">
        <v>100</v>
      </c>
      <c r="FB441" s="2" t="n">
        <v>0</v>
      </c>
      <c r="FC441" s="2" t="n">
        <v>100</v>
      </c>
      <c r="FD441" s="2" t="n">
        <v>100</v>
      </c>
      <c r="FE441" s="2" t="n">
        <v>0</v>
      </c>
      <c r="FF441" s="2" t="n">
        <v>100</v>
      </c>
      <c r="FG441" s="2" t="n">
        <v>100</v>
      </c>
      <c r="FH441" s="2" t="n">
        <v>0</v>
      </c>
      <c r="FI441" s="2" t="n">
        <v>100</v>
      </c>
      <c r="FJ441" s="2" t="n">
        <v>100</v>
      </c>
      <c r="FK441" s="2" t="n">
        <v>0</v>
      </c>
      <c r="FL441" s="2" t="n">
        <v>100</v>
      </c>
      <c r="FM441" s="2" t="n">
        <v>100</v>
      </c>
      <c r="FN441" s="2" t="n">
        <v>0</v>
      </c>
      <c r="FO441" s="2" t="n">
        <v>100</v>
      </c>
      <c r="FP441" s="2" t="n">
        <v>100</v>
      </c>
      <c r="FQ441" s="2" t="n">
        <v>0</v>
      </c>
    </row>
    <row r="442">
      <c r="A442" s="2" t="n">
        <v>3</v>
      </c>
      <c r="B442" s="2" t="inlineStr">
        <is>
          <t>20.04.03</t>
        </is>
      </c>
      <c r="C442" s="2" t="inlineStr">
        <is>
          <t>Camada com transição geotextil 200g/m³</t>
        </is>
      </c>
      <c r="D442" s="2" t="inlineStr">
        <is>
          <t>26/11/2026</t>
        </is>
      </c>
      <c r="E442" s="2" t="inlineStr">
        <is>
          <t>07/02/2028</t>
        </is>
      </c>
      <c r="F442" s="2" t="n">
        <v>8833.189499999999</v>
      </c>
      <c r="G442" s="2" t="n">
        <v>0</v>
      </c>
      <c r="H442" s="2" t="n">
        <v>8833.189499999999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0</v>
      </c>
      <c r="CJ442" s="2" t="n">
        <v>0</v>
      </c>
      <c r="CK442" s="2" t="n">
        <v>0</v>
      </c>
      <c r="CL442" s="2" t="n">
        <v>4.03</v>
      </c>
      <c r="CM442" s="2" t="n">
        <v>1.1</v>
      </c>
      <c r="CN442" s="2" t="n">
        <v>0</v>
      </c>
      <c r="CO442" s="2" t="n">
        <v>7.26</v>
      </c>
      <c r="CP442" s="2" t="n">
        <v>3.87</v>
      </c>
      <c r="CQ442" s="2" t="n">
        <v>0</v>
      </c>
      <c r="CR442" s="2" t="n">
        <v>14.9</v>
      </c>
      <c r="CS442" s="2" t="n">
        <v>9.199999999999999</v>
      </c>
      <c r="CT442" s="2" t="n">
        <v>0</v>
      </c>
      <c r="CU442" s="2" t="n">
        <v>16.62</v>
      </c>
      <c r="CV442" s="2" t="n">
        <v>15.76</v>
      </c>
      <c r="CW442" s="2" t="n">
        <v>0</v>
      </c>
      <c r="CX442" s="2" t="n">
        <v>21.56</v>
      </c>
      <c r="CY442" s="2" t="n">
        <v>20.39</v>
      </c>
      <c r="CZ442" s="2" t="n">
        <v>0</v>
      </c>
      <c r="DA442" s="2" t="n">
        <v>29.51</v>
      </c>
      <c r="DB442" s="2" t="n">
        <v>27.71</v>
      </c>
      <c r="DC442" s="2" t="n">
        <v>0</v>
      </c>
      <c r="DD442" s="2" t="n">
        <v>38.52</v>
      </c>
      <c r="DE442" s="2" t="n">
        <v>37.07</v>
      </c>
      <c r="DF442" s="2" t="n">
        <v>0</v>
      </c>
      <c r="DG442" s="2" t="n">
        <v>52.61</v>
      </c>
      <c r="DH442" s="2" t="n">
        <v>49.69</v>
      </c>
      <c r="DI442" s="2" t="n">
        <v>0</v>
      </c>
      <c r="DJ442" s="2" t="n">
        <v>60.56</v>
      </c>
      <c r="DK442" s="2" t="n">
        <v>60.59</v>
      </c>
      <c r="DL442" s="2" t="n">
        <v>0</v>
      </c>
      <c r="DM442" s="2" t="n">
        <v>67.95</v>
      </c>
      <c r="DN442" s="2" t="n">
        <v>65.94</v>
      </c>
      <c r="DO442" s="2" t="n">
        <v>0</v>
      </c>
      <c r="DP442" s="2" t="n">
        <v>80.36</v>
      </c>
      <c r="DQ442" s="2" t="n">
        <v>76.16</v>
      </c>
      <c r="DR442" s="2" t="n">
        <v>0</v>
      </c>
      <c r="DS442" s="2" t="n">
        <v>91.52</v>
      </c>
      <c r="DT442" s="2" t="n">
        <v>84.45999999999999</v>
      </c>
      <c r="DU442" s="2" t="n">
        <v>0</v>
      </c>
      <c r="DV442" s="2" t="n">
        <v>96.2</v>
      </c>
      <c r="DW442" s="2" t="n">
        <v>90.06999999999999</v>
      </c>
      <c r="DX442" s="2" t="n">
        <v>0</v>
      </c>
      <c r="DY442" s="2" t="n">
        <v>98.98999999999999</v>
      </c>
      <c r="DZ442" s="2" t="n">
        <v>93.86</v>
      </c>
      <c r="EA442" s="2" t="n">
        <v>0</v>
      </c>
      <c r="EB442" s="2" t="n">
        <v>100</v>
      </c>
      <c r="EC442" s="2" t="n">
        <v>99.44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  <c r="ET442" s="2" t="n">
        <v>100</v>
      </c>
      <c r="EU442" s="2" t="n">
        <v>100</v>
      </c>
      <c r="EV442" s="2" t="n">
        <v>0</v>
      </c>
      <c r="EW442" s="2" t="n">
        <v>100</v>
      </c>
      <c r="EX442" s="2" t="n">
        <v>100</v>
      </c>
      <c r="EY442" s="2" t="n">
        <v>0</v>
      </c>
      <c r="EZ442" s="2" t="n">
        <v>100</v>
      </c>
      <c r="FA442" s="2" t="n">
        <v>100</v>
      </c>
      <c r="FB442" s="2" t="n">
        <v>0</v>
      </c>
      <c r="FC442" s="2" t="n">
        <v>100</v>
      </c>
      <c r="FD442" s="2" t="n">
        <v>100</v>
      </c>
      <c r="FE442" s="2" t="n">
        <v>0</v>
      </c>
      <c r="FF442" s="2" t="n">
        <v>100</v>
      </c>
      <c r="FG442" s="2" t="n">
        <v>100</v>
      </c>
      <c r="FH442" s="2" t="n">
        <v>0</v>
      </c>
      <c r="FI442" s="2" t="n">
        <v>100</v>
      </c>
      <c r="FJ442" s="2" t="n">
        <v>100</v>
      </c>
      <c r="FK442" s="2" t="n">
        <v>0</v>
      </c>
      <c r="FL442" s="2" t="n">
        <v>100</v>
      </c>
      <c r="FM442" s="2" t="n">
        <v>100</v>
      </c>
      <c r="FN442" s="2" t="n">
        <v>0</v>
      </c>
      <c r="FO442" s="2" t="n">
        <v>100</v>
      </c>
      <c r="FP442" s="2" t="n">
        <v>100</v>
      </c>
      <c r="FQ442" s="2" t="n">
        <v>0</v>
      </c>
    </row>
    <row r="443">
      <c r="A443" s="2" t="n">
        <v>3</v>
      </c>
      <c r="B443" s="2" t="inlineStr">
        <is>
          <t>20.04.04</t>
        </is>
      </c>
      <c r="C443" s="2" t="inlineStr">
        <is>
          <t>Camada drenante com britas 1 e 2</t>
        </is>
      </c>
      <c r="D443" s="2" t="inlineStr">
        <is>
          <t>26/11/2026</t>
        </is>
      </c>
      <c r="E443" s="2" t="inlineStr">
        <is>
          <t>07/02/2028</t>
        </is>
      </c>
      <c r="F443" s="2" t="n">
        <v>94602.97446634725</v>
      </c>
      <c r="G443" s="2" t="n">
        <v>0</v>
      </c>
      <c r="H443" s="2" t="n">
        <v>94602.97446634725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0</v>
      </c>
      <c r="CJ443" s="2" t="n">
        <v>0</v>
      </c>
      <c r="CK443" s="2" t="n">
        <v>0</v>
      </c>
      <c r="CL443" s="2" t="n">
        <v>4.03</v>
      </c>
      <c r="CM443" s="2" t="n">
        <v>1.1</v>
      </c>
      <c r="CN443" s="2" t="n">
        <v>0</v>
      </c>
      <c r="CO443" s="2" t="n">
        <v>7.26</v>
      </c>
      <c r="CP443" s="2" t="n">
        <v>3.87</v>
      </c>
      <c r="CQ443" s="2" t="n">
        <v>0</v>
      </c>
      <c r="CR443" s="2" t="n">
        <v>14.9</v>
      </c>
      <c r="CS443" s="2" t="n">
        <v>9.199999999999999</v>
      </c>
      <c r="CT443" s="2" t="n">
        <v>0</v>
      </c>
      <c r="CU443" s="2" t="n">
        <v>16.62</v>
      </c>
      <c r="CV443" s="2" t="n">
        <v>15.76</v>
      </c>
      <c r="CW443" s="2" t="n">
        <v>0</v>
      </c>
      <c r="CX443" s="2" t="n">
        <v>21.56</v>
      </c>
      <c r="CY443" s="2" t="n">
        <v>20.39</v>
      </c>
      <c r="CZ443" s="2" t="n">
        <v>0</v>
      </c>
      <c r="DA443" s="2" t="n">
        <v>29.51</v>
      </c>
      <c r="DB443" s="2" t="n">
        <v>27.71</v>
      </c>
      <c r="DC443" s="2" t="n">
        <v>0</v>
      </c>
      <c r="DD443" s="2" t="n">
        <v>38.52</v>
      </c>
      <c r="DE443" s="2" t="n">
        <v>37.07</v>
      </c>
      <c r="DF443" s="2" t="n">
        <v>0</v>
      </c>
      <c r="DG443" s="2" t="n">
        <v>52.61</v>
      </c>
      <c r="DH443" s="2" t="n">
        <v>49.69</v>
      </c>
      <c r="DI443" s="2" t="n">
        <v>0</v>
      </c>
      <c r="DJ443" s="2" t="n">
        <v>60.56</v>
      </c>
      <c r="DK443" s="2" t="n">
        <v>60.59</v>
      </c>
      <c r="DL443" s="2" t="n">
        <v>0</v>
      </c>
      <c r="DM443" s="2" t="n">
        <v>67.95</v>
      </c>
      <c r="DN443" s="2" t="n">
        <v>65.94</v>
      </c>
      <c r="DO443" s="2" t="n">
        <v>0</v>
      </c>
      <c r="DP443" s="2" t="n">
        <v>80.36</v>
      </c>
      <c r="DQ443" s="2" t="n">
        <v>76.16</v>
      </c>
      <c r="DR443" s="2" t="n">
        <v>0</v>
      </c>
      <c r="DS443" s="2" t="n">
        <v>91.52</v>
      </c>
      <c r="DT443" s="2" t="n">
        <v>84.45999999999999</v>
      </c>
      <c r="DU443" s="2" t="n">
        <v>0</v>
      </c>
      <c r="DV443" s="2" t="n">
        <v>96.2</v>
      </c>
      <c r="DW443" s="2" t="n">
        <v>90.06999999999999</v>
      </c>
      <c r="DX443" s="2" t="n">
        <v>0</v>
      </c>
      <c r="DY443" s="2" t="n">
        <v>98.98999999999999</v>
      </c>
      <c r="DZ443" s="2" t="n">
        <v>93.86</v>
      </c>
      <c r="EA443" s="2" t="n">
        <v>0</v>
      </c>
      <c r="EB443" s="2" t="n">
        <v>100</v>
      </c>
      <c r="EC443" s="2" t="n">
        <v>99.44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  <c r="ET443" s="2" t="n">
        <v>100</v>
      </c>
      <c r="EU443" s="2" t="n">
        <v>100</v>
      </c>
      <c r="EV443" s="2" t="n">
        <v>0</v>
      </c>
      <c r="EW443" s="2" t="n">
        <v>100</v>
      </c>
      <c r="EX443" s="2" t="n">
        <v>100</v>
      </c>
      <c r="EY443" s="2" t="n">
        <v>0</v>
      </c>
      <c r="EZ443" s="2" t="n">
        <v>100</v>
      </c>
      <c r="FA443" s="2" t="n">
        <v>100</v>
      </c>
      <c r="FB443" s="2" t="n">
        <v>0</v>
      </c>
      <c r="FC443" s="2" t="n">
        <v>100</v>
      </c>
      <c r="FD443" s="2" t="n">
        <v>100</v>
      </c>
      <c r="FE443" s="2" t="n">
        <v>0</v>
      </c>
      <c r="FF443" s="2" t="n">
        <v>100</v>
      </c>
      <c r="FG443" s="2" t="n">
        <v>100</v>
      </c>
      <c r="FH443" s="2" t="n">
        <v>0</v>
      </c>
      <c r="FI443" s="2" t="n">
        <v>100</v>
      </c>
      <c r="FJ443" s="2" t="n">
        <v>100</v>
      </c>
      <c r="FK443" s="2" t="n">
        <v>0</v>
      </c>
      <c r="FL443" s="2" t="n">
        <v>100</v>
      </c>
      <c r="FM443" s="2" t="n">
        <v>100</v>
      </c>
      <c r="FN443" s="2" t="n">
        <v>0</v>
      </c>
      <c r="FO443" s="2" t="n">
        <v>100</v>
      </c>
      <c r="FP443" s="2" t="n">
        <v>100</v>
      </c>
      <c r="FQ443" s="2" t="n">
        <v>0</v>
      </c>
    </row>
    <row r="444">
      <c r="A444" s="2" t="n">
        <v>3</v>
      </c>
      <c r="B444" s="2" t="inlineStr">
        <is>
          <t>20.04.05</t>
        </is>
      </c>
      <c r="C444" s="2" t="inlineStr">
        <is>
          <t>Tratamento drenante com sistema de manta do tipo Macdrain 2l</t>
        </is>
      </c>
      <c r="D444" s="2" t="inlineStr">
        <is>
          <t>26/11/2026</t>
        </is>
      </c>
      <c r="E444" s="2" t="inlineStr">
        <is>
          <t>07/02/2028</t>
        </is>
      </c>
      <c r="F444" s="2" t="n">
        <v>139661.1695300008</v>
      </c>
      <c r="G444" s="2" t="n">
        <v>0</v>
      </c>
      <c r="H444" s="2" t="n">
        <v>139661.1695300008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0</v>
      </c>
      <c r="CJ444" s="2" t="n">
        <v>0</v>
      </c>
      <c r="CK444" s="2" t="n">
        <v>0</v>
      </c>
      <c r="CL444" s="2" t="n">
        <v>4.03</v>
      </c>
      <c r="CM444" s="2" t="n">
        <v>1.1</v>
      </c>
      <c r="CN444" s="2" t="n">
        <v>0</v>
      </c>
      <c r="CO444" s="2" t="n">
        <v>7.26</v>
      </c>
      <c r="CP444" s="2" t="n">
        <v>3.87</v>
      </c>
      <c r="CQ444" s="2" t="n">
        <v>0</v>
      </c>
      <c r="CR444" s="2" t="n">
        <v>14.9</v>
      </c>
      <c r="CS444" s="2" t="n">
        <v>9.199999999999999</v>
      </c>
      <c r="CT444" s="2" t="n">
        <v>0</v>
      </c>
      <c r="CU444" s="2" t="n">
        <v>16.62</v>
      </c>
      <c r="CV444" s="2" t="n">
        <v>15.76</v>
      </c>
      <c r="CW444" s="2" t="n">
        <v>0</v>
      </c>
      <c r="CX444" s="2" t="n">
        <v>21.56</v>
      </c>
      <c r="CY444" s="2" t="n">
        <v>20.39</v>
      </c>
      <c r="CZ444" s="2" t="n">
        <v>0</v>
      </c>
      <c r="DA444" s="2" t="n">
        <v>29.51</v>
      </c>
      <c r="DB444" s="2" t="n">
        <v>27.71</v>
      </c>
      <c r="DC444" s="2" t="n">
        <v>0</v>
      </c>
      <c r="DD444" s="2" t="n">
        <v>38.52</v>
      </c>
      <c r="DE444" s="2" t="n">
        <v>37.07</v>
      </c>
      <c r="DF444" s="2" t="n">
        <v>0</v>
      </c>
      <c r="DG444" s="2" t="n">
        <v>52.61</v>
      </c>
      <c r="DH444" s="2" t="n">
        <v>49.69</v>
      </c>
      <c r="DI444" s="2" t="n">
        <v>0</v>
      </c>
      <c r="DJ444" s="2" t="n">
        <v>60.56</v>
      </c>
      <c r="DK444" s="2" t="n">
        <v>60.59</v>
      </c>
      <c r="DL444" s="2" t="n">
        <v>0</v>
      </c>
      <c r="DM444" s="2" t="n">
        <v>67.95</v>
      </c>
      <c r="DN444" s="2" t="n">
        <v>65.94</v>
      </c>
      <c r="DO444" s="2" t="n">
        <v>0</v>
      </c>
      <c r="DP444" s="2" t="n">
        <v>80.36</v>
      </c>
      <c r="DQ444" s="2" t="n">
        <v>76.16</v>
      </c>
      <c r="DR444" s="2" t="n">
        <v>0</v>
      </c>
      <c r="DS444" s="2" t="n">
        <v>91.52</v>
      </c>
      <c r="DT444" s="2" t="n">
        <v>84.45999999999999</v>
      </c>
      <c r="DU444" s="2" t="n">
        <v>0</v>
      </c>
      <c r="DV444" s="2" t="n">
        <v>96.2</v>
      </c>
      <c r="DW444" s="2" t="n">
        <v>90.06999999999999</v>
      </c>
      <c r="DX444" s="2" t="n">
        <v>0</v>
      </c>
      <c r="DY444" s="2" t="n">
        <v>98.98999999999999</v>
      </c>
      <c r="DZ444" s="2" t="n">
        <v>93.86</v>
      </c>
      <c r="EA444" s="2" t="n">
        <v>0</v>
      </c>
      <c r="EB444" s="2" t="n">
        <v>100</v>
      </c>
      <c r="EC444" s="2" t="n">
        <v>99.44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  <c r="ET444" s="2" t="n">
        <v>100</v>
      </c>
      <c r="EU444" s="2" t="n">
        <v>100</v>
      </c>
      <c r="EV444" s="2" t="n">
        <v>0</v>
      </c>
      <c r="EW444" s="2" t="n">
        <v>100</v>
      </c>
      <c r="EX444" s="2" t="n">
        <v>100</v>
      </c>
      <c r="EY444" s="2" t="n">
        <v>0</v>
      </c>
      <c r="EZ444" s="2" t="n">
        <v>100</v>
      </c>
      <c r="FA444" s="2" t="n">
        <v>100</v>
      </c>
      <c r="FB444" s="2" t="n">
        <v>0</v>
      </c>
      <c r="FC444" s="2" t="n">
        <v>100</v>
      </c>
      <c r="FD444" s="2" t="n">
        <v>100</v>
      </c>
      <c r="FE444" s="2" t="n">
        <v>0</v>
      </c>
      <c r="FF444" s="2" t="n">
        <v>100</v>
      </c>
      <c r="FG444" s="2" t="n">
        <v>100</v>
      </c>
      <c r="FH444" s="2" t="n">
        <v>0</v>
      </c>
      <c r="FI444" s="2" t="n">
        <v>100</v>
      </c>
      <c r="FJ444" s="2" t="n">
        <v>100</v>
      </c>
      <c r="FK444" s="2" t="n">
        <v>0</v>
      </c>
      <c r="FL444" s="2" t="n">
        <v>100</v>
      </c>
      <c r="FM444" s="2" t="n">
        <v>100</v>
      </c>
      <c r="FN444" s="2" t="n">
        <v>0</v>
      </c>
      <c r="FO444" s="2" t="n">
        <v>100</v>
      </c>
      <c r="FP444" s="2" t="n">
        <v>100</v>
      </c>
      <c r="FQ444" s="2" t="n">
        <v>0</v>
      </c>
    </row>
    <row r="445">
      <c r="A445" s="2" t="n">
        <v>3</v>
      </c>
      <c r="B445" s="2" t="inlineStr">
        <is>
          <t>20.04.06</t>
        </is>
      </c>
      <c r="C445" s="2" t="inlineStr">
        <is>
          <t>Junta perimetral preenchida com mastique de poliuretano</t>
        </is>
      </c>
      <c r="D445" s="2" t="inlineStr">
        <is>
          <t>26/11/2026</t>
        </is>
      </c>
      <c r="E445" s="2" t="inlineStr">
        <is>
          <t>07/02/2028</t>
        </is>
      </c>
      <c r="F445" s="2" t="n">
        <v>11483.90085849155</v>
      </c>
      <c r="G445" s="2" t="n">
        <v>0</v>
      </c>
      <c r="H445" s="2" t="n">
        <v>11483.90085849155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0</v>
      </c>
      <c r="CJ445" s="2" t="n">
        <v>0</v>
      </c>
      <c r="CK445" s="2" t="n">
        <v>0</v>
      </c>
      <c r="CL445" s="2" t="n">
        <v>4.03</v>
      </c>
      <c r="CM445" s="2" t="n">
        <v>1.1</v>
      </c>
      <c r="CN445" s="2" t="n">
        <v>0</v>
      </c>
      <c r="CO445" s="2" t="n">
        <v>7.26</v>
      </c>
      <c r="CP445" s="2" t="n">
        <v>3.87</v>
      </c>
      <c r="CQ445" s="2" t="n">
        <v>0</v>
      </c>
      <c r="CR445" s="2" t="n">
        <v>14.9</v>
      </c>
      <c r="CS445" s="2" t="n">
        <v>9.199999999999999</v>
      </c>
      <c r="CT445" s="2" t="n">
        <v>0</v>
      </c>
      <c r="CU445" s="2" t="n">
        <v>16.62</v>
      </c>
      <c r="CV445" s="2" t="n">
        <v>15.76</v>
      </c>
      <c r="CW445" s="2" t="n">
        <v>0</v>
      </c>
      <c r="CX445" s="2" t="n">
        <v>21.56</v>
      </c>
      <c r="CY445" s="2" t="n">
        <v>20.39</v>
      </c>
      <c r="CZ445" s="2" t="n">
        <v>0</v>
      </c>
      <c r="DA445" s="2" t="n">
        <v>29.51</v>
      </c>
      <c r="DB445" s="2" t="n">
        <v>27.71</v>
      </c>
      <c r="DC445" s="2" t="n">
        <v>0</v>
      </c>
      <c r="DD445" s="2" t="n">
        <v>38.52</v>
      </c>
      <c r="DE445" s="2" t="n">
        <v>37.07</v>
      </c>
      <c r="DF445" s="2" t="n">
        <v>0</v>
      </c>
      <c r="DG445" s="2" t="n">
        <v>52.61</v>
      </c>
      <c r="DH445" s="2" t="n">
        <v>49.69</v>
      </c>
      <c r="DI445" s="2" t="n">
        <v>0</v>
      </c>
      <c r="DJ445" s="2" t="n">
        <v>60.56</v>
      </c>
      <c r="DK445" s="2" t="n">
        <v>60.59</v>
      </c>
      <c r="DL445" s="2" t="n">
        <v>0</v>
      </c>
      <c r="DM445" s="2" t="n">
        <v>67.95</v>
      </c>
      <c r="DN445" s="2" t="n">
        <v>65.94</v>
      </c>
      <c r="DO445" s="2" t="n">
        <v>0</v>
      </c>
      <c r="DP445" s="2" t="n">
        <v>80.36</v>
      </c>
      <c r="DQ445" s="2" t="n">
        <v>76.16</v>
      </c>
      <c r="DR445" s="2" t="n">
        <v>0</v>
      </c>
      <c r="DS445" s="2" t="n">
        <v>91.52</v>
      </c>
      <c r="DT445" s="2" t="n">
        <v>84.45999999999999</v>
      </c>
      <c r="DU445" s="2" t="n">
        <v>0</v>
      </c>
      <c r="DV445" s="2" t="n">
        <v>96.2</v>
      </c>
      <c r="DW445" s="2" t="n">
        <v>90.06999999999999</v>
      </c>
      <c r="DX445" s="2" t="n">
        <v>0</v>
      </c>
      <c r="DY445" s="2" t="n">
        <v>98.98999999999999</v>
      </c>
      <c r="DZ445" s="2" t="n">
        <v>93.86</v>
      </c>
      <c r="EA445" s="2" t="n">
        <v>0</v>
      </c>
      <c r="EB445" s="2" t="n">
        <v>100</v>
      </c>
      <c r="EC445" s="2" t="n">
        <v>99.44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  <c r="ET445" s="2" t="n">
        <v>100</v>
      </c>
      <c r="EU445" s="2" t="n">
        <v>100</v>
      </c>
      <c r="EV445" s="2" t="n">
        <v>0</v>
      </c>
      <c r="EW445" s="2" t="n">
        <v>100</v>
      </c>
      <c r="EX445" s="2" t="n">
        <v>100</v>
      </c>
      <c r="EY445" s="2" t="n">
        <v>0</v>
      </c>
      <c r="EZ445" s="2" t="n">
        <v>100</v>
      </c>
      <c r="FA445" s="2" t="n">
        <v>100</v>
      </c>
      <c r="FB445" s="2" t="n">
        <v>0</v>
      </c>
      <c r="FC445" s="2" t="n">
        <v>100</v>
      </c>
      <c r="FD445" s="2" t="n">
        <v>100</v>
      </c>
      <c r="FE445" s="2" t="n">
        <v>0</v>
      </c>
      <c r="FF445" s="2" t="n">
        <v>100</v>
      </c>
      <c r="FG445" s="2" t="n">
        <v>100</v>
      </c>
      <c r="FH445" s="2" t="n">
        <v>0</v>
      </c>
      <c r="FI445" s="2" t="n">
        <v>100</v>
      </c>
      <c r="FJ445" s="2" t="n">
        <v>100</v>
      </c>
      <c r="FK445" s="2" t="n">
        <v>0</v>
      </c>
      <c r="FL445" s="2" t="n">
        <v>100</v>
      </c>
      <c r="FM445" s="2" t="n">
        <v>100</v>
      </c>
      <c r="FN445" s="2" t="n">
        <v>0</v>
      </c>
      <c r="FO445" s="2" t="n">
        <v>100</v>
      </c>
      <c r="FP445" s="2" t="n">
        <v>100</v>
      </c>
      <c r="FQ445" s="2" t="n">
        <v>0</v>
      </c>
    </row>
    <row r="446">
      <c r="A446" s="2" t="n">
        <v>3</v>
      </c>
      <c r="B446" s="2" t="inlineStr">
        <is>
          <t>20.04.07</t>
        </is>
      </c>
      <c r="C446" s="2" t="inlineStr">
        <is>
          <t>Cantoneira de alumínio/ galvanizada 2x2cm fixada com parafuso e bucha S6 a cada 30cm</t>
        </is>
      </c>
      <c r="D446" s="2" t="inlineStr">
        <is>
          <t>26/11/2026</t>
        </is>
      </c>
      <c r="E446" s="2" t="inlineStr">
        <is>
          <t>07/02/2028</t>
        </is>
      </c>
      <c r="F446" s="2" t="n">
        <v>41672.49683118405</v>
      </c>
      <c r="G446" s="2" t="n">
        <v>0</v>
      </c>
      <c r="H446" s="2" t="n">
        <v>41672.49683118405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0</v>
      </c>
      <c r="CJ446" s="2" t="n">
        <v>0</v>
      </c>
      <c r="CK446" s="2" t="n">
        <v>0</v>
      </c>
      <c r="CL446" s="2" t="n">
        <v>4.03</v>
      </c>
      <c r="CM446" s="2" t="n">
        <v>1.1</v>
      </c>
      <c r="CN446" s="2" t="n">
        <v>0</v>
      </c>
      <c r="CO446" s="2" t="n">
        <v>7.26</v>
      </c>
      <c r="CP446" s="2" t="n">
        <v>3.87</v>
      </c>
      <c r="CQ446" s="2" t="n">
        <v>0</v>
      </c>
      <c r="CR446" s="2" t="n">
        <v>14.9</v>
      </c>
      <c r="CS446" s="2" t="n">
        <v>9.199999999999999</v>
      </c>
      <c r="CT446" s="2" t="n">
        <v>0</v>
      </c>
      <c r="CU446" s="2" t="n">
        <v>16.62</v>
      </c>
      <c r="CV446" s="2" t="n">
        <v>15.76</v>
      </c>
      <c r="CW446" s="2" t="n">
        <v>0</v>
      </c>
      <c r="CX446" s="2" t="n">
        <v>21.56</v>
      </c>
      <c r="CY446" s="2" t="n">
        <v>20.39</v>
      </c>
      <c r="CZ446" s="2" t="n">
        <v>0</v>
      </c>
      <c r="DA446" s="2" t="n">
        <v>29.51</v>
      </c>
      <c r="DB446" s="2" t="n">
        <v>27.71</v>
      </c>
      <c r="DC446" s="2" t="n">
        <v>0</v>
      </c>
      <c r="DD446" s="2" t="n">
        <v>38.52</v>
      </c>
      <c r="DE446" s="2" t="n">
        <v>37.07</v>
      </c>
      <c r="DF446" s="2" t="n">
        <v>0</v>
      </c>
      <c r="DG446" s="2" t="n">
        <v>52.61</v>
      </c>
      <c r="DH446" s="2" t="n">
        <v>49.69</v>
      </c>
      <c r="DI446" s="2" t="n">
        <v>0</v>
      </c>
      <c r="DJ446" s="2" t="n">
        <v>60.56</v>
      </c>
      <c r="DK446" s="2" t="n">
        <v>60.59</v>
      </c>
      <c r="DL446" s="2" t="n">
        <v>0</v>
      </c>
      <c r="DM446" s="2" t="n">
        <v>67.95</v>
      </c>
      <c r="DN446" s="2" t="n">
        <v>65.94</v>
      </c>
      <c r="DO446" s="2" t="n">
        <v>0</v>
      </c>
      <c r="DP446" s="2" t="n">
        <v>80.36</v>
      </c>
      <c r="DQ446" s="2" t="n">
        <v>76.16</v>
      </c>
      <c r="DR446" s="2" t="n">
        <v>0</v>
      </c>
      <c r="DS446" s="2" t="n">
        <v>91.52</v>
      </c>
      <c r="DT446" s="2" t="n">
        <v>84.45999999999999</v>
      </c>
      <c r="DU446" s="2" t="n">
        <v>0</v>
      </c>
      <c r="DV446" s="2" t="n">
        <v>96.2</v>
      </c>
      <c r="DW446" s="2" t="n">
        <v>90.06999999999999</v>
      </c>
      <c r="DX446" s="2" t="n">
        <v>0</v>
      </c>
      <c r="DY446" s="2" t="n">
        <v>98.98999999999999</v>
      </c>
      <c r="DZ446" s="2" t="n">
        <v>93.86</v>
      </c>
      <c r="EA446" s="2" t="n">
        <v>0</v>
      </c>
      <c r="EB446" s="2" t="n">
        <v>100</v>
      </c>
      <c r="EC446" s="2" t="n">
        <v>99.44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  <c r="ET446" s="2" t="n">
        <v>100</v>
      </c>
      <c r="EU446" s="2" t="n">
        <v>100</v>
      </c>
      <c r="EV446" s="2" t="n">
        <v>0</v>
      </c>
      <c r="EW446" s="2" t="n">
        <v>100</v>
      </c>
      <c r="EX446" s="2" t="n">
        <v>100</v>
      </c>
      <c r="EY446" s="2" t="n">
        <v>0</v>
      </c>
      <c r="EZ446" s="2" t="n">
        <v>100</v>
      </c>
      <c r="FA446" s="2" t="n">
        <v>100</v>
      </c>
      <c r="FB446" s="2" t="n">
        <v>0</v>
      </c>
      <c r="FC446" s="2" t="n">
        <v>100</v>
      </c>
      <c r="FD446" s="2" t="n">
        <v>100</v>
      </c>
      <c r="FE446" s="2" t="n">
        <v>0</v>
      </c>
      <c r="FF446" s="2" t="n">
        <v>100</v>
      </c>
      <c r="FG446" s="2" t="n">
        <v>100</v>
      </c>
      <c r="FH446" s="2" t="n">
        <v>0</v>
      </c>
      <c r="FI446" s="2" t="n">
        <v>100</v>
      </c>
      <c r="FJ446" s="2" t="n">
        <v>100</v>
      </c>
      <c r="FK446" s="2" t="n">
        <v>0</v>
      </c>
      <c r="FL446" s="2" t="n">
        <v>100</v>
      </c>
      <c r="FM446" s="2" t="n">
        <v>100</v>
      </c>
      <c r="FN446" s="2" t="n">
        <v>0</v>
      </c>
      <c r="FO446" s="2" t="n">
        <v>100</v>
      </c>
      <c r="FP446" s="2" t="n">
        <v>100</v>
      </c>
      <c r="FQ446" s="2" t="n">
        <v>0</v>
      </c>
    </row>
    <row r="447">
      <c r="A447" s="2" t="n">
        <v>2</v>
      </c>
      <c r="B447" s="2" t="inlineStr">
        <is>
          <t>20.05</t>
        </is>
      </c>
      <c r="C447" s="2" t="inlineStr">
        <is>
          <t>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47" s="2" t="inlineStr">
        <is>
          <t>26/11/2026</t>
        </is>
      </c>
      <c r="E447" s="2" t="inlineStr">
        <is>
          <t>07/02/2028</t>
        </is>
      </c>
      <c r="F447" s="2" t="n">
        <v>802502.1499516339</v>
      </c>
      <c r="G447" s="2" t="n">
        <v>0</v>
      </c>
      <c r="H447" s="2" t="n">
        <v>802502.1499516339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0</v>
      </c>
      <c r="CJ447" s="2" t="n">
        <v>0</v>
      </c>
      <c r="CK447" s="2" t="n">
        <v>0</v>
      </c>
      <c r="CL447" s="2" t="n">
        <v>4.03</v>
      </c>
      <c r="CM447" s="2" t="n">
        <v>1.1</v>
      </c>
      <c r="CN447" s="2" t="n">
        <v>0</v>
      </c>
      <c r="CO447" s="2" t="n">
        <v>7.26</v>
      </c>
      <c r="CP447" s="2" t="n">
        <v>3.87</v>
      </c>
      <c r="CQ447" s="2" t="n">
        <v>0</v>
      </c>
      <c r="CR447" s="2" t="n">
        <v>14.9</v>
      </c>
      <c r="CS447" s="2" t="n">
        <v>9.199999999999999</v>
      </c>
      <c r="CT447" s="2" t="n">
        <v>0</v>
      </c>
      <c r="CU447" s="2" t="n">
        <v>16.62</v>
      </c>
      <c r="CV447" s="2" t="n">
        <v>15.76</v>
      </c>
      <c r="CW447" s="2" t="n">
        <v>0</v>
      </c>
      <c r="CX447" s="2" t="n">
        <v>21.56</v>
      </c>
      <c r="CY447" s="2" t="n">
        <v>20.39</v>
      </c>
      <c r="CZ447" s="2" t="n">
        <v>0</v>
      </c>
      <c r="DA447" s="2" t="n">
        <v>29.51</v>
      </c>
      <c r="DB447" s="2" t="n">
        <v>27.71</v>
      </c>
      <c r="DC447" s="2" t="n">
        <v>0</v>
      </c>
      <c r="DD447" s="2" t="n">
        <v>38.52</v>
      </c>
      <c r="DE447" s="2" t="n">
        <v>37.07</v>
      </c>
      <c r="DF447" s="2" t="n">
        <v>0</v>
      </c>
      <c r="DG447" s="2" t="n">
        <v>52.61</v>
      </c>
      <c r="DH447" s="2" t="n">
        <v>49.69</v>
      </c>
      <c r="DI447" s="2" t="n">
        <v>0</v>
      </c>
      <c r="DJ447" s="2" t="n">
        <v>60.56</v>
      </c>
      <c r="DK447" s="2" t="n">
        <v>60.59</v>
      </c>
      <c r="DL447" s="2" t="n">
        <v>0</v>
      </c>
      <c r="DM447" s="2" t="n">
        <v>67.95</v>
      </c>
      <c r="DN447" s="2" t="n">
        <v>65.94</v>
      </c>
      <c r="DO447" s="2" t="n">
        <v>0</v>
      </c>
      <c r="DP447" s="2" t="n">
        <v>80.36</v>
      </c>
      <c r="DQ447" s="2" t="n">
        <v>76.16</v>
      </c>
      <c r="DR447" s="2" t="n">
        <v>0</v>
      </c>
      <c r="DS447" s="2" t="n">
        <v>91.52</v>
      </c>
      <c r="DT447" s="2" t="n">
        <v>84.45999999999999</v>
      </c>
      <c r="DU447" s="2" t="n">
        <v>0</v>
      </c>
      <c r="DV447" s="2" t="n">
        <v>96.2</v>
      </c>
      <c r="DW447" s="2" t="n">
        <v>90.06999999999999</v>
      </c>
      <c r="DX447" s="2" t="n">
        <v>0</v>
      </c>
      <c r="DY447" s="2" t="n">
        <v>98.98999999999999</v>
      </c>
      <c r="DZ447" s="2" t="n">
        <v>93.86</v>
      </c>
      <c r="EA447" s="2" t="n">
        <v>0</v>
      </c>
      <c r="EB447" s="2" t="n">
        <v>100</v>
      </c>
      <c r="EC447" s="2" t="n">
        <v>99.44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  <c r="ET447" s="2" t="n">
        <v>100</v>
      </c>
      <c r="EU447" s="2" t="n">
        <v>100</v>
      </c>
      <c r="EV447" s="2" t="n">
        <v>0</v>
      </c>
      <c r="EW447" s="2" t="n">
        <v>100</v>
      </c>
      <c r="EX447" s="2" t="n">
        <v>100</v>
      </c>
      <c r="EY447" s="2" t="n">
        <v>0</v>
      </c>
      <c r="EZ447" s="2" t="n">
        <v>100</v>
      </c>
      <c r="FA447" s="2" t="n">
        <v>100</v>
      </c>
      <c r="FB447" s="2" t="n">
        <v>0</v>
      </c>
      <c r="FC447" s="2" t="n">
        <v>100</v>
      </c>
      <c r="FD447" s="2" t="n">
        <v>100</v>
      </c>
      <c r="FE447" s="2" t="n">
        <v>0</v>
      </c>
      <c r="FF447" s="2" t="n">
        <v>100</v>
      </c>
      <c r="FG447" s="2" t="n">
        <v>100</v>
      </c>
      <c r="FH447" s="2" t="n">
        <v>0</v>
      </c>
      <c r="FI447" s="2" t="n">
        <v>100</v>
      </c>
      <c r="FJ447" s="2" t="n">
        <v>100</v>
      </c>
      <c r="FK447" s="2" t="n">
        <v>0</v>
      </c>
      <c r="FL447" s="2" t="n">
        <v>100</v>
      </c>
      <c r="FM447" s="2" t="n">
        <v>100</v>
      </c>
      <c r="FN447" s="2" t="n">
        <v>0</v>
      </c>
      <c r="FO447" s="2" t="n">
        <v>100</v>
      </c>
      <c r="FP447" s="2" t="n">
        <v>100</v>
      </c>
      <c r="FQ447" s="2" t="n">
        <v>0</v>
      </c>
    </row>
    <row r="448">
      <c r="A448" s="2" t="n">
        <v>3</v>
      </c>
      <c r="B448" s="2" t="inlineStr">
        <is>
          <t>20.05.01</t>
        </is>
      </c>
      <c r="C448" s="2" t="inlineStr">
        <is>
          <t>Camada de regularização com argamassa de cimento e areia</t>
        </is>
      </c>
      <c r="D448" s="2" t="inlineStr">
        <is>
          <t>26/11/2026</t>
        </is>
      </c>
      <c r="E448" s="2" t="inlineStr">
        <is>
          <t>07/02/2028</t>
        </is>
      </c>
      <c r="F448" s="2" t="n">
        <v>83172.42866245349</v>
      </c>
      <c r="G448" s="2" t="n">
        <v>0</v>
      </c>
      <c r="H448" s="2" t="n">
        <v>83172.42866245349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0</v>
      </c>
      <c r="CJ448" s="2" t="n">
        <v>0</v>
      </c>
      <c r="CK448" s="2" t="n">
        <v>0</v>
      </c>
      <c r="CL448" s="2" t="n">
        <v>4.03</v>
      </c>
      <c r="CM448" s="2" t="n">
        <v>1.1</v>
      </c>
      <c r="CN448" s="2" t="n">
        <v>0</v>
      </c>
      <c r="CO448" s="2" t="n">
        <v>7.26</v>
      </c>
      <c r="CP448" s="2" t="n">
        <v>3.87</v>
      </c>
      <c r="CQ448" s="2" t="n">
        <v>0</v>
      </c>
      <c r="CR448" s="2" t="n">
        <v>14.9</v>
      </c>
      <c r="CS448" s="2" t="n">
        <v>9.199999999999999</v>
      </c>
      <c r="CT448" s="2" t="n">
        <v>0</v>
      </c>
      <c r="CU448" s="2" t="n">
        <v>16.62</v>
      </c>
      <c r="CV448" s="2" t="n">
        <v>15.76</v>
      </c>
      <c r="CW448" s="2" t="n">
        <v>0</v>
      </c>
      <c r="CX448" s="2" t="n">
        <v>21.56</v>
      </c>
      <c r="CY448" s="2" t="n">
        <v>20.39</v>
      </c>
      <c r="CZ448" s="2" t="n">
        <v>0</v>
      </c>
      <c r="DA448" s="2" t="n">
        <v>29.51</v>
      </c>
      <c r="DB448" s="2" t="n">
        <v>27.71</v>
      </c>
      <c r="DC448" s="2" t="n">
        <v>0</v>
      </c>
      <c r="DD448" s="2" t="n">
        <v>38.52</v>
      </c>
      <c r="DE448" s="2" t="n">
        <v>37.07</v>
      </c>
      <c r="DF448" s="2" t="n">
        <v>0</v>
      </c>
      <c r="DG448" s="2" t="n">
        <v>52.61</v>
      </c>
      <c r="DH448" s="2" t="n">
        <v>49.69</v>
      </c>
      <c r="DI448" s="2" t="n">
        <v>0</v>
      </c>
      <c r="DJ448" s="2" t="n">
        <v>60.56</v>
      </c>
      <c r="DK448" s="2" t="n">
        <v>60.59</v>
      </c>
      <c r="DL448" s="2" t="n">
        <v>0</v>
      </c>
      <c r="DM448" s="2" t="n">
        <v>67.95</v>
      </c>
      <c r="DN448" s="2" t="n">
        <v>65.94</v>
      </c>
      <c r="DO448" s="2" t="n">
        <v>0</v>
      </c>
      <c r="DP448" s="2" t="n">
        <v>80.36</v>
      </c>
      <c r="DQ448" s="2" t="n">
        <v>76.16</v>
      </c>
      <c r="DR448" s="2" t="n">
        <v>0</v>
      </c>
      <c r="DS448" s="2" t="n">
        <v>91.52</v>
      </c>
      <c r="DT448" s="2" t="n">
        <v>84.45999999999999</v>
      </c>
      <c r="DU448" s="2" t="n">
        <v>0</v>
      </c>
      <c r="DV448" s="2" t="n">
        <v>96.2</v>
      </c>
      <c r="DW448" s="2" t="n">
        <v>90.06999999999999</v>
      </c>
      <c r="DX448" s="2" t="n">
        <v>0</v>
      </c>
      <c r="DY448" s="2" t="n">
        <v>98.98999999999999</v>
      </c>
      <c r="DZ448" s="2" t="n">
        <v>93.86</v>
      </c>
      <c r="EA448" s="2" t="n">
        <v>0</v>
      </c>
      <c r="EB448" s="2" t="n">
        <v>100</v>
      </c>
      <c r="EC448" s="2" t="n">
        <v>99.44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  <c r="ET448" s="2" t="n">
        <v>100</v>
      </c>
      <c r="EU448" s="2" t="n">
        <v>100</v>
      </c>
      <c r="EV448" s="2" t="n">
        <v>0</v>
      </c>
      <c r="EW448" s="2" t="n">
        <v>100</v>
      </c>
      <c r="EX448" s="2" t="n">
        <v>100</v>
      </c>
      <c r="EY448" s="2" t="n">
        <v>0</v>
      </c>
      <c r="EZ448" s="2" t="n">
        <v>100</v>
      </c>
      <c r="FA448" s="2" t="n">
        <v>100</v>
      </c>
      <c r="FB448" s="2" t="n">
        <v>0</v>
      </c>
      <c r="FC448" s="2" t="n">
        <v>100</v>
      </c>
      <c r="FD448" s="2" t="n">
        <v>100</v>
      </c>
      <c r="FE448" s="2" t="n">
        <v>0</v>
      </c>
      <c r="FF448" s="2" t="n">
        <v>100</v>
      </c>
      <c r="FG448" s="2" t="n">
        <v>100</v>
      </c>
      <c r="FH448" s="2" t="n">
        <v>0</v>
      </c>
      <c r="FI448" s="2" t="n">
        <v>100</v>
      </c>
      <c r="FJ448" s="2" t="n">
        <v>100</v>
      </c>
      <c r="FK448" s="2" t="n">
        <v>0</v>
      </c>
      <c r="FL448" s="2" t="n">
        <v>100</v>
      </c>
      <c r="FM448" s="2" t="n">
        <v>100</v>
      </c>
      <c r="FN448" s="2" t="n">
        <v>0</v>
      </c>
      <c r="FO448" s="2" t="n">
        <v>100</v>
      </c>
      <c r="FP448" s="2" t="n">
        <v>100</v>
      </c>
      <c r="FQ448" s="2" t="n">
        <v>0</v>
      </c>
    </row>
    <row r="449">
      <c r="A449" s="2" t="n">
        <v>3</v>
      </c>
      <c r="B449" s="2" t="inlineStr">
        <is>
          <t>20.05.02</t>
        </is>
      </c>
      <c r="C449" s="2" t="inlineStr">
        <is>
          <t>Proteção mecânica armada com tela galvanizada, fio 22, malha 1</t>
        </is>
      </c>
      <c r="D449" s="2" t="inlineStr">
        <is>
          <t>26/11/2026</t>
        </is>
      </c>
      <c r="E449" s="2" t="inlineStr">
        <is>
          <t>07/02/2028</t>
        </is>
      </c>
      <c r="F449" s="2" t="n">
        <v>374927.454</v>
      </c>
      <c r="G449" s="2" t="n">
        <v>0</v>
      </c>
      <c r="H449" s="2" t="n">
        <v>374927.454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0</v>
      </c>
      <c r="CJ449" s="2" t="n">
        <v>0</v>
      </c>
      <c r="CK449" s="2" t="n">
        <v>0</v>
      </c>
      <c r="CL449" s="2" t="n">
        <v>4.03</v>
      </c>
      <c r="CM449" s="2" t="n">
        <v>1.1</v>
      </c>
      <c r="CN449" s="2" t="n">
        <v>0</v>
      </c>
      <c r="CO449" s="2" t="n">
        <v>7.26</v>
      </c>
      <c r="CP449" s="2" t="n">
        <v>3.87</v>
      </c>
      <c r="CQ449" s="2" t="n">
        <v>0</v>
      </c>
      <c r="CR449" s="2" t="n">
        <v>14.9</v>
      </c>
      <c r="CS449" s="2" t="n">
        <v>9.199999999999999</v>
      </c>
      <c r="CT449" s="2" t="n">
        <v>0</v>
      </c>
      <c r="CU449" s="2" t="n">
        <v>16.62</v>
      </c>
      <c r="CV449" s="2" t="n">
        <v>15.76</v>
      </c>
      <c r="CW449" s="2" t="n">
        <v>0</v>
      </c>
      <c r="CX449" s="2" t="n">
        <v>21.56</v>
      </c>
      <c r="CY449" s="2" t="n">
        <v>20.39</v>
      </c>
      <c r="CZ449" s="2" t="n">
        <v>0</v>
      </c>
      <c r="DA449" s="2" t="n">
        <v>29.51</v>
      </c>
      <c r="DB449" s="2" t="n">
        <v>27.71</v>
      </c>
      <c r="DC449" s="2" t="n">
        <v>0</v>
      </c>
      <c r="DD449" s="2" t="n">
        <v>38.52</v>
      </c>
      <c r="DE449" s="2" t="n">
        <v>37.07</v>
      </c>
      <c r="DF449" s="2" t="n">
        <v>0</v>
      </c>
      <c r="DG449" s="2" t="n">
        <v>52.61</v>
      </c>
      <c r="DH449" s="2" t="n">
        <v>49.69</v>
      </c>
      <c r="DI449" s="2" t="n">
        <v>0</v>
      </c>
      <c r="DJ449" s="2" t="n">
        <v>60.56</v>
      </c>
      <c r="DK449" s="2" t="n">
        <v>60.59</v>
      </c>
      <c r="DL449" s="2" t="n">
        <v>0</v>
      </c>
      <c r="DM449" s="2" t="n">
        <v>67.95</v>
      </c>
      <c r="DN449" s="2" t="n">
        <v>65.94</v>
      </c>
      <c r="DO449" s="2" t="n">
        <v>0</v>
      </c>
      <c r="DP449" s="2" t="n">
        <v>80.36</v>
      </c>
      <c r="DQ449" s="2" t="n">
        <v>76.16</v>
      </c>
      <c r="DR449" s="2" t="n">
        <v>0</v>
      </c>
      <c r="DS449" s="2" t="n">
        <v>91.52</v>
      </c>
      <c r="DT449" s="2" t="n">
        <v>84.45999999999999</v>
      </c>
      <c r="DU449" s="2" t="n">
        <v>0</v>
      </c>
      <c r="DV449" s="2" t="n">
        <v>96.2</v>
      </c>
      <c r="DW449" s="2" t="n">
        <v>90.06999999999999</v>
      </c>
      <c r="DX449" s="2" t="n">
        <v>0</v>
      </c>
      <c r="DY449" s="2" t="n">
        <v>98.98999999999999</v>
      </c>
      <c r="DZ449" s="2" t="n">
        <v>93.86</v>
      </c>
      <c r="EA449" s="2" t="n">
        <v>0</v>
      </c>
      <c r="EB449" s="2" t="n">
        <v>100</v>
      </c>
      <c r="EC449" s="2" t="n">
        <v>99.44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  <c r="ET449" s="2" t="n">
        <v>100</v>
      </c>
      <c r="EU449" s="2" t="n">
        <v>100</v>
      </c>
      <c r="EV449" s="2" t="n">
        <v>0</v>
      </c>
      <c r="EW449" s="2" t="n">
        <v>100</v>
      </c>
      <c r="EX449" s="2" t="n">
        <v>100</v>
      </c>
      <c r="EY449" s="2" t="n">
        <v>0</v>
      </c>
      <c r="EZ449" s="2" t="n">
        <v>100</v>
      </c>
      <c r="FA449" s="2" t="n">
        <v>100</v>
      </c>
      <c r="FB449" s="2" t="n">
        <v>0</v>
      </c>
      <c r="FC449" s="2" t="n">
        <v>100</v>
      </c>
      <c r="FD449" s="2" t="n">
        <v>100</v>
      </c>
      <c r="FE449" s="2" t="n">
        <v>0</v>
      </c>
      <c r="FF449" s="2" t="n">
        <v>100</v>
      </c>
      <c r="FG449" s="2" t="n">
        <v>100</v>
      </c>
      <c r="FH449" s="2" t="n">
        <v>0</v>
      </c>
      <c r="FI449" s="2" t="n">
        <v>100</v>
      </c>
      <c r="FJ449" s="2" t="n">
        <v>100</v>
      </c>
      <c r="FK449" s="2" t="n">
        <v>0</v>
      </c>
      <c r="FL449" s="2" t="n">
        <v>100</v>
      </c>
      <c r="FM449" s="2" t="n">
        <v>100</v>
      </c>
      <c r="FN449" s="2" t="n">
        <v>0</v>
      </c>
      <c r="FO449" s="2" t="n">
        <v>100</v>
      </c>
      <c r="FP449" s="2" t="n">
        <v>100</v>
      </c>
      <c r="FQ449" s="2" t="n">
        <v>0</v>
      </c>
    </row>
    <row r="450">
      <c r="A450" s="2" t="n">
        <v>3</v>
      </c>
      <c r="B450" s="2" t="inlineStr">
        <is>
          <t>20.05.03</t>
        </is>
      </c>
      <c r="C450" s="2" t="inlineStr">
        <is>
          <t>Camada de transição geotêxtil 200g/m2</t>
        </is>
      </c>
      <c r="D450" s="2" t="inlineStr">
        <is>
          <t>26/11/2026</t>
        </is>
      </c>
      <c r="E450" s="2" t="inlineStr">
        <is>
          <t>07/02/2028</t>
        </is>
      </c>
      <c r="F450" s="2" t="n">
        <v>13026.568515</v>
      </c>
      <c r="G450" s="2" t="n">
        <v>0</v>
      </c>
      <c r="H450" s="2" t="n">
        <v>13026.568515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0</v>
      </c>
      <c r="CJ450" s="2" t="n">
        <v>0</v>
      </c>
      <c r="CK450" s="2" t="n">
        <v>0</v>
      </c>
      <c r="CL450" s="2" t="n">
        <v>4.03</v>
      </c>
      <c r="CM450" s="2" t="n">
        <v>1.1</v>
      </c>
      <c r="CN450" s="2" t="n">
        <v>0</v>
      </c>
      <c r="CO450" s="2" t="n">
        <v>7.26</v>
      </c>
      <c r="CP450" s="2" t="n">
        <v>3.87</v>
      </c>
      <c r="CQ450" s="2" t="n">
        <v>0</v>
      </c>
      <c r="CR450" s="2" t="n">
        <v>14.9</v>
      </c>
      <c r="CS450" s="2" t="n">
        <v>9.199999999999999</v>
      </c>
      <c r="CT450" s="2" t="n">
        <v>0</v>
      </c>
      <c r="CU450" s="2" t="n">
        <v>16.62</v>
      </c>
      <c r="CV450" s="2" t="n">
        <v>15.76</v>
      </c>
      <c r="CW450" s="2" t="n">
        <v>0</v>
      </c>
      <c r="CX450" s="2" t="n">
        <v>21.56</v>
      </c>
      <c r="CY450" s="2" t="n">
        <v>20.39</v>
      </c>
      <c r="CZ450" s="2" t="n">
        <v>0</v>
      </c>
      <c r="DA450" s="2" t="n">
        <v>29.51</v>
      </c>
      <c r="DB450" s="2" t="n">
        <v>27.71</v>
      </c>
      <c r="DC450" s="2" t="n">
        <v>0</v>
      </c>
      <c r="DD450" s="2" t="n">
        <v>38.52</v>
      </c>
      <c r="DE450" s="2" t="n">
        <v>37.07</v>
      </c>
      <c r="DF450" s="2" t="n">
        <v>0</v>
      </c>
      <c r="DG450" s="2" t="n">
        <v>52.61</v>
      </c>
      <c r="DH450" s="2" t="n">
        <v>49.69</v>
      </c>
      <c r="DI450" s="2" t="n">
        <v>0</v>
      </c>
      <c r="DJ450" s="2" t="n">
        <v>60.56</v>
      </c>
      <c r="DK450" s="2" t="n">
        <v>60.59</v>
      </c>
      <c r="DL450" s="2" t="n">
        <v>0</v>
      </c>
      <c r="DM450" s="2" t="n">
        <v>67.95</v>
      </c>
      <c r="DN450" s="2" t="n">
        <v>65.94</v>
      </c>
      <c r="DO450" s="2" t="n">
        <v>0</v>
      </c>
      <c r="DP450" s="2" t="n">
        <v>80.36</v>
      </c>
      <c r="DQ450" s="2" t="n">
        <v>76.16</v>
      </c>
      <c r="DR450" s="2" t="n">
        <v>0</v>
      </c>
      <c r="DS450" s="2" t="n">
        <v>91.52</v>
      </c>
      <c r="DT450" s="2" t="n">
        <v>84.45999999999999</v>
      </c>
      <c r="DU450" s="2" t="n">
        <v>0</v>
      </c>
      <c r="DV450" s="2" t="n">
        <v>96.2</v>
      </c>
      <c r="DW450" s="2" t="n">
        <v>90.06999999999999</v>
      </c>
      <c r="DX450" s="2" t="n">
        <v>0</v>
      </c>
      <c r="DY450" s="2" t="n">
        <v>98.98999999999999</v>
      </c>
      <c r="DZ450" s="2" t="n">
        <v>93.86</v>
      </c>
      <c r="EA450" s="2" t="n">
        <v>0</v>
      </c>
      <c r="EB450" s="2" t="n">
        <v>100</v>
      </c>
      <c r="EC450" s="2" t="n">
        <v>99.44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  <c r="ET450" s="2" t="n">
        <v>100</v>
      </c>
      <c r="EU450" s="2" t="n">
        <v>100</v>
      </c>
      <c r="EV450" s="2" t="n">
        <v>0</v>
      </c>
      <c r="EW450" s="2" t="n">
        <v>100</v>
      </c>
      <c r="EX450" s="2" t="n">
        <v>100</v>
      </c>
      <c r="EY450" s="2" t="n">
        <v>0</v>
      </c>
      <c r="EZ450" s="2" t="n">
        <v>100</v>
      </c>
      <c r="FA450" s="2" t="n">
        <v>100</v>
      </c>
      <c r="FB450" s="2" t="n">
        <v>0</v>
      </c>
      <c r="FC450" s="2" t="n">
        <v>100</v>
      </c>
      <c r="FD450" s="2" t="n">
        <v>100</v>
      </c>
      <c r="FE450" s="2" t="n">
        <v>0</v>
      </c>
      <c r="FF450" s="2" t="n">
        <v>100</v>
      </c>
      <c r="FG450" s="2" t="n">
        <v>100</v>
      </c>
      <c r="FH450" s="2" t="n">
        <v>0</v>
      </c>
      <c r="FI450" s="2" t="n">
        <v>100</v>
      </c>
      <c r="FJ450" s="2" t="n">
        <v>100</v>
      </c>
      <c r="FK450" s="2" t="n">
        <v>0</v>
      </c>
      <c r="FL450" s="2" t="n">
        <v>100</v>
      </c>
      <c r="FM450" s="2" t="n">
        <v>100</v>
      </c>
      <c r="FN450" s="2" t="n">
        <v>0</v>
      </c>
      <c r="FO450" s="2" t="n">
        <v>100</v>
      </c>
      <c r="FP450" s="2" t="n">
        <v>100</v>
      </c>
      <c r="FQ450" s="2" t="n">
        <v>0</v>
      </c>
    </row>
    <row r="451">
      <c r="A451" s="2" t="n">
        <v>3</v>
      </c>
      <c r="B451" s="2" t="inlineStr">
        <is>
          <t>20.05.04</t>
        </is>
      </c>
      <c r="C451" s="2" t="inlineStr">
        <is>
          <t>Terraço garden, terraço cobertura, varanda espaço gourmet| salão de festas</t>
        </is>
      </c>
      <c r="D451" s="2" t="inlineStr">
        <is>
          <t>26/11/2026</t>
        </is>
      </c>
      <c r="E451" s="2" t="inlineStr">
        <is>
          <t>07/02/2028</t>
        </is>
      </c>
      <c r="F451" s="2" t="n">
        <v>144298.0042224</v>
      </c>
      <c r="G451" s="2" t="n">
        <v>0</v>
      </c>
      <c r="H451" s="2" t="n">
        <v>144298.0042224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0</v>
      </c>
      <c r="CJ451" s="2" t="n">
        <v>0</v>
      </c>
      <c r="CK451" s="2" t="n">
        <v>0</v>
      </c>
      <c r="CL451" s="2" t="n">
        <v>4.03</v>
      </c>
      <c r="CM451" s="2" t="n">
        <v>1.1</v>
      </c>
      <c r="CN451" s="2" t="n">
        <v>0</v>
      </c>
      <c r="CO451" s="2" t="n">
        <v>7.26</v>
      </c>
      <c r="CP451" s="2" t="n">
        <v>3.87</v>
      </c>
      <c r="CQ451" s="2" t="n">
        <v>0</v>
      </c>
      <c r="CR451" s="2" t="n">
        <v>14.9</v>
      </c>
      <c r="CS451" s="2" t="n">
        <v>9.199999999999999</v>
      </c>
      <c r="CT451" s="2" t="n">
        <v>0</v>
      </c>
      <c r="CU451" s="2" t="n">
        <v>16.62</v>
      </c>
      <c r="CV451" s="2" t="n">
        <v>15.76</v>
      </c>
      <c r="CW451" s="2" t="n">
        <v>0</v>
      </c>
      <c r="CX451" s="2" t="n">
        <v>21.56</v>
      </c>
      <c r="CY451" s="2" t="n">
        <v>20.39</v>
      </c>
      <c r="CZ451" s="2" t="n">
        <v>0</v>
      </c>
      <c r="DA451" s="2" t="n">
        <v>29.51</v>
      </c>
      <c r="DB451" s="2" t="n">
        <v>27.71</v>
      </c>
      <c r="DC451" s="2" t="n">
        <v>0</v>
      </c>
      <c r="DD451" s="2" t="n">
        <v>38.52</v>
      </c>
      <c r="DE451" s="2" t="n">
        <v>37.07</v>
      </c>
      <c r="DF451" s="2" t="n">
        <v>0</v>
      </c>
      <c r="DG451" s="2" t="n">
        <v>52.61</v>
      </c>
      <c r="DH451" s="2" t="n">
        <v>49.69</v>
      </c>
      <c r="DI451" s="2" t="n">
        <v>0</v>
      </c>
      <c r="DJ451" s="2" t="n">
        <v>60.56</v>
      </c>
      <c r="DK451" s="2" t="n">
        <v>60.59</v>
      </c>
      <c r="DL451" s="2" t="n">
        <v>0</v>
      </c>
      <c r="DM451" s="2" t="n">
        <v>67.95</v>
      </c>
      <c r="DN451" s="2" t="n">
        <v>65.94</v>
      </c>
      <c r="DO451" s="2" t="n">
        <v>0</v>
      </c>
      <c r="DP451" s="2" t="n">
        <v>80.36</v>
      </c>
      <c r="DQ451" s="2" t="n">
        <v>76.16</v>
      </c>
      <c r="DR451" s="2" t="n">
        <v>0</v>
      </c>
      <c r="DS451" s="2" t="n">
        <v>91.52</v>
      </c>
      <c r="DT451" s="2" t="n">
        <v>84.45999999999999</v>
      </c>
      <c r="DU451" s="2" t="n">
        <v>0</v>
      </c>
      <c r="DV451" s="2" t="n">
        <v>96.2</v>
      </c>
      <c r="DW451" s="2" t="n">
        <v>90.06999999999999</v>
      </c>
      <c r="DX451" s="2" t="n">
        <v>0</v>
      </c>
      <c r="DY451" s="2" t="n">
        <v>98.98999999999999</v>
      </c>
      <c r="DZ451" s="2" t="n">
        <v>93.86</v>
      </c>
      <c r="EA451" s="2" t="n">
        <v>0</v>
      </c>
      <c r="EB451" s="2" t="n">
        <v>100</v>
      </c>
      <c r="EC451" s="2" t="n">
        <v>99.44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  <c r="ET451" s="2" t="n">
        <v>100</v>
      </c>
      <c r="EU451" s="2" t="n">
        <v>100</v>
      </c>
      <c r="EV451" s="2" t="n">
        <v>0</v>
      </c>
      <c r="EW451" s="2" t="n">
        <v>100</v>
      </c>
      <c r="EX451" s="2" t="n">
        <v>100</v>
      </c>
      <c r="EY451" s="2" t="n">
        <v>0</v>
      </c>
      <c r="EZ451" s="2" t="n">
        <v>100</v>
      </c>
      <c r="FA451" s="2" t="n">
        <v>100</v>
      </c>
      <c r="FB451" s="2" t="n">
        <v>0</v>
      </c>
      <c r="FC451" s="2" t="n">
        <v>100</v>
      </c>
      <c r="FD451" s="2" t="n">
        <v>100</v>
      </c>
      <c r="FE451" s="2" t="n">
        <v>0</v>
      </c>
      <c r="FF451" s="2" t="n">
        <v>100</v>
      </c>
      <c r="FG451" s="2" t="n">
        <v>100</v>
      </c>
      <c r="FH451" s="2" t="n">
        <v>0</v>
      </c>
      <c r="FI451" s="2" t="n">
        <v>100</v>
      </c>
      <c r="FJ451" s="2" t="n">
        <v>100</v>
      </c>
      <c r="FK451" s="2" t="n">
        <v>0</v>
      </c>
      <c r="FL451" s="2" t="n">
        <v>100</v>
      </c>
      <c r="FM451" s="2" t="n">
        <v>100</v>
      </c>
      <c r="FN451" s="2" t="n">
        <v>0</v>
      </c>
      <c r="FO451" s="2" t="n">
        <v>100</v>
      </c>
      <c r="FP451" s="2" t="n">
        <v>100</v>
      </c>
      <c r="FQ451" s="2" t="n">
        <v>0</v>
      </c>
    </row>
    <row r="452">
      <c r="A452" s="2" t="n">
        <v>3</v>
      </c>
      <c r="B452" s="2" t="inlineStr">
        <is>
          <t>20.05.05</t>
        </is>
      </c>
      <c r="C452" s="2" t="inlineStr">
        <is>
          <t>Casa de bombas piscina| reservatório inferior</t>
        </is>
      </c>
      <c r="D452" s="2" t="inlineStr">
        <is>
          <t>26/11/2026</t>
        </is>
      </c>
      <c r="E452" s="2" t="inlineStr">
        <is>
          <t>07/02/2028</t>
        </is>
      </c>
      <c r="F452" s="2" t="n">
        <v>36316.74816</v>
      </c>
      <c r="G452" s="2" t="n">
        <v>0</v>
      </c>
      <c r="H452" s="2" t="n">
        <v>36316.74816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0</v>
      </c>
      <c r="CJ452" s="2" t="n">
        <v>0</v>
      </c>
      <c r="CK452" s="2" t="n">
        <v>0</v>
      </c>
      <c r="CL452" s="2" t="n">
        <v>4.03</v>
      </c>
      <c r="CM452" s="2" t="n">
        <v>1.1</v>
      </c>
      <c r="CN452" s="2" t="n">
        <v>0</v>
      </c>
      <c r="CO452" s="2" t="n">
        <v>7.26</v>
      </c>
      <c r="CP452" s="2" t="n">
        <v>3.87</v>
      </c>
      <c r="CQ452" s="2" t="n">
        <v>0</v>
      </c>
      <c r="CR452" s="2" t="n">
        <v>14.9</v>
      </c>
      <c r="CS452" s="2" t="n">
        <v>9.199999999999999</v>
      </c>
      <c r="CT452" s="2" t="n">
        <v>0</v>
      </c>
      <c r="CU452" s="2" t="n">
        <v>16.62</v>
      </c>
      <c r="CV452" s="2" t="n">
        <v>15.76</v>
      </c>
      <c r="CW452" s="2" t="n">
        <v>0</v>
      </c>
      <c r="CX452" s="2" t="n">
        <v>21.56</v>
      </c>
      <c r="CY452" s="2" t="n">
        <v>20.39</v>
      </c>
      <c r="CZ452" s="2" t="n">
        <v>0</v>
      </c>
      <c r="DA452" s="2" t="n">
        <v>29.51</v>
      </c>
      <c r="DB452" s="2" t="n">
        <v>27.71</v>
      </c>
      <c r="DC452" s="2" t="n">
        <v>0</v>
      </c>
      <c r="DD452" s="2" t="n">
        <v>38.52</v>
      </c>
      <c r="DE452" s="2" t="n">
        <v>37.07</v>
      </c>
      <c r="DF452" s="2" t="n">
        <v>0</v>
      </c>
      <c r="DG452" s="2" t="n">
        <v>52.61</v>
      </c>
      <c r="DH452" s="2" t="n">
        <v>49.69</v>
      </c>
      <c r="DI452" s="2" t="n">
        <v>0</v>
      </c>
      <c r="DJ452" s="2" t="n">
        <v>60.56</v>
      </c>
      <c r="DK452" s="2" t="n">
        <v>60.59</v>
      </c>
      <c r="DL452" s="2" t="n">
        <v>0</v>
      </c>
      <c r="DM452" s="2" t="n">
        <v>67.95</v>
      </c>
      <c r="DN452" s="2" t="n">
        <v>65.94</v>
      </c>
      <c r="DO452" s="2" t="n">
        <v>0</v>
      </c>
      <c r="DP452" s="2" t="n">
        <v>80.36</v>
      </c>
      <c r="DQ452" s="2" t="n">
        <v>76.16</v>
      </c>
      <c r="DR452" s="2" t="n">
        <v>0</v>
      </c>
      <c r="DS452" s="2" t="n">
        <v>91.52</v>
      </c>
      <c r="DT452" s="2" t="n">
        <v>84.45999999999999</v>
      </c>
      <c r="DU452" s="2" t="n">
        <v>0</v>
      </c>
      <c r="DV452" s="2" t="n">
        <v>96.2</v>
      </c>
      <c r="DW452" s="2" t="n">
        <v>90.06999999999999</v>
      </c>
      <c r="DX452" s="2" t="n">
        <v>0</v>
      </c>
      <c r="DY452" s="2" t="n">
        <v>98.98999999999999</v>
      </c>
      <c r="DZ452" s="2" t="n">
        <v>93.86</v>
      </c>
      <c r="EA452" s="2" t="n">
        <v>0</v>
      </c>
      <c r="EB452" s="2" t="n">
        <v>100</v>
      </c>
      <c r="EC452" s="2" t="n">
        <v>99.44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  <c r="ET452" s="2" t="n">
        <v>100</v>
      </c>
      <c r="EU452" s="2" t="n">
        <v>100</v>
      </c>
      <c r="EV452" s="2" t="n">
        <v>0</v>
      </c>
      <c r="EW452" s="2" t="n">
        <v>100</v>
      </c>
      <c r="EX452" s="2" t="n">
        <v>100</v>
      </c>
      <c r="EY452" s="2" t="n">
        <v>0</v>
      </c>
      <c r="EZ452" s="2" t="n">
        <v>100</v>
      </c>
      <c r="FA452" s="2" t="n">
        <v>100</v>
      </c>
      <c r="FB452" s="2" t="n">
        <v>0</v>
      </c>
      <c r="FC452" s="2" t="n">
        <v>100</v>
      </c>
      <c r="FD452" s="2" t="n">
        <v>100</v>
      </c>
      <c r="FE452" s="2" t="n">
        <v>0</v>
      </c>
      <c r="FF452" s="2" t="n">
        <v>100</v>
      </c>
      <c r="FG452" s="2" t="n">
        <v>100</v>
      </c>
      <c r="FH452" s="2" t="n">
        <v>0</v>
      </c>
      <c r="FI452" s="2" t="n">
        <v>100</v>
      </c>
      <c r="FJ452" s="2" t="n">
        <v>100</v>
      </c>
      <c r="FK452" s="2" t="n">
        <v>0</v>
      </c>
      <c r="FL452" s="2" t="n">
        <v>100</v>
      </c>
      <c r="FM452" s="2" t="n">
        <v>100</v>
      </c>
      <c r="FN452" s="2" t="n">
        <v>0</v>
      </c>
      <c r="FO452" s="2" t="n">
        <v>100</v>
      </c>
      <c r="FP452" s="2" t="n">
        <v>100</v>
      </c>
      <c r="FQ452" s="2" t="n">
        <v>0</v>
      </c>
    </row>
    <row r="453">
      <c r="A453" s="2" t="n">
        <v>3</v>
      </c>
      <c r="B453" s="2" t="inlineStr">
        <is>
          <t>20.05.06</t>
        </is>
      </c>
      <c r="C453" s="2" t="inlineStr">
        <is>
          <t>Circ. Externa</t>
        </is>
      </c>
      <c r="D453" s="2" t="inlineStr">
        <is>
          <t>26/11/2026</t>
        </is>
      </c>
      <c r="E453" s="2" t="inlineStr">
        <is>
          <t>07/02/2028</t>
        </is>
      </c>
      <c r="F453" s="2" t="n">
        <v>3749.5836</v>
      </c>
      <c r="G453" s="2" t="n">
        <v>0</v>
      </c>
      <c r="H453" s="2" t="n">
        <v>3749.5836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0</v>
      </c>
      <c r="CJ453" s="2" t="n">
        <v>0</v>
      </c>
      <c r="CK453" s="2" t="n">
        <v>0</v>
      </c>
      <c r="CL453" s="2" t="n">
        <v>4.03</v>
      </c>
      <c r="CM453" s="2" t="n">
        <v>1.1</v>
      </c>
      <c r="CN453" s="2" t="n">
        <v>0</v>
      </c>
      <c r="CO453" s="2" t="n">
        <v>7.26</v>
      </c>
      <c r="CP453" s="2" t="n">
        <v>3.87</v>
      </c>
      <c r="CQ453" s="2" t="n">
        <v>0</v>
      </c>
      <c r="CR453" s="2" t="n">
        <v>14.9</v>
      </c>
      <c r="CS453" s="2" t="n">
        <v>9.199999999999999</v>
      </c>
      <c r="CT453" s="2" t="n">
        <v>0</v>
      </c>
      <c r="CU453" s="2" t="n">
        <v>16.62</v>
      </c>
      <c r="CV453" s="2" t="n">
        <v>15.76</v>
      </c>
      <c r="CW453" s="2" t="n">
        <v>0</v>
      </c>
      <c r="CX453" s="2" t="n">
        <v>21.56</v>
      </c>
      <c r="CY453" s="2" t="n">
        <v>20.39</v>
      </c>
      <c r="CZ453" s="2" t="n">
        <v>0</v>
      </c>
      <c r="DA453" s="2" t="n">
        <v>29.51</v>
      </c>
      <c r="DB453" s="2" t="n">
        <v>27.71</v>
      </c>
      <c r="DC453" s="2" t="n">
        <v>0</v>
      </c>
      <c r="DD453" s="2" t="n">
        <v>38.52</v>
      </c>
      <c r="DE453" s="2" t="n">
        <v>37.07</v>
      </c>
      <c r="DF453" s="2" t="n">
        <v>0</v>
      </c>
      <c r="DG453" s="2" t="n">
        <v>52.61</v>
      </c>
      <c r="DH453" s="2" t="n">
        <v>49.69</v>
      </c>
      <c r="DI453" s="2" t="n">
        <v>0</v>
      </c>
      <c r="DJ453" s="2" t="n">
        <v>60.56</v>
      </c>
      <c r="DK453" s="2" t="n">
        <v>60.59</v>
      </c>
      <c r="DL453" s="2" t="n">
        <v>0</v>
      </c>
      <c r="DM453" s="2" t="n">
        <v>67.95</v>
      </c>
      <c r="DN453" s="2" t="n">
        <v>65.94</v>
      </c>
      <c r="DO453" s="2" t="n">
        <v>0</v>
      </c>
      <c r="DP453" s="2" t="n">
        <v>80.36</v>
      </c>
      <c r="DQ453" s="2" t="n">
        <v>76.16</v>
      </c>
      <c r="DR453" s="2" t="n">
        <v>0</v>
      </c>
      <c r="DS453" s="2" t="n">
        <v>91.52</v>
      </c>
      <c r="DT453" s="2" t="n">
        <v>84.45999999999999</v>
      </c>
      <c r="DU453" s="2" t="n">
        <v>0</v>
      </c>
      <c r="DV453" s="2" t="n">
        <v>96.2</v>
      </c>
      <c r="DW453" s="2" t="n">
        <v>90.06999999999999</v>
      </c>
      <c r="DX453" s="2" t="n">
        <v>0</v>
      </c>
      <c r="DY453" s="2" t="n">
        <v>98.98999999999999</v>
      </c>
      <c r="DZ453" s="2" t="n">
        <v>93.86</v>
      </c>
      <c r="EA453" s="2" t="n">
        <v>0</v>
      </c>
      <c r="EB453" s="2" t="n">
        <v>100</v>
      </c>
      <c r="EC453" s="2" t="n">
        <v>99.44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  <c r="ET453" s="2" t="n">
        <v>100</v>
      </c>
      <c r="EU453" s="2" t="n">
        <v>100</v>
      </c>
      <c r="EV453" s="2" t="n">
        <v>0</v>
      </c>
      <c r="EW453" s="2" t="n">
        <v>100</v>
      </c>
      <c r="EX453" s="2" t="n">
        <v>100</v>
      </c>
      <c r="EY453" s="2" t="n">
        <v>0</v>
      </c>
      <c r="EZ453" s="2" t="n">
        <v>100</v>
      </c>
      <c r="FA453" s="2" t="n">
        <v>100</v>
      </c>
      <c r="FB453" s="2" t="n">
        <v>0</v>
      </c>
      <c r="FC453" s="2" t="n">
        <v>100</v>
      </c>
      <c r="FD453" s="2" t="n">
        <v>100</v>
      </c>
      <c r="FE453" s="2" t="n">
        <v>0</v>
      </c>
      <c r="FF453" s="2" t="n">
        <v>100</v>
      </c>
      <c r="FG453" s="2" t="n">
        <v>100</v>
      </c>
      <c r="FH453" s="2" t="n">
        <v>0</v>
      </c>
      <c r="FI453" s="2" t="n">
        <v>100</v>
      </c>
      <c r="FJ453" s="2" t="n">
        <v>100</v>
      </c>
      <c r="FK453" s="2" t="n">
        <v>0</v>
      </c>
      <c r="FL453" s="2" t="n">
        <v>100</v>
      </c>
      <c r="FM453" s="2" t="n">
        <v>100</v>
      </c>
      <c r="FN453" s="2" t="n">
        <v>0</v>
      </c>
      <c r="FO453" s="2" t="n">
        <v>100</v>
      </c>
      <c r="FP453" s="2" t="n">
        <v>100</v>
      </c>
      <c r="FQ453" s="2" t="n">
        <v>0</v>
      </c>
    </row>
    <row r="454">
      <c r="A454" s="2" t="n">
        <v>3</v>
      </c>
      <c r="B454" s="2" t="inlineStr">
        <is>
          <t>20.05.07</t>
        </is>
      </c>
      <c r="C454" s="2" t="inlineStr">
        <is>
          <t>Bar piscina</t>
        </is>
      </c>
      <c r="D454" s="2" t="inlineStr">
        <is>
          <t>26/11/2026</t>
        </is>
      </c>
      <c r="E454" s="2" t="inlineStr">
        <is>
          <t>07/02/2028</t>
        </is>
      </c>
      <c r="F454" s="2" t="n">
        <v>28857.719856</v>
      </c>
      <c r="G454" s="2" t="n">
        <v>0</v>
      </c>
      <c r="H454" s="2" t="n">
        <v>28857.719856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0</v>
      </c>
      <c r="CJ454" s="2" t="n">
        <v>0</v>
      </c>
      <c r="CK454" s="2" t="n">
        <v>0</v>
      </c>
      <c r="CL454" s="2" t="n">
        <v>4.03</v>
      </c>
      <c r="CM454" s="2" t="n">
        <v>1.1</v>
      </c>
      <c r="CN454" s="2" t="n">
        <v>0</v>
      </c>
      <c r="CO454" s="2" t="n">
        <v>7.26</v>
      </c>
      <c r="CP454" s="2" t="n">
        <v>3.87</v>
      </c>
      <c r="CQ454" s="2" t="n">
        <v>0</v>
      </c>
      <c r="CR454" s="2" t="n">
        <v>14.9</v>
      </c>
      <c r="CS454" s="2" t="n">
        <v>9.199999999999999</v>
      </c>
      <c r="CT454" s="2" t="n">
        <v>0</v>
      </c>
      <c r="CU454" s="2" t="n">
        <v>16.62</v>
      </c>
      <c r="CV454" s="2" t="n">
        <v>15.76</v>
      </c>
      <c r="CW454" s="2" t="n">
        <v>0</v>
      </c>
      <c r="CX454" s="2" t="n">
        <v>21.56</v>
      </c>
      <c r="CY454" s="2" t="n">
        <v>20.39</v>
      </c>
      <c r="CZ454" s="2" t="n">
        <v>0</v>
      </c>
      <c r="DA454" s="2" t="n">
        <v>29.51</v>
      </c>
      <c r="DB454" s="2" t="n">
        <v>27.71</v>
      </c>
      <c r="DC454" s="2" t="n">
        <v>0</v>
      </c>
      <c r="DD454" s="2" t="n">
        <v>38.52</v>
      </c>
      <c r="DE454" s="2" t="n">
        <v>37.07</v>
      </c>
      <c r="DF454" s="2" t="n">
        <v>0</v>
      </c>
      <c r="DG454" s="2" t="n">
        <v>52.61</v>
      </c>
      <c r="DH454" s="2" t="n">
        <v>49.69</v>
      </c>
      <c r="DI454" s="2" t="n">
        <v>0</v>
      </c>
      <c r="DJ454" s="2" t="n">
        <v>60.56</v>
      </c>
      <c r="DK454" s="2" t="n">
        <v>60.59</v>
      </c>
      <c r="DL454" s="2" t="n">
        <v>0</v>
      </c>
      <c r="DM454" s="2" t="n">
        <v>67.95</v>
      </c>
      <c r="DN454" s="2" t="n">
        <v>65.94</v>
      </c>
      <c r="DO454" s="2" t="n">
        <v>0</v>
      </c>
      <c r="DP454" s="2" t="n">
        <v>80.36</v>
      </c>
      <c r="DQ454" s="2" t="n">
        <v>76.16</v>
      </c>
      <c r="DR454" s="2" t="n">
        <v>0</v>
      </c>
      <c r="DS454" s="2" t="n">
        <v>91.52</v>
      </c>
      <c r="DT454" s="2" t="n">
        <v>84.45999999999999</v>
      </c>
      <c r="DU454" s="2" t="n">
        <v>0</v>
      </c>
      <c r="DV454" s="2" t="n">
        <v>96.2</v>
      </c>
      <c r="DW454" s="2" t="n">
        <v>90.06999999999999</v>
      </c>
      <c r="DX454" s="2" t="n">
        <v>0</v>
      </c>
      <c r="DY454" s="2" t="n">
        <v>98.98999999999999</v>
      </c>
      <c r="DZ454" s="2" t="n">
        <v>93.86</v>
      </c>
      <c r="EA454" s="2" t="n">
        <v>0</v>
      </c>
      <c r="EB454" s="2" t="n">
        <v>100</v>
      </c>
      <c r="EC454" s="2" t="n">
        <v>99.44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  <c r="ET454" s="2" t="n">
        <v>100</v>
      </c>
      <c r="EU454" s="2" t="n">
        <v>100</v>
      </c>
      <c r="EV454" s="2" t="n">
        <v>0</v>
      </c>
      <c r="EW454" s="2" t="n">
        <v>100</v>
      </c>
      <c r="EX454" s="2" t="n">
        <v>100</v>
      </c>
      <c r="EY454" s="2" t="n">
        <v>0</v>
      </c>
      <c r="EZ454" s="2" t="n">
        <v>100</v>
      </c>
      <c r="FA454" s="2" t="n">
        <v>100</v>
      </c>
      <c r="FB454" s="2" t="n">
        <v>0</v>
      </c>
      <c r="FC454" s="2" t="n">
        <v>100</v>
      </c>
      <c r="FD454" s="2" t="n">
        <v>100</v>
      </c>
      <c r="FE454" s="2" t="n">
        <v>0</v>
      </c>
      <c r="FF454" s="2" t="n">
        <v>100</v>
      </c>
      <c r="FG454" s="2" t="n">
        <v>100</v>
      </c>
      <c r="FH454" s="2" t="n">
        <v>0</v>
      </c>
      <c r="FI454" s="2" t="n">
        <v>100</v>
      </c>
      <c r="FJ454" s="2" t="n">
        <v>100</v>
      </c>
      <c r="FK454" s="2" t="n">
        <v>0</v>
      </c>
      <c r="FL454" s="2" t="n">
        <v>100</v>
      </c>
      <c r="FM454" s="2" t="n">
        <v>100</v>
      </c>
      <c r="FN454" s="2" t="n">
        <v>0</v>
      </c>
      <c r="FO454" s="2" t="n">
        <v>100</v>
      </c>
      <c r="FP454" s="2" t="n">
        <v>100</v>
      </c>
      <c r="FQ454" s="2" t="n">
        <v>0</v>
      </c>
    </row>
    <row r="455">
      <c r="A455" s="2" t="n">
        <v>3</v>
      </c>
      <c r="B455" s="2" t="inlineStr">
        <is>
          <t>20.05.08</t>
        </is>
      </c>
      <c r="C455" s="2" t="inlineStr">
        <is>
          <t>Lounge quadras| Circulação externa, Deck piscina</t>
        </is>
      </c>
      <c r="D455" s="2" t="inlineStr">
        <is>
          <t>26/11/2026</t>
        </is>
      </c>
      <c r="E455" s="2" t="inlineStr">
        <is>
          <t>07/02/2028</t>
        </is>
      </c>
      <c r="F455" s="2" t="n">
        <v>96331.4184</v>
      </c>
      <c r="G455" s="2" t="n">
        <v>0</v>
      </c>
      <c r="H455" s="2" t="n">
        <v>96331.4184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0</v>
      </c>
      <c r="CJ455" s="2" t="n">
        <v>0</v>
      </c>
      <c r="CK455" s="2" t="n">
        <v>0</v>
      </c>
      <c r="CL455" s="2" t="n">
        <v>4.03</v>
      </c>
      <c r="CM455" s="2" t="n">
        <v>1.1</v>
      </c>
      <c r="CN455" s="2" t="n">
        <v>0</v>
      </c>
      <c r="CO455" s="2" t="n">
        <v>7.26</v>
      </c>
      <c r="CP455" s="2" t="n">
        <v>3.87</v>
      </c>
      <c r="CQ455" s="2" t="n">
        <v>0</v>
      </c>
      <c r="CR455" s="2" t="n">
        <v>14.9</v>
      </c>
      <c r="CS455" s="2" t="n">
        <v>9.199999999999999</v>
      </c>
      <c r="CT455" s="2" t="n">
        <v>0</v>
      </c>
      <c r="CU455" s="2" t="n">
        <v>16.62</v>
      </c>
      <c r="CV455" s="2" t="n">
        <v>15.76</v>
      </c>
      <c r="CW455" s="2" t="n">
        <v>0</v>
      </c>
      <c r="CX455" s="2" t="n">
        <v>21.56</v>
      </c>
      <c r="CY455" s="2" t="n">
        <v>20.39</v>
      </c>
      <c r="CZ455" s="2" t="n">
        <v>0</v>
      </c>
      <c r="DA455" s="2" t="n">
        <v>29.51</v>
      </c>
      <c r="DB455" s="2" t="n">
        <v>27.71</v>
      </c>
      <c r="DC455" s="2" t="n">
        <v>0</v>
      </c>
      <c r="DD455" s="2" t="n">
        <v>38.52</v>
      </c>
      <c r="DE455" s="2" t="n">
        <v>37.07</v>
      </c>
      <c r="DF455" s="2" t="n">
        <v>0</v>
      </c>
      <c r="DG455" s="2" t="n">
        <v>52.61</v>
      </c>
      <c r="DH455" s="2" t="n">
        <v>49.69</v>
      </c>
      <c r="DI455" s="2" t="n">
        <v>0</v>
      </c>
      <c r="DJ455" s="2" t="n">
        <v>60.56</v>
      </c>
      <c r="DK455" s="2" t="n">
        <v>60.59</v>
      </c>
      <c r="DL455" s="2" t="n">
        <v>0</v>
      </c>
      <c r="DM455" s="2" t="n">
        <v>67.95</v>
      </c>
      <c r="DN455" s="2" t="n">
        <v>65.94</v>
      </c>
      <c r="DO455" s="2" t="n">
        <v>0</v>
      </c>
      <c r="DP455" s="2" t="n">
        <v>80.36</v>
      </c>
      <c r="DQ455" s="2" t="n">
        <v>76.16</v>
      </c>
      <c r="DR455" s="2" t="n">
        <v>0</v>
      </c>
      <c r="DS455" s="2" t="n">
        <v>91.52</v>
      </c>
      <c r="DT455" s="2" t="n">
        <v>84.45999999999999</v>
      </c>
      <c r="DU455" s="2" t="n">
        <v>0</v>
      </c>
      <c r="DV455" s="2" t="n">
        <v>96.2</v>
      </c>
      <c r="DW455" s="2" t="n">
        <v>90.06999999999999</v>
      </c>
      <c r="DX455" s="2" t="n">
        <v>0</v>
      </c>
      <c r="DY455" s="2" t="n">
        <v>98.98999999999999</v>
      </c>
      <c r="DZ455" s="2" t="n">
        <v>93.86</v>
      </c>
      <c r="EA455" s="2" t="n">
        <v>0</v>
      </c>
      <c r="EB455" s="2" t="n">
        <v>100</v>
      </c>
      <c r="EC455" s="2" t="n">
        <v>99.44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  <c r="ET455" s="2" t="n">
        <v>100</v>
      </c>
      <c r="EU455" s="2" t="n">
        <v>100</v>
      </c>
      <c r="EV455" s="2" t="n">
        <v>0</v>
      </c>
      <c r="EW455" s="2" t="n">
        <v>100</v>
      </c>
      <c r="EX455" s="2" t="n">
        <v>100</v>
      </c>
      <c r="EY455" s="2" t="n">
        <v>0</v>
      </c>
      <c r="EZ455" s="2" t="n">
        <v>100</v>
      </c>
      <c r="FA455" s="2" t="n">
        <v>100</v>
      </c>
      <c r="FB455" s="2" t="n">
        <v>0</v>
      </c>
      <c r="FC455" s="2" t="n">
        <v>100</v>
      </c>
      <c r="FD455" s="2" t="n">
        <v>100</v>
      </c>
      <c r="FE455" s="2" t="n">
        <v>0</v>
      </c>
      <c r="FF455" s="2" t="n">
        <v>100</v>
      </c>
      <c r="FG455" s="2" t="n">
        <v>100</v>
      </c>
      <c r="FH455" s="2" t="n">
        <v>0</v>
      </c>
      <c r="FI455" s="2" t="n">
        <v>100</v>
      </c>
      <c r="FJ455" s="2" t="n">
        <v>100</v>
      </c>
      <c r="FK455" s="2" t="n">
        <v>0</v>
      </c>
      <c r="FL455" s="2" t="n">
        <v>100</v>
      </c>
      <c r="FM455" s="2" t="n">
        <v>100</v>
      </c>
      <c r="FN455" s="2" t="n">
        <v>0</v>
      </c>
      <c r="FO455" s="2" t="n">
        <v>100</v>
      </c>
      <c r="FP455" s="2" t="n">
        <v>100</v>
      </c>
      <c r="FQ455" s="2" t="n">
        <v>0</v>
      </c>
    </row>
    <row r="456">
      <c r="A456" s="2" t="n">
        <v>3</v>
      </c>
      <c r="B456" s="2" t="inlineStr">
        <is>
          <t>20.05.09</t>
        </is>
      </c>
      <c r="C456" s="2" t="inlineStr">
        <is>
          <t>Junta perimetral preenchida com material flexível (mastique de poliuretano ou pasta asfáltica sobre EPS ou equivalente (Usado para preenchimento da área e criação da junta)</t>
        </is>
      </c>
      <c r="D456" s="2" t="inlineStr">
        <is>
          <t>26/11/2026</t>
        </is>
      </c>
      <c r="E456" s="2" t="inlineStr">
        <is>
          <t>07/02/2028</t>
        </is>
      </c>
      <c r="F456" s="2" t="n">
        <v>5478.363319064049</v>
      </c>
      <c r="G456" s="2" t="n">
        <v>0</v>
      </c>
      <c r="H456" s="2" t="n">
        <v>5478.363319064049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0</v>
      </c>
      <c r="CJ456" s="2" t="n">
        <v>0</v>
      </c>
      <c r="CK456" s="2" t="n">
        <v>0</v>
      </c>
      <c r="CL456" s="2" t="n">
        <v>4.03</v>
      </c>
      <c r="CM456" s="2" t="n">
        <v>1.1</v>
      </c>
      <c r="CN456" s="2" t="n">
        <v>0</v>
      </c>
      <c r="CO456" s="2" t="n">
        <v>7.26</v>
      </c>
      <c r="CP456" s="2" t="n">
        <v>3.87</v>
      </c>
      <c r="CQ456" s="2" t="n">
        <v>0</v>
      </c>
      <c r="CR456" s="2" t="n">
        <v>14.9</v>
      </c>
      <c r="CS456" s="2" t="n">
        <v>9.199999999999999</v>
      </c>
      <c r="CT456" s="2" t="n">
        <v>0</v>
      </c>
      <c r="CU456" s="2" t="n">
        <v>16.62</v>
      </c>
      <c r="CV456" s="2" t="n">
        <v>15.76</v>
      </c>
      <c r="CW456" s="2" t="n">
        <v>0</v>
      </c>
      <c r="CX456" s="2" t="n">
        <v>21.56</v>
      </c>
      <c r="CY456" s="2" t="n">
        <v>20.39</v>
      </c>
      <c r="CZ456" s="2" t="n">
        <v>0</v>
      </c>
      <c r="DA456" s="2" t="n">
        <v>29.51</v>
      </c>
      <c r="DB456" s="2" t="n">
        <v>27.71</v>
      </c>
      <c r="DC456" s="2" t="n">
        <v>0</v>
      </c>
      <c r="DD456" s="2" t="n">
        <v>38.52</v>
      </c>
      <c r="DE456" s="2" t="n">
        <v>37.07</v>
      </c>
      <c r="DF456" s="2" t="n">
        <v>0</v>
      </c>
      <c r="DG456" s="2" t="n">
        <v>52.61</v>
      </c>
      <c r="DH456" s="2" t="n">
        <v>49.69</v>
      </c>
      <c r="DI456" s="2" t="n">
        <v>0</v>
      </c>
      <c r="DJ456" s="2" t="n">
        <v>60.56</v>
      </c>
      <c r="DK456" s="2" t="n">
        <v>60.59</v>
      </c>
      <c r="DL456" s="2" t="n">
        <v>0</v>
      </c>
      <c r="DM456" s="2" t="n">
        <v>67.95</v>
      </c>
      <c r="DN456" s="2" t="n">
        <v>65.94</v>
      </c>
      <c r="DO456" s="2" t="n">
        <v>0</v>
      </c>
      <c r="DP456" s="2" t="n">
        <v>80.36</v>
      </c>
      <c r="DQ456" s="2" t="n">
        <v>76.16</v>
      </c>
      <c r="DR456" s="2" t="n">
        <v>0</v>
      </c>
      <c r="DS456" s="2" t="n">
        <v>91.52</v>
      </c>
      <c r="DT456" s="2" t="n">
        <v>84.45999999999999</v>
      </c>
      <c r="DU456" s="2" t="n">
        <v>0</v>
      </c>
      <c r="DV456" s="2" t="n">
        <v>96.2</v>
      </c>
      <c r="DW456" s="2" t="n">
        <v>90.06999999999999</v>
      </c>
      <c r="DX456" s="2" t="n">
        <v>0</v>
      </c>
      <c r="DY456" s="2" t="n">
        <v>98.98999999999999</v>
      </c>
      <c r="DZ456" s="2" t="n">
        <v>93.86</v>
      </c>
      <c r="EA456" s="2" t="n">
        <v>0</v>
      </c>
      <c r="EB456" s="2" t="n">
        <v>100</v>
      </c>
      <c r="EC456" s="2" t="n">
        <v>99.44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  <c r="ET456" s="2" t="n">
        <v>100</v>
      </c>
      <c r="EU456" s="2" t="n">
        <v>100</v>
      </c>
      <c r="EV456" s="2" t="n">
        <v>0</v>
      </c>
      <c r="EW456" s="2" t="n">
        <v>100</v>
      </c>
      <c r="EX456" s="2" t="n">
        <v>100</v>
      </c>
      <c r="EY456" s="2" t="n">
        <v>0</v>
      </c>
      <c r="EZ456" s="2" t="n">
        <v>100</v>
      </c>
      <c r="FA456" s="2" t="n">
        <v>100</v>
      </c>
      <c r="FB456" s="2" t="n">
        <v>0</v>
      </c>
      <c r="FC456" s="2" t="n">
        <v>100</v>
      </c>
      <c r="FD456" s="2" t="n">
        <v>100</v>
      </c>
      <c r="FE456" s="2" t="n">
        <v>0</v>
      </c>
      <c r="FF456" s="2" t="n">
        <v>100</v>
      </c>
      <c r="FG456" s="2" t="n">
        <v>100</v>
      </c>
      <c r="FH456" s="2" t="n">
        <v>0</v>
      </c>
      <c r="FI456" s="2" t="n">
        <v>100</v>
      </c>
      <c r="FJ456" s="2" t="n">
        <v>100</v>
      </c>
      <c r="FK456" s="2" t="n">
        <v>0</v>
      </c>
      <c r="FL456" s="2" t="n">
        <v>100</v>
      </c>
      <c r="FM456" s="2" t="n">
        <v>100</v>
      </c>
      <c r="FN456" s="2" t="n">
        <v>0</v>
      </c>
      <c r="FO456" s="2" t="n">
        <v>100</v>
      </c>
      <c r="FP456" s="2" t="n">
        <v>100</v>
      </c>
      <c r="FQ456" s="2" t="n">
        <v>0</v>
      </c>
    </row>
    <row r="457">
      <c r="A457" s="2" t="n">
        <v>3</v>
      </c>
      <c r="B457" s="2" t="inlineStr">
        <is>
          <t>20.05.10</t>
        </is>
      </c>
      <c r="C457" s="2" t="inlineStr">
        <is>
          <t>Cantoneira de alumínio/ galvanizada 2x2" fixada com parafuso e bucha S6 a cada 30cm</t>
        </is>
      </c>
      <c r="D457" s="2" t="inlineStr">
        <is>
          <t>26/11/2026</t>
        </is>
      </c>
      <c r="E457" s="2" t="inlineStr">
        <is>
          <t>07/02/2028</t>
        </is>
      </c>
      <c r="F457" s="2" t="n">
        <v>15023.13868828312</v>
      </c>
      <c r="G457" s="2" t="n">
        <v>0</v>
      </c>
      <c r="H457" s="2" t="n">
        <v>15023.13868828312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0</v>
      </c>
      <c r="CJ457" s="2" t="n">
        <v>0</v>
      </c>
      <c r="CK457" s="2" t="n">
        <v>0</v>
      </c>
      <c r="CL457" s="2" t="n">
        <v>4.03</v>
      </c>
      <c r="CM457" s="2" t="n">
        <v>1.1</v>
      </c>
      <c r="CN457" s="2" t="n">
        <v>0</v>
      </c>
      <c r="CO457" s="2" t="n">
        <v>7.26</v>
      </c>
      <c r="CP457" s="2" t="n">
        <v>3.87</v>
      </c>
      <c r="CQ457" s="2" t="n">
        <v>0</v>
      </c>
      <c r="CR457" s="2" t="n">
        <v>14.9</v>
      </c>
      <c r="CS457" s="2" t="n">
        <v>9.199999999999999</v>
      </c>
      <c r="CT457" s="2" t="n">
        <v>0</v>
      </c>
      <c r="CU457" s="2" t="n">
        <v>16.62</v>
      </c>
      <c r="CV457" s="2" t="n">
        <v>15.76</v>
      </c>
      <c r="CW457" s="2" t="n">
        <v>0</v>
      </c>
      <c r="CX457" s="2" t="n">
        <v>21.56</v>
      </c>
      <c r="CY457" s="2" t="n">
        <v>20.39</v>
      </c>
      <c r="CZ457" s="2" t="n">
        <v>0</v>
      </c>
      <c r="DA457" s="2" t="n">
        <v>29.51</v>
      </c>
      <c r="DB457" s="2" t="n">
        <v>27.71</v>
      </c>
      <c r="DC457" s="2" t="n">
        <v>0</v>
      </c>
      <c r="DD457" s="2" t="n">
        <v>38.52</v>
      </c>
      <c r="DE457" s="2" t="n">
        <v>37.07</v>
      </c>
      <c r="DF457" s="2" t="n">
        <v>0</v>
      </c>
      <c r="DG457" s="2" t="n">
        <v>52.61</v>
      </c>
      <c r="DH457" s="2" t="n">
        <v>49.69</v>
      </c>
      <c r="DI457" s="2" t="n">
        <v>0</v>
      </c>
      <c r="DJ457" s="2" t="n">
        <v>60.56</v>
      </c>
      <c r="DK457" s="2" t="n">
        <v>60.59</v>
      </c>
      <c r="DL457" s="2" t="n">
        <v>0</v>
      </c>
      <c r="DM457" s="2" t="n">
        <v>67.95</v>
      </c>
      <c r="DN457" s="2" t="n">
        <v>65.94</v>
      </c>
      <c r="DO457" s="2" t="n">
        <v>0</v>
      </c>
      <c r="DP457" s="2" t="n">
        <v>80.36</v>
      </c>
      <c r="DQ457" s="2" t="n">
        <v>76.16</v>
      </c>
      <c r="DR457" s="2" t="n">
        <v>0</v>
      </c>
      <c r="DS457" s="2" t="n">
        <v>91.52</v>
      </c>
      <c r="DT457" s="2" t="n">
        <v>84.45999999999999</v>
      </c>
      <c r="DU457" s="2" t="n">
        <v>0</v>
      </c>
      <c r="DV457" s="2" t="n">
        <v>96.2</v>
      </c>
      <c r="DW457" s="2" t="n">
        <v>90.06999999999999</v>
      </c>
      <c r="DX457" s="2" t="n">
        <v>0</v>
      </c>
      <c r="DY457" s="2" t="n">
        <v>98.98999999999999</v>
      </c>
      <c r="DZ457" s="2" t="n">
        <v>93.86</v>
      </c>
      <c r="EA457" s="2" t="n">
        <v>0</v>
      </c>
      <c r="EB457" s="2" t="n">
        <v>100</v>
      </c>
      <c r="EC457" s="2" t="n">
        <v>99.44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  <c r="ET457" s="2" t="n">
        <v>100</v>
      </c>
      <c r="EU457" s="2" t="n">
        <v>100</v>
      </c>
      <c r="EV457" s="2" t="n">
        <v>0</v>
      </c>
      <c r="EW457" s="2" t="n">
        <v>100</v>
      </c>
      <c r="EX457" s="2" t="n">
        <v>100</v>
      </c>
      <c r="EY457" s="2" t="n">
        <v>0</v>
      </c>
      <c r="EZ457" s="2" t="n">
        <v>100</v>
      </c>
      <c r="FA457" s="2" t="n">
        <v>100</v>
      </c>
      <c r="FB457" s="2" t="n">
        <v>0</v>
      </c>
      <c r="FC457" s="2" t="n">
        <v>100</v>
      </c>
      <c r="FD457" s="2" t="n">
        <v>100</v>
      </c>
      <c r="FE457" s="2" t="n">
        <v>0</v>
      </c>
      <c r="FF457" s="2" t="n">
        <v>100</v>
      </c>
      <c r="FG457" s="2" t="n">
        <v>100</v>
      </c>
      <c r="FH457" s="2" t="n">
        <v>0</v>
      </c>
      <c r="FI457" s="2" t="n">
        <v>100</v>
      </c>
      <c r="FJ457" s="2" t="n">
        <v>100</v>
      </c>
      <c r="FK457" s="2" t="n">
        <v>0</v>
      </c>
      <c r="FL457" s="2" t="n">
        <v>100</v>
      </c>
      <c r="FM457" s="2" t="n">
        <v>100</v>
      </c>
      <c r="FN457" s="2" t="n">
        <v>0</v>
      </c>
      <c r="FO457" s="2" t="n">
        <v>100</v>
      </c>
      <c r="FP457" s="2" t="n">
        <v>100</v>
      </c>
      <c r="FQ457" s="2" t="n">
        <v>0</v>
      </c>
    </row>
    <row r="458">
      <c r="A458" s="2" t="n">
        <v>3</v>
      </c>
      <c r="B458" s="2" t="inlineStr">
        <is>
          <t>20.05.11</t>
        </is>
      </c>
      <c r="C458" s="2" t="inlineStr">
        <is>
          <t>Impermabilização de ralos</t>
        </is>
      </c>
      <c r="D458" s="2" t="inlineStr">
        <is>
          <t>26/11/2026</t>
        </is>
      </c>
      <c r="E458" s="2" t="inlineStr">
        <is>
          <t>07/02/2028</t>
        </is>
      </c>
      <c r="F458" s="2" t="n">
        <v>1320.722528433251</v>
      </c>
      <c r="G458" s="2" t="n">
        <v>0</v>
      </c>
      <c r="H458" s="2" t="n">
        <v>1320.722528433251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0</v>
      </c>
      <c r="CJ458" s="2" t="n">
        <v>0</v>
      </c>
      <c r="CK458" s="2" t="n">
        <v>0</v>
      </c>
      <c r="CL458" s="2" t="n">
        <v>4.03</v>
      </c>
      <c r="CM458" s="2" t="n">
        <v>1.1</v>
      </c>
      <c r="CN458" s="2" t="n">
        <v>0</v>
      </c>
      <c r="CO458" s="2" t="n">
        <v>7.26</v>
      </c>
      <c r="CP458" s="2" t="n">
        <v>3.87</v>
      </c>
      <c r="CQ458" s="2" t="n">
        <v>0</v>
      </c>
      <c r="CR458" s="2" t="n">
        <v>14.9</v>
      </c>
      <c r="CS458" s="2" t="n">
        <v>9.199999999999999</v>
      </c>
      <c r="CT458" s="2" t="n">
        <v>0</v>
      </c>
      <c r="CU458" s="2" t="n">
        <v>16.62</v>
      </c>
      <c r="CV458" s="2" t="n">
        <v>15.76</v>
      </c>
      <c r="CW458" s="2" t="n">
        <v>0</v>
      </c>
      <c r="CX458" s="2" t="n">
        <v>21.56</v>
      </c>
      <c r="CY458" s="2" t="n">
        <v>20.39</v>
      </c>
      <c r="CZ458" s="2" t="n">
        <v>0</v>
      </c>
      <c r="DA458" s="2" t="n">
        <v>29.51</v>
      </c>
      <c r="DB458" s="2" t="n">
        <v>27.71</v>
      </c>
      <c r="DC458" s="2" t="n">
        <v>0</v>
      </c>
      <c r="DD458" s="2" t="n">
        <v>38.52</v>
      </c>
      <c r="DE458" s="2" t="n">
        <v>37.07</v>
      </c>
      <c r="DF458" s="2" t="n">
        <v>0</v>
      </c>
      <c r="DG458" s="2" t="n">
        <v>52.61</v>
      </c>
      <c r="DH458" s="2" t="n">
        <v>49.69</v>
      </c>
      <c r="DI458" s="2" t="n">
        <v>0</v>
      </c>
      <c r="DJ458" s="2" t="n">
        <v>60.56</v>
      </c>
      <c r="DK458" s="2" t="n">
        <v>60.59</v>
      </c>
      <c r="DL458" s="2" t="n">
        <v>0</v>
      </c>
      <c r="DM458" s="2" t="n">
        <v>67.95</v>
      </c>
      <c r="DN458" s="2" t="n">
        <v>65.94</v>
      </c>
      <c r="DO458" s="2" t="n">
        <v>0</v>
      </c>
      <c r="DP458" s="2" t="n">
        <v>80.36</v>
      </c>
      <c r="DQ458" s="2" t="n">
        <v>76.16</v>
      </c>
      <c r="DR458" s="2" t="n">
        <v>0</v>
      </c>
      <c r="DS458" s="2" t="n">
        <v>91.52</v>
      </c>
      <c r="DT458" s="2" t="n">
        <v>84.45999999999999</v>
      </c>
      <c r="DU458" s="2" t="n">
        <v>0</v>
      </c>
      <c r="DV458" s="2" t="n">
        <v>96.2</v>
      </c>
      <c r="DW458" s="2" t="n">
        <v>90.06999999999999</v>
      </c>
      <c r="DX458" s="2" t="n">
        <v>0</v>
      </c>
      <c r="DY458" s="2" t="n">
        <v>98.98999999999999</v>
      </c>
      <c r="DZ458" s="2" t="n">
        <v>93.86</v>
      </c>
      <c r="EA458" s="2" t="n">
        <v>0</v>
      </c>
      <c r="EB458" s="2" t="n">
        <v>100</v>
      </c>
      <c r="EC458" s="2" t="n">
        <v>99.44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  <c r="ET458" s="2" t="n">
        <v>100</v>
      </c>
      <c r="EU458" s="2" t="n">
        <v>100</v>
      </c>
      <c r="EV458" s="2" t="n">
        <v>0</v>
      </c>
      <c r="EW458" s="2" t="n">
        <v>100</v>
      </c>
      <c r="EX458" s="2" t="n">
        <v>100</v>
      </c>
      <c r="EY458" s="2" t="n">
        <v>0</v>
      </c>
      <c r="EZ458" s="2" t="n">
        <v>100</v>
      </c>
      <c r="FA458" s="2" t="n">
        <v>100</v>
      </c>
      <c r="FB458" s="2" t="n">
        <v>0</v>
      </c>
      <c r="FC458" s="2" t="n">
        <v>100</v>
      </c>
      <c r="FD458" s="2" t="n">
        <v>100</v>
      </c>
      <c r="FE458" s="2" t="n">
        <v>0</v>
      </c>
      <c r="FF458" s="2" t="n">
        <v>100</v>
      </c>
      <c r="FG458" s="2" t="n">
        <v>100</v>
      </c>
      <c r="FH458" s="2" t="n">
        <v>0</v>
      </c>
      <c r="FI458" s="2" t="n">
        <v>100</v>
      </c>
      <c r="FJ458" s="2" t="n">
        <v>100</v>
      </c>
      <c r="FK458" s="2" t="n">
        <v>0</v>
      </c>
      <c r="FL458" s="2" t="n">
        <v>100</v>
      </c>
      <c r="FM458" s="2" t="n">
        <v>100</v>
      </c>
      <c r="FN458" s="2" t="n">
        <v>0</v>
      </c>
      <c r="FO458" s="2" t="n">
        <v>100</v>
      </c>
      <c r="FP458" s="2" t="n">
        <v>100</v>
      </c>
      <c r="FQ458" s="2" t="n">
        <v>0</v>
      </c>
    </row>
    <row r="459">
      <c r="A459" s="2" t="n">
        <v>2</v>
      </c>
      <c r="B459" s="2" t="inlineStr">
        <is>
          <t>20.06</t>
        </is>
      </c>
      <c r="C459" s="2" t="inlineStr">
        <is>
          <t>Impermeabilização com 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59" s="2" t="inlineStr">
        <is>
          <t>26/11/2026</t>
        </is>
      </c>
      <c r="E459" s="2" t="inlineStr">
        <is>
          <t>07/02/2028</t>
        </is>
      </c>
      <c r="F459" s="2" t="n">
        <v>231516.7676586165</v>
      </c>
      <c r="G459" s="2" t="n">
        <v>0</v>
      </c>
      <c r="H459" s="2" t="n">
        <v>231516.7676586165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0</v>
      </c>
      <c r="CJ459" s="2" t="n">
        <v>0</v>
      </c>
      <c r="CK459" s="2" t="n">
        <v>0</v>
      </c>
      <c r="CL459" s="2" t="n">
        <v>4.03</v>
      </c>
      <c r="CM459" s="2" t="n">
        <v>1.1</v>
      </c>
      <c r="CN459" s="2" t="n">
        <v>0</v>
      </c>
      <c r="CO459" s="2" t="n">
        <v>7.26</v>
      </c>
      <c r="CP459" s="2" t="n">
        <v>3.87</v>
      </c>
      <c r="CQ459" s="2" t="n">
        <v>0</v>
      </c>
      <c r="CR459" s="2" t="n">
        <v>14.9</v>
      </c>
      <c r="CS459" s="2" t="n">
        <v>9.199999999999999</v>
      </c>
      <c r="CT459" s="2" t="n">
        <v>0</v>
      </c>
      <c r="CU459" s="2" t="n">
        <v>16.62</v>
      </c>
      <c r="CV459" s="2" t="n">
        <v>15.76</v>
      </c>
      <c r="CW459" s="2" t="n">
        <v>0</v>
      </c>
      <c r="CX459" s="2" t="n">
        <v>21.56</v>
      </c>
      <c r="CY459" s="2" t="n">
        <v>20.39</v>
      </c>
      <c r="CZ459" s="2" t="n">
        <v>0</v>
      </c>
      <c r="DA459" s="2" t="n">
        <v>29.51</v>
      </c>
      <c r="DB459" s="2" t="n">
        <v>27.71</v>
      </c>
      <c r="DC459" s="2" t="n">
        <v>0</v>
      </c>
      <c r="DD459" s="2" t="n">
        <v>38.52</v>
      </c>
      <c r="DE459" s="2" t="n">
        <v>37.07</v>
      </c>
      <c r="DF459" s="2" t="n">
        <v>0</v>
      </c>
      <c r="DG459" s="2" t="n">
        <v>52.61</v>
      </c>
      <c r="DH459" s="2" t="n">
        <v>49.69</v>
      </c>
      <c r="DI459" s="2" t="n">
        <v>0</v>
      </c>
      <c r="DJ459" s="2" t="n">
        <v>60.56</v>
      </c>
      <c r="DK459" s="2" t="n">
        <v>60.59</v>
      </c>
      <c r="DL459" s="2" t="n">
        <v>0</v>
      </c>
      <c r="DM459" s="2" t="n">
        <v>67.95</v>
      </c>
      <c r="DN459" s="2" t="n">
        <v>65.94</v>
      </c>
      <c r="DO459" s="2" t="n">
        <v>0</v>
      </c>
      <c r="DP459" s="2" t="n">
        <v>80.36</v>
      </c>
      <c r="DQ459" s="2" t="n">
        <v>76.16</v>
      </c>
      <c r="DR459" s="2" t="n">
        <v>0</v>
      </c>
      <c r="DS459" s="2" t="n">
        <v>91.52</v>
      </c>
      <c r="DT459" s="2" t="n">
        <v>84.45999999999999</v>
      </c>
      <c r="DU459" s="2" t="n">
        <v>0</v>
      </c>
      <c r="DV459" s="2" t="n">
        <v>96.2</v>
      </c>
      <c r="DW459" s="2" t="n">
        <v>90.06999999999999</v>
      </c>
      <c r="DX459" s="2" t="n">
        <v>0</v>
      </c>
      <c r="DY459" s="2" t="n">
        <v>98.98999999999999</v>
      </c>
      <c r="DZ459" s="2" t="n">
        <v>93.86</v>
      </c>
      <c r="EA459" s="2" t="n">
        <v>0</v>
      </c>
      <c r="EB459" s="2" t="n">
        <v>100</v>
      </c>
      <c r="EC459" s="2" t="n">
        <v>99.44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  <c r="ET459" s="2" t="n">
        <v>100</v>
      </c>
      <c r="EU459" s="2" t="n">
        <v>100</v>
      </c>
      <c r="EV459" s="2" t="n">
        <v>0</v>
      </c>
      <c r="EW459" s="2" t="n">
        <v>100</v>
      </c>
      <c r="EX459" s="2" t="n">
        <v>100</v>
      </c>
      <c r="EY459" s="2" t="n">
        <v>0</v>
      </c>
      <c r="EZ459" s="2" t="n">
        <v>100</v>
      </c>
      <c r="FA459" s="2" t="n">
        <v>100</v>
      </c>
      <c r="FB459" s="2" t="n">
        <v>0</v>
      </c>
      <c r="FC459" s="2" t="n">
        <v>100</v>
      </c>
      <c r="FD459" s="2" t="n">
        <v>100</v>
      </c>
      <c r="FE459" s="2" t="n">
        <v>0</v>
      </c>
      <c r="FF459" s="2" t="n">
        <v>100</v>
      </c>
      <c r="FG459" s="2" t="n">
        <v>100</v>
      </c>
      <c r="FH459" s="2" t="n">
        <v>0</v>
      </c>
      <c r="FI459" s="2" t="n">
        <v>100</v>
      </c>
      <c r="FJ459" s="2" t="n">
        <v>100</v>
      </c>
      <c r="FK459" s="2" t="n">
        <v>0</v>
      </c>
      <c r="FL459" s="2" t="n">
        <v>100</v>
      </c>
      <c r="FM459" s="2" t="n">
        <v>100</v>
      </c>
      <c r="FN459" s="2" t="n">
        <v>0</v>
      </c>
      <c r="FO459" s="2" t="n">
        <v>100</v>
      </c>
      <c r="FP459" s="2" t="n">
        <v>100</v>
      </c>
      <c r="FQ459" s="2" t="n">
        <v>0</v>
      </c>
    </row>
    <row r="460">
      <c r="A460" s="2" t="n">
        <v>3</v>
      </c>
      <c r="B460" s="2" t="inlineStr">
        <is>
          <t>20.06.01</t>
        </is>
      </c>
      <c r="C460" s="2" t="inlineStr">
        <is>
          <t>Regularização do concreto com argamassa aditivada de fibras de polipropileno (consumo 100g por saco de cimento) com acabamento desempenado e feltrado</t>
        </is>
      </c>
      <c r="D460" s="2" t="inlineStr">
        <is>
          <t>26/11/2026</t>
        </is>
      </c>
      <c r="E460" s="2" t="inlineStr">
        <is>
          <t>07/02/2028</t>
        </is>
      </c>
      <c r="F460" s="2" t="n">
        <v>22643.48156774818</v>
      </c>
      <c r="G460" s="2" t="n">
        <v>0</v>
      </c>
      <c r="H460" s="2" t="n">
        <v>22643.48156774818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0</v>
      </c>
      <c r="CJ460" s="2" t="n">
        <v>0</v>
      </c>
      <c r="CK460" s="2" t="n">
        <v>0</v>
      </c>
      <c r="CL460" s="2" t="n">
        <v>4.03</v>
      </c>
      <c r="CM460" s="2" t="n">
        <v>1.1</v>
      </c>
      <c r="CN460" s="2" t="n">
        <v>0</v>
      </c>
      <c r="CO460" s="2" t="n">
        <v>7.26</v>
      </c>
      <c r="CP460" s="2" t="n">
        <v>3.87</v>
      </c>
      <c r="CQ460" s="2" t="n">
        <v>0</v>
      </c>
      <c r="CR460" s="2" t="n">
        <v>14.9</v>
      </c>
      <c r="CS460" s="2" t="n">
        <v>9.199999999999999</v>
      </c>
      <c r="CT460" s="2" t="n">
        <v>0</v>
      </c>
      <c r="CU460" s="2" t="n">
        <v>16.62</v>
      </c>
      <c r="CV460" s="2" t="n">
        <v>15.76</v>
      </c>
      <c r="CW460" s="2" t="n">
        <v>0</v>
      </c>
      <c r="CX460" s="2" t="n">
        <v>21.56</v>
      </c>
      <c r="CY460" s="2" t="n">
        <v>20.39</v>
      </c>
      <c r="CZ460" s="2" t="n">
        <v>0</v>
      </c>
      <c r="DA460" s="2" t="n">
        <v>29.51</v>
      </c>
      <c r="DB460" s="2" t="n">
        <v>27.71</v>
      </c>
      <c r="DC460" s="2" t="n">
        <v>0</v>
      </c>
      <c r="DD460" s="2" t="n">
        <v>38.52</v>
      </c>
      <c r="DE460" s="2" t="n">
        <v>37.07</v>
      </c>
      <c r="DF460" s="2" t="n">
        <v>0</v>
      </c>
      <c r="DG460" s="2" t="n">
        <v>52.61</v>
      </c>
      <c r="DH460" s="2" t="n">
        <v>49.69</v>
      </c>
      <c r="DI460" s="2" t="n">
        <v>0</v>
      </c>
      <c r="DJ460" s="2" t="n">
        <v>60.56</v>
      </c>
      <c r="DK460" s="2" t="n">
        <v>60.59</v>
      </c>
      <c r="DL460" s="2" t="n">
        <v>0</v>
      </c>
      <c r="DM460" s="2" t="n">
        <v>67.95</v>
      </c>
      <c r="DN460" s="2" t="n">
        <v>65.94</v>
      </c>
      <c r="DO460" s="2" t="n">
        <v>0</v>
      </c>
      <c r="DP460" s="2" t="n">
        <v>80.36</v>
      </c>
      <c r="DQ460" s="2" t="n">
        <v>76.16</v>
      </c>
      <c r="DR460" s="2" t="n">
        <v>0</v>
      </c>
      <c r="DS460" s="2" t="n">
        <v>91.52</v>
      </c>
      <c r="DT460" s="2" t="n">
        <v>84.45999999999999</v>
      </c>
      <c r="DU460" s="2" t="n">
        <v>0</v>
      </c>
      <c r="DV460" s="2" t="n">
        <v>96.2</v>
      </c>
      <c r="DW460" s="2" t="n">
        <v>90.06999999999999</v>
      </c>
      <c r="DX460" s="2" t="n">
        <v>0</v>
      </c>
      <c r="DY460" s="2" t="n">
        <v>98.98999999999999</v>
      </c>
      <c r="DZ460" s="2" t="n">
        <v>93.86</v>
      </c>
      <c r="EA460" s="2" t="n">
        <v>0</v>
      </c>
      <c r="EB460" s="2" t="n">
        <v>100</v>
      </c>
      <c r="EC460" s="2" t="n">
        <v>99.44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  <c r="ET460" s="2" t="n">
        <v>100</v>
      </c>
      <c r="EU460" s="2" t="n">
        <v>100</v>
      </c>
      <c r="EV460" s="2" t="n">
        <v>0</v>
      </c>
      <c r="EW460" s="2" t="n">
        <v>100</v>
      </c>
      <c r="EX460" s="2" t="n">
        <v>100</v>
      </c>
      <c r="EY460" s="2" t="n">
        <v>0</v>
      </c>
      <c r="EZ460" s="2" t="n">
        <v>100</v>
      </c>
      <c r="FA460" s="2" t="n">
        <v>100</v>
      </c>
      <c r="FB460" s="2" t="n">
        <v>0</v>
      </c>
      <c r="FC460" s="2" t="n">
        <v>100</v>
      </c>
      <c r="FD460" s="2" t="n">
        <v>100</v>
      </c>
      <c r="FE460" s="2" t="n">
        <v>0</v>
      </c>
      <c r="FF460" s="2" t="n">
        <v>100</v>
      </c>
      <c r="FG460" s="2" t="n">
        <v>100</v>
      </c>
      <c r="FH460" s="2" t="n">
        <v>0</v>
      </c>
      <c r="FI460" s="2" t="n">
        <v>100</v>
      </c>
      <c r="FJ460" s="2" t="n">
        <v>100</v>
      </c>
      <c r="FK460" s="2" t="n">
        <v>0</v>
      </c>
      <c r="FL460" s="2" t="n">
        <v>100</v>
      </c>
      <c r="FM460" s="2" t="n">
        <v>100</v>
      </c>
      <c r="FN460" s="2" t="n">
        <v>0</v>
      </c>
      <c r="FO460" s="2" t="n">
        <v>100</v>
      </c>
      <c r="FP460" s="2" t="n">
        <v>100</v>
      </c>
      <c r="FQ460" s="2" t="n">
        <v>0</v>
      </c>
    </row>
    <row r="461">
      <c r="A461" s="2" t="n">
        <v>3</v>
      </c>
      <c r="B461" s="2" t="inlineStr">
        <is>
          <t>20.06.02</t>
        </is>
      </c>
      <c r="C461" s="2" t="inlineStr">
        <is>
          <t>Proteção mecânica armada com tela galvanizada, fio 22, malha 1 com  aditivo de concreto (Consumo de 0,8% sobre a massa de cimento e aditivo de fibras de polipropileno (consumo 100g por saco de cimento com tratamento antiflorescência)</t>
        </is>
      </c>
      <c r="D461" s="2" t="inlineStr">
        <is>
          <t>26/11/2026</t>
        </is>
      </c>
      <c r="E461" s="2" t="inlineStr">
        <is>
          <t>07/02/2028</t>
        </is>
      </c>
      <c r="F461" s="2" t="n">
        <v>99416.44340430002</v>
      </c>
      <c r="G461" s="2" t="n">
        <v>0</v>
      </c>
      <c r="H461" s="2" t="n">
        <v>99416.44340430002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0</v>
      </c>
      <c r="CJ461" s="2" t="n">
        <v>0</v>
      </c>
      <c r="CK461" s="2" t="n">
        <v>0</v>
      </c>
      <c r="CL461" s="2" t="n">
        <v>4.03</v>
      </c>
      <c r="CM461" s="2" t="n">
        <v>1.1</v>
      </c>
      <c r="CN461" s="2" t="n">
        <v>0</v>
      </c>
      <c r="CO461" s="2" t="n">
        <v>7.26</v>
      </c>
      <c r="CP461" s="2" t="n">
        <v>3.87</v>
      </c>
      <c r="CQ461" s="2" t="n">
        <v>0</v>
      </c>
      <c r="CR461" s="2" t="n">
        <v>14.9</v>
      </c>
      <c r="CS461" s="2" t="n">
        <v>9.199999999999999</v>
      </c>
      <c r="CT461" s="2" t="n">
        <v>0</v>
      </c>
      <c r="CU461" s="2" t="n">
        <v>16.62</v>
      </c>
      <c r="CV461" s="2" t="n">
        <v>15.76</v>
      </c>
      <c r="CW461" s="2" t="n">
        <v>0</v>
      </c>
      <c r="CX461" s="2" t="n">
        <v>21.56</v>
      </c>
      <c r="CY461" s="2" t="n">
        <v>20.39</v>
      </c>
      <c r="CZ461" s="2" t="n">
        <v>0</v>
      </c>
      <c r="DA461" s="2" t="n">
        <v>29.51</v>
      </c>
      <c r="DB461" s="2" t="n">
        <v>27.71</v>
      </c>
      <c r="DC461" s="2" t="n">
        <v>0</v>
      </c>
      <c r="DD461" s="2" t="n">
        <v>38.52</v>
      </c>
      <c r="DE461" s="2" t="n">
        <v>37.07</v>
      </c>
      <c r="DF461" s="2" t="n">
        <v>0</v>
      </c>
      <c r="DG461" s="2" t="n">
        <v>52.61</v>
      </c>
      <c r="DH461" s="2" t="n">
        <v>49.69</v>
      </c>
      <c r="DI461" s="2" t="n">
        <v>0</v>
      </c>
      <c r="DJ461" s="2" t="n">
        <v>60.56</v>
      </c>
      <c r="DK461" s="2" t="n">
        <v>60.59</v>
      </c>
      <c r="DL461" s="2" t="n">
        <v>0</v>
      </c>
      <c r="DM461" s="2" t="n">
        <v>67.95</v>
      </c>
      <c r="DN461" s="2" t="n">
        <v>65.94</v>
      </c>
      <c r="DO461" s="2" t="n">
        <v>0</v>
      </c>
      <c r="DP461" s="2" t="n">
        <v>80.36</v>
      </c>
      <c r="DQ461" s="2" t="n">
        <v>76.16</v>
      </c>
      <c r="DR461" s="2" t="n">
        <v>0</v>
      </c>
      <c r="DS461" s="2" t="n">
        <v>91.52</v>
      </c>
      <c r="DT461" s="2" t="n">
        <v>84.45999999999999</v>
      </c>
      <c r="DU461" s="2" t="n">
        <v>0</v>
      </c>
      <c r="DV461" s="2" t="n">
        <v>96.2</v>
      </c>
      <c r="DW461" s="2" t="n">
        <v>90.06999999999999</v>
      </c>
      <c r="DX461" s="2" t="n">
        <v>0</v>
      </c>
      <c r="DY461" s="2" t="n">
        <v>98.98999999999999</v>
      </c>
      <c r="DZ461" s="2" t="n">
        <v>93.86</v>
      </c>
      <c r="EA461" s="2" t="n">
        <v>0</v>
      </c>
      <c r="EB461" s="2" t="n">
        <v>100</v>
      </c>
      <c r="EC461" s="2" t="n">
        <v>99.44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  <c r="ET461" s="2" t="n">
        <v>100</v>
      </c>
      <c r="EU461" s="2" t="n">
        <v>100</v>
      </c>
      <c r="EV461" s="2" t="n">
        <v>0</v>
      </c>
      <c r="EW461" s="2" t="n">
        <v>100</v>
      </c>
      <c r="EX461" s="2" t="n">
        <v>100</v>
      </c>
      <c r="EY461" s="2" t="n">
        <v>0</v>
      </c>
      <c r="EZ461" s="2" t="n">
        <v>100</v>
      </c>
      <c r="FA461" s="2" t="n">
        <v>100</v>
      </c>
      <c r="FB461" s="2" t="n">
        <v>0</v>
      </c>
      <c r="FC461" s="2" t="n">
        <v>100</v>
      </c>
      <c r="FD461" s="2" t="n">
        <v>100</v>
      </c>
      <c r="FE461" s="2" t="n">
        <v>0</v>
      </c>
      <c r="FF461" s="2" t="n">
        <v>100</v>
      </c>
      <c r="FG461" s="2" t="n">
        <v>100</v>
      </c>
      <c r="FH461" s="2" t="n">
        <v>0</v>
      </c>
      <c r="FI461" s="2" t="n">
        <v>100</v>
      </c>
      <c r="FJ461" s="2" t="n">
        <v>100</v>
      </c>
      <c r="FK461" s="2" t="n">
        <v>0</v>
      </c>
      <c r="FL461" s="2" t="n">
        <v>100</v>
      </c>
      <c r="FM461" s="2" t="n">
        <v>100</v>
      </c>
      <c r="FN461" s="2" t="n">
        <v>0</v>
      </c>
      <c r="FO461" s="2" t="n">
        <v>100</v>
      </c>
      <c r="FP461" s="2" t="n">
        <v>100</v>
      </c>
      <c r="FQ461" s="2" t="n">
        <v>0</v>
      </c>
    </row>
    <row r="462">
      <c r="A462" s="2" t="n">
        <v>3</v>
      </c>
      <c r="B462" s="2" t="inlineStr">
        <is>
          <t>20.06.03</t>
        </is>
      </c>
      <c r="C462" s="2" t="inlineStr">
        <is>
          <t>Camada de transição geotêxtil 200g/m2</t>
        </is>
      </c>
      <c r="D462" s="2" t="inlineStr">
        <is>
          <t>26/11/2026</t>
        </is>
      </c>
      <c r="E462" s="2" t="inlineStr">
        <is>
          <t>07/02/2028</t>
        </is>
      </c>
      <c r="F462" s="2" t="n">
        <v>2560.2085875</v>
      </c>
      <c r="G462" s="2" t="n">
        <v>0</v>
      </c>
      <c r="H462" s="2" t="n">
        <v>2560.2085875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0</v>
      </c>
      <c r="CJ462" s="2" t="n">
        <v>0</v>
      </c>
      <c r="CK462" s="2" t="n">
        <v>0</v>
      </c>
      <c r="CL462" s="2" t="n">
        <v>4.03</v>
      </c>
      <c r="CM462" s="2" t="n">
        <v>1.1</v>
      </c>
      <c r="CN462" s="2" t="n">
        <v>0</v>
      </c>
      <c r="CO462" s="2" t="n">
        <v>7.26</v>
      </c>
      <c r="CP462" s="2" t="n">
        <v>3.87</v>
      </c>
      <c r="CQ462" s="2" t="n">
        <v>0</v>
      </c>
      <c r="CR462" s="2" t="n">
        <v>14.9</v>
      </c>
      <c r="CS462" s="2" t="n">
        <v>9.199999999999999</v>
      </c>
      <c r="CT462" s="2" t="n">
        <v>0</v>
      </c>
      <c r="CU462" s="2" t="n">
        <v>16.62</v>
      </c>
      <c r="CV462" s="2" t="n">
        <v>15.76</v>
      </c>
      <c r="CW462" s="2" t="n">
        <v>0</v>
      </c>
      <c r="CX462" s="2" t="n">
        <v>21.56</v>
      </c>
      <c r="CY462" s="2" t="n">
        <v>20.39</v>
      </c>
      <c r="CZ462" s="2" t="n">
        <v>0</v>
      </c>
      <c r="DA462" s="2" t="n">
        <v>29.51</v>
      </c>
      <c r="DB462" s="2" t="n">
        <v>27.71</v>
      </c>
      <c r="DC462" s="2" t="n">
        <v>0</v>
      </c>
      <c r="DD462" s="2" t="n">
        <v>38.52</v>
      </c>
      <c r="DE462" s="2" t="n">
        <v>37.07</v>
      </c>
      <c r="DF462" s="2" t="n">
        <v>0</v>
      </c>
      <c r="DG462" s="2" t="n">
        <v>52.61</v>
      </c>
      <c r="DH462" s="2" t="n">
        <v>49.69</v>
      </c>
      <c r="DI462" s="2" t="n">
        <v>0</v>
      </c>
      <c r="DJ462" s="2" t="n">
        <v>60.56</v>
      </c>
      <c r="DK462" s="2" t="n">
        <v>60.59</v>
      </c>
      <c r="DL462" s="2" t="n">
        <v>0</v>
      </c>
      <c r="DM462" s="2" t="n">
        <v>67.95</v>
      </c>
      <c r="DN462" s="2" t="n">
        <v>65.94</v>
      </c>
      <c r="DO462" s="2" t="n">
        <v>0</v>
      </c>
      <c r="DP462" s="2" t="n">
        <v>80.36</v>
      </c>
      <c r="DQ462" s="2" t="n">
        <v>76.16</v>
      </c>
      <c r="DR462" s="2" t="n">
        <v>0</v>
      </c>
      <c r="DS462" s="2" t="n">
        <v>91.52</v>
      </c>
      <c r="DT462" s="2" t="n">
        <v>84.45999999999999</v>
      </c>
      <c r="DU462" s="2" t="n">
        <v>0</v>
      </c>
      <c r="DV462" s="2" t="n">
        <v>96.2</v>
      </c>
      <c r="DW462" s="2" t="n">
        <v>90.06999999999999</v>
      </c>
      <c r="DX462" s="2" t="n">
        <v>0</v>
      </c>
      <c r="DY462" s="2" t="n">
        <v>98.98999999999999</v>
      </c>
      <c r="DZ462" s="2" t="n">
        <v>93.86</v>
      </c>
      <c r="EA462" s="2" t="n">
        <v>0</v>
      </c>
      <c r="EB462" s="2" t="n">
        <v>100</v>
      </c>
      <c r="EC462" s="2" t="n">
        <v>99.44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  <c r="ET462" s="2" t="n">
        <v>100</v>
      </c>
      <c r="EU462" s="2" t="n">
        <v>100</v>
      </c>
      <c r="EV462" s="2" t="n">
        <v>0</v>
      </c>
      <c r="EW462" s="2" t="n">
        <v>100</v>
      </c>
      <c r="EX462" s="2" t="n">
        <v>100</v>
      </c>
      <c r="EY462" s="2" t="n">
        <v>0</v>
      </c>
      <c r="EZ462" s="2" t="n">
        <v>100</v>
      </c>
      <c r="FA462" s="2" t="n">
        <v>100</v>
      </c>
      <c r="FB462" s="2" t="n">
        <v>0</v>
      </c>
      <c r="FC462" s="2" t="n">
        <v>100</v>
      </c>
      <c r="FD462" s="2" t="n">
        <v>100</v>
      </c>
      <c r="FE462" s="2" t="n">
        <v>0</v>
      </c>
      <c r="FF462" s="2" t="n">
        <v>100</v>
      </c>
      <c r="FG462" s="2" t="n">
        <v>100</v>
      </c>
      <c r="FH462" s="2" t="n">
        <v>0</v>
      </c>
      <c r="FI462" s="2" t="n">
        <v>100</v>
      </c>
      <c r="FJ462" s="2" t="n">
        <v>100</v>
      </c>
      <c r="FK462" s="2" t="n">
        <v>0</v>
      </c>
      <c r="FL462" s="2" t="n">
        <v>100</v>
      </c>
      <c r="FM462" s="2" t="n">
        <v>100</v>
      </c>
      <c r="FN462" s="2" t="n">
        <v>0</v>
      </c>
      <c r="FO462" s="2" t="n">
        <v>100</v>
      </c>
      <c r="FP462" s="2" t="n">
        <v>100</v>
      </c>
      <c r="FQ462" s="2" t="n">
        <v>0</v>
      </c>
    </row>
    <row r="463">
      <c r="A463" s="2" t="n">
        <v>3</v>
      </c>
      <c r="B463" s="2" t="inlineStr">
        <is>
          <t>20.06.04</t>
        </is>
      </c>
      <c r="C463" s="2" t="inlineStr">
        <is>
          <t>Piscina adulto| infantil e prainha, piscina raia, spa</t>
        </is>
      </c>
      <c r="D463" s="2" t="inlineStr">
        <is>
          <t>26/11/2026</t>
        </is>
      </c>
      <c r="E463" s="2" t="inlineStr">
        <is>
          <t>07/02/2028</t>
        </is>
      </c>
      <c r="F463" s="2" t="n">
        <v>89727.11504400001</v>
      </c>
      <c r="G463" s="2" t="n">
        <v>0</v>
      </c>
      <c r="H463" s="2" t="n">
        <v>89727.11504400001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0</v>
      </c>
      <c r="CJ463" s="2" t="n">
        <v>0</v>
      </c>
      <c r="CK463" s="2" t="n">
        <v>0</v>
      </c>
      <c r="CL463" s="2" t="n">
        <v>4.03</v>
      </c>
      <c r="CM463" s="2" t="n">
        <v>1.1</v>
      </c>
      <c r="CN463" s="2" t="n">
        <v>0</v>
      </c>
      <c r="CO463" s="2" t="n">
        <v>7.26</v>
      </c>
      <c r="CP463" s="2" t="n">
        <v>3.87</v>
      </c>
      <c r="CQ463" s="2" t="n">
        <v>0</v>
      </c>
      <c r="CR463" s="2" t="n">
        <v>14.9</v>
      </c>
      <c r="CS463" s="2" t="n">
        <v>9.199999999999999</v>
      </c>
      <c r="CT463" s="2" t="n">
        <v>0</v>
      </c>
      <c r="CU463" s="2" t="n">
        <v>16.62</v>
      </c>
      <c r="CV463" s="2" t="n">
        <v>15.76</v>
      </c>
      <c r="CW463" s="2" t="n">
        <v>0</v>
      </c>
      <c r="CX463" s="2" t="n">
        <v>21.56</v>
      </c>
      <c r="CY463" s="2" t="n">
        <v>20.39</v>
      </c>
      <c r="CZ463" s="2" t="n">
        <v>0</v>
      </c>
      <c r="DA463" s="2" t="n">
        <v>29.51</v>
      </c>
      <c r="DB463" s="2" t="n">
        <v>27.71</v>
      </c>
      <c r="DC463" s="2" t="n">
        <v>0</v>
      </c>
      <c r="DD463" s="2" t="n">
        <v>38.52</v>
      </c>
      <c r="DE463" s="2" t="n">
        <v>37.07</v>
      </c>
      <c r="DF463" s="2" t="n">
        <v>0</v>
      </c>
      <c r="DG463" s="2" t="n">
        <v>52.61</v>
      </c>
      <c r="DH463" s="2" t="n">
        <v>49.69</v>
      </c>
      <c r="DI463" s="2" t="n">
        <v>0</v>
      </c>
      <c r="DJ463" s="2" t="n">
        <v>60.56</v>
      </c>
      <c r="DK463" s="2" t="n">
        <v>60.59</v>
      </c>
      <c r="DL463" s="2" t="n">
        <v>0</v>
      </c>
      <c r="DM463" s="2" t="n">
        <v>67.95</v>
      </c>
      <c r="DN463" s="2" t="n">
        <v>65.94</v>
      </c>
      <c r="DO463" s="2" t="n">
        <v>0</v>
      </c>
      <c r="DP463" s="2" t="n">
        <v>80.36</v>
      </c>
      <c r="DQ463" s="2" t="n">
        <v>76.16</v>
      </c>
      <c r="DR463" s="2" t="n">
        <v>0</v>
      </c>
      <c r="DS463" s="2" t="n">
        <v>91.52</v>
      </c>
      <c r="DT463" s="2" t="n">
        <v>84.45999999999999</v>
      </c>
      <c r="DU463" s="2" t="n">
        <v>0</v>
      </c>
      <c r="DV463" s="2" t="n">
        <v>96.2</v>
      </c>
      <c r="DW463" s="2" t="n">
        <v>90.06999999999999</v>
      </c>
      <c r="DX463" s="2" t="n">
        <v>0</v>
      </c>
      <c r="DY463" s="2" t="n">
        <v>98.98999999999999</v>
      </c>
      <c r="DZ463" s="2" t="n">
        <v>93.86</v>
      </c>
      <c r="EA463" s="2" t="n">
        <v>0</v>
      </c>
      <c r="EB463" s="2" t="n">
        <v>100</v>
      </c>
      <c r="EC463" s="2" t="n">
        <v>99.44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  <c r="ET463" s="2" t="n">
        <v>100</v>
      </c>
      <c r="EU463" s="2" t="n">
        <v>100</v>
      </c>
      <c r="EV463" s="2" t="n">
        <v>0</v>
      </c>
      <c r="EW463" s="2" t="n">
        <v>100</v>
      </c>
      <c r="EX463" s="2" t="n">
        <v>100</v>
      </c>
      <c r="EY463" s="2" t="n">
        <v>0</v>
      </c>
      <c r="EZ463" s="2" t="n">
        <v>100</v>
      </c>
      <c r="FA463" s="2" t="n">
        <v>100</v>
      </c>
      <c r="FB463" s="2" t="n">
        <v>0</v>
      </c>
      <c r="FC463" s="2" t="n">
        <v>100</v>
      </c>
      <c r="FD463" s="2" t="n">
        <v>100</v>
      </c>
      <c r="FE463" s="2" t="n">
        <v>0</v>
      </c>
      <c r="FF463" s="2" t="n">
        <v>100</v>
      </c>
      <c r="FG463" s="2" t="n">
        <v>100</v>
      </c>
      <c r="FH463" s="2" t="n">
        <v>0</v>
      </c>
      <c r="FI463" s="2" t="n">
        <v>100</v>
      </c>
      <c r="FJ463" s="2" t="n">
        <v>100</v>
      </c>
      <c r="FK463" s="2" t="n">
        <v>0</v>
      </c>
      <c r="FL463" s="2" t="n">
        <v>100</v>
      </c>
      <c r="FM463" s="2" t="n">
        <v>100</v>
      </c>
      <c r="FN463" s="2" t="n">
        <v>0</v>
      </c>
      <c r="FO463" s="2" t="n">
        <v>100</v>
      </c>
      <c r="FP463" s="2" t="n">
        <v>100</v>
      </c>
      <c r="FQ463" s="2" t="n">
        <v>0</v>
      </c>
    </row>
    <row r="464">
      <c r="A464" s="2" t="n">
        <v>3</v>
      </c>
      <c r="B464" s="2" t="inlineStr">
        <is>
          <t>20.06.05</t>
        </is>
      </c>
      <c r="C464" s="2" t="inlineStr">
        <is>
          <t>Junta perimetral preenchida com material flexível (mastique de poliuretano ou pasta asfáltica sobre EPS ou equivalente (Usado para preenchimento da área e criação da junta)</t>
        </is>
      </c>
      <c r="D464" s="2" t="inlineStr">
        <is>
          <t>26/11/2026</t>
        </is>
      </c>
      <c r="E464" s="2" t="inlineStr">
        <is>
          <t>07/02/2028</t>
        </is>
      </c>
      <c r="F464" s="2" t="n">
        <v>5958.418640416659</v>
      </c>
      <c r="G464" s="2" t="n">
        <v>0</v>
      </c>
      <c r="H464" s="2" t="n">
        <v>5958.418640416659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0</v>
      </c>
      <c r="CJ464" s="2" t="n">
        <v>0</v>
      </c>
      <c r="CK464" s="2" t="n">
        <v>0</v>
      </c>
      <c r="CL464" s="2" t="n">
        <v>4.03</v>
      </c>
      <c r="CM464" s="2" t="n">
        <v>1.1</v>
      </c>
      <c r="CN464" s="2" t="n">
        <v>0</v>
      </c>
      <c r="CO464" s="2" t="n">
        <v>7.26</v>
      </c>
      <c r="CP464" s="2" t="n">
        <v>3.87</v>
      </c>
      <c r="CQ464" s="2" t="n">
        <v>0</v>
      </c>
      <c r="CR464" s="2" t="n">
        <v>14.9</v>
      </c>
      <c r="CS464" s="2" t="n">
        <v>9.199999999999999</v>
      </c>
      <c r="CT464" s="2" t="n">
        <v>0</v>
      </c>
      <c r="CU464" s="2" t="n">
        <v>16.62</v>
      </c>
      <c r="CV464" s="2" t="n">
        <v>15.76</v>
      </c>
      <c r="CW464" s="2" t="n">
        <v>0</v>
      </c>
      <c r="CX464" s="2" t="n">
        <v>21.56</v>
      </c>
      <c r="CY464" s="2" t="n">
        <v>20.39</v>
      </c>
      <c r="CZ464" s="2" t="n">
        <v>0</v>
      </c>
      <c r="DA464" s="2" t="n">
        <v>29.51</v>
      </c>
      <c r="DB464" s="2" t="n">
        <v>27.71</v>
      </c>
      <c r="DC464" s="2" t="n">
        <v>0</v>
      </c>
      <c r="DD464" s="2" t="n">
        <v>38.52</v>
      </c>
      <c r="DE464" s="2" t="n">
        <v>37.07</v>
      </c>
      <c r="DF464" s="2" t="n">
        <v>0</v>
      </c>
      <c r="DG464" s="2" t="n">
        <v>52.61</v>
      </c>
      <c r="DH464" s="2" t="n">
        <v>49.69</v>
      </c>
      <c r="DI464" s="2" t="n">
        <v>0</v>
      </c>
      <c r="DJ464" s="2" t="n">
        <v>60.56</v>
      </c>
      <c r="DK464" s="2" t="n">
        <v>60.59</v>
      </c>
      <c r="DL464" s="2" t="n">
        <v>0</v>
      </c>
      <c r="DM464" s="2" t="n">
        <v>67.95</v>
      </c>
      <c r="DN464" s="2" t="n">
        <v>65.94</v>
      </c>
      <c r="DO464" s="2" t="n">
        <v>0</v>
      </c>
      <c r="DP464" s="2" t="n">
        <v>80.36</v>
      </c>
      <c r="DQ464" s="2" t="n">
        <v>76.16</v>
      </c>
      <c r="DR464" s="2" t="n">
        <v>0</v>
      </c>
      <c r="DS464" s="2" t="n">
        <v>91.52</v>
      </c>
      <c r="DT464" s="2" t="n">
        <v>84.45999999999999</v>
      </c>
      <c r="DU464" s="2" t="n">
        <v>0</v>
      </c>
      <c r="DV464" s="2" t="n">
        <v>96.2</v>
      </c>
      <c r="DW464" s="2" t="n">
        <v>90.06999999999999</v>
      </c>
      <c r="DX464" s="2" t="n">
        <v>0</v>
      </c>
      <c r="DY464" s="2" t="n">
        <v>98.98999999999999</v>
      </c>
      <c r="DZ464" s="2" t="n">
        <v>93.86</v>
      </c>
      <c r="EA464" s="2" t="n">
        <v>0</v>
      </c>
      <c r="EB464" s="2" t="n">
        <v>100</v>
      </c>
      <c r="EC464" s="2" t="n">
        <v>99.44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  <c r="ET464" s="2" t="n">
        <v>100</v>
      </c>
      <c r="EU464" s="2" t="n">
        <v>100</v>
      </c>
      <c r="EV464" s="2" t="n">
        <v>0</v>
      </c>
      <c r="EW464" s="2" t="n">
        <v>100</v>
      </c>
      <c r="EX464" s="2" t="n">
        <v>100</v>
      </c>
      <c r="EY464" s="2" t="n">
        <v>0</v>
      </c>
      <c r="EZ464" s="2" t="n">
        <v>100</v>
      </c>
      <c r="FA464" s="2" t="n">
        <v>100</v>
      </c>
      <c r="FB464" s="2" t="n">
        <v>0</v>
      </c>
      <c r="FC464" s="2" t="n">
        <v>100</v>
      </c>
      <c r="FD464" s="2" t="n">
        <v>100</v>
      </c>
      <c r="FE464" s="2" t="n">
        <v>0</v>
      </c>
      <c r="FF464" s="2" t="n">
        <v>100</v>
      </c>
      <c r="FG464" s="2" t="n">
        <v>100</v>
      </c>
      <c r="FH464" s="2" t="n">
        <v>0</v>
      </c>
      <c r="FI464" s="2" t="n">
        <v>100</v>
      </c>
      <c r="FJ464" s="2" t="n">
        <v>100</v>
      </c>
      <c r="FK464" s="2" t="n">
        <v>0</v>
      </c>
      <c r="FL464" s="2" t="n">
        <v>100</v>
      </c>
      <c r="FM464" s="2" t="n">
        <v>100</v>
      </c>
      <c r="FN464" s="2" t="n">
        <v>0</v>
      </c>
      <c r="FO464" s="2" t="n">
        <v>100</v>
      </c>
      <c r="FP464" s="2" t="n">
        <v>100</v>
      </c>
      <c r="FQ464" s="2" t="n">
        <v>0</v>
      </c>
    </row>
    <row r="465">
      <c r="A465" s="2" t="n">
        <v>3</v>
      </c>
      <c r="B465" s="2" t="inlineStr">
        <is>
          <t>20.06.06</t>
        </is>
      </c>
      <c r="C465" s="2" t="inlineStr">
        <is>
          <t>Cantoneira de alumínio/ galvanizada 2x2" fixada com parafuso e bucha S6 a cada 30cm</t>
        </is>
      </c>
      <c r="D465" s="2" t="inlineStr">
        <is>
          <t>26/11/2026</t>
        </is>
      </c>
      <c r="E465" s="2" t="inlineStr">
        <is>
          <t>07/02/2028</t>
        </is>
      </c>
      <c r="F465" s="2" t="n">
        <v>10810.88146664158</v>
      </c>
      <c r="G465" s="2" t="n">
        <v>0</v>
      </c>
      <c r="H465" s="2" t="n">
        <v>10810.88146664158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0</v>
      </c>
      <c r="CJ465" s="2" t="n">
        <v>0</v>
      </c>
      <c r="CK465" s="2" t="n">
        <v>0</v>
      </c>
      <c r="CL465" s="2" t="n">
        <v>4.03</v>
      </c>
      <c r="CM465" s="2" t="n">
        <v>1.1</v>
      </c>
      <c r="CN465" s="2" t="n">
        <v>0</v>
      </c>
      <c r="CO465" s="2" t="n">
        <v>7.26</v>
      </c>
      <c r="CP465" s="2" t="n">
        <v>3.87</v>
      </c>
      <c r="CQ465" s="2" t="n">
        <v>0</v>
      </c>
      <c r="CR465" s="2" t="n">
        <v>14.9</v>
      </c>
      <c r="CS465" s="2" t="n">
        <v>9.199999999999999</v>
      </c>
      <c r="CT465" s="2" t="n">
        <v>0</v>
      </c>
      <c r="CU465" s="2" t="n">
        <v>16.62</v>
      </c>
      <c r="CV465" s="2" t="n">
        <v>15.76</v>
      </c>
      <c r="CW465" s="2" t="n">
        <v>0</v>
      </c>
      <c r="CX465" s="2" t="n">
        <v>21.56</v>
      </c>
      <c r="CY465" s="2" t="n">
        <v>20.39</v>
      </c>
      <c r="CZ465" s="2" t="n">
        <v>0</v>
      </c>
      <c r="DA465" s="2" t="n">
        <v>29.51</v>
      </c>
      <c r="DB465" s="2" t="n">
        <v>27.71</v>
      </c>
      <c r="DC465" s="2" t="n">
        <v>0</v>
      </c>
      <c r="DD465" s="2" t="n">
        <v>38.52</v>
      </c>
      <c r="DE465" s="2" t="n">
        <v>37.07</v>
      </c>
      <c r="DF465" s="2" t="n">
        <v>0</v>
      </c>
      <c r="DG465" s="2" t="n">
        <v>52.61</v>
      </c>
      <c r="DH465" s="2" t="n">
        <v>49.69</v>
      </c>
      <c r="DI465" s="2" t="n">
        <v>0</v>
      </c>
      <c r="DJ465" s="2" t="n">
        <v>60.56</v>
      </c>
      <c r="DK465" s="2" t="n">
        <v>60.59</v>
      </c>
      <c r="DL465" s="2" t="n">
        <v>0</v>
      </c>
      <c r="DM465" s="2" t="n">
        <v>67.95</v>
      </c>
      <c r="DN465" s="2" t="n">
        <v>65.94</v>
      </c>
      <c r="DO465" s="2" t="n">
        <v>0</v>
      </c>
      <c r="DP465" s="2" t="n">
        <v>80.36</v>
      </c>
      <c r="DQ465" s="2" t="n">
        <v>76.16</v>
      </c>
      <c r="DR465" s="2" t="n">
        <v>0</v>
      </c>
      <c r="DS465" s="2" t="n">
        <v>91.52</v>
      </c>
      <c r="DT465" s="2" t="n">
        <v>84.45999999999999</v>
      </c>
      <c r="DU465" s="2" t="n">
        <v>0</v>
      </c>
      <c r="DV465" s="2" t="n">
        <v>96.2</v>
      </c>
      <c r="DW465" s="2" t="n">
        <v>90.06999999999999</v>
      </c>
      <c r="DX465" s="2" t="n">
        <v>0</v>
      </c>
      <c r="DY465" s="2" t="n">
        <v>98.98999999999999</v>
      </c>
      <c r="DZ465" s="2" t="n">
        <v>93.86</v>
      </c>
      <c r="EA465" s="2" t="n">
        <v>0</v>
      </c>
      <c r="EB465" s="2" t="n">
        <v>100</v>
      </c>
      <c r="EC465" s="2" t="n">
        <v>99.44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  <c r="ET465" s="2" t="n">
        <v>100</v>
      </c>
      <c r="EU465" s="2" t="n">
        <v>100</v>
      </c>
      <c r="EV465" s="2" t="n">
        <v>0</v>
      </c>
      <c r="EW465" s="2" t="n">
        <v>100</v>
      </c>
      <c r="EX465" s="2" t="n">
        <v>100</v>
      </c>
      <c r="EY465" s="2" t="n">
        <v>0</v>
      </c>
      <c r="EZ465" s="2" t="n">
        <v>100</v>
      </c>
      <c r="FA465" s="2" t="n">
        <v>100</v>
      </c>
      <c r="FB465" s="2" t="n">
        <v>0</v>
      </c>
      <c r="FC465" s="2" t="n">
        <v>100</v>
      </c>
      <c r="FD465" s="2" t="n">
        <v>100</v>
      </c>
      <c r="FE465" s="2" t="n">
        <v>0</v>
      </c>
      <c r="FF465" s="2" t="n">
        <v>100</v>
      </c>
      <c r="FG465" s="2" t="n">
        <v>100</v>
      </c>
      <c r="FH465" s="2" t="n">
        <v>0</v>
      </c>
      <c r="FI465" s="2" t="n">
        <v>100</v>
      </c>
      <c r="FJ465" s="2" t="n">
        <v>100</v>
      </c>
      <c r="FK465" s="2" t="n">
        <v>0</v>
      </c>
      <c r="FL465" s="2" t="n">
        <v>100</v>
      </c>
      <c r="FM465" s="2" t="n">
        <v>100</v>
      </c>
      <c r="FN465" s="2" t="n">
        <v>0</v>
      </c>
      <c r="FO465" s="2" t="n">
        <v>100</v>
      </c>
      <c r="FP465" s="2" t="n">
        <v>100</v>
      </c>
      <c r="FQ465" s="2" t="n">
        <v>0</v>
      </c>
    </row>
    <row r="466">
      <c r="A466" s="2" t="n">
        <v>3</v>
      </c>
      <c r="B466" s="2" t="inlineStr">
        <is>
          <t>20.06.07</t>
        </is>
      </c>
      <c r="C466" s="2" t="inlineStr">
        <is>
          <t>Impermabilização de ralos</t>
        </is>
      </c>
      <c r="D466" s="2" t="inlineStr">
        <is>
          <t>26/11/2026</t>
        </is>
      </c>
      <c r="E466" s="2" t="inlineStr">
        <is>
          <t>07/02/2028</t>
        </is>
      </c>
      <c r="F466" s="2" t="n">
        <v>400.218948010076</v>
      </c>
      <c r="G466" s="2" t="n">
        <v>0</v>
      </c>
      <c r="H466" s="2" t="n">
        <v>400.218948010076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0</v>
      </c>
      <c r="CJ466" s="2" t="n">
        <v>0</v>
      </c>
      <c r="CK466" s="2" t="n">
        <v>0</v>
      </c>
      <c r="CL466" s="2" t="n">
        <v>4.03</v>
      </c>
      <c r="CM466" s="2" t="n">
        <v>1.1</v>
      </c>
      <c r="CN466" s="2" t="n">
        <v>0</v>
      </c>
      <c r="CO466" s="2" t="n">
        <v>7.26</v>
      </c>
      <c r="CP466" s="2" t="n">
        <v>3.87</v>
      </c>
      <c r="CQ466" s="2" t="n">
        <v>0</v>
      </c>
      <c r="CR466" s="2" t="n">
        <v>14.9</v>
      </c>
      <c r="CS466" s="2" t="n">
        <v>9.199999999999999</v>
      </c>
      <c r="CT466" s="2" t="n">
        <v>0</v>
      </c>
      <c r="CU466" s="2" t="n">
        <v>16.62</v>
      </c>
      <c r="CV466" s="2" t="n">
        <v>15.76</v>
      </c>
      <c r="CW466" s="2" t="n">
        <v>0</v>
      </c>
      <c r="CX466" s="2" t="n">
        <v>21.56</v>
      </c>
      <c r="CY466" s="2" t="n">
        <v>20.39</v>
      </c>
      <c r="CZ466" s="2" t="n">
        <v>0</v>
      </c>
      <c r="DA466" s="2" t="n">
        <v>29.51</v>
      </c>
      <c r="DB466" s="2" t="n">
        <v>27.71</v>
      </c>
      <c r="DC466" s="2" t="n">
        <v>0</v>
      </c>
      <c r="DD466" s="2" t="n">
        <v>38.52</v>
      </c>
      <c r="DE466" s="2" t="n">
        <v>37.07</v>
      </c>
      <c r="DF466" s="2" t="n">
        <v>0</v>
      </c>
      <c r="DG466" s="2" t="n">
        <v>52.61</v>
      </c>
      <c r="DH466" s="2" t="n">
        <v>49.69</v>
      </c>
      <c r="DI466" s="2" t="n">
        <v>0</v>
      </c>
      <c r="DJ466" s="2" t="n">
        <v>60.56</v>
      </c>
      <c r="DK466" s="2" t="n">
        <v>60.59</v>
      </c>
      <c r="DL466" s="2" t="n">
        <v>0</v>
      </c>
      <c r="DM466" s="2" t="n">
        <v>67.95</v>
      </c>
      <c r="DN466" s="2" t="n">
        <v>65.94</v>
      </c>
      <c r="DO466" s="2" t="n">
        <v>0</v>
      </c>
      <c r="DP466" s="2" t="n">
        <v>80.36</v>
      </c>
      <c r="DQ466" s="2" t="n">
        <v>76.16</v>
      </c>
      <c r="DR466" s="2" t="n">
        <v>0</v>
      </c>
      <c r="DS466" s="2" t="n">
        <v>91.52</v>
      </c>
      <c r="DT466" s="2" t="n">
        <v>84.45999999999999</v>
      </c>
      <c r="DU466" s="2" t="n">
        <v>0</v>
      </c>
      <c r="DV466" s="2" t="n">
        <v>96.2</v>
      </c>
      <c r="DW466" s="2" t="n">
        <v>90.06999999999999</v>
      </c>
      <c r="DX466" s="2" t="n">
        <v>0</v>
      </c>
      <c r="DY466" s="2" t="n">
        <v>98.98999999999999</v>
      </c>
      <c r="DZ466" s="2" t="n">
        <v>93.86</v>
      </c>
      <c r="EA466" s="2" t="n">
        <v>0</v>
      </c>
      <c r="EB466" s="2" t="n">
        <v>100</v>
      </c>
      <c r="EC466" s="2" t="n">
        <v>99.44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  <c r="ET466" s="2" t="n">
        <v>100</v>
      </c>
      <c r="EU466" s="2" t="n">
        <v>100</v>
      </c>
      <c r="EV466" s="2" t="n">
        <v>0</v>
      </c>
      <c r="EW466" s="2" t="n">
        <v>100</v>
      </c>
      <c r="EX466" s="2" t="n">
        <v>100</v>
      </c>
      <c r="EY466" s="2" t="n">
        <v>0</v>
      </c>
      <c r="EZ466" s="2" t="n">
        <v>100</v>
      </c>
      <c r="FA466" s="2" t="n">
        <v>100</v>
      </c>
      <c r="FB466" s="2" t="n">
        <v>0</v>
      </c>
      <c r="FC466" s="2" t="n">
        <v>100</v>
      </c>
      <c r="FD466" s="2" t="n">
        <v>100</v>
      </c>
      <c r="FE466" s="2" t="n">
        <v>0</v>
      </c>
      <c r="FF466" s="2" t="n">
        <v>100</v>
      </c>
      <c r="FG466" s="2" t="n">
        <v>100</v>
      </c>
      <c r="FH466" s="2" t="n">
        <v>0</v>
      </c>
      <c r="FI466" s="2" t="n">
        <v>100</v>
      </c>
      <c r="FJ466" s="2" t="n">
        <v>100</v>
      </c>
      <c r="FK466" s="2" t="n">
        <v>0</v>
      </c>
      <c r="FL466" s="2" t="n">
        <v>100</v>
      </c>
      <c r="FM466" s="2" t="n">
        <v>100</v>
      </c>
      <c r="FN466" s="2" t="n">
        <v>0</v>
      </c>
      <c r="FO466" s="2" t="n">
        <v>100</v>
      </c>
      <c r="FP466" s="2" t="n">
        <v>100</v>
      </c>
      <c r="FQ466" s="2" t="n">
        <v>0</v>
      </c>
    </row>
    <row r="467">
      <c r="A467" s="2" t="n">
        <v>2</v>
      </c>
      <c r="B467" s="2" t="inlineStr">
        <is>
          <t>20.07</t>
        </is>
      </c>
      <c r="C467" s="2" t="inlineStr">
        <is>
          <t>Manta asfáltica tipo III, 4mm de espessura, classe B acabamento AA, colada com asfalto oxidado a quente com consumo de 3,0kg/m2. Sobre esta, camada de proteção mecânica com manta auto protegida ardosiada tipo III, tipo B, 4mm de espessura (3mm de manta + 1mm de grânulos minerais)</t>
        </is>
      </c>
      <c r="D467" s="2" t="inlineStr">
        <is>
          <t>26/11/2026</t>
        </is>
      </c>
      <c r="E467" s="2" t="inlineStr">
        <is>
          <t>07/02/2028</t>
        </is>
      </c>
      <c r="F467" s="2" t="n">
        <v>132188.1633207354</v>
      </c>
      <c r="G467" s="2" t="n">
        <v>0</v>
      </c>
      <c r="H467" s="2" t="n">
        <v>132188.1633207354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0</v>
      </c>
      <c r="CJ467" s="2" t="n">
        <v>0</v>
      </c>
      <c r="CK467" s="2" t="n">
        <v>0</v>
      </c>
      <c r="CL467" s="2" t="n">
        <v>4.03</v>
      </c>
      <c r="CM467" s="2" t="n">
        <v>1.1</v>
      </c>
      <c r="CN467" s="2" t="n">
        <v>0</v>
      </c>
      <c r="CO467" s="2" t="n">
        <v>7.26</v>
      </c>
      <c r="CP467" s="2" t="n">
        <v>3.87</v>
      </c>
      <c r="CQ467" s="2" t="n">
        <v>0</v>
      </c>
      <c r="CR467" s="2" t="n">
        <v>14.9</v>
      </c>
      <c r="CS467" s="2" t="n">
        <v>9.199999999999999</v>
      </c>
      <c r="CT467" s="2" t="n">
        <v>0</v>
      </c>
      <c r="CU467" s="2" t="n">
        <v>16.62</v>
      </c>
      <c r="CV467" s="2" t="n">
        <v>15.76</v>
      </c>
      <c r="CW467" s="2" t="n">
        <v>0</v>
      </c>
      <c r="CX467" s="2" t="n">
        <v>21.56</v>
      </c>
      <c r="CY467" s="2" t="n">
        <v>20.39</v>
      </c>
      <c r="CZ467" s="2" t="n">
        <v>0</v>
      </c>
      <c r="DA467" s="2" t="n">
        <v>29.51</v>
      </c>
      <c r="DB467" s="2" t="n">
        <v>27.71</v>
      </c>
      <c r="DC467" s="2" t="n">
        <v>0</v>
      </c>
      <c r="DD467" s="2" t="n">
        <v>38.52</v>
      </c>
      <c r="DE467" s="2" t="n">
        <v>37.07</v>
      </c>
      <c r="DF467" s="2" t="n">
        <v>0</v>
      </c>
      <c r="DG467" s="2" t="n">
        <v>52.61</v>
      </c>
      <c r="DH467" s="2" t="n">
        <v>49.69</v>
      </c>
      <c r="DI467" s="2" t="n">
        <v>0</v>
      </c>
      <c r="DJ467" s="2" t="n">
        <v>60.56</v>
      </c>
      <c r="DK467" s="2" t="n">
        <v>60.59</v>
      </c>
      <c r="DL467" s="2" t="n">
        <v>0</v>
      </c>
      <c r="DM467" s="2" t="n">
        <v>67.95</v>
      </c>
      <c r="DN467" s="2" t="n">
        <v>65.94</v>
      </c>
      <c r="DO467" s="2" t="n">
        <v>0</v>
      </c>
      <c r="DP467" s="2" t="n">
        <v>80.36</v>
      </c>
      <c r="DQ467" s="2" t="n">
        <v>76.16</v>
      </c>
      <c r="DR467" s="2" t="n">
        <v>0</v>
      </c>
      <c r="DS467" s="2" t="n">
        <v>91.52</v>
      </c>
      <c r="DT467" s="2" t="n">
        <v>84.45999999999999</v>
      </c>
      <c r="DU467" s="2" t="n">
        <v>0</v>
      </c>
      <c r="DV467" s="2" t="n">
        <v>96.2</v>
      </c>
      <c r="DW467" s="2" t="n">
        <v>90.06999999999999</v>
      </c>
      <c r="DX467" s="2" t="n">
        <v>0</v>
      </c>
      <c r="DY467" s="2" t="n">
        <v>98.98999999999999</v>
      </c>
      <c r="DZ467" s="2" t="n">
        <v>93.86</v>
      </c>
      <c r="EA467" s="2" t="n">
        <v>0</v>
      </c>
      <c r="EB467" s="2" t="n">
        <v>100</v>
      </c>
      <c r="EC467" s="2" t="n">
        <v>99.44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  <c r="ET467" s="2" t="n">
        <v>100</v>
      </c>
      <c r="EU467" s="2" t="n">
        <v>100</v>
      </c>
      <c r="EV467" s="2" t="n">
        <v>0</v>
      </c>
      <c r="EW467" s="2" t="n">
        <v>100</v>
      </c>
      <c r="EX467" s="2" t="n">
        <v>100</v>
      </c>
      <c r="EY467" s="2" t="n">
        <v>0</v>
      </c>
      <c r="EZ467" s="2" t="n">
        <v>100</v>
      </c>
      <c r="FA467" s="2" t="n">
        <v>100</v>
      </c>
      <c r="FB467" s="2" t="n">
        <v>0</v>
      </c>
      <c r="FC467" s="2" t="n">
        <v>100</v>
      </c>
      <c r="FD467" s="2" t="n">
        <v>100</v>
      </c>
      <c r="FE467" s="2" t="n">
        <v>0</v>
      </c>
      <c r="FF467" s="2" t="n">
        <v>100</v>
      </c>
      <c r="FG467" s="2" t="n">
        <v>100</v>
      </c>
      <c r="FH467" s="2" t="n">
        <v>0</v>
      </c>
      <c r="FI467" s="2" t="n">
        <v>100</v>
      </c>
      <c r="FJ467" s="2" t="n">
        <v>100</v>
      </c>
      <c r="FK467" s="2" t="n">
        <v>0</v>
      </c>
      <c r="FL467" s="2" t="n">
        <v>100</v>
      </c>
      <c r="FM467" s="2" t="n">
        <v>100</v>
      </c>
      <c r="FN467" s="2" t="n">
        <v>0</v>
      </c>
      <c r="FO467" s="2" t="n">
        <v>100</v>
      </c>
      <c r="FP467" s="2" t="n">
        <v>100</v>
      </c>
      <c r="FQ467" s="2" t="n">
        <v>0</v>
      </c>
    </row>
    <row r="468">
      <c r="A468" s="2" t="n">
        <v>3</v>
      </c>
      <c r="B468" s="2" t="inlineStr">
        <is>
          <t>20.07.01</t>
        </is>
      </c>
      <c r="C468" s="2" t="inlineStr">
        <is>
          <t>Camada de regularização com argamassa de cimento e areia</t>
        </is>
      </c>
      <c r="D468" s="2" t="inlineStr">
        <is>
          <t>26/11/2026</t>
        </is>
      </c>
      <c r="E468" s="2" t="inlineStr">
        <is>
          <t>07/02/2028</t>
        </is>
      </c>
      <c r="F468" s="2" t="n">
        <v>22540.4888867088</v>
      </c>
      <c r="G468" s="2" t="n">
        <v>0</v>
      </c>
      <c r="H468" s="2" t="n">
        <v>22540.4888867088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0</v>
      </c>
      <c r="CJ468" s="2" t="n">
        <v>0</v>
      </c>
      <c r="CK468" s="2" t="n">
        <v>0</v>
      </c>
      <c r="CL468" s="2" t="n">
        <v>4.03</v>
      </c>
      <c r="CM468" s="2" t="n">
        <v>1.1</v>
      </c>
      <c r="CN468" s="2" t="n">
        <v>0</v>
      </c>
      <c r="CO468" s="2" t="n">
        <v>7.26</v>
      </c>
      <c r="CP468" s="2" t="n">
        <v>3.87</v>
      </c>
      <c r="CQ468" s="2" t="n">
        <v>0</v>
      </c>
      <c r="CR468" s="2" t="n">
        <v>14.9</v>
      </c>
      <c r="CS468" s="2" t="n">
        <v>9.199999999999999</v>
      </c>
      <c r="CT468" s="2" t="n">
        <v>0</v>
      </c>
      <c r="CU468" s="2" t="n">
        <v>16.62</v>
      </c>
      <c r="CV468" s="2" t="n">
        <v>15.76</v>
      </c>
      <c r="CW468" s="2" t="n">
        <v>0</v>
      </c>
      <c r="CX468" s="2" t="n">
        <v>21.56</v>
      </c>
      <c r="CY468" s="2" t="n">
        <v>20.39</v>
      </c>
      <c r="CZ468" s="2" t="n">
        <v>0</v>
      </c>
      <c r="DA468" s="2" t="n">
        <v>29.51</v>
      </c>
      <c r="DB468" s="2" t="n">
        <v>27.71</v>
      </c>
      <c r="DC468" s="2" t="n">
        <v>0</v>
      </c>
      <c r="DD468" s="2" t="n">
        <v>38.52</v>
      </c>
      <c r="DE468" s="2" t="n">
        <v>37.07</v>
      </c>
      <c r="DF468" s="2" t="n">
        <v>0</v>
      </c>
      <c r="DG468" s="2" t="n">
        <v>52.61</v>
      </c>
      <c r="DH468" s="2" t="n">
        <v>49.69</v>
      </c>
      <c r="DI468" s="2" t="n">
        <v>0</v>
      </c>
      <c r="DJ468" s="2" t="n">
        <v>60.56</v>
      </c>
      <c r="DK468" s="2" t="n">
        <v>60.59</v>
      </c>
      <c r="DL468" s="2" t="n">
        <v>0</v>
      </c>
      <c r="DM468" s="2" t="n">
        <v>67.95</v>
      </c>
      <c r="DN468" s="2" t="n">
        <v>65.94</v>
      </c>
      <c r="DO468" s="2" t="n">
        <v>0</v>
      </c>
      <c r="DP468" s="2" t="n">
        <v>80.36</v>
      </c>
      <c r="DQ468" s="2" t="n">
        <v>76.16</v>
      </c>
      <c r="DR468" s="2" t="n">
        <v>0</v>
      </c>
      <c r="DS468" s="2" t="n">
        <v>91.52</v>
      </c>
      <c r="DT468" s="2" t="n">
        <v>84.45999999999999</v>
      </c>
      <c r="DU468" s="2" t="n">
        <v>0</v>
      </c>
      <c r="DV468" s="2" t="n">
        <v>96.2</v>
      </c>
      <c r="DW468" s="2" t="n">
        <v>90.06999999999999</v>
      </c>
      <c r="DX468" s="2" t="n">
        <v>0</v>
      </c>
      <c r="DY468" s="2" t="n">
        <v>98.98999999999999</v>
      </c>
      <c r="DZ468" s="2" t="n">
        <v>93.86</v>
      </c>
      <c r="EA468" s="2" t="n">
        <v>0</v>
      </c>
      <c r="EB468" s="2" t="n">
        <v>100</v>
      </c>
      <c r="EC468" s="2" t="n">
        <v>99.44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  <c r="ET468" s="2" t="n">
        <v>100</v>
      </c>
      <c r="EU468" s="2" t="n">
        <v>100</v>
      </c>
      <c r="EV468" s="2" t="n">
        <v>0</v>
      </c>
      <c r="EW468" s="2" t="n">
        <v>100</v>
      </c>
      <c r="EX468" s="2" t="n">
        <v>100</v>
      </c>
      <c r="EY468" s="2" t="n">
        <v>0</v>
      </c>
      <c r="EZ468" s="2" t="n">
        <v>100</v>
      </c>
      <c r="FA468" s="2" t="n">
        <v>100</v>
      </c>
      <c r="FB468" s="2" t="n">
        <v>0</v>
      </c>
      <c r="FC468" s="2" t="n">
        <v>100</v>
      </c>
      <c r="FD468" s="2" t="n">
        <v>100</v>
      </c>
      <c r="FE468" s="2" t="n">
        <v>0</v>
      </c>
      <c r="FF468" s="2" t="n">
        <v>100</v>
      </c>
      <c r="FG468" s="2" t="n">
        <v>100</v>
      </c>
      <c r="FH468" s="2" t="n">
        <v>0</v>
      </c>
      <c r="FI468" s="2" t="n">
        <v>100</v>
      </c>
      <c r="FJ468" s="2" t="n">
        <v>100</v>
      </c>
      <c r="FK468" s="2" t="n">
        <v>0</v>
      </c>
      <c r="FL468" s="2" t="n">
        <v>100</v>
      </c>
      <c r="FM468" s="2" t="n">
        <v>100</v>
      </c>
      <c r="FN468" s="2" t="n">
        <v>0</v>
      </c>
      <c r="FO468" s="2" t="n">
        <v>100</v>
      </c>
      <c r="FP468" s="2" t="n">
        <v>100</v>
      </c>
      <c r="FQ468" s="2" t="n">
        <v>0</v>
      </c>
    </row>
    <row r="469">
      <c r="A469" s="2" t="n">
        <v>3</v>
      </c>
      <c r="B469" s="2" t="inlineStr">
        <is>
          <t>20.07.02</t>
        </is>
      </c>
      <c r="C469" s="2" t="inlineStr">
        <is>
          <t>Fixaçao mecânica das mantas com fita de alumínio com parafuso/ bucha S6 (Fita tipo "Termination bar" da firestone B.P)</t>
        </is>
      </c>
      <c r="D469" s="2" t="inlineStr">
        <is>
          <t>26/11/2026</t>
        </is>
      </c>
      <c r="E469" s="2" t="inlineStr">
        <is>
          <t>07/02/2028</t>
        </is>
      </c>
      <c r="F469" s="2" t="n">
        <v>2404.35</v>
      </c>
      <c r="G469" s="2" t="n">
        <v>0</v>
      </c>
      <c r="H469" s="2" t="n">
        <v>2404.35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0</v>
      </c>
      <c r="CJ469" s="2" t="n">
        <v>0</v>
      </c>
      <c r="CK469" s="2" t="n">
        <v>0</v>
      </c>
      <c r="CL469" s="2" t="n">
        <v>4.03</v>
      </c>
      <c r="CM469" s="2" t="n">
        <v>1.1</v>
      </c>
      <c r="CN469" s="2" t="n">
        <v>0</v>
      </c>
      <c r="CO469" s="2" t="n">
        <v>7.26</v>
      </c>
      <c r="CP469" s="2" t="n">
        <v>3.87</v>
      </c>
      <c r="CQ469" s="2" t="n">
        <v>0</v>
      </c>
      <c r="CR469" s="2" t="n">
        <v>14.9</v>
      </c>
      <c r="CS469" s="2" t="n">
        <v>9.199999999999999</v>
      </c>
      <c r="CT469" s="2" t="n">
        <v>0</v>
      </c>
      <c r="CU469" s="2" t="n">
        <v>16.62</v>
      </c>
      <c r="CV469" s="2" t="n">
        <v>15.76</v>
      </c>
      <c r="CW469" s="2" t="n">
        <v>0</v>
      </c>
      <c r="CX469" s="2" t="n">
        <v>21.56</v>
      </c>
      <c r="CY469" s="2" t="n">
        <v>20.39</v>
      </c>
      <c r="CZ469" s="2" t="n">
        <v>0</v>
      </c>
      <c r="DA469" s="2" t="n">
        <v>29.51</v>
      </c>
      <c r="DB469" s="2" t="n">
        <v>27.71</v>
      </c>
      <c r="DC469" s="2" t="n">
        <v>0</v>
      </c>
      <c r="DD469" s="2" t="n">
        <v>38.52</v>
      </c>
      <c r="DE469" s="2" t="n">
        <v>37.07</v>
      </c>
      <c r="DF469" s="2" t="n">
        <v>0</v>
      </c>
      <c r="DG469" s="2" t="n">
        <v>52.61</v>
      </c>
      <c r="DH469" s="2" t="n">
        <v>49.69</v>
      </c>
      <c r="DI469" s="2" t="n">
        <v>0</v>
      </c>
      <c r="DJ469" s="2" t="n">
        <v>60.56</v>
      </c>
      <c r="DK469" s="2" t="n">
        <v>60.59</v>
      </c>
      <c r="DL469" s="2" t="n">
        <v>0</v>
      </c>
      <c r="DM469" s="2" t="n">
        <v>67.95</v>
      </c>
      <c r="DN469" s="2" t="n">
        <v>65.94</v>
      </c>
      <c r="DO469" s="2" t="n">
        <v>0</v>
      </c>
      <c r="DP469" s="2" t="n">
        <v>80.36</v>
      </c>
      <c r="DQ469" s="2" t="n">
        <v>76.16</v>
      </c>
      <c r="DR469" s="2" t="n">
        <v>0</v>
      </c>
      <c r="DS469" s="2" t="n">
        <v>91.52</v>
      </c>
      <c r="DT469" s="2" t="n">
        <v>84.45999999999999</v>
      </c>
      <c r="DU469" s="2" t="n">
        <v>0</v>
      </c>
      <c r="DV469" s="2" t="n">
        <v>96.2</v>
      </c>
      <c r="DW469" s="2" t="n">
        <v>90.06999999999999</v>
      </c>
      <c r="DX469" s="2" t="n">
        <v>0</v>
      </c>
      <c r="DY469" s="2" t="n">
        <v>98.98999999999999</v>
      </c>
      <c r="DZ469" s="2" t="n">
        <v>93.86</v>
      </c>
      <c r="EA469" s="2" t="n">
        <v>0</v>
      </c>
      <c r="EB469" s="2" t="n">
        <v>100</v>
      </c>
      <c r="EC469" s="2" t="n">
        <v>99.44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  <c r="ET469" s="2" t="n">
        <v>100</v>
      </c>
      <c r="EU469" s="2" t="n">
        <v>100</v>
      </c>
      <c r="EV469" s="2" t="n">
        <v>0</v>
      </c>
      <c r="EW469" s="2" t="n">
        <v>100</v>
      </c>
      <c r="EX469" s="2" t="n">
        <v>100</v>
      </c>
      <c r="EY469" s="2" t="n">
        <v>0</v>
      </c>
      <c r="EZ469" s="2" t="n">
        <v>100</v>
      </c>
      <c r="FA469" s="2" t="n">
        <v>100</v>
      </c>
      <c r="FB469" s="2" t="n">
        <v>0</v>
      </c>
      <c r="FC469" s="2" t="n">
        <v>100</v>
      </c>
      <c r="FD469" s="2" t="n">
        <v>100</v>
      </c>
      <c r="FE469" s="2" t="n">
        <v>0</v>
      </c>
      <c r="FF469" s="2" t="n">
        <v>100</v>
      </c>
      <c r="FG469" s="2" t="n">
        <v>100</v>
      </c>
      <c r="FH469" s="2" t="n">
        <v>0</v>
      </c>
      <c r="FI469" s="2" t="n">
        <v>100</v>
      </c>
      <c r="FJ469" s="2" t="n">
        <v>100</v>
      </c>
      <c r="FK469" s="2" t="n">
        <v>0</v>
      </c>
      <c r="FL469" s="2" t="n">
        <v>100</v>
      </c>
      <c r="FM469" s="2" t="n">
        <v>100</v>
      </c>
      <c r="FN469" s="2" t="n">
        <v>0</v>
      </c>
      <c r="FO469" s="2" t="n">
        <v>100</v>
      </c>
      <c r="FP469" s="2" t="n">
        <v>100</v>
      </c>
      <c r="FQ469" s="2" t="n">
        <v>0</v>
      </c>
    </row>
    <row r="470">
      <c r="A470" s="2" t="n">
        <v>3</v>
      </c>
      <c r="B470" s="2" t="inlineStr">
        <is>
          <t>20.07.03</t>
        </is>
      </c>
      <c r="C470" s="2" t="inlineStr">
        <is>
          <t>Cobertura em concreto (LPI)</t>
        </is>
      </c>
      <c r="D470" s="2" t="inlineStr">
        <is>
          <t>26/11/2026</t>
        </is>
      </c>
      <c r="E470" s="2" t="inlineStr">
        <is>
          <t>07/02/2028</t>
        </is>
      </c>
      <c r="F470" s="2" t="n">
        <v>86125.11599999999</v>
      </c>
      <c r="G470" s="2" t="n">
        <v>0</v>
      </c>
      <c r="H470" s="2" t="n">
        <v>86125.11599999999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0</v>
      </c>
      <c r="CJ470" s="2" t="n">
        <v>0</v>
      </c>
      <c r="CK470" s="2" t="n">
        <v>0</v>
      </c>
      <c r="CL470" s="2" t="n">
        <v>4.03</v>
      </c>
      <c r="CM470" s="2" t="n">
        <v>1.1</v>
      </c>
      <c r="CN470" s="2" t="n">
        <v>0</v>
      </c>
      <c r="CO470" s="2" t="n">
        <v>7.26</v>
      </c>
      <c r="CP470" s="2" t="n">
        <v>3.87</v>
      </c>
      <c r="CQ470" s="2" t="n">
        <v>0</v>
      </c>
      <c r="CR470" s="2" t="n">
        <v>14.9</v>
      </c>
      <c r="CS470" s="2" t="n">
        <v>9.199999999999999</v>
      </c>
      <c r="CT470" s="2" t="n">
        <v>0</v>
      </c>
      <c r="CU470" s="2" t="n">
        <v>16.62</v>
      </c>
      <c r="CV470" s="2" t="n">
        <v>15.76</v>
      </c>
      <c r="CW470" s="2" t="n">
        <v>0</v>
      </c>
      <c r="CX470" s="2" t="n">
        <v>21.56</v>
      </c>
      <c r="CY470" s="2" t="n">
        <v>20.39</v>
      </c>
      <c r="CZ470" s="2" t="n">
        <v>0</v>
      </c>
      <c r="DA470" s="2" t="n">
        <v>29.51</v>
      </c>
      <c r="DB470" s="2" t="n">
        <v>27.71</v>
      </c>
      <c r="DC470" s="2" t="n">
        <v>0</v>
      </c>
      <c r="DD470" s="2" t="n">
        <v>38.52</v>
      </c>
      <c r="DE470" s="2" t="n">
        <v>37.07</v>
      </c>
      <c r="DF470" s="2" t="n">
        <v>0</v>
      </c>
      <c r="DG470" s="2" t="n">
        <v>52.61</v>
      </c>
      <c r="DH470" s="2" t="n">
        <v>49.69</v>
      </c>
      <c r="DI470" s="2" t="n">
        <v>0</v>
      </c>
      <c r="DJ470" s="2" t="n">
        <v>60.56</v>
      </c>
      <c r="DK470" s="2" t="n">
        <v>60.59</v>
      </c>
      <c r="DL470" s="2" t="n">
        <v>0</v>
      </c>
      <c r="DM470" s="2" t="n">
        <v>67.95</v>
      </c>
      <c r="DN470" s="2" t="n">
        <v>65.94</v>
      </c>
      <c r="DO470" s="2" t="n">
        <v>0</v>
      </c>
      <c r="DP470" s="2" t="n">
        <v>80.36</v>
      </c>
      <c r="DQ470" s="2" t="n">
        <v>76.16</v>
      </c>
      <c r="DR470" s="2" t="n">
        <v>0</v>
      </c>
      <c r="DS470" s="2" t="n">
        <v>91.52</v>
      </c>
      <c r="DT470" s="2" t="n">
        <v>84.45999999999999</v>
      </c>
      <c r="DU470" s="2" t="n">
        <v>0</v>
      </c>
      <c r="DV470" s="2" t="n">
        <v>96.2</v>
      </c>
      <c r="DW470" s="2" t="n">
        <v>90.06999999999999</v>
      </c>
      <c r="DX470" s="2" t="n">
        <v>0</v>
      </c>
      <c r="DY470" s="2" t="n">
        <v>98.98999999999999</v>
      </c>
      <c r="DZ470" s="2" t="n">
        <v>93.86</v>
      </c>
      <c r="EA470" s="2" t="n">
        <v>0</v>
      </c>
      <c r="EB470" s="2" t="n">
        <v>100</v>
      </c>
      <c r="EC470" s="2" t="n">
        <v>99.44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  <c r="ET470" s="2" t="n">
        <v>100</v>
      </c>
      <c r="EU470" s="2" t="n">
        <v>100</v>
      </c>
      <c r="EV470" s="2" t="n">
        <v>0</v>
      </c>
      <c r="EW470" s="2" t="n">
        <v>100</v>
      </c>
      <c r="EX470" s="2" t="n">
        <v>100</v>
      </c>
      <c r="EY470" s="2" t="n">
        <v>0</v>
      </c>
      <c r="EZ470" s="2" t="n">
        <v>100</v>
      </c>
      <c r="FA470" s="2" t="n">
        <v>100</v>
      </c>
      <c r="FB470" s="2" t="n">
        <v>0</v>
      </c>
      <c r="FC470" s="2" t="n">
        <v>100</v>
      </c>
      <c r="FD470" s="2" t="n">
        <v>100</v>
      </c>
      <c r="FE470" s="2" t="n">
        <v>0</v>
      </c>
      <c r="FF470" s="2" t="n">
        <v>100</v>
      </c>
      <c r="FG470" s="2" t="n">
        <v>100</v>
      </c>
      <c r="FH470" s="2" t="n">
        <v>0</v>
      </c>
      <c r="FI470" s="2" t="n">
        <v>100</v>
      </c>
      <c r="FJ470" s="2" t="n">
        <v>100</v>
      </c>
      <c r="FK470" s="2" t="n">
        <v>0</v>
      </c>
      <c r="FL470" s="2" t="n">
        <v>100</v>
      </c>
      <c r="FM470" s="2" t="n">
        <v>100</v>
      </c>
      <c r="FN470" s="2" t="n">
        <v>0</v>
      </c>
      <c r="FO470" s="2" t="n">
        <v>100</v>
      </c>
      <c r="FP470" s="2" t="n">
        <v>100</v>
      </c>
      <c r="FQ470" s="2" t="n">
        <v>0</v>
      </c>
    </row>
    <row r="471">
      <c r="A471" s="2" t="n">
        <v>3</v>
      </c>
      <c r="B471" s="2" t="inlineStr">
        <is>
          <t>20.07.04</t>
        </is>
      </c>
      <c r="C471" s="2" t="inlineStr">
        <is>
          <t>Pingadeira em chapa de aço inoxidável com aba de 5cm, fixada com parafuso/ bucha 6mm a cada 15cm</t>
        </is>
      </c>
      <c r="D471" s="2" t="inlineStr">
        <is>
          <t>26/11/2026</t>
        </is>
      </c>
      <c r="E471" s="2" t="inlineStr">
        <is>
          <t>07/02/2028</t>
        </is>
      </c>
      <c r="F471" s="2" t="n">
        <v>20637.94569641456</v>
      </c>
      <c r="G471" s="2" t="n">
        <v>0</v>
      </c>
      <c r="H471" s="2" t="n">
        <v>20637.94569641456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0</v>
      </c>
      <c r="CJ471" s="2" t="n">
        <v>0</v>
      </c>
      <c r="CK471" s="2" t="n">
        <v>0</v>
      </c>
      <c r="CL471" s="2" t="n">
        <v>4.03</v>
      </c>
      <c r="CM471" s="2" t="n">
        <v>1.1</v>
      </c>
      <c r="CN471" s="2" t="n">
        <v>0</v>
      </c>
      <c r="CO471" s="2" t="n">
        <v>7.26</v>
      </c>
      <c r="CP471" s="2" t="n">
        <v>3.87</v>
      </c>
      <c r="CQ471" s="2" t="n">
        <v>0</v>
      </c>
      <c r="CR471" s="2" t="n">
        <v>14.9</v>
      </c>
      <c r="CS471" s="2" t="n">
        <v>9.199999999999999</v>
      </c>
      <c r="CT471" s="2" t="n">
        <v>0</v>
      </c>
      <c r="CU471" s="2" t="n">
        <v>16.62</v>
      </c>
      <c r="CV471" s="2" t="n">
        <v>15.76</v>
      </c>
      <c r="CW471" s="2" t="n">
        <v>0</v>
      </c>
      <c r="CX471" s="2" t="n">
        <v>21.56</v>
      </c>
      <c r="CY471" s="2" t="n">
        <v>20.39</v>
      </c>
      <c r="CZ471" s="2" t="n">
        <v>0</v>
      </c>
      <c r="DA471" s="2" t="n">
        <v>29.51</v>
      </c>
      <c r="DB471" s="2" t="n">
        <v>27.71</v>
      </c>
      <c r="DC471" s="2" t="n">
        <v>0</v>
      </c>
      <c r="DD471" s="2" t="n">
        <v>38.52</v>
      </c>
      <c r="DE471" s="2" t="n">
        <v>37.07</v>
      </c>
      <c r="DF471" s="2" t="n">
        <v>0</v>
      </c>
      <c r="DG471" s="2" t="n">
        <v>52.61</v>
      </c>
      <c r="DH471" s="2" t="n">
        <v>49.69</v>
      </c>
      <c r="DI471" s="2" t="n">
        <v>0</v>
      </c>
      <c r="DJ471" s="2" t="n">
        <v>60.56</v>
      </c>
      <c r="DK471" s="2" t="n">
        <v>60.59</v>
      </c>
      <c r="DL471" s="2" t="n">
        <v>0</v>
      </c>
      <c r="DM471" s="2" t="n">
        <v>67.95</v>
      </c>
      <c r="DN471" s="2" t="n">
        <v>65.94</v>
      </c>
      <c r="DO471" s="2" t="n">
        <v>0</v>
      </c>
      <c r="DP471" s="2" t="n">
        <v>80.36</v>
      </c>
      <c r="DQ471" s="2" t="n">
        <v>76.16</v>
      </c>
      <c r="DR471" s="2" t="n">
        <v>0</v>
      </c>
      <c r="DS471" s="2" t="n">
        <v>91.52</v>
      </c>
      <c r="DT471" s="2" t="n">
        <v>84.45999999999999</v>
      </c>
      <c r="DU471" s="2" t="n">
        <v>0</v>
      </c>
      <c r="DV471" s="2" t="n">
        <v>96.2</v>
      </c>
      <c r="DW471" s="2" t="n">
        <v>90.06999999999999</v>
      </c>
      <c r="DX471" s="2" t="n">
        <v>0</v>
      </c>
      <c r="DY471" s="2" t="n">
        <v>98.98999999999999</v>
      </c>
      <c r="DZ471" s="2" t="n">
        <v>93.86</v>
      </c>
      <c r="EA471" s="2" t="n">
        <v>0</v>
      </c>
      <c r="EB471" s="2" t="n">
        <v>100</v>
      </c>
      <c r="EC471" s="2" t="n">
        <v>99.44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  <c r="ET471" s="2" t="n">
        <v>100</v>
      </c>
      <c r="EU471" s="2" t="n">
        <v>100</v>
      </c>
      <c r="EV471" s="2" t="n">
        <v>0</v>
      </c>
      <c r="EW471" s="2" t="n">
        <v>100</v>
      </c>
      <c r="EX471" s="2" t="n">
        <v>100</v>
      </c>
      <c r="EY471" s="2" t="n">
        <v>0</v>
      </c>
      <c r="EZ471" s="2" t="n">
        <v>100</v>
      </c>
      <c r="FA471" s="2" t="n">
        <v>100</v>
      </c>
      <c r="FB471" s="2" t="n">
        <v>0</v>
      </c>
      <c r="FC471" s="2" t="n">
        <v>100</v>
      </c>
      <c r="FD471" s="2" t="n">
        <v>100</v>
      </c>
      <c r="FE471" s="2" t="n">
        <v>0</v>
      </c>
      <c r="FF471" s="2" t="n">
        <v>100</v>
      </c>
      <c r="FG471" s="2" t="n">
        <v>100</v>
      </c>
      <c r="FH471" s="2" t="n">
        <v>0</v>
      </c>
      <c r="FI471" s="2" t="n">
        <v>100</v>
      </c>
      <c r="FJ471" s="2" t="n">
        <v>100</v>
      </c>
      <c r="FK471" s="2" t="n">
        <v>0</v>
      </c>
      <c r="FL471" s="2" t="n">
        <v>100</v>
      </c>
      <c r="FM471" s="2" t="n">
        <v>100</v>
      </c>
      <c r="FN471" s="2" t="n">
        <v>0</v>
      </c>
      <c r="FO471" s="2" t="n">
        <v>100</v>
      </c>
      <c r="FP471" s="2" t="n">
        <v>100</v>
      </c>
      <c r="FQ471" s="2" t="n">
        <v>0</v>
      </c>
    </row>
    <row r="472">
      <c r="A472" s="2" t="n">
        <v>3</v>
      </c>
      <c r="B472" s="2" t="inlineStr">
        <is>
          <t>20.07.05</t>
        </is>
      </c>
      <c r="C472" s="2" t="inlineStr">
        <is>
          <t>Impermabilização de ralos</t>
        </is>
      </c>
      <c r="D472" s="2" t="inlineStr">
        <is>
          <t>26/11/2026</t>
        </is>
      </c>
      <c r="E472" s="2" t="inlineStr">
        <is>
          <t>07/02/2028</t>
        </is>
      </c>
      <c r="F472" s="2" t="n">
        <v>480.2627376120912</v>
      </c>
      <c r="G472" s="2" t="n">
        <v>0</v>
      </c>
      <c r="H472" s="2" t="n">
        <v>480.2627376120912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0</v>
      </c>
      <c r="CJ472" s="2" t="n">
        <v>0</v>
      </c>
      <c r="CK472" s="2" t="n">
        <v>0</v>
      </c>
      <c r="CL472" s="2" t="n">
        <v>4.03</v>
      </c>
      <c r="CM472" s="2" t="n">
        <v>1.1</v>
      </c>
      <c r="CN472" s="2" t="n">
        <v>0</v>
      </c>
      <c r="CO472" s="2" t="n">
        <v>7.26</v>
      </c>
      <c r="CP472" s="2" t="n">
        <v>3.87</v>
      </c>
      <c r="CQ472" s="2" t="n">
        <v>0</v>
      </c>
      <c r="CR472" s="2" t="n">
        <v>14.9</v>
      </c>
      <c r="CS472" s="2" t="n">
        <v>9.199999999999999</v>
      </c>
      <c r="CT472" s="2" t="n">
        <v>0</v>
      </c>
      <c r="CU472" s="2" t="n">
        <v>16.62</v>
      </c>
      <c r="CV472" s="2" t="n">
        <v>15.76</v>
      </c>
      <c r="CW472" s="2" t="n">
        <v>0</v>
      </c>
      <c r="CX472" s="2" t="n">
        <v>21.56</v>
      </c>
      <c r="CY472" s="2" t="n">
        <v>20.39</v>
      </c>
      <c r="CZ472" s="2" t="n">
        <v>0</v>
      </c>
      <c r="DA472" s="2" t="n">
        <v>29.51</v>
      </c>
      <c r="DB472" s="2" t="n">
        <v>27.71</v>
      </c>
      <c r="DC472" s="2" t="n">
        <v>0</v>
      </c>
      <c r="DD472" s="2" t="n">
        <v>38.52</v>
      </c>
      <c r="DE472" s="2" t="n">
        <v>37.07</v>
      </c>
      <c r="DF472" s="2" t="n">
        <v>0</v>
      </c>
      <c r="DG472" s="2" t="n">
        <v>52.61</v>
      </c>
      <c r="DH472" s="2" t="n">
        <v>49.69</v>
      </c>
      <c r="DI472" s="2" t="n">
        <v>0</v>
      </c>
      <c r="DJ472" s="2" t="n">
        <v>60.56</v>
      </c>
      <c r="DK472" s="2" t="n">
        <v>60.59</v>
      </c>
      <c r="DL472" s="2" t="n">
        <v>0</v>
      </c>
      <c r="DM472" s="2" t="n">
        <v>67.95</v>
      </c>
      <c r="DN472" s="2" t="n">
        <v>65.94</v>
      </c>
      <c r="DO472" s="2" t="n">
        <v>0</v>
      </c>
      <c r="DP472" s="2" t="n">
        <v>80.36</v>
      </c>
      <c r="DQ472" s="2" t="n">
        <v>76.16</v>
      </c>
      <c r="DR472" s="2" t="n">
        <v>0</v>
      </c>
      <c r="DS472" s="2" t="n">
        <v>91.52</v>
      </c>
      <c r="DT472" s="2" t="n">
        <v>84.45999999999999</v>
      </c>
      <c r="DU472" s="2" t="n">
        <v>0</v>
      </c>
      <c r="DV472" s="2" t="n">
        <v>96.2</v>
      </c>
      <c r="DW472" s="2" t="n">
        <v>90.06999999999999</v>
      </c>
      <c r="DX472" s="2" t="n">
        <v>0</v>
      </c>
      <c r="DY472" s="2" t="n">
        <v>98.98999999999999</v>
      </c>
      <c r="DZ472" s="2" t="n">
        <v>93.86</v>
      </c>
      <c r="EA472" s="2" t="n">
        <v>0</v>
      </c>
      <c r="EB472" s="2" t="n">
        <v>100</v>
      </c>
      <c r="EC472" s="2" t="n">
        <v>99.44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  <c r="ET472" s="2" t="n">
        <v>100</v>
      </c>
      <c r="EU472" s="2" t="n">
        <v>100</v>
      </c>
      <c r="EV472" s="2" t="n">
        <v>0</v>
      </c>
      <c r="EW472" s="2" t="n">
        <v>100</v>
      </c>
      <c r="EX472" s="2" t="n">
        <v>100</v>
      </c>
      <c r="EY472" s="2" t="n">
        <v>0</v>
      </c>
      <c r="EZ472" s="2" t="n">
        <v>100</v>
      </c>
      <c r="FA472" s="2" t="n">
        <v>100</v>
      </c>
      <c r="FB472" s="2" t="n">
        <v>0</v>
      </c>
      <c r="FC472" s="2" t="n">
        <v>100</v>
      </c>
      <c r="FD472" s="2" t="n">
        <v>100</v>
      </c>
      <c r="FE472" s="2" t="n">
        <v>0</v>
      </c>
      <c r="FF472" s="2" t="n">
        <v>100</v>
      </c>
      <c r="FG472" s="2" t="n">
        <v>100</v>
      </c>
      <c r="FH472" s="2" t="n">
        <v>0</v>
      </c>
      <c r="FI472" s="2" t="n">
        <v>100</v>
      </c>
      <c r="FJ472" s="2" t="n">
        <v>100</v>
      </c>
      <c r="FK472" s="2" t="n">
        <v>0</v>
      </c>
      <c r="FL472" s="2" t="n">
        <v>100</v>
      </c>
      <c r="FM472" s="2" t="n">
        <v>100</v>
      </c>
      <c r="FN472" s="2" t="n">
        <v>0</v>
      </c>
      <c r="FO472" s="2" t="n">
        <v>100</v>
      </c>
      <c r="FP472" s="2" t="n">
        <v>100</v>
      </c>
      <c r="FQ472" s="2" t="n">
        <v>0</v>
      </c>
    </row>
    <row r="473">
      <c r="A473" s="2" t="n">
        <v>2</v>
      </c>
      <c r="B473" s="2" t="inlineStr">
        <is>
          <t>20.08</t>
        </is>
      </c>
      <c r="C473" s="2" t="inlineStr">
        <is>
          <t>Impermeabilização com dupla manta asfáltica tipo III,4mm de espessura, classe B acabamento AA, ambos coladas com asfálto oxidado  a quente com consumo de 3,0kg/m2.</t>
        </is>
      </c>
      <c r="D473" s="2" t="inlineStr">
        <is>
          <t>26/11/2026</t>
        </is>
      </c>
      <c r="E473" s="2" t="inlineStr">
        <is>
          <t>07/02/2028</t>
        </is>
      </c>
      <c r="F473" s="2" t="n">
        <v>133264.7119423425</v>
      </c>
      <c r="G473" s="2" t="n">
        <v>0</v>
      </c>
      <c r="H473" s="2" t="n">
        <v>133264.7119423425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0</v>
      </c>
      <c r="CJ473" s="2" t="n">
        <v>0</v>
      </c>
      <c r="CK473" s="2" t="n">
        <v>0</v>
      </c>
      <c r="CL473" s="2" t="n">
        <v>4.03</v>
      </c>
      <c r="CM473" s="2" t="n">
        <v>1.1</v>
      </c>
      <c r="CN473" s="2" t="n">
        <v>0</v>
      </c>
      <c r="CO473" s="2" t="n">
        <v>7.26</v>
      </c>
      <c r="CP473" s="2" t="n">
        <v>3.87</v>
      </c>
      <c r="CQ473" s="2" t="n">
        <v>0</v>
      </c>
      <c r="CR473" s="2" t="n">
        <v>14.9</v>
      </c>
      <c r="CS473" s="2" t="n">
        <v>9.199999999999999</v>
      </c>
      <c r="CT473" s="2" t="n">
        <v>0</v>
      </c>
      <c r="CU473" s="2" t="n">
        <v>16.62</v>
      </c>
      <c r="CV473" s="2" t="n">
        <v>15.76</v>
      </c>
      <c r="CW473" s="2" t="n">
        <v>0</v>
      </c>
      <c r="CX473" s="2" t="n">
        <v>21.56</v>
      </c>
      <c r="CY473" s="2" t="n">
        <v>20.39</v>
      </c>
      <c r="CZ473" s="2" t="n">
        <v>0</v>
      </c>
      <c r="DA473" s="2" t="n">
        <v>29.51</v>
      </c>
      <c r="DB473" s="2" t="n">
        <v>27.71</v>
      </c>
      <c r="DC473" s="2" t="n">
        <v>0</v>
      </c>
      <c r="DD473" s="2" t="n">
        <v>38.52</v>
      </c>
      <c r="DE473" s="2" t="n">
        <v>37.07</v>
      </c>
      <c r="DF473" s="2" t="n">
        <v>0</v>
      </c>
      <c r="DG473" s="2" t="n">
        <v>52.61</v>
      </c>
      <c r="DH473" s="2" t="n">
        <v>49.69</v>
      </c>
      <c r="DI473" s="2" t="n">
        <v>0</v>
      </c>
      <c r="DJ473" s="2" t="n">
        <v>60.56</v>
      </c>
      <c r="DK473" s="2" t="n">
        <v>60.59</v>
      </c>
      <c r="DL473" s="2" t="n">
        <v>0</v>
      </c>
      <c r="DM473" s="2" t="n">
        <v>67.95</v>
      </c>
      <c r="DN473" s="2" t="n">
        <v>65.94</v>
      </c>
      <c r="DO473" s="2" t="n">
        <v>0</v>
      </c>
      <c r="DP473" s="2" t="n">
        <v>80.36</v>
      </c>
      <c r="DQ473" s="2" t="n">
        <v>76.16</v>
      </c>
      <c r="DR473" s="2" t="n">
        <v>0</v>
      </c>
      <c r="DS473" s="2" t="n">
        <v>91.52</v>
      </c>
      <c r="DT473" s="2" t="n">
        <v>84.45999999999999</v>
      </c>
      <c r="DU473" s="2" t="n">
        <v>0</v>
      </c>
      <c r="DV473" s="2" t="n">
        <v>96.2</v>
      </c>
      <c r="DW473" s="2" t="n">
        <v>90.06999999999999</v>
      </c>
      <c r="DX473" s="2" t="n">
        <v>0</v>
      </c>
      <c r="DY473" s="2" t="n">
        <v>98.98999999999999</v>
      </c>
      <c r="DZ473" s="2" t="n">
        <v>93.86</v>
      </c>
      <c r="EA473" s="2" t="n">
        <v>0</v>
      </c>
      <c r="EB473" s="2" t="n">
        <v>100</v>
      </c>
      <c r="EC473" s="2" t="n">
        <v>99.44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  <c r="ET473" s="2" t="n">
        <v>100</v>
      </c>
      <c r="EU473" s="2" t="n">
        <v>100</v>
      </c>
      <c r="EV473" s="2" t="n">
        <v>0</v>
      </c>
      <c r="EW473" s="2" t="n">
        <v>100</v>
      </c>
      <c r="EX473" s="2" t="n">
        <v>100</v>
      </c>
      <c r="EY473" s="2" t="n">
        <v>0</v>
      </c>
      <c r="EZ473" s="2" t="n">
        <v>100</v>
      </c>
      <c r="FA473" s="2" t="n">
        <v>100</v>
      </c>
      <c r="FB473" s="2" t="n">
        <v>0</v>
      </c>
      <c r="FC473" s="2" t="n">
        <v>100</v>
      </c>
      <c r="FD473" s="2" t="n">
        <v>100</v>
      </c>
      <c r="FE473" s="2" t="n">
        <v>0</v>
      </c>
      <c r="FF473" s="2" t="n">
        <v>100</v>
      </c>
      <c r="FG473" s="2" t="n">
        <v>100</v>
      </c>
      <c r="FH473" s="2" t="n">
        <v>0</v>
      </c>
      <c r="FI473" s="2" t="n">
        <v>100</v>
      </c>
      <c r="FJ473" s="2" t="n">
        <v>100</v>
      </c>
      <c r="FK473" s="2" t="n">
        <v>0</v>
      </c>
      <c r="FL473" s="2" t="n">
        <v>100</v>
      </c>
      <c r="FM473" s="2" t="n">
        <v>100</v>
      </c>
      <c r="FN473" s="2" t="n">
        <v>0</v>
      </c>
      <c r="FO473" s="2" t="n">
        <v>100</v>
      </c>
      <c r="FP473" s="2" t="n">
        <v>100</v>
      </c>
      <c r="FQ473" s="2" t="n">
        <v>0</v>
      </c>
    </row>
    <row r="474">
      <c r="A474" s="2" t="n">
        <v>3</v>
      </c>
      <c r="B474" s="2" t="inlineStr">
        <is>
          <t>20.08.01</t>
        </is>
      </c>
      <c r="C474" s="2" t="inlineStr">
        <is>
          <t>Camada de regularização com argamassa de cimento e areia</t>
        </is>
      </c>
      <c r="D474" s="2" t="inlineStr">
        <is>
          <t>26/11/2026</t>
        </is>
      </c>
      <c r="E474" s="2" t="inlineStr">
        <is>
          <t>07/02/2028</t>
        </is>
      </c>
      <c r="F474" s="2" t="n">
        <v>37588.02858954897</v>
      </c>
      <c r="G474" s="2" t="n">
        <v>0</v>
      </c>
      <c r="H474" s="2" t="n">
        <v>37588.02858954897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0</v>
      </c>
      <c r="CJ474" s="2" t="n">
        <v>0</v>
      </c>
      <c r="CK474" s="2" t="n">
        <v>0</v>
      </c>
      <c r="CL474" s="2" t="n">
        <v>4.03</v>
      </c>
      <c r="CM474" s="2" t="n">
        <v>1.1</v>
      </c>
      <c r="CN474" s="2" t="n">
        <v>0</v>
      </c>
      <c r="CO474" s="2" t="n">
        <v>7.26</v>
      </c>
      <c r="CP474" s="2" t="n">
        <v>3.87</v>
      </c>
      <c r="CQ474" s="2" t="n">
        <v>0</v>
      </c>
      <c r="CR474" s="2" t="n">
        <v>14.9</v>
      </c>
      <c r="CS474" s="2" t="n">
        <v>9.199999999999999</v>
      </c>
      <c r="CT474" s="2" t="n">
        <v>0</v>
      </c>
      <c r="CU474" s="2" t="n">
        <v>16.62</v>
      </c>
      <c r="CV474" s="2" t="n">
        <v>15.76</v>
      </c>
      <c r="CW474" s="2" t="n">
        <v>0</v>
      </c>
      <c r="CX474" s="2" t="n">
        <v>21.56</v>
      </c>
      <c r="CY474" s="2" t="n">
        <v>20.39</v>
      </c>
      <c r="CZ474" s="2" t="n">
        <v>0</v>
      </c>
      <c r="DA474" s="2" t="n">
        <v>29.51</v>
      </c>
      <c r="DB474" s="2" t="n">
        <v>27.71</v>
      </c>
      <c r="DC474" s="2" t="n">
        <v>0</v>
      </c>
      <c r="DD474" s="2" t="n">
        <v>38.52</v>
      </c>
      <c r="DE474" s="2" t="n">
        <v>37.07</v>
      </c>
      <c r="DF474" s="2" t="n">
        <v>0</v>
      </c>
      <c r="DG474" s="2" t="n">
        <v>52.61</v>
      </c>
      <c r="DH474" s="2" t="n">
        <v>49.69</v>
      </c>
      <c r="DI474" s="2" t="n">
        <v>0</v>
      </c>
      <c r="DJ474" s="2" t="n">
        <v>60.56</v>
      </c>
      <c r="DK474" s="2" t="n">
        <v>60.59</v>
      </c>
      <c r="DL474" s="2" t="n">
        <v>0</v>
      </c>
      <c r="DM474" s="2" t="n">
        <v>67.95</v>
      </c>
      <c r="DN474" s="2" t="n">
        <v>65.94</v>
      </c>
      <c r="DO474" s="2" t="n">
        <v>0</v>
      </c>
      <c r="DP474" s="2" t="n">
        <v>80.36</v>
      </c>
      <c r="DQ474" s="2" t="n">
        <v>76.16</v>
      </c>
      <c r="DR474" s="2" t="n">
        <v>0</v>
      </c>
      <c r="DS474" s="2" t="n">
        <v>91.52</v>
      </c>
      <c r="DT474" s="2" t="n">
        <v>84.45999999999999</v>
      </c>
      <c r="DU474" s="2" t="n">
        <v>0</v>
      </c>
      <c r="DV474" s="2" t="n">
        <v>96.2</v>
      </c>
      <c r="DW474" s="2" t="n">
        <v>90.06999999999999</v>
      </c>
      <c r="DX474" s="2" t="n">
        <v>0</v>
      </c>
      <c r="DY474" s="2" t="n">
        <v>98.98999999999999</v>
      </c>
      <c r="DZ474" s="2" t="n">
        <v>93.86</v>
      </c>
      <c r="EA474" s="2" t="n">
        <v>0</v>
      </c>
      <c r="EB474" s="2" t="n">
        <v>100</v>
      </c>
      <c r="EC474" s="2" t="n">
        <v>99.44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  <c r="ET474" s="2" t="n">
        <v>100</v>
      </c>
      <c r="EU474" s="2" t="n">
        <v>100</v>
      </c>
      <c r="EV474" s="2" t="n">
        <v>0</v>
      </c>
      <c r="EW474" s="2" t="n">
        <v>100</v>
      </c>
      <c r="EX474" s="2" t="n">
        <v>100</v>
      </c>
      <c r="EY474" s="2" t="n">
        <v>0</v>
      </c>
      <c r="EZ474" s="2" t="n">
        <v>100</v>
      </c>
      <c r="FA474" s="2" t="n">
        <v>100</v>
      </c>
      <c r="FB474" s="2" t="n">
        <v>0</v>
      </c>
      <c r="FC474" s="2" t="n">
        <v>100</v>
      </c>
      <c r="FD474" s="2" t="n">
        <v>100</v>
      </c>
      <c r="FE474" s="2" t="n">
        <v>0</v>
      </c>
      <c r="FF474" s="2" t="n">
        <v>100</v>
      </c>
      <c r="FG474" s="2" t="n">
        <v>100</v>
      </c>
      <c r="FH474" s="2" t="n">
        <v>0</v>
      </c>
      <c r="FI474" s="2" t="n">
        <v>100</v>
      </c>
      <c r="FJ474" s="2" t="n">
        <v>100</v>
      </c>
      <c r="FK474" s="2" t="n">
        <v>0</v>
      </c>
      <c r="FL474" s="2" t="n">
        <v>100</v>
      </c>
      <c r="FM474" s="2" t="n">
        <v>100</v>
      </c>
      <c r="FN474" s="2" t="n">
        <v>0</v>
      </c>
      <c r="FO474" s="2" t="n">
        <v>100</v>
      </c>
      <c r="FP474" s="2" t="n">
        <v>100</v>
      </c>
      <c r="FQ474" s="2" t="n">
        <v>0</v>
      </c>
    </row>
    <row r="475">
      <c r="A475" s="2" t="n">
        <v>3</v>
      </c>
      <c r="B475" s="2" t="inlineStr">
        <is>
          <t>20.08.02</t>
        </is>
      </c>
      <c r="C475" s="2" t="inlineStr">
        <is>
          <t>Proteção mecânica armada com tela galvanizada fio 22, malha 1" com juntas serradas em quadros de 1,5cm, com 1cm de espessura e junta perimetral 2cm, preenchidas com mastique de poliuretano</t>
        </is>
      </c>
      <c r="D475" s="2" t="inlineStr">
        <is>
          <t>26/11/2026</t>
        </is>
      </c>
      <c r="E475" s="2" t="inlineStr">
        <is>
          <t>07/02/2028</t>
        </is>
      </c>
      <c r="F475" s="2" t="n">
        <v>89398.97690478346</v>
      </c>
      <c r="G475" s="2" t="n">
        <v>0</v>
      </c>
      <c r="H475" s="2" t="n">
        <v>89398.97690478346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0</v>
      </c>
      <c r="CJ475" s="2" t="n">
        <v>0</v>
      </c>
      <c r="CK475" s="2" t="n">
        <v>0</v>
      </c>
      <c r="CL475" s="2" t="n">
        <v>4.03</v>
      </c>
      <c r="CM475" s="2" t="n">
        <v>1.1</v>
      </c>
      <c r="CN475" s="2" t="n">
        <v>0</v>
      </c>
      <c r="CO475" s="2" t="n">
        <v>7.26</v>
      </c>
      <c r="CP475" s="2" t="n">
        <v>3.87</v>
      </c>
      <c r="CQ475" s="2" t="n">
        <v>0</v>
      </c>
      <c r="CR475" s="2" t="n">
        <v>14.9</v>
      </c>
      <c r="CS475" s="2" t="n">
        <v>9.199999999999999</v>
      </c>
      <c r="CT475" s="2" t="n">
        <v>0</v>
      </c>
      <c r="CU475" s="2" t="n">
        <v>16.62</v>
      </c>
      <c r="CV475" s="2" t="n">
        <v>15.76</v>
      </c>
      <c r="CW475" s="2" t="n">
        <v>0</v>
      </c>
      <c r="CX475" s="2" t="n">
        <v>21.56</v>
      </c>
      <c r="CY475" s="2" t="n">
        <v>20.39</v>
      </c>
      <c r="CZ475" s="2" t="n">
        <v>0</v>
      </c>
      <c r="DA475" s="2" t="n">
        <v>29.51</v>
      </c>
      <c r="DB475" s="2" t="n">
        <v>27.71</v>
      </c>
      <c r="DC475" s="2" t="n">
        <v>0</v>
      </c>
      <c r="DD475" s="2" t="n">
        <v>38.52</v>
      </c>
      <c r="DE475" s="2" t="n">
        <v>37.07</v>
      </c>
      <c r="DF475" s="2" t="n">
        <v>0</v>
      </c>
      <c r="DG475" s="2" t="n">
        <v>52.61</v>
      </c>
      <c r="DH475" s="2" t="n">
        <v>49.69</v>
      </c>
      <c r="DI475" s="2" t="n">
        <v>0</v>
      </c>
      <c r="DJ475" s="2" t="n">
        <v>60.56</v>
      </c>
      <c r="DK475" s="2" t="n">
        <v>60.59</v>
      </c>
      <c r="DL475" s="2" t="n">
        <v>0</v>
      </c>
      <c r="DM475" s="2" t="n">
        <v>67.95</v>
      </c>
      <c r="DN475" s="2" t="n">
        <v>65.94</v>
      </c>
      <c r="DO475" s="2" t="n">
        <v>0</v>
      </c>
      <c r="DP475" s="2" t="n">
        <v>80.36</v>
      </c>
      <c r="DQ475" s="2" t="n">
        <v>76.16</v>
      </c>
      <c r="DR475" s="2" t="n">
        <v>0</v>
      </c>
      <c r="DS475" s="2" t="n">
        <v>91.52</v>
      </c>
      <c r="DT475" s="2" t="n">
        <v>84.45999999999999</v>
      </c>
      <c r="DU475" s="2" t="n">
        <v>0</v>
      </c>
      <c r="DV475" s="2" t="n">
        <v>96.2</v>
      </c>
      <c r="DW475" s="2" t="n">
        <v>90.06999999999999</v>
      </c>
      <c r="DX475" s="2" t="n">
        <v>0</v>
      </c>
      <c r="DY475" s="2" t="n">
        <v>98.98999999999999</v>
      </c>
      <c r="DZ475" s="2" t="n">
        <v>93.86</v>
      </c>
      <c r="EA475" s="2" t="n">
        <v>0</v>
      </c>
      <c r="EB475" s="2" t="n">
        <v>100</v>
      </c>
      <c r="EC475" s="2" t="n">
        <v>99.44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  <c r="ET475" s="2" t="n">
        <v>100</v>
      </c>
      <c r="EU475" s="2" t="n">
        <v>100</v>
      </c>
      <c r="EV475" s="2" t="n">
        <v>0</v>
      </c>
      <c r="EW475" s="2" t="n">
        <v>100</v>
      </c>
      <c r="EX475" s="2" t="n">
        <v>100</v>
      </c>
      <c r="EY475" s="2" t="n">
        <v>0</v>
      </c>
      <c r="EZ475" s="2" t="n">
        <v>100</v>
      </c>
      <c r="FA475" s="2" t="n">
        <v>100</v>
      </c>
      <c r="FB475" s="2" t="n">
        <v>0</v>
      </c>
      <c r="FC475" s="2" t="n">
        <v>100</v>
      </c>
      <c r="FD475" s="2" t="n">
        <v>100</v>
      </c>
      <c r="FE475" s="2" t="n">
        <v>0</v>
      </c>
      <c r="FF475" s="2" t="n">
        <v>100</v>
      </c>
      <c r="FG475" s="2" t="n">
        <v>100</v>
      </c>
      <c r="FH475" s="2" t="n">
        <v>0</v>
      </c>
      <c r="FI475" s="2" t="n">
        <v>100</v>
      </c>
      <c r="FJ475" s="2" t="n">
        <v>100</v>
      </c>
      <c r="FK475" s="2" t="n">
        <v>0</v>
      </c>
      <c r="FL475" s="2" t="n">
        <v>100</v>
      </c>
      <c r="FM475" s="2" t="n">
        <v>100</v>
      </c>
      <c r="FN475" s="2" t="n">
        <v>0</v>
      </c>
      <c r="FO475" s="2" t="n">
        <v>100</v>
      </c>
      <c r="FP475" s="2" t="n">
        <v>100</v>
      </c>
      <c r="FQ475" s="2" t="n">
        <v>0</v>
      </c>
    </row>
    <row r="476">
      <c r="A476" s="2" t="n">
        <v>3</v>
      </c>
      <c r="B476" s="2" t="inlineStr">
        <is>
          <t>20.08.03</t>
        </is>
      </c>
      <c r="C476" s="2" t="inlineStr">
        <is>
          <t>Camada de transição com geotêxtil 200g/m2</t>
        </is>
      </c>
      <c r="D476" s="2" t="inlineStr">
        <is>
          <t>26/11/2026</t>
        </is>
      </c>
      <c r="E476" s="2" t="inlineStr">
        <is>
          <t>07/02/2028</t>
        </is>
      </c>
      <c r="F476" s="2" t="n">
        <v>5877.487499999999</v>
      </c>
      <c r="G476" s="2" t="n">
        <v>0</v>
      </c>
      <c r="H476" s="2" t="n">
        <v>5877.487499999999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0</v>
      </c>
      <c r="CJ476" s="2" t="n">
        <v>0</v>
      </c>
      <c r="CK476" s="2" t="n">
        <v>0</v>
      </c>
      <c r="CL476" s="2" t="n">
        <v>4.03</v>
      </c>
      <c r="CM476" s="2" t="n">
        <v>1.1</v>
      </c>
      <c r="CN476" s="2" t="n">
        <v>0</v>
      </c>
      <c r="CO476" s="2" t="n">
        <v>7.26</v>
      </c>
      <c r="CP476" s="2" t="n">
        <v>3.87</v>
      </c>
      <c r="CQ476" s="2" t="n">
        <v>0</v>
      </c>
      <c r="CR476" s="2" t="n">
        <v>14.9</v>
      </c>
      <c r="CS476" s="2" t="n">
        <v>9.199999999999999</v>
      </c>
      <c r="CT476" s="2" t="n">
        <v>0</v>
      </c>
      <c r="CU476" s="2" t="n">
        <v>16.62</v>
      </c>
      <c r="CV476" s="2" t="n">
        <v>15.76</v>
      </c>
      <c r="CW476" s="2" t="n">
        <v>0</v>
      </c>
      <c r="CX476" s="2" t="n">
        <v>21.56</v>
      </c>
      <c r="CY476" s="2" t="n">
        <v>20.39</v>
      </c>
      <c r="CZ476" s="2" t="n">
        <v>0</v>
      </c>
      <c r="DA476" s="2" t="n">
        <v>29.51</v>
      </c>
      <c r="DB476" s="2" t="n">
        <v>27.71</v>
      </c>
      <c r="DC476" s="2" t="n">
        <v>0</v>
      </c>
      <c r="DD476" s="2" t="n">
        <v>38.52</v>
      </c>
      <c r="DE476" s="2" t="n">
        <v>37.07</v>
      </c>
      <c r="DF476" s="2" t="n">
        <v>0</v>
      </c>
      <c r="DG476" s="2" t="n">
        <v>52.61</v>
      </c>
      <c r="DH476" s="2" t="n">
        <v>49.69</v>
      </c>
      <c r="DI476" s="2" t="n">
        <v>0</v>
      </c>
      <c r="DJ476" s="2" t="n">
        <v>60.56</v>
      </c>
      <c r="DK476" s="2" t="n">
        <v>60.59</v>
      </c>
      <c r="DL476" s="2" t="n">
        <v>0</v>
      </c>
      <c r="DM476" s="2" t="n">
        <v>67.95</v>
      </c>
      <c r="DN476" s="2" t="n">
        <v>65.94</v>
      </c>
      <c r="DO476" s="2" t="n">
        <v>0</v>
      </c>
      <c r="DP476" s="2" t="n">
        <v>80.36</v>
      </c>
      <c r="DQ476" s="2" t="n">
        <v>76.16</v>
      </c>
      <c r="DR476" s="2" t="n">
        <v>0</v>
      </c>
      <c r="DS476" s="2" t="n">
        <v>91.52</v>
      </c>
      <c r="DT476" s="2" t="n">
        <v>84.45999999999999</v>
      </c>
      <c r="DU476" s="2" t="n">
        <v>0</v>
      </c>
      <c r="DV476" s="2" t="n">
        <v>96.2</v>
      </c>
      <c r="DW476" s="2" t="n">
        <v>90.06999999999999</v>
      </c>
      <c r="DX476" s="2" t="n">
        <v>0</v>
      </c>
      <c r="DY476" s="2" t="n">
        <v>98.98999999999999</v>
      </c>
      <c r="DZ476" s="2" t="n">
        <v>93.86</v>
      </c>
      <c r="EA476" s="2" t="n">
        <v>0</v>
      </c>
      <c r="EB476" s="2" t="n">
        <v>100</v>
      </c>
      <c r="EC476" s="2" t="n">
        <v>99.44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  <c r="ET476" s="2" t="n">
        <v>100</v>
      </c>
      <c r="EU476" s="2" t="n">
        <v>100</v>
      </c>
      <c r="EV476" s="2" t="n">
        <v>0</v>
      </c>
      <c r="EW476" s="2" t="n">
        <v>100</v>
      </c>
      <c r="EX476" s="2" t="n">
        <v>100</v>
      </c>
      <c r="EY476" s="2" t="n">
        <v>0</v>
      </c>
      <c r="EZ476" s="2" t="n">
        <v>100</v>
      </c>
      <c r="FA476" s="2" t="n">
        <v>100</v>
      </c>
      <c r="FB476" s="2" t="n">
        <v>0</v>
      </c>
      <c r="FC476" s="2" t="n">
        <v>100</v>
      </c>
      <c r="FD476" s="2" t="n">
        <v>100</v>
      </c>
      <c r="FE476" s="2" t="n">
        <v>0</v>
      </c>
      <c r="FF476" s="2" t="n">
        <v>100</v>
      </c>
      <c r="FG476" s="2" t="n">
        <v>100</v>
      </c>
      <c r="FH476" s="2" t="n">
        <v>0</v>
      </c>
      <c r="FI476" s="2" t="n">
        <v>100</v>
      </c>
      <c r="FJ476" s="2" t="n">
        <v>100</v>
      </c>
      <c r="FK476" s="2" t="n">
        <v>0</v>
      </c>
      <c r="FL476" s="2" t="n">
        <v>100</v>
      </c>
      <c r="FM476" s="2" t="n">
        <v>100</v>
      </c>
      <c r="FN476" s="2" t="n">
        <v>0</v>
      </c>
      <c r="FO476" s="2" t="n">
        <v>100</v>
      </c>
      <c r="FP476" s="2" t="n">
        <v>100</v>
      </c>
      <c r="FQ476" s="2" t="n">
        <v>0</v>
      </c>
    </row>
    <row r="477">
      <c r="A477" s="2" t="n">
        <v>3</v>
      </c>
      <c r="B477" s="2" t="inlineStr">
        <is>
          <t>20.08.04</t>
        </is>
      </c>
      <c r="C477" s="2" t="inlineStr">
        <is>
          <t>Impermabilização de ralos</t>
        </is>
      </c>
      <c r="D477" s="2" t="inlineStr">
        <is>
          <t>26/11/2026</t>
        </is>
      </c>
      <c r="E477" s="2" t="inlineStr">
        <is>
          <t>07/02/2028</t>
        </is>
      </c>
      <c r="F477" s="2" t="n">
        <v>400.218948010076</v>
      </c>
      <c r="G477" s="2" t="n">
        <v>0</v>
      </c>
      <c r="H477" s="2" t="n">
        <v>400.218948010076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0</v>
      </c>
      <c r="CJ477" s="2" t="n">
        <v>0</v>
      </c>
      <c r="CK477" s="2" t="n">
        <v>0</v>
      </c>
      <c r="CL477" s="2" t="n">
        <v>4.03</v>
      </c>
      <c r="CM477" s="2" t="n">
        <v>1.1</v>
      </c>
      <c r="CN477" s="2" t="n">
        <v>0</v>
      </c>
      <c r="CO477" s="2" t="n">
        <v>7.26</v>
      </c>
      <c r="CP477" s="2" t="n">
        <v>3.87</v>
      </c>
      <c r="CQ477" s="2" t="n">
        <v>0</v>
      </c>
      <c r="CR477" s="2" t="n">
        <v>14.9</v>
      </c>
      <c r="CS477" s="2" t="n">
        <v>9.199999999999999</v>
      </c>
      <c r="CT477" s="2" t="n">
        <v>0</v>
      </c>
      <c r="CU477" s="2" t="n">
        <v>16.62</v>
      </c>
      <c r="CV477" s="2" t="n">
        <v>15.76</v>
      </c>
      <c r="CW477" s="2" t="n">
        <v>0</v>
      </c>
      <c r="CX477" s="2" t="n">
        <v>21.56</v>
      </c>
      <c r="CY477" s="2" t="n">
        <v>20.39</v>
      </c>
      <c r="CZ477" s="2" t="n">
        <v>0</v>
      </c>
      <c r="DA477" s="2" t="n">
        <v>29.51</v>
      </c>
      <c r="DB477" s="2" t="n">
        <v>27.71</v>
      </c>
      <c r="DC477" s="2" t="n">
        <v>0</v>
      </c>
      <c r="DD477" s="2" t="n">
        <v>38.52</v>
      </c>
      <c r="DE477" s="2" t="n">
        <v>37.07</v>
      </c>
      <c r="DF477" s="2" t="n">
        <v>0</v>
      </c>
      <c r="DG477" s="2" t="n">
        <v>52.61</v>
      </c>
      <c r="DH477" s="2" t="n">
        <v>49.69</v>
      </c>
      <c r="DI477" s="2" t="n">
        <v>0</v>
      </c>
      <c r="DJ477" s="2" t="n">
        <v>60.56</v>
      </c>
      <c r="DK477" s="2" t="n">
        <v>60.59</v>
      </c>
      <c r="DL477" s="2" t="n">
        <v>0</v>
      </c>
      <c r="DM477" s="2" t="n">
        <v>67.95</v>
      </c>
      <c r="DN477" s="2" t="n">
        <v>65.94</v>
      </c>
      <c r="DO477" s="2" t="n">
        <v>0</v>
      </c>
      <c r="DP477" s="2" t="n">
        <v>80.36</v>
      </c>
      <c r="DQ477" s="2" t="n">
        <v>76.16</v>
      </c>
      <c r="DR477" s="2" t="n">
        <v>0</v>
      </c>
      <c r="DS477" s="2" t="n">
        <v>91.52</v>
      </c>
      <c r="DT477" s="2" t="n">
        <v>84.45999999999999</v>
      </c>
      <c r="DU477" s="2" t="n">
        <v>0</v>
      </c>
      <c r="DV477" s="2" t="n">
        <v>96.2</v>
      </c>
      <c r="DW477" s="2" t="n">
        <v>90.06999999999999</v>
      </c>
      <c r="DX477" s="2" t="n">
        <v>0</v>
      </c>
      <c r="DY477" s="2" t="n">
        <v>98.98999999999999</v>
      </c>
      <c r="DZ477" s="2" t="n">
        <v>93.86</v>
      </c>
      <c r="EA477" s="2" t="n">
        <v>0</v>
      </c>
      <c r="EB477" s="2" t="n">
        <v>100</v>
      </c>
      <c r="EC477" s="2" t="n">
        <v>99.44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  <c r="ET477" s="2" t="n">
        <v>100</v>
      </c>
      <c r="EU477" s="2" t="n">
        <v>100</v>
      </c>
      <c r="EV477" s="2" t="n">
        <v>0</v>
      </c>
      <c r="EW477" s="2" t="n">
        <v>100</v>
      </c>
      <c r="EX477" s="2" t="n">
        <v>100</v>
      </c>
      <c r="EY477" s="2" t="n">
        <v>0</v>
      </c>
      <c r="EZ477" s="2" t="n">
        <v>100</v>
      </c>
      <c r="FA477" s="2" t="n">
        <v>100</v>
      </c>
      <c r="FB477" s="2" t="n">
        <v>0</v>
      </c>
      <c r="FC477" s="2" t="n">
        <v>100</v>
      </c>
      <c r="FD477" s="2" t="n">
        <v>100</v>
      </c>
      <c r="FE477" s="2" t="n">
        <v>0</v>
      </c>
      <c r="FF477" s="2" t="n">
        <v>100</v>
      </c>
      <c r="FG477" s="2" t="n">
        <v>100</v>
      </c>
      <c r="FH477" s="2" t="n">
        <v>0</v>
      </c>
      <c r="FI477" s="2" t="n">
        <v>100</v>
      </c>
      <c r="FJ477" s="2" t="n">
        <v>100</v>
      </c>
      <c r="FK477" s="2" t="n">
        <v>0</v>
      </c>
      <c r="FL477" s="2" t="n">
        <v>100</v>
      </c>
      <c r="FM477" s="2" t="n">
        <v>100</v>
      </c>
      <c r="FN477" s="2" t="n">
        <v>0</v>
      </c>
      <c r="FO477" s="2" t="n">
        <v>100</v>
      </c>
      <c r="FP477" s="2" t="n">
        <v>100</v>
      </c>
      <c r="FQ477" s="2" t="n">
        <v>0</v>
      </c>
    </row>
    <row r="478">
      <c r="A478" s="2" t="n">
        <v>2</v>
      </c>
      <c r="B478" s="2" t="inlineStr">
        <is>
          <t>20.09</t>
        </is>
      </c>
      <c r="C478" s="2" t="inlineStr">
        <is>
          <t>Opção 01: Membrana de poliuretano moldado in loco com espessura mínima de 2mm. Nos cantos, reforço com tela em faixa de 40cm no piso e 20cm nas paredes) e proteção mecânica| Opção 02: Membrana polimérica de poliolfinas termoplásticas de alto desempenho colada com argamassa ACIII</t>
        </is>
      </c>
      <c r="D478" s="2" t="inlineStr">
        <is>
          <t>26/11/2026</t>
        </is>
      </c>
      <c r="E478" s="2" t="inlineStr">
        <is>
          <t>07/02/2028</t>
        </is>
      </c>
      <c r="F478" s="2" t="n">
        <v>204314.5158592158</v>
      </c>
      <c r="G478" s="2" t="n">
        <v>0</v>
      </c>
      <c r="H478" s="2" t="n">
        <v>204314.5158592158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0</v>
      </c>
      <c r="BP478" s="2" t="n">
        <v>0</v>
      </c>
      <c r="BQ478" s="2" t="n">
        <v>0</v>
      </c>
      <c r="BR478" s="2" t="n">
        <v>0</v>
      </c>
      <c r="BS478" s="2" t="n">
        <v>0</v>
      </c>
      <c r="BT478" s="2" t="n">
        <v>0</v>
      </c>
      <c r="BU478" s="2" t="n">
        <v>0</v>
      </c>
      <c r="BV478" s="2" t="n">
        <v>0</v>
      </c>
      <c r="BW478" s="2" t="n">
        <v>0</v>
      </c>
      <c r="BX478" s="2" t="n">
        <v>0</v>
      </c>
      <c r="BY478" s="2" t="n">
        <v>0</v>
      </c>
      <c r="BZ478" s="2" t="n">
        <v>0</v>
      </c>
      <c r="CA478" s="2" t="n">
        <v>0</v>
      </c>
      <c r="CB478" s="2" t="n">
        <v>0</v>
      </c>
      <c r="CC478" s="2" t="n">
        <v>0</v>
      </c>
      <c r="CD478" s="2" t="n">
        <v>0</v>
      </c>
      <c r="CE478" s="2" t="n">
        <v>0</v>
      </c>
      <c r="CF478" s="2" t="n">
        <v>0</v>
      </c>
      <c r="CG478" s="2" t="n">
        <v>0</v>
      </c>
      <c r="CH478" s="2" t="n">
        <v>0</v>
      </c>
      <c r="CI478" s="2" t="n">
        <v>0</v>
      </c>
      <c r="CJ478" s="2" t="n">
        <v>0</v>
      </c>
      <c r="CK478" s="2" t="n">
        <v>0</v>
      </c>
      <c r="CL478" s="2" t="n">
        <v>4.03</v>
      </c>
      <c r="CM478" s="2" t="n">
        <v>1.1</v>
      </c>
      <c r="CN478" s="2" t="n">
        <v>0</v>
      </c>
      <c r="CO478" s="2" t="n">
        <v>7.26</v>
      </c>
      <c r="CP478" s="2" t="n">
        <v>3.87</v>
      </c>
      <c r="CQ478" s="2" t="n">
        <v>0</v>
      </c>
      <c r="CR478" s="2" t="n">
        <v>14.9</v>
      </c>
      <c r="CS478" s="2" t="n">
        <v>9.199999999999999</v>
      </c>
      <c r="CT478" s="2" t="n">
        <v>0</v>
      </c>
      <c r="CU478" s="2" t="n">
        <v>16.62</v>
      </c>
      <c r="CV478" s="2" t="n">
        <v>15.76</v>
      </c>
      <c r="CW478" s="2" t="n">
        <v>0</v>
      </c>
      <c r="CX478" s="2" t="n">
        <v>21.56</v>
      </c>
      <c r="CY478" s="2" t="n">
        <v>20.39</v>
      </c>
      <c r="CZ478" s="2" t="n">
        <v>0</v>
      </c>
      <c r="DA478" s="2" t="n">
        <v>29.51</v>
      </c>
      <c r="DB478" s="2" t="n">
        <v>27.71</v>
      </c>
      <c r="DC478" s="2" t="n">
        <v>0</v>
      </c>
      <c r="DD478" s="2" t="n">
        <v>38.52</v>
      </c>
      <c r="DE478" s="2" t="n">
        <v>37.07</v>
      </c>
      <c r="DF478" s="2" t="n">
        <v>0</v>
      </c>
      <c r="DG478" s="2" t="n">
        <v>52.61</v>
      </c>
      <c r="DH478" s="2" t="n">
        <v>49.69</v>
      </c>
      <c r="DI478" s="2" t="n">
        <v>0</v>
      </c>
      <c r="DJ478" s="2" t="n">
        <v>60.56</v>
      </c>
      <c r="DK478" s="2" t="n">
        <v>60.59</v>
      </c>
      <c r="DL478" s="2" t="n">
        <v>0</v>
      </c>
      <c r="DM478" s="2" t="n">
        <v>67.95</v>
      </c>
      <c r="DN478" s="2" t="n">
        <v>65.94</v>
      </c>
      <c r="DO478" s="2" t="n">
        <v>0</v>
      </c>
      <c r="DP478" s="2" t="n">
        <v>80.36</v>
      </c>
      <c r="DQ478" s="2" t="n">
        <v>76.16</v>
      </c>
      <c r="DR478" s="2" t="n">
        <v>0</v>
      </c>
      <c r="DS478" s="2" t="n">
        <v>91.52</v>
      </c>
      <c r="DT478" s="2" t="n">
        <v>84.45999999999999</v>
      </c>
      <c r="DU478" s="2" t="n">
        <v>0</v>
      </c>
      <c r="DV478" s="2" t="n">
        <v>96.2</v>
      </c>
      <c r="DW478" s="2" t="n">
        <v>90.06999999999999</v>
      </c>
      <c r="DX478" s="2" t="n">
        <v>0</v>
      </c>
      <c r="DY478" s="2" t="n">
        <v>98.98999999999999</v>
      </c>
      <c r="DZ478" s="2" t="n">
        <v>93.86</v>
      </c>
      <c r="EA478" s="2" t="n">
        <v>0</v>
      </c>
      <c r="EB478" s="2" t="n">
        <v>100</v>
      </c>
      <c r="EC478" s="2" t="n">
        <v>99.44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  <c r="ET478" s="2" t="n">
        <v>100</v>
      </c>
      <c r="EU478" s="2" t="n">
        <v>100</v>
      </c>
      <c r="EV478" s="2" t="n">
        <v>0</v>
      </c>
      <c r="EW478" s="2" t="n">
        <v>100</v>
      </c>
      <c r="EX478" s="2" t="n">
        <v>100</v>
      </c>
      <c r="EY478" s="2" t="n">
        <v>0</v>
      </c>
      <c r="EZ478" s="2" t="n">
        <v>100</v>
      </c>
      <c r="FA478" s="2" t="n">
        <v>100</v>
      </c>
      <c r="FB478" s="2" t="n">
        <v>0</v>
      </c>
      <c r="FC478" s="2" t="n">
        <v>100</v>
      </c>
      <c r="FD478" s="2" t="n">
        <v>100</v>
      </c>
      <c r="FE478" s="2" t="n">
        <v>0</v>
      </c>
      <c r="FF478" s="2" t="n">
        <v>100</v>
      </c>
      <c r="FG478" s="2" t="n">
        <v>100</v>
      </c>
      <c r="FH478" s="2" t="n">
        <v>0</v>
      </c>
      <c r="FI478" s="2" t="n">
        <v>100</v>
      </c>
      <c r="FJ478" s="2" t="n">
        <v>100</v>
      </c>
      <c r="FK478" s="2" t="n">
        <v>0</v>
      </c>
      <c r="FL478" s="2" t="n">
        <v>100</v>
      </c>
      <c r="FM478" s="2" t="n">
        <v>100</v>
      </c>
      <c r="FN478" s="2" t="n">
        <v>0</v>
      </c>
      <c r="FO478" s="2" t="n">
        <v>100</v>
      </c>
      <c r="FP478" s="2" t="n">
        <v>100</v>
      </c>
      <c r="FQ478" s="2" t="n">
        <v>0</v>
      </c>
    </row>
    <row r="479">
      <c r="A479" s="2" t="n">
        <v>3</v>
      </c>
      <c r="B479" s="2" t="inlineStr">
        <is>
          <t>20.09.01</t>
        </is>
      </c>
      <c r="C479" s="2" t="inlineStr">
        <is>
          <t>Camada de regularização com argamassa de cimento e areia</t>
        </is>
      </c>
      <c r="D479" s="2" t="inlineStr">
        <is>
          <t>26/11/2026</t>
        </is>
      </c>
      <c r="E479" s="2" t="inlineStr">
        <is>
          <t>07/02/2028</t>
        </is>
      </c>
      <c r="F479" s="2" t="n">
        <v>36935.46457359359</v>
      </c>
      <c r="G479" s="2" t="n">
        <v>0</v>
      </c>
      <c r="H479" s="2" t="n">
        <v>36935.46457359359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0</v>
      </c>
      <c r="BP479" s="2" t="n">
        <v>0</v>
      </c>
      <c r="BQ479" s="2" t="n">
        <v>0</v>
      </c>
      <c r="BR479" s="2" t="n">
        <v>0</v>
      </c>
      <c r="BS479" s="2" t="n">
        <v>0</v>
      </c>
      <c r="BT479" s="2" t="n">
        <v>0</v>
      </c>
      <c r="BU479" s="2" t="n">
        <v>0</v>
      </c>
      <c r="BV479" s="2" t="n">
        <v>0</v>
      </c>
      <c r="BW479" s="2" t="n">
        <v>0</v>
      </c>
      <c r="BX479" s="2" t="n">
        <v>0</v>
      </c>
      <c r="BY479" s="2" t="n">
        <v>0</v>
      </c>
      <c r="BZ479" s="2" t="n">
        <v>0</v>
      </c>
      <c r="CA479" s="2" t="n">
        <v>0</v>
      </c>
      <c r="CB479" s="2" t="n">
        <v>0</v>
      </c>
      <c r="CC479" s="2" t="n">
        <v>0</v>
      </c>
      <c r="CD479" s="2" t="n">
        <v>0</v>
      </c>
      <c r="CE479" s="2" t="n">
        <v>0</v>
      </c>
      <c r="CF479" s="2" t="n">
        <v>0</v>
      </c>
      <c r="CG479" s="2" t="n">
        <v>0</v>
      </c>
      <c r="CH479" s="2" t="n">
        <v>0</v>
      </c>
      <c r="CI479" s="2" t="n">
        <v>0</v>
      </c>
      <c r="CJ479" s="2" t="n">
        <v>0</v>
      </c>
      <c r="CK479" s="2" t="n">
        <v>0</v>
      </c>
      <c r="CL479" s="2" t="n">
        <v>4.03</v>
      </c>
      <c r="CM479" s="2" t="n">
        <v>1.1</v>
      </c>
      <c r="CN479" s="2" t="n">
        <v>0</v>
      </c>
      <c r="CO479" s="2" t="n">
        <v>7.26</v>
      </c>
      <c r="CP479" s="2" t="n">
        <v>3.87</v>
      </c>
      <c r="CQ479" s="2" t="n">
        <v>0</v>
      </c>
      <c r="CR479" s="2" t="n">
        <v>14.9</v>
      </c>
      <c r="CS479" s="2" t="n">
        <v>9.199999999999999</v>
      </c>
      <c r="CT479" s="2" t="n">
        <v>0</v>
      </c>
      <c r="CU479" s="2" t="n">
        <v>16.62</v>
      </c>
      <c r="CV479" s="2" t="n">
        <v>15.76</v>
      </c>
      <c r="CW479" s="2" t="n">
        <v>0</v>
      </c>
      <c r="CX479" s="2" t="n">
        <v>21.56</v>
      </c>
      <c r="CY479" s="2" t="n">
        <v>20.39</v>
      </c>
      <c r="CZ479" s="2" t="n">
        <v>0</v>
      </c>
      <c r="DA479" s="2" t="n">
        <v>29.51</v>
      </c>
      <c r="DB479" s="2" t="n">
        <v>27.71</v>
      </c>
      <c r="DC479" s="2" t="n">
        <v>0</v>
      </c>
      <c r="DD479" s="2" t="n">
        <v>38.52</v>
      </c>
      <c r="DE479" s="2" t="n">
        <v>37.07</v>
      </c>
      <c r="DF479" s="2" t="n">
        <v>0</v>
      </c>
      <c r="DG479" s="2" t="n">
        <v>52.61</v>
      </c>
      <c r="DH479" s="2" t="n">
        <v>49.69</v>
      </c>
      <c r="DI479" s="2" t="n">
        <v>0</v>
      </c>
      <c r="DJ479" s="2" t="n">
        <v>60.56</v>
      </c>
      <c r="DK479" s="2" t="n">
        <v>60.59</v>
      </c>
      <c r="DL479" s="2" t="n">
        <v>0</v>
      </c>
      <c r="DM479" s="2" t="n">
        <v>67.95</v>
      </c>
      <c r="DN479" s="2" t="n">
        <v>65.94</v>
      </c>
      <c r="DO479" s="2" t="n">
        <v>0</v>
      </c>
      <c r="DP479" s="2" t="n">
        <v>80.36</v>
      </c>
      <c r="DQ479" s="2" t="n">
        <v>76.16</v>
      </c>
      <c r="DR479" s="2" t="n">
        <v>0</v>
      </c>
      <c r="DS479" s="2" t="n">
        <v>91.52</v>
      </c>
      <c r="DT479" s="2" t="n">
        <v>84.45999999999999</v>
      </c>
      <c r="DU479" s="2" t="n">
        <v>0</v>
      </c>
      <c r="DV479" s="2" t="n">
        <v>96.2</v>
      </c>
      <c r="DW479" s="2" t="n">
        <v>90.06999999999999</v>
      </c>
      <c r="DX479" s="2" t="n">
        <v>0</v>
      </c>
      <c r="DY479" s="2" t="n">
        <v>98.98999999999999</v>
      </c>
      <c r="DZ479" s="2" t="n">
        <v>93.86</v>
      </c>
      <c r="EA479" s="2" t="n">
        <v>0</v>
      </c>
      <c r="EB479" s="2" t="n">
        <v>100</v>
      </c>
      <c r="EC479" s="2" t="n">
        <v>99.44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  <c r="ET479" s="2" t="n">
        <v>100</v>
      </c>
      <c r="EU479" s="2" t="n">
        <v>100</v>
      </c>
      <c r="EV479" s="2" t="n">
        <v>0</v>
      </c>
      <c r="EW479" s="2" t="n">
        <v>100</v>
      </c>
      <c r="EX479" s="2" t="n">
        <v>100</v>
      </c>
      <c r="EY479" s="2" t="n">
        <v>0</v>
      </c>
      <c r="EZ479" s="2" t="n">
        <v>100</v>
      </c>
      <c r="FA479" s="2" t="n">
        <v>100</v>
      </c>
      <c r="FB479" s="2" t="n">
        <v>0</v>
      </c>
      <c r="FC479" s="2" t="n">
        <v>100</v>
      </c>
      <c r="FD479" s="2" t="n">
        <v>100</v>
      </c>
      <c r="FE479" s="2" t="n">
        <v>0</v>
      </c>
      <c r="FF479" s="2" t="n">
        <v>100</v>
      </c>
      <c r="FG479" s="2" t="n">
        <v>100</v>
      </c>
      <c r="FH479" s="2" t="n">
        <v>0</v>
      </c>
      <c r="FI479" s="2" t="n">
        <v>100</v>
      </c>
      <c r="FJ479" s="2" t="n">
        <v>100</v>
      </c>
      <c r="FK479" s="2" t="n">
        <v>0</v>
      </c>
      <c r="FL479" s="2" t="n">
        <v>100</v>
      </c>
      <c r="FM479" s="2" t="n">
        <v>100</v>
      </c>
      <c r="FN479" s="2" t="n">
        <v>0</v>
      </c>
      <c r="FO479" s="2" t="n">
        <v>100</v>
      </c>
      <c r="FP479" s="2" t="n">
        <v>100</v>
      </c>
      <c r="FQ479" s="2" t="n">
        <v>0</v>
      </c>
    </row>
    <row r="480">
      <c r="A480" s="2" t="n">
        <v>3</v>
      </c>
      <c r="B480" s="2" t="inlineStr">
        <is>
          <t>20.09.02</t>
        </is>
      </c>
      <c r="C480" s="2" t="inlineStr">
        <is>
          <t>Proteção mecânica para impermeabilizações</t>
        </is>
      </c>
      <c r="D480" s="2" t="inlineStr">
        <is>
          <t>26/11/2026</t>
        </is>
      </c>
      <c r="E480" s="2" t="inlineStr">
        <is>
          <t>07/02/2028</t>
        </is>
      </c>
      <c r="F480" s="2" t="n">
        <v>166498.5696</v>
      </c>
      <c r="G480" s="2" t="n">
        <v>0</v>
      </c>
      <c r="H480" s="2" t="n">
        <v>166498.5696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0</v>
      </c>
      <c r="BP480" s="2" t="n">
        <v>0</v>
      </c>
      <c r="BQ480" s="2" t="n">
        <v>0</v>
      </c>
      <c r="BR480" s="2" t="n">
        <v>0</v>
      </c>
      <c r="BS480" s="2" t="n">
        <v>0</v>
      </c>
      <c r="BT480" s="2" t="n">
        <v>0</v>
      </c>
      <c r="BU480" s="2" t="n">
        <v>0</v>
      </c>
      <c r="BV480" s="2" t="n">
        <v>0</v>
      </c>
      <c r="BW480" s="2" t="n">
        <v>0</v>
      </c>
      <c r="BX480" s="2" t="n">
        <v>0</v>
      </c>
      <c r="BY480" s="2" t="n">
        <v>0</v>
      </c>
      <c r="BZ480" s="2" t="n">
        <v>0</v>
      </c>
      <c r="CA480" s="2" t="n">
        <v>0</v>
      </c>
      <c r="CB480" s="2" t="n">
        <v>0</v>
      </c>
      <c r="CC480" s="2" t="n">
        <v>0</v>
      </c>
      <c r="CD480" s="2" t="n">
        <v>0</v>
      </c>
      <c r="CE480" s="2" t="n">
        <v>0</v>
      </c>
      <c r="CF480" s="2" t="n">
        <v>0</v>
      </c>
      <c r="CG480" s="2" t="n">
        <v>0</v>
      </c>
      <c r="CH480" s="2" t="n">
        <v>0</v>
      </c>
      <c r="CI480" s="2" t="n">
        <v>0</v>
      </c>
      <c r="CJ480" s="2" t="n">
        <v>0</v>
      </c>
      <c r="CK480" s="2" t="n">
        <v>0</v>
      </c>
      <c r="CL480" s="2" t="n">
        <v>4.03</v>
      </c>
      <c r="CM480" s="2" t="n">
        <v>1.1</v>
      </c>
      <c r="CN480" s="2" t="n">
        <v>0</v>
      </c>
      <c r="CO480" s="2" t="n">
        <v>7.26</v>
      </c>
      <c r="CP480" s="2" t="n">
        <v>3.87</v>
      </c>
      <c r="CQ480" s="2" t="n">
        <v>0</v>
      </c>
      <c r="CR480" s="2" t="n">
        <v>14.9</v>
      </c>
      <c r="CS480" s="2" t="n">
        <v>9.199999999999999</v>
      </c>
      <c r="CT480" s="2" t="n">
        <v>0</v>
      </c>
      <c r="CU480" s="2" t="n">
        <v>16.62</v>
      </c>
      <c r="CV480" s="2" t="n">
        <v>15.76</v>
      </c>
      <c r="CW480" s="2" t="n">
        <v>0</v>
      </c>
      <c r="CX480" s="2" t="n">
        <v>21.56</v>
      </c>
      <c r="CY480" s="2" t="n">
        <v>20.39</v>
      </c>
      <c r="CZ480" s="2" t="n">
        <v>0</v>
      </c>
      <c r="DA480" s="2" t="n">
        <v>29.51</v>
      </c>
      <c r="DB480" s="2" t="n">
        <v>27.71</v>
      </c>
      <c r="DC480" s="2" t="n">
        <v>0</v>
      </c>
      <c r="DD480" s="2" t="n">
        <v>38.52</v>
      </c>
      <c r="DE480" s="2" t="n">
        <v>37.07</v>
      </c>
      <c r="DF480" s="2" t="n">
        <v>0</v>
      </c>
      <c r="DG480" s="2" t="n">
        <v>52.61</v>
      </c>
      <c r="DH480" s="2" t="n">
        <v>49.69</v>
      </c>
      <c r="DI480" s="2" t="n">
        <v>0</v>
      </c>
      <c r="DJ480" s="2" t="n">
        <v>60.56</v>
      </c>
      <c r="DK480" s="2" t="n">
        <v>60.59</v>
      </c>
      <c r="DL480" s="2" t="n">
        <v>0</v>
      </c>
      <c r="DM480" s="2" t="n">
        <v>67.95</v>
      </c>
      <c r="DN480" s="2" t="n">
        <v>65.94</v>
      </c>
      <c r="DO480" s="2" t="n">
        <v>0</v>
      </c>
      <c r="DP480" s="2" t="n">
        <v>80.36</v>
      </c>
      <c r="DQ480" s="2" t="n">
        <v>76.16</v>
      </c>
      <c r="DR480" s="2" t="n">
        <v>0</v>
      </c>
      <c r="DS480" s="2" t="n">
        <v>91.52</v>
      </c>
      <c r="DT480" s="2" t="n">
        <v>84.45999999999999</v>
      </c>
      <c r="DU480" s="2" t="n">
        <v>0</v>
      </c>
      <c r="DV480" s="2" t="n">
        <v>96.2</v>
      </c>
      <c r="DW480" s="2" t="n">
        <v>90.06999999999999</v>
      </c>
      <c r="DX480" s="2" t="n">
        <v>0</v>
      </c>
      <c r="DY480" s="2" t="n">
        <v>98.98999999999999</v>
      </c>
      <c r="DZ480" s="2" t="n">
        <v>93.86</v>
      </c>
      <c r="EA480" s="2" t="n">
        <v>0</v>
      </c>
      <c r="EB480" s="2" t="n">
        <v>100</v>
      </c>
      <c r="EC480" s="2" t="n">
        <v>99.44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  <c r="ET480" s="2" t="n">
        <v>100</v>
      </c>
      <c r="EU480" s="2" t="n">
        <v>100</v>
      </c>
      <c r="EV480" s="2" t="n">
        <v>0</v>
      </c>
      <c r="EW480" s="2" t="n">
        <v>100</v>
      </c>
      <c r="EX480" s="2" t="n">
        <v>100</v>
      </c>
      <c r="EY480" s="2" t="n">
        <v>0</v>
      </c>
      <c r="EZ480" s="2" t="n">
        <v>100</v>
      </c>
      <c r="FA480" s="2" t="n">
        <v>100</v>
      </c>
      <c r="FB480" s="2" t="n">
        <v>0</v>
      </c>
      <c r="FC480" s="2" t="n">
        <v>100</v>
      </c>
      <c r="FD480" s="2" t="n">
        <v>100</v>
      </c>
      <c r="FE480" s="2" t="n">
        <v>0</v>
      </c>
      <c r="FF480" s="2" t="n">
        <v>100</v>
      </c>
      <c r="FG480" s="2" t="n">
        <v>100</v>
      </c>
      <c r="FH480" s="2" t="n">
        <v>0</v>
      </c>
      <c r="FI480" s="2" t="n">
        <v>100</v>
      </c>
      <c r="FJ480" s="2" t="n">
        <v>100</v>
      </c>
      <c r="FK480" s="2" t="n">
        <v>0</v>
      </c>
      <c r="FL480" s="2" t="n">
        <v>100</v>
      </c>
      <c r="FM480" s="2" t="n">
        <v>100</v>
      </c>
      <c r="FN480" s="2" t="n">
        <v>0</v>
      </c>
      <c r="FO480" s="2" t="n">
        <v>100</v>
      </c>
      <c r="FP480" s="2" t="n">
        <v>100</v>
      </c>
      <c r="FQ480" s="2" t="n">
        <v>0</v>
      </c>
    </row>
    <row r="481">
      <c r="A481" s="2" t="n">
        <v>3</v>
      </c>
      <c r="B481" s="2" t="inlineStr">
        <is>
          <t>20.09.03</t>
        </is>
      </c>
      <c r="C481" s="2" t="inlineStr">
        <is>
          <t>Impermabilização de ralos</t>
        </is>
      </c>
      <c r="D481" s="2" t="inlineStr">
        <is>
          <t>26/11/2026</t>
        </is>
      </c>
      <c r="E481" s="2" t="inlineStr">
        <is>
          <t>07/02/2028</t>
        </is>
      </c>
      <c r="F481" s="2" t="n">
        <v>880.4816856221671</v>
      </c>
      <c r="G481" s="2" t="n">
        <v>0</v>
      </c>
      <c r="H481" s="2" t="n">
        <v>880.4816856221671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0</v>
      </c>
      <c r="BP481" s="2" t="n">
        <v>0</v>
      </c>
      <c r="BQ481" s="2" t="n">
        <v>0</v>
      </c>
      <c r="BR481" s="2" t="n">
        <v>0</v>
      </c>
      <c r="BS481" s="2" t="n">
        <v>0</v>
      </c>
      <c r="BT481" s="2" t="n">
        <v>0</v>
      </c>
      <c r="BU481" s="2" t="n">
        <v>0</v>
      </c>
      <c r="BV481" s="2" t="n">
        <v>0</v>
      </c>
      <c r="BW481" s="2" t="n">
        <v>0</v>
      </c>
      <c r="BX481" s="2" t="n">
        <v>0</v>
      </c>
      <c r="BY481" s="2" t="n">
        <v>0</v>
      </c>
      <c r="BZ481" s="2" t="n">
        <v>0</v>
      </c>
      <c r="CA481" s="2" t="n">
        <v>0</v>
      </c>
      <c r="CB481" s="2" t="n">
        <v>0</v>
      </c>
      <c r="CC481" s="2" t="n">
        <v>0</v>
      </c>
      <c r="CD481" s="2" t="n">
        <v>0</v>
      </c>
      <c r="CE481" s="2" t="n">
        <v>0</v>
      </c>
      <c r="CF481" s="2" t="n">
        <v>0</v>
      </c>
      <c r="CG481" s="2" t="n">
        <v>0</v>
      </c>
      <c r="CH481" s="2" t="n">
        <v>0</v>
      </c>
      <c r="CI481" s="2" t="n">
        <v>0</v>
      </c>
      <c r="CJ481" s="2" t="n">
        <v>0</v>
      </c>
      <c r="CK481" s="2" t="n">
        <v>0</v>
      </c>
      <c r="CL481" s="2" t="n">
        <v>4.03</v>
      </c>
      <c r="CM481" s="2" t="n">
        <v>1.1</v>
      </c>
      <c r="CN481" s="2" t="n">
        <v>0</v>
      </c>
      <c r="CO481" s="2" t="n">
        <v>7.26</v>
      </c>
      <c r="CP481" s="2" t="n">
        <v>3.87</v>
      </c>
      <c r="CQ481" s="2" t="n">
        <v>0</v>
      </c>
      <c r="CR481" s="2" t="n">
        <v>14.9</v>
      </c>
      <c r="CS481" s="2" t="n">
        <v>9.199999999999999</v>
      </c>
      <c r="CT481" s="2" t="n">
        <v>0</v>
      </c>
      <c r="CU481" s="2" t="n">
        <v>16.62</v>
      </c>
      <c r="CV481" s="2" t="n">
        <v>15.76</v>
      </c>
      <c r="CW481" s="2" t="n">
        <v>0</v>
      </c>
      <c r="CX481" s="2" t="n">
        <v>21.56</v>
      </c>
      <c r="CY481" s="2" t="n">
        <v>20.39</v>
      </c>
      <c r="CZ481" s="2" t="n">
        <v>0</v>
      </c>
      <c r="DA481" s="2" t="n">
        <v>29.51</v>
      </c>
      <c r="DB481" s="2" t="n">
        <v>27.71</v>
      </c>
      <c r="DC481" s="2" t="n">
        <v>0</v>
      </c>
      <c r="DD481" s="2" t="n">
        <v>38.52</v>
      </c>
      <c r="DE481" s="2" t="n">
        <v>37.07</v>
      </c>
      <c r="DF481" s="2" t="n">
        <v>0</v>
      </c>
      <c r="DG481" s="2" t="n">
        <v>52.61</v>
      </c>
      <c r="DH481" s="2" t="n">
        <v>49.69</v>
      </c>
      <c r="DI481" s="2" t="n">
        <v>0</v>
      </c>
      <c r="DJ481" s="2" t="n">
        <v>60.56</v>
      </c>
      <c r="DK481" s="2" t="n">
        <v>60.59</v>
      </c>
      <c r="DL481" s="2" t="n">
        <v>0</v>
      </c>
      <c r="DM481" s="2" t="n">
        <v>67.95</v>
      </c>
      <c r="DN481" s="2" t="n">
        <v>65.94</v>
      </c>
      <c r="DO481" s="2" t="n">
        <v>0</v>
      </c>
      <c r="DP481" s="2" t="n">
        <v>80.36</v>
      </c>
      <c r="DQ481" s="2" t="n">
        <v>76.16</v>
      </c>
      <c r="DR481" s="2" t="n">
        <v>0</v>
      </c>
      <c r="DS481" s="2" t="n">
        <v>91.52</v>
      </c>
      <c r="DT481" s="2" t="n">
        <v>84.45999999999999</v>
      </c>
      <c r="DU481" s="2" t="n">
        <v>0</v>
      </c>
      <c r="DV481" s="2" t="n">
        <v>96.2</v>
      </c>
      <c r="DW481" s="2" t="n">
        <v>90.06999999999999</v>
      </c>
      <c r="DX481" s="2" t="n">
        <v>0</v>
      </c>
      <c r="DY481" s="2" t="n">
        <v>98.98999999999999</v>
      </c>
      <c r="DZ481" s="2" t="n">
        <v>93.86</v>
      </c>
      <c r="EA481" s="2" t="n">
        <v>0</v>
      </c>
      <c r="EB481" s="2" t="n">
        <v>100</v>
      </c>
      <c r="EC481" s="2" t="n">
        <v>99.44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  <c r="ET481" s="2" t="n">
        <v>100</v>
      </c>
      <c r="EU481" s="2" t="n">
        <v>100</v>
      </c>
      <c r="EV481" s="2" t="n">
        <v>0</v>
      </c>
      <c r="EW481" s="2" t="n">
        <v>100</v>
      </c>
      <c r="EX481" s="2" t="n">
        <v>100</v>
      </c>
      <c r="EY481" s="2" t="n">
        <v>0</v>
      </c>
      <c r="EZ481" s="2" t="n">
        <v>100</v>
      </c>
      <c r="FA481" s="2" t="n">
        <v>100</v>
      </c>
      <c r="FB481" s="2" t="n">
        <v>0</v>
      </c>
      <c r="FC481" s="2" t="n">
        <v>100</v>
      </c>
      <c r="FD481" s="2" t="n">
        <v>100</v>
      </c>
      <c r="FE481" s="2" t="n">
        <v>0</v>
      </c>
      <c r="FF481" s="2" t="n">
        <v>100</v>
      </c>
      <c r="FG481" s="2" t="n">
        <v>100</v>
      </c>
      <c r="FH481" s="2" t="n">
        <v>0</v>
      </c>
      <c r="FI481" s="2" t="n">
        <v>100</v>
      </c>
      <c r="FJ481" s="2" t="n">
        <v>100</v>
      </c>
      <c r="FK481" s="2" t="n">
        <v>0</v>
      </c>
      <c r="FL481" s="2" t="n">
        <v>100</v>
      </c>
      <c r="FM481" s="2" t="n">
        <v>100</v>
      </c>
      <c r="FN481" s="2" t="n">
        <v>0</v>
      </c>
      <c r="FO481" s="2" t="n">
        <v>100</v>
      </c>
      <c r="FP481" s="2" t="n">
        <v>100</v>
      </c>
      <c r="FQ481" s="2" t="n">
        <v>0</v>
      </c>
    </row>
    <row r="482">
      <c r="A482" s="2" t="n">
        <v>2</v>
      </c>
      <c r="B482" s="2" t="inlineStr">
        <is>
          <t>20.10</t>
        </is>
      </c>
      <c r="C482" s="2" t="inlineStr">
        <is>
          <t>Resina acrílica de alto desempenho com camadas de impermeabilizante rígido com consumo de 2,0kg/m2 e reforço com tela poliéster resinada malha 3x3mm e camadas de impermeabilizante flexível com consumo de 2,0kg/m2</t>
        </is>
      </c>
      <c r="D482" s="2" t="inlineStr">
        <is>
          <t>26/11/2026</t>
        </is>
      </c>
      <c r="E482" s="2" t="inlineStr">
        <is>
          <t>07/02/2028</t>
        </is>
      </c>
      <c r="F482" s="2" t="n">
        <v>289002.0876120449</v>
      </c>
      <c r="G482" s="2" t="n">
        <v>0</v>
      </c>
      <c r="H482" s="2" t="n">
        <v>289002.0876120449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0</v>
      </c>
      <c r="BP482" s="2" t="n">
        <v>0</v>
      </c>
      <c r="BQ482" s="2" t="n">
        <v>0</v>
      </c>
      <c r="BR482" s="2" t="n">
        <v>0</v>
      </c>
      <c r="BS482" s="2" t="n">
        <v>0</v>
      </c>
      <c r="BT482" s="2" t="n">
        <v>0</v>
      </c>
      <c r="BU482" s="2" t="n">
        <v>0</v>
      </c>
      <c r="BV482" s="2" t="n">
        <v>0</v>
      </c>
      <c r="BW482" s="2" t="n">
        <v>0</v>
      </c>
      <c r="BX482" s="2" t="n">
        <v>0</v>
      </c>
      <c r="BY482" s="2" t="n">
        <v>0</v>
      </c>
      <c r="BZ482" s="2" t="n">
        <v>0</v>
      </c>
      <c r="CA482" s="2" t="n">
        <v>0</v>
      </c>
      <c r="CB482" s="2" t="n">
        <v>0</v>
      </c>
      <c r="CC482" s="2" t="n">
        <v>0</v>
      </c>
      <c r="CD482" s="2" t="n">
        <v>0</v>
      </c>
      <c r="CE482" s="2" t="n">
        <v>0</v>
      </c>
      <c r="CF482" s="2" t="n">
        <v>0</v>
      </c>
      <c r="CG482" s="2" t="n">
        <v>0</v>
      </c>
      <c r="CH482" s="2" t="n">
        <v>0</v>
      </c>
      <c r="CI482" s="2" t="n">
        <v>0</v>
      </c>
      <c r="CJ482" s="2" t="n">
        <v>0</v>
      </c>
      <c r="CK482" s="2" t="n">
        <v>0</v>
      </c>
      <c r="CL482" s="2" t="n">
        <v>4.03</v>
      </c>
      <c r="CM482" s="2" t="n">
        <v>1.1</v>
      </c>
      <c r="CN482" s="2" t="n">
        <v>0</v>
      </c>
      <c r="CO482" s="2" t="n">
        <v>7.26</v>
      </c>
      <c r="CP482" s="2" t="n">
        <v>3.87</v>
      </c>
      <c r="CQ482" s="2" t="n">
        <v>0</v>
      </c>
      <c r="CR482" s="2" t="n">
        <v>14.9</v>
      </c>
      <c r="CS482" s="2" t="n">
        <v>9.199999999999999</v>
      </c>
      <c r="CT482" s="2" t="n">
        <v>0</v>
      </c>
      <c r="CU482" s="2" t="n">
        <v>16.62</v>
      </c>
      <c r="CV482" s="2" t="n">
        <v>15.76</v>
      </c>
      <c r="CW482" s="2" t="n">
        <v>0</v>
      </c>
      <c r="CX482" s="2" t="n">
        <v>21.56</v>
      </c>
      <c r="CY482" s="2" t="n">
        <v>20.39</v>
      </c>
      <c r="CZ482" s="2" t="n">
        <v>0</v>
      </c>
      <c r="DA482" s="2" t="n">
        <v>29.51</v>
      </c>
      <c r="DB482" s="2" t="n">
        <v>27.71</v>
      </c>
      <c r="DC482" s="2" t="n">
        <v>0</v>
      </c>
      <c r="DD482" s="2" t="n">
        <v>38.52</v>
      </c>
      <c r="DE482" s="2" t="n">
        <v>37.07</v>
      </c>
      <c r="DF482" s="2" t="n">
        <v>0</v>
      </c>
      <c r="DG482" s="2" t="n">
        <v>52.61</v>
      </c>
      <c r="DH482" s="2" t="n">
        <v>49.69</v>
      </c>
      <c r="DI482" s="2" t="n">
        <v>0</v>
      </c>
      <c r="DJ482" s="2" t="n">
        <v>60.56</v>
      </c>
      <c r="DK482" s="2" t="n">
        <v>60.59</v>
      </c>
      <c r="DL482" s="2" t="n">
        <v>0</v>
      </c>
      <c r="DM482" s="2" t="n">
        <v>67.95</v>
      </c>
      <c r="DN482" s="2" t="n">
        <v>65.94</v>
      </c>
      <c r="DO482" s="2" t="n">
        <v>0</v>
      </c>
      <c r="DP482" s="2" t="n">
        <v>80.36</v>
      </c>
      <c r="DQ482" s="2" t="n">
        <v>76.16</v>
      </c>
      <c r="DR482" s="2" t="n">
        <v>0</v>
      </c>
      <c r="DS482" s="2" t="n">
        <v>91.52</v>
      </c>
      <c r="DT482" s="2" t="n">
        <v>84.45999999999999</v>
      </c>
      <c r="DU482" s="2" t="n">
        <v>0</v>
      </c>
      <c r="DV482" s="2" t="n">
        <v>96.2</v>
      </c>
      <c r="DW482" s="2" t="n">
        <v>90.06999999999999</v>
      </c>
      <c r="DX482" s="2" t="n">
        <v>0</v>
      </c>
      <c r="DY482" s="2" t="n">
        <v>98.98999999999999</v>
      </c>
      <c r="DZ482" s="2" t="n">
        <v>93.86</v>
      </c>
      <c r="EA482" s="2" t="n">
        <v>0</v>
      </c>
      <c r="EB482" s="2" t="n">
        <v>100</v>
      </c>
      <c r="EC482" s="2" t="n">
        <v>99.44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  <c r="ET482" s="2" t="n">
        <v>100</v>
      </c>
      <c r="EU482" s="2" t="n">
        <v>100</v>
      </c>
      <c r="EV482" s="2" t="n">
        <v>0</v>
      </c>
      <c r="EW482" s="2" t="n">
        <v>100</v>
      </c>
      <c r="EX482" s="2" t="n">
        <v>100</v>
      </c>
      <c r="EY482" s="2" t="n">
        <v>0</v>
      </c>
      <c r="EZ482" s="2" t="n">
        <v>100</v>
      </c>
      <c r="FA482" s="2" t="n">
        <v>100</v>
      </c>
      <c r="FB482" s="2" t="n">
        <v>0</v>
      </c>
      <c r="FC482" s="2" t="n">
        <v>100</v>
      </c>
      <c r="FD482" s="2" t="n">
        <v>100</v>
      </c>
      <c r="FE482" s="2" t="n">
        <v>0</v>
      </c>
      <c r="FF482" s="2" t="n">
        <v>100</v>
      </c>
      <c r="FG482" s="2" t="n">
        <v>100</v>
      </c>
      <c r="FH482" s="2" t="n">
        <v>0</v>
      </c>
      <c r="FI482" s="2" t="n">
        <v>100</v>
      </c>
      <c r="FJ482" s="2" t="n">
        <v>100</v>
      </c>
      <c r="FK482" s="2" t="n">
        <v>0</v>
      </c>
      <c r="FL482" s="2" t="n">
        <v>100</v>
      </c>
      <c r="FM482" s="2" t="n">
        <v>100</v>
      </c>
      <c r="FN482" s="2" t="n">
        <v>0</v>
      </c>
      <c r="FO482" s="2" t="n">
        <v>100</v>
      </c>
      <c r="FP482" s="2" t="n">
        <v>100</v>
      </c>
      <c r="FQ482" s="2" t="n">
        <v>0</v>
      </c>
    </row>
    <row r="483">
      <c r="A483" s="2" t="n">
        <v>3</v>
      </c>
      <c r="B483" s="2" t="inlineStr">
        <is>
          <t>20.10.01</t>
        </is>
      </c>
      <c r="C483" s="2" t="inlineStr">
        <is>
          <t>Camada de regularização com argamassa de cimento e areia</t>
        </is>
      </c>
      <c r="D483" s="2" t="inlineStr">
        <is>
          <t>26/11/2026</t>
        </is>
      </c>
      <c r="E483" s="2" t="inlineStr">
        <is>
          <t>07/02/2028</t>
        </is>
      </c>
      <c r="F483" s="2" t="n">
        <v>38128.85385654912</v>
      </c>
      <c r="G483" s="2" t="n">
        <v>0</v>
      </c>
      <c r="H483" s="2" t="n">
        <v>38128.85385654912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0</v>
      </c>
      <c r="CD483" s="2" t="n">
        <v>0</v>
      </c>
      <c r="CE483" s="2" t="n">
        <v>0</v>
      </c>
      <c r="CF483" s="2" t="n">
        <v>0</v>
      </c>
      <c r="CG483" s="2" t="n">
        <v>0</v>
      </c>
      <c r="CH483" s="2" t="n">
        <v>0</v>
      </c>
      <c r="CI483" s="2" t="n">
        <v>0</v>
      </c>
      <c r="CJ483" s="2" t="n">
        <v>0</v>
      </c>
      <c r="CK483" s="2" t="n">
        <v>0</v>
      </c>
      <c r="CL483" s="2" t="n">
        <v>4.03</v>
      </c>
      <c r="CM483" s="2" t="n">
        <v>1.1</v>
      </c>
      <c r="CN483" s="2" t="n">
        <v>0</v>
      </c>
      <c r="CO483" s="2" t="n">
        <v>7.26</v>
      </c>
      <c r="CP483" s="2" t="n">
        <v>3.87</v>
      </c>
      <c r="CQ483" s="2" t="n">
        <v>0</v>
      </c>
      <c r="CR483" s="2" t="n">
        <v>14.9</v>
      </c>
      <c r="CS483" s="2" t="n">
        <v>9.199999999999999</v>
      </c>
      <c r="CT483" s="2" t="n">
        <v>0</v>
      </c>
      <c r="CU483" s="2" t="n">
        <v>16.62</v>
      </c>
      <c r="CV483" s="2" t="n">
        <v>15.76</v>
      </c>
      <c r="CW483" s="2" t="n">
        <v>0</v>
      </c>
      <c r="CX483" s="2" t="n">
        <v>21.56</v>
      </c>
      <c r="CY483" s="2" t="n">
        <v>20.39</v>
      </c>
      <c r="CZ483" s="2" t="n">
        <v>0</v>
      </c>
      <c r="DA483" s="2" t="n">
        <v>29.51</v>
      </c>
      <c r="DB483" s="2" t="n">
        <v>27.71</v>
      </c>
      <c r="DC483" s="2" t="n">
        <v>0</v>
      </c>
      <c r="DD483" s="2" t="n">
        <v>38.52</v>
      </c>
      <c r="DE483" s="2" t="n">
        <v>37.07</v>
      </c>
      <c r="DF483" s="2" t="n">
        <v>0</v>
      </c>
      <c r="DG483" s="2" t="n">
        <v>52.61</v>
      </c>
      <c r="DH483" s="2" t="n">
        <v>49.69</v>
      </c>
      <c r="DI483" s="2" t="n">
        <v>0</v>
      </c>
      <c r="DJ483" s="2" t="n">
        <v>60.56</v>
      </c>
      <c r="DK483" s="2" t="n">
        <v>60.59</v>
      </c>
      <c r="DL483" s="2" t="n">
        <v>0</v>
      </c>
      <c r="DM483" s="2" t="n">
        <v>67.95</v>
      </c>
      <c r="DN483" s="2" t="n">
        <v>65.94</v>
      </c>
      <c r="DO483" s="2" t="n">
        <v>0</v>
      </c>
      <c r="DP483" s="2" t="n">
        <v>80.36</v>
      </c>
      <c r="DQ483" s="2" t="n">
        <v>76.16</v>
      </c>
      <c r="DR483" s="2" t="n">
        <v>0</v>
      </c>
      <c r="DS483" s="2" t="n">
        <v>91.52</v>
      </c>
      <c r="DT483" s="2" t="n">
        <v>84.45999999999999</v>
      </c>
      <c r="DU483" s="2" t="n">
        <v>0</v>
      </c>
      <c r="DV483" s="2" t="n">
        <v>96.2</v>
      </c>
      <c r="DW483" s="2" t="n">
        <v>90.06999999999999</v>
      </c>
      <c r="DX483" s="2" t="n">
        <v>0</v>
      </c>
      <c r="DY483" s="2" t="n">
        <v>98.98999999999999</v>
      </c>
      <c r="DZ483" s="2" t="n">
        <v>93.86</v>
      </c>
      <c r="EA483" s="2" t="n">
        <v>0</v>
      </c>
      <c r="EB483" s="2" t="n">
        <v>100</v>
      </c>
      <c r="EC483" s="2" t="n">
        <v>99.44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  <c r="ET483" s="2" t="n">
        <v>100</v>
      </c>
      <c r="EU483" s="2" t="n">
        <v>100</v>
      </c>
      <c r="EV483" s="2" t="n">
        <v>0</v>
      </c>
      <c r="EW483" s="2" t="n">
        <v>100</v>
      </c>
      <c r="EX483" s="2" t="n">
        <v>100</v>
      </c>
      <c r="EY483" s="2" t="n">
        <v>0</v>
      </c>
      <c r="EZ483" s="2" t="n">
        <v>100</v>
      </c>
      <c r="FA483" s="2" t="n">
        <v>100</v>
      </c>
      <c r="FB483" s="2" t="n">
        <v>0</v>
      </c>
      <c r="FC483" s="2" t="n">
        <v>100</v>
      </c>
      <c r="FD483" s="2" t="n">
        <v>100</v>
      </c>
      <c r="FE483" s="2" t="n">
        <v>0</v>
      </c>
      <c r="FF483" s="2" t="n">
        <v>100</v>
      </c>
      <c r="FG483" s="2" t="n">
        <v>100</v>
      </c>
      <c r="FH483" s="2" t="n">
        <v>0</v>
      </c>
      <c r="FI483" s="2" t="n">
        <v>100</v>
      </c>
      <c r="FJ483" s="2" t="n">
        <v>100</v>
      </c>
      <c r="FK483" s="2" t="n">
        <v>0</v>
      </c>
      <c r="FL483" s="2" t="n">
        <v>100</v>
      </c>
      <c r="FM483" s="2" t="n">
        <v>100</v>
      </c>
      <c r="FN483" s="2" t="n">
        <v>0</v>
      </c>
      <c r="FO483" s="2" t="n">
        <v>100</v>
      </c>
      <c r="FP483" s="2" t="n">
        <v>100</v>
      </c>
      <c r="FQ483" s="2" t="n">
        <v>0</v>
      </c>
    </row>
    <row r="484">
      <c r="A484" s="2" t="n">
        <v>3</v>
      </c>
      <c r="B484" s="2" t="inlineStr">
        <is>
          <t>20.10.02</t>
        </is>
      </c>
      <c r="C484" s="2" t="inlineStr">
        <is>
          <t>Beiral</t>
        </is>
      </c>
      <c r="D484" s="2" t="inlineStr">
        <is>
          <t>26/11/2026</t>
        </is>
      </c>
      <c r="E484" s="2" t="inlineStr">
        <is>
          <t>07/02/2028</t>
        </is>
      </c>
      <c r="F484" s="2" t="n">
        <v>81486.7124</v>
      </c>
      <c r="G484" s="2" t="n">
        <v>0</v>
      </c>
      <c r="H484" s="2" t="n">
        <v>81486.7124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4.03</v>
      </c>
      <c r="CM484" s="2" t="n">
        <v>1.1</v>
      </c>
      <c r="CN484" s="2" t="n">
        <v>0</v>
      </c>
      <c r="CO484" s="2" t="n">
        <v>7.26</v>
      </c>
      <c r="CP484" s="2" t="n">
        <v>3.87</v>
      </c>
      <c r="CQ484" s="2" t="n">
        <v>0</v>
      </c>
      <c r="CR484" s="2" t="n">
        <v>14.9</v>
      </c>
      <c r="CS484" s="2" t="n">
        <v>9.199999999999999</v>
      </c>
      <c r="CT484" s="2" t="n">
        <v>0</v>
      </c>
      <c r="CU484" s="2" t="n">
        <v>16.62</v>
      </c>
      <c r="CV484" s="2" t="n">
        <v>15.76</v>
      </c>
      <c r="CW484" s="2" t="n">
        <v>0</v>
      </c>
      <c r="CX484" s="2" t="n">
        <v>21.56</v>
      </c>
      <c r="CY484" s="2" t="n">
        <v>20.39</v>
      </c>
      <c r="CZ484" s="2" t="n">
        <v>0</v>
      </c>
      <c r="DA484" s="2" t="n">
        <v>29.51</v>
      </c>
      <c r="DB484" s="2" t="n">
        <v>27.71</v>
      </c>
      <c r="DC484" s="2" t="n">
        <v>0</v>
      </c>
      <c r="DD484" s="2" t="n">
        <v>38.52</v>
      </c>
      <c r="DE484" s="2" t="n">
        <v>37.07</v>
      </c>
      <c r="DF484" s="2" t="n">
        <v>0</v>
      </c>
      <c r="DG484" s="2" t="n">
        <v>52.61</v>
      </c>
      <c r="DH484" s="2" t="n">
        <v>49.69</v>
      </c>
      <c r="DI484" s="2" t="n">
        <v>0</v>
      </c>
      <c r="DJ484" s="2" t="n">
        <v>60.56</v>
      </c>
      <c r="DK484" s="2" t="n">
        <v>60.59</v>
      </c>
      <c r="DL484" s="2" t="n">
        <v>0</v>
      </c>
      <c r="DM484" s="2" t="n">
        <v>67.95</v>
      </c>
      <c r="DN484" s="2" t="n">
        <v>65.94</v>
      </c>
      <c r="DO484" s="2" t="n">
        <v>0</v>
      </c>
      <c r="DP484" s="2" t="n">
        <v>80.36</v>
      </c>
      <c r="DQ484" s="2" t="n">
        <v>76.16</v>
      </c>
      <c r="DR484" s="2" t="n">
        <v>0</v>
      </c>
      <c r="DS484" s="2" t="n">
        <v>91.52</v>
      </c>
      <c r="DT484" s="2" t="n">
        <v>84.45999999999999</v>
      </c>
      <c r="DU484" s="2" t="n">
        <v>0</v>
      </c>
      <c r="DV484" s="2" t="n">
        <v>96.2</v>
      </c>
      <c r="DW484" s="2" t="n">
        <v>90.06999999999999</v>
      </c>
      <c r="DX484" s="2" t="n">
        <v>0</v>
      </c>
      <c r="DY484" s="2" t="n">
        <v>98.98999999999999</v>
      </c>
      <c r="DZ484" s="2" t="n">
        <v>93.86</v>
      </c>
      <c r="EA484" s="2" t="n">
        <v>0</v>
      </c>
      <c r="EB484" s="2" t="n">
        <v>100</v>
      </c>
      <c r="EC484" s="2" t="n">
        <v>99.44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  <c r="ET484" s="2" t="n">
        <v>100</v>
      </c>
      <c r="EU484" s="2" t="n">
        <v>100</v>
      </c>
      <c r="EV484" s="2" t="n">
        <v>0</v>
      </c>
      <c r="EW484" s="2" t="n">
        <v>100</v>
      </c>
      <c r="EX484" s="2" t="n">
        <v>100</v>
      </c>
      <c r="EY484" s="2" t="n">
        <v>0</v>
      </c>
      <c r="EZ484" s="2" t="n">
        <v>100</v>
      </c>
      <c r="FA484" s="2" t="n">
        <v>100</v>
      </c>
      <c r="FB484" s="2" t="n">
        <v>0</v>
      </c>
      <c r="FC484" s="2" t="n">
        <v>100</v>
      </c>
      <c r="FD484" s="2" t="n">
        <v>100</v>
      </c>
      <c r="FE484" s="2" t="n">
        <v>0</v>
      </c>
      <c r="FF484" s="2" t="n">
        <v>100</v>
      </c>
      <c r="FG484" s="2" t="n">
        <v>100</v>
      </c>
      <c r="FH484" s="2" t="n">
        <v>0</v>
      </c>
      <c r="FI484" s="2" t="n">
        <v>100</v>
      </c>
      <c r="FJ484" s="2" t="n">
        <v>100</v>
      </c>
      <c r="FK484" s="2" t="n">
        <v>0</v>
      </c>
      <c r="FL484" s="2" t="n">
        <v>100</v>
      </c>
      <c r="FM484" s="2" t="n">
        <v>100</v>
      </c>
      <c r="FN484" s="2" t="n">
        <v>0</v>
      </c>
      <c r="FO484" s="2" t="n">
        <v>100</v>
      </c>
      <c r="FP484" s="2" t="n">
        <v>100</v>
      </c>
      <c r="FQ484" s="2" t="n">
        <v>0</v>
      </c>
    </row>
    <row r="485">
      <c r="A485" s="2" t="n">
        <v>3</v>
      </c>
      <c r="B485" s="2" t="inlineStr">
        <is>
          <t>20.10.03</t>
        </is>
      </c>
      <c r="C485" s="2" t="inlineStr">
        <is>
          <t>Pingadeira em chapa galvanizada/ alumínio com aba de 5cm, fixada com parafuso/ bucha 6mm a cada 15cm</t>
        </is>
      </c>
      <c r="D485" s="2" t="inlineStr">
        <is>
          <t>26/11/2026</t>
        </is>
      </c>
      <c r="E485" s="2" t="inlineStr">
        <is>
          <t>07/02/2028</t>
        </is>
      </c>
      <c r="F485" s="2" t="n">
        <v>169386.5213554958</v>
      </c>
      <c r="G485" s="2" t="n">
        <v>0</v>
      </c>
      <c r="H485" s="2" t="n">
        <v>169386.5213554958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</v>
      </c>
      <c r="BY485" s="2" t="n">
        <v>0</v>
      </c>
      <c r="BZ485" s="2" t="n">
        <v>0</v>
      </c>
      <c r="CA485" s="2" t="n">
        <v>0</v>
      </c>
      <c r="CB485" s="2" t="n">
        <v>0</v>
      </c>
      <c r="CC485" s="2" t="n">
        <v>0</v>
      </c>
      <c r="CD485" s="2" t="n">
        <v>0</v>
      </c>
      <c r="CE485" s="2" t="n">
        <v>0</v>
      </c>
      <c r="CF485" s="2" t="n">
        <v>0</v>
      </c>
      <c r="CG485" s="2" t="n">
        <v>0</v>
      </c>
      <c r="CH485" s="2" t="n">
        <v>0</v>
      </c>
      <c r="CI485" s="2" t="n">
        <v>0</v>
      </c>
      <c r="CJ485" s="2" t="n">
        <v>0</v>
      </c>
      <c r="CK485" s="2" t="n">
        <v>0</v>
      </c>
      <c r="CL485" s="2" t="n">
        <v>4.03</v>
      </c>
      <c r="CM485" s="2" t="n">
        <v>1.1</v>
      </c>
      <c r="CN485" s="2" t="n">
        <v>0</v>
      </c>
      <c r="CO485" s="2" t="n">
        <v>7.26</v>
      </c>
      <c r="CP485" s="2" t="n">
        <v>3.87</v>
      </c>
      <c r="CQ485" s="2" t="n">
        <v>0</v>
      </c>
      <c r="CR485" s="2" t="n">
        <v>14.9</v>
      </c>
      <c r="CS485" s="2" t="n">
        <v>9.199999999999999</v>
      </c>
      <c r="CT485" s="2" t="n">
        <v>0</v>
      </c>
      <c r="CU485" s="2" t="n">
        <v>16.62</v>
      </c>
      <c r="CV485" s="2" t="n">
        <v>15.76</v>
      </c>
      <c r="CW485" s="2" t="n">
        <v>0</v>
      </c>
      <c r="CX485" s="2" t="n">
        <v>21.56</v>
      </c>
      <c r="CY485" s="2" t="n">
        <v>20.39</v>
      </c>
      <c r="CZ485" s="2" t="n">
        <v>0</v>
      </c>
      <c r="DA485" s="2" t="n">
        <v>29.51</v>
      </c>
      <c r="DB485" s="2" t="n">
        <v>27.71</v>
      </c>
      <c r="DC485" s="2" t="n">
        <v>0</v>
      </c>
      <c r="DD485" s="2" t="n">
        <v>38.52</v>
      </c>
      <c r="DE485" s="2" t="n">
        <v>37.07</v>
      </c>
      <c r="DF485" s="2" t="n">
        <v>0</v>
      </c>
      <c r="DG485" s="2" t="n">
        <v>52.61</v>
      </c>
      <c r="DH485" s="2" t="n">
        <v>49.69</v>
      </c>
      <c r="DI485" s="2" t="n">
        <v>0</v>
      </c>
      <c r="DJ485" s="2" t="n">
        <v>60.56</v>
      </c>
      <c r="DK485" s="2" t="n">
        <v>60.59</v>
      </c>
      <c r="DL485" s="2" t="n">
        <v>0</v>
      </c>
      <c r="DM485" s="2" t="n">
        <v>67.95</v>
      </c>
      <c r="DN485" s="2" t="n">
        <v>65.94</v>
      </c>
      <c r="DO485" s="2" t="n">
        <v>0</v>
      </c>
      <c r="DP485" s="2" t="n">
        <v>80.36</v>
      </c>
      <c r="DQ485" s="2" t="n">
        <v>76.16</v>
      </c>
      <c r="DR485" s="2" t="n">
        <v>0</v>
      </c>
      <c r="DS485" s="2" t="n">
        <v>91.52</v>
      </c>
      <c r="DT485" s="2" t="n">
        <v>84.45999999999999</v>
      </c>
      <c r="DU485" s="2" t="n">
        <v>0</v>
      </c>
      <c r="DV485" s="2" t="n">
        <v>96.2</v>
      </c>
      <c r="DW485" s="2" t="n">
        <v>90.06999999999999</v>
      </c>
      <c r="DX485" s="2" t="n">
        <v>0</v>
      </c>
      <c r="DY485" s="2" t="n">
        <v>98.98999999999999</v>
      </c>
      <c r="DZ485" s="2" t="n">
        <v>93.86</v>
      </c>
      <c r="EA485" s="2" t="n">
        <v>0</v>
      </c>
      <c r="EB485" s="2" t="n">
        <v>100</v>
      </c>
      <c r="EC485" s="2" t="n">
        <v>99.44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  <c r="ET485" s="2" t="n">
        <v>100</v>
      </c>
      <c r="EU485" s="2" t="n">
        <v>100</v>
      </c>
      <c r="EV485" s="2" t="n">
        <v>0</v>
      </c>
      <c r="EW485" s="2" t="n">
        <v>100</v>
      </c>
      <c r="EX485" s="2" t="n">
        <v>100</v>
      </c>
      <c r="EY485" s="2" t="n">
        <v>0</v>
      </c>
      <c r="EZ485" s="2" t="n">
        <v>100</v>
      </c>
      <c r="FA485" s="2" t="n">
        <v>100</v>
      </c>
      <c r="FB485" s="2" t="n">
        <v>0</v>
      </c>
      <c r="FC485" s="2" t="n">
        <v>100</v>
      </c>
      <c r="FD485" s="2" t="n">
        <v>100</v>
      </c>
      <c r="FE485" s="2" t="n">
        <v>0</v>
      </c>
      <c r="FF485" s="2" t="n">
        <v>100</v>
      </c>
      <c r="FG485" s="2" t="n">
        <v>100</v>
      </c>
      <c r="FH485" s="2" t="n">
        <v>0</v>
      </c>
      <c r="FI485" s="2" t="n">
        <v>100</v>
      </c>
      <c r="FJ485" s="2" t="n">
        <v>100</v>
      </c>
      <c r="FK485" s="2" t="n">
        <v>0</v>
      </c>
      <c r="FL485" s="2" t="n">
        <v>100</v>
      </c>
      <c r="FM485" s="2" t="n">
        <v>100</v>
      </c>
      <c r="FN485" s="2" t="n">
        <v>0</v>
      </c>
      <c r="FO485" s="2" t="n">
        <v>100</v>
      </c>
      <c r="FP485" s="2" t="n">
        <v>100</v>
      </c>
      <c r="FQ485" s="2" t="n">
        <v>0</v>
      </c>
    </row>
    <row r="486">
      <c r="A486" s="2" t="n">
        <v>2</v>
      </c>
      <c r="B486" s="2" t="inlineStr">
        <is>
          <t>20.11</t>
        </is>
      </c>
      <c r="C486" s="2" t="inlineStr">
        <is>
          <t>Argamassa flexível com fibras com consumo de 4,5kg/m2, estrututada com tela poliéster resinada malha de 3x3mm nas viradas de planos (nos rodapés e meia cana)</t>
        </is>
      </c>
      <c r="D486" s="2" t="inlineStr">
        <is>
          <t>26/11/2026</t>
        </is>
      </c>
      <c r="E486" s="2" t="inlineStr">
        <is>
          <t>07/02/2028</t>
        </is>
      </c>
      <c r="F486" s="2" t="n">
        <v>18248.58101300504</v>
      </c>
      <c r="G486" s="2" t="n">
        <v>0</v>
      </c>
      <c r="H486" s="2" t="n">
        <v>18248.58101300504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4.03</v>
      </c>
      <c r="CM486" s="2" t="n">
        <v>1.1</v>
      </c>
      <c r="CN486" s="2" t="n">
        <v>0</v>
      </c>
      <c r="CO486" s="2" t="n">
        <v>7.26</v>
      </c>
      <c r="CP486" s="2" t="n">
        <v>3.87</v>
      </c>
      <c r="CQ486" s="2" t="n">
        <v>0</v>
      </c>
      <c r="CR486" s="2" t="n">
        <v>14.9</v>
      </c>
      <c r="CS486" s="2" t="n">
        <v>9.199999999999999</v>
      </c>
      <c r="CT486" s="2" t="n">
        <v>0</v>
      </c>
      <c r="CU486" s="2" t="n">
        <v>16.62</v>
      </c>
      <c r="CV486" s="2" t="n">
        <v>15.76</v>
      </c>
      <c r="CW486" s="2" t="n">
        <v>0</v>
      </c>
      <c r="CX486" s="2" t="n">
        <v>21.56</v>
      </c>
      <c r="CY486" s="2" t="n">
        <v>20.39</v>
      </c>
      <c r="CZ486" s="2" t="n">
        <v>0</v>
      </c>
      <c r="DA486" s="2" t="n">
        <v>29.51</v>
      </c>
      <c r="DB486" s="2" t="n">
        <v>27.71</v>
      </c>
      <c r="DC486" s="2" t="n">
        <v>0</v>
      </c>
      <c r="DD486" s="2" t="n">
        <v>38.52</v>
      </c>
      <c r="DE486" s="2" t="n">
        <v>37.07</v>
      </c>
      <c r="DF486" s="2" t="n">
        <v>0</v>
      </c>
      <c r="DG486" s="2" t="n">
        <v>52.61</v>
      </c>
      <c r="DH486" s="2" t="n">
        <v>49.69</v>
      </c>
      <c r="DI486" s="2" t="n">
        <v>0</v>
      </c>
      <c r="DJ486" s="2" t="n">
        <v>60.56</v>
      </c>
      <c r="DK486" s="2" t="n">
        <v>60.59</v>
      </c>
      <c r="DL486" s="2" t="n">
        <v>0</v>
      </c>
      <c r="DM486" s="2" t="n">
        <v>67.95</v>
      </c>
      <c r="DN486" s="2" t="n">
        <v>65.94</v>
      </c>
      <c r="DO486" s="2" t="n">
        <v>0</v>
      </c>
      <c r="DP486" s="2" t="n">
        <v>80.36</v>
      </c>
      <c r="DQ486" s="2" t="n">
        <v>76.16</v>
      </c>
      <c r="DR486" s="2" t="n">
        <v>0</v>
      </c>
      <c r="DS486" s="2" t="n">
        <v>91.52</v>
      </c>
      <c r="DT486" s="2" t="n">
        <v>84.45999999999999</v>
      </c>
      <c r="DU486" s="2" t="n">
        <v>0</v>
      </c>
      <c r="DV486" s="2" t="n">
        <v>96.2</v>
      </c>
      <c r="DW486" s="2" t="n">
        <v>90.06999999999999</v>
      </c>
      <c r="DX486" s="2" t="n">
        <v>0</v>
      </c>
      <c r="DY486" s="2" t="n">
        <v>98.98999999999999</v>
      </c>
      <c r="DZ486" s="2" t="n">
        <v>93.86</v>
      </c>
      <c r="EA486" s="2" t="n">
        <v>0</v>
      </c>
      <c r="EB486" s="2" t="n">
        <v>100</v>
      </c>
      <c r="EC486" s="2" t="n">
        <v>99.44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  <c r="ET486" s="2" t="n">
        <v>100</v>
      </c>
      <c r="EU486" s="2" t="n">
        <v>100</v>
      </c>
      <c r="EV486" s="2" t="n">
        <v>0</v>
      </c>
      <c r="EW486" s="2" t="n">
        <v>100</v>
      </c>
      <c r="EX486" s="2" t="n">
        <v>100</v>
      </c>
      <c r="EY486" s="2" t="n">
        <v>0</v>
      </c>
      <c r="EZ486" s="2" t="n">
        <v>100</v>
      </c>
      <c r="FA486" s="2" t="n">
        <v>100</v>
      </c>
      <c r="FB486" s="2" t="n">
        <v>0</v>
      </c>
      <c r="FC486" s="2" t="n">
        <v>100</v>
      </c>
      <c r="FD486" s="2" t="n">
        <v>100</v>
      </c>
      <c r="FE486" s="2" t="n">
        <v>0</v>
      </c>
      <c r="FF486" s="2" t="n">
        <v>100</v>
      </c>
      <c r="FG486" s="2" t="n">
        <v>100</v>
      </c>
      <c r="FH486" s="2" t="n">
        <v>0</v>
      </c>
      <c r="FI486" s="2" t="n">
        <v>100</v>
      </c>
      <c r="FJ486" s="2" t="n">
        <v>100</v>
      </c>
      <c r="FK486" s="2" t="n">
        <v>0</v>
      </c>
      <c r="FL486" s="2" t="n">
        <v>100</v>
      </c>
      <c r="FM486" s="2" t="n">
        <v>100</v>
      </c>
      <c r="FN486" s="2" t="n">
        <v>0</v>
      </c>
      <c r="FO486" s="2" t="n">
        <v>100</v>
      </c>
      <c r="FP486" s="2" t="n">
        <v>100</v>
      </c>
      <c r="FQ486" s="2" t="n">
        <v>0</v>
      </c>
    </row>
    <row r="487">
      <c r="A487" s="2" t="n">
        <v>3</v>
      </c>
      <c r="B487" s="2" t="inlineStr">
        <is>
          <t>20.11.01</t>
        </is>
      </c>
      <c r="C487" s="2" t="inlineStr">
        <is>
          <t>Recuperação estrutural: Eliminar falhas, rebarbas e brocas.</t>
        </is>
      </c>
      <c r="D487" s="2" t="inlineStr">
        <is>
          <t>26/11/2026</t>
        </is>
      </c>
      <c r="E487" s="2" t="inlineStr">
        <is>
          <t>07/02/2028</t>
        </is>
      </c>
      <c r="F487" s="2" t="n">
        <v>5367.77762125</v>
      </c>
      <c r="G487" s="2" t="n">
        <v>0</v>
      </c>
      <c r="H487" s="2" t="n">
        <v>5367.77762125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</v>
      </c>
      <c r="BY487" s="2" t="n">
        <v>0</v>
      </c>
      <c r="BZ487" s="2" t="n">
        <v>0</v>
      </c>
      <c r="CA487" s="2" t="n">
        <v>0</v>
      </c>
      <c r="CB487" s="2" t="n">
        <v>0</v>
      </c>
      <c r="CC487" s="2" t="n">
        <v>0</v>
      </c>
      <c r="CD487" s="2" t="n">
        <v>0</v>
      </c>
      <c r="CE487" s="2" t="n">
        <v>0</v>
      </c>
      <c r="CF487" s="2" t="n">
        <v>0</v>
      </c>
      <c r="CG487" s="2" t="n">
        <v>0</v>
      </c>
      <c r="CH487" s="2" t="n">
        <v>0</v>
      </c>
      <c r="CI487" s="2" t="n">
        <v>0</v>
      </c>
      <c r="CJ487" s="2" t="n">
        <v>0</v>
      </c>
      <c r="CK487" s="2" t="n">
        <v>0</v>
      </c>
      <c r="CL487" s="2" t="n">
        <v>4.03</v>
      </c>
      <c r="CM487" s="2" t="n">
        <v>1.1</v>
      </c>
      <c r="CN487" s="2" t="n">
        <v>0</v>
      </c>
      <c r="CO487" s="2" t="n">
        <v>7.26</v>
      </c>
      <c r="CP487" s="2" t="n">
        <v>3.87</v>
      </c>
      <c r="CQ487" s="2" t="n">
        <v>0</v>
      </c>
      <c r="CR487" s="2" t="n">
        <v>14.9</v>
      </c>
      <c r="CS487" s="2" t="n">
        <v>9.199999999999999</v>
      </c>
      <c r="CT487" s="2" t="n">
        <v>0</v>
      </c>
      <c r="CU487" s="2" t="n">
        <v>16.62</v>
      </c>
      <c r="CV487" s="2" t="n">
        <v>15.76</v>
      </c>
      <c r="CW487" s="2" t="n">
        <v>0</v>
      </c>
      <c r="CX487" s="2" t="n">
        <v>21.56</v>
      </c>
      <c r="CY487" s="2" t="n">
        <v>20.39</v>
      </c>
      <c r="CZ487" s="2" t="n">
        <v>0</v>
      </c>
      <c r="DA487" s="2" t="n">
        <v>29.51</v>
      </c>
      <c r="DB487" s="2" t="n">
        <v>27.71</v>
      </c>
      <c r="DC487" s="2" t="n">
        <v>0</v>
      </c>
      <c r="DD487" s="2" t="n">
        <v>38.52</v>
      </c>
      <c r="DE487" s="2" t="n">
        <v>37.07</v>
      </c>
      <c r="DF487" s="2" t="n">
        <v>0</v>
      </c>
      <c r="DG487" s="2" t="n">
        <v>52.61</v>
      </c>
      <c r="DH487" s="2" t="n">
        <v>49.69</v>
      </c>
      <c r="DI487" s="2" t="n">
        <v>0</v>
      </c>
      <c r="DJ487" s="2" t="n">
        <v>60.56</v>
      </c>
      <c r="DK487" s="2" t="n">
        <v>60.59</v>
      </c>
      <c r="DL487" s="2" t="n">
        <v>0</v>
      </c>
      <c r="DM487" s="2" t="n">
        <v>67.95</v>
      </c>
      <c r="DN487" s="2" t="n">
        <v>65.94</v>
      </c>
      <c r="DO487" s="2" t="n">
        <v>0</v>
      </c>
      <c r="DP487" s="2" t="n">
        <v>80.36</v>
      </c>
      <c r="DQ487" s="2" t="n">
        <v>76.16</v>
      </c>
      <c r="DR487" s="2" t="n">
        <v>0</v>
      </c>
      <c r="DS487" s="2" t="n">
        <v>91.52</v>
      </c>
      <c r="DT487" s="2" t="n">
        <v>84.45999999999999</v>
      </c>
      <c r="DU487" s="2" t="n">
        <v>0</v>
      </c>
      <c r="DV487" s="2" t="n">
        <v>96.2</v>
      </c>
      <c r="DW487" s="2" t="n">
        <v>90.06999999999999</v>
      </c>
      <c r="DX487" s="2" t="n">
        <v>0</v>
      </c>
      <c r="DY487" s="2" t="n">
        <v>98.98999999999999</v>
      </c>
      <c r="DZ487" s="2" t="n">
        <v>93.86</v>
      </c>
      <c r="EA487" s="2" t="n">
        <v>0</v>
      </c>
      <c r="EB487" s="2" t="n">
        <v>100</v>
      </c>
      <c r="EC487" s="2" t="n">
        <v>99.44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  <c r="ET487" s="2" t="n">
        <v>100</v>
      </c>
      <c r="EU487" s="2" t="n">
        <v>100</v>
      </c>
      <c r="EV487" s="2" t="n">
        <v>0</v>
      </c>
      <c r="EW487" s="2" t="n">
        <v>100</v>
      </c>
      <c r="EX487" s="2" t="n">
        <v>100</v>
      </c>
      <c r="EY487" s="2" t="n">
        <v>0</v>
      </c>
      <c r="EZ487" s="2" t="n">
        <v>100</v>
      </c>
      <c r="FA487" s="2" t="n">
        <v>100</v>
      </c>
      <c r="FB487" s="2" t="n">
        <v>0</v>
      </c>
      <c r="FC487" s="2" t="n">
        <v>100</v>
      </c>
      <c r="FD487" s="2" t="n">
        <v>100</v>
      </c>
      <c r="FE487" s="2" t="n">
        <v>0</v>
      </c>
      <c r="FF487" s="2" t="n">
        <v>100</v>
      </c>
      <c r="FG487" s="2" t="n">
        <v>100</v>
      </c>
      <c r="FH487" s="2" t="n">
        <v>0</v>
      </c>
      <c r="FI487" s="2" t="n">
        <v>100</v>
      </c>
      <c r="FJ487" s="2" t="n">
        <v>100</v>
      </c>
      <c r="FK487" s="2" t="n">
        <v>0</v>
      </c>
      <c r="FL487" s="2" t="n">
        <v>100</v>
      </c>
      <c r="FM487" s="2" t="n">
        <v>100</v>
      </c>
      <c r="FN487" s="2" t="n">
        <v>0</v>
      </c>
      <c r="FO487" s="2" t="n">
        <v>100</v>
      </c>
      <c r="FP487" s="2" t="n">
        <v>100</v>
      </c>
      <c r="FQ487" s="2" t="n">
        <v>0</v>
      </c>
    </row>
    <row r="488">
      <c r="A488" s="2" t="n">
        <v>3</v>
      </c>
      <c r="B488" s="2" t="inlineStr">
        <is>
          <t>20.11.02</t>
        </is>
      </c>
      <c r="C488" s="2" t="inlineStr">
        <is>
          <t>Proteção mecânica armada com tela galvanizada, fio 22, malha 1", (Apenas no piso e rodapé para evitardanos ao sistema de impermeabilização, caso seja usada alguma escada para acesso ao fundo)</t>
        </is>
      </c>
      <c r="D488" s="2" t="inlineStr">
        <is>
          <t>26/11/2026</t>
        </is>
      </c>
      <c r="E488" s="2" t="inlineStr">
        <is>
          <t>07/02/2028</t>
        </is>
      </c>
      <c r="F488" s="2" t="n">
        <v>4692.526575000001</v>
      </c>
      <c r="G488" s="2" t="n">
        <v>0</v>
      </c>
      <c r="H488" s="2" t="n">
        <v>4692.526575000001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</v>
      </c>
      <c r="BY488" s="2" t="n">
        <v>0</v>
      </c>
      <c r="BZ488" s="2" t="n">
        <v>0</v>
      </c>
      <c r="CA488" s="2" t="n">
        <v>0</v>
      </c>
      <c r="CB488" s="2" t="n">
        <v>0</v>
      </c>
      <c r="CC488" s="2" t="n">
        <v>0</v>
      </c>
      <c r="CD488" s="2" t="n">
        <v>0</v>
      </c>
      <c r="CE488" s="2" t="n">
        <v>0</v>
      </c>
      <c r="CF488" s="2" t="n">
        <v>0</v>
      </c>
      <c r="CG488" s="2" t="n">
        <v>0</v>
      </c>
      <c r="CH488" s="2" t="n">
        <v>0</v>
      </c>
      <c r="CI488" s="2" t="n">
        <v>0</v>
      </c>
      <c r="CJ488" s="2" t="n">
        <v>0</v>
      </c>
      <c r="CK488" s="2" t="n">
        <v>0</v>
      </c>
      <c r="CL488" s="2" t="n">
        <v>4.03</v>
      </c>
      <c r="CM488" s="2" t="n">
        <v>1.1</v>
      </c>
      <c r="CN488" s="2" t="n">
        <v>0</v>
      </c>
      <c r="CO488" s="2" t="n">
        <v>7.26</v>
      </c>
      <c r="CP488" s="2" t="n">
        <v>3.87</v>
      </c>
      <c r="CQ488" s="2" t="n">
        <v>0</v>
      </c>
      <c r="CR488" s="2" t="n">
        <v>14.9</v>
      </c>
      <c r="CS488" s="2" t="n">
        <v>9.199999999999999</v>
      </c>
      <c r="CT488" s="2" t="n">
        <v>0</v>
      </c>
      <c r="CU488" s="2" t="n">
        <v>16.62</v>
      </c>
      <c r="CV488" s="2" t="n">
        <v>15.76</v>
      </c>
      <c r="CW488" s="2" t="n">
        <v>0</v>
      </c>
      <c r="CX488" s="2" t="n">
        <v>21.56</v>
      </c>
      <c r="CY488" s="2" t="n">
        <v>20.39</v>
      </c>
      <c r="CZ488" s="2" t="n">
        <v>0</v>
      </c>
      <c r="DA488" s="2" t="n">
        <v>29.51</v>
      </c>
      <c r="DB488" s="2" t="n">
        <v>27.71</v>
      </c>
      <c r="DC488" s="2" t="n">
        <v>0</v>
      </c>
      <c r="DD488" s="2" t="n">
        <v>38.52</v>
      </c>
      <c r="DE488" s="2" t="n">
        <v>37.07</v>
      </c>
      <c r="DF488" s="2" t="n">
        <v>0</v>
      </c>
      <c r="DG488" s="2" t="n">
        <v>52.61</v>
      </c>
      <c r="DH488" s="2" t="n">
        <v>49.69</v>
      </c>
      <c r="DI488" s="2" t="n">
        <v>0</v>
      </c>
      <c r="DJ488" s="2" t="n">
        <v>60.56</v>
      </c>
      <c r="DK488" s="2" t="n">
        <v>60.59</v>
      </c>
      <c r="DL488" s="2" t="n">
        <v>0</v>
      </c>
      <c r="DM488" s="2" t="n">
        <v>67.95</v>
      </c>
      <c r="DN488" s="2" t="n">
        <v>65.94</v>
      </c>
      <c r="DO488" s="2" t="n">
        <v>0</v>
      </c>
      <c r="DP488" s="2" t="n">
        <v>80.36</v>
      </c>
      <c r="DQ488" s="2" t="n">
        <v>76.16</v>
      </c>
      <c r="DR488" s="2" t="n">
        <v>0</v>
      </c>
      <c r="DS488" s="2" t="n">
        <v>91.52</v>
      </c>
      <c r="DT488" s="2" t="n">
        <v>84.45999999999999</v>
      </c>
      <c r="DU488" s="2" t="n">
        <v>0</v>
      </c>
      <c r="DV488" s="2" t="n">
        <v>96.2</v>
      </c>
      <c r="DW488" s="2" t="n">
        <v>90.06999999999999</v>
      </c>
      <c r="DX488" s="2" t="n">
        <v>0</v>
      </c>
      <c r="DY488" s="2" t="n">
        <v>98.98999999999999</v>
      </c>
      <c r="DZ488" s="2" t="n">
        <v>93.86</v>
      </c>
      <c r="EA488" s="2" t="n">
        <v>0</v>
      </c>
      <c r="EB488" s="2" t="n">
        <v>100</v>
      </c>
      <c r="EC488" s="2" t="n">
        <v>99.44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  <c r="ET488" s="2" t="n">
        <v>100</v>
      </c>
      <c r="EU488" s="2" t="n">
        <v>100</v>
      </c>
      <c r="EV488" s="2" t="n">
        <v>0</v>
      </c>
      <c r="EW488" s="2" t="n">
        <v>100</v>
      </c>
      <c r="EX488" s="2" t="n">
        <v>100</v>
      </c>
      <c r="EY488" s="2" t="n">
        <v>0</v>
      </c>
      <c r="EZ488" s="2" t="n">
        <v>100</v>
      </c>
      <c r="FA488" s="2" t="n">
        <v>100</v>
      </c>
      <c r="FB488" s="2" t="n">
        <v>0</v>
      </c>
      <c r="FC488" s="2" t="n">
        <v>100</v>
      </c>
      <c r="FD488" s="2" t="n">
        <v>100</v>
      </c>
      <c r="FE488" s="2" t="n">
        <v>0</v>
      </c>
      <c r="FF488" s="2" t="n">
        <v>100</v>
      </c>
      <c r="FG488" s="2" t="n">
        <v>100</v>
      </c>
      <c r="FH488" s="2" t="n">
        <v>0</v>
      </c>
      <c r="FI488" s="2" t="n">
        <v>100</v>
      </c>
      <c r="FJ488" s="2" t="n">
        <v>100</v>
      </c>
      <c r="FK488" s="2" t="n">
        <v>0</v>
      </c>
      <c r="FL488" s="2" t="n">
        <v>100</v>
      </c>
      <c r="FM488" s="2" t="n">
        <v>100</v>
      </c>
      <c r="FN488" s="2" t="n">
        <v>0</v>
      </c>
      <c r="FO488" s="2" t="n">
        <v>100</v>
      </c>
      <c r="FP488" s="2" t="n">
        <v>100</v>
      </c>
      <c r="FQ488" s="2" t="n">
        <v>0</v>
      </c>
    </row>
    <row r="489">
      <c r="A489" s="2" t="n">
        <v>3</v>
      </c>
      <c r="B489" s="2" t="inlineStr">
        <is>
          <t>20.11.03</t>
        </is>
      </c>
      <c r="C489" s="2" t="inlineStr">
        <is>
          <t>Meia cana 5x5/ Reforço de canto com argamassa epoxídica (mistura de 1 traço de epóxi com 2de areia seca)</t>
        </is>
      </c>
      <c r="D489" s="2" t="inlineStr">
        <is>
          <t>26/11/2026</t>
        </is>
      </c>
      <c r="E489" s="2" t="inlineStr">
        <is>
          <t>07/02/2028</t>
        </is>
      </c>
      <c r="F489" s="2" t="n">
        <v>863.6624999999999</v>
      </c>
      <c r="G489" s="2" t="n">
        <v>0</v>
      </c>
      <c r="H489" s="2" t="n">
        <v>863.6624999999999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4.03</v>
      </c>
      <c r="CM489" s="2" t="n">
        <v>1.1</v>
      </c>
      <c r="CN489" s="2" t="n">
        <v>0</v>
      </c>
      <c r="CO489" s="2" t="n">
        <v>7.26</v>
      </c>
      <c r="CP489" s="2" t="n">
        <v>3.87</v>
      </c>
      <c r="CQ489" s="2" t="n">
        <v>0</v>
      </c>
      <c r="CR489" s="2" t="n">
        <v>14.9</v>
      </c>
      <c r="CS489" s="2" t="n">
        <v>9.199999999999999</v>
      </c>
      <c r="CT489" s="2" t="n">
        <v>0</v>
      </c>
      <c r="CU489" s="2" t="n">
        <v>16.62</v>
      </c>
      <c r="CV489" s="2" t="n">
        <v>15.76</v>
      </c>
      <c r="CW489" s="2" t="n">
        <v>0</v>
      </c>
      <c r="CX489" s="2" t="n">
        <v>21.56</v>
      </c>
      <c r="CY489" s="2" t="n">
        <v>20.39</v>
      </c>
      <c r="CZ489" s="2" t="n">
        <v>0</v>
      </c>
      <c r="DA489" s="2" t="n">
        <v>29.51</v>
      </c>
      <c r="DB489" s="2" t="n">
        <v>27.71</v>
      </c>
      <c r="DC489" s="2" t="n">
        <v>0</v>
      </c>
      <c r="DD489" s="2" t="n">
        <v>38.52</v>
      </c>
      <c r="DE489" s="2" t="n">
        <v>37.07</v>
      </c>
      <c r="DF489" s="2" t="n">
        <v>0</v>
      </c>
      <c r="DG489" s="2" t="n">
        <v>52.61</v>
      </c>
      <c r="DH489" s="2" t="n">
        <v>49.69</v>
      </c>
      <c r="DI489" s="2" t="n">
        <v>0</v>
      </c>
      <c r="DJ489" s="2" t="n">
        <v>60.56</v>
      </c>
      <c r="DK489" s="2" t="n">
        <v>60.59</v>
      </c>
      <c r="DL489" s="2" t="n">
        <v>0</v>
      </c>
      <c r="DM489" s="2" t="n">
        <v>67.95</v>
      </c>
      <c r="DN489" s="2" t="n">
        <v>65.94</v>
      </c>
      <c r="DO489" s="2" t="n">
        <v>0</v>
      </c>
      <c r="DP489" s="2" t="n">
        <v>80.36</v>
      </c>
      <c r="DQ489" s="2" t="n">
        <v>76.16</v>
      </c>
      <c r="DR489" s="2" t="n">
        <v>0</v>
      </c>
      <c r="DS489" s="2" t="n">
        <v>91.52</v>
      </c>
      <c r="DT489" s="2" t="n">
        <v>84.45999999999999</v>
      </c>
      <c r="DU489" s="2" t="n">
        <v>0</v>
      </c>
      <c r="DV489" s="2" t="n">
        <v>96.2</v>
      </c>
      <c r="DW489" s="2" t="n">
        <v>90.06999999999999</v>
      </c>
      <c r="DX489" s="2" t="n">
        <v>0</v>
      </c>
      <c r="DY489" s="2" t="n">
        <v>98.98999999999999</v>
      </c>
      <c r="DZ489" s="2" t="n">
        <v>93.86</v>
      </c>
      <c r="EA489" s="2" t="n">
        <v>0</v>
      </c>
      <c r="EB489" s="2" t="n">
        <v>100</v>
      </c>
      <c r="EC489" s="2" t="n">
        <v>99.44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  <c r="ET489" s="2" t="n">
        <v>100</v>
      </c>
      <c r="EU489" s="2" t="n">
        <v>100</v>
      </c>
      <c r="EV489" s="2" t="n">
        <v>0</v>
      </c>
      <c r="EW489" s="2" t="n">
        <v>100</v>
      </c>
      <c r="EX489" s="2" t="n">
        <v>100</v>
      </c>
      <c r="EY489" s="2" t="n">
        <v>0</v>
      </c>
      <c r="EZ489" s="2" t="n">
        <v>100</v>
      </c>
      <c r="FA489" s="2" t="n">
        <v>100</v>
      </c>
      <c r="FB489" s="2" t="n">
        <v>0</v>
      </c>
      <c r="FC489" s="2" t="n">
        <v>100</v>
      </c>
      <c r="FD489" s="2" t="n">
        <v>100</v>
      </c>
      <c r="FE489" s="2" t="n">
        <v>0</v>
      </c>
      <c r="FF489" s="2" t="n">
        <v>100</v>
      </c>
      <c r="FG489" s="2" t="n">
        <v>100</v>
      </c>
      <c r="FH489" s="2" t="n">
        <v>0</v>
      </c>
      <c r="FI489" s="2" t="n">
        <v>100</v>
      </c>
      <c r="FJ489" s="2" t="n">
        <v>100</v>
      </c>
      <c r="FK489" s="2" t="n">
        <v>0</v>
      </c>
      <c r="FL489" s="2" t="n">
        <v>100</v>
      </c>
      <c r="FM489" s="2" t="n">
        <v>100</v>
      </c>
      <c r="FN489" s="2" t="n">
        <v>0</v>
      </c>
      <c r="FO489" s="2" t="n">
        <v>100</v>
      </c>
      <c r="FP489" s="2" t="n">
        <v>100</v>
      </c>
      <c r="FQ489" s="2" t="n">
        <v>0</v>
      </c>
    </row>
    <row r="490">
      <c r="A490" s="2" t="n">
        <v>3</v>
      </c>
      <c r="B490" s="2" t="inlineStr">
        <is>
          <t>20.11.04</t>
        </is>
      </c>
      <c r="C490" s="2" t="inlineStr">
        <is>
          <t>Reservatório</t>
        </is>
      </c>
      <c r="D490" s="2" t="inlineStr">
        <is>
          <t>26/11/2026</t>
        </is>
      </c>
      <c r="E490" s="2" t="inlineStr">
        <is>
          <t>07/02/2028</t>
        </is>
      </c>
      <c r="F490" s="2" t="n">
        <v>7124.50484275</v>
      </c>
      <c r="G490" s="2" t="n">
        <v>0</v>
      </c>
      <c r="H490" s="2" t="n">
        <v>7124.50484275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4.03</v>
      </c>
      <c r="CM490" s="2" t="n">
        <v>1.1</v>
      </c>
      <c r="CN490" s="2" t="n">
        <v>0</v>
      </c>
      <c r="CO490" s="2" t="n">
        <v>7.26</v>
      </c>
      <c r="CP490" s="2" t="n">
        <v>3.87</v>
      </c>
      <c r="CQ490" s="2" t="n">
        <v>0</v>
      </c>
      <c r="CR490" s="2" t="n">
        <v>14.9</v>
      </c>
      <c r="CS490" s="2" t="n">
        <v>9.199999999999999</v>
      </c>
      <c r="CT490" s="2" t="n">
        <v>0</v>
      </c>
      <c r="CU490" s="2" t="n">
        <v>16.62</v>
      </c>
      <c r="CV490" s="2" t="n">
        <v>15.76</v>
      </c>
      <c r="CW490" s="2" t="n">
        <v>0</v>
      </c>
      <c r="CX490" s="2" t="n">
        <v>21.56</v>
      </c>
      <c r="CY490" s="2" t="n">
        <v>20.39</v>
      </c>
      <c r="CZ490" s="2" t="n">
        <v>0</v>
      </c>
      <c r="DA490" s="2" t="n">
        <v>29.51</v>
      </c>
      <c r="DB490" s="2" t="n">
        <v>27.71</v>
      </c>
      <c r="DC490" s="2" t="n">
        <v>0</v>
      </c>
      <c r="DD490" s="2" t="n">
        <v>38.52</v>
      </c>
      <c r="DE490" s="2" t="n">
        <v>37.07</v>
      </c>
      <c r="DF490" s="2" t="n">
        <v>0</v>
      </c>
      <c r="DG490" s="2" t="n">
        <v>52.61</v>
      </c>
      <c r="DH490" s="2" t="n">
        <v>49.69</v>
      </c>
      <c r="DI490" s="2" t="n">
        <v>0</v>
      </c>
      <c r="DJ490" s="2" t="n">
        <v>60.56</v>
      </c>
      <c r="DK490" s="2" t="n">
        <v>60.59</v>
      </c>
      <c r="DL490" s="2" t="n">
        <v>0</v>
      </c>
      <c r="DM490" s="2" t="n">
        <v>67.95</v>
      </c>
      <c r="DN490" s="2" t="n">
        <v>65.94</v>
      </c>
      <c r="DO490" s="2" t="n">
        <v>0</v>
      </c>
      <c r="DP490" s="2" t="n">
        <v>80.36</v>
      </c>
      <c r="DQ490" s="2" t="n">
        <v>76.16</v>
      </c>
      <c r="DR490" s="2" t="n">
        <v>0</v>
      </c>
      <c r="DS490" s="2" t="n">
        <v>91.52</v>
      </c>
      <c r="DT490" s="2" t="n">
        <v>84.45999999999999</v>
      </c>
      <c r="DU490" s="2" t="n">
        <v>0</v>
      </c>
      <c r="DV490" s="2" t="n">
        <v>96.2</v>
      </c>
      <c r="DW490" s="2" t="n">
        <v>90.06999999999999</v>
      </c>
      <c r="DX490" s="2" t="n">
        <v>0</v>
      </c>
      <c r="DY490" s="2" t="n">
        <v>98.98999999999999</v>
      </c>
      <c r="DZ490" s="2" t="n">
        <v>93.86</v>
      </c>
      <c r="EA490" s="2" t="n">
        <v>0</v>
      </c>
      <c r="EB490" s="2" t="n">
        <v>100</v>
      </c>
      <c r="EC490" s="2" t="n">
        <v>99.44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  <c r="ET490" s="2" t="n">
        <v>100</v>
      </c>
      <c r="EU490" s="2" t="n">
        <v>100</v>
      </c>
      <c r="EV490" s="2" t="n">
        <v>0</v>
      </c>
      <c r="EW490" s="2" t="n">
        <v>100</v>
      </c>
      <c r="EX490" s="2" t="n">
        <v>100</v>
      </c>
      <c r="EY490" s="2" t="n">
        <v>0</v>
      </c>
      <c r="EZ490" s="2" t="n">
        <v>100</v>
      </c>
      <c r="FA490" s="2" t="n">
        <v>100</v>
      </c>
      <c r="FB490" s="2" t="n">
        <v>0</v>
      </c>
      <c r="FC490" s="2" t="n">
        <v>100</v>
      </c>
      <c r="FD490" s="2" t="n">
        <v>100</v>
      </c>
      <c r="FE490" s="2" t="n">
        <v>0</v>
      </c>
      <c r="FF490" s="2" t="n">
        <v>100</v>
      </c>
      <c r="FG490" s="2" t="n">
        <v>100</v>
      </c>
      <c r="FH490" s="2" t="n">
        <v>0</v>
      </c>
      <c r="FI490" s="2" t="n">
        <v>100</v>
      </c>
      <c r="FJ490" s="2" t="n">
        <v>100</v>
      </c>
      <c r="FK490" s="2" t="n">
        <v>0</v>
      </c>
      <c r="FL490" s="2" t="n">
        <v>100</v>
      </c>
      <c r="FM490" s="2" t="n">
        <v>100</v>
      </c>
      <c r="FN490" s="2" t="n">
        <v>0</v>
      </c>
      <c r="FO490" s="2" t="n">
        <v>100</v>
      </c>
      <c r="FP490" s="2" t="n">
        <v>100</v>
      </c>
      <c r="FQ490" s="2" t="n">
        <v>0</v>
      </c>
    </row>
    <row r="491">
      <c r="A491" s="2" t="n">
        <v>3</v>
      </c>
      <c r="B491" s="2" t="inlineStr">
        <is>
          <t>20.11.05</t>
        </is>
      </c>
      <c r="C491" s="2" t="inlineStr">
        <is>
          <t>Impermabilização de ralos</t>
        </is>
      </c>
      <c r="D491" s="2" t="inlineStr">
        <is>
          <t>26/11/2026</t>
        </is>
      </c>
      <c r="E491" s="2" t="inlineStr">
        <is>
          <t>07/02/2028</t>
        </is>
      </c>
      <c r="F491" s="2" t="n">
        <v>200.109474005038</v>
      </c>
      <c r="G491" s="2" t="n">
        <v>0</v>
      </c>
      <c r="H491" s="2" t="n">
        <v>200.109474005038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4.03</v>
      </c>
      <c r="CM491" s="2" t="n">
        <v>1.1</v>
      </c>
      <c r="CN491" s="2" t="n">
        <v>0</v>
      </c>
      <c r="CO491" s="2" t="n">
        <v>7.26</v>
      </c>
      <c r="CP491" s="2" t="n">
        <v>3.87</v>
      </c>
      <c r="CQ491" s="2" t="n">
        <v>0</v>
      </c>
      <c r="CR491" s="2" t="n">
        <v>14.9</v>
      </c>
      <c r="CS491" s="2" t="n">
        <v>9.199999999999999</v>
      </c>
      <c r="CT491" s="2" t="n">
        <v>0</v>
      </c>
      <c r="CU491" s="2" t="n">
        <v>16.62</v>
      </c>
      <c r="CV491" s="2" t="n">
        <v>15.76</v>
      </c>
      <c r="CW491" s="2" t="n">
        <v>0</v>
      </c>
      <c r="CX491" s="2" t="n">
        <v>21.56</v>
      </c>
      <c r="CY491" s="2" t="n">
        <v>20.39</v>
      </c>
      <c r="CZ491" s="2" t="n">
        <v>0</v>
      </c>
      <c r="DA491" s="2" t="n">
        <v>29.51</v>
      </c>
      <c r="DB491" s="2" t="n">
        <v>27.71</v>
      </c>
      <c r="DC491" s="2" t="n">
        <v>0</v>
      </c>
      <c r="DD491" s="2" t="n">
        <v>38.52</v>
      </c>
      <c r="DE491" s="2" t="n">
        <v>37.07</v>
      </c>
      <c r="DF491" s="2" t="n">
        <v>0</v>
      </c>
      <c r="DG491" s="2" t="n">
        <v>52.61</v>
      </c>
      <c r="DH491" s="2" t="n">
        <v>49.69</v>
      </c>
      <c r="DI491" s="2" t="n">
        <v>0</v>
      </c>
      <c r="DJ491" s="2" t="n">
        <v>60.56</v>
      </c>
      <c r="DK491" s="2" t="n">
        <v>60.59</v>
      </c>
      <c r="DL491" s="2" t="n">
        <v>0</v>
      </c>
      <c r="DM491" s="2" t="n">
        <v>67.95</v>
      </c>
      <c r="DN491" s="2" t="n">
        <v>65.94</v>
      </c>
      <c r="DO491" s="2" t="n">
        <v>0</v>
      </c>
      <c r="DP491" s="2" t="n">
        <v>80.36</v>
      </c>
      <c r="DQ491" s="2" t="n">
        <v>76.16</v>
      </c>
      <c r="DR491" s="2" t="n">
        <v>0</v>
      </c>
      <c r="DS491" s="2" t="n">
        <v>91.52</v>
      </c>
      <c r="DT491" s="2" t="n">
        <v>84.45999999999999</v>
      </c>
      <c r="DU491" s="2" t="n">
        <v>0</v>
      </c>
      <c r="DV491" s="2" t="n">
        <v>96.2</v>
      </c>
      <c r="DW491" s="2" t="n">
        <v>90.06999999999999</v>
      </c>
      <c r="DX491" s="2" t="n">
        <v>0</v>
      </c>
      <c r="DY491" s="2" t="n">
        <v>98.98999999999999</v>
      </c>
      <c r="DZ491" s="2" t="n">
        <v>93.86</v>
      </c>
      <c r="EA491" s="2" t="n">
        <v>0</v>
      </c>
      <c r="EB491" s="2" t="n">
        <v>100</v>
      </c>
      <c r="EC491" s="2" t="n">
        <v>99.44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  <c r="ET491" s="2" t="n">
        <v>100</v>
      </c>
      <c r="EU491" s="2" t="n">
        <v>100</v>
      </c>
      <c r="EV491" s="2" t="n">
        <v>0</v>
      </c>
      <c r="EW491" s="2" t="n">
        <v>100</v>
      </c>
      <c r="EX491" s="2" t="n">
        <v>100</v>
      </c>
      <c r="EY491" s="2" t="n">
        <v>0</v>
      </c>
      <c r="EZ491" s="2" t="n">
        <v>100</v>
      </c>
      <c r="FA491" s="2" t="n">
        <v>100</v>
      </c>
      <c r="FB491" s="2" t="n">
        <v>0</v>
      </c>
      <c r="FC491" s="2" t="n">
        <v>100</v>
      </c>
      <c r="FD491" s="2" t="n">
        <v>100</v>
      </c>
      <c r="FE491" s="2" t="n">
        <v>0</v>
      </c>
      <c r="FF491" s="2" t="n">
        <v>100</v>
      </c>
      <c r="FG491" s="2" t="n">
        <v>100</v>
      </c>
      <c r="FH491" s="2" t="n">
        <v>0</v>
      </c>
      <c r="FI491" s="2" t="n">
        <v>100</v>
      </c>
      <c r="FJ491" s="2" t="n">
        <v>100</v>
      </c>
      <c r="FK491" s="2" t="n">
        <v>0</v>
      </c>
      <c r="FL491" s="2" t="n">
        <v>100</v>
      </c>
      <c r="FM491" s="2" t="n">
        <v>100</v>
      </c>
      <c r="FN491" s="2" t="n">
        <v>0</v>
      </c>
      <c r="FO491" s="2" t="n">
        <v>100</v>
      </c>
      <c r="FP491" s="2" t="n">
        <v>100</v>
      </c>
      <c r="FQ491" s="2" t="n">
        <v>0</v>
      </c>
    </row>
    <row r="492">
      <c r="A492" s="2" t="n">
        <v>2</v>
      </c>
      <c r="B492" s="2" t="inlineStr">
        <is>
          <t>20.12</t>
        </is>
      </c>
      <c r="C492" s="2" t="inlineStr">
        <is>
          <t>Tratamento do concreto</t>
        </is>
      </c>
      <c r="D492" s="2" t="inlineStr">
        <is>
          <t>26/11/2026</t>
        </is>
      </c>
      <c r="E492" s="2" t="inlineStr">
        <is>
          <t>07/02/2028</t>
        </is>
      </c>
      <c r="F492" s="2" t="n">
        <v>64132.32000000001</v>
      </c>
      <c r="G492" s="2" t="n">
        <v>0</v>
      </c>
      <c r="H492" s="2" t="n">
        <v>64132.32000000001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4.03</v>
      </c>
      <c r="CM492" s="2" t="n">
        <v>1.1</v>
      </c>
      <c r="CN492" s="2" t="n">
        <v>0</v>
      </c>
      <c r="CO492" s="2" t="n">
        <v>7.26</v>
      </c>
      <c r="CP492" s="2" t="n">
        <v>3.87</v>
      </c>
      <c r="CQ492" s="2" t="n">
        <v>0</v>
      </c>
      <c r="CR492" s="2" t="n">
        <v>14.9</v>
      </c>
      <c r="CS492" s="2" t="n">
        <v>9.199999999999999</v>
      </c>
      <c r="CT492" s="2" t="n">
        <v>0</v>
      </c>
      <c r="CU492" s="2" t="n">
        <v>16.62</v>
      </c>
      <c r="CV492" s="2" t="n">
        <v>15.76</v>
      </c>
      <c r="CW492" s="2" t="n">
        <v>0</v>
      </c>
      <c r="CX492" s="2" t="n">
        <v>21.56</v>
      </c>
      <c r="CY492" s="2" t="n">
        <v>20.39</v>
      </c>
      <c r="CZ492" s="2" t="n">
        <v>0</v>
      </c>
      <c r="DA492" s="2" t="n">
        <v>29.51</v>
      </c>
      <c r="DB492" s="2" t="n">
        <v>27.71</v>
      </c>
      <c r="DC492" s="2" t="n">
        <v>0</v>
      </c>
      <c r="DD492" s="2" t="n">
        <v>38.52</v>
      </c>
      <c r="DE492" s="2" t="n">
        <v>37.07</v>
      </c>
      <c r="DF492" s="2" t="n">
        <v>0</v>
      </c>
      <c r="DG492" s="2" t="n">
        <v>52.61</v>
      </c>
      <c r="DH492" s="2" t="n">
        <v>49.69</v>
      </c>
      <c r="DI492" s="2" t="n">
        <v>0</v>
      </c>
      <c r="DJ492" s="2" t="n">
        <v>60.56</v>
      </c>
      <c r="DK492" s="2" t="n">
        <v>60.59</v>
      </c>
      <c r="DL492" s="2" t="n">
        <v>0</v>
      </c>
      <c r="DM492" s="2" t="n">
        <v>67.95</v>
      </c>
      <c r="DN492" s="2" t="n">
        <v>65.94</v>
      </c>
      <c r="DO492" s="2" t="n">
        <v>0</v>
      </c>
      <c r="DP492" s="2" t="n">
        <v>80.36</v>
      </c>
      <c r="DQ492" s="2" t="n">
        <v>76.16</v>
      </c>
      <c r="DR492" s="2" t="n">
        <v>0</v>
      </c>
      <c r="DS492" s="2" t="n">
        <v>91.52</v>
      </c>
      <c r="DT492" s="2" t="n">
        <v>84.45999999999999</v>
      </c>
      <c r="DU492" s="2" t="n">
        <v>0</v>
      </c>
      <c r="DV492" s="2" t="n">
        <v>96.2</v>
      </c>
      <c r="DW492" s="2" t="n">
        <v>90.06999999999999</v>
      </c>
      <c r="DX492" s="2" t="n">
        <v>0</v>
      </c>
      <c r="DY492" s="2" t="n">
        <v>98.98999999999999</v>
      </c>
      <c r="DZ492" s="2" t="n">
        <v>93.86</v>
      </c>
      <c r="EA492" s="2" t="n">
        <v>0</v>
      </c>
      <c r="EB492" s="2" t="n">
        <v>100</v>
      </c>
      <c r="EC492" s="2" t="n">
        <v>99.44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  <c r="ET492" s="2" t="n">
        <v>100</v>
      </c>
      <c r="EU492" s="2" t="n">
        <v>100</v>
      </c>
      <c r="EV492" s="2" t="n">
        <v>0</v>
      </c>
      <c r="EW492" s="2" t="n">
        <v>100</v>
      </c>
      <c r="EX492" s="2" t="n">
        <v>100</v>
      </c>
      <c r="EY492" s="2" t="n">
        <v>0</v>
      </c>
      <c r="EZ492" s="2" t="n">
        <v>100</v>
      </c>
      <c r="FA492" s="2" t="n">
        <v>100</v>
      </c>
      <c r="FB492" s="2" t="n">
        <v>0</v>
      </c>
      <c r="FC492" s="2" t="n">
        <v>100</v>
      </c>
      <c r="FD492" s="2" t="n">
        <v>100</v>
      </c>
      <c r="FE492" s="2" t="n">
        <v>0</v>
      </c>
      <c r="FF492" s="2" t="n">
        <v>100</v>
      </c>
      <c r="FG492" s="2" t="n">
        <v>100</v>
      </c>
      <c r="FH492" s="2" t="n">
        <v>0</v>
      </c>
      <c r="FI492" s="2" t="n">
        <v>100</v>
      </c>
      <c r="FJ492" s="2" t="n">
        <v>100</v>
      </c>
      <c r="FK492" s="2" t="n">
        <v>0</v>
      </c>
      <c r="FL492" s="2" t="n">
        <v>100</v>
      </c>
      <c r="FM492" s="2" t="n">
        <v>100</v>
      </c>
      <c r="FN492" s="2" t="n">
        <v>0</v>
      </c>
      <c r="FO492" s="2" t="n">
        <v>100</v>
      </c>
      <c r="FP492" s="2" t="n">
        <v>100</v>
      </c>
      <c r="FQ492" s="2" t="n">
        <v>0</v>
      </c>
    </row>
    <row r="493">
      <c r="A493" s="2" t="n">
        <v>3</v>
      </c>
      <c r="B493" s="2" t="inlineStr">
        <is>
          <t>20.12.01</t>
        </is>
      </c>
      <c r="C493" s="2" t="inlineStr">
        <is>
          <t>&lt;html&gt;Tratamento do concreto* com aditivo cristializante integral adicionado ao traço do concreto com consumo de 0,8% a 1% sobre a massa do cimento. Recomendável o uso de rastreador de aditivo para controle e fiscalização com relaçaõ ao uso, consumo/ porcetagem e dispersão do produto. O aditivo é adotado como proteção auxiliar para colmatação dos poros do concreto  e melhoria da redução da absorção de água; Não resiste à fissuração estrutural. Nas juntas de concretagem adotar, fita hidroexpansiva para a vedação (lajes x cortinas, cortinas x cortinas, lajesx pilares x lajes, dentre outros). &lt;b&gt;Considerado Penetron&lt;/b&gt;&lt;/html&gt;</t>
        </is>
      </c>
      <c r="D493" s="2" t="inlineStr">
        <is>
          <t>26/11/2026</t>
        </is>
      </c>
      <c r="E493" s="2" t="inlineStr">
        <is>
          <t>07/02/2028</t>
        </is>
      </c>
      <c r="F493" s="2" t="n">
        <v>64132.32000000001</v>
      </c>
      <c r="G493" s="2" t="n">
        <v>0</v>
      </c>
      <c r="H493" s="2" t="n">
        <v>64132.32000000001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4.03</v>
      </c>
      <c r="CM493" s="2" t="n">
        <v>1.1</v>
      </c>
      <c r="CN493" s="2" t="n">
        <v>0</v>
      </c>
      <c r="CO493" s="2" t="n">
        <v>7.26</v>
      </c>
      <c r="CP493" s="2" t="n">
        <v>3.87</v>
      </c>
      <c r="CQ493" s="2" t="n">
        <v>0</v>
      </c>
      <c r="CR493" s="2" t="n">
        <v>14.9</v>
      </c>
      <c r="CS493" s="2" t="n">
        <v>9.199999999999999</v>
      </c>
      <c r="CT493" s="2" t="n">
        <v>0</v>
      </c>
      <c r="CU493" s="2" t="n">
        <v>16.62</v>
      </c>
      <c r="CV493" s="2" t="n">
        <v>15.76</v>
      </c>
      <c r="CW493" s="2" t="n">
        <v>0</v>
      </c>
      <c r="CX493" s="2" t="n">
        <v>21.56</v>
      </c>
      <c r="CY493" s="2" t="n">
        <v>20.39</v>
      </c>
      <c r="CZ493" s="2" t="n">
        <v>0</v>
      </c>
      <c r="DA493" s="2" t="n">
        <v>29.51</v>
      </c>
      <c r="DB493" s="2" t="n">
        <v>27.71</v>
      </c>
      <c r="DC493" s="2" t="n">
        <v>0</v>
      </c>
      <c r="DD493" s="2" t="n">
        <v>38.52</v>
      </c>
      <c r="DE493" s="2" t="n">
        <v>37.07</v>
      </c>
      <c r="DF493" s="2" t="n">
        <v>0</v>
      </c>
      <c r="DG493" s="2" t="n">
        <v>52.61</v>
      </c>
      <c r="DH493" s="2" t="n">
        <v>49.69</v>
      </c>
      <c r="DI493" s="2" t="n">
        <v>0</v>
      </c>
      <c r="DJ493" s="2" t="n">
        <v>60.56</v>
      </c>
      <c r="DK493" s="2" t="n">
        <v>60.59</v>
      </c>
      <c r="DL493" s="2" t="n">
        <v>0</v>
      </c>
      <c r="DM493" s="2" t="n">
        <v>67.95</v>
      </c>
      <c r="DN493" s="2" t="n">
        <v>65.94</v>
      </c>
      <c r="DO493" s="2" t="n">
        <v>0</v>
      </c>
      <c r="DP493" s="2" t="n">
        <v>80.36</v>
      </c>
      <c r="DQ493" s="2" t="n">
        <v>76.16</v>
      </c>
      <c r="DR493" s="2" t="n">
        <v>0</v>
      </c>
      <c r="DS493" s="2" t="n">
        <v>91.52</v>
      </c>
      <c r="DT493" s="2" t="n">
        <v>84.45999999999999</v>
      </c>
      <c r="DU493" s="2" t="n">
        <v>0</v>
      </c>
      <c r="DV493" s="2" t="n">
        <v>96.2</v>
      </c>
      <c r="DW493" s="2" t="n">
        <v>90.06999999999999</v>
      </c>
      <c r="DX493" s="2" t="n">
        <v>0</v>
      </c>
      <c r="DY493" s="2" t="n">
        <v>98.98999999999999</v>
      </c>
      <c r="DZ493" s="2" t="n">
        <v>93.86</v>
      </c>
      <c r="EA493" s="2" t="n">
        <v>0</v>
      </c>
      <c r="EB493" s="2" t="n">
        <v>100</v>
      </c>
      <c r="EC493" s="2" t="n">
        <v>99.44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  <c r="ET493" s="2" t="n">
        <v>100</v>
      </c>
      <c r="EU493" s="2" t="n">
        <v>100</v>
      </c>
      <c r="EV493" s="2" t="n">
        <v>0</v>
      </c>
      <c r="EW493" s="2" t="n">
        <v>100</v>
      </c>
      <c r="EX493" s="2" t="n">
        <v>100</v>
      </c>
      <c r="EY493" s="2" t="n">
        <v>0</v>
      </c>
      <c r="EZ493" s="2" t="n">
        <v>100</v>
      </c>
      <c r="FA493" s="2" t="n">
        <v>100</v>
      </c>
      <c r="FB493" s="2" t="n">
        <v>0</v>
      </c>
      <c r="FC493" s="2" t="n">
        <v>100</v>
      </c>
      <c r="FD493" s="2" t="n">
        <v>100</v>
      </c>
      <c r="FE493" s="2" t="n">
        <v>0</v>
      </c>
      <c r="FF493" s="2" t="n">
        <v>100</v>
      </c>
      <c r="FG493" s="2" t="n">
        <v>100</v>
      </c>
      <c r="FH493" s="2" t="n">
        <v>0</v>
      </c>
      <c r="FI493" s="2" t="n">
        <v>100</v>
      </c>
      <c r="FJ493" s="2" t="n">
        <v>100</v>
      </c>
      <c r="FK493" s="2" t="n">
        <v>0</v>
      </c>
      <c r="FL493" s="2" t="n">
        <v>100</v>
      </c>
      <c r="FM493" s="2" t="n">
        <v>100</v>
      </c>
      <c r="FN493" s="2" t="n">
        <v>0</v>
      </c>
      <c r="FO493" s="2" t="n">
        <v>100</v>
      </c>
      <c r="FP493" s="2" t="n">
        <v>100</v>
      </c>
      <c r="FQ493" s="2" t="n">
        <v>0</v>
      </c>
    </row>
    <row r="494">
      <c r="A494" s="2" t="n">
        <v>1</v>
      </c>
      <c r="B494" s="2" t="inlineStr">
        <is>
          <t>21</t>
        </is>
      </c>
      <c r="C494" s="2" t="inlineStr">
        <is>
          <t>INSTALAÇÕES ELÉTRICAS</t>
        </is>
      </c>
      <c r="D494" s="2" t="inlineStr">
        <is>
          <t>29/01/2026</t>
        </is>
      </c>
      <c r="E494" s="2" t="inlineStr">
        <is>
          <t>09/01/2029</t>
        </is>
      </c>
      <c r="F494" s="2" t="n">
        <v>8532606.848000003</v>
      </c>
      <c r="G494" s="2" t="n">
        <v>0</v>
      </c>
      <c r="H494" s="2" t="n">
        <v>8532606.848000003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0.09</v>
      </c>
      <c r="BI494" s="2" t="n">
        <v>0.09</v>
      </c>
      <c r="BJ494" s="2" t="n">
        <v>0</v>
      </c>
      <c r="BK494" s="2" t="n">
        <v>3.99</v>
      </c>
      <c r="BL494" s="2" t="n">
        <v>3.99</v>
      </c>
      <c r="BM494" s="2" t="n">
        <v>3.94</v>
      </c>
      <c r="BN494" s="2" t="n">
        <v>5.14</v>
      </c>
      <c r="BO494" s="2" t="n">
        <v>5.14</v>
      </c>
      <c r="BP494" s="2" t="n">
        <v>4.39</v>
      </c>
      <c r="BQ494" s="2" t="n">
        <v>6.3</v>
      </c>
      <c r="BR494" s="2" t="n">
        <v>6.3</v>
      </c>
      <c r="BS494" s="2" t="n">
        <v>4.72</v>
      </c>
      <c r="BT494" s="2" t="n">
        <v>7.46</v>
      </c>
      <c r="BU494" s="2" t="n">
        <v>7.46</v>
      </c>
      <c r="BV494" s="2" t="n">
        <v>7.46</v>
      </c>
      <c r="BW494" s="2" t="n">
        <v>7.7</v>
      </c>
      <c r="BX494" s="2" t="n">
        <v>7.7</v>
      </c>
      <c r="BY494" s="2" t="n">
        <v>7.7</v>
      </c>
      <c r="BZ494" s="2" t="n">
        <v>7.7</v>
      </c>
      <c r="CA494" s="2" t="n">
        <v>7.7</v>
      </c>
      <c r="CB494" s="2" t="n">
        <v>7.7</v>
      </c>
      <c r="CC494" s="2" t="n">
        <v>7.7</v>
      </c>
      <c r="CD494" s="2" t="n">
        <v>8.06</v>
      </c>
      <c r="CE494" s="2" t="n">
        <v>7.98</v>
      </c>
      <c r="CF494" s="2" t="n">
        <v>10.98</v>
      </c>
      <c r="CG494" s="2" t="n">
        <v>10.15</v>
      </c>
      <c r="CH494" s="2" t="n">
        <v>9.19</v>
      </c>
      <c r="CI494" s="2" t="n">
        <v>12.12</v>
      </c>
      <c r="CJ494" s="2" t="n">
        <v>11.49</v>
      </c>
      <c r="CK494" s="2" t="n">
        <v>9.19</v>
      </c>
      <c r="CL494" s="2" t="n">
        <v>12.99</v>
      </c>
      <c r="CM494" s="2" t="n">
        <v>12.79</v>
      </c>
      <c r="CN494" s="2" t="n">
        <v>9.19</v>
      </c>
      <c r="CO494" s="2" t="n">
        <v>13.25</v>
      </c>
      <c r="CP494" s="2" t="n">
        <v>13.25</v>
      </c>
      <c r="CQ494" s="2" t="n">
        <v>9.19</v>
      </c>
      <c r="CR494" s="2" t="n">
        <v>14.19</v>
      </c>
      <c r="CS494" s="2" t="n">
        <v>14.17</v>
      </c>
      <c r="CT494" s="2" t="n">
        <v>9.19</v>
      </c>
      <c r="CU494" s="2" t="n">
        <v>15.76</v>
      </c>
      <c r="CV494" s="2" t="n">
        <v>15.77</v>
      </c>
      <c r="CW494" s="2" t="n">
        <v>9.19</v>
      </c>
      <c r="CX494" s="2" t="n">
        <v>18.48</v>
      </c>
      <c r="CY494" s="2" t="n">
        <v>17.95</v>
      </c>
      <c r="CZ494" s="2" t="n">
        <v>9.19</v>
      </c>
      <c r="DA494" s="2" t="n">
        <v>20.73</v>
      </c>
      <c r="DB494" s="2" t="n">
        <v>20.46</v>
      </c>
      <c r="DC494" s="2" t="n">
        <v>9.19</v>
      </c>
      <c r="DD494" s="2" t="n">
        <v>22.87</v>
      </c>
      <c r="DE494" s="2" t="n">
        <v>22.52</v>
      </c>
      <c r="DF494" s="2" t="n">
        <v>9.19</v>
      </c>
      <c r="DG494" s="2" t="n">
        <v>24.84</v>
      </c>
      <c r="DH494" s="2" t="n">
        <v>24.4</v>
      </c>
      <c r="DI494" s="2" t="n">
        <v>9.19</v>
      </c>
      <c r="DJ494" s="2" t="n">
        <v>30.18</v>
      </c>
      <c r="DK494" s="2" t="n">
        <v>28.52</v>
      </c>
      <c r="DL494" s="2" t="n">
        <v>9.19</v>
      </c>
      <c r="DM494" s="2" t="n">
        <v>34.46</v>
      </c>
      <c r="DN494" s="2" t="n">
        <v>32.4</v>
      </c>
      <c r="DO494" s="2" t="n">
        <v>9.19</v>
      </c>
      <c r="DP494" s="2" t="n">
        <v>43.06</v>
      </c>
      <c r="DQ494" s="2" t="n">
        <v>39.56</v>
      </c>
      <c r="DR494" s="2" t="n">
        <v>9.19</v>
      </c>
      <c r="DS494" s="2" t="n">
        <v>51.34</v>
      </c>
      <c r="DT494" s="2" t="n">
        <v>47.47</v>
      </c>
      <c r="DU494" s="2" t="n">
        <v>9.19</v>
      </c>
      <c r="DV494" s="2" t="n">
        <v>56.73</v>
      </c>
      <c r="DW494" s="2" t="n">
        <v>53.59</v>
      </c>
      <c r="DX494" s="2" t="n">
        <v>9.19</v>
      </c>
      <c r="DY494" s="2" t="n">
        <v>62.13</v>
      </c>
      <c r="DZ494" s="2" t="n">
        <v>57.39</v>
      </c>
      <c r="EA494" s="2" t="n">
        <v>9.19</v>
      </c>
      <c r="EB494" s="2" t="n">
        <v>70.77</v>
      </c>
      <c r="EC494" s="2" t="n">
        <v>63.18</v>
      </c>
      <c r="ED494" s="2" t="n">
        <v>9.19</v>
      </c>
      <c r="EE494" s="2" t="n">
        <v>79.72</v>
      </c>
      <c r="EF494" s="2" t="n">
        <v>71.23</v>
      </c>
      <c r="EG494" s="2" t="n">
        <v>9.19</v>
      </c>
      <c r="EH494" s="2" t="n">
        <v>89.43000000000001</v>
      </c>
      <c r="EI494" s="2" t="n">
        <v>80</v>
      </c>
      <c r="EJ494" s="2" t="n">
        <v>9.19</v>
      </c>
      <c r="EK494" s="2" t="n">
        <v>92.69</v>
      </c>
      <c r="EL494" s="2" t="n">
        <v>83.26000000000001</v>
      </c>
      <c r="EM494" s="2" t="n">
        <v>9.19</v>
      </c>
      <c r="EN494" s="2" t="n">
        <v>96.56</v>
      </c>
      <c r="EO494" s="2" t="n">
        <v>85.34</v>
      </c>
      <c r="EP494" s="2" t="n">
        <v>9.19</v>
      </c>
      <c r="EQ494" s="2" t="n">
        <v>98.86</v>
      </c>
      <c r="ER494" s="2" t="n">
        <v>88.70999999999999</v>
      </c>
      <c r="ES494" s="2" t="n">
        <v>9.19</v>
      </c>
      <c r="ET494" s="2" t="n">
        <v>100</v>
      </c>
      <c r="EU494" s="2" t="n">
        <v>91.73</v>
      </c>
      <c r="EV494" s="2" t="n">
        <v>9.19</v>
      </c>
      <c r="EW494" s="2" t="n">
        <v>100</v>
      </c>
      <c r="EX494" s="2" t="n">
        <v>93.84</v>
      </c>
      <c r="EY494" s="2" t="n">
        <v>9.19</v>
      </c>
      <c r="EZ494" s="2" t="n">
        <v>100</v>
      </c>
      <c r="FA494" s="2" t="n">
        <v>95.51000000000001</v>
      </c>
      <c r="FB494" s="2" t="n">
        <v>9.19</v>
      </c>
      <c r="FC494" s="2" t="n">
        <v>100</v>
      </c>
      <c r="FD494" s="2" t="n">
        <v>97.34</v>
      </c>
      <c r="FE494" s="2" t="n">
        <v>9.19</v>
      </c>
      <c r="FF494" s="2" t="n">
        <v>100</v>
      </c>
      <c r="FG494" s="2" t="n">
        <v>98.28</v>
      </c>
      <c r="FH494" s="2" t="n">
        <v>9.19</v>
      </c>
      <c r="FI494" s="2" t="n">
        <v>100</v>
      </c>
      <c r="FJ494" s="2" t="n">
        <v>99.48999999999999</v>
      </c>
      <c r="FK494" s="2" t="n">
        <v>9.19</v>
      </c>
      <c r="FL494" s="2" t="n">
        <v>100</v>
      </c>
      <c r="FM494" s="2" t="n">
        <v>100</v>
      </c>
      <c r="FN494" s="2" t="n">
        <v>9.19</v>
      </c>
      <c r="FO494" s="2" t="n">
        <v>100</v>
      </c>
      <c r="FP494" s="2" t="n">
        <v>100</v>
      </c>
      <c r="FQ494" s="2" t="n">
        <v>9.19</v>
      </c>
    </row>
    <row r="495">
      <c r="A495" s="2" t="n">
        <v>2</v>
      </c>
      <c r="B495" s="2" t="inlineStr">
        <is>
          <t>21.01</t>
        </is>
      </c>
      <c r="C495" s="2" t="inlineStr">
        <is>
          <t>Entrada e geração de energia</t>
        </is>
      </c>
      <c r="D495" s="2" t="inlineStr">
        <is>
          <t>05/02/2026</t>
        </is>
      </c>
      <c r="E495" s="2" t="inlineStr">
        <is>
          <t>05/06/2026</t>
        </is>
      </c>
      <c r="F495" s="2" t="n">
        <v>320000</v>
      </c>
      <c r="G495" s="2" t="n">
        <v>0</v>
      </c>
      <c r="H495" s="2" t="n">
        <v>320000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80</v>
      </c>
      <c r="BL495" s="2" t="n">
        <v>80</v>
      </c>
      <c r="BM495" s="2" t="n">
        <v>80</v>
      </c>
      <c r="BN495" s="2" t="n">
        <v>84.56</v>
      </c>
      <c r="BO495" s="2" t="n">
        <v>84.56</v>
      </c>
      <c r="BP495" s="2" t="n">
        <v>80</v>
      </c>
      <c r="BQ495" s="2" t="n">
        <v>91.58</v>
      </c>
      <c r="BR495" s="2" t="n">
        <v>91.58</v>
      </c>
      <c r="BS495" s="2" t="n">
        <v>82</v>
      </c>
      <c r="BT495" s="2" t="n">
        <v>98.59999999999999</v>
      </c>
      <c r="BU495" s="2" t="n">
        <v>98.59999999999999</v>
      </c>
      <c r="BV495" s="2" t="n">
        <v>98.59999999999999</v>
      </c>
      <c r="BW495" s="2" t="n">
        <v>100</v>
      </c>
      <c r="BX495" s="2" t="n">
        <v>100</v>
      </c>
      <c r="BY495" s="2" t="n">
        <v>100</v>
      </c>
      <c r="BZ495" s="2" t="n">
        <v>100</v>
      </c>
      <c r="CA495" s="2" t="n">
        <v>100</v>
      </c>
      <c r="CB495" s="2" t="n">
        <v>100</v>
      </c>
      <c r="CC495" s="2" t="n">
        <v>100</v>
      </c>
      <c r="CD495" s="2" t="n">
        <v>100</v>
      </c>
      <c r="CE495" s="2" t="n">
        <v>100</v>
      </c>
      <c r="CF495" s="2" t="n">
        <v>100</v>
      </c>
      <c r="CG495" s="2" t="n">
        <v>100</v>
      </c>
      <c r="CH495" s="2" t="n">
        <v>100</v>
      </c>
      <c r="CI495" s="2" t="n">
        <v>100</v>
      </c>
      <c r="CJ495" s="2" t="n">
        <v>100</v>
      </c>
      <c r="CK495" s="2" t="n">
        <v>100</v>
      </c>
      <c r="CL495" s="2" t="n">
        <v>100</v>
      </c>
      <c r="CM495" s="2" t="n">
        <v>100</v>
      </c>
      <c r="CN495" s="2" t="n">
        <v>100</v>
      </c>
      <c r="CO495" s="2" t="n">
        <v>100</v>
      </c>
      <c r="CP495" s="2" t="n">
        <v>100</v>
      </c>
      <c r="CQ495" s="2" t="n">
        <v>100</v>
      </c>
      <c r="CR495" s="2" t="n">
        <v>100</v>
      </c>
      <c r="CS495" s="2" t="n">
        <v>100</v>
      </c>
      <c r="CT495" s="2" t="n">
        <v>100</v>
      </c>
      <c r="CU495" s="2" t="n">
        <v>100</v>
      </c>
      <c r="CV495" s="2" t="n">
        <v>100</v>
      </c>
      <c r="CW495" s="2" t="n">
        <v>100</v>
      </c>
      <c r="CX495" s="2" t="n">
        <v>100</v>
      </c>
      <c r="CY495" s="2" t="n">
        <v>100</v>
      </c>
      <c r="CZ495" s="2" t="n">
        <v>100</v>
      </c>
      <c r="DA495" s="2" t="n">
        <v>100</v>
      </c>
      <c r="DB495" s="2" t="n">
        <v>100</v>
      </c>
      <c r="DC495" s="2" t="n">
        <v>100</v>
      </c>
      <c r="DD495" s="2" t="n">
        <v>100</v>
      </c>
      <c r="DE495" s="2" t="n">
        <v>100</v>
      </c>
      <c r="DF495" s="2" t="n">
        <v>100</v>
      </c>
      <c r="DG495" s="2" t="n">
        <v>100</v>
      </c>
      <c r="DH495" s="2" t="n">
        <v>100</v>
      </c>
      <c r="DI495" s="2" t="n">
        <v>100</v>
      </c>
      <c r="DJ495" s="2" t="n">
        <v>100</v>
      </c>
      <c r="DK495" s="2" t="n">
        <v>100</v>
      </c>
      <c r="DL495" s="2" t="n">
        <v>100</v>
      </c>
      <c r="DM495" s="2" t="n">
        <v>100</v>
      </c>
      <c r="DN495" s="2" t="n">
        <v>100</v>
      </c>
      <c r="DO495" s="2" t="n">
        <v>100</v>
      </c>
      <c r="DP495" s="2" t="n">
        <v>100</v>
      </c>
      <c r="DQ495" s="2" t="n">
        <v>100</v>
      </c>
      <c r="DR495" s="2" t="n">
        <v>100</v>
      </c>
      <c r="DS495" s="2" t="n">
        <v>100</v>
      </c>
      <c r="DT495" s="2" t="n">
        <v>100</v>
      </c>
      <c r="DU495" s="2" t="n">
        <v>100</v>
      </c>
      <c r="DV495" s="2" t="n">
        <v>100</v>
      </c>
      <c r="DW495" s="2" t="n">
        <v>100</v>
      </c>
      <c r="DX495" s="2" t="n">
        <v>100</v>
      </c>
      <c r="DY495" s="2" t="n">
        <v>100</v>
      </c>
      <c r="DZ495" s="2" t="n">
        <v>100</v>
      </c>
      <c r="EA495" s="2" t="n">
        <v>100</v>
      </c>
      <c r="EB495" s="2" t="n">
        <v>100</v>
      </c>
      <c r="EC495" s="2" t="n">
        <v>100</v>
      </c>
      <c r="ED495" s="2" t="n">
        <v>100</v>
      </c>
      <c r="EE495" s="2" t="n">
        <v>100</v>
      </c>
      <c r="EF495" s="2" t="n">
        <v>100</v>
      </c>
      <c r="EG495" s="2" t="n">
        <v>100</v>
      </c>
      <c r="EH495" s="2" t="n">
        <v>100</v>
      </c>
      <c r="EI495" s="2" t="n">
        <v>100</v>
      </c>
      <c r="EJ495" s="2" t="n">
        <v>100</v>
      </c>
      <c r="EK495" s="2" t="n">
        <v>100</v>
      </c>
      <c r="EL495" s="2" t="n">
        <v>100</v>
      </c>
      <c r="EM495" s="2" t="n">
        <v>100</v>
      </c>
      <c r="EN495" s="2" t="n">
        <v>100</v>
      </c>
      <c r="EO495" s="2" t="n">
        <v>100</v>
      </c>
      <c r="EP495" s="2" t="n">
        <v>100</v>
      </c>
      <c r="EQ495" s="2" t="n">
        <v>100</v>
      </c>
      <c r="ER495" s="2" t="n">
        <v>100</v>
      </c>
      <c r="ES495" s="2" t="n">
        <v>100</v>
      </c>
      <c r="ET495" s="2" t="n">
        <v>100</v>
      </c>
      <c r="EU495" s="2" t="n">
        <v>100</v>
      </c>
      <c r="EV495" s="2" t="n">
        <v>100</v>
      </c>
      <c r="EW495" s="2" t="n">
        <v>100</v>
      </c>
      <c r="EX495" s="2" t="n">
        <v>100</v>
      </c>
      <c r="EY495" s="2" t="n">
        <v>100</v>
      </c>
      <c r="EZ495" s="2" t="n">
        <v>100</v>
      </c>
      <c r="FA495" s="2" t="n">
        <v>100</v>
      </c>
      <c r="FB495" s="2" t="n">
        <v>100</v>
      </c>
      <c r="FC495" s="2" t="n">
        <v>100</v>
      </c>
      <c r="FD495" s="2" t="n">
        <v>100</v>
      </c>
      <c r="FE495" s="2" t="n">
        <v>100</v>
      </c>
      <c r="FF495" s="2" t="n">
        <v>100</v>
      </c>
      <c r="FG495" s="2" t="n">
        <v>100</v>
      </c>
      <c r="FH495" s="2" t="n">
        <v>100</v>
      </c>
      <c r="FI495" s="2" t="n">
        <v>100</v>
      </c>
      <c r="FJ495" s="2" t="n">
        <v>100</v>
      </c>
      <c r="FK495" s="2" t="n">
        <v>100</v>
      </c>
      <c r="FL495" s="2" t="n">
        <v>100</v>
      </c>
      <c r="FM495" s="2" t="n">
        <v>100</v>
      </c>
      <c r="FN495" s="2" t="n">
        <v>100</v>
      </c>
      <c r="FO495" s="2" t="n">
        <v>100</v>
      </c>
      <c r="FP495" s="2" t="n">
        <v>100</v>
      </c>
      <c r="FQ495" s="2" t="n">
        <v>100</v>
      </c>
    </row>
    <row r="496">
      <c r="A496" s="2" t="n">
        <v>3</v>
      </c>
      <c r="B496" s="2" t="inlineStr">
        <is>
          <t>21.01.01</t>
        </is>
      </c>
      <c r="C496" s="2" t="inlineStr">
        <is>
          <t>Geradores - atender 100% do edifício</t>
        </is>
      </c>
      <c r="D496" s="2" t="inlineStr">
        <is>
          <t>05/02/2026</t>
        </is>
      </c>
      <c r="E496" s="2" t="inlineStr">
        <is>
          <t>05/06/2026</t>
        </is>
      </c>
      <c r="F496" s="2" t="n">
        <v>320000</v>
      </c>
      <c r="G496" s="2" t="n">
        <v>0</v>
      </c>
      <c r="H496" s="2" t="n">
        <v>320000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80</v>
      </c>
      <c r="BL496" s="2" t="n">
        <v>80</v>
      </c>
      <c r="BM496" s="2" t="n">
        <v>80</v>
      </c>
      <c r="BN496" s="2" t="n">
        <v>84.56</v>
      </c>
      <c r="BO496" s="2" t="n">
        <v>84.56</v>
      </c>
      <c r="BP496" s="2" t="n">
        <v>80</v>
      </c>
      <c r="BQ496" s="2" t="n">
        <v>91.58</v>
      </c>
      <c r="BR496" s="2" t="n">
        <v>91.58</v>
      </c>
      <c r="BS496" s="2" t="n">
        <v>82</v>
      </c>
      <c r="BT496" s="2" t="n">
        <v>98.59999999999999</v>
      </c>
      <c r="BU496" s="2" t="n">
        <v>98.59999999999999</v>
      </c>
      <c r="BV496" s="2" t="n">
        <v>98.59999999999999</v>
      </c>
      <c r="BW496" s="2" t="n">
        <v>100</v>
      </c>
      <c r="BX496" s="2" t="n">
        <v>100</v>
      </c>
      <c r="BY496" s="2" t="n">
        <v>100</v>
      </c>
      <c r="BZ496" s="2" t="n">
        <v>100</v>
      </c>
      <c r="CA496" s="2" t="n">
        <v>100</v>
      </c>
      <c r="CB496" s="2" t="n">
        <v>100</v>
      </c>
      <c r="CC496" s="2" t="n">
        <v>100</v>
      </c>
      <c r="CD496" s="2" t="n">
        <v>100</v>
      </c>
      <c r="CE496" s="2" t="n">
        <v>100</v>
      </c>
      <c r="CF496" s="2" t="n">
        <v>100</v>
      </c>
      <c r="CG496" s="2" t="n">
        <v>100</v>
      </c>
      <c r="CH496" s="2" t="n">
        <v>100</v>
      </c>
      <c r="CI496" s="2" t="n">
        <v>100</v>
      </c>
      <c r="CJ496" s="2" t="n">
        <v>100</v>
      </c>
      <c r="CK496" s="2" t="n">
        <v>100</v>
      </c>
      <c r="CL496" s="2" t="n">
        <v>100</v>
      </c>
      <c r="CM496" s="2" t="n">
        <v>100</v>
      </c>
      <c r="CN496" s="2" t="n">
        <v>100</v>
      </c>
      <c r="CO496" s="2" t="n">
        <v>100</v>
      </c>
      <c r="CP496" s="2" t="n">
        <v>100</v>
      </c>
      <c r="CQ496" s="2" t="n">
        <v>100</v>
      </c>
      <c r="CR496" s="2" t="n">
        <v>100</v>
      </c>
      <c r="CS496" s="2" t="n">
        <v>100</v>
      </c>
      <c r="CT496" s="2" t="n">
        <v>100</v>
      </c>
      <c r="CU496" s="2" t="n">
        <v>100</v>
      </c>
      <c r="CV496" s="2" t="n">
        <v>100</v>
      </c>
      <c r="CW496" s="2" t="n">
        <v>100</v>
      </c>
      <c r="CX496" s="2" t="n">
        <v>100</v>
      </c>
      <c r="CY496" s="2" t="n">
        <v>100</v>
      </c>
      <c r="CZ496" s="2" t="n">
        <v>100</v>
      </c>
      <c r="DA496" s="2" t="n">
        <v>100</v>
      </c>
      <c r="DB496" s="2" t="n">
        <v>100</v>
      </c>
      <c r="DC496" s="2" t="n">
        <v>100</v>
      </c>
      <c r="DD496" s="2" t="n">
        <v>100</v>
      </c>
      <c r="DE496" s="2" t="n">
        <v>100</v>
      </c>
      <c r="DF496" s="2" t="n">
        <v>100</v>
      </c>
      <c r="DG496" s="2" t="n">
        <v>100</v>
      </c>
      <c r="DH496" s="2" t="n">
        <v>100</v>
      </c>
      <c r="DI496" s="2" t="n">
        <v>100</v>
      </c>
      <c r="DJ496" s="2" t="n">
        <v>100</v>
      </c>
      <c r="DK496" s="2" t="n">
        <v>100</v>
      </c>
      <c r="DL496" s="2" t="n">
        <v>100</v>
      </c>
      <c r="DM496" s="2" t="n">
        <v>100</v>
      </c>
      <c r="DN496" s="2" t="n">
        <v>100</v>
      </c>
      <c r="DO496" s="2" t="n">
        <v>100</v>
      </c>
      <c r="DP496" s="2" t="n">
        <v>100</v>
      </c>
      <c r="DQ496" s="2" t="n">
        <v>100</v>
      </c>
      <c r="DR496" s="2" t="n">
        <v>100</v>
      </c>
      <c r="DS496" s="2" t="n">
        <v>100</v>
      </c>
      <c r="DT496" s="2" t="n">
        <v>100</v>
      </c>
      <c r="DU496" s="2" t="n">
        <v>100</v>
      </c>
      <c r="DV496" s="2" t="n">
        <v>100</v>
      </c>
      <c r="DW496" s="2" t="n">
        <v>100</v>
      </c>
      <c r="DX496" s="2" t="n">
        <v>100</v>
      </c>
      <c r="DY496" s="2" t="n">
        <v>100</v>
      </c>
      <c r="DZ496" s="2" t="n">
        <v>100</v>
      </c>
      <c r="EA496" s="2" t="n">
        <v>100</v>
      </c>
      <c r="EB496" s="2" t="n">
        <v>100</v>
      </c>
      <c r="EC496" s="2" t="n">
        <v>100</v>
      </c>
      <c r="ED496" s="2" t="n">
        <v>100</v>
      </c>
      <c r="EE496" s="2" t="n">
        <v>100</v>
      </c>
      <c r="EF496" s="2" t="n">
        <v>100</v>
      </c>
      <c r="EG496" s="2" t="n">
        <v>100</v>
      </c>
      <c r="EH496" s="2" t="n">
        <v>100</v>
      </c>
      <c r="EI496" s="2" t="n">
        <v>100</v>
      </c>
      <c r="EJ496" s="2" t="n">
        <v>100</v>
      </c>
      <c r="EK496" s="2" t="n">
        <v>100</v>
      </c>
      <c r="EL496" s="2" t="n">
        <v>100</v>
      </c>
      <c r="EM496" s="2" t="n">
        <v>100</v>
      </c>
      <c r="EN496" s="2" t="n">
        <v>100</v>
      </c>
      <c r="EO496" s="2" t="n">
        <v>100</v>
      </c>
      <c r="EP496" s="2" t="n">
        <v>100</v>
      </c>
      <c r="EQ496" s="2" t="n">
        <v>100</v>
      </c>
      <c r="ER496" s="2" t="n">
        <v>100</v>
      </c>
      <c r="ES496" s="2" t="n">
        <v>100</v>
      </c>
      <c r="ET496" s="2" t="n">
        <v>100</v>
      </c>
      <c r="EU496" s="2" t="n">
        <v>100</v>
      </c>
      <c r="EV496" s="2" t="n">
        <v>100</v>
      </c>
      <c r="EW496" s="2" t="n">
        <v>100</v>
      </c>
      <c r="EX496" s="2" t="n">
        <v>100</v>
      </c>
      <c r="EY496" s="2" t="n">
        <v>100</v>
      </c>
      <c r="EZ496" s="2" t="n">
        <v>100</v>
      </c>
      <c r="FA496" s="2" t="n">
        <v>100</v>
      </c>
      <c r="FB496" s="2" t="n">
        <v>100</v>
      </c>
      <c r="FC496" s="2" t="n">
        <v>100</v>
      </c>
      <c r="FD496" s="2" t="n">
        <v>100</v>
      </c>
      <c r="FE496" s="2" t="n">
        <v>100</v>
      </c>
      <c r="FF496" s="2" t="n">
        <v>100</v>
      </c>
      <c r="FG496" s="2" t="n">
        <v>100</v>
      </c>
      <c r="FH496" s="2" t="n">
        <v>100</v>
      </c>
      <c r="FI496" s="2" t="n">
        <v>100</v>
      </c>
      <c r="FJ496" s="2" t="n">
        <v>100</v>
      </c>
      <c r="FK496" s="2" t="n">
        <v>100</v>
      </c>
      <c r="FL496" s="2" t="n">
        <v>100</v>
      </c>
      <c r="FM496" s="2" t="n">
        <v>100</v>
      </c>
      <c r="FN496" s="2" t="n">
        <v>100</v>
      </c>
      <c r="FO496" s="2" t="n">
        <v>100</v>
      </c>
      <c r="FP496" s="2" t="n">
        <v>100</v>
      </c>
      <c r="FQ496" s="2" t="n">
        <v>100</v>
      </c>
    </row>
    <row r="497">
      <c r="A497" s="2" t="n">
        <v>2</v>
      </c>
      <c r="B497" s="2" t="inlineStr">
        <is>
          <t>21.02</t>
        </is>
      </c>
      <c r="C497" s="2" t="inlineStr">
        <is>
          <t>Instalações Elétricas Prediais de Baixa Tensão</t>
        </is>
      </c>
      <c r="D497" s="2" t="inlineStr">
        <is>
          <t>29/01/2026</t>
        </is>
      </c>
      <c r="E497" s="2" t="inlineStr">
        <is>
          <t>09/01/2029</t>
        </is>
      </c>
      <c r="F497" s="2" t="n">
        <v>7172582.400000002</v>
      </c>
      <c r="G497" s="2" t="n">
        <v>0</v>
      </c>
      <c r="H497" s="2" t="n">
        <v>7172582.400000002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0.11</v>
      </c>
      <c r="BI497" s="2" t="n">
        <v>0.11</v>
      </c>
      <c r="BJ497" s="2" t="n">
        <v>0</v>
      </c>
      <c r="BK497" s="2" t="n">
        <v>1.17</v>
      </c>
      <c r="BL497" s="2" t="n">
        <v>1.17</v>
      </c>
      <c r="BM497" s="2" t="n">
        <v>1.12</v>
      </c>
      <c r="BN497" s="2" t="n">
        <v>2.35</v>
      </c>
      <c r="BO497" s="2" t="n">
        <v>2.35</v>
      </c>
      <c r="BP497" s="2" t="n">
        <v>1.65</v>
      </c>
      <c r="BQ497" s="2" t="n">
        <v>3.41</v>
      </c>
      <c r="BR497" s="2" t="n">
        <v>3.41</v>
      </c>
      <c r="BS497" s="2" t="n">
        <v>1.96</v>
      </c>
      <c r="BT497" s="2" t="n">
        <v>4.48</v>
      </c>
      <c r="BU497" s="2" t="n">
        <v>4.48</v>
      </c>
      <c r="BV497" s="2" t="n">
        <v>4.48</v>
      </c>
      <c r="BW497" s="2" t="n">
        <v>4.69</v>
      </c>
      <c r="BX497" s="2" t="n">
        <v>4.69</v>
      </c>
      <c r="BY497" s="2" t="n">
        <v>4.69</v>
      </c>
      <c r="BZ497" s="2" t="n">
        <v>4.69</v>
      </c>
      <c r="CA497" s="2" t="n">
        <v>4.69</v>
      </c>
      <c r="CB497" s="2" t="n">
        <v>4.69</v>
      </c>
      <c r="CC497" s="2" t="n">
        <v>4.69</v>
      </c>
      <c r="CD497" s="2" t="n">
        <v>5.12</v>
      </c>
      <c r="CE497" s="2" t="n">
        <v>5.04</v>
      </c>
      <c r="CF497" s="2" t="n">
        <v>8.59</v>
      </c>
      <c r="CG497" s="2" t="n">
        <v>7.62</v>
      </c>
      <c r="CH497" s="2" t="n">
        <v>6.47</v>
      </c>
      <c r="CI497" s="2" t="n">
        <v>9.949999999999999</v>
      </c>
      <c r="CJ497" s="2" t="n">
        <v>9.210000000000001</v>
      </c>
      <c r="CK497" s="2" t="n">
        <v>6.47</v>
      </c>
      <c r="CL497" s="2" t="n">
        <v>10.99</v>
      </c>
      <c r="CM497" s="2" t="n">
        <v>10.75</v>
      </c>
      <c r="CN497" s="2" t="n">
        <v>6.47</v>
      </c>
      <c r="CO497" s="2" t="n">
        <v>11.3</v>
      </c>
      <c r="CP497" s="2" t="n">
        <v>11.3</v>
      </c>
      <c r="CQ497" s="2" t="n">
        <v>6.47</v>
      </c>
      <c r="CR497" s="2" t="n">
        <v>12.42</v>
      </c>
      <c r="CS497" s="2" t="n">
        <v>12.39</v>
      </c>
      <c r="CT497" s="2" t="n">
        <v>6.47</v>
      </c>
      <c r="CU497" s="2" t="n">
        <v>14.28</v>
      </c>
      <c r="CV497" s="2" t="n">
        <v>14.3</v>
      </c>
      <c r="CW497" s="2" t="n">
        <v>6.47</v>
      </c>
      <c r="CX497" s="2" t="n">
        <v>17.52</v>
      </c>
      <c r="CY497" s="2" t="n">
        <v>16.89</v>
      </c>
      <c r="CZ497" s="2" t="n">
        <v>6.47</v>
      </c>
      <c r="DA497" s="2" t="n">
        <v>20.2</v>
      </c>
      <c r="DB497" s="2" t="n">
        <v>19.88</v>
      </c>
      <c r="DC497" s="2" t="n">
        <v>6.47</v>
      </c>
      <c r="DD497" s="2" t="n">
        <v>22.74</v>
      </c>
      <c r="DE497" s="2" t="n">
        <v>22.33</v>
      </c>
      <c r="DF497" s="2" t="n">
        <v>6.47</v>
      </c>
      <c r="DG497" s="2" t="n">
        <v>25.08</v>
      </c>
      <c r="DH497" s="2" t="n">
        <v>24.57</v>
      </c>
      <c r="DI497" s="2" t="n">
        <v>6.47</v>
      </c>
      <c r="DJ497" s="2" t="n">
        <v>31.15</v>
      </c>
      <c r="DK497" s="2" t="n">
        <v>29.46</v>
      </c>
      <c r="DL497" s="2" t="n">
        <v>6.47</v>
      </c>
      <c r="DM497" s="2" t="n">
        <v>36.15</v>
      </c>
      <c r="DN497" s="2" t="n">
        <v>33.87</v>
      </c>
      <c r="DO497" s="2" t="n">
        <v>6.47</v>
      </c>
      <c r="DP497" s="2" t="n">
        <v>44.73</v>
      </c>
      <c r="DQ497" s="2" t="n">
        <v>40.86</v>
      </c>
      <c r="DR497" s="2" t="n">
        <v>6.47</v>
      </c>
      <c r="DS497" s="2" t="n">
        <v>50.74</v>
      </c>
      <c r="DT497" s="2" t="n">
        <v>46.6</v>
      </c>
      <c r="DU497" s="2" t="n">
        <v>6.47</v>
      </c>
      <c r="DV497" s="2" t="n">
        <v>56.16</v>
      </c>
      <c r="DW497" s="2" t="n">
        <v>52.95</v>
      </c>
      <c r="DX497" s="2" t="n">
        <v>6.47</v>
      </c>
      <c r="DY497" s="2" t="n">
        <v>59.24</v>
      </c>
      <c r="DZ497" s="2" t="n">
        <v>54.22</v>
      </c>
      <c r="EA497" s="2" t="n">
        <v>6.47</v>
      </c>
      <c r="EB497" s="2" t="n">
        <v>69.06</v>
      </c>
      <c r="EC497" s="2" t="n">
        <v>60.65</v>
      </c>
      <c r="ED497" s="2" t="n">
        <v>6.47</v>
      </c>
      <c r="EE497" s="2" t="n">
        <v>79.16</v>
      </c>
      <c r="EF497" s="2" t="n">
        <v>69.93000000000001</v>
      </c>
      <c r="EG497" s="2" t="n">
        <v>6.47</v>
      </c>
      <c r="EH497" s="2" t="n">
        <v>88.16</v>
      </c>
      <c r="EI497" s="2" t="n">
        <v>77.84</v>
      </c>
      <c r="EJ497" s="2" t="n">
        <v>6.47</v>
      </c>
      <c r="EK497" s="2" t="n">
        <v>91.62</v>
      </c>
      <c r="EL497" s="2" t="n">
        <v>81.38</v>
      </c>
      <c r="EM497" s="2" t="n">
        <v>6.47</v>
      </c>
      <c r="EN497" s="2" t="n">
        <v>95.91</v>
      </c>
      <c r="EO497" s="2" t="n">
        <v>83.55</v>
      </c>
      <c r="EP497" s="2" t="n">
        <v>6.47</v>
      </c>
      <c r="EQ497" s="2" t="n">
        <v>98.64</v>
      </c>
      <c r="ER497" s="2" t="n">
        <v>87.31999999999999</v>
      </c>
      <c r="ES497" s="2" t="n">
        <v>6.47</v>
      </c>
      <c r="ET497" s="2" t="n">
        <v>100</v>
      </c>
      <c r="EU497" s="2" t="n">
        <v>90.75</v>
      </c>
      <c r="EV497" s="2" t="n">
        <v>6.47</v>
      </c>
      <c r="EW497" s="2" t="n">
        <v>100</v>
      </c>
      <c r="EX497" s="2" t="n">
        <v>93</v>
      </c>
      <c r="EY497" s="2" t="n">
        <v>6.47</v>
      </c>
      <c r="EZ497" s="2" t="n">
        <v>100</v>
      </c>
      <c r="FA497" s="2" t="n">
        <v>94.8</v>
      </c>
      <c r="FB497" s="2" t="n">
        <v>6.47</v>
      </c>
      <c r="FC497" s="2" t="n">
        <v>100</v>
      </c>
      <c r="FD497" s="2" t="n">
        <v>96.84</v>
      </c>
      <c r="FE497" s="2" t="n">
        <v>6.47</v>
      </c>
      <c r="FF497" s="2" t="n">
        <v>100</v>
      </c>
      <c r="FG497" s="2" t="n">
        <v>97.95999999999999</v>
      </c>
      <c r="FH497" s="2" t="n">
        <v>6.47</v>
      </c>
      <c r="FI497" s="2" t="n">
        <v>100</v>
      </c>
      <c r="FJ497" s="2" t="n">
        <v>99.39</v>
      </c>
      <c r="FK497" s="2" t="n">
        <v>6.47</v>
      </c>
      <c r="FL497" s="2" t="n">
        <v>100</v>
      </c>
      <c r="FM497" s="2" t="n">
        <v>100</v>
      </c>
      <c r="FN497" s="2" t="n">
        <v>6.47</v>
      </c>
      <c r="FO497" s="2" t="n">
        <v>100</v>
      </c>
      <c r="FP497" s="2" t="n">
        <v>100</v>
      </c>
      <c r="FQ497" s="2" t="n">
        <v>6.47</v>
      </c>
    </row>
    <row r="498">
      <c r="A498" s="2" t="n">
        <v>3</v>
      </c>
      <c r="B498" s="2" t="inlineStr">
        <is>
          <t>21.02.01</t>
        </is>
      </c>
      <c r="C498" s="2" t="inlineStr">
        <is>
          <t>Ramal De Entrada</t>
        </is>
      </c>
      <c r="D498" s="2" t="inlineStr">
        <is>
          <t>29/01/2026</t>
        </is>
      </c>
      <c r="E498" s="2" t="inlineStr">
        <is>
          <t>05/06/2026</t>
        </is>
      </c>
      <c r="F498" s="2" t="n">
        <v>336712.8960000001</v>
      </c>
      <c r="G498" s="2" t="n">
        <v>0</v>
      </c>
      <c r="H498" s="2" t="n">
        <v>336712.8960000001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2.27</v>
      </c>
      <c r="BI498" s="2" t="n">
        <v>2.27</v>
      </c>
      <c r="BJ498" s="2" t="n">
        <v>0</v>
      </c>
      <c r="BK498" s="2" t="n">
        <v>25</v>
      </c>
      <c r="BL498" s="2" t="n">
        <v>25</v>
      </c>
      <c r="BM498" s="2" t="n">
        <v>23.86</v>
      </c>
      <c r="BN498" s="2" t="n">
        <v>50</v>
      </c>
      <c r="BO498" s="2" t="n">
        <v>50</v>
      </c>
      <c r="BP498" s="2" t="n">
        <v>35.23</v>
      </c>
      <c r="BQ498" s="2" t="n">
        <v>72.73</v>
      </c>
      <c r="BR498" s="2" t="n">
        <v>72.73</v>
      </c>
      <c r="BS498" s="2" t="n">
        <v>41.7</v>
      </c>
      <c r="BT498" s="2" t="n">
        <v>95.45</v>
      </c>
      <c r="BU498" s="2" t="n">
        <v>95.45</v>
      </c>
      <c r="BV498" s="2" t="n">
        <v>95.45</v>
      </c>
      <c r="BW498" s="2" t="n">
        <v>100</v>
      </c>
      <c r="BX498" s="2" t="n">
        <v>100</v>
      </c>
      <c r="BY498" s="2" t="n">
        <v>100</v>
      </c>
      <c r="BZ498" s="2" t="n">
        <v>100</v>
      </c>
      <c r="CA498" s="2" t="n">
        <v>100</v>
      </c>
      <c r="CB498" s="2" t="n">
        <v>100</v>
      </c>
      <c r="CC498" s="2" t="n">
        <v>100</v>
      </c>
      <c r="CD498" s="2" t="n">
        <v>100</v>
      </c>
      <c r="CE498" s="2" t="n">
        <v>100</v>
      </c>
      <c r="CF498" s="2" t="n">
        <v>100</v>
      </c>
      <c r="CG498" s="2" t="n">
        <v>100</v>
      </c>
      <c r="CH498" s="2" t="n">
        <v>100</v>
      </c>
      <c r="CI498" s="2" t="n">
        <v>100</v>
      </c>
      <c r="CJ498" s="2" t="n">
        <v>100</v>
      </c>
      <c r="CK498" s="2" t="n">
        <v>100</v>
      </c>
      <c r="CL498" s="2" t="n">
        <v>100</v>
      </c>
      <c r="CM498" s="2" t="n">
        <v>100</v>
      </c>
      <c r="CN498" s="2" t="n">
        <v>100</v>
      </c>
      <c r="CO498" s="2" t="n">
        <v>100</v>
      </c>
      <c r="CP498" s="2" t="n">
        <v>100</v>
      </c>
      <c r="CQ498" s="2" t="n">
        <v>100</v>
      </c>
      <c r="CR498" s="2" t="n">
        <v>100</v>
      </c>
      <c r="CS498" s="2" t="n">
        <v>100</v>
      </c>
      <c r="CT498" s="2" t="n">
        <v>100</v>
      </c>
      <c r="CU498" s="2" t="n">
        <v>100</v>
      </c>
      <c r="CV498" s="2" t="n">
        <v>100</v>
      </c>
      <c r="CW498" s="2" t="n">
        <v>100</v>
      </c>
      <c r="CX498" s="2" t="n">
        <v>100</v>
      </c>
      <c r="CY498" s="2" t="n">
        <v>100</v>
      </c>
      <c r="CZ498" s="2" t="n">
        <v>100</v>
      </c>
      <c r="DA498" s="2" t="n">
        <v>100</v>
      </c>
      <c r="DB498" s="2" t="n">
        <v>100</v>
      </c>
      <c r="DC498" s="2" t="n">
        <v>100</v>
      </c>
      <c r="DD498" s="2" t="n">
        <v>100</v>
      </c>
      <c r="DE498" s="2" t="n">
        <v>100</v>
      </c>
      <c r="DF498" s="2" t="n">
        <v>100</v>
      </c>
      <c r="DG498" s="2" t="n">
        <v>100</v>
      </c>
      <c r="DH498" s="2" t="n">
        <v>100</v>
      </c>
      <c r="DI498" s="2" t="n">
        <v>100</v>
      </c>
      <c r="DJ498" s="2" t="n">
        <v>100</v>
      </c>
      <c r="DK498" s="2" t="n">
        <v>100</v>
      </c>
      <c r="DL498" s="2" t="n">
        <v>100</v>
      </c>
      <c r="DM498" s="2" t="n">
        <v>100</v>
      </c>
      <c r="DN498" s="2" t="n">
        <v>100</v>
      </c>
      <c r="DO498" s="2" t="n">
        <v>100</v>
      </c>
      <c r="DP498" s="2" t="n">
        <v>100</v>
      </c>
      <c r="DQ498" s="2" t="n">
        <v>100</v>
      </c>
      <c r="DR498" s="2" t="n">
        <v>100</v>
      </c>
      <c r="DS498" s="2" t="n">
        <v>100</v>
      </c>
      <c r="DT498" s="2" t="n">
        <v>100</v>
      </c>
      <c r="DU498" s="2" t="n">
        <v>100</v>
      </c>
      <c r="DV498" s="2" t="n">
        <v>100</v>
      </c>
      <c r="DW498" s="2" t="n">
        <v>100</v>
      </c>
      <c r="DX498" s="2" t="n">
        <v>100</v>
      </c>
      <c r="DY498" s="2" t="n">
        <v>100</v>
      </c>
      <c r="DZ498" s="2" t="n">
        <v>100</v>
      </c>
      <c r="EA498" s="2" t="n">
        <v>100</v>
      </c>
      <c r="EB498" s="2" t="n">
        <v>100</v>
      </c>
      <c r="EC498" s="2" t="n">
        <v>100</v>
      </c>
      <c r="ED498" s="2" t="n">
        <v>100</v>
      </c>
      <c r="EE498" s="2" t="n">
        <v>100</v>
      </c>
      <c r="EF498" s="2" t="n">
        <v>100</v>
      </c>
      <c r="EG498" s="2" t="n">
        <v>100</v>
      </c>
      <c r="EH498" s="2" t="n">
        <v>100</v>
      </c>
      <c r="EI498" s="2" t="n">
        <v>100</v>
      </c>
      <c r="EJ498" s="2" t="n">
        <v>100</v>
      </c>
      <c r="EK498" s="2" t="n">
        <v>100</v>
      </c>
      <c r="EL498" s="2" t="n">
        <v>100</v>
      </c>
      <c r="EM498" s="2" t="n">
        <v>100</v>
      </c>
      <c r="EN498" s="2" t="n">
        <v>100</v>
      </c>
      <c r="EO498" s="2" t="n">
        <v>100</v>
      </c>
      <c r="EP498" s="2" t="n">
        <v>100</v>
      </c>
      <c r="EQ498" s="2" t="n">
        <v>100</v>
      </c>
      <c r="ER498" s="2" t="n">
        <v>100</v>
      </c>
      <c r="ES498" s="2" t="n">
        <v>100</v>
      </c>
      <c r="ET498" s="2" t="n">
        <v>100</v>
      </c>
      <c r="EU498" s="2" t="n">
        <v>100</v>
      </c>
      <c r="EV498" s="2" t="n">
        <v>100</v>
      </c>
      <c r="EW498" s="2" t="n">
        <v>100</v>
      </c>
      <c r="EX498" s="2" t="n">
        <v>100</v>
      </c>
      <c r="EY498" s="2" t="n">
        <v>100</v>
      </c>
      <c r="EZ498" s="2" t="n">
        <v>100</v>
      </c>
      <c r="FA498" s="2" t="n">
        <v>100</v>
      </c>
      <c r="FB498" s="2" t="n">
        <v>100</v>
      </c>
      <c r="FC498" s="2" t="n">
        <v>100</v>
      </c>
      <c r="FD498" s="2" t="n">
        <v>100</v>
      </c>
      <c r="FE498" s="2" t="n">
        <v>100</v>
      </c>
      <c r="FF498" s="2" t="n">
        <v>100</v>
      </c>
      <c r="FG498" s="2" t="n">
        <v>100</v>
      </c>
      <c r="FH498" s="2" t="n">
        <v>100</v>
      </c>
      <c r="FI498" s="2" t="n">
        <v>100</v>
      </c>
      <c r="FJ498" s="2" t="n">
        <v>100</v>
      </c>
      <c r="FK498" s="2" t="n">
        <v>100</v>
      </c>
      <c r="FL498" s="2" t="n">
        <v>100</v>
      </c>
      <c r="FM498" s="2" t="n">
        <v>100</v>
      </c>
      <c r="FN498" s="2" t="n">
        <v>100</v>
      </c>
      <c r="FO498" s="2" t="n">
        <v>100</v>
      </c>
      <c r="FP498" s="2" t="n">
        <v>100</v>
      </c>
      <c r="FQ498" s="2" t="n">
        <v>100</v>
      </c>
    </row>
    <row r="499">
      <c r="A499" s="2" t="n">
        <v>3</v>
      </c>
      <c r="B499" s="2" t="inlineStr">
        <is>
          <t>21.02.02</t>
        </is>
      </c>
      <c r="C499" s="2" t="inlineStr">
        <is>
          <t>Prumadas E Caixas De Distribuição</t>
        </is>
      </c>
      <c r="D499" s="2" t="inlineStr">
        <is>
          <t>29/09/2026</t>
        </is>
      </c>
      <c r="E499" s="2" t="inlineStr">
        <is>
          <t>27/09/2027</t>
        </is>
      </c>
      <c r="F499" s="2" t="n">
        <v>702514.5984000002</v>
      </c>
      <c r="G499" s="2" t="n">
        <v>0</v>
      </c>
      <c r="H499" s="2" t="n">
        <v>702514.5984000002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8.300000000000001</v>
      </c>
      <c r="CG499" s="2" t="n">
        <v>0.92</v>
      </c>
      <c r="CH499" s="2" t="n">
        <v>0</v>
      </c>
      <c r="CI499" s="2" t="n">
        <v>14.3</v>
      </c>
      <c r="CJ499" s="2" t="n">
        <v>10.61</v>
      </c>
      <c r="CK499" s="2" t="n">
        <v>0</v>
      </c>
      <c r="CL499" s="2" t="n">
        <v>16.61</v>
      </c>
      <c r="CM499" s="2" t="n">
        <v>16.61</v>
      </c>
      <c r="CN499" s="2" t="n">
        <v>0</v>
      </c>
      <c r="CO499" s="2" t="n">
        <v>19.84</v>
      </c>
      <c r="CP499" s="2" t="n">
        <v>19.84</v>
      </c>
      <c r="CQ499" s="2" t="n">
        <v>0</v>
      </c>
      <c r="CR499" s="2" t="n">
        <v>24.62</v>
      </c>
      <c r="CS499" s="2" t="n">
        <v>24.62</v>
      </c>
      <c r="CT499" s="2" t="n">
        <v>0</v>
      </c>
      <c r="CU499" s="2" t="n">
        <v>34.68</v>
      </c>
      <c r="CV499" s="2" t="n">
        <v>34.68</v>
      </c>
      <c r="CW499" s="2" t="n">
        <v>0</v>
      </c>
      <c r="CX499" s="2" t="n">
        <v>46.22</v>
      </c>
      <c r="CY499" s="2" t="n">
        <v>46.22</v>
      </c>
      <c r="CZ499" s="2" t="n">
        <v>0</v>
      </c>
      <c r="DA499" s="2" t="n">
        <v>54.98</v>
      </c>
      <c r="DB499" s="2" t="n">
        <v>57.75</v>
      </c>
      <c r="DC499" s="2" t="n">
        <v>0</v>
      </c>
      <c r="DD499" s="2" t="n">
        <v>61.44</v>
      </c>
      <c r="DE499" s="2" t="n">
        <v>61.44</v>
      </c>
      <c r="DF499" s="2" t="n">
        <v>0</v>
      </c>
      <c r="DG499" s="2" t="n">
        <v>68.81999999999999</v>
      </c>
      <c r="DH499" s="2" t="n">
        <v>68.81999999999999</v>
      </c>
      <c r="DI499" s="2" t="n">
        <v>0</v>
      </c>
      <c r="DJ499" s="2" t="n">
        <v>83.12</v>
      </c>
      <c r="DK499" s="2" t="n">
        <v>83.12</v>
      </c>
      <c r="DL499" s="2" t="n">
        <v>0</v>
      </c>
      <c r="DM499" s="2" t="n">
        <v>93.52</v>
      </c>
      <c r="DN499" s="2" t="n">
        <v>93.52</v>
      </c>
      <c r="DO499" s="2" t="n">
        <v>0</v>
      </c>
      <c r="DP499" s="2" t="n">
        <v>100</v>
      </c>
      <c r="DQ499" s="2" t="n">
        <v>100</v>
      </c>
      <c r="DR499" s="2" t="n">
        <v>0</v>
      </c>
      <c r="DS499" s="2" t="n">
        <v>100</v>
      </c>
      <c r="DT499" s="2" t="n">
        <v>100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  <c r="ET499" s="2" t="n">
        <v>100</v>
      </c>
      <c r="EU499" s="2" t="n">
        <v>100</v>
      </c>
      <c r="EV499" s="2" t="n">
        <v>0</v>
      </c>
      <c r="EW499" s="2" t="n">
        <v>100</v>
      </c>
      <c r="EX499" s="2" t="n">
        <v>100</v>
      </c>
      <c r="EY499" s="2" t="n">
        <v>0</v>
      </c>
      <c r="EZ499" s="2" t="n">
        <v>100</v>
      </c>
      <c r="FA499" s="2" t="n">
        <v>100</v>
      </c>
      <c r="FB499" s="2" t="n">
        <v>0</v>
      </c>
      <c r="FC499" s="2" t="n">
        <v>100</v>
      </c>
      <c r="FD499" s="2" t="n">
        <v>100</v>
      </c>
      <c r="FE499" s="2" t="n">
        <v>0</v>
      </c>
      <c r="FF499" s="2" t="n">
        <v>100</v>
      </c>
      <c r="FG499" s="2" t="n">
        <v>100</v>
      </c>
      <c r="FH499" s="2" t="n">
        <v>0</v>
      </c>
      <c r="FI499" s="2" t="n">
        <v>100</v>
      </c>
      <c r="FJ499" s="2" t="n">
        <v>100</v>
      </c>
      <c r="FK499" s="2" t="n">
        <v>0</v>
      </c>
      <c r="FL499" s="2" t="n">
        <v>100</v>
      </c>
      <c r="FM499" s="2" t="n">
        <v>100</v>
      </c>
      <c r="FN499" s="2" t="n">
        <v>0</v>
      </c>
      <c r="FO499" s="2" t="n">
        <v>100</v>
      </c>
      <c r="FP499" s="2" t="n">
        <v>100</v>
      </c>
      <c r="FQ499" s="2" t="n">
        <v>0</v>
      </c>
    </row>
    <row r="500">
      <c r="A500" s="2" t="n">
        <v>3</v>
      </c>
      <c r="B500" s="2" t="inlineStr">
        <is>
          <t>21.02.03</t>
        </is>
      </c>
      <c r="C500" s="2" t="inlineStr">
        <is>
          <t>Cabeamento de alimentação</t>
        </is>
      </c>
      <c r="D500" s="2" t="inlineStr">
        <is>
          <t>07/01/2028</t>
        </is>
      </c>
      <c r="E500" s="2" t="inlineStr">
        <is>
          <t>07/04/2028</t>
        </is>
      </c>
      <c r="F500" s="2" t="n">
        <v>885415.4496000003</v>
      </c>
      <c r="G500" s="2" t="n">
        <v>0</v>
      </c>
      <c r="H500" s="2" t="n">
        <v>885415.4496000003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0</v>
      </c>
      <c r="BO500" s="2" t="n">
        <v>0</v>
      </c>
      <c r="BP500" s="2" t="n">
        <v>0</v>
      </c>
      <c r="BQ500" s="2" t="n">
        <v>0</v>
      </c>
      <c r="BR500" s="2" t="n">
        <v>0</v>
      </c>
      <c r="BS500" s="2" t="n">
        <v>0</v>
      </c>
      <c r="BT500" s="2" t="n">
        <v>0</v>
      </c>
      <c r="BU500" s="2" t="n">
        <v>0</v>
      </c>
      <c r="BV500" s="2" t="n">
        <v>0</v>
      </c>
      <c r="BW500" s="2" t="n">
        <v>0</v>
      </c>
      <c r="BX500" s="2" t="n">
        <v>0</v>
      </c>
      <c r="BY500" s="2" t="n">
        <v>0</v>
      </c>
      <c r="BZ500" s="2" t="n">
        <v>0</v>
      </c>
      <c r="CA500" s="2" t="n">
        <v>0</v>
      </c>
      <c r="CB500" s="2" t="n">
        <v>0</v>
      </c>
      <c r="CC500" s="2" t="n">
        <v>0</v>
      </c>
      <c r="CD500" s="2" t="n">
        <v>0</v>
      </c>
      <c r="CE500" s="2" t="n">
        <v>0</v>
      </c>
      <c r="CF500" s="2" t="n">
        <v>0</v>
      </c>
      <c r="CG500" s="2" t="n">
        <v>0</v>
      </c>
      <c r="CH500" s="2" t="n">
        <v>0</v>
      </c>
      <c r="CI500" s="2" t="n">
        <v>0</v>
      </c>
      <c r="CJ500" s="2" t="n">
        <v>0</v>
      </c>
      <c r="CK500" s="2" t="n">
        <v>0</v>
      </c>
      <c r="CL500" s="2" t="n">
        <v>0</v>
      </c>
      <c r="CM500" s="2" t="n">
        <v>0</v>
      </c>
      <c r="CN500" s="2" t="n">
        <v>0</v>
      </c>
      <c r="CO500" s="2" t="n">
        <v>0</v>
      </c>
      <c r="CP500" s="2" t="n">
        <v>0</v>
      </c>
      <c r="CQ500" s="2" t="n">
        <v>0</v>
      </c>
      <c r="CR500" s="2" t="n">
        <v>0</v>
      </c>
      <c r="CS500" s="2" t="n">
        <v>0</v>
      </c>
      <c r="CT500" s="2" t="n">
        <v>0</v>
      </c>
      <c r="CU500" s="2" t="n">
        <v>0</v>
      </c>
      <c r="CV500" s="2" t="n">
        <v>0</v>
      </c>
      <c r="CW500" s="2" t="n">
        <v>0</v>
      </c>
      <c r="CX500" s="2" t="n">
        <v>0</v>
      </c>
      <c r="CY500" s="2" t="n">
        <v>0</v>
      </c>
      <c r="CZ500" s="2" t="n">
        <v>0</v>
      </c>
      <c r="DA500" s="2" t="n">
        <v>0</v>
      </c>
      <c r="DB500" s="2" t="n">
        <v>0</v>
      </c>
      <c r="DC500" s="2" t="n">
        <v>0</v>
      </c>
      <c r="DD500" s="2" t="n">
        <v>0</v>
      </c>
      <c r="DE500" s="2" t="n">
        <v>0</v>
      </c>
      <c r="DF500" s="2" t="n">
        <v>0</v>
      </c>
      <c r="DG500" s="2" t="n">
        <v>0</v>
      </c>
      <c r="DH500" s="2" t="n">
        <v>0</v>
      </c>
      <c r="DI500" s="2" t="n">
        <v>0</v>
      </c>
      <c r="DJ500" s="2" t="n">
        <v>0</v>
      </c>
      <c r="DK500" s="2" t="n">
        <v>0</v>
      </c>
      <c r="DL500" s="2" t="n">
        <v>0</v>
      </c>
      <c r="DM500" s="2" t="n">
        <v>0</v>
      </c>
      <c r="DN500" s="2" t="n">
        <v>0</v>
      </c>
      <c r="DO500" s="2" t="n">
        <v>0</v>
      </c>
      <c r="DP500" s="2" t="n">
        <v>0</v>
      </c>
      <c r="DQ500" s="2" t="n">
        <v>0</v>
      </c>
      <c r="DR500" s="2" t="n">
        <v>0</v>
      </c>
      <c r="DS500" s="2" t="n">
        <v>0</v>
      </c>
      <c r="DT500" s="2" t="n">
        <v>0</v>
      </c>
      <c r="DU500" s="2" t="n">
        <v>0</v>
      </c>
      <c r="DV500" s="2" t="n">
        <v>0</v>
      </c>
      <c r="DW500" s="2" t="n">
        <v>0</v>
      </c>
      <c r="DX500" s="2" t="n">
        <v>0</v>
      </c>
      <c r="DY500" s="2" t="n">
        <v>0</v>
      </c>
      <c r="DZ500" s="2" t="n">
        <v>0</v>
      </c>
      <c r="EA500" s="2" t="n">
        <v>0</v>
      </c>
      <c r="EB500" s="2" t="n">
        <v>31.82</v>
      </c>
      <c r="EC500" s="2" t="n">
        <v>25.76</v>
      </c>
      <c r="ED500" s="2" t="n">
        <v>0</v>
      </c>
      <c r="EE500" s="2" t="n">
        <v>63.64</v>
      </c>
      <c r="EF500" s="2" t="n">
        <v>57.58</v>
      </c>
      <c r="EG500" s="2" t="n">
        <v>0</v>
      </c>
      <c r="EH500" s="2" t="n">
        <v>98.48</v>
      </c>
      <c r="EI500" s="2" t="n">
        <v>92.42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  <c r="ET500" s="2" t="n">
        <v>100</v>
      </c>
      <c r="EU500" s="2" t="n">
        <v>100</v>
      </c>
      <c r="EV500" s="2" t="n">
        <v>0</v>
      </c>
      <c r="EW500" s="2" t="n">
        <v>100</v>
      </c>
      <c r="EX500" s="2" t="n">
        <v>100</v>
      </c>
      <c r="EY500" s="2" t="n">
        <v>0</v>
      </c>
      <c r="EZ500" s="2" t="n">
        <v>100</v>
      </c>
      <c r="FA500" s="2" t="n">
        <v>100</v>
      </c>
      <c r="FB500" s="2" t="n">
        <v>0</v>
      </c>
      <c r="FC500" s="2" t="n">
        <v>100</v>
      </c>
      <c r="FD500" s="2" t="n">
        <v>100</v>
      </c>
      <c r="FE500" s="2" t="n">
        <v>0</v>
      </c>
      <c r="FF500" s="2" t="n">
        <v>100</v>
      </c>
      <c r="FG500" s="2" t="n">
        <v>100</v>
      </c>
      <c r="FH500" s="2" t="n">
        <v>0</v>
      </c>
      <c r="FI500" s="2" t="n">
        <v>100</v>
      </c>
      <c r="FJ500" s="2" t="n">
        <v>100</v>
      </c>
      <c r="FK500" s="2" t="n">
        <v>0</v>
      </c>
      <c r="FL500" s="2" t="n">
        <v>100</v>
      </c>
      <c r="FM500" s="2" t="n">
        <v>100</v>
      </c>
      <c r="FN500" s="2" t="n">
        <v>0</v>
      </c>
      <c r="FO500" s="2" t="n">
        <v>100</v>
      </c>
      <c r="FP500" s="2" t="n">
        <v>100</v>
      </c>
      <c r="FQ500" s="2" t="n">
        <v>0</v>
      </c>
    </row>
    <row r="501">
      <c r="A501" s="2" t="n">
        <v>3</v>
      </c>
      <c r="B501" s="2" t="inlineStr">
        <is>
          <t>21.02.04</t>
        </is>
      </c>
      <c r="C501" s="2" t="inlineStr">
        <is>
          <t>Quadros De Circuitos</t>
        </is>
      </c>
      <c r="D501" s="2" t="inlineStr">
        <is>
          <t>02/08/2027</t>
        </is>
      </c>
      <c r="E501" s="2" t="inlineStr">
        <is>
          <t>18/10/2028</t>
        </is>
      </c>
      <c r="F501" s="2" t="n">
        <v>946382.4000000005</v>
      </c>
      <c r="G501" s="2" t="n">
        <v>0</v>
      </c>
      <c r="H501" s="2" t="n">
        <v>946382.4000000005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0</v>
      </c>
      <c r="BO501" s="2" t="n">
        <v>0</v>
      </c>
      <c r="BP501" s="2" t="n">
        <v>0</v>
      </c>
      <c r="BQ501" s="2" t="n">
        <v>0</v>
      </c>
      <c r="BR501" s="2" t="n">
        <v>0</v>
      </c>
      <c r="BS501" s="2" t="n">
        <v>0</v>
      </c>
      <c r="BT501" s="2" t="n">
        <v>0</v>
      </c>
      <c r="BU501" s="2" t="n">
        <v>0</v>
      </c>
      <c r="BV501" s="2" t="n">
        <v>0</v>
      </c>
      <c r="BW501" s="2" t="n">
        <v>0</v>
      </c>
      <c r="BX501" s="2" t="n">
        <v>0</v>
      </c>
      <c r="BY501" s="2" t="n">
        <v>0</v>
      </c>
      <c r="BZ501" s="2" t="n">
        <v>0</v>
      </c>
      <c r="CA501" s="2" t="n">
        <v>0</v>
      </c>
      <c r="CB501" s="2" t="n">
        <v>0</v>
      </c>
      <c r="CC501" s="2" t="n">
        <v>0</v>
      </c>
      <c r="CD501" s="2" t="n">
        <v>0</v>
      </c>
      <c r="CE501" s="2" t="n">
        <v>0</v>
      </c>
      <c r="CF501" s="2" t="n">
        <v>0</v>
      </c>
      <c r="CG501" s="2" t="n">
        <v>0</v>
      </c>
      <c r="CH501" s="2" t="n">
        <v>0</v>
      </c>
      <c r="CI501" s="2" t="n">
        <v>0</v>
      </c>
      <c r="CJ501" s="2" t="n">
        <v>0</v>
      </c>
      <c r="CK501" s="2" t="n">
        <v>0</v>
      </c>
      <c r="CL501" s="2" t="n">
        <v>0</v>
      </c>
      <c r="CM501" s="2" t="n">
        <v>0</v>
      </c>
      <c r="CN501" s="2" t="n">
        <v>0</v>
      </c>
      <c r="CO501" s="2" t="n">
        <v>0</v>
      </c>
      <c r="CP501" s="2" t="n">
        <v>0</v>
      </c>
      <c r="CQ501" s="2" t="n">
        <v>0</v>
      </c>
      <c r="CR501" s="2" t="n">
        <v>0</v>
      </c>
      <c r="CS501" s="2" t="n">
        <v>0</v>
      </c>
      <c r="CT501" s="2" t="n">
        <v>0</v>
      </c>
      <c r="CU501" s="2" t="n">
        <v>0</v>
      </c>
      <c r="CV501" s="2" t="n">
        <v>0</v>
      </c>
      <c r="CW501" s="2" t="n">
        <v>0</v>
      </c>
      <c r="CX501" s="2" t="n">
        <v>0</v>
      </c>
      <c r="CY501" s="2" t="n">
        <v>0</v>
      </c>
      <c r="CZ501" s="2" t="n">
        <v>0</v>
      </c>
      <c r="DA501" s="2" t="n">
        <v>0</v>
      </c>
      <c r="DB501" s="2" t="n">
        <v>0</v>
      </c>
      <c r="DC501" s="2" t="n">
        <v>0</v>
      </c>
      <c r="DD501" s="2" t="n">
        <v>0</v>
      </c>
      <c r="DE501" s="2" t="n">
        <v>0</v>
      </c>
      <c r="DF501" s="2" t="n">
        <v>0</v>
      </c>
      <c r="DG501" s="2" t="n">
        <v>0</v>
      </c>
      <c r="DH501" s="2" t="n">
        <v>0</v>
      </c>
      <c r="DI501" s="2" t="n">
        <v>0</v>
      </c>
      <c r="DJ501" s="2" t="n">
        <v>6.06</v>
      </c>
      <c r="DK501" s="2" t="n">
        <v>0</v>
      </c>
      <c r="DL501" s="2" t="n">
        <v>0</v>
      </c>
      <c r="DM501" s="2" t="n">
        <v>7.88</v>
      </c>
      <c r="DN501" s="2" t="n">
        <v>4.24</v>
      </c>
      <c r="DO501" s="2" t="n">
        <v>0</v>
      </c>
      <c r="DP501" s="2" t="n">
        <v>25.62</v>
      </c>
      <c r="DQ501" s="2" t="n">
        <v>19.56</v>
      </c>
      <c r="DR501" s="2" t="n">
        <v>0</v>
      </c>
      <c r="DS501" s="2" t="n">
        <v>29.26</v>
      </c>
      <c r="DT501" s="2" t="n">
        <v>19.56</v>
      </c>
      <c r="DU501" s="2" t="n">
        <v>0</v>
      </c>
      <c r="DV501" s="2" t="n">
        <v>51.37</v>
      </c>
      <c r="DW501" s="2" t="n">
        <v>43.99</v>
      </c>
      <c r="DX501" s="2" t="n">
        <v>0</v>
      </c>
      <c r="DY501" s="2" t="n">
        <v>57.79</v>
      </c>
      <c r="DZ501" s="2" t="n">
        <v>48.23</v>
      </c>
      <c r="EA501" s="2" t="n">
        <v>0</v>
      </c>
      <c r="EB501" s="2" t="n">
        <v>67.28</v>
      </c>
      <c r="EC501" s="2" t="n">
        <v>54.76</v>
      </c>
      <c r="ED501" s="2" t="n">
        <v>0</v>
      </c>
      <c r="EE501" s="2" t="n">
        <v>78.79000000000001</v>
      </c>
      <c r="EF501" s="2" t="n">
        <v>60.82</v>
      </c>
      <c r="EG501" s="2" t="n">
        <v>0</v>
      </c>
      <c r="EH501" s="2" t="n">
        <v>84.84999999999999</v>
      </c>
      <c r="EI501" s="2" t="n">
        <v>66.28</v>
      </c>
      <c r="EJ501" s="2" t="n">
        <v>0</v>
      </c>
      <c r="EK501" s="2" t="n">
        <v>93.33</v>
      </c>
      <c r="EL501" s="2" t="n">
        <v>73.34</v>
      </c>
      <c r="EM501" s="2" t="n">
        <v>0</v>
      </c>
      <c r="EN501" s="2" t="n">
        <v>100</v>
      </c>
      <c r="EO501" s="2" t="n">
        <v>79.7</v>
      </c>
      <c r="EP501" s="2" t="n">
        <v>0</v>
      </c>
      <c r="EQ501" s="2" t="n">
        <v>100</v>
      </c>
      <c r="ER501" s="2" t="n">
        <v>84.55</v>
      </c>
      <c r="ES501" s="2" t="n">
        <v>0</v>
      </c>
      <c r="ET501" s="2" t="n">
        <v>100</v>
      </c>
      <c r="EU501" s="2" t="n">
        <v>87.88</v>
      </c>
      <c r="EV501" s="2" t="n">
        <v>0</v>
      </c>
      <c r="EW501" s="2" t="n">
        <v>100</v>
      </c>
      <c r="EX501" s="2" t="n">
        <v>93.33</v>
      </c>
      <c r="EY501" s="2" t="n">
        <v>0</v>
      </c>
      <c r="EZ501" s="2" t="n">
        <v>100</v>
      </c>
      <c r="FA501" s="2" t="n">
        <v>96.97</v>
      </c>
      <c r="FB501" s="2" t="n">
        <v>0</v>
      </c>
      <c r="FC501" s="2" t="n">
        <v>100</v>
      </c>
      <c r="FD501" s="2" t="n">
        <v>100</v>
      </c>
      <c r="FE501" s="2" t="n">
        <v>0</v>
      </c>
      <c r="FF501" s="2" t="n">
        <v>100</v>
      </c>
      <c r="FG501" s="2" t="n">
        <v>100</v>
      </c>
      <c r="FH501" s="2" t="n">
        <v>0</v>
      </c>
      <c r="FI501" s="2" t="n">
        <v>100</v>
      </c>
      <c r="FJ501" s="2" t="n">
        <v>100</v>
      </c>
      <c r="FK501" s="2" t="n">
        <v>0</v>
      </c>
      <c r="FL501" s="2" t="n">
        <v>100</v>
      </c>
      <c r="FM501" s="2" t="n">
        <v>100</v>
      </c>
      <c r="FN501" s="2" t="n">
        <v>0</v>
      </c>
      <c r="FO501" s="2" t="n">
        <v>100</v>
      </c>
      <c r="FP501" s="2" t="n">
        <v>100</v>
      </c>
      <c r="FQ501" s="2" t="n">
        <v>0</v>
      </c>
    </row>
    <row r="502">
      <c r="A502" s="2" t="n">
        <v>3</v>
      </c>
      <c r="B502" s="2" t="inlineStr">
        <is>
          <t>21.02.05</t>
        </is>
      </c>
      <c r="C502" s="2" t="inlineStr">
        <is>
          <t>Fiação de distribuição</t>
        </is>
      </c>
      <c r="D502" s="2" t="inlineStr">
        <is>
          <t>13/01/2027</t>
        </is>
      </c>
      <c r="E502" s="2" t="inlineStr">
        <is>
          <t>17/04/2028</t>
        </is>
      </c>
      <c r="F502" s="2" t="n">
        <v>1251217.152</v>
      </c>
      <c r="G502" s="2" t="n">
        <v>0</v>
      </c>
      <c r="H502" s="2" t="n">
        <v>1251217.152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0</v>
      </c>
      <c r="CM502" s="2" t="n">
        <v>0</v>
      </c>
      <c r="CN502" s="2" t="n">
        <v>0</v>
      </c>
      <c r="CO502" s="2" t="n">
        <v>0</v>
      </c>
      <c r="CP502" s="2" t="n">
        <v>0</v>
      </c>
      <c r="CQ502" s="2" t="n">
        <v>0</v>
      </c>
      <c r="CR502" s="2" t="n">
        <v>1.29</v>
      </c>
      <c r="CS502" s="2" t="n">
        <v>1.12</v>
      </c>
      <c r="CT502" s="2" t="n">
        <v>0</v>
      </c>
      <c r="CU502" s="2" t="n">
        <v>2.05</v>
      </c>
      <c r="CV502" s="2" t="n">
        <v>2.15</v>
      </c>
      <c r="CW502" s="2" t="n">
        <v>0</v>
      </c>
      <c r="CX502" s="2" t="n">
        <v>8.24</v>
      </c>
      <c r="CY502" s="2" t="n">
        <v>4.63</v>
      </c>
      <c r="CZ502" s="2" t="n">
        <v>0</v>
      </c>
      <c r="DA502" s="2" t="n">
        <v>12.7</v>
      </c>
      <c r="DB502" s="2" t="n">
        <v>9.31</v>
      </c>
      <c r="DC502" s="2" t="n">
        <v>0</v>
      </c>
      <c r="DD502" s="2" t="n">
        <v>17.12</v>
      </c>
      <c r="DE502" s="2" t="n">
        <v>14.76</v>
      </c>
      <c r="DF502" s="2" t="n">
        <v>0</v>
      </c>
      <c r="DG502" s="2" t="n">
        <v>20.07</v>
      </c>
      <c r="DH502" s="2" t="n">
        <v>17.12</v>
      </c>
      <c r="DI502" s="2" t="n">
        <v>0</v>
      </c>
      <c r="DJ502" s="2" t="n">
        <v>25.96</v>
      </c>
      <c r="DK502" s="2" t="n">
        <v>20.89</v>
      </c>
      <c r="DL502" s="2" t="n">
        <v>0</v>
      </c>
      <c r="DM502" s="2" t="n">
        <v>34.01</v>
      </c>
      <c r="DN502" s="2" t="n">
        <v>30.87</v>
      </c>
      <c r="DO502" s="2" t="n">
        <v>0</v>
      </c>
      <c r="DP502" s="2" t="n">
        <v>56.23</v>
      </c>
      <c r="DQ502" s="2" t="n">
        <v>50.36</v>
      </c>
      <c r="DR502" s="2" t="n">
        <v>0</v>
      </c>
      <c r="DS502" s="2" t="n">
        <v>71.09</v>
      </c>
      <c r="DT502" s="2" t="n">
        <v>70.3</v>
      </c>
      <c r="DU502" s="2" t="n">
        <v>0</v>
      </c>
      <c r="DV502" s="2" t="n">
        <v>79.68000000000001</v>
      </c>
      <c r="DW502" s="2" t="n">
        <v>78.56999999999999</v>
      </c>
      <c r="DX502" s="2" t="n">
        <v>0</v>
      </c>
      <c r="DY502" s="2" t="n">
        <v>83.94</v>
      </c>
      <c r="DZ502" s="2" t="n">
        <v>81.12</v>
      </c>
      <c r="EA502" s="2" t="n">
        <v>0</v>
      </c>
      <c r="EB502" s="2" t="n">
        <v>93.12</v>
      </c>
      <c r="EC502" s="2" t="n">
        <v>89.38</v>
      </c>
      <c r="ED502" s="2" t="n">
        <v>0</v>
      </c>
      <c r="EE502" s="2" t="n">
        <v>99.34</v>
      </c>
      <c r="EF502" s="2" t="n">
        <v>93.51000000000001</v>
      </c>
      <c r="EG502" s="2" t="n">
        <v>0</v>
      </c>
      <c r="EH502" s="2" t="n">
        <v>100</v>
      </c>
      <c r="EI502" s="2" t="n">
        <v>98.03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  <c r="ET502" s="2" t="n">
        <v>100</v>
      </c>
      <c r="EU502" s="2" t="n">
        <v>100</v>
      </c>
      <c r="EV502" s="2" t="n">
        <v>0</v>
      </c>
      <c r="EW502" s="2" t="n">
        <v>100</v>
      </c>
      <c r="EX502" s="2" t="n">
        <v>100</v>
      </c>
      <c r="EY502" s="2" t="n">
        <v>0</v>
      </c>
      <c r="EZ502" s="2" t="n">
        <v>100</v>
      </c>
      <c r="FA502" s="2" t="n">
        <v>100</v>
      </c>
      <c r="FB502" s="2" t="n">
        <v>0</v>
      </c>
      <c r="FC502" s="2" t="n">
        <v>100</v>
      </c>
      <c r="FD502" s="2" t="n">
        <v>100</v>
      </c>
      <c r="FE502" s="2" t="n">
        <v>0</v>
      </c>
      <c r="FF502" s="2" t="n">
        <v>100</v>
      </c>
      <c r="FG502" s="2" t="n">
        <v>100</v>
      </c>
      <c r="FH502" s="2" t="n">
        <v>0</v>
      </c>
      <c r="FI502" s="2" t="n">
        <v>100</v>
      </c>
      <c r="FJ502" s="2" t="n">
        <v>100</v>
      </c>
      <c r="FK502" s="2" t="n">
        <v>0</v>
      </c>
      <c r="FL502" s="2" t="n">
        <v>100</v>
      </c>
      <c r="FM502" s="2" t="n">
        <v>100</v>
      </c>
      <c r="FN502" s="2" t="n">
        <v>0</v>
      </c>
      <c r="FO502" s="2" t="n">
        <v>100</v>
      </c>
      <c r="FP502" s="2" t="n">
        <v>100</v>
      </c>
      <c r="FQ502" s="2" t="n">
        <v>0</v>
      </c>
    </row>
    <row r="503">
      <c r="A503" s="2" t="n">
        <v>3</v>
      </c>
      <c r="B503" s="2" t="inlineStr">
        <is>
          <t>21.02.06</t>
        </is>
      </c>
      <c r="C503" s="2" t="inlineStr">
        <is>
          <t>Tubulação E Caixas em Lajes</t>
        </is>
      </c>
      <c r="D503" s="2" t="inlineStr">
        <is>
          <t>04/08/2026</t>
        </is>
      </c>
      <c r="E503" s="2" t="inlineStr">
        <is>
          <t>14/10/2027</t>
        </is>
      </c>
      <c r="F503" s="2" t="n">
        <v>519613.7472000003</v>
      </c>
      <c r="G503" s="2" t="n">
        <v>0</v>
      </c>
      <c r="H503" s="2" t="n">
        <v>519613.7472000003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2.79</v>
      </c>
      <c r="CE503" s="2" t="n">
        <v>2.23</v>
      </c>
      <c r="CF503" s="2" t="n">
        <v>20.13</v>
      </c>
      <c r="CG503" s="2" t="n">
        <v>18.46</v>
      </c>
      <c r="CH503" s="2" t="n">
        <v>11.59</v>
      </c>
      <c r="CI503" s="2" t="n">
        <v>25.14</v>
      </c>
      <c r="CJ503" s="2" t="n">
        <v>22.66</v>
      </c>
      <c r="CK503" s="2" t="n">
        <v>11.59</v>
      </c>
      <c r="CL503" s="2" t="n">
        <v>30.41</v>
      </c>
      <c r="CM503" s="2" t="n">
        <v>28.86</v>
      </c>
      <c r="CN503" s="2" t="n">
        <v>11.59</v>
      </c>
      <c r="CO503" s="2" t="n">
        <v>30.41</v>
      </c>
      <c r="CP503" s="2" t="n">
        <v>30.41</v>
      </c>
      <c r="CQ503" s="2" t="n">
        <v>11.59</v>
      </c>
      <c r="CR503" s="2" t="n">
        <v>33.2</v>
      </c>
      <c r="CS503" s="2" t="n">
        <v>33.2</v>
      </c>
      <c r="CT503" s="2" t="n">
        <v>11.59</v>
      </c>
      <c r="CU503" s="2" t="n">
        <v>38.03</v>
      </c>
      <c r="CV503" s="2" t="n">
        <v>38.03</v>
      </c>
      <c r="CW503" s="2" t="n">
        <v>11.59</v>
      </c>
      <c r="CX503" s="2" t="n">
        <v>44.72</v>
      </c>
      <c r="CY503" s="2" t="n">
        <v>44.72</v>
      </c>
      <c r="CZ503" s="2" t="n">
        <v>11.59</v>
      </c>
      <c r="DA503" s="2" t="n">
        <v>51.54</v>
      </c>
      <c r="DB503" s="2" t="n">
        <v>51.54</v>
      </c>
      <c r="DC503" s="2" t="n">
        <v>11.59</v>
      </c>
      <c r="DD503" s="2" t="n">
        <v>58.96</v>
      </c>
      <c r="DE503" s="2" t="n">
        <v>58.96</v>
      </c>
      <c r="DF503" s="2" t="n">
        <v>11.59</v>
      </c>
      <c r="DG503" s="2" t="n">
        <v>66.16</v>
      </c>
      <c r="DH503" s="2" t="n">
        <v>66.16</v>
      </c>
      <c r="DI503" s="2" t="n">
        <v>11.59</v>
      </c>
      <c r="DJ503" s="2" t="n">
        <v>84.63</v>
      </c>
      <c r="DK503" s="2" t="n">
        <v>84.63</v>
      </c>
      <c r="DL503" s="2" t="n">
        <v>11.59</v>
      </c>
      <c r="DM503" s="2" t="n">
        <v>91.76000000000001</v>
      </c>
      <c r="DN503" s="2" t="n">
        <v>91.76000000000001</v>
      </c>
      <c r="DO503" s="2" t="n">
        <v>11.59</v>
      </c>
      <c r="DP503" s="2" t="n">
        <v>97.84999999999999</v>
      </c>
      <c r="DQ503" s="2" t="n">
        <v>97.84999999999999</v>
      </c>
      <c r="DR503" s="2" t="n">
        <v>11.59</v>
      </c>
      <c r="DS503" s="2" t="n">
        <v>100</v>
      </c>
      <c r="DT503" s="2" t="n">
        <v>100</v>
      </c>
      <c r="DU503" s="2" t="n">
        <v>11.59</v>
      </c>
      <c r="DV503" s="2" t="n">
        <v>100</v>
      </c>
      <c r="DW503" s="2" t="n">
        <v>100</v>
      </c>
      <c r="DX503" s="2" t="n">
        <v>11.59</v>
      </c>
      <c r="DY503" s="2" t="n">
        <v>100</v>
      </c>
      <c r="DZ503" s="2" t="n">
        <v>100</v>
      </c>
      <c r="EA503" s="2" t="n">
        <v>11.59</v>
      </c>
      <c r="EB503" s="2" t="n">
        <v>100</v>
      </c>
      <c r="EC503" s="2" t="n">
        <v>100</v>
      </c>
      <c r="ED503" s="2" t="n">
        <v>11.59</v>
      </c>
      <c r="EE503" s="2" t="n">
        <v>100</v>
      </c>
      <c r="EF503" s="2" t="n">
        <v>100</v>
      </c>
      <c r="EG503" s="2" t="n">
        <v>11.59</v>
      </c>
      <c r="EH503" s="2" t="n">
        <v>100</v>
      </c>
      <c r="EI503" s="2" t="n">
        <v>100</v>
      </c>
      <c r="EJ503" s="2" t="n">
        <v>11.59</v>
      </c>
      <c r="EK503" s="2" t="n">
        <v>100</v>
      </c>
      <c r="EL503" s="2" t="n">
        <v>100</v>
      </c>
      <c r="EM503" s="2" t="n">
        <v>11.59</v>
      </c>
      <c r="EN503" s="2" t="n">
        <v>100</v>
      </c>
      <c r="EO503" s="2" t="n">
        <v>100</v>
      </c>
      <c r="EP503" s="2" t="n">
        <v>11.59</v>
      </c>
      <c r="EQ503" s="2" t="n">
        <v>100</v>
      </c>
      <c r="ER503" s="2" t="n">
        <v>100</v>
      </c>
      <c r="ES503" s="2" t="n">
        <v>11.59</v>
      </c>
      <c r="ET503" s="2" t="n">
        <v>100</v>
      </c>
      <c r="EU503" s="2" t="n">
        <v>100</v>
      </c>
      <c r="EV503" s="2" t="n">
        <v>11.59</v>
      </c>
      <c r="EW503" s="2" t="n">
        <v>100</v>
      </c>
      <c r="EX503" s="2" t="n">
        <v>100</v>
      </c>
      <c r="EY503" s="2" t="n">
        <v>11.59</v>
      </c>
      <c r="EZ503" s="2" t="n">
        <v>100</v>
      </c>
      <c r="FA503" s="2" t="n">
        <v>100</v>
      </c>
      <c r="FB503" s="2" t="n">
        <v>11.59</v>
      </c>
      <c r="FC503" s="2" t="n">
        <v>100</v>
      </c>
      <c r="FD503" s="2" t="n">
        <v>100</v>
      </c>
      <c r="FE503" s="2" t="n">
        <v>11.59</v>
      </c>
      <c r="FF503" s="2" t="n">
        <v>100</v>
      </c>
      <c r="FG503" s="2" t="n">
        <v>100</v>
      </c>
      <c r="FH503" s="2" t="n">
        <v>11.59</v>
      </c>
      <c r="FI503" s="2" t="n">
        <v>100</v>
      </c>
      <c r="FJ503" s="2" t="n">
        <v>100</v>
      </c>
      <c r="FK503" s="2" t="n">
        <v>11.59</v>
      </c>
      <c r="FL503" s="2" t="n">
        <v>100</v>
      </c>
      <c r="FM503" s="2" t="n">
        <v>100</v>
      </c>
      <c r="FN503" s="2" t="n">
        <v>11.59</v>
      </c>
      <c r="FO503" s="2" t="n">
        <v>100</v>
      </c>
      <c r="FP503" s="2" t="n">
        <v>100</v>
      </c>
      <c r="FQ503" s="2" t="n">
        <v>11.59</v>
      </c>
    </row>
    <row r="504">
      <c r="A504" s="2" t="n">
        <v>3</v>
      </c>
      <c r="B504" s="2" t="inlineStr">
        <is>
          <t>21.02.07</t>
        </is>
      </c>
      <c r="C504" s="2" t="inlineStr">
        <is>
          <t>Tubulação E Caixas em Paredes</t>
        </is>
      </c>
      <c r="D504" s="2" t="inlineStr">
        <is>
          <t>04/08/2026</t>
        </is>
      </c>
      <c r="E504" s="2" t="inlineStr">
        <is>
          <t>14/10/2027</t>
        </is>
      </c>
      <c r="F504" s="2" t="n">
        <v>580580.6976000002</v>
      </c>
      <c r="G504" s="2" t="n">
        <v>0</v>
      </c>
      <c r="H504" s="2" t="n">
        <v>580580.6976000002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2.79</v>
      </c>
      <c r="CE504" s="2" t="n">
        <v>2.23</v>
      </c>
      <c r="CF504" s="2" t="n">
        <v>20.13</v>
      </c>
      <c r="CG504" s="2" t="n">
        <v>18.46</v>
      </c>
      <c r="CH504" s="2" t="n">
        <v>11.59</v>
      </c>
      <c r="CI504" s="2" t="n">
        <v>25.14</v>
      </c>
      <c r="CJ504" s="2" t="n">
        <v>22.66</v>
      </c>
      <c r="CK504" s="2" t="n">
        <v>11.59</v>
      </c>
      <c r="CL504" s="2" t="n">
        <v>30.41</v>
      </c>
      <c r="CM504" s="2" t="n">
        <v>28.86</v>
      </c>
      <c r="CN504" s="2" t="n">
        <v>11.59</v>
      </c>
      <c r="CO504" s="2" t="n">
        <v>30.41</v>
      </c>
      <c r="CP504" s="2" t="n">
        <v>30.41</v>
      </c>
      <c r="CQ504" s="2" t="n">
        <v>11.59</v>
      </c>
      <c r="CR504" s="2" t="n">
        <v>33.2</v>
      </c>
      <c r="CS504" s="2" t="n">
        <v>33.2</v>
      </c>
      <c r="CT504" s="2" t="n">
        <v>11.59</v>
      </c>
      <c r="CU504" s="2" t="n">
        <v>38.03</v>
      </c>
      <c r="CV504" s="2" t="n">
        <v>38.03</v>
      </c>
      <c r="CW504" s="2" t="n">
        <v>11.59</v>
      </c>
      <c r="CX504" s="2" t="n">
        <v>44.72</v>
      </c>
      <c r="CY504" s="2" t="n">
        <v>44.72</v>
      </c>
      <c r="CZ504" s="2" t="n">
        <v>11.59</v>
      </c>
      <c r="DA504" s="2" t="n">
        <v>51.54</v>
      </c>
      <c r="DB504" s="2" t="n">
        <v>51.54</v>
      </c>
      <c r="DC504" s="2" t="n">
        <v>11.59</v>
      </c>
      <c r="DD504" s="2" t="n">
        <v>58.96</v>
      </c>
      <c r="DE504" s="2" t="n">
        <v>58.96</v>
      </c>
      <c r="DF504" s="2" t="n">
        <v>11.59</v>
      </c>
      <c r="DG504" s="2" t="n">
        <v>66.16</v>
      </c>
      <c r="DH504" s="2" t="n">
        <v>66.16</v>
      </c>
      <c r="DI504" s="2" t="n">
        <v>11.59</v>
      </c>
      <c r="DJ504" s="2" t="n">
        <v>84.63</v>
      </c>
      <c r="DK504" s="2" t="n">
        <v>84.63</v>
      </c>
      <c r="DL504" s="2" t="n">
        <v>11.59</v>
      </c>
      <c r="DM504" s="2" t="n">
        <v>91.76000000000001</v>
      </c>
      <c r="DN504" s="2" t="n">
        <v>91.76000000000001</v>
      </c>
      <c r="DO504" s="2" t="n">
        <v>11.59</v>
      </c>
      <c r="DP504" s="2" t="n">
        <v>97.84999999999999</v>
      </c>
      <c r="DQ504" s="2" t="n">
        <v>97.84999999999999</v>
      </c>
      <c r="DR504" s="2" t="n">
        <v>11.59</v>
      </c>
      <c r="DS504" s="2" t="n">
        <v>100</v>
      </c>
      <c r="DT504" s="2" t="n">
        <v>100</v>
      </c>
      <c r="DU504" s="2" t="n">
        <v>11.59</v>
      </c>
      <c r="DV504" s="2" t="n">
        <v>100</v>
      </c>
      <c r="DW504" s="2" t="n">
        <v>100</v>
      </c>
      <c r="DX504" s="2" t="n">
        <v>11.59</v>
      </c>
      <c r="DY504" s="2" t="n">
        <v>100</v>
      </c>
      <c r="DZ504" s="2" t="n">
        <v>100</v>
      </c>
      <c r="EA504" s="2" t="n">
        <v>11.59</v>
      </c>
      <c r="EB504" s="2" t="n">
        <v>100</v>
      </c>
      <c r="EC504" s="2" t="n">
        <v>100</v>
      </c>
      <c r="ED504" s="2" t="n">
        <v>11.59</v>
      </c>
      <c r="EE504" s="2" t="n">
        <v>100</v>
      </c>
      <c r="EF504" s="2" t="n">
        <v>100</v>
      </c>
      <c r="EG504" s="2" t="n">
        <v>11.59</v>
      </c>
      <c r="EH504" s="2" t="n">
        <v>100</v>
      </c>
      <c r="EI504" s="2" t="n">
        <v>100</v>
      </c>
      <c r="EJ504" s="2" t="n">
        <v>11.59</v>
      </c>
      <c r="EK504" s="2" t="n">
        <v>100</v>
      </c>
      <c r="EL504" s="2" t="n">
        <v>100</v>
      </c>
      <c r="EM504" s="2" t="n">
        <v>11.59</v>
      </c>
      <c r="EN504" s="2" t="n">
        <v>100</v>
      </c>
      <c r="EO504" s="2" t="n">
        <v>100</v>
      </c>
      <c r="EP504" s="2" t="n">
        <v>11.59</v>
      </c>
      <c r="EQ504" s="2" t="n">
        <v>100</v>
      </c>
      <c r="ER504" s="2" t="n">
        <v>100</v>
      </c>
      <c r="ES504" s="2" t="n">
        <v>11.59</v>
      </c>
      <c r="ET504" s="2" t="n">
        <v>100</v>
      </c>
      <c r="EU504" s="2" t="n">
        <v>100</v>
      </c>
      <c r="EV504" s="2" t="n">
        <v>11.59</v>
      </c>
      <c r="EW504" s="2" t="n">
        <v>100</v>
      </c>
      <c r="EX504" s="2" t="n">
        <v>100</v>
      </c>
      <c r="EY504" s="2" t="n">
        <v>11.59</v>
      </c>
      <c r="EZ504" s="2" t="n">
        <v>100</v>
      </c>
      <c r="FA504" s="2" t="n">
        <v>100</v>
      </c>
      <c r="FB504" s="2" t="n">
        <v>11.59</v>
      </c>
      <c r="FC504" s="2" t="n">
        <v>100</v>
      </c>
      <c r="FD504" s="2" t="n">
        <v>100</v>
      </c>
      <c r="FE504" s="2" t="n">
        <v>11.59</v>
      </c>
      <c r="FF504" s="2" t="n">
        <v>100</v>
      </c>
      <c r="FG504" s="2" t="n">
        <v>100</v>
      </c>
      <c r="FH504" s="2" t="n">
        <v>11.59</v>
      </c>
      <c r="FI504" s="2" t="n">
        <v>100</v>
      </c>
      <c r="FJ504" s="2" t="n">
        <v>100</v>
      </c>
      <c r="FK504" s="2" t="n">
        <v>11.59</v>
      </c>
      <c r="FL504" s="2" t="n">
        <v>100</v>
      </c>
      <c r="FM504" s="2" t="n">
        <v>100</v>
      </c>
      <c r="FN504" s="2" t="n">
        <v>11.59</v>
      </c>
      <c r="FO504" s="2" t="n">
        <v>100</v>
      </c>
      <c r="FP504" s="2" t="n">
        <v>100</v>
      </c>
      <c r="FQ504" s="2" t="n">
        <v>11.59</v>
      </c>
    </row>
    <row r="505">
      <c r="A505" s="2" t="n">
        <v>3</v>
      </c>
      <c r="B505" s="2" t="inlineStr">
        <is>
          <t>21.02.08</t>
        </is>
      </c>
      <c r="C505" s="2" t="inlineStr">
        <is>
          <t>Tomadas, Interruptores e Sensores</t>
        </is>
      </c>
      <c r="D505" s="2" t="inlineStr">
        <is>
          <t>07/10/2027</t>
        </is>
      </c>
      <c r="E505" s="2" t="inlineStr">
        <is>
          <t>09/01/2029</t>
        </is>
      </c>
      <c r="F505" s="2" t="n">
        <v>641547.6480000003</v>
      </c>
      <c r="G505" s="2" t="n">
        <v>0</v>
      </c>
      <c r="H505" s="2" t="n">
        <v>641547.6480000003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</v>
      </c>
      <c r="BY505" s="2" t="n">
        <v>0</v>
      </c>
      <c r="BZ505" s="2" t="n">
        <v>0</v>
      </c>
      <c r="CA505" s="2" t="n">
        <v>0</v>
      </c>
      <c r="CB505" s="2" t="n">
        <v>0</v>
      </c>
      <c r="CC505" s="2" t="n">
        <v>0</v>
      </c>
      <c r="CD505" s="2" t="n">
        <v>0</v>
      </c>
      <c r="CE505" s="2" t="n">
        <v>0</v>
      </c>
      <c r="CF505" s="2" t="n">
        <v>0</v>
      </c>
      <c r="CG505" s="2" t="n">
        <v>0</v>
      </c>
      <c r="CH505" s="2" t="n">
        <v>0</v>
      </c>
      <c r="CI505" s="2" t="n">
        <v>0</v>
      </c>
      <c r="CJ505" s="2" t="n">
        <v>0</v>
      </c>
      <c r="CK505" s="2" t="n">
        <v>0</v>
      </c>
      <c r="CL505" s="2" t="n">
        <v>0</v>
      </c>
      <c r="CM505" s="2" t="n">
        <v>0</v>
      </c>
      <c r="CN505" s="2" t="n">
        <v>0</v>
      </c>
      <c r="CO505" s="2" t="n">
        <v>0</v>
      </c>
      <c r="CP505" s="2" t="n">
        <v>0</v>
      </c>
      <c r="CQ505" s="2" t="n">
        <v>0</v>
      </c>
      <c r="CR505" s="2" t="n">
        <v>0</v>
      </c>
      <c r="CS505" s="2" t="n">
        <v>0</v>
      </c>
      <c r="CT505" s="2" t="n">
        <v>0</v>
      </c>
      <c r="CU505" s="2" t="n">
        <v>0</v>
      </c>
      <c r="CV505" s="2" t="n">
        <v>0</v>
      </c>
      <c r="CW505" s="2" t="n">
        <v>0</v>
      </c>
      <c r="CX505" s="2" t="n">
        <v>0</v>
      </c>
      <c r="CY505" s="2" t="n">
        <v>0</v>
      </c>
      <c r="CZ505" s="2" t="n">
        <v>0</v>
      </c>
      <c r="DA505" s="2" t="n">
        <v>0</v>
      </c>
      <c r="DB505" s="2" t="n">
        <v>0</v>
      </c>
      <c r="DC505" s="2" t="n">
        <v>0</v>
      </c>
      <c r="DD505" s="2" t="n">
        <v>0</v>
      </c>
      <c r="DE505" s="2" t="n">
        <v>0</v>
      </c>
      <c r="DF505" s="2" t="n">
        <v>0</v>
      </c>
      <c r="DG505" s="2" t="n">
        <v>0</v>
      </c>
      <c r="DH505" s="2" t="n">
        <v>0</v>
      </c>
      <c r="DI505" s="2" t="n">
        <v>0</v>
      </c>
      <c r="DJ505" s="2" t="n">
        <v>0</v>
      </c>
      <c r="DK505" s="2" t="n">
        <v>0</v>
      </c>
      <c r="DL505" s="2" t="n">
        <v>0</v>
      </c>
      <c r="DM505" s="2" t="n">
        <v>4.59</v>
      </c>
      <c r="DN505" s="2" t="n">
        <v>0</v>
      </c>
      <c r="DO505" s="2" t="n">
        <v>0</v>
      </c>
      <c r="DP505" s="2" t="n">
        <v>7.51</v>
      </c>
      <c r="DQ505" s="2" t="n">
        <v>0</v>
      </c>
      <c r="DR505" s="2" t="n">
        <v>0</v>
      </c>
      <c r="DS505" s="2" t="n">
        <v>17.09</v>
      </c>
      <c r="DT505" s="2" t="n">
        <v>7.1</v>
      </c>
      <c r="DU505" s="2" t="n">
        <v>0</v>
      </c>
      <c r="DV505" s="2" t="n">
        <v>20.8</v>
      </c>
      <c r="DW505" s="2" t="n">
        <v>13.29</v>
      </c>
      <c r="DX505" s="2" t="n">
        <v>0</v>
      </c>
      <c r="DY505" s="2" t="n">
        <v>26.29</v>
      </c>
      <c r="DZ505" s="2" t="n">
        <v>14.27</v>
      </c>
      <c r="EA505" s="2" t="n">
        <v>0</v>
      </c>
      <c r="EB505" s="2" t="n">
        <v>37.46</v>
      </c>
      <c r="EC505" s="2" t="n">
        <v>17.73</v>
      </c>
      <c r="ED505" s="2" t="n">
        <v>0</v>
      </c>
      <c r="EE505" s="2" t="n">
        <v>50.57</v>
      </c>
      <c r="EF505" s="2" t="n">
        <v>31.83</v>
      </c>
      <c r="EG505" s="2" t="n">
        <v>0</v>
      </c>
      <c r="EH505" s="2" t="n">
        <v>64.48</v>
      </c>
      <c r="EI505" s="2" t="n">
        <v>39.56</v>
      </c>
      <c r="EJ505" s="2" t="n">
        <v>0</v>
      </c>
      <c r="EK505" s="2" t="n">
        <v>72.43000000000001</v>
      </c>
      <c r="EL505" s="2" t="n">
        <v>44.47</v>
      </c>
      <c r="EM505" s="2" t="n">
        <v>0</v>
      </c>
      <c r="EN505" s="2" t="n">
        <v>84.94</v>
      </c>
      <c r="EO505" s="2" t="n">
        <v>49.34</v>
      </c>
      <c r="EP505" s="2" t="n">
        <v>0</v>
      </c>
      <c r="EQ505" s="2" t="n">
        <v>95</v>
      </c>
      <c r="ER505" s="2" t="n">
        <v>60.86</v>
      </c>
      <c r="ES505" s="2" t="n">
        <v>0</v>
      </c>
      <c r="ET505" s="2" t="n">
        <v>100</v>
      </c>
      <c r="EU505" s="2" t="n">
        <v>71.86</v>
      </c>
      <c r="EV505" s="2" t="n">
        <v>0</v>
      </c>
      <c r="EW505" s="2" t="n">
        <v>100</v>
      </c>
      <c r="EX505" s="2" t="n">
        <v>77.48</v>
      </c>
      <c r="EY505" s="2" t="n">
        <v>0</v>
      </c>
      <c r="EZ505" s="2" t="n">
        <v>100</v>
      </c>
      <c r="FA505" s="2" t="n">
        <v>82.36</v>
      </c>
      <c r="FB505" s="2" t="n">
        <v>0</v>
      </c>
      <c r="FC505" s="2" t="n">
        <v>100</v>
      </c>
      <c r="FD505" s="2" t="n">
        <v>88.37</v>
      </c>
      <c r="FE505" s="2" t="n">
        <v>0</v>
      </c>
      <c r="FF505" s="2" t="n">
        <v>100</v>
      </c>
      <c r="FG505" s="2" t="n">
        <v>92.48999999999999</v>
      </c>
      <c r="FH505" s="2" t="n">
        <v>0</v>
      </c>
      <c r="FI505" s="2" t="n">
        <v>100</v>
      </c>
      <c r="FJ505" s="2" t="n">
        <v>97.75</v>
      </c>
      <c r="FK505" s="2" t="n">
        <v>0</v>
      </c>
      <c r="FL505" s="2" t="n">
        <v>100</v>
      </c>
      <c r="FM505" s="2" t="n">
        <v>100</v>
      </c>
      <c r="FN505" s="2" t="n">
        <v>0</v>
      </c>
      <c r="FO505" s="2" t="n">
        <v>100</v>
      </c>
      <c r="FP505" s="2" t="n">
        <v>100</v>
      </c>
      <c r="FQ505" s="2" t="n">
        <v>0</v>
      </c>
    </row>
    <row r="506">
      <c r="A506" s="2" t="n">
        <v>3</v>
      </c>
      <c r="B506" s="2" t="inlineStr">
        <is>
          <t>21.02.09</t>
        </is>
      </c>
      <c r="C506" s="2" t="inlineStr">
        <is>
          <t>Placas e acabamentos</t>
        </is>
      </c>
      <c r="D506" s="2" t="inlineStr">
        <is>
          <t>07/10/2027</t>
        </is>
      </c>
      <c r="E506" s="2" t="inlineStr">
        <is>
          <t>09/01/2029</t>
        </is>
      </c>
      <c r="F506" s="2" t="n">
        <v>519613.7472000003</v>
      </c>
      <c r="G506" s="2" t="n">
        <v>0</v>
      </c>
      <c r="H506" s="2" t="n">
        <v>519613.7472000003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0</v>
      </c>
      <c r="BX506" s="2" t="n">
        <v>0</v>
      </c>
      <c r="BY506" s="2" t="n">
        <v>0</v>
      </c>
      <c r="BZ506" s="2" t="n">
        <v>0</v>
      </c>
      <c r="CA506" s="2" t="n">
        <v>0</v>
      </c>
      <c r="CB506" s="2" t="n">
        <v>0</v>
      </c>
      <c r="CC506" s="2" t="n">
        <v>0</v>
      </c>
      <c r="CD506" s="2" t="n">
        <v>0</v>
      </c>
      <c r="CE506" s="2" t="n">
        <v>0</v>
      </c>
      <c r="CF506" s="2" t="n">
        <v>0</v>
      </c>
      <c r="CG506" s="2" t="n">
        <v>0</v>
      </c>
      <c r="CH506" s="2" t="n">
        <v>0</v>
      </c>
      <c r="CI506" s="2" t="n">
        <v>0</v>
      </c>
      <c r="CJ506" s="2" t="n">
        <v>0</v>
      </c>
      <c r="CK506" s="2" t="n">
        <v>0</v>
      </c>
      <c r="CL506" s="2" t="n">
        <v>0</v>
      </c>
      <c r="CM506" s="2" t="n">
        <v>0</v>
      </c>
      <c r="CN506" s="2" t="n">
        <v>0</v>
      </c>
      <c r="CO506" s="2" t="n">
        <v>0</v>
      </c>
      <c r="CP506" s="2" t="n">
        <v>0</v>
      </c>
      <c r="CQ506" s="2" t="n">
        <v>0</v>
      </c>
      <c r="CR506" s="2" t="n">
        <v>0</v>
      </c>
      <c r="CS506" s="2" t="n">
        <v>0</v>
      </c>
      <c r="CT506" s="2" t="n">
        <v>0</v>
      </c>
      <c r="CU506" s="2" t="n">
        <v>0</v>
      </c>
      <c r="CV506" s="2" t="n">
        <v>0</v>
      </c>
      <c r="CW506" s="2" t="n">
        <v>0</v>
      </c>
      <c r="CX506" s="2" t="n">
        <v>0</v>
      </c>
      <c r="CY506" s="2" t="n">
        <v>0</v>
      </c>
      <c r="CZ506" s="2" t="n">
        <v>0</v>
      </c>
      <c r="DA506" s="2" t="n">
        <v>0</v>
      </c>
      <c r="DB506" s="2" t="n">
        <v>0</v>
      </c>
      <c r="DC506" s="2" t="n">
        <v>0</v>
      </c>
      <c r="DD506" s="2" t="n">
        <v>0</v>
      </c>
      <c r="DE506" s="2" t="n">
        <v>0</v>
      </c>
      <c r="DF506" s="2" t="n">
        <v>0</v>
      </c>
      <c r="DG506" s="2" t="n">
        <v>0</v>
      </c>
      <c r="DH506" s="2" t="n">
        <v>0</v>
      </c>
      <c r="DI506" s="2" t="n">
        <v>0</v>
      </c>
      <c r="DJ506" s="2" t="n">
        <v>0</v>
      </c>
      <c r="DK506" s="2" t="n">
        <v>0</v>
      </c>
      <c r="DL506" s="2" t="n">
        <v>0</v>
      </c>
      <c r="DM506" s="2" t="n">
        <v>4.59</v>
      </c>
      <c r="DN506" s="2" t="n">
        <v>0</v>
      </c>
      <c r="DO506" s="2" t="n">
        <v>0</v>
      </c>
      <c r="DP506" s="2" t="n">
        <v>7.51</v>
      </c>
      <c r="DQ506" s="2" t="n">
        <v>0</v>
      </c>
      <c r="DR506" s="2" t="n">
        <v>0</v>
      </c>
      <c r="DS506" s="2" t="n">
        <v>17.09</v>
      </c>
      <c r="DT506" s="2" t="n">
        <v>7.1</v>
      </c>
      <c r="DU506" s="2" t="n">
        <v>0</v>
      </c>
      <c r="DV506" s="2" t="n">
        <v>20.8</v>
      </c>
      <c r="DW506" s="2" t="n">
        <v>13.29</v>
      </c>
      <c r="DX506" s="2" t="n">
        <v>0</v>
      </c>
      <c r="DY506" s="2" t="n">
        <v>26.29</v>
      </c>
      <c r="DZ506" s="2" t="n">
        <v>14.27</v>
      </c>
      <c r="EA506" s="2" t="n">
        <v>0</v>
      </c>
      <c r="EB506" s="2" t="n">
        <v>37.46</v>
      </c>
      <c r="EC506" s="2" t="n">
        <v>17.73</v>
      </c>
      <c r="ED506" s="2" t="n">
        <v>0</v>
      </c>
      <c r="EE506" s="2" t="n">
        <v>50.57</v>
      </c>
      <c r="EF506" s="2" t="n">
        <v>31.83</v>
      </c>
      <c r="EG506" s="2" t="n">
        <v>0</v>
      </c>
      <c r="EH506" s="2" t="n">
        <v>64.48</v>
      </c>
      <c r="EI506" s="2" t="n">
        <v>39.56</v>
      </c>
      <c r="EJ506" s="2" t="n">
        <v>0</v>
      </c>
      <c r="EK506" s="2" t="n">
        <v>72.43000000000001</v>
      </c>
      <c r="EL506" s="2" t="n">
        <v>44.47</v>
      </c>
      <c r="EM506" s="2" t="n">
        <v>0</v>
      </c>
      <c r="EN506" s="2" t="n">
        <v>84.94</v>
      </c>
      <c r="EO506" s="2" t="n">
        <v>49.34</v>
      </c>
      <c r="EP506" s="2" t="n">
        <v>0</v>
      </c>
      <c r="EQ506" s="2" t="n">
        <v>95</v>
      </c>
      <c r="ER506" s="2" t="n">
        <v>60.86</v>
      </c>
      <c r="ES506" s="2" t="n">
        <v>0</v>
      </c>
      <c r="ET506" s="2" t="n">
        <v>100</v>
      </c>
      <c r="EU506" s="2" t="n">
        <v>71.86</v>
      </c>
      <c r="EV506" s="2" t="n">
        <v>0</v>
      </c>
      <c r="EW506" s="2" t="n">
        <v>100</v>
      </c>
      <c r="EX506" s="2" t="n">
        <v>77.48</v>
      </c>
      <c r="EY506" s="2" t="n">
        <v>0</v>
      </c>
      <c r="EZ506" s="2" t="n">
        <v>100</v>
      </c>
      <c r="FA506" s="2" t="n">
        <v>82.36</v>
      </c>
      <c r="FB506" s="2" t="n">
        <v>0</v>
      </c>
      <c r="FC506" s="2" t="n">
        <v>100</v>
      </c>
      <c r="FD506" s="2" t="n">
        <v>88.37</v>
      </c>
      <c r="FE506" s="2" t="n">
        <v>0</v>
      </c>
      <c r="FF506" s="2" t="n">
        <v>100</v>
      </c>
      <c r="FG506" s="2" t="n">
        <v>92.48999999999999</v>
      </c>
      <c r="FH506" s="2" t="n">
        <v>0</v>
      </c>
      <c r="FI506" s="2" t="n">
        <v>100</v>
      </c>
      <c r="FJ506" s="2" t="n">
        <v>97.75</v>
      </c>
      <c r="FK506" s="2" t="n">
        <v>0</v>
      </c>
      <c r="FL506" s="2" t="n">
        <v>100</v>
      </c>
      <c r="FM506" s="2" t="n">
        <v>100</v>
      </c>
      <c r="FN506" s="2" t="n">
        <v>0</v>
      </c>
      <c r="FO506" s="2" t="n">
        <v>100</v>
      </c>
      <c r="FP506" s="2" t="n">
        <v>100</v>
      </c>
      <c r="FQ506" s="2" t="n">
        <v>0</v>
      </c>
    </row>
    <row r="507">
      <c r="A507" s="2" t="n">
        <v>3</v>
      </c>
      <c r="B507" s="2" t="inlineStr">
        <is>
          <t>21.02.10</t>
        </is>
      </c>
      <c r="C507" s="2" t="inlineStr">
        <is>
          <t>Luminotécnico</t>
        </is>
      </c>
      <c r="D507" s="2" t="inlineStr">
        <is>
          <t>07/10/2027</t>
        </is>
      </c>
      <c r="E507" s="2" t="inlineStr">
        <is>
          <t>09/01/2029</t>
        </is>
      </c>
      <c r="F507" s="2" t="n">
        <v>788984.0640000002</v>
      </c>
      <c r="G507" s="2" t="n">
        <v>0</v>
      </c>
      <c r="H507" s="2" t="n">
        <v>788984.0640000002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</v>
      </c>
      <c r="BY507" s="2" t="n">
        <v>0</v>
      </c>
      <c r="BZ507" s="2" t="n">
        <v>0</v>
      </c>
      <c r="CA507" s="2" t="n">
        <v>0</v>
      </c>
      <c r="CB507" s="2" t="n">
        <v>0</v>
      </c>
      <c r="CC507" s="2" t="n">
        <v>0</v>
      </c>
      <c r="CD507" s="2" t="n">
        <v>0</v>
      </c>
      <c r="CE507" s="2" t="n">
        <v>0</v>
      </c>
      <c r="CF507" s="2" t="n">
        <v>0</v>
      </c>
      <c r="CG507" s="2" t="n">
        <v>0</v>
      </c>
      <c r="CH507" s="2" t="n">
        <v>0</v>
      </c>
      <c r="CI507" s="2" t="n">
        <v>0</v>
      </c>
      <c r="CJ507" s="2" t="n">
        <v>0</v>
      </c>
      <c r="CK507" s="2" t="n">
        <v>0</v>
      </c>
      <c r="CL507" s="2" t="n">
        <v>0</v>
      </c>
      <c r="CM507" s="2" t="n">
        <v>0</v>
      </c>
      <c r="CN507" s="2" t="n">
        <v>0</v>
      </c>
      <c r="CO507" s="2" t="n">
        <v>0</v>
      </c>
      <c r="CP507" s="2" t="n">
        <v>0</v>
      </c>
      <c r="CQ507" s="2" t="n">
        <v>0</v>
      </c>
      <c r="CR507" s="2" t="n">
        <v>0</v>
      </c>
      <c r="CS507" s="2" t="n">
        <v>0</v>
      </c>
      <c r="CT507" s="2" t="n">
        <v>0</v>
      </c>
      <c r="CU507" s="2" t="n">
        <v>0</v>
      </c>
      <c r="CV507" s="2" t="n">
        <v>0</v>
      </c>
      <c r="CW507" s="2" t="n">
        <v>0</v>
      </c>
      <c r="CX507" s="2" t="n">
        <v>0</v>
      </c>
      <c r="CY507" s="2" t="n">
        <v>0</v>
      </c>
      <c r="CZ507" s="2" t="n">
        <v>0</v>
      </c>
      <c r="DA507" s="2" t="n">
        <v>0</v>
      </c>
      <c r="DB507" s="2" t="n">
        <v>0</v>
      </c>
      <c r="DC507" s="2" t="n">
        <v>0</v>
      </c>
      <c r="DD507" s="2" t="n">
        <v>0</v>
      </c>
      <c r="DE507" s="2" t="n">
        <v>0</v>
      </c>
      <c r="DF507" s="2" t="n">
        <v>0</v>
      </c>
      <c r="DG507" s="2" t="n">
        <v>0</v>
      </c>
      <c r="DH507" s="2" t="n">
        <v>0</v>
      </c>
      <c r="DI507" s="2" t="n">
        <v>0</v>
      </c>
      <c r="DJ507" s="2" t="n">
        <v>0</v>
      </c>
      <c r="DK507" s="2" t="n">
        <v>0</v>
      </c>
      <c r="DL507" s="2" t="n">
        <v>0</v>
      </c>
      <c r="DM507" s="2" t="n">
        <v>4.59</v>
      </c>
      <c r="DN507" s="2" t="n">
        <v>0</v>
      </c>
      <c r="DO507" s="2" t="n">
        <v>0</v>
      </c>
      <c r="DP507" s="2" t="n">
        <v>7.51</v>
      </c>
      <c r="DQ507" s="2" t="n">
        <v>0</v>
      </c>
      <c r="DR507" s="2" t="n">
        <v>0</v>
      </c>
      <c r="DS507" s="2" t="n">
        <v>17.09</v>
      </c>
      <c r="DT507" s="2" t="n">
        <v>7.1</v>
      </c>
      <c r="DU507" s="2" t="n">
        <v>0</v>
      </c>
      <c r="DV507" s="2" t="n">
        <v>20.8</v>
      </c>
      <c r="DW507" s="2" t="n">
        <v>13.29</v>
      </c>
      <c r="DX507" s="2" t="n">
        <v>0</v>
      </c>
      <c r="DY507" s="2" t="n">
        <v>26.29</v>
      </c>
      <c r="DZ507" s="2" t="n">
        <v>14.27</v>
      </c>
      <c r="EA507" s="2" t="n">
        <v>0</v>
      </c>
      <c r="EB507" s="2" t="n">
        <v>37.46</v>
      </c>
      <c r="EC507" s="2" t="n">
        <v>17.73</v>
      </c>
      <c r="ED507" s="2" t="n">
        <v>0</v>
      </c>
      <c r="EE507" s="2" t="n">
        <v>50.57</v>
      </c>
      <c r="EF507" s="2" t="n">
        <v>31.83</v>
      </c>
      <c r="EG507" s="2" t="n">
        <v>0</v>
      </c>
      <c r="EH507" s="2" t="n">
        <v>64.48</v>
      </c>
      <c r="EI507" s="2" t="n">
        <v>39.56</v>
      </c>
      <c r="EJ507" s="2" t="n">
        <v>0</v>
      </c>
      <c r="EK507" s="2" t="n">
        <v>72.43000000000001</v>
      </c>
      <c r="EL507" s="2" t="n">
        <v>44.47</v>
      </c>
      <c r="EM507" s="2" t="n">
        <v>0</v>
      </c>
      <c r="EN507" s="2" t="n">
        <v>84.94</v>
      </c>
      <c r="EO507" s="2" t="n">
        <v>49.34</v>
      </c>
      <c r="EP507" s="2" t="n">
        <v>0</v>
      </c>
      <c r="EQ507" s="2" t="n">
        <v>95</v>
      </c>
      <c r="ER507" s="2" t="n">
        <v>60.86</v>
      </c>
      <c r="ES507" s="2" t="n">
        <v>0</v>
      </c>
      <c r="ET507" s="2" t="n">
        <v>100</v>
      </c>
      <c r="EU507" s="2" t="n">
        <v>71.86</v>
      </c>
      <c r="EV507" s="2" t="n">
        <v>0</v>
      </c>
      <c r="EW507" s="2" t="n">
        <v>100</v>
      </c>
      <c r="EX507" s="2" t="n">
        <v>77.48</v>
      </c>
      <c r="EY507" s="2" t="n">
        <v>0</v>
      </c>
      <c r="EZ507" s="2" t="n">
        <v>100</v>
      </c>
      <c r="FA507" s="2" t="n">
        <v>82.36</v>
      </c>
      <c r="FB507" s="2" t="n">
        <v>0</v>
      </c>
      <c r="FC507" s="2" t="n">
        <v>100</v>
      </c>
      <c r="FD507" s="2" t="n">
        <v>88.37</v>
      </c>
      <c r="FE507" s="2" t="n">
        <v>0</v>
      </c>
      <c r="FF507" s="2" t="n">
        <v>100</v>
      </c>
      <c r="FG507" s="2" t="n">
        <v>92.48999999999999</v>
      </c>
      <c r="FH507" s="2" t="n">
        <v>0</v>
      </c>
      <c r="FI507" s="2" t="n">
        <v>100</v>
      </c>
      <c r="FJ507" s="2" t="n">
        <v>97.75</v>
      </c>
      <c r="FK507" s="2" t="n">
        <v>0</v>
      </c>
      <c r="FL507" s="2" t="n">
        <v>100</v>
      </c>
      <c r="FM507" s="2" t="n">
        <v>100</v>
      </c>
      <c r="FN507" s="2" t="n">
        <v>0</v>
      </c>
      <c r="FO507" s="2" t="n">
        <v>100</v>
      </c>
      <c r="FP507" s="2" t="n">
        <v>100</v>
      </c>
      <c r="FQ507" s="2" t="n">
        <v>0</v>
      </c>
    </row>
    <row r="508">
      <c r="A508" s="2" t="n">
        <v>2</v>
      </c>
      <c r="B508" s="2" t="inlineStr">
        <is>
          <t>21.03</t>
        </is>
      </c>
      <c r="C508" s="2" t="inlineStr">
        <is>
          <t>Instalações elétricas complementares</t>
        </is>
      </c>
      <c r="D508" s="2" t="inlineStr">
        <is>
          <t>02/08/2027</t>
        </is>
      </c>
      <c r="E508" s="2" t="inlineStr">
        <is>
          <t>18/10/2028</t>
        </is>
      </c>
      <c r="F508" s="2" t="n">
        <v>1040024.448</v>
      </c>
      <c r="G508" s="2" t="n">
        <v>0</v>
      </c>
      <c r="H508" s="2" t="n">
        <v>1040024.448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</v>
      </c>
      <c r="BY508" s="2" t="n">
        <v>0</v>
      </c>
      <c r="BZ508" s="2" t="n">
        <v>0</v>
      </c>
      <c r="CA508" s="2" t="n">
        <v>0</v>
      </c>
      <c r="CB508" s="2" t="n">
        <v>0</v>
      </c>
      <c r="CC508" s="2" t="n">
        <v>0</v>
      </c>
      <c r="CD508" s="2" t="n">
        <v>0</v>
      </c>
      <c r="CE508" s="2" t="n">
        <v>0</v>
      </c>
      <c r="CF508" s="2" t="n">
        <v>0</v>
      </c>
      <c r="CG508" s="2" t="n">
        <v>0</v>
      </c>
      <c r="CH508" s="2" t="n">
        <v>0</v>
      </c>
      <c r="CI508" s="2" t="n">
        <v>0</v>
      </c>
      <c r="CJ508" s="2" t="n">
        <v>0</v>
      </c>
      <c r="CK508" s="2" t="n">
        <v>0</v>
      </c>
      <c r="CL508" s="2" t="n">
        <v>0</v>
      </c>
      <c r="CM508" s="2" t="n">
        <v>0</v>
      </c>
      <c r="CN508" s="2" t="n">
        <v>0</v>
      </c>
      <c r="CO508" s="2" t="n">
        <v>0</v>
      </c>
      <c r="CP508" s="2" t="n">
        <v>0</v>
      </c>
      <c r="CQ508" s="2" t="n">
        <v>0</v>
      </c>
      <c r="CR508" s="2" t="n">
        <v>0</v>
      </c>
      <c r="CS508" s="2" t="n">
        <v>0</v>
      </c>
      <c r="CT508" s="2" t="n">
        <v>0</v>
      </c>
      <c r="CU508" s="2" t="n">
        <v>0</v>
      </c>
      <c r="CV508" s="2" t="n">
        <v>0</v>
      </c>
      <c r="CW508" s="2" t="n">
        <v>0</v>
      </c>
      <c r="CX508" s="2" t="n">
        <v>0</v>
      </c>
      <c r="CY508" s="2" t="n">
        <v>0</v>
      </c>
      <c r="CZ508" s="2" t="n">
        <v>0</v>
      </c>
      <c r="DA508" s="2" t="n">
        <v>0</v>
      </c>
      <c r="DB508" s="2" t="n">
        <v>0</v>
      </c>
      <c r="DC508" s="2" t="n">
        <v>0</v>
      </c>
      <c r="DD508" s="2" t="n">
        <v>0</v>
      </c>
      <c r="DE508" s="2" t="n">
        <v>0</v>
      </c>
      <c r="DF508" s="2" t="n">
        <v>0</v>
      </c>
      <c r="DG508" s="2" t="n">
        <v>0</v>
      </c>
      <c r="DH508" s="2" t="n">
        <v>0</v>
      </c>
      <c r="DI508" s="2" t="n">
        <v>0</v>
      </c>
      <c r="DJ508" s="2" t="n">
        <v>2.03</v>
      </c>
      <c r="DK508" s="2" t="n">
        <v>0</v>
      </c>
      <c r="DL508" s="2" t="n">
        <v>0</v>
      </c>
      <c r="DM508" s="2" t="n">
        <v>2.63</v>
      </c>
      <c r="DN508" s="2" t="n">
        <v>1.42</v>
      </c>
      <c r="DO508" s="2" t="n">
        <v>0</v>
      </c>
      <c r="DP508" s="2" t="n">
        <v>14.03</v>
      </c>
      <c r="DQ508" s="2" t="n">
        <v>12.01</v>
      </c>
      <c r="DR508" s="2" t="n">
        <v>0</v>
      </c>
      <c r="DS508" s="2" t="n">
        <v>40.57</v>
      </c>
      <c r="DT508" s="2" t="n">
        <v>37.32</v>
      </c>
      <c r="DU508" s="2" t="n">
        <v>0</v>
      </c>
      <c r="DV508" s="2" t="n">
        <v>47.36</v>
      </c>
      <c r="DW508" s="2" t="n">
        <v>43.71</v>
      </c>
      <c r="DX508" s="2" t="n">
        <v>0</v>
      </c>
      <c r="DY508" s="2" t="n">
        <v>70.38</v>
      </c>
      <c r="DZ508" s="2" t="n">
        <v>66.11</v>
      </c>
      <c r="EA508" s="2" t="n">
        <v>0</v>
      </c>
      <c r="EB508" s="2" t="n">
        <v>73.54000000000001</v>
      </c>
      <c r="EC508" s="2" t="n">
        <v>69.36</v>
      </c>
      <c r="ED508" s="2" t="n">
        <v>0</v>
      </c>
      <c r="EE508" s="2" t="n">
        <v>77.39</v>
      </c>
      <c r="EF508" s="2" t="n">
        <v>71.39</v>
      </c>
      <c r="EG508" s="2" t="n">
        <v>0</v>
      </c>
      <c r="EH508" s="2" t="n">
        <v>94.94</v>
      </c>
      <c r="EI508" s="2" t="n">
        <v>88.73</v>
      </c>
      <c r="EJ508" s="2" t="n">
        <v>0</v>
      </c>
      <c r="EK508" s="2" t="n">
        <v>97.77</v>
      </c>
      <c r="EL508" s="2" t="n">
        <v>91.09</v>
      </c>
      <c r="EM508" s="2" t="n">
        <v>0</v>
      </c>
      <c r="EN508" s="2" t="n">
        <v>100</v>
      </c>
      <c r="EO508" s="2" t="n">
        <v>93.20999999999999</v>
      </c>
      <c r="EP508" s="2" t="n">
        <v>0</v>
      </c>
      <c r="EQ508" s="2" t="n">
        <v>100</v>
      </c>
      <c r="ER508" s="2" t="n">
        <v>94.83</v>
      </c>
      <c r="ES508" s="2" t="n">
        <v>0</v>
      </c>
      <c r="ET508" s="2" t="n">
        <v>100</v>
      </c>
      <c r="EU508" s="2" t="n">
        <v>95.95</v>
      </c>
      <c r="EV508" s="2" t="n">
        <v>0</v>
      </c>
      <c r="EW508" s="2" t="n">
        <v>100</v>
      </c>
      <c r="EX508" s="2" t="n">
        <v>97.77</v>
      </c>
      <c r="EY508" s="2" t="n">
        <v>0</v>
      </c>
      <c r="EZ508" s="2" t="n">
        <v>100</v>
      </c>
      <c r="FA508" s="2" t="n">
        <v>98.98999999999999</v>
      </c>
      <c r="FB508" s="2" t="n">
        <v>0</v>
      </c>
      <c r="FC508" s="2" t="n">
        <v>100</v>
      </c>
      <c r="FD508" s="2" t="n">
        <v>100</v>
      </c>
      <c r="FE508" s="2" t="n">
        <v>0</v>
      </c>
      <c r="FF508" s="2" t="n">
        <v>100</v>
      </c>
      <c r="FG508" s="2" t="n">
        <v>100</v>
      </c>
      <c r="FH508" s="2" t="n">
        <v>0</v>
      </c>
      <c r="FI508" s="2" t="n">
        <v>100</v>
      </c>
      <c r="FJ508" s="2" t="n">
        <v>100</v>
      </c>
      <c r="FK508" s="2" t="n">
        <v>0</v>
      </c>
      <c r="FL508" s="2" t="n">
        <v>100</v>
      </c>
      <c r="FM508" s="2" t="n">
        <v>100</v>
      </c>
      <c r="FN508" s="2" t="n">
        <v>0</v>
      </c>
      <c r="FO508" s="2" t="n">
        <v>100</v>
      </c>
      <c r="FP508" s="2" t="n">
        <v>100</v>
      </c>
      <c r="FQ508" s="2" t="n">
        <v>0</v>
      </c>
    </row>
    <row r="509">
      <c r="A509" s="2" t="n">
        <v>3</v>
      </c>
      <c r="B509" s="2" t="inlineStr">
        <is>
          <t>21.03.01</t>
        </is>
      </c>
      <c r="C509" s="2" t="inlineStr">
        <is>
          <t>SPDA</t>
        </is>
      </c>
      <c r="D509" s="2" t="inlineStr">
        <is>
          <t>24/09/2027</t>
        </is>
      </c>
      <c r="E509" s="2" t="inlineStr">
        <is>
          <t>22/10/2027</t>
        </is>
      </c>
      <c r="F509" s="2" t="n">
        <v>286903.2960000001</v>
      </c>
      <c r="G509" s="2" t="n">
        <v>0</v>
      </c>
      <c r="H509" s="2" t="n">
        <v>286903.2960000001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0</v>
      </c>
      <c r="BO509" s="2" t="n">
        <v>0</v>
      </c>
      <c r="BP509" s="2" t="n">
        <v>0</v>
      </c>
      <c r="BQ509" s="2" t="n">
        <v>0</v>
      </c>
      <c r="BR509" s="2" t="n">
        <v>0</v>
      </c>
      <c r="BS509" s="2" t="n">
        <v>0</v>
      </c>
      <c r="BT509" s="2" t="n">
        <v>0</v>
      </c>
      <c r="BU509" s="2" t="n">
        <v>0</v>
      </c>
      <c r="BV509" s="2" t="n">
        <v>0</v>
      </c>
      <c r="BW509" s="2" t="n">
        <v>0</v>
      </c>
      <c r="BX509" s="2" t="n">
        <v>0</v>
      </c>
      <c r="BY509" s="2" t="n">
        <v>0</v>
      </c>
      <c r="BZ509" s="2" t="n">
        <v>0</v>
      </c>
      <c r="CA509" s="2" t="n">
        <v>0</v>
      </c>
      <c r="CB509" s="2" t="n">
        <v>0</v>
      </c>
      <c r="CC509" s="2" t="n">
        <v>0</v>
      </c>
      <c r="CD509" s="2" t="n">
        <v>0</v>
      </c>
      <c r="CE509" s="2" t="n">
        <v>0</v>
      </c>
      <c r="CF509" s="2" t="n">
        <v>0</v>
      </c>
      <c r="CG509" s="2" t="n">
        <v>0</v>
      </c>
      <c r="CH509" s="2" t="n">
        <v>0</v>
      </c>
      <c r="CI509" s="2" t="n">
        <v>0</v>
      </c>
      <c r="CJ509" s="2" t="n">
        <v>0</v>
      </c>
      <c r="CK509" s="2" t="n">
        <v>0</v>
      </c>
      <c r="CL509" s="2" t="n">
        <v>0</v>
      </c>
      <c r="CM509" s="2" t="n">
        <v>0</v>
      </c>
      <c r="CN509" s="2" t="n">
        <v>0</v>
      </c>
      <c r="CO509" s="2" t="n">
        <v>0</v>
      </c>
      <c r="CP509" s="2" t="n">
        <v>0</v>
      </c>
      <c r="CQ509" s="2" t="n">
        <v>0</v>
      </c>
      <c r="CR509" s="2" t="n">
        <v>0</v>
      </c>
      <c r="CS509" s="2" t="n">
        <v>0</v>
      </c>
      <c r="CT509" s="2" t="n">
        <v>0</v>
      </c>
      <c r="CU509" s="2" t="n">
        <v>0</v>
      </c>
      <c r="CV509" s="2" t="n">
        <v>0</v>
      </c>
      <c r="CW509" s="2" t="n">
        <v>0</v>
      </c>
      <c r="CX509" s="2" t="n">
        <v>0</v>
      </c>
      <c r="CY509" s="2" t="n">
        <v>0</v>
      </c>
      <c r="CZ509" s="2" t="n">
        <v>0</v>
      </c>
      <c r="DA509" s="2" t="n">
        <v>0</v>
      </c>
      <c r="DB509" s="2" t="n">
        <v>0</v>
      </c>
      <c r="DC509" s="2" t="n">
        <v>0</v>
      </c>
      <c r="DD509" s="2" t="n">
        <v>0</v>
      </c>
      <c r="DE509" s="2" t="n">
        <v>0</v>
      </c>
      <c r="DF509" s="2" t="n">
        <v>0</v>
      </c>
      <c r="DG509" s="2" t="n">
        <v>0</v>
      </c>
      <c r="DH509" s="2" t="n">
        <v>0</v>
      </c>
      <c r="DI509" s="2" t="n">
        <v>0</v>
      </c>
      <c r="DJ509" s="2" t="n">
        <v>0</v>
      </c>
      <c r="DK509" s="2" t="n">
        <v>0</v>
      </c>
      <c r="DL509" s="2" t="n">
        <v>0</v>
      </c>
      <c r="DM509" s="2" t="n">
        <v>0</v>
      </c>
      <c r="DN509" s="2" t="n">
        <v>0</v>
      </c>
      <c r="DO509" s="2" t="n">
        <v>0</v>
      </c>
      <c r="DP509" s="2" t="n">
        <v>25</v>
      </c>
      <c r="DQ509" s="2" t="n">
        <v>25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  <c r="ET509" s="2" t="n">
        <v>100</v>
      </c>
      <c r="EU509" s="2" t="n">
        <v>100</v>
      </c>
      <c r="EV509" s="2" t="n">
        <v>0</v>
      </c>
      <c r="EW509" s="2" t="n">
        <v>100</v>
      </c>
      <c r="EX509" s="2" t="n">
        <v>100</v>
      </c>
      <c r="EY509" s="2" t="n">
        <v>0</v>
      </c>
      <c r="EZ509" s="2" t="n">
        <v>100</v>
      </c>
      <c r="FA509" s="2" t="n">
        <v>100</v>
      </c>
      <c r="FB509" s="2" t="n">
        <v>0</v>
      </c>
      <c r="FC509" s="2" t="n">
        <v>100</v>
      </c>
      <c r="FD509" s="2" t="n">
        <v>100</v>
      </c>
      <c r="FE509" s="2" t="n">
        <v>0</v>
      </c>
      <c r="FF509" s="2" t="n">
        <v>100</v>
      </c>
      <c r="FG509" s="2" t="n">
        <v>100</v>
      </c>
      <c r="FH509" s="2" t="n">
        <v>0</v>
      </c>
      <c r="FI509" s="2" t="n">
        <v>100</v>
      </c>
      <c r="FJ509" s="2" t="n">
        <v>100</v>
      </c>
      <c r="FK509" s="2" t="n">
        <v>0</v>
      </c>
      <c r="FL509" s="2" t="n">
        <v>100</v>
      </c>
      <c r="FM509" s="2" t="n">
        <v>100</v>
      </c>
      <c r="FN509" s="2" t="n">
        <v>0</v>
      </c>
      <c r="FO509" s="2" t="n">
        <v>100</v>
      </c>
      <c r="FP509" s="2" t="n">
        <v>100</v>
      </c>
      <c r="FQ509" s="2" t="n">
        <v>0</v>
      </c>
    </row>
    <row r="510">
      <c r="A510" s="2" t="n">
        <v>3</v>
      </c>
      <c r="B510" s="2" t="inlineStr">
        <is>
          <t>21.03.02</t>
        </is>
      </c>
      <c r="C510" s="2" t="inlineStr">
        <is>
          <t>Automação</t>
        </is>
      </c>
      <c r="D510" s="2" t="inlineStr">
        <is>
          <t>06/12/2027</t>
        </is>
      </c>
      <c r="E510" s="2" t="inlineStr">
        <is>
          <t>17/03/2028</t>
        </is>
      </c>
      <c r="F510" s="2" t="n">
        <v>322766.2080000001</v>
      </c>
      <c r="G510" s="2" t="n">
        <v>0</v>
      </c>
      <c r="H510" s="2" t="n">
        <v>322766.2080000001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0</v>
      </c>
      <c r="CP510" s="2" t="n">
        <v>0</v>
      </c>
      <c r="CQ510" s="2" t="n">
        <v>0</v>
      </c>
      <c r="CR510" s="2" t="n">
        <v>0</v>
      </c>
      <c r="CS510" s="2" t="n">
        <v>0</v>
      </c>
      <c r="CT510" s="2" t="n">
        <v>0</v>
      </c>
      <c r="CU510" s="2" t="n">
        <v>0</v>
      </c>
      <c r="CV510" s="2" t="n">
        <v>0</v>
      </c>
      <c r="CW510" s="2" t="n">
        <v>0</v>
      </c>
      <c r="CX510" s="2" t="n">
        <v>0</v>
      </c>
      <c r="CY510" s="2" t="n">
        <v>0</v>
      </c>
      <c r="CZ510" s="2" t="n">
        <v>0</v>
      </c>
      <c r="DA510" s="2" t="n">
        <v>0</v>
      </c>
      <c r="DB510" s="2" t="n">
        <v>0</v>
      </c>
      <c r="DC510" s="2" t="n">
        <v>0</v>
      </c>
      <c r="DD510" s="2" t="n">
        <v>0</v>
      </c>
      <c r="DE510" s="2" t="n">
        <v>0</v>
      </c>
      <c r="DF510" s="2" t="n">
        <v>0</v>
      </c>
      <c r="DG510" s="2" t="n">
        <v>0</v>
      </c>
      <c r="DH510" s="2" t="n">
        <v>0</v>
      </c>
      <c r="DI510" s="2" t="n">
        <v>0</v>
      </c>
      <c r="DJ510" s="2" t="n">
        <v>0</v>
      </c>
      <c r="DK510" s="2" t="n">
        <v>0</v>
      </c>
      <c r="DL510" s="2" t="n">
        <v>0</v>
      </c>
      <c r="DM510" s="2" t="n">
        <v>0</v>
      </c>
      <c r="DN510" s="2" t="n">
        <v>0</v>
      </c>
      <c r="DO510" s="2" t="n">
        <v>0</v>
      </c>
      <c r="DP510" s="2" t="n">
        <v>0</v>
      </c>
      <c r="DQ510" s="2" t="n">
        <v>0</v>
      </c>
      <c r="DR510" s="2" t="n">
        <v>0</v>
      </c>
      <c r="DS510" s="2" t="n">
        <v>0</v>
      </c>
      <c r="DT510" s="2" t="n">
        <v>0</v>
      </c>
      <c r="DU510" s="2" t="n">
        <v>0</v>
      </c>
      <c r="DV510" s="2" t="n">
        <v>0</v>
      </c>
      <c r="DW510" s="2" t="n">
        <v>0</v>
      </c>
      <c r="DX510" s="2" t="n">
        <v>0</v>
      </c>
      <c r="DY510" s="2" t="n">
        <v>50</v>
      </c>
      <c r="DZ510" s="2" t="n">
        <v>50</v>
      </c>
      <c r="EA510" s="2" t="n">
        <v>0</v>
      </c>
      <c r="EB510" s="2" t="n">
        <v>50</v>
      </c>
      <c r="EC510" s="2" t="n">
        <v>50</v>
      </c>
      <c r="ED510" s="2" t="n">
        <v>0</v>
      </c>
      <c r="EE510" s="2" t="n">
        <v>50</v>
      </c>
      <c r="EF510" s="2" t="n">
        <v>50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  <c r="ET510" s="2" t="n">
        <v>100</v>
      </c>
      <c r="EU510" s="2" t="n">
        <v>100</v>
      </c>
      <c r="EV510" s="2" t="n">
        <v>0</v>
      </c>
      <c r="EW510" s="2" t="n">
        <v>100</v>
      </c>
      <c r="EX510" s="2" t="n">
        <v>100</v>
      </c>
      <c r="EY510" s="2" t="n">
        <v>0</v>
      </c>
      <c r="EZ510" s="2" t="n">
        <v>100</v>
      </c>
      <c r="FA510" s="2" t="n">
        <v>100</v>
      </c>
      <c r="FB510" s="2" t="n">
        <v>0</v>
      </c>
      <c r="FC510" s="2" t="n">
        <v>100</v>
      </c>
      <c r="FD510" s="2" t="n">
        <v>100</v>
      </c>
      <c r="FE510" s="2" t="n">
        <v>0</v>
      </c>
      <c r="FF510" s="2" t="n">
        <v>100</v>
      </c>
      <c r="FG510" s="2" t="n">
        <v>100</v>
      </c>
      <c r="FH510" s="2" t="n">
        <v>0</v>
      </c>
      <c r="FI510" s="2" t="n">
        <v>100</v>
      </c>
      <c r="FJ510" s="2" t="n">
        <v>100</v>
      </c>
      <c r="FK510" s="2" t="n">
        <v>0</v>
      </c>
      <c r="FL510" s="2" t="n">
        <v>100</v>
      </c>
      <c r="FM510" s="2" t="n">
        <v>100</v>
      </c>
      <c r="FN510" s="2" t="n">
        <v>0</v>
      </c>
      <c r="FO510" s="2" t="n">
        <v>100</v>
      </c>
      <c r="FP510" s="2" t="n">
        <v>100</v>
      </c>
      <c r="FQ510" s="2" t="n">
        <v>0</v>
      </c>
    </row>
    <row r="511">
      <c r="A511" s="2" t="n">
        <v>3</v>
      </c>
      <c r="B511" s="2" t="inlineStr">
        <is>
          <t>21.03.03</t>
        </is>
      </c>
      <c r="C511" s="2" t="inlineStr">
        <is>
          <t>Cabeamento lógico</t>
        </is>
      </c>
      <c r="D511" s="2" t="inlineStr">
        <is>
          <t>27/09/2027</t>
        </is>
      </c>
      <c r="E511" s="2" t="inlineStr">
        <is>
          <t>11/01/2028</t>
        </is>
      </c>
      <c r="F511" s="2" t="n">
        <v>197246.0160000001</v>
      </c>
      <c r="G511" s="2" t="n">
        <v>0</v>
      </c>
      <c r="H511" s="2" t="n">
        <v>197246.0160000001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</v>
      </c>
      <c r="BX511" s="2" t="n">
        <v>0</v>
      </c>
      <c r="BY511" s="2" t="n">
        <v>0</v>
      </c>
      <c r="BZ511" s="2" t="n">
        <v>0</v>
      </c>
      <c r="CA511" s="2" t="n">
        <v>0</v>
      </c>
      <c r="CB511" s="2" t="n">
        <v>0</v>
      </c>
      <c r="CC511" s="2" t="n">
        <v>0</v>
      </c>
      <c r="CD511" s="2" t="n">
        <v>0</v>
      </c>
      <c r="CE511" s="2" t="n">
        <v>0</v>
      </c>
      <c r="CF511" s="2" t="n">
        <v>0</v>
      </c>
      <c r="CG511" s="2" t="n">
        <v>0</v>
      </c>
      <c r="CH511" s="2" t="n">
        <v>0</v>
      </c>
      <c r="CI511" s="2" t="n">
        <v>0</v>
      </c>
      <c r="CJ511" s="2" t="n">
        <v>0</v>
      </c>
      <c r="CK511" s="2" t="n">
        <v>0</v>
      </c>
      <c r="CL511" s="2" t="n">
        <v>0</v>
      </c>
      <c r="CM511" s="2" t="n">
        <v>0</v>
      </c>
      <c r="CN511" s="2" t="n">
        <v>0</v>
      </c>
      <c r="CO511" s="2" t="n">
        <v>0</v>
      </c>
      <c r="CP511" s="2" t="n">
        <v>0</v>
      </c>
      <c r="CQ511" s="2" t="n">
        <v>0</v>
      </c>
      <c r="CR511" s="2" t="n">
        <v>0</v>
      </c>
      <c r="CS511" s="2" t="n">
        <v>0</v>
      </c>
      <c r="CT511" s="2" t="n">
        <v>0</v>
      </c>
      <c r="CU511" s="2" t="n">
        <v>0</v>
      </c>
      <c r="CV511" s="2" t="n">
        <v>0</v>
      </c>
      <c r="CW511" s="2" t="n">
        <v>0</v>
      </c>
      <c r="CX511" s="2" t="n">
        <v>0</v>
      </c>
      <c r="CY511" s="2" t="n">
        <v>0</v>
      </c>
      <c r="CZ511" s="2" t="n">
        <v>0</v>
      </c>
      <c r="DA511" s="2" t="n">
        <v>0</v>
      </c>
      <c r="DB511" s="2" t="n">
        <v>0</v>
      </c>
      <c r="DC511" s="2" t="n">
        <v>0</v>
      </c>
      <c r="DD511" s="2" t="n">
        <v>0</v>
      </c>
      <c r="DE511" s="2" t="n">
        <v>0</v>
      </c>
      <c r="DF511" s="2" t="n">
        <v>0</v>
      </c>
      <c r="DG511" s="2" t="n">
        <v>0</v>
      </c>
      <c r="DH511" s="2" t="n">
        <v>0</v>
      </c>
      <c r="DI511" s="2" t="n">
        <v>0</v>
      </c>
      <c r="DJ511" s="2" t="n">
        <v>0</v>
      </c>
      <c r="DK511" s="2" t="n">
        <v>0</v>
      </c>
      <c r="DL511" s="2" t="n">
        <v>0</v>
      </c>
      <c r="DM511" s="2" t="n">
        <v>0</v>
      </c>
      <c r="DN511" s="2" t="n">
        <v>0</v>
      </c>
      <c r="DO511" s="2" t="n">
        <v>0</v>
      </c>
      <c r="DP511" s="2" t="n">
        <v>16.26</v>
      </c>
      <c r="DQ511" s="2" t="n">
        <v>16.26</v>
      </c>
      <c r="DR511" s="2" t="n">
        <v>0</v>
      </c>
      <c r="DS511" s="2" t="n">
        <v>40.66</v>
      </c>
      <c r="DT511" s="2" t="n">
        <v>40.66</v>
      </c>
      <c r="DU511" s="2" t="n">
        <v>0</v>
      </c>
      <c r="DV511" s="2" t="n">
        <v>71.16</v>
      </c>
      <c r="DW511" s="2" t="n">
        <v>59.89</v>
      </c>
      <c r="DX511" s="2" t="n">
        <v>0</v>
      </c>
      <c r="DY511" s="2" t="n">
        <v>100</v>
      </c>
      <c r="DZ511" s="2" t="n">
        <v>88.73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  <c r="ET511" s="2" t="n">
        <v>100</v>
      </c>
      <c r="EU511" s="2" t="n">
        <v>100</v>
      </c>
      <c r="EV511" s="2" t="n">
        <v>0</v>
      </c>
      <c r="EW511" s="2" t="n">
        <v>100</v>
      </c>
      <c r="EX511" s="2" t="n">
        <v>100</v>
      </c>
      <c r="EY511" s="2" t="n">
        <v>0</v>
      </c>
      <c r="EZ511" s="2" t="n">
        <v>100</v>
      </c>
      <c r="FA511" s="2" t="n">
        <v>100</v>
      </c>
      <c r="FB511" s="2" t="n">
        <v>0</v>
      </c>
      <c r="FC511" s="2" t="n">
        <v>100</v>
      </c>
      <c r="FD511" s="2" t="n">
        <v>100</v>
      </c>
      <c r="FE511" s="2" t="n">
        <v>0</v>
      </c>
      <c r="FF511" s="2" t="n">
        <v>100</v>
      </c>
      <c r="FG511" s="2" t="n">
        <v>100</v>
      </c>
      <c r="FH511" s="2" t="n">
        <v>0</v>
      </c>
      <c r="FI511" s="2" t="n">
        <v>100</v>
      </c>
      <c r="FJ511" s="2" t="n">
        <v>100</v>
      </c>
      <c r="FK511" s="2" t="n">
        <v>0</v>
      </c>
      <c r="FL511" s="2" t="n">
        <v>100</v>
      </c>
      <c r="FM511" s="2" t="n">
        <v>100</v>
      </c>
      <c r="FN511" s="2" t="n">
        <v>0</v>
      </c>
      <c r="FO511" s="2" t="n">
        <v>100</v>
      </c>
      <c r="FP511" s="2" t="n">
        <v>100</v>
      </c>
      <c r="FQ511" s="2" t="n">
        <v>0</v>
      </c>
    </row>
    <row r="512">
      <c r="A512" s="2" t="n">
        <v>3</v>
      </c>
      <c r="B512" s="2" t="inlineStr">
        <is>
          <t>21.03.04</t>
        </is>
      </c>
      <c r="C512" s="2" t="inlineStr">
        <is>
          <t>CFTV</t>
        </is>
      </c>
      <c r="D512" s="2" t="inlineStr">
        <is>
          <t>02/08/2027</t>
        </is>
      </c>
      <c r="E512" s="2" t="inlineStr">
        <is>
          <t>18/10/2028</t>
        </is>
      </c>
      <c r="F512" s="2" t="n">
        <v>233108.9280000001</v>
      </c>
      <c r="G512" s="2" t="n">
        <v>0</v>
      </c>
      <c r="H512" s="2" t="n">
        <v>233108.9280000001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</v>
      </c>
      <c r="BY512" s="2" t="n">
        <v>0</v>
      </c>
      <c r="BZ512" s="2" t="n">
        <v>0</v>
      </c>
      <c r="CA512" s="2" t="n">
        <v>0</v>
      </c>
      <c r="CB512" s="2" t="n">
        <v>0</v>
      </c>
      <c r="CC512" s="2" t="n">
        <v>0</v>
      </c>
      <c r="CD512" s="2" t="n">
        <v>0</v>
      </c>
      <c r="CE512" s="2" t="n">
        <v>0</v>
      </c>
      <c r="CF512" s="2" t="n">
        <v>0</v>
      </c>
      <c r="CG512" s="2" t="n">
        <v>0</v>
      </c>
      <c r="CH512" s="2" t="n">
        <v>0</v>
      </c>
      <c r="CI512" s="2" t="n">
        <v>0</v>
      </c>
      <c r="CJ512" s="2" t="n">
        <v>0</v>
      </c>
      <c r="CK512" s="2" t="n">
        <v>0</v>
      </c>
      <c r="CL512" s="2" t="n">
        <v>0</v>
      </c>
      <c r="CM512" s="2" t="n">
        <v>0</v>
      </c>
      <c r="CN512" s="2" t="n">
        <v>0</v>
      </c>
      <c r="CO512" s="2" t="n">
        <v>0</v>
      </c>
      <c r="CP512" s="2" t="n">
        <v>0</v>
      </c>
      <c r="CQ512" s="2" t="n">
        <v>0</v>
      </c>
      <c r="CR512" s="2" t="n">
        <v>0</v>
      </c>
      <c r="CS512" s="2" t="n">
        <v>0</v>
      </c>
      <c r="CT512" s="2" t="n">
        <v>0</v>
      </c>
      <c r="CU512" s="2" t="n">
        <v>0</v>
      </c>
      <c r="CV512" s="2" t="n">
        <v>0</v>
      </c>
      <c r="CW512" s="2" t="n">
        <v>0</v>
      </c>
      <c r="CX512" s="2" t="n">
        <v>0</v>
      </c>
      <c r="CY512" s="2" t="n">
        <v>0</v>
      </c>
      <c r="CZ512" s="2" t="n">
        <v>0</v>
      </c>
      <c r="DA512" s="2" t="n">
        <v>0</v>
      </c>
      <c r="DB512" s="2" t="n">
        <v>0</v>
      </c>
      <c r="DC512" s="2" t="n">
        <v>0</v>
      </c>
      <c r="DD512" s="2" t="n">
        <v>0</v>
      </c>
      <c r="DE512" s="2" t="n">
        <v>0</v>
      </c>
      <c r="DF512" s="2" t="n">
        <v>0</v>
      </c>
      <c r="DG512" s="2" t="n">
        <v>0</v>
      </c>
      <c r="DH512" s="2" t="n">
        <v>0</v>
      </c>
      <c r="DI512" s="2" t="n">
        <v>0</v>
      </c>
      <c r="DJ512" s="2" t="n">
        <v>9.039999999999999</v>
      </c>
      <c r="DK512" s="2" t="n">
        <v>0</v>
      </c>
      <c r="DL512" s="2" t="n">
        <v>0</v>
      </c>
      <c r="DM512" s="2" t="n">
        <v>11.75</v>
      </c>
      <c r="DN512" s="2" t="n">
        <v>6.33</v>
      </c>
      <c r="DO512" s="2" t="n">
        <v>0</v>
      </c>
      <c r="DP512" s="2" t="n">
        <v>18.07</v>
      </c>
      <c r="DQ512" s="2" t="n">
        <v>9.039999999999999</v>
      </c>
      <c r="DR512" s="2" t="n">
        <v>0</v>
      </c>
      <c r="DS512" s="2" t="n">
        <v>23.5</v>
      </c>
      <c r="DT512" s="2" t="n">
        <v>9.039999999999999</v>
      </c>
      <c r="DU512" s="2" t="n">
        <v>0</v>
      </c>
      <c r="DV512" s="2" t="n">
        <v>28.02</v>
      </c>
      <c r="DW512" s="2" t="n">
        <v>21.24</v>
      </c>
      <c r="DX512" s="2" t="n">
        <v>0</v>
      </c>
      <c r="DY512" s="2" t="n">
        <v>37.06</v>
      </c>
      <c r="DZ512" s="2" t="n">
        <v>27.57</v>
      </c>
      <c r="EA512" s="2" t="n">
        <v>0</v>
      </c>
      <c r="EB512" s="2" t="n">
        <v>51.2</v>
      </c>
      <c r="EC512" s="2" t="n">
        <v>32.54</v>
      </c>
      <c r="ED512" s="2" t="n">
        <v>0</v>
      </c>
      <c r="EE512" s="2" t="n">
        <v>68.37</v>
      </c>
      <c r="EF512" s="2" t="n">
        <v>41.58</v>
      </c>
      <c r="EG512" s="2" t="n">
        <v>0</v>
      </c>
      <c r="EH512" s="2" t="n">
        <v>77.41</v>
      </c>
      <c r="EI512" s="2" t="n">
        <v>49.71</v>
      </c>
      <c r="EJ512" s="2" t="n">
        <v>0</v>
      </c>
      <c r="EK512" s="2" t="n">
        <v>90.06</v>
      </c>
      <c r="EL512" s="2" t="n">
        <v>60.24</v>
      </c>
      <c r="EM512" s="2" t="n">
        <v>0</v>
      </c>
      <c r="EN512" s="2" t="n">
        <v>100</v>
      </c>
      <c r="EO512" s="2" t="n">
        <v>69.73</v>
      </c>
      <c r="EP512" s="2" t="n">
        <v>0</v>
      </c>
      <c r="EQ512" s="2" t="n">
        <v>100</v>
      </c>
      <c r="ER512" s="2" t="n">
        <v>76.95999999999999</v>
      </c>
      <c r="ES512" s="2" t="n">
        <v>0</v>
      </c>
      <c r="ET512" s="2" t="n">
        <v>100</v>
      </c>
      <c r="EU512" s="2" t="n">
        <v>81.93000000000001</v>
      </c>
      <c r="EV512" s="2" t="n">
        <v>0</v>
      </c>
      <c r="EW512" s="2" t="n">
        <v>100</v>
      </c>
      <c r="EX512" s="2" t="n">
        <v>90.06</v>
      </c>
      <c r="EY512" s="2" t="n">
        <v>0</v>
      </c>
      <c r="EZ512" s="2" t="n">
        <v>100</v>
      </c>
      <c r="FA512" s="2" t="n">
        <v>95.48</v>
      </c>
      <c r="FB512" s="2" t="n">
        <v>0</v>
      </c>
      <c r="FC512" s="2" t="n">
        <v>100</v>
      </c>
      <c r="FD512" s="2" t="n">
        <v>100</v>
      </c>
      <c r="FE512" s="2" t="n">
        <v>0</v>
      </c>
      <c r="FF512" s="2" t="n">
        <v>100</v>
      </c>
      <c r="FG512" s="2" t="n">
        <v>100</v>
      </c>
      <c r="FH512" s="2" t="n">
        <v>0</v>
      </c>
      <c r="FI512" s="2" t="n">
        <v>100</v>
      </c>
      <c r="FJ512" s="2" t="n">
        <v>100</v>
      </c>
      <c r="FK512" s="2" t="n">
        <v>0</v>
      </c>
      <c r="FL512" s="2" t="n">
        <v>100</v>
      </c>
      <c r="FM512" s="2" t="n">
        <v>100</v>
      </c>
      <c r="FN512" s="2" t="n">
        <v>0</v>
      </c>
      <c r="FO512" s="2" t="n">
        <v>100</v>
      </c>
      <c r="FP512" s="2" t="n">
        <v>100</v>
      </c>
      <c r="FQ512" s="2" t="n">
        <v>0</v>
      </c>
    </row>
    <row r="513">
      <c r="A513" s="2" t="n">
        <v>1</v>
      </c>
      <c r="B513" s="2" t="inlineStr">
        <is>
          <t>22</t>
        </is>
      </c>
      <c r="C513" s="2" t="inlineStr">
        <is>
          <t>INSTALAÇÕES HIDRÁULICAS</t>
        </is>
      </c>
      <c r="D513" s="2" t="inlineStr">
        <is>
          <t>10/08/2026</t>
        </is>
      </c>
      <c r="E513" s="2" t="inlineStr">
        <is>
          <t>05/11/2027</t>
        </is>
      </c>
      <c r="F513" s="2" t="n">
        <v>5180198.4</v>
      </c>
      <c r="G513" s="2" t="n">
        <v>0</v>
      </c>
      <c r="H513" s="2" t="n">
        <v>5180198.4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0</v>
      </c>
      <c r="BX513" s="2" t="n">
        <v>0</v>
      </c>
      <c r="BY513" s="2" t="n">
        <v>0</v>
      </c>
      <c r="BZ513" s="2" t="n">
        <v>0.93</v>
      </c>
      <c r="CA513" s="2" t="n">
        <v>0</v>
      </c>
      <c r="CB513" s="2" t="n">
        <v>0</v>
      </c>
      <c r="CC513" s="2" t="n">
        <v>3.88</v>
      </c>
      <c r="CD513" s="2" t="n">
        <v>1.51</v>
      </c>
      <c r="CE513" s="2" t="n">
        <v>0</v>
      </c>
      <c r="CF513" s="2" t="n">
        <v>10.43</v>
      </c>
      <c r="CG513" s="2" t="n">
        <v>8.210000000000001</v>
      </c>
      <c r="CH513" s="2" t="n">
        <v>0</v>
      </c>
      <c r="CI513" s="2" t="n">
        <v>14.85</v>
      </c>
      <c r="CJ513" s="2" t="n">
        <v>12.05</v>
      </c>
      <c r="CK513" s="2" t="n">
        <v>0</v>
      </c>
      <c r="CL513" s="2" t="n">
        <v>20.38</v>
      </c>
      <c r="CM513" s="2" t="n">
        <v>18.76</v>
      </c>
      <c r="CN513" s="2" t="n">
        <v>0</v>
      </c>
      <c r="CO513" s="2" t="n">
        <v>20.64</v>
      </c>
      <c r="CP513" s="2" t="n">
        <v>20.64</v>
      </c>
      <c r="CQ513" s="2" t="n">
        <v>0</v>
      </c>
      <c r="CR513" s="2" t="n">
        <v>23.95</v>
      </c>
      <c r="CS513" s="2" t="n">
        <v>23.95</v>
      </c>
      <c r="CT513" s="2" t="n">
        <v>0</v>
      </c>
      <c r="CU513" s="2" t="n">
        <v>29.7</v>
      </c>
      <c r="CV513" s="2" t="n">
        <v>29.7</v>
      </c>
      <c r="CW513" s="2" t="n">
        <v>0</v>
      </c>
      <c r="CX513" s="2" t="n">
        <v>37.27</v>
      </c>
      <c r="CY513" s="2" t="n">
        <v>37.27</v>
      </c>
      <c r="CZ513" s="2" t="n">
        <v>0</v>
      </c>
      <c r="DA513" s="2" t="n">
        <v>46.18</v>
      </c>
      <c r="DB513" s="2" t="n">
        <v>46.23</v>
      </c>
      <c r="DC513" s="2" t="n">
        <v>0</v>
      </c>
      <c r="DD513" s="2" t="n">
        <v>56.11</v>
      </c>
      <c r="DE513" s="2" t="n">
        <v>56.11</v>
      </c>
      <c r="DF513" s="2" t="n">
        <v>0</v>
      </c>
      <c r="DG513" s="2" t="n">
        <v>69.65000000000001</v>
      </c>
      <c r="DH513" s="2" t="n">
        <v>69.65000000000001</v>
      </c>
      <c r="DI513" s="2" t="n">
        <v>0</v>
      </c>
      <c r="DJ513" s="2" t="n">
        <v>87.29000000000001</v>
      </c>
      <c r="DK513" s="2" t="n">
        <v>87.29000000000001</v>
      </c>
      <c r="DL513" s="2" t="n">
        <v>0</v>
      </c>
      <c r="DM513" s="2" t="n">
        <v>95.92</v>
      </c>
      <c r="DN513" s="2" t="n">
        <v>95.92</v>
      </c>
      <c r="DO513" s="2" t="n">
        <v>0</v>
      </c>
      <c r="DP513" s="2" t="n">
        <v>99.48999999999999</v>
      </c>
      <c r="DQ513" s="2" t="n">
        <v>99.48999999999999</v>
      </c>
      <c r="DR513" s="2" t="n">
        <v>0</v>
      </c>
      <c r="DS513" s="2" t="n">
        <v>99.91</v>
      </c>
      <c r="DT513" s="2" t="n">
        <v>99.91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  <c r="ET513" s="2" t="n">
        <v>100</v>
      </c>
      <c r="EU513" s="2" t="n">
        <v>100</v>
      </c>
      <c r="EV513" s="2" t="n">
        <v>0</v>
      </c>
      <c r="EW513" s="2" t="n">
        <v>100</v>
      </c>
      <c r="EX513" s="2" t="n">
        <v>100</v>
      </c>
      <c r="EY513" s="2" t="n">
        <v>0</v>
      </c>
      <c r="EZ513" s="2" t="n">
        <v>100</v>
      </c>
      <c r="FA513" s="2" t="n">
        <v>100</v>
      </c>
      <c r="FB513" s="2" t="n">
        <v>0</v>
      </c>
      <c r="FC513" s="2" t="n">
        <v>100</v>
      </c>
      <c r="FD513" s="2" t="n">
        <v>100</v>
      </c>
      <c r="FE513" s="2" t="n">
        <v>0</v>
      </c>
      <c r="FF513" s="2" t="n">
        <v>100</v>
      </c>
      <c r="FG513" s="2" t="n">
        <v>100</v>
      </c>
      <c r="FH513" s="2" t="n">
        <v>0</v>
      </c>
      <c r="FI513" s="2" t="n">
        <v>100</v>
      </c>
      <c r="FJ513" s="2" t="n">
        <v>100</v>
      </c>
      <c r="FK513" s="2" t="n">
        <v>0</v>
      </c>
      <c r="FL513" s="2" t="n">
        <v>100</v>
      </c>
      <c r="FM513" s="2" t="n">
        <v>100</v>
      </c>
      <c r="FN513" s="2" t="n">
        <v>0</v>
      </c>
      <c r="FO513" s="2" t="n">
        <v>100</v>
      </c>
      <c r="FP513" s="2" t="n">
        <v>100</v>
      </c>
      <c r="FQ513" s="2" t="n">
        <v>0</v>
      </c>
    </row>
    <row r="514">
      <c r="A514" s="2" t="n">
        <v>2</v>
      </c>
      <c r="B514" s="2" t="inlineStr">
        <is>
          <t>22.01</t>
        </is>
      </c>
      <c r="C514" s="2" t="inlineStr">
        <is>
          <t>Instalações Prediais de Água fria</t>
        </is>
      </c>
      <c r="D514" s="2" t="inlineStr">
        <is>
          <t>10/08/2026</t>
        </is>
      </c>
      <c r="E514" s="2" t="inlineStr">
        <is>
          <t>05/11/2027</t>
        </is>
      </c>
      <c r="F514" s="2" t="n">
        <v>1942574.4</v>
      </c>
      <c r="G514" s="2" t="n">
        <v>0</v>
      </c>
      <c r="H514" s="2" t="n">
        <v>1942574.4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</v>
      </c>
      <c r="BY514" s="2" t="n">
        <v>0</v>
      </c>
      <c r="BZ514" s="2" t="n">
        <v>0.93</v>
      </c>
      <c r="CA514" s="2" t="n">
        <v>0</v>
      </c>
      <c r="CB514" s="2" t="n">
        <v>0</v>
      </c>
      <c r="CC514" s="2" t="n">
        <v>3.2</v>
      </c>
      <c r="CD514" s="2" t="n">
        <v>1.69</v>
      </c>
      <c r="CE514" s="2" t="n">
        <v>0</v>
      </c>
      <c r="CF514" s="2" t="n">
        <v>7.13</v>
      </c>
      <c r="CG514" s="2" t="n">
        <v>5.51</v>
      </c>
      <c r="CH514" s="2" t="n">
        <v>0</v>
      </c>
      <c r="CI514" s="2" t="n">
        <v>10.23</v>
      </c>
      <c r="CJ514" s="2" t="n">
        <v>8.550000000000001</v>
      </c>
      <c r="CK514" s="2" t="n">
        <v>0</v>
      </c>
      <c r="CL514" s="2" t="n">
        <v>12.67</v>
      </c>
      <c r="CM514" s="2" t="n">
        <v>11.95</v>
      </c>
      <c r="CN514" s="2" t="n">
        <v>0</v>
      </c>
      <c r="CO514" s="2" t="n">
        <v>13.36</v>
      </c>
      <c r="CP514" s="2" t="n">
        <v>13.36</v>
      </c>
      <c r="CQ514" s="2" t="n">
        <v>0</v>
      </c>
      <c r="CR514" s="2" t="n">
        <v>15.66</v>
      </c>
      <c r="CS514" s="2" t="n">
        <v>15.66</v>
      </c>
      <c r="CT514" s="2" t="n">
        <v>0</v>
      </c>
      <c r="CU514" s="2" t="n">
        <v>19.73</v>
      </c>
      <c r="CV514" s="2" t="n">
        <v>19.73</v>
      </c>
      <c r="CW514" s="2" t="n">
        <v>0</v>
      </c>
      <c r="CX514" s="2" t="n">
        <v>24.28</v>
      </c>
      <c r="CY514" s="2" t="n">
        <v>24.28</v>
      </c>
      <c r="CZ514" s="2" t="n">
        <v>0</v>
      </c>
      <c r="DA514" s="2" t="n">
        <v>32.11</v>
      </c>
      <c r="DB514" s="2" t="n">
        <v>32.26</v>
      </c>
      <c r="DC514" s="2" t="n">
        <v>0</v>
      </c>
      <c r="DD514" s="2" t="n">
        <v>40.58</v>
      </c>
      <c r="DE514" s="2" t="n">
        <v>40.58</v>
      </c>
      <c r="DF514" s="2" t="n">
        <v>0</v>
      </c>
      <c r="DG514" s="2" t="n">
        <v>63.93</v>
      </c>
      <c r="DH514" s="2" t="n">
        <v>63.93</v>
      </c>
      <c r="DI514" s="2" t="n">
        <v>0</v>
      </c>
      <c r="DJ514" s="2" t="n">
        <v>89.26000000000001</v>
      </c>
      <c r="DK514" s="2" t="n">
        <v>89.26000000000001</v>
      </c>
      <c r="DL514" s="2" t="n">
        <v>0</v>
      </c>
      <c r="DM514" s="2" t="n">
        <v>95.62</v>
      </c>
      <c r="DN514" s="2" t="n">
        <v>95.62</v>
      </c>
      <c r="DO514" s="2" t="n">
        <v>0</v>
      </c>
      <c r="DP514" s="2" t="n">
        <v>98.64</v>
      </c>
      <c r="DQ514" s="2" t="n">
        <v>98.64</v>
      </c>
      <c r="DR514" s="2" t="n">
        <v>0</v>
      </c>
      <c r="DS514" s="2" t="n">
        <v>99.77</v>
      </c>
      <c r="DT514" s="2" t="n">
        <v>99.77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  <c r="ET514" s="2" t="n">
        <v>100</v>
      </c>
      <c r="EU514" s="2" t="n">
        <v>100</v>
      </c>
      <c r="EV514" s="2" t="n">
        <v>0</v>
      </c>
      <c r="EW514" s="2" t="n">
        <v>100</v>
      </c>
      <c r="EX514" s="2" t="n">
        <v>100</v>
      </c>
      <c r="EY514" s="2" t="n">
        <v>0</v>
      </c>
      <c r="EZ514" s="2" t="n">
        <v>100</v>
      </c>
      <c r="FA514" s="2" t="n">
        <v>100</v>
      </c>
      <c r="FB514" s="2" t="n">
        <v>0</v>
      </c>
      <c r="FC514" s="2" t="n">
        <v>100</v>
      </c>
      <c r="FD514" s="2" t="n">
        <v>100</v>
      </c>
      <c r="FE514" s="2" t="n">
        <v>0</v>
      </c>
      <c r="FF514" s="2" t="n">
        <v>100</v>
      </c>
      <c r="FG514" s="2" t="n">
        <v>100</v>
      </c>
      <c r="FH514" s="2" t="n">
        <v>0</v>
      </c>
      <c r="FI514" s="2" t="n">
        <v>100</v>
      </c>
      <c r="FJ514" s="2" t="n">
        <v>100</v>
      </c>
      <c r="FK514" s="2" t="n">
        <v>0</v>
      </c>
      <c r="FL514" s="2" t="n">
        <v>100</v>
      </c>
      <c r="FM514" s="2" t="n">
        <v>100</v>
      </c>
      <c r="FN514" s="2" t="n">
        <v>0</v>
      </c>
      <c r="FO514" s="2" t="n">
        <v>100</v>
      </c>
      <c r="FP514" s="2" t="n">
        <v>100</v>
      </c>
      <c r="FQ514" s="2" t="n">
        <v>0</v>
      </c>
    </row>
    <row r="515">
      <c r="A515" s="2" t="n">
        <v>3</v>
      </c>
      <c r="B515" s="2" t="inlineStr">
        <is>
          <t>22.01.01</t>
        </is>
      </c>
      <c r="C515" s="2" t="inlineStr">
        <is>
          <t>Rede Concescionária</t>
        </is>
      </c>
      <c r="D515" s="2" t="inlineStr">
        <is>
          <t>02/07/2027</t>
        </is>
      </c>
      <c r="E515" s="2" t="inlineStr">
        <is>
          <t>05/11/2027</t>
        </is>
      </c>
      <c r="F515" s="2" t="n">
        <v>97128.72000000002</v>
      </c>
      <c r="G515" s="2" t="n">
        <v>0</v>
      </c>
      <c r="H515" s="2" t="n">
        <v>97128.72000000002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</v>
      </c>
      <c r="BY515" s="2" t="n">
        <v>0</v>
      </c>
      <c r="BZ515" s="2" t="n">
        <v>0</v>
      </c>
      <c r="CA515" s="2" t="n">
        <v>0</v>
      </c>
      <c r="CB515" s="2" t="n">
        <v>0</v>
      </c>
      <c r="CC515" s="2" t="n">
        <v>0</v>
      </c>
      <c r="CD515" s="2" t="n">
        <v>0</v>
      </c>
      <c r="CE515" s="2" t="n">
        <v>0</v>
      </c>
      <c r="CF515" s="2" t="n">
        <v>0</v>
      </c>
      <c r="CG515" s="2" t="n">
        <v>0</v>
      </c>
      <c r="CH515" s="2" t="n">
        <v>0</v>
      </c>
      <c r="CI515" s="2" t="n">
        <v>0</v>
      </c>
      <c r="CJ515" s="2" t="n">
        <v>0</v>
      </c>
      <c r="CK515" s="2" t="n">
        <v>0</v>
      </c>
      <c r="CL515" s="2" t="n">
        <v>0</v>
      </c>
      <c r="CM515" s="2" t="n">
        <v>0</v>
      </c>
      <c r="CN515" s="2" t="n">
        <v>0</v>
      </c>
      <c r="CO515" s="2" t="n">
        <v>0</v>
      </c>
      <c r="CP515" s="2" t="n">
        <v>0</v>
      </c>
      <c r="CQ515" s="2" t="n">
        <v>0</v>
      </c>
      <c r="CR515" s="2" t="n">
        <v>0</v>
      </c>
      <c r="CS515" s="2" t="n">
        <v>0</v>
      </c>
      <c r="CT515" s="2" t="n">
        <v>0</v>
      </c>
      <c r="CU515" s="2" t="n">
        <v>0</v>
      </c>
      <c r="CV515" s="2" t="n">
        <v>0</v>
      </c>
      <c r="CW515" s="2" t="n">
        <v>0</v>
      </c>
      <c r="CX515" s="2" t="n">
        <v>0</v>
      </c>
      <c r="CY515" s="2" t="n">
        <v>0</v>
      </c>
      <c r="CZ515" s="2" t="n">
        <v>0</v>
      </c>
      <c r="DA515" s="2" t="n">
        <v>0</v>
      </c>
      <c r="DB515" s="2" t="n">
        <v>0</v>
      </c>
      <c r="DC515" s="2" t="n">
        <v>0</v>
      </c>
      <c r="DD515" s="2" t="n">
        <v>0</v>
      </c>
      <c r="DE515" s="2" t="n">
        <v>0</v>
      </c>
      <c r="DF515" s="2" t="n">
        <v>0</v>
      </c>
      <c r="DG515" s="2" t="n">
        <v>0</v>
      </c>
      <c r="DH515" s="2" t="n">
        <v>0</v>
      </c>
      <c r="DI515" s="2" t="n">
        <v>0</v>
      </c>
      <c r="DJ515" s="2" t="n">
        <v>23.86</v>
      </c>
      <c r="DK515" s="2" t="n">
        <v>23.86</v>
      </c>
      <c r="DL515" s="2" t="n">
        <v>0</v>
      </c>
      <c r="DM515" s="2" t="n">
        <v>48.86</v>
      </c>
      <c r="DN515" s="2" t="n">
        <v>48.86</v>
      </c>
      <c r="DO515" s="2" t="n">
        <v>0</v>
      </c>
      <c r="DP515" s="2" t="n">
        <v>72.73</v>
      </c>
      <c r="DQ515" s="2" t="n">
        <v>72.73</v>
      </c>
      <c r="DR515" s="2" t="n">
        <v>0</v>
      </c>
      <c r="DS515" s="2" t="n">
        <v>95.45</v>
      </c>
      <c r="DT515" s="2" t="n">
        <v>95.45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  <c r="ET515" s="2" t="n">
        <v>100</v>
      </c>
      <c r="EU515" s="2" t="n">
        <v>100</v>
      </c>
      <c r="EV515" s="2" t="n">
        <v>0</v>
      </c>
      <c r="EW515" s="2" t="n">
        <v>100</v>
      </c>
      <c r="EX515" s="2" t="n">
        <v>100</v>
      </c>
      <c r="EY515" s="2" t="n">
        <v>0</v>
      </c>
      <c r="EZ515" s="2" t="n">
        <v>100</v>
      </c>
      <c r="FA515" s="2" t="n">
        <v>100</v>
      </c>
      <c r="FB515" s="2" t="n">
        <v>0</v>
      </c>
      <c r="FC515" s="2" t="n">
        <v>100</v>
      </c>
      <c r="FD515" s="2" t="n">
        <v>100</v>
      </c>
      <c r="FE515" s="2" t="n">
        <v>0</v>
      </c>
      <c r="FF515" s="2" t="n">
        <v>100</v>
      </c>
      <c r="FG515" s="2" t="n">
        <v>100</v>
      </c>
      <c r="FH515" s="2" t="n">
        <v>0</v>
      </c>
      <c r="FI515" s="2" t="n">
        <v>100</v>
      </c>
      <c r="FJ515" s="2" t="n">
        <v>100</v>
      </c>
      <c r="FK515" s="2" t="n">
        <v>0</v>
      </c>
      <c r="FL515" s="2" t="n">
        <v>100</v>
      </c>
      <c r="FM515" s="2" t="n">
        <v>100</v>
      </c>
      <c r="FN515" s="2" t="n">
        <v>0</v>
      </c>
      <c r="FO515" s="2" t="n">
        <v>100</v>
      </c>
      <c r="FP515" s="2" t="n">
        <v>100</v>
      </c>
      <c r="FQ515" s="2" t="n">
        <v>0</v>
      </c>
    </row>
    <row r="516">
      <c r="A516" s="2" t="n">
        <v>3</v>
      </c>
      <c r="B516" s="2" t="inlineStr">
        <is>
          <t>22.01.02</t>
        </is>
      </c>
      <c r="C516" s="2" t="inlineStr">
        <is>
          <t>Barrilete</t>
        </is>
      </c>
      <c r="D516" s="2" t="inlineStr">
        <is>
          <t>22/06/2027</t>
        </is>
      </c>
      <c r="E516" s="2" t="inlineStr">
        <is>
          <t>12/07/2027</t>
        </is>
      </c>
      <c r="F516" s="2" t="n">
        <v>213683.184</v>
      </c>
      <c r="G516" s="2" t="n">
        <v>0</v>
      </c>
      <c r="H516" s="2" t="n">
        <v>213683.184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0</v>
      </c>
      <c r="CP516" s="2" t="n">
        <v>0</v>
      </c>
      <c r="CQ516" s="2" t="n">
        <v>0</v>
      </c>
      <c r="CR516" s="2" t="n">
        <v>0</v>
      </c>
      <c r="CS516" s="2" t="n">
        <v>0</v>
      </c>
      <c r="CT516" s="2" t="n">
        <v>0</v>
      </c>
      <c r="CU516" s="2" t="n">
        <v>0</v>
      </c>
      <c r="CV516" s="2" t="n">
        <v>0</v>
      </c>
      <c r="CW516" s="2" t="n">
        <v>0</v>
      </c>
      <c r="CX516" s="2" t="n">
        <v>0</v>
      </c>
      <c r="CY516" s="2" t="n">
        <v>0</v>
      </c>
      <c r="CZ516" s="2" t="n">
        <v>0</v>
      </c>
      <c r="DA516" s="2" t="n">
        <v>0</v>
      </c>
      <c r="DB516" s="2" t="n">
        <v>0</v>
      </c>
      <c r="DC516" s="2" t="n">
        <v>0</v>
      </c>
      <c r="DD516" s="2" t="n">
        <v>0</v>
      </c>
      <c r="DE516" s="2" t="n">
        <v>0</v>
      </c>
      <c r="DF516" s="2" t="n">
        <v>0</v>
      </c>
      <c r="DG516" s="2" t="n">
        <v>46.67</v>
      </c>
      <c r="DH516" s="2" t="n">
        <v>46.67</v>
      </c>
      <c r="DI516" s="2" t="n">
        <v>0</v>
      </c>
      <c r="DJ516" s="2" t="n">
        <v>100</v>
      </c>
      <c r="DK516" s="2" t="n">
        <v>100</v>
      </c>
      <c r="DL516" s="2" t="n">
        <v>0</v>
      </c>
      <c r="DM516" s="2" t="n">
        <v>100</v>
      </c>
      <c r="DN516" s="2" t="n">
        <v>100</v>
      </c>
      <c r="DO516" s="2" t="n">
        <v>0</v>
      </c>
      <c r="DP516" s="2" t="n">
        <v>100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  <c r="ET516" s="2" t="n">
        <v>100</v>
      </c>
      <c r="EU516" s="2" t="n">
        <v>100</v>
      </c>
      <c r="EV516" s="2" t="n">
        <v>0</v>
      </c>
      <c r="EW516" s="2" t="n">
        <v>100</v>
      </c>
      <c r="EX516" s="2" t="n">
        <v>100</v>
      </c>
      <c r="EY516" s="2" t="n">
        <v>0</v>
      </c>
      <c r="EZ516" s="2" t="n">
        <v>100</v>
      </c>
      <c r="FA516" s="2" t="n">
        <v>100</v>
      </c>
      <c r="FB516" s="2" t="n">
        <v>0</v>
      </c>
      <c r="FC516" s="2" t="n">
        <v>100</v>
      </c>
      <c r="FD516" s="2" t="n">
        <v>100</v>
      </c>
      <c r="FE516" s="2" t="n">
        <v>0</v>
      </c>
      <c r="FF516" s="2" t="n">
        <v>100</v>
      </c>
      <c r="FG516" s="2" t="n">
        <v>100</v>
      </c>
      <c r="FH516" s="2" t="n">
        <v>0</v>
      </c>
      <c r="FI516" s="2" t="n">
        <v>100</v>
      </c>
      <c r="FJ516" s="2" t="n">
        <v>100</v>
      </c>
      <c r="FK516" s="2" t="n">
        <v>0</v>
      </c>
      <c r="FL516" s="2" t="n">
        <v>100</v>
      </c>
      <c r="FM516" s="2" t="n">
        <v>100</v>
      </c>
      <c r="FN516" s="2" t="n">
        <v>0</v>
      </c>
      <c r="FO516" s="2" t="n">
        <v>100</v>
      </c>
      <c r="FP516" s="2" t="n">
        <v>100</v>
      </c>
      <c r="FQ516" s="2" t="n">
        <v>0</v>
      </c>
    </row>
    <row r="517">
      <c r="A517" s="2" t="n">
        <v>3</v>
      </c>
      <c r="B517" s="2" t="inlineStr">
        <is>
          <t>22.01.03</t>
        </is>
      </c>
      <c r="C517" s="2" t="inlineStr">
        <is>
          <t>Casa De Bombas</t>
        </is>
      </c>
      <c r="D517" s="2" t="inlineStr">
        <is>
          <t>22/06/2027</t>
        </is>
      </c>
      <c r="E517" s="2" t="inlineStr">
        <is>
          <t>12/07/2027</t>
        </is>
      </c>
      <c r="F517" s="2" t="n">
        <v>271960.416</v>
      </c>
      <c r="G517" s="2" t="n">
        <v>0</v>
      </c>
      <c r="H517" s="2" t="n">
        <v>271960.416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0</v>
      </c>
      <c r="BO517" s="2" t="n">
        <v>0</v>
      </c>
      <c r="BP517" s="2" t="n">
        <v>0</v>
      </c>
      <c r="BQ517" s="2" t="n">
        <v>0</v>
      </c>
      <c r="BR517" s="2" t="n">
        <v>0</v>
      </c>
      <c r="BS517" s="2" t="n">
        <v>0</v>
      </c>
      <c r="BT517" s="2" t="n">
        <v>0</v>
      </c>
      <c r="BU517" s="2" t="n">
        <v>0</v>
      </c>
      <c r="BV517" s="2" t="n">
        <v>0</v>
      </c>
      <c r="BW517" s="2" t="n">
        <v>0</v>
      </c>
      <c r="BX517" s="2" t="n">
        <v>0</v>
      </c>
      <c r="BY517" s="2" t="n">
        <v>0</v>
      </c>
      <c r="BZ517" s="2" t="n">
        <v>0</v>
      </c>
      <c r="CA517" s="2" t="n">
        <v>0</v>
      </c>
      <c r="CB517" s="2" t="n">
        <v>0</v>
      </c>
      <c r="CC517" s="2" t="n">
        <v>0</v>
      </c>
      <c r="CD517" s="2" t="n">
        <v>0</v>
      </c>
      <c r="CE517" s="2" t="n">
        <v>0</v>
      </c>
      <c r="CF517" s="2" t="n">
        <v>0</v>
      </c>
      <c r="CG517" s="2" t="n">
        <v>0</v>
      </c>
      <c r="CH517" s="2" t="n">
        <v>0</v>
      </c>
      <c r="CI517" s="2" t="n">
        <v>0</v>
      </c>
      <c r="CJ517" s="2" t="n">
        <v>0</v>
      </c>
      <c r="CK517" s="2" t="n">
        <v>0</v>
      </c>
      <c r="CL517" s="2" t="n">
        <v>0</v>
      </c>
      <c r="CM517" s="2" t="n">
        <v>0</v>
      </c>
      <c r="CN517" s="2" t="n">
        <v>0</v>
      </c>
      <c r="CO517" s="2" t="n">
        <v>0</v>
      </c>
      <c r="CP517" s="2" t="n">
        <v>0</v>
      </c>
      <c r="CQ517" s="2" t="n">
        <v>0</v>
      </c>
      <c r="CR517" s="2" t="n">
        <v>0</v>
      </c>
      <c r="CS517" s="2" t="n">
        <v>0</v>
      </c>
      <c r="CT517" s="2" t="n">
        <v>0</v>
      </c>
      <c r="CU517" s="2" t="n">
        <v>0</v>
      </c>
      <c r="CV517" s="2" t="n">
        <v>0</v>
      </c>
      <c r="CW517" s="2" t="n">
        <v>0</v>
      </c>
      <c r="CX517" s="2" t="n">
        <v>0</v>
      </c>
      <c r="CY517" s="2" t="n">
        <v>0</v>
      </c>
      <c r="CZ517" s="2" t="n">
        <v>0</v>
      </c>
      <c r="DA517" s="2" t="n">
        <v>0</v>
      </c>
      <c r="DB517" s="2" t="n">
        <v>0</v>
      </c>
      <c r="DC517" s="2" t="n">
        <v>0</v>
      </c>
      <c r="DD517" s="2" t="n">
        <v>0</v>
      </c>
      <c r="DE517" s="2" t="n">
        <v>0</v>
      </c>
      <c r="DF517" s="2" t="n">
        <v>0</v>
      </c>
      <c r="DG517" s="2" t="n">
        <v>46.67</v>
      </c>
      <c r="DH517" s="2" t="n">
        <v>46.67</v>
      </c>
      <c r="DI517" s="2" t="n">
        <v>0</v>
      </c>
      <c r="DJ517" s="2" t="n">
        <v>100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  <c r="ET517" s="2" t="n">
        <v>100</v>
      </c>
      <c r="EU517" s="2" t="n">
        <v>100</v>
      </c>
      <c r="EV517" s="2" t="n">
        <v>0</v>
      </c>
      <c r="EW517" s="2" t="n">
        <v>100</v>
      </c>
      <c r="EX517" s="2" t="n">
        <v>100</v>
      </c>
      <c r="EY517" s="2" t="n">
        <v>0</v>
      </c>
      <c r="EZ517" s="2" t="n">
        <v>100</v>
      </c>
      <c r="FA517" s="2" t="n">
        <v>100</v>
      </c>
      <c r="FB517" s="2" t="n">
        <v>0</v>
      </c>
      <c r="FC517" s="2" t="n">
        <v>100</v>
      </c>
      <c r="FD517" s="2" t="n">
        <v>100</v>
      </c>
      <c r="FE517" s="2" t="n">
        <v>0</v>
      </c>
      <c r="FF517" s="2" t="n">
        <v>100</v>
      </c>
      <c r="FG517" s="2" t="n">
        <v>100</v>
      </c>
      <c r="FH517" s="2" t="n">
        <v>0</v>
      </c>
      <c r="FI517" s="2" t="n">
        <v>100</v>
      </c>
      <c r="FJ517" s="2" t="n">
        <v>100</v>
      </c>
      <c r="FK517" s="2" t="n">
        <v>0</v>
      </c>
      <c r="FL517" s="2" t="n">
        <v>100</v>
      </c>
      <c r="FM517" s="2" t="n">
        <v>100</v>
      </c>
      <c r="FN517" s="2" t="n">
        <v>0</v>
      </c>
      <c r="FO517" s="2" t="n">
        <v>100</v>
      </c>
      <c r="FP517" s="2" t="n">
        <v>100</v>
      </c>
      <c r="FQ517" s="2" t="n">
        <v>0</v>
      </c>
    </row>
    <row r="518">
      <c r="A518" s="2" t="n">
        <v>3</v>
      </c>
      <c r="B518" s="2" t="inlineStr">
        <is>
          <t>22.01.04</t>
        </is>
      </c>
      <c r="C518" s="2" t="inlineStr">
        <is>
          <t>Furação Nas Lajes</t>
        </is>
      </c>
      <c r="D518" s="2" t="inlineStr">
        <is>
          <t>10/08/2026</t>
        </is>
      </c>
      <c r="E518" s="2" t="inlineStr">
        <is>
          <t>17/09/2027</t>
        </is>
      </c>
      <c r="F518" s="2" t="n">
        <v>116554.464</v>
      </c>
      <c r="G518" s="2" t="n">
        <v>0</v>
      </c>
      <c r="H518" s="2" t="n">
        <v>116554.464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0</v>
      </c>
      <c r="BX518" s="2" t="n">
        <v>0</v>
      </c>
      <c r="BY518" s="2" t="n">
        <v>0</v>
      </c>
      <c r="BZ518" s="2" t="n">
        <v>3.27</v>
      </c>
      <c r="CA518" s="2" t="n">
        <v>0</v>
      </c>
      <c r="CB518" s="2" t="n">
        <v>0</v>
      </c>
      <c r="CC518" s="2" t="n">
        <v>9.380000000000001</v>
      </c>
      <c r="CD518" s="2" t="n">
        <v>6.47</v>
      </c>
      <c r="CE518" s="2" t="n">
        <v>0</v>
      </c>
      <c r="CF518" s="2" t="n">
        <v>15.97</v>
      </c>
      <c r="CG518" s="2" t="n">
        <v>11.94</v>
      </c>
      <c r="CH518" s="2" t="n">
        <v>0</v>
      </c>
      <c r="CI518" s="2" t="n">
        <v>23.24</v>
      </c>
      <c r="CJ518" s="2" t="n">
        <v>20.41</v>
      </c>
      <c r="CK518" s="2" t="n">
        <v>0</v>
      </c>
      <c r="CL518" s="2" t="n">
        <v>23.24</v>
      </c>
      <c r="CM518" s="2" t="n">
        <v>23.24</v>
      </c>
      <c r="CN518" s="2" t="n">
        <v>0</v>
      </c>
      <c r="CO518" s="2" t="n">
        <v>26.87</v>
      </c>
      <c r="CP518" s="2" t="n">
        <v>26.87</v>
      </c>
      <c r="CQ518" s="2" t="n">
        <v>0</v>
      </c>
      <c r="CR518" s="2" t="n">
        <v>32.18</v>
      </c>
      <c r="CS518" s="2" t="n">
        <v>32.18</v>
      </c>
      <c r="CT518" s="2" t="n">
        <v>0</v>
      </c>
      <c r="CU518" s="2" t="n">
        <v>41.87</v>
      </c>
      <c r="CV518" s="2" t="n">
        <v>41.87</v>
      </c>
      <c r="CW518" s="2" t="n">
        <v>0</v>
      </c>
      <c r="CX518" s="2" t="n">
        <v>49.53</v>
      </c>
      <c r="CY518" s="2" t="n">
        <v>49.53</v>
      </c>
      <c r="CZ518" s="2" t="n">
        <v>0</v>
      </c>
      <c r="DA518" s="2" t="n">
        <v>59.22</v>
      </c>
      <c r="DB518" s="2" t="n">
        <v>60.02</v>
      </c>
      <c r="DC518" s="2" t="n">
        <v>0</v>
      </c>
      <c r="DD518" s="2" t="n">
        <v>67.48999999999999</v>
      </c>
      <c r="DE518" s="2" t="n">
        <v>67.48999999999999</v>
      </c>
      <c r="DF518" s="2" t="n">
        <v>0</v>
      </c>
      <c r="DG518" s="2" t="n">
        <v>76.77</v>
      </c>
      <c r="DH518" s="2" t="n">
        <v>76.77</v>
      </c>
      <c r="DI518" s="2" t="n">
        <v>0</v>
      </c>
      <c r="DJ518" s="2" t="n">
        <v>87.66</v>
      </c>
      <c r="DK518" s="2" t="n">
        <v>87.66</v>
      </c>
      <c r="DL518" s="2" t="n">
        <v>0</v>
      </c>
      <c r="DM518" s="2" t="n">
        <v>97.2</v>
      </c>
      <c r="DN518" s="2" t="n">
        <v>97.2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  <c r="ET518" s="2" t="n">
        <v>100</v>
      </c>
      <c r="EU518" s="2" t="n">
        <v>100</v>
      </c>
      <c r="EV518" s="2" t="n">
        <v>0</v>
      </c>
      <c r="EW518" s="2" t="n">
        <v>100</v>
      </c>
      <c r="EX518" s="2" t="n">
        <v>100</v>
      </c>
      <c r="EY518" s="2" t="n">
        <v>0</v>
      </c>
      <c r="EZ518" s="2" t="n">
        <v>100</v>
      </c>
      <c r="FA518" s="2" t="n">
        <v>100</v>
      </c>
      <c r="FB518" s="2" t="n">
        <v>0</v>
      </c>
      <c r="FC518" s="2" t="n">
        <v>100</v>
      </c>
      <c r="FD518" s="2" t="n">
        <v>100</v>
      </c>
      <c r="FE518" s="2" t="n">
        <v>0</v>
      </c>
      <c r="FF518" s="2" t="n">
        <v>100</v>
      </c>
      <c r="FG518" s="2" t="n">
        <v>100</v>
      </c>
      <c r="FH518" s="2" t="n">
        <v>0</v>
      </c>
      <c r="FI518" s="2" t="n">
        <v>100</v>
      </c>
      <c r="FJ518" s="2" t="n">
        <v>100</v>
      </c>
      <c r="FK518" s="2" t="n">
        <v>0</v>
      </c>
      <c r="FL518" s="2" t="n">
        <v>100</v>
      </c>
      <c r="FM518" s="2" t="n">
        <v>100</v>
      </c>
      <c r="FN518" s="2" t="n">
        <v>0</v>
      </c>
      <c r="FO518" s="2" t="n">
        <v>100</v>
      </c>
      <c r="FP518" s="2" t="n">
        <v>100</v>
      </c>
      <c r="FQ518" s="2" t="n">
        <v>0</v>
      </c>
    </row>
    <row r="519">
      <c r="A519" s="2" t="n">
        <v>3</v>
      </c>
      <c r="B519" s="2" t="inlineStr">
        <is>
          <t>22.01.05</t>
        </is>
      </c>
      <c r="C519" s="2" t="inlineStr">
        <is>
          <t>Prumadas De Água Fria</t>
        </is>
      </c>
      <c r="D519" s="2" t="inlineStr">
        <is>
          <t>10/08/2026</t>
        </is>
      </c>
      <c r="E519" s="2" t="inlineStr">
        <is>
          <t>17/09/2027</t>
        </is>
      </c>
      <c r="F519" s="2" t="n">
        <v>252534.672</v>
      </c>
      <c r="G519" s="2" t="n">
        <v>0</v>
      </c>
      <c r="H519" s="2" t="n">
        <v>252534.672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</v>
      </c>
      <c r="BY519" s="2" t="n">
        <v>0</v>
      </c>
      <c r="BZ519" s="2" t="n">
        <v>3.27</v>
      </c>
      <c r="CA519" s="2" t="n">
        <v>0</v>
      </c>
      <c r="CB519" s="2" t="n">
        <v>0</v>
      </c>
      <c r="CC519" s="2" t="n">
        <v>9.380000000000001</v>
      </c>
      <c r="CD519" s="2" t="n">
        <v>6.47</v>
      </c>
      <c r="CE519" s="2" t="n">
        <v>0</v>
      </c>
      <c r="CF519" s="2" t="n">
        <v>15.97</v>
      </c>
      <c r="CG519" s="2" t="n">
        <v>11.94</v>
      </c>
      <c r="CH519" s="2" t="n">
        <v>0</v>
      </c>
      <c r="CI519" s="2" t="n">
        <v>23.24</v>
      </c>
      <c r="CJ519" s="2" t="n">
        <v>20.41</v>
      </c>
      <c r="CK519" s="2" t="n">
        <v>0</v>
      </c>
      <c r="CL519" s="2" t="n">
        <v>23.24</v>
      </c>
      <c r="CM519" s="2" t="n">
        <v>23.24</v>
      </c>
      <c r="CN519" s="2" t="n">
        <v>0</v>
      </c>
      <c r="CO519" s="2" t="n">
        <v>26.87</v>
      </c>
      <c r="CP519" s="2" t="n">
        <v>26.87</v>
      </c>
      <c r="CQ519" s="2" t="n">
        <v>0</v>
      </c>
      <c r="CR519" s="2" t="n">
        <v>32.18</v>
      </c>
      <c r="CS519" s="2" t="n">
        <v>32.18</v>
      </c>
      <c r="CT519" s="2" t="n">
        <v>0</v>
      </c>
      <c r="CU519" s="2" t="n">
        <v>41.87</v>
      </c>
      <c r="CV519" s="2" t="n">
        <v>41.87</v>
      </c>
      <c r="CW519" s="2" t="n">
        <v>0</v>
      </c>
      <c r="CX519" s="2" t="n">
        <v>49.53</v>
      </c>
      <c r="CY519" s="2" t="n">
        <v>49.53</v>
      </c>
      <c r="CZ519" s="2" t="n">
        <v>0</v>
      </c>
      <c r="DA519" s="2" t="n">
        <v>59.22</v>
      </c>
      <c r="DB519" s="2" t="n">
        <v>60.02</v>
      </c>
      <c r="DC519" s="2" t="n">
        <v>0</v>
      </c>
      <c r="DD519" s="2" t="n">
        <v>67.48999999999999</v>
      </c>
      <c r="DE519" s="2" t="n">
        <v>67.48999999999999</v>
      </c>
      <c r="DF519" s="2" t="n">
        <v>0</v>
      </c>
      <c r="DG519" s="2" t="n">
        <v>76.77</v>
      </c>
      <c r="DH519" s="2" t="n">
        <v>76.77</v>
      </c>
      <c r="DI519" s="2" t="n">
        <v>0</v>
      </c>
      <c r="DJ519" s="2" t="n">
        <v>87.66</v>
      </c>
      <c r="DK519" s="2" t="n">
        <v>87.66</v>
      </c>
      <c r="DL519" s="2" t="n">
        <v>0</v>
      </c>
      <c r="DM519" s="2" t="n">
        <v>97.2</v>
      </c>
      <c r="DN519" s="2" t="n">
        <v>97.2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  <c r="ET519" s="2" t="n">
        <v>100</v>
      </c>
      <c r="EU519" s="2" t="n">
        <v>100</v>
      </c>
      <c r="EV519" s="2" t="n">
        <v>0</v>
      </c>
      <c r="EW519" s="2" t="n">
        <v>100</v>
      </c>
      <c r="EX519" s="2" t="n">
        <v>100</v>
      </c>
      <c r="EY519" s="2" t="n">
        <v>0</v>
      </c>
      <c r="EZ519" s="2" t="n">
        <v>100</v>
      </c>
      <c r="FA519" s="2" t="n">
        <v>100</v>
      </c>
      <c r="FB519" s="2" t="n">
        <v>0</v>
      </c>
      <c r="FC519" s="2" t="n">
        <v>100</v>
      </c>
      <c r="FD519" s="2" t="n">
        <v>100</v>
      </c>
      <c r="FE519" s="2" t="n">
        <v>0</v>
      </c>
      <c r="FF519" s="2" t="n">
        <v>100</v>
      </c>
      <c r="FG519" s="2" t="n">
        <v>100</v>
      </c>
      <c r="FH519" s="2" t="n">
        <v>0</v>
      </c>
      <c r="FI519" s="2" t="n">
        <v>100</v>
      </c>
      <c r="FJ519" s="2" t="n">
        <v>100</v>
      </c>
      <c r="FK519" s="2" t="n">
        <v>0</v>
      </c>
      <c r="FL519" s="2" t="n">
        <v>100</v>
      </c>
      <c r="FM519" s="2" t="n">
        <v>100</v>
      </c>
      <c r="FN519" s="2" t="n">
        <v>0</v>
      </c>
      <c r="FO519" s="2" t="n">
        <v>100</v>
      </c>
      <c r="FP519" s="2" t="n">
        <v>100</v>
      </c>
      <c r="FQ519" s="2" t="n">
        <v>0</v>
      </c>
    </row>
    <row r="520">
      <c r="A520" s="2" t="n">
        <v>3</v>
      </c>
      <c r="B520" s="2" t="inlineStr">
        <is>
          <t>22.01.06</t>
        </is>
      </c>
      <c r="C520" s="2" t="inlineStr">
        <is>
          <t>Distribuição</t>
        </is>
      </c>
      <c r="D520" s="2" t="inlineStr">
        <is>
          <t>24/08/2026</t>
        </is>
      </c>
      <c r="E520" s="2" t="inlineStr">
        <is>
          <t>14/09/2027</t>
        </is>
      </c>
      <c r="F520" s="2" t="n">
        <v>349663.392</v>
      </c>
      <c r="G520" s="2" t="n">
        <v>0</v>
      </c>
      <c r="H520" s="2" t="n">
        <v>349663.392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0</v>
      </c>
      <c r="BO520" s="2" t="n">
        <v>0</v>
      </c>
      <c r="BP520" s="2" t="n">
        <v>0</v>
      </c>
      <c r="BQ520" s="2" t="n">
        <v>0</v>
      </c>
      <c r="BR520" s="2" t="n">
        <v>0</v>
      </c>
      <c r="BS520" s="2" t="n">
        <v>0</v>
      </c>
      <c r="BT520" s="2" t="n">
        <v>0</v>
      </c>
      <c r="BU520" s="2" t="n">
        <v>0</v>
      </c>
      <c r="BV520" s="2" t="n">
        <v>0</v>
      </c>
      <c r="BW520" s="2" t="n">
        <v>0</v>
      </c>
      <c r="BX520" s="2" t="n">
        <v>0</v>
      </c>
      <c r="BY520" s="2" t="n">
        <v>0</v>
      </c>
      <c r="BZ520" s="2" t="n">
        <v>0.9399999999999999</v>
      </c>
      <c r="CA520" s="2" t="n">
        <v>0</v>
      </c>
      <c r="CB520" s="2" t="n">
        <v>0</v>
      </c>
      <c r="CC520" s="2" t="n">
        <v>4.29</v>
      </c>
      <c r="CD520" s="2" t="n">
        <v>1.41</v>
      </c>
      <c r="CE520" s="2" t="n">
        <v>0</v>
      </c>
      <c r="CF520" s="2" t="n">
        <v>12.42</v>
      </c>
      <c r="CG520" s="2" t="n">
        <v>9.83</v>
      </c>
      <c r="CH520" s="2" t="n">
        <v>0</v>
      </c>
      <c r="CI520" s="2" t="n">
        <v>17.63</v>
      </c>
      <c r="CJ520" s="2" t="n">
        <v>14.15</v>
      </c>
      <c r="CK520" s="2" t="n">
        <v>0</v>
      </c>
      <c r="CL520" s="2" t="n">
        <v>25.01</v>
      </c>
      <c r="CM520" s="2" t="n">
        <v>22.84</v>
      </c>
      <c r="CN520" s="2" t="n">
        <v>0</v>
      </c>
      <c r="CO520" s="2" t="n">
        <v>25.01</v>
      </c>
      <c r="CP520" s="2" t="n">
        <v>25.01</v>
      </c>
      <c r="CQ520" s="2" t="n">
        <v>0</v>
      </c>
      <c r="CR520" s="2" t="n">
        <v>28.92</v>
      </c>
      <c r="CS520" s="2" t="n">
        <v>28.92</v>
      </c>
      <c r="CT520" s="2" t="n">
        <v>0</v>
      </c>
      <c r="CU520" s="2" t="n">
        <v>35.68</v>
      </c>
      <c r="CV520" s="2" t="n">
        <v>35.68</v>
      </c>
      <c r="CW520" s="2" t="n">
        <v>0</v>
      </c>
      <c r="CX520" s="2" t="n">
        <v>45.06</v>
      </c>
      <c r="CY520" s="2" t="n">
        <v>45.06</v>
      </c>
      <c r="CZ520" s="2" t="n">
        <v>0</v>
      </c>
      <c r="DA520" s="2" t="n">
        <v>54.62</v>
      </c>
      <c r="DB520" s="2" t="n">
        <v>54.62</v>
      </c>
      <c r="DC520" s="2" t="n">
        <v>0</v>
      </c>
      <c r="DD520" s="2" t="n">
        <v>65.43000000000001</v>
      </c>
      <c r="DE520" s="2" t="n">
        <v>65.43000000000001</v>
      </c>
      <c r="DF520" s="2" t="n">
        <v>0</v>
      </c>
      <c r="DG520" s="2" t="n">
        <v>73.08</v>
      </c>
      <c r="DH520" s="2" t="n">
        <v>73.08</v>
      </c>
      <c r="DI520" s="2" t="n">
        <v>0</v>
      </c>
      <c r="DJ520" s="2" t="n">
        <v>86.09999999999999</v>
      </c>
      <c r="DK520" s="2" t="n">
        <v>86.09999999999999</v>
      </c>
      <c r="DL520" s="2" t="n">
        <v>0</v>
      </c>
      <c r="DM520" s="2" t="n">
        <v>96.09</v>
      </c>
      <c r="DN520" s="2" t="n">
        <v>96.09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  <c r="ET520" s="2" t="n">
        <v>100</v>
      </c>
      <c r="EU520" s="2" t="n">
        <v>100</v>
      </c>
      <c r="EV520" s="2" t="n">
        <v>0</v>
      </c>
      <c r="EW520" s="2" t="n">
        <v>100</v>
      </c>
      <c r="EX520" s="2" t="n">
        <v>100</v>
      </c>
      <c r="EY520" s="2" t="n">
        <v>0</v>
      </c>
      <c r="EZ520" s="2" t="n">
        <v>100</v>
      </c>
      <c r="FA520" s="2" t="n">
        <v>100</v>
      </c>
      <c r="FB520" s="2" t="n">
        <v>0</v>
      </c>
      <c r="FC520" s="2" t="n">
        <v>100</v>
      </c>
      <c r="FD520" s="2" t="n">
        <v>100</v>
      </c>
      <c r="FE520" s="2" t="n">
        <v>0</v>
      </c>
      <c r="FF520" s="2" t="n">
        <v>100</v>
      </c>
      <c r="FG520" s="2" t="n">
        <v>100</v>
      </c>
      <c r="FH520" s="2" t="n">
        <v>0</v>
      </c>
      <c r="FI520" s="2" t="n">
        <v>100</v>
      </c>
      <c r="FJ520" s="2" t="n">
        <v>100</v>
      </c>
      <c r="FK520" s="2" t="n">
        <v>0</v>
      </c>
      <c r="FL520" s="2" t="n">
        <v>100</v>
      </c>
      <c r="FM520" s="2" t="n">
        <v>100</v>
      </c>
      <c r="FN520" s="2" t="n">
        <v>0</v>
      </c>
      <c r="FO520" s="2" t="n">
        <v>100</v>
      </c>
      <c r="FP520" s="2" t="n">
        <v>100</v>
      </c>
      <c r="FQ520" s="2" t="n">
        <v>0</v>
      </c>
    </row>
    <row r="521">
      <c r="A521" s="2" t="n">
        <v>3</v>
      </c>
      <c r="B521" s="2" t="inlineStr">
        <is>
          <t>22.01.07</t>
        </is>
      </c>
      <c r="C521" s="2" t="inlineStr">
        <is>
          <t>Registros e Válvulas</t>
        </is>
      </c>
      <c r="D521" s="2" t="inlineStr">
        <is>
          <t>24/08/2026</t>
        </is>
      </c>
      <c r="E521" s="2" t="inlineStr">
        <is>
          <t>14/09/2027</t>
        </is>
      </c>
      <c r="F521" s="2" t="n">
        <v>291386.16</v>
      </c>
      <c r="G521" s="2" t="n">
        <v>0</v>
      </c>
      <c r="H521" s="2" t="n">
        <v>291386.16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0</v>
      </c>
      <c r="BO521" s="2" t="n">
        <v>0</v>
      </c>
      <c r="BP521" s="2" t="n">
        <v>0</v>
      </c>
      <c r="BQ521" s="2" t="n">
        <v>0</v>
      </c>
      <c r="BR521" s="2" t="n">
        <v>0</v>
      </c>
      <c r="BS521" s="2" t="n">
        <v>0</v>
      </c>
      <c r="BT521" s="2" t="n">
        <v>0</v>
      </c>
      <c r="BU521" s="2" t="n">
        <v>0</v>
      </c>
      <c r="BV521" s="2" t="n">
        <v>0</v>
      </c>
      <c r="BW521" s="2" t="n">
        <v>0</v>
      </c>
      <c r="BX521" s="2" t="n">
        <v>0</v>
      </c>
      <c r="BY521" s="2" t="n">
        <v>0</v>
      </c>
      <c r="BZ521" s="2" t="n">
        <v>0.9399999999999999</v>
      </c>
      <c r="CA521" s="2" t="n">
        <v>0</v>
      </c>
      <c r="CB521" s="2" t="n">
        <v>0</v>
      </c>
      <c r="CC521" s="2" t="n">
        <v>4.29</v>
      </c>
      <c r="CD521" s="2" t="n">
        <v>1.41</v>
      </c>
      <c r="CE521" s="2" t="n">
        <v>0</v>
      </c>
      <c r="CF521" s="2" t="n">
        <v>12.42</v>
      </c>
      <c r="CG521" s="2" t="n">
        <v>9.83</v>
      </c>
      <c r="CH521" s="2" t="n">
        <v>0</v>
      </c>
      <c r="CI521" s="2" t="n">
        <v>17.63</v>
      </c>
      <c r="CJ521" s="2" t="n">
        <v>14.15</v>
      </c>
      <c r="CK521" s="2" t="n">
        <v>0</v>
      </c>
      <c r="CL521" s="2" t="n">
        <v>25.01</v>
      </c>
      <c r="CM521" s="2" t="n">
        <v>22.84</v>
      </c>
      <c r="CN521" s="2" t="n">
        <v>0</v>
      </c>
      <c r="CO521" s="2" t="n">
        <v>25.01</v>
      </c>
      <c r="CP521" s="2" t="n">
        <v>25.01</v>
      </c>
      <c r="CQ521" s="2" t="n">
        <v>0</v>
      </c>
      <c r="CR521" s="2" t="n">
        <v>28.92</v>
      </c>
      <c r="CS521" s="2" t="n">
        <v>28.92</v>
      </c>
      <c r="CT521" s="2" t="n">
        <v>0</v>
      </c>
      <c r="CU521" s="2" t="n">
        <v>35.68</v>
      </c>
      <c r="CV521" s="2" t="n">
        <v>35.68</v>
      </c>
      <c r="CW521" s="2" t="n">
        <v>0</v>
      </c>
      <c r="CX521" s="2" t="n">
        <v>45.06</v>
      </c>
      <c r="CY521" s="2" t="n">
        <v>45.06</v>
      </c>
      <c r="CZ521" s="2" t="n">
        <v>0</v>
      </c>
      <c r="DA521" s="2" t="n">
        <v>54.62</v>
      </c>
      <c r="DB521" s="2" t="n">
        <v>54.62</v>
      </c>
      <c r="DC521" s="2" t="n">
        <v>0</v>
      </c>
      <c r="DD521" s="2" t="n">
        <v>65.43000000000001</v>
      </c>
      <c r="DE521" s="2" t="n">
        <v>65.43000000000001</v>
      </c>
      <c r="DF521" s="2" t="n">
        <v>0</v>
      </c>
      <c r="DG521" s="2" t="n">
        <v>73.08</v>
      </c>
      <c r="DH521" s="2" t="n">
        <v>73.08</v>
      </c>
      <c r="DI521" s="2" t="n">
        <v>0</v>
      </c>
      <c r="DJ521" s="2" t="n">
        <v>86.09999999999999</v>
      </c>
      <c r="DK521" s="2" t="n">
        <v>86.09999999999999</v>
      </c>
      <c r="DL521" s="2" t="n">
        <v>0</v>
      </c>
      <c r="DM521" s="2" t="n">
        <v>96.09</v>
      </c>
      <c r="DN521" s="2" t="n">
        <v>96.09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  <c r="ET521" s="2" t="n">
        <v>100</v>
      </c>
      <c r="EU521" s="2" t="n">
        <v>100</v>
      </c>
      <c r="EV521" s="2" t="n">
        <v>0</v>
      </c>
      <c r="EW521" s="2" t="n">
        <v>100</v>
      </c>
      <c r="EX521" s="2" t="n">
        <v>100</v>
      </c>
      <c r="EY521" s="2" t="n">
        <v>0</v>
      </c>
      <c r="EZ521" s="2" t="n">
        <v>100</v>
      </c>
      <c r="FA521" s="2" t="n">
        <v>100</v>
      </c>
      <c r="FB521" s="2" t="n">
        <v>0</v>
      </c>
      <c r="FC521" s="2" t="n">
        <v>100</v>
      </c>
      <c r="FD521" s="2" t="n">
        <v>100</v>
      </c>
      <c r="FE521" s="2" t="n">
        <v>0</v>
      </c>
      <c r="FF521" s="2" t="n">
        <v>100</v>
      </c>
      <c r="FG521" s="2" t="n">
        <v>100</v>
      </c>
      <c r="FH521" s="2" t="n">
        <v>0</v>
      </c>
      <c r="FI521" s="2" t="n">
        <v>100</v>
      </c>
      <c r="FJ521" s="2" t="n">
        <v>100</v>
      </c>
      <c r="FK521" s="2" t="n">
        <v>0</v>
      </c>
      <c r="FL521" s="2" t="n">
        <v>100</v>
      </c>
      <c r="FM521" s="2" t="n">
        <v>100</v>
      </c>
      <c r="FN521" s="2" t="n">
        <v>0</v>
      </c>
      <c r="FO521" s="2" t="n">
        <v>100</v>
      </c>
      <c r="FP521" s="2" t="n">
        <v>100</v>
      </c>
      <c r="FQ521" s="2" t="n">
        <v>0</v>
      </c>
    </row>
    <row r="522">
      <c r="A522" s="2" t="n">
        <v>3</v>
      </c>
      <c r="B522" s="2" t="inlineStr">
        <is>
          <t>22.01.08</t>
        </is>
      </c>
      <c r="C522" s="2" t="inlineStr">
        <is>
          <t>Caixas de passagem</t>
        </is>
      </c>
      <c r="D522" s="2" t="inlineStr">
        <is>
          <t>07/04/2027</t>
        </is>
      </c>
      <c r="E522" s="2" t="inlineStr">
        <is>
          <t>01/07/2027</t>
        </is>
      </c>
      <c r="F522" s="2" t="n">
        <v>194257.44</v>
      </c>
      <c r="G522" s="2" t="n">
        <v>0</v>
      </c>
      <c r="H522" s="2" t="n">
        <v>194257.44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</v>
      </c>
      <c r="BY522" s="2" t="n">
        <v>0</v>
      </c>
      <c r="BZ522" s="2" t="n">
        <v>0</v>
      </c>
      <c r="CA522" s="2" t="n">
        <v>0</v>
      </c>
      <c r="CB522" s="2" t="n">
        <v>0</v>
      </c>
      <c r="CC522" s="2" t="n">
        <v>0</v>
      </c>
      <c r="CD522" s="2" t="n">
        <v>0</v>
      </c>
      <c r="CE522" s="2" t="n">
        <v>0</v>
      </c>
      <c r="CF522" s="2" t="n">
        <v>0</v>
      </c>
      <c r="CG522" s="2" t="n">
        <v>0</v>
      </c>
      <c r="CH522" s="2" t="n">
        <v>0</v>
      </c>
      <c r="CI522" s="2" t="n">
        <v>0</v>
      </c>
      <c r="CJ522" s="2" t="n">
        <v>0</v>
      </c>
      <c r="CK522" s="2" t="n">
        <v>0</v>
      </c>
      <c r="CL522" s="2" t="n">
        <v>0</v>
      </c>
      <c r="CM522" s="2" t="n">
        <v>0</v>
      </c>
      <c r="CN522" s="2" t="n">
        <v>0</v>
      </c>
      <c r="CO522" s="2" t="n">
        <v>0</v>
      </c>
      <c r="CP522" s="2" t="n">
        <v>0</v>
      </c>
      <c r="CQ522" s="2" t="n">
        <v>0</v>
      </c>
      <c r="CR522" s="2" t="n">
        <v>0</v>
      </c>
      <c r="CS522" s="2" t="n">
        <v>0</v>
      </c>
      <c r="CT522" s="2" t="n">
        <v>0</v>
      </c>
      <c r="CU522" s="2" t="n">
        <v>0</v>
      </c>
      <c r="CV522" s="2" t="n">
        <v>0</v>
      </c>
      <c r="CW522" s="2" t="n">
        <v>0</v>
      </c>
      <c r="CX522" s="2" t="n">
        <v>0</v>
      </c>
      <c r="CY522" s="2" t="n">
        <v>0</v>
      </c>
      <c r="CZ522" s="2" t="n">
        <v>0</v>
      </c>
      <c r="DA522" s="2" t="n">
        <v>28.33</v>
      </c>
      <c r="DB522" s="2" t="n">
        <v>28.33</v>
      </c>
      <c r="DC522" s="2" t="n">
        <v>0</v>
      </c>
      <c r="DD522" s="2" t="n">
        <v>61.67</v>
      </c>
      <c r="DE522" s="2" t="n">
        <v>61.67</v>
      </c>
      <c r="DF522" s="2" t="n">
        <v>0</v>
      </c>
      <c r="DG522" s="2" t="n">
        <v>98.33</v>
      </c>
      <c r="DH522" s="2" t="n">
        <v>98.33</v>
      </c>
      <c r="DI522" s="2" t="n">
        <v>0</v>
      </c>
      <c r="DJ522" s="2" t="n">
        <v>100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  <c r="ET522" s="2" t="n">
        <v>100</v>
      </c>
      <c r="EU522" s="2" t="n">
        <v>100</v>
      </c>
      <c r="EV522" s="2" t="n">
        <v>0</v>
      </c>
      <c r="EW522" s="2" t="n">
        <v>100</v>
      </c>
      <c r="EX522" s="2" t="n">
        <v>100</v>
      </c>
      <c r="EY522" s="2" t="n">
        <v>0</v>
      </c>
      <c r="EZ522" s="2" t="n">
        <v>100</v>
      </c>
      <c r="FA522" s="2" t="n">
        <v>100</v>
      </c>
      <c r="FB522" s="2" t="n">
        <v>0</v>
      </c>
      <c r="FC522" s="2" t="n">
        <v>100</v>
      </c>
      <c r="FD522" s="2" t="n">
        <v>100</v>
      </c>
      <c r="FE522" s="2" t="n">
        <v>0</v>
      </c>
      <c r="FF522" s="2" t="n">
        <v>100</v>
      </c>
      <c r="FG522" s="2" t="n">
        <v>100</v>
      </c>
      <c r="FH522" s="2" t="n">
        <v>0</v>
      </c>
      <c r="FI522" s="2" t="n">
        <v>100</v>
      </c>
      <c r="FJ522" s="2" t="n">
        <v>100</v>
      </c>
      <c r="FK522" s="2" t="n">
        <v>0</v>
      </c>
      <c r="FL522" s="2" t="n">
        <v>100</v>
      </c>
      <c r="FM522" s="2" t="n">
        <v>100</v>
      </c>
      <c r="FN522" s="2" t="n">
        <v>0</v>
      </c>
      <c r="FO522" s="2" t="n">
        <v>100</v>
      </c>
      <c r="FP522" s="2" t="n">
        <v>100</v>
      </c>
      <c r="FQ522" s="2" t="n">
        <v>0</v>
      </c>
    </row>
    <row r="523">
      <c r="A523" s="2" t="n">
        <v>3</v>
      </c>
      <c r="B523" s="2" t="inlineStr">
        <is>
          <t>22.01.09</t>
        </is>
      </c>
      <c r="C523" s="2" t="inlineStr">
        <is>
          <t>Reservatórios</t>
        </is>
      </c>
      <c r="D523" s="2" t="inlineStr">
        <is>
          <t>22/06/2027</t>
        </is>
      </c>
      <c r="E523" s="2" t="inlineStr">
        <is>
          <t>12/07/2027</t>
        </is>
      </c>
      <c r="F523" s="2" t="n">
        <v>155405.952</v>
      </c>
      <c r="G523" s="2" t="n">
        <v>0</v>
      </c>
      <c r="H523" s="2" t="n">
        <v>155405.952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</v>
      </c>
      <c r="BY523" s="2" t="n">
        <v>0</v>
      </c>
      <c r="BZ523" s="2" t="n">
        <v>0</v>
      </c>
      <c r="CA523" s="2" t="n">
        <v>0</v>
      </c>
      <c r="CB523" s="2" t="n">
        <v>0</v>
      </c>
      <c r="CC523" s="2" t="n">
        <v>0</v>
      </c>
      <c r="CD523" s="2" t="n">
        <v>0</v>
      </c>
      <c r="CE523" s="2" t="n">
        <v>0</v>
      </c>
      <c r="CF523" s="2" t="n">
        <v>0</v>
      </c>
      <c r="CG523" s="2" t="n">
        <v>0</v>
      </c>
      <c r="CH523" s="2" t="n">
        <v>0</v>
      </c>
      <c r="CI523" s="2" t="n">
        <v>0</v>
      </c>
      <c r="CJ523" s="2" t="n">
        <v>0</v>
      </c>
      <c r="CK523" s="2" t="n">
        <v>0</v>
      </c>
      <c r="CL523" s="2" t="n">
        <v>0</v>
      </c>
      <c r="CM523" s="2" t="n">
        <v>0</v>
      </c>
      <c r="CN523" s="2" t="n">
        <v>0</v>
      </c>
      <c r="CO523" s="2" t="n">
        <v>0</v>
      </c>
      <c r="CP523" s="2" t="n">
        <v>0</v>
      </c>
      <c r="CQ523" s="2" t="n">
        <v>0</v>
      </c>
      <c r="CR523" s="2" t="n">
        <v>0</v>
      </c>
      <c r="CS523" s="2" t="n">
        <v>0</v>
      </c>
      <c r="CT523" s="2" t="n">
        <v>0</v>
      </c>
      <c r="CU523" s="2" t="n">
        <v>0</v>
      </c>
      <c r="CV523" s="2" t="n">
        <v>0</v>
      </c>
      <c r="CW523" s="2" t="n">
        <v>0</v>
      </c>
      <c r="CX523" s="2" t="n">
        <v>0</v>
      </c>
      <c r="CY523" s="2" t="n">
        <v>0</v>
      </c>
      <c r="CZ523" s="2" t="n">
        <v>0</v>
      </c>
      <c r="DA523" s="2" t="n">
        <v>0</v>
      </c>
      <c r="DB523" s="2" t="n">
        <v>0</v>
      </c>
      <c r="DC523" s="2" t="n">
        <v>0</v>
      </c>
      <c r="DD523" s="2" t="n">
        <v>0</v>
      </c>
      <c r="DE523" s="2" t="n">
        <v>0</v>
      </c>
      <c r="DF523" s="2" t="n">
        <v>0</v>
      </c>
      <c r="DG523" s="2" t="n">
        <v>46.67</v>
      </c>
      <c r="DH523" s="2" t="n">
        <v>46.67</v>
      </c>
      <c r="DI523" s="2" t="n">
        <v>0</v>
      </c>
      <c r="DJ523" s="2" t="n">
        <v>100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  <c r="ET523" s="2" t="n">
        <v>100</v>
      </c>
      <c r="EU523" s="2" t="n">
        <v>100</v>
      </c>
      <c r="EV523" s="2" t="n">
        <v>0</v>
      </c>
      <c r="EW523" s="2" t="n">
        <v>100</v>
      </c>
      <c r="EX523" s="2" t="n">
        <v>100</v>
      </c>
      <c r="EY523" s="2" t="n">
        <v>0</v>
      </c>
      <c r="EZ523" s="2" t="n">
        <v>100</v>
      </c>
      <c r="FA523" s="2" t="n">
        <v>100</v>
      </c>
      <c r="FB523" s="2" t="n">
        <v>0</v>
      </c>
      <c r="FC523" s="2" t="n">
        <v>100</v>
      </c>
      <c r="FD523" s="2" t="n">
        <v>100</v>
      </c>
      <c r="FE523" s="2" t="n">
        <v>0</v>
      </c>
      <c r="FF523" s="2" t="n">
        <v>100</v>
      </c>
      <c r="FG523" s="2" t="n">
        <v>100</v>
      </c>
      <c r="FH523" s="2" t="n">
        <v>0</v>
      </c>
      <c r="FI523" s="2" t="n">
        <v>100</v>
      </c>
      <c r="FJ523" s="2" t="n">
        <v>100</v>
      </c>
      <c r="FK523" s="2" t="n">
        <v>0</v>
      </c>
      <c r="FL523" s="2" t="n">
        <v>100</v>
      </c>
      <c r="FM523" s="2" t="n">
        <v>100</v>
      </c>
      <c r="FN523" s="2" t="n">
        <v>0</v>
      </c>
      <c r="FO523" s="2" t="n">
        <v>100</v>
      </c>
      <c r="FP523" s="2" t="n">
        <v>100</v>
      </c>
      <c r="FQ523" s="2" t="n">
        <v>0</v>
      </c>
    </row>
    <row r="524">
      <c r="A524" s="2" t="n">
        <v>2</v>
      </c>
      <c r="B524" s="2" t="inlineStr">
        <is>
          <t>22.02</t>
        </is>
      </c>
      <c r="C524" s="2" t="inlineStr">
        <is>
          <t>Instalações Prediais de Água Quente</t>
        </is>
      </c>
      <c r="D524" s="2" t="inlineStr">
        <is>
          <t>24/08/2026</t>
        </is>
      </c>
      <c r="E524" s="2" t="inlineStr">
        <is>
          <t>14/09/2027</t>
        </is>
      </c>
      <c r="F524" s="2" t="n">
        <v>1489307.04</v>
      </c>
      <c r="G524" s="2" t="n">
        <v>0</v>
      </c>
      <c r="H524" s="2" t="n">
        <v>1489307.04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</v>
      </c>
      <c r="BY524" s="2" t="n">
        <v>0</v>
      </c>
      <c r="BZ524" s="2" t="n">
        <v>0.9399999999999999</v>
      </c>
      <c r="CA524" s="2" t="n">
        <v>0</v>
      </c>
      <c r="CB524" s="2" t="n">
        <v>0</v>
      </c>
      <c r="CC524" s="2" t="n">
        <v>4.29</v>
      </c>
      <c r="CD524" s="2" t="n">
        <v>1.41</v>
      </c>
      <c r="CE524" s="2" t="n">
        <v>0</v>
      </c>
      <c r="CF524" s="2" t="n">
        <v>12.42</v>
      </c>
      <c r="CG524" s="2" t="n">
        <v>9.83</v>
      </c>
      <c r="CH524" s="2" t="n">
        <v>0</v>
      </c>
      <c r="CI524" s="2" t="n">
        <v>17.63</v>
      </c>
      <c r="CJ524" s="2" t="n">
        <v>14.15</v>
      </c>
      <c r="CK524" s="2" t="n">
        <v>0</v>
      </c>
      <c r="CL524" s="2" t="n">
        <v>25.01</v>
      </c>
      <c r="CM524" s="2" t="n">
        <v>22.84</v>
      </c>
      <c r="CN524" s="2" t="n">
        <v>0</v>
      </c>
      <c r="CO524" s="2" t="n">
        <v>25.01</v>
      </c>
      <c r="CP524" s="2" t="n">
        <v>25.01</v>
      </c>
      <c r="CQ524" s="2" t="n">
        <v>0</v>
      </c>
      <c r="CR524" s="2" t="n">
        <v>28.92</v>
      </c>
      <c r="CS524" s="2" t="n">
        <v>28.92</v>
      </c>
      <c r="CT524" s="2" t="n">
        <v>0</v>
      </c>
      <c r="CU524" s="2" t="n">
        <v>35.68</v>
      </c>
      <c r="CV524" s="2" t="n">
        <v>35.68</v>
      </c>
      <c r="CW524" s="2" t="n">
        <v>0</v>
      </c>
      <c r="CX524" s="2" t="n">
        <v>45.06</v>
      </c>
      <c r="CY524" s="2" t="n">
        <v>45.06</v>
      </c>
      <c r="CZ524" s="2" t="n">
        <v>0</v>
      </c>
      <c r="DA524" s="2" t="n">
        <v>54.62</v>
      </c>
      <c r="DB524" s="2" t="n">
        <v>54.62</v>
      </c>
      <c r="DC524" s="2" t="n">
        <v>0</v>
      </c>
      <c r="DD524" s="2" t="n">
        <v>65.43000000000001</v>
      </c>
      <c r="DE524" s="2" t="n">
        <v>65.43000000000001</v>
      </c>
      <c r="DF524" s="2" t="n">
        <v>0</v>
      </c>
      <c r="DG524" s="2" t="n">
        <v>73.08</v>
      </c>
      <c r="DH524" s="2" t="n">
        <v>73.08</v>
      </c>
      <c r="DI524" s="2" t="n">
        <v>0</v>
      </c>
      <c r="DJ524" s="2" t="n">
        <v>86.09999999999999</v>
      </c>
      <c r="DK524" s="2" t="n">
        <v>86.09999999999999</v>
      </c>
      <c r="DL524" s="2" t="n">
        <v>0</v>
      </c>
      <c r="DM524" s="2" t="n">
        <v>96.09</v>
      </c>
      <c r="DN524" s="2" t="n">
        <v>96.09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  <c r="ET524" s="2" t="n">
        <v>100</v>
      </c>
      <c r="EU524" s="2" t="n">
        <v>100</v>
      </c>
      <c r="EV524" s="2" t="n">
        <v>0</v>
      </c>
      <c r="EW524" s="2" t="n">
        <v>100</v>
      </c>
      <c r="EX524" s="2" t="n">
        <v>100</v>
      </c>
      <c r="EY524" s="2" t="n">
        <v>0</v>
      </c>
      <c r="EZ524" s="2" t="n">
        <v>100</v>
      </c>
      <c r="FA524" s="2" t="n">
        <v>100</v>
      </c>
      <c r="FB524" s="2" t="n">
        <v>0</v>
      </c>
      <c r="FC524" s="2" t="n">
        <v>100</v>
      </c>
      <c r="FD524" s="2" t="n">
        <v>100</v>
      </c>
      <c r="FE524" s="2" t="n">
        <v>0</v>
      </c>
      <c r="FF524" s="2" t="n">
        <v>100</v>
      </c>
      <c r="FG524" s="2" t="n">
        <v>100</v>
      </c>
      <c r="FH524" s="2" t="n">
        <v>0</v>
      </c>
      <c r="FI524" s="2" t="n">
        <v>100</v>
      </c>
      <c r="FJ524" s="2" t="n">
        <v>100</v>
      </c>
      <c r="FK524" s="2" t="n">
        <v>0</v>
      </c>
      <c r="FL524" s="2" t="n">
        <v>100</v>
      </c>
      <c r="FM524" s="2" t="n">
        <v>100</v>
      </c>
      <c r="FN524" s="2" t="n">
        <v>0</v>
      </c>
      <c r="FO524" s="2" t="n">
        <v>100</v>
      </c>
      <c r="FP524" s="2" t="n">
        <v>100</v>
      </c>
      <c r="FQ524" s="2" t="n">
        <v>0</v>
      </c>
    </row>
    <row r="525">
      <c r="A525" s="2" t="n">
        <v>3</v>
      </c>
      <c r="B525" s="2" t="inlineStr">
        <is>
          <t>22.02.01</t>
        </is>
      </c>
      <c r="C525" s="2" t="inlineStr">
        <is>
          <t>Furação Nas Lajes</t>
        </is>
      </c>
      <c r="D525" s="2" t="inlineStr">
        <is>
          <t>24/08/2026</t>
        </is>
      </c>
      <c r="E525" s="2" t="inlineStr">
        <is>
          <t>14/09/2027</t>
        </is>
      </c>
      <c r="F525" s="2" t="n">
        <v>89358.42240000001</v>
      </c>
      <c r="G525" s="2" t="n">
        <v>0</v>
      </c>
      <c r="H525" s="2" t="n">
        <v>89358.42240000001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</v>
      </c>
      <c r="BY525" s="2" t="n">
        <v>0</v>
      </c>
      <c r="BZ525" s="2" t="n">
        <v>0.9399999999999999</v>
      </c>
      <c r="CA525" s="2" t="n">
        <v>0</v>
      </c>
      <c r="CB525" s="2" t="n">
        <v>0</v>
      </c>
      <c r="CC525" s="2" t="n">
        <v>4.29</v>
      </c>
      <c r="CD525" s="2" t="n">
        <v>1.41</v>
      </c>
      <c r="CE525" s="2" t="n">
        <v>0</v>
      </c>
      <c r="CF525" s="2" t="n">
        <v>12.42</v>
      </c>
      <c r="CG525" s="2" t="n">
        <v>9.83</v>
      </c>
      <c r="CH525" s="2" t="n">
        <v>0</v>
      </c>
      <c r="CI525" s="2" t="n">
        <v>17.63</v>
      </c>
      <c r="CJ525" s="2" t="n">
        <v>14.15</v>
      </c>
      <c r="CK525" s="2" t="n">
        <v>0</v>
      </c>
      <c r="CL525" s="2" t="n">
        <v>25.01</v>
      </c>
      <c r="CM525" s="2" t="n">
        <v>22.84</v>
      </c>
      <c r="CN525" s="2" t="n">
        <v>0</v>
      </c>
      <c r="CO525" s="2" t="n">
        <v>25.01</v>
      </c>
      <c r="CP525" s="2" t="n">
        <v>25.01</v>
      </c>
      <c r="CQ525" s="2" t="n">
        <v>0</v>
      </c>
      <c r="CR525" s="2" t="n">
        <v>28.92</v>
      </c>
      <c r="CS525" s="2" t="n">
        <v>28.92</v>
      </c>
      <c r="CT525" s="2" t="n">
        <v>0</v>
      </c>
      <c r="CU525" s="2" t="n">
        <v>35.68</v>
      </c>
      <c r="CV525" s="2" t="n">
        <v>35.68</v>
      </c>
      <c r="CW525" s="2" t="n">
        <v>0</v>
      </c>
      <c r="CX525" s="2" t="n">
        <v>45.06</v>
      </c>
      <c r="CY525" s="2" t="n">
        <v>45.06</v>
      </c>
      <c r="CZ525" s="2" t="n">
        <v>0</v>
      </c>
      <c r="DA525" s="2" t="n">
        <v>54.62</v>
      </c>
      <c r="DB525" s="2" t="n">
        <v>54.62</v>
      </c>
      <c r="DC525" s="2" t="n">
        <v>0</v>
      </c>
      <c r="DD525" s="2" t="n">
        <v>65.43000000000001</v>
      </c>
      <c r="DE525" s="2" t="n">
        <v>65.43000000000001</v>
      </c>
      <c r="DF525" s="2" t="n">
        <v>0</v>
      </c>
      <c r="DG525" s="2" t="n">
        <v>73.08</v>
      </c>
      <c r="DH525" s="2" t="n">
        <v>73.08</v>
      </c>
      <c r="DI525" s="2" t="n">
        <v>0</v>
      </c>
      <c r="DJ525" s="2" t="n">
        <v>86.09999999999999</v>
      </c>
      <c r="DK525" s="2" t="n">
        <v>86.09999999999999</v>
      </c>
      <c r="DL525" s="2" t="n">
        <v>0</v>
      </c>
      <c r="DM525" s="2" t="n">
        <v>96.09</v>
      </c>
      <c r="DN525" s="2" t="n">
        <v>96.09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  <c r="ET525" s="2" t="n">
        <v>100</v>
      </c>
      <c r="EU525" s="2" t="n">
        <v>100</v>
      </c>
      <c r="EV525" s="2" t="n">
        <v>0</v>
      </c>
      <c r="EW525" s="2" t="n">
        <v>100</v>
      </c>
      <c r="EX525" s="2" t="n">
        <v>100</v>
      </c>
      <c r="EY525" s="2" t="n">
        <v>0</v>
      </c>
      <c r="EZ525" s="2" t="n">
        <v>100</v>
      </c>
      <c r="FA525" s="2" t="n">
        <v>100</v>
      </c>
      <c r="FB525" s="2" t="n">
        <v>0</v>
      </c>
      <c r="FC525" s="2" t="n">
        <v>100</v>
      </c>
      <c r="FD525" s="2" t="n">
        <v>100</v>
      </c>
      <c r="FE525" s="2" t="n">
        <v>0</v>
      </c>
      <c r="FF525" s="2" t="n">
        <v>100</v>
      </c>
      <c r="FG525" s="2" t="n">
        <v>100</v>
      </c>
      <c r="FH525" s="2" t="n">
        <v>0</v>
      </c>
      <c r="FI525" s="2" t="n">
        <v>100</v>
      </c>
      <c r="FJ525" s="2" t="n">
        <v>100</v>
      </c>
      <c r="FK525" s="2" t="n">
        <v>0</v>
      </c>
      <c r="FL525" s="2" t="n">
        <v>100</v>
      </c>
      <c r="FM525" s="2" t="n">
        <v>100</v>
      </c>
      <c r="FN525" s="2" t="n">
        <v>0</v>
      </c>
      <c r="FO525" s="2" t="n">
        <v>100</v>
      </c>
      <c r="FP525" s="2" t="n">
        <v>100</v>
      </c>
      <c r="FQ525" s="2" t="n">
        <v>0</v>
      </c>
    </row>
    <row r="526">
      <c r="A526" s="2" t="n">
        <v>3</v>
      </c>
      <c r="B526" s="2" t="inlineStr">
        <is>
          <t>22.02.02</t>
        </is>
      </c>
      <c r="C526" s="2" t="inlineStr">
        <is>
          <t>Prumadas De Água quente</t>
        </is>
      </c>
      <c r="D526" s="2" t="inlineStr">
        <is>
          <t>24/08/2026</t>
        </is>
      </c>
      <c r="E526" s="2" t="inlineStr">
        <is>
          <t>14/09/2027</t>
        </is>
      </c>
      <c r="F526" s="2" t="n">
        <v>312754.4784</v>
      </c>
      <c r="G526" s="2" t="n">
        <v>0</v>
      </c>
      <c r="H526" s="2" t="n">
        <v>312754.4784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0</v>
      </c>
      <c r="BO526" s="2" t="n">
        <v>0</v>
      </c>
      <c r="BP526" s="2" t="n">
        <v>0</v>
      </c>
      <c r="BQ526" s="2" t="n">
        <v>0</v>
      </c>
      <c r="BR526" s="2" t="n">
        <v>0</v>
      </c>
      <c r="BS526" s="2" t="n">
        <v>0</v>
      </c>
      <c r="BT526" s="2" t="n">
        <v>0</v>
      </c>
      <c r="BU526" s="2" t="n">
        <v>0</v>
      </c>
      <c r="BV526" s="2" t="n">
        <v>0</v>
      </c>
      <c r="BW526" s="2" t="n">
        <v>0</v>
      </c>
      <c r="BX526" s="2" t="n">
        <v>0</v>
      </c>
      <c r="BY526" s="2" t="n">
        <v>0</v>
      </c>
      <c r="BZ526" s="2" t="n">
        <v>0.9399999999999999</v>
      </c>
      <c r="CA526" s="2" t="n">
        <v>0</v>
      </c>
      <c r="CB526" s="2" t="n">
        <v>0</v>
      </c>
      <c r="CC526" s="2" t="n">
        <v>4.29</v>
      </c>
      <c r="CD526" s="2" t="n">
        <v>1.41</v>
      </c>
      <c r="CE526" s="2" t="n">
        <v>0</v>
      </c>
      <c r="CF526" s="2" t="n">
        <v>12.42</v>
      </c>
      <c r="CG526" s="2" t="n">
        <v>9.83</v>
      </c>
      <c r="CH526" s="2" t="n">
        <v>0</v>
      </c>
      <c r="CI526" s="2" t="n">
        <v>17.63</v>
      </c>
      <c r="CJ526" s="2" t="n">
        <v>14.15</v>
      </c>
      <c r="CK526" s="2" t="n">
        <v>0</v>
      </c>
      <c r="CL526" s="2" t="n">
        <v>25.01</v>
      </c>
      <c r="CM526" s="2" t="n">
        <v>22.84</v>
      </c>
      <c r="CN526" s="2" t="n">
        <v>0</v>
      </c>
      <c r="CO526" s="2" t="n">
        <v>25.01</v>
      </c>
      <c r="CP526" s="2" t="n">
        <v>25.01</v>
      </c>
      <c r="CQ526" s="2" t="n">
        <v>0</v>
      </c>
      <c r="CR526" s="2" t="n">
        <v>28.92</v>
      </c>
      <c r="CS526" s="2" t="n">
        <v>28.92</v>
      </c>
      <c r="CT526" s="2" t="n">
        <v>0</v>
      </c>
      <c r="CU526" s="2" t="n">
        <v>35.68</v>
      </c>
      <c r="CV526" s="2" t="n">
        <v>35.68</v>
      </c>
      <c r="CW526" s="2" t="n">
        <v>0</v>
      </c>
      <c r="CX526" s="2" t="n">
        <v>45.06</v>
      </c>
      <c r="CY526" s="2" t="n">
        <v>45.06</v>
      </c>
      <c r="CZ526" s="2" t="n">
        <v>0</v>
      </c>
      <c r="DA526" s="2" t="n">
        <v>54.62</v>
      </c>
      <c r="DB526" s="2" t="n">
        <v>54.62</v>
      </c>
      <c r="DC526" s="2" t="n">
        <v>0</v>
      </c>
      <c r="DD526" s="2" t="n">
        <v>65.43000000000001</v>
      </c>
      <c r="DE526" s="2" t="n">
        <v>65.43000000000001</v>
      </c>
      <c r="DF526" s="2" t="n">
        <v>0</v>
      </c>
      <c r="DG526" s="2" t="n">
        <v>73.08</v>
      </c>
      <c r="DH526" s="2" t="n">
        <v>73.08</v>
      </c>
      <c r="DI526" s="2" t="n">
        <v>0</v>
      </c>
      <c r="DJ526" s="2" t="n">
        <v>86.09999999999999</v>
      </c>
      <c r="DK526" s="2" t="n">
        <v>86.09999999999999</v>
      </c>
      <c r="DL526" s="2" t="n">
        <v>0</v>
      </c>
      <c r="DM526" s="2" t="n">
        <v>96.09</v>
      </c>
      <c r="DN526" s="2" t="n">
        <v>96.09</v>
      </c>
      <c r="DO526" s="2" t="n">
        <v>0</v>
      </c>
      <c r="DP526" s="2" t="n">
        <v>100</v>
      </c>
      <c r="DQ526" s="2" t="n">
        <v>100</v>
      </c>
      <c r="DR526" s="2" t="n">
        <v>0</v>
      </c>
      <c r="DS526" s="2" t="n">
        <v>100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  <c r="ET526" s="2" t="n">
        <v>100</v>
      </c>
      <c r="EU526" s="2" t="n">
        <v>100</v>
      </c>
      <c r="EV526" s="2" t="n">
        <v>0</v>
      </c>
      <c r="EW526" s="2" t="n">
        <v>100</v>
      </c>
      <c r="EX526" s="2" t="n">
        <v>100</v>
      </c>
      <c r="EY526" s="2" t="n">
        <v>0</v>
      </c>
      <c r="EZ526" s="2" t="n">
        <v>100</v>
      </c>
      <c r="FA526" s="2" t="n">
        <v>100</v>
      </c>
      <c r="FB526" s="2" t="n">
        <v>0</v>
      </c>
      <c r="FC526" s="2" t="n">
        <v>100</v>
      </c>
      <c r="FD526" s="2" t="n">
        <v>100</v>
      </c>
      <c r="FE526" s="2" t="n">
        <v>0</v>
      </c>
      <c r="FF526" s="2" t="n">
        <v>100</v>
      </c>
      <c r="FG526" s="2" t="n">
        <v>100</v>
      </c>
      <c r="FH526" s="2" t="n">
        <v>0</v>
      </c>
      <c r="FI526" s="2" t="n">
        <v>100</v>
      </c>
      <c r="FJ526" s="2" t="n">
        <v>100</v>
      </c>
      <c r="FK526" s="2" t="n">
        <v>0</v>
      </c>
      <c r="FL526" s="2" t="n">
        <v>100</v>
      </c>
      <c r="FM526" s="2" t="n">
        <v>100</v>
      </c>
      <c r="FN526" s="2" t="n">
        <v>0</v>
      </c>
      <c r="FO526" s="2" t="n">
        <v>100</v>
      </c>
      <c r="FP526" s="2" t="n">
        <v>100</v>
      </c>
      <c r="FQ526" s="2" t="n">
        <v>0</v>
      </c>
    </row>
    <row r="527">
      <c r="A527" s="2" t="n">
        <v>3</v>
      </c>
      <c r="B527" s="2" t="inlineStr">
        <is>
          <t>22.02.03</t>
        </is>
      </c>
      <c r="C527" s="2" t="inlineStr">
        <is>
          <t>Distribuição</t>
        </is>
      </c>
      <c r="D527" s="2" t="inlineStr">
        <is>
          <t>24/08/2026</t>
        </is>
      </c>
      <c r="E527" s="2" t="inlineStr">
        <is>
          <t>14/09/2027</t>
        </is>
      </c>
      <c r="F527" s="2" t="n">
        <v>402112.9008000001</v>
      </c>
      <c r="G527" s="2" t="n">
        <v>0</v>
      </c>
      <c r="H527" s="2" t="n">
        <v>402112.9008000001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</v>
      </c>
      <c r="BY527" s="2" t="n">
        <v>0</v>
      </c>
      <c r="BZ527" s="2" t="n">
        <v>0.9399999999999999</v>
      </c>
      <c r="CA527" s="2" t="n">
        <v>0</v>
      </c>
      <c r="CB527" s="2" t="n">
        <v>0</v>
      </c>
      <c r="CC527" s="2" t="n">
        <v>4.29</v>
      </c>
      <c r="CD527" s="2" t="n">
        <v>1.41</v>
      </c>
      <c r="CE527" s="2" t="n">
        <v>0</v>
      </c>
      <c r="CF527" s="2" t="n">
        <v>12.42</v>
      </c>
      <c r="CG527" s="2" t="n">
        <v>9.83</v>
      </c>
      <c r="CH527" s="2" t="n">
        <v>0</v>
      </c>
      <c r="CI527" s="2" t="n">
        <v>17.63</v>
      </c>
      <c r="CJ527" s="2" t="n">
        <v>14.15</v>
      </c>
      <c r="CK527" s="2" t="n">
        <v>0</v>
      </c>
      <c r="CL527" s="2" t="n">
        <v>25.01</v>
      </c>
      <c r="CM527" s="2" t="n">
        <v>22.84</v>
      </c>
      <c r="CN527" s="2" t="n">
        <v>0</v>
      </c>
      <c r="CO527" s="2" t="n">
        <v>25.01</v>
      </c>
      <c r="CP527" s="2" t="n">
        <v>25.01</v>
      </c>
      <c r="CQ527" s="2" t="n">
        <v>0</v>
      </c>
      <c r="CR527" s="2" t="n">
        <v>28.92</v>
      </c>
      <c r="CS527" s="2" t="n">
        <v>28.92</v>
      </c>
      <c r="CT527" s="2" t="n">
        <v>0</v>
      </c>
      <c r="CU527" s="2" t="n">
        <v>35.68</v>
      </c>
      <c r="CV527" s="2" t="n">
        <v>35.68</v>
      </c>
      <c r="CW527" s="2" t="n">
        <v>0</v>
      </c>
      <c r="CX527" s="2" t="n">
        <v>45.06</v>
      </c>
      <c r="CY527" s="2" t="n">
        <v>45.06</v>
      </c>
      <c r="CZ527" s="2" t="n">
        <v>0</v>
      </c>
      <c r="DA527" s="2" t="n">
        <v>54.62</v>
      </c>
      <c r="DB527" s="2" t="n">
        <v>54.62</v>
      </c>
      <c r="DC527" s="2" t="n">
        <v>0</v>
      </c>
      <c r="DD527" s="2" t="n">
        <v>65.43000000000001</v>
      </c>
      <c r="DE527" s="2" t="n">
        <v>65.43000000000001</v>
      </c>
      <c r="DF527" s="2" t="n">
        <v>0</v>
      </c>
      <c r="DG527" s="2" t="n">
        <v>73.08</v>
      </c>
      <c r="DH527" s="2" t="n">
        <v>73.08</v>
      </c>
      <c r="DI527" s="2" t="n">
        <v>0</v>
      </c>
      <c r="DJ527" s="2" t="n">
        <v>86.09999999999999</v>
      </c>
      <c r="DK527" s="2" t="n">
        <v>86.09999999999999</v>
      </c>
      <c r="DL527" s="2" t="n">
        <v>0</v>
      </c>
      <c r="DM527" s="2" t="n">
        <v>96.09</v>
      </c>
      <c r="DN527" s="2" t="n">
        <v>96.09</v>
      </c>
      <c r="DO527" s="2" t="n">
        <v>0</v>
      </c>
      <c r="DP527" s="2" t="n">
        <v>100</v>
      </c>
      <c r="DQ527" s="2" t="n">
        <v>100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  <c r="ET527" s="2" t="n">
        <v>100</v>
      </c>
      <c r="EU527" s="2" t="n">
        <v>100</v>
      </c>
      <c r="EV527" s="2" t="n">
        <v>0</v>
      </c>
      <c r="EW527" s="2" t="n">
        <v>100</v>
      </c>
      <c r="EX527" s="2" t="n">
        <v>100</v>
      </c>
      <c r="EY527" s="2" t="n">
        <v>0</v>
      </c>
      <c r="EZ527" s="2" t="n">
        <v>100</v>
      </c>
      <c r="FA527" s="2" t="n">
        <v>100</v>
      </c>
      <c r="FB527" s="2" t="n">
        <v>0</v>
      </c>
      <c r="FC527" s="2" t="n">
        <v>100</v>
      </c>
      <c r="FD527" s="2" t="n">
        <v>100</v>
      </c>
      <c r="FE527" s="2" t="n">
        <v>0</v>
      </c>
      <c r="FF527" s="2" t="n">
        <v>100</v>
      </c>
      <c r="FG527" s="2" t="n">
        <v>100</v>
      </c>
      <c r="FH527" s="2" t="n">
        <v>0</v>
      </c>
      <c r="FI527" s="2" t="n">
        <v>100</v>
      </c>
      <c r="FJ527" s="2" t="n">
        <v>100</v>
      </c>
      <c r="FK527" s="2" t="n">
        <v>0</v>
      </c>
      <c r="FL527" s="2" t="n">
        <v>100</v>
      </c>
      <c r="FM527" s="2" t="n">
        <v>100</v>
      </c>
      <c r="FN527" s="2" t="n">
        <v>0</v>
      </c>
      <c r="FO527" s="2" t="n">
        <v>100</v>
      </c>
      <c r="FP527" s="2" t="n">
        <v>100</v>
      </c>
      <c r="FQ527" s="2" t="n">
        <v>0</v>
      </c>
    </row>
    <row r="528">
      <c r="A528" s="2" t="n">
        <v>3</v>
      </c>
      <c r="B528" s="2" t="inlineStr">
        <is>
          <t>22.02.04</t>
        </is>
      </c>
      <c r="C528" s="2" t="inlineStr">
        <is>
          <t>Registros e Válvulas</t>
        </is>
      </c>
      <c r="D528" s="2" t="inlineStr">
        <is>
          <t>24/08/2026</t>
        </is>
      </c>
      <c r="E528" s="2" t="inlineStr">
        <is>
          <t>14/09/2027</t>
        </is>
      </c>
      <c r="F528" s="2" t="n">
        <v>461685.1824000001</v>
      </c>
      <c r="G528" s="2" t="n">
        <v>0</v>
      </c>
      <c r="H528" s="2" t="n">
        <v>461685.1824000001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</v>
      </c>
      <c r="BY528" s="2" t="n">
        <v>0</v>
      </c>
      <c r="BZ528" s="2" t="n">
        <v>0.9399999999999999</v>
      </c>
      <c r="CA528" s="2" t="n">
        <v>0</v>
      </c>
      <c r="CB528" s="2" t="n">
        <v>0</v>
      </c>
      <c r="CC528" s="2" t="n">
        <v>4.29</v>
      </c>
      <c r="CD528" s="2" t="n">
        <v>1.41</v>
      </c>
      <c r="CE528" s="2" t="n">
        <v>0</v>
      </c>
      <c r="CF528" s="2" t="n">
        <v>12.42</v>
      </c>
      <c r="CG528" s="2" t="n">
        <v>9.83</v>
      </c>
      <c r="CH528" s="2" t="n">
        <v>0</v>
      </c>
      <c r="CI528" s="2" t="n">
        <v>17.63</v>
      </c>
      <c r="CJ528" s="2" t="n">
        <v>14.15</v>
      </c>
      <c r="CK528" s="2" t="n">
        <v>0</v>
      </c>
      <c r="CL528" s="2" t="n">
        <v>25.01</v>
      </c>
      <c r="CM528" s="2" t="n">
        <v>22.84</v>
      </c>
      <c r="CN528" s="2" t="n">
        <v>0</v>
      </c>
      <c r="CO528" s="2" t="n">
        <v>25.01</v>
      </c>
      <c r="CP528" s="2" t="n">
        <v>25.01</v>
      </c>
      <c r="CQ528" s="2" t="n">
        <v>0</v>
      </c>
      <c r="CR528" s="2" t="n">
        <v>28.92</v>
      </c>
      <c r="CS528" s="2" t="n">
        <v>28.92</v>
      </c>
      <c r="CT528" s="2" t="n">
        <v>0</v>
      </c>
      <c r="CU528" s="2" t="n">
        <v>35.68</v>
      </c>
      <c r="CV528" s="2" t="n">
        <v>35.68</v>
      </c>
      <c r="CW528" s="2" t="n">
        <v>0</v>
      </c>
      <c r="CX528" s="2" t="n">
        <v>45.06</v>
      </c>
      <c r="CY528" s="2" t="n">
        <v>45.06</v>
      </c>
      <c r="CZ528" s="2" t="n">
        <v>0</v>
      </c>
      <c r="DA528" s="2" t="n">
        <v>54.62</v>
      </c>
      <c r="DB528" s="2" t="n">
        <v>54.62</v>
      </c>
      <c r="DC528" s="2" t="n">
        <v>0</v>
      </c>
      <c r="DD528" s="2" t="n">
        <v>65.43000000000001</v>
      </c>
      <c r="DE528" s="2" t="n">
        <v>65.43000000000001</v>
      </c>
      <c r="DF528" s="2" t="n">
        <v>0</v>
      </c>
      <c r="DG528" s="2" t="n">
        <v>73.08</v>
      </c>
      <c r="DH528" s="2" t="n">
        <v>73.08</v>
      </c>
      <c r="DI528" s="2" t="n">
        <v>0</v>
      </c>
      <c r="DJ528" s="2" t="n">
        <v>86.09999999999999</v>
      </c>
      <c r="DK528" s="2" t="n">
        <v>86.09999999999999</v>
      </c>
      <c r="DL528" s="2" t="n">
        <v>0</v>
      </c>
      <c r="DM528" s="2" t="n">
        <v>96.09</v>
      </c>
      <c r="DN528" s="2" t="n">
        <v>96.09</v>
      </c>
      <c r="DO528" s="2" t="n">
        <v>0</v>
      </c>
      <c r="DP528" s="2" t="n">
        <v>100</v>
      </c>
      <c r="DQ528" s="2" t="n">
        <v>100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  <c r="ET528" s="2" t="n">
        <v>100</v>
      </c>
      <c r="EU528" s="2" t="n">
        <v>100</v>
      </c>
      <c r="EV528" s="2" t="n">
        <v>0</v>
      </c>
      <c r="EW528" s="2" t="n">
        <v>100</v>
      </c>
      <c r="EX528" s="2" t="n">
        <v>100</v>
      </c>
      <c r="EY528" s="2" t="n">
        <v>0</v>
      </c>
      <c r="EZ528" s="2" t="n">
        <v>100</v>
      </c>
      <c r="FA528" s="2" t="n">
        <v>100</v>
      </c>
      <c r="FB528" s="2" t="n">
        <v>0</v>
      </c>
      <c r="FC528" s="2" t="n">
        <v>100</v>
      </c>
      <c r="FD528" s="2" t="n">
        <v>100</v>
      </c>
      <c r="FE528" s="2" t="n">
        <v>0</v>
      </c>
      <c r="FF528" s="2" t="n">
        <v>100</v>
      </c>
      <c r="FG528" s="2" t="n">
        <v>100</v>
      </c>
      <c r="FH528" s="2" t="n">
        <v>0</v>
      </c>
      <c r="FI528" s="2" t="n">
        <v>100</v>
      </c>
      <c r="FJ528" s="2" t="n">
        <v>100</v>
      </c>
      <c r="FK528" s="2" t="n">
        <v>0</v>
      </c>
      <c r="FL528" s="2" t="n">
        <v>100</v>
      </c>
      <c r="FM528" s="2" t="n">
        <v>100</v>
      </c>
      <c r="FN528" s="2" t="n">
        <v>0</v>
      </c>
      <c r="FO528" s="2" t="n">
        <v>100</v>
      </c>
      <c r="FP528" s="2" t="n">
        <v>100</v>
      </c>
      <c r="FQ528" s="2" t="n">
        <v>0</v>
      </c>
    </row>
    <row r="529">
      <c r="A529" s="2" t="n">
        <v>3</v>
      </c>
      <c r="B529" s="2" t="inlineStr">
        <is>
          <t>22.02.05</t>
        </is>
      </c>
      <c r="C529" s="2" t="inlineStr">
        <is>
          <t>Reservatórios</t>
        </is>
      </c>
      <c r="D529" s="2" t="inlineStr">
        <is>
          <t>24/08/2026</t>
        </is>
      </c>
      <c r="E529" s="2" t="inlineStr">
        <is>
          <t>14/09/2027</t>
        </is>
      </c>
      <c r="F529" s="2" t="n">
        <v>223396.056</v>
      </c>
      <c r="G529" s="2" t="n">
        <v>0</v>
      </c>
      <c r="H529" s="2" t="n">
        <v>223396.056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0.9399999999999999</v>
      </c>
      <c r="CA529" s="2" t="n">
        <v>0</v>
      </c>
      <c r="CB529" s="2" t="n">
        <v>0</v>
      </c>
      <c r="CC529" s="2" t="n">
        <v>4.29</v>
      </c>
      <c r="CD529" s="2" t="n">
        <v>1.41</v>
      </c>
      <c r="CE529" s="2" t="n">
        <v>0</v>
      </c>
      <c r="CF529" s="2" t="n">
        <v>12.42</v>
      </c>
      <c r="CG529" s="2" t="n">
        <v>9.83</v>
      </c>
      <c r="CH529" s="2" t="n">
        <v>0</v>
      </c>
      <c r="CI529" s="2" t="n">
        <v>17.63</v>
      </c>
      <c r="CJ529" s="2" t="n">
        <v>14.15</v>
      </c>
      <c r="CK529" s="2" t="n">
        <v>0</v>
      </c>
      <c r="CL529" s="2" t="n">
        <v>25.01</v>
      </c>
      <c r="CM529" s="2" t="n">
        <v>22.84</v>
      </c>
      <c r="CN529" s="2" t="n">
        <v>0</v>
      </c>
      <c r="CO529" s="2" t="n">
        <v>25.01</v>
      </c>
      <c r="CP529" s="2" t="n">
        <v>25.01</v>
      </c>
      <c r="CQ529" s="2" t="n">
        <v>0</v>
      </c>
      <c r="CR529" s="2" t="n">
        <v>28.92</v>
      </c>
      <c r="CS529" s="2" t="n">
        <v>28.92</v>
      </c>
      <c r="CT529" s="2" t="n">
        <v>0</v>
      </c>
      <c r="CU529" s="2" t="n">
        <v>35.68</v>
      </c>
      <c r="CV529" s="2" t="n">
        <v>35.68</v>
      </c>
      <c r="CW529" s="2" t="n">
        <v>0</v>
      </c>
      <c r="CX529" s="2" t="n">
        <v>45.06</v>
      </c>
      <c r="CY529" s="2" t="n">
        <v>45.06</v>
      </c>
      <c r="CZ529" s="2" t="n">
        <v>0</v>
      </c>
      <c r="DA529" s="2" t="n">
        <v>54.62</v>
      </c>
      <c r="DB529" s="2" t="n">
        <v>54.62</v>
      </c>
      <c r="DC529" s="2" t="n">
        <v>0</v>
      </c>
      <c r="DD529" s="2" t="n">
        <v>65.43000000000001</v>
      </c>
      <c r="DE529" s="2" t="n">
        <v>65.43000000000001</v>
      </c>
      <c r="DF529" s="2" t="n">
        <v>0</v>
      </c>
      <c r="DG529" s="2" t="n">
        <v>73.08</v>
      </c>
      <c r="DH529" s="2" t="n">
        <v>73.08</v>
      </c>
      <c r="DI529" s="2" t="n">
        <v>0</v>
      </c>
      <c r="DJ529" s="2" t="n">
        <v>86.09999999999999</v>
      </c>
      <c r="DK529" s="2" t="n">
        <v>86.09999999999999</v>
      </c>
      <c r="DL529" s="2" t="n">
        <v>0</v>
      </c>
      <c r="DM529" s="2" t="n">
        <v>96.09</v>
      </c>
      <c r="DN529" s="2" t="n">
        <v>96.09</v>
      </c>
      <c r="DO529" s="2" t="n">
        <v>0</v>
      </c>
      <c r="DP529" s="2" t="n">
        <v>100</v>
      </c>
      <c r="DQ529" s="2" t="n">
        <v>100</v>
      </c>
      <c r="DR529" s="2" t="n">
        <v>0</v>
      </c>
      <c r="DS529" s="2" t="n">
        <v>100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  <c r="ET529" s="2" t="n">
        <v>100</v>
      </c>
      <c r="EU529" s="2" t="n">
        <v>100</v>
      </c>
      <c r="EV529" s="2" t="n">
        <v>0</v>
      </c>
      <c r="EW529" s="2" t="n">
        <v>100</v>
      </c>
      <c r="EX529" s="2" t="n">
        <v>100</v>
      </c>
      <c r="EY529" s="2" t="n">
        <v>0</v>
      </c>
      <c r="EZ529" s="2" t="n">
        <v>100</v>
      </c>
      <c r="FA529" s="2" t="n">
        <v>100</v>
      </c>
      <c r="FB529" s="2" t="n">
        <v>0</v>
      </c>
      <c r="FC529" s="2" t="n">
        <v>100</v>
      </c>
      <c r="FD529" s="2" t="n">
        <v>100</v>
      </c>
      <c r="FE529" s="2" t="n">
        <v>0</v>
      </c>
      <c r="FF529" s="2" t="n">
        <v>100</v>
      </c>
      <c r="FG529" s="2" t="n">
        <v>100</v>
      </c>
      <c r="FH529" s="2" t="n">
        <v>0</v>
      </c>
      <c r="FI529" s="2" t="n">
        <v>100</v>
      </c>
      <c r="FJ529" s="2" t="n">
        <v>100</v>
      </c>
      <c r="FK529" s="2" t="n">
        <v>0</v>
      </c>
      <c r="FL529" s="2" t="n">
        <v>100</v>
      </c>
      <c r="FM529" s="2" t="n">
        <v>100</v>
      </c>
      <c r="FN529" s="2" t="n">
        <v>0</v>
      </c>
      <c r="FO529" s="2" t="n">
        <v>100</v>
      </c>
      <c r="FP529" s="2" t="n">
        <v>100</v>
      </c>
      <c r="FQ529" s="2" t="n">
        <v>0</v>
      </c>
    </row>
    <row r="530">
      <c r="A530" s="2" t="n">
        <v>2</v>
      </c>
      <c r="B530" s="2" t="inlineStr">
        <is>
          <t>22.03</t>
        </is>
      </c>
      <c r="C530" s="2" t="inlineStr">
        <is>
          <t>Instalações Sanitárias Prediais</t>
        </is>
      </c>
      <c r="D530" s="2" t="inlineStr">
        <is>
          <t>24/08/2026</t>
        </is>
      </c>
      <c r="E530" s="2" t="inlineStr">
        <is>
          <t>14/09/2027</t>
        </is>
      </c>
      <c r="F530" s="2" t="n">
        <v>971287.2000000002</v>
      </c>
      <c r="G530" s="2" t="n">
        <v>0</v>
      </c>
      <c r="H530" s="2" t="n">
        <v>971287.2000000002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0</v>
      </c>
      <c r="BO530" s="2" t="n">
        <v>0</v>
      </c>
      <c r="BP530" s="2" t="n">
        <v>0</v>
      </c>
      <c r="BQ530" s="2" t="n">
        <v>0</v>
      </c>
      <c r="BR530" s="2" t="n">
        <v>0</v>
      </c>
      <c r="BS530" s="2" t="n">
        <v>0</v>
      </c>
      <c r="BT530" s="2" t="n">
        <v>0</v>
      </c>
      <c r="BU530" s="2" t="n">
        <v>0</v>
      </c>
      <c r="BV530" s="2" t="n">
        <v>0</v>
      </c>
      <c r="BW530" s="2" t="n">
        <v>0</v>
      </c>
      <c r="BX530" s="2" t="n">
        <v>0</v>
      </c>
      <c r="BY530" s="2" t="n">
        <v>0</v>
      </c>
      <c r="BZ530" s="2" t="n">
        <v>0.9399999999999999</v>
      </c>
      <c r="CA530" s="2" t="n">
        <v>0</v>
      </c>
      <c r="CB530" s="2" t="n">
        <v>0</v>
      </c>
      <c r="CC530" s="2" t="n">
        <v>4.29</v>
      </c>
      <c r="CD530" s="2" t="n">
        <v>1.41</v>
      </c>
      <c r="CE530" s="2" t="n">
        <v>0</v>
      </c>
      <c r="CF530" s="2" t="n">
        <v>12.42</v>
      </c>
      <c r="CG530" s="2" t="n">
        <v>9.83</v>
      </c>
      <c r="CH530" s="2" t="n">
        <v>0</v>
      </c>
      <c r="CI530" s="2" t="n">
        <v>17.63</v>
      </c>
      <c r="CJ530" s="2" t="n">
        <v>14.15</v>
      </c>
      <c r="CK530" s="2" t="n">
        <v>0</v>
      </c>
      <c r="CL530" s="2" t="n">
        <v>25.01</v>
      </c>
      <c r="CM530" s="2" t="n">
        <v>22.84</v>
      </c>
      <c r="CN530" s="2" t="n">
        <v>0</v>
      </c>
      <c r="CO530" s="2" t="n">
        <v>25.01</v>
      </c>
      <c r="CP530" s="2" t="n">
        <v>25.01</v>
      </c>
      <c r="CQ530" s="2" t="n">
        <v>0</v>
      </c>
      <c r="CR530" s="2" t="n">
        <v>28.92</v>
      </c>
      <c r="CS530" s="2" t="n">
        <v>28.92</v>
      </c>
      <c r="CT530" s="2" t="n">
        <v>0</v>
      </c>
      <c r="CU530" s="2" t="n">
        <v>35.68</v>
      </c>
      <c r="CV530" s="2" t="n">
        <v>35.68</v>
      </c>
      <c r="CW530" s="2" t="n">
        <v>0</v>
      </c>
      <c r="CX530" s="2" t="n">
        <v>45.06</v>
      </c>
      <c r="CY530" s="2" t="n">
        <v>45.06</v>
      </c>
      <c r="CZ530" s="2" t="n">
        <v>0</v>
      </c>
      <c r="DA530" s="2" t="n">
        <v>54.62</v>
      </c>
      <c r="DB530" s="2" t="n">
        <v>54.62</v>
      </c>
      <c r="DC530" s="2" t="n">
        <v>0</v>
      </c>
      <c r="DD530" s="2" t="n">
        <v>65.43000000000001</v>
      </c>
      <c r="DE530" s="2" t="n">
        <v>65.43000000000001</v>
      </c>
      <c r="DF530" s="2" t="n">
        <v>0</v>
      </c>
      <c r="DG530" s="2" t="n">
        <v>73.08</v>
      </c>
      <c r="DH530" s="2" t="n">
        <v>73.08</v>
      </c>
      <c r="DI530" s="2" t="n">
        <v>0</v>
      </c>
      <c r="DJ530" s="2" t="n">
        <v>86.09999999999999</v>
      </c>
      <c r="DK530" s="2" t="n">
        <v>86.09999999999999</v>
      </c>
      <c r="DL530" s="2" t="n">
        <v>0</v>
      </c>
      <c r="DM530" s="2" t="n">
        <v>96.09</v>
      </c>
      <c r="DN530" s="2" t="n">
        <v>96.09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  <c r="ET530" s="2" t="n">
        <v>100</v>
      </c>
      <c r="EU530" s="2" t="n">
        <v>100</v>
      </c>
      <c r="EV530" s="2" t="n">
        <v>0</v>
      </c>
      <c r="EW530" s="2" t="n">
        <v>100</v>
      </c>
      <c r="EX530" s="2" t="n">
        <v>100</v>
      </c>
      <c r="EY530" s="2" t="n">
        <v>0</v>
      </c>
      <c r="EZ530" s="2" t="n">
        <v>100</v>
      </c>
      <c r="FA530" s="2" t="n">
        <v>100</v>
      </c>
      <c r="FB530" s="2" t="n">
        <v>0</v>
      </c>
      <c r="FC530" s="2" t="n">
        <v>100</v>
      </c>
      <c r="FD530" s="2" t="n">
        <v>100</v>
      </c>
      <c r="FE530" s="2" t="n">
        <v>0</v>
      </c>
      <c r="FF530" s="2" t="n">
        <v>100</v>
      </c>
      <c r="FG530" s="2" t="n">
        <v>100</v>
      </c>
      <c r="FH530" s="2" t="n">
        <v>0</v>
      </c>
      <c r="FI530" s="2" t="n">
        <v>100</v>
      </c>
      <c r="FJ530" s="2" t="n">
        <v>100</v>
      </c>
      <c r="FK530" s="2" t="n">
        <v>0</v>
      </c>
      <c r="FL530" s="2" t="n">
        <v>100</v>
      </c>
      <c r="FM530" s="2" t="n">
        <v>100</v>
      </c>
      <c r="FN530" s="2" t="n">
        <v>0</v>
      </c>
      <c r="FO530" s="2" t="n">
        <v>100</v>
      </c>
      <c r="FP530" s="2" t="n">
        <v>100</v>
      </c>
      <c r="FQ530" s="2" t="n">
        <v>0</v>
      </c>
    </row>
    <row r="531">
      <c r="A531" s="2" t="n">
        <v>3</v>
      </c>
      <c r="B531" s="2" t="inlineStr">
        <is>
          <t>22.03.01</t>
        </is>
      </c>
      <c r="C531" s="2" t="inlineStr">
        <is>
          <t>Prumadas  De Esgoto e Ventilação</t>
        </is>
      </c>
      <c r="D531" s="2" t="inlineStr">
        <is>
          <t>24/08/2026</t>
        </is>
      </c>
      <c r="E531" s="2" t="inlineStr">
        <is>
          <t>14/09/2027</t>
        </is>
      </c>
      <c r="F531" s="2" t="n">
        <v>223396.056</v>
      </c>
      <c r="G531" s="2" t="n">
        <v>0</v>
      </c>
      <c r="H531" s="2" t="n">
        <v>223396.056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</v>
      </c>
      <c r="BV531" s="2" t="n">
        <v>0</v>
      </c>
      <c r="BW531" s="2" t="n">
        <v>0</v>
      </c>
      <c r="BX531" s="2" t="n">
        <v>0</v>
      </c>
      <c r="BY531" s="2" t="n">
        <v>0</v>
      </c>
      <c r="BZ531" s="2" t="n">
        <v>0.9399999999999999</v>
      </c>
      <c r="CA531" s="2" t="n">
        <v>0</v>
      </c>
      <c r="CB531" s="2" t="n">
        <v>0</v>
      </c>
      <c r="CC531" s="2" t="n">
        <v>4.29</v>
      </c>
      <c r="CD531" s="2" t="n">
        <v>1.41</v>
      </c>
      <c r="CE531" s="2" t="n">
        <v>0</v>
      </c>
      <c r="CF531" s="2" t="n">
        <v>12.42</v>
      </c>
      <c r="CG531" s="2" t="n">
        <v>9.83</v>
      </c>
      <c r="CH531" s="2" t="n">
        <v>0</v>
      </c>
      <c r="CI531" s="2" t="n">
        <v>17.63</v>
      </c>
      <c r="CJ531" s="2" t="n">
        <v>14.15</v>
      </c>
      <c r="CK531" s="2" t="n">
        <v>0</v>
      </c>
      <c r="CL531" s="2" t="n">
        <v>25.01</v>
      </c>
      <c r="CM531" s="2" t="n">
        <v>22.84</v>
      </c>
      <c r="CN531" s="2" t="n">
        <v>0</v>
      </c>
      <c r="CO531" s="2" t="n">
        <v>25.01</v>
      </c>
      <c r="CP531" s="2" t="n">
        <v>25.01</v>
      </c>
      <c r="CQ531" s="2" t="n">
        <v>0</v>
      </c>
      <c r="CR531" s="2" t="n">
        <v>28.92</v>
      </c>
      <c r="CS531" s="2" t="n">
        <v>28.92</v>
      </c>
      <c r="CT531" s="2" t="n">
        <v>0</v>
      </c>
      <c r="CU531" s="2" t="n">
        <v>35.68</v>
      </c>
      <c r="CV531" s="2" t="n">
        <v>35.68</v>
      </c>
      <c r="CW531" s="2" t="n">
        <v>0</v>
      </c>
      <c r="CX531" s="2" t="n">
        <v>45.06</v>
      </c>
      <c r="CY531" s="2" t="n">
        <v>45.06</v>
      </c>
      <c r="CZ531" s="2" t="n">
        <v>0</v>
      </c>
      <c r="DA531" s="2" t="n">
        <v>54.62</v>
      </c>
      <c r="DB531" s="2" t="n">
        <v>54.62</v>
      </c>
      <c r="DC531" s="2" t="n">
        <v>0</v>
      </c>
      <c r="DD531" s="2" t="n">
        <v>65.43000000000001</v>
      </c>
      <c r="DE531" s="2" t="n">
        <v>65.43000000000001</v>
      </c>
      <c r="DF531" s="2" t="n">
        <v>0</v>
      </c>
      <c r="DG531" s="2" t="n">
        <v>73.08</v>
      </c>
      <c r="DH531" s="2" t="n">
        <v>73.08</v>
      </c>
      <c r="DI531" s="2" t="n">
        <v>0</v>
      </c>
      <c r="DJ531" s="2" t="n">
        <v>86.09999999999999</v>
      </c>
      <c r="DK531" s="2" t="n">
        <v>86.09999999999999</v>
      </c>
      <c r="DL531" s="2" t="n">
        <v>0</v>
      </c>
      <c r="DM531" s="2" t="n">
        <v>96.09</v>
      </c>
      <c r="DN531" s="2" t="n">
        <v>96.09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  <c r="ET531" s="2" t="n">
        <v>100</v>
      </c>
      <c r="EU531" s="2" t="n">
        <v>100</v>
      </c>
      <c r="EV531" s="2" t="n">
        <v>0</v>
      </c>
      <c r="EW531" s="2" t="n">
        <v>100</v>
      </c>
      <c r="EX531" s="2" t="n">
        <v>100</v>
      </c>
      <c r="EY531" s="2" t="n">
        <v>0</v>
      </c>
      <c r="EZ531" s="2" t="n">
        <v>100</v>
      </c>
      <c r="FA531" s="2" t="n">
        <v>100</v>
      </c>
      <c r="FB531" s="2" t="n">
        <v>0</v>
      </c>
      <c r="FC531" s="2" t="n">
        <v>100</v>
      </c>
      <c r="FD531" s="2" t="n">
        <v>100</v>
      </c>
      <c r="FE531" s="2" t="n">
        <v>0</v>
      </c>
      <c r="FF531" s="2" t="n">
        <v>100</v>
      </c>
      <c r="FG531" s="2" t="n">
        <v>100</v>
      </c>
      <c r="FH531" s="2" t="n">
        <v>0</v>
      </c>
      <c r="FI531" s="2" t="n">
        <v>100</v>
      </c>
      <c r="FJ531" s="2" t="n">
        <v>100</v>
      </c>
      <c r="FK531" s="2" t="n">
        <v>0</v>
      </c>
      <c r="FL531" s="2" t="n">
        <v>100</v>
      </c>
      <c r="FM531" s="2" t="n">
        <v>100</v>
      </c>
      <c r="FN531" s="2" t="n">
        <v>0</v>
      </c>
      <c r="FO531" s="2" t="n">
        <v>100</v>
      </c>
      <c r="FP531" s="2" t="n">
        <v>100</v>
      </c>
      <c r="FQ531" s="2" t="n">
        <v>0</v>
      </c>
    </row>
    <row r="532">
      <c r="A532" s="2" t="n">
        <v>3</v>
      </c>
      <c r="B532" s="2" t="inlineStr">
        <is>
          <t>22.03.02</t>
        </is>
      </c>
      <c r="C532" s="2" t="inlineStr">
        <is>
          <t>Distribuição Interna De Esgoto</t>
        </is>
      </c>
      <c r="D532" s="2" t="inlineStr">
        <is>
          <t>24/08/2026</t>
        </is>
      </c>
      <c r="E532" s="2" t="inlineStr">
        <is>
          <t>14/09/2027</t>
        </is>
      </c>
      <c r="F532" s="2" t="n">
        <v>262247.5440000001</v>
      </c>
      <c r="G532" s="2" t="n">
        <v>0</v>
      </c>
      <c r="H532" s="2" t="n">
        <v>262247.5440000001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</v>
      </c>
      <c r="BV532" s="2" t="n">
        <v>0</v>
      </c>
      <c r="BW532" s="2" t="n">
        <v>0</v>
      </c>
      <c r="BX532" s="2" t="n">
        <v>0</v>
      </c>
      <c r="BY532" s="2" t="n">
        <v>0</v>
      </c>
      <c r="BZ532" s="2" t="n">
        <v>0.9399999999999999</v>
      </c>
      <c r="CA532" s="2" t="n">
        <v>0</v>
      </c>
      <c r="CB532" s="2" t="n">
        <v>0</v>
      </c>
      <c r="CC532" s="2" t="n">
        <v>4.29</v>
      </c>
      <c r="CD532" s="2" t="n">
        <v>1.41</v>
      </c>
      <c r="CE532" s="2" t="n">
        <v>0</v>
      </c>
      <c r="CF532" s="2" t="n">
        <v>12.42</v>
      </c>
      <c r="CG532" s="2" t="n">
        <v>9.83</v>
      </c>
      <c r="CH532" s="2" t="n">
        <v>0</v>
      </c>
      <c r="CI532" s="2" t="n">
        <v>17.63</v>
      </c>
      <c r="CJ532" s="2" t="n">
        <v>14.15</v>
      </c>
      <c r="CK532" s="2" t="n">
        <v>0</v>
      </c>
      <c r="CL532" s="2" t="n">
        <v>25.01</v>
      </c>
      <c r="CM532" s="2" t="n">
        <v>22.84</v>
      </c>
      <c r="CN532" s="2" t="n">
        <v>0</v>
      </c>
      <c r="CO532" s="2" t="n">
        <v>25.01</v>
      </c>
      <c r="CP532" s="2" t="n">
        <v>25.01</v>
      </c>
      <c r="CQ532" s="2" t="n">
        <v>0</v>
      </c>
      <c r="CR532" s="2" t="n">
        <v>28.92</v>
      </c>
      <c r="CS532" s="2" t="n">
        <v>28.92</v>
      </c>
      <c r="CT532" s="2" t="n">
        <v>0</v>
      </c>
      <c r="CU532" s="2" t="n">
        <v>35.68</v>
      </c>
      <c r="CV532" s="2" t="n">
        <v>35.68</v>
      </c>
      <c r="CW532" s="2" t="n">
        <v>0</v>
      </c>
      <c r="CX532" s="2" t="n">
        <v>45.06</v>
      </c>
      <c r="CY532" s="2" t="n">
        <v>45.06</v>
      </c>
      <c r="CZ532" s="2" t="n">
        <v>0</v>
      </c>
      <c r="DA532" s="2" t="n">
        <v>54.62</v>
      </c>
      <c r="DB532" s="2" t="n">
        <v>54.62</v>
      </c>
      <c r="DC532" s="2" t="n">
        <v>0</v>
      </c>
      <c r="DD532" s="2" t="n">
        <v>65.43000000000001</v>
      </c>
      <c r="DE532" s="2" t="n">
        <v>65.43000000000001</v>
      </c>
      <c r="DF532" s="2" t="n">
        <v>0</v>
      </c>
      <c r="DG532" s="2" t="n">
        <v>73.08</v>
      </c>
      <c r="DH532" s="2" t="n">
        <v>73.08</v>
      </c>
      <c r="DI532" s="2" t="n">
        <v>0</v>
      </c>
      <c r="DJ532" s="2" t="n">
        <v>86.09999999999999</v>
      </c>
      <c r="DK532" s="2" t="n">
        <v>86.09999999999999</v>
      </c>
      <c r="DL532" s="2" t="n">
        <v>0</v>
      </c>
      <c r="DM532" s="2" t="n">
        <v>96.09</v>
      </c>
      <c r="DN532" s="2" t="n">
        <v>96.09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  <c r="ET532" s="2" t="n">
        <v>100</v>
      </c>
      <c r="EU532" s="2" t="n">
        <v>100</v>
      </c>
      <c r="EV532" s="2" t="n">
        <v>0</v>
      </c>
      <c r="EW532" s="2" t="n">
        <v>100</v>
      </c>
      <c r="EX532" s="2" t="n">
        <v>100</v>
      </c>
      <c r="EY532" s="2" t="n">
        <v>0</v>
      </c>
      <c r="EZ532" s="2" t="n">
        <v>100</v>
      </c>
      <c r="FA532" s="2" t="n">
        <v>100</v>
      </c>
      <c r="FB532" s="2" t="n">
        <v>0</v>
      </c>
      <c r="FC532" s="2" t="n">
        <v>100</v>
      </c>
      <c r="FD532" s="2" t="n">
        <v>100</v>
      </c>
      <c r="FE532" s="2" t="n">
        <v>0</v>
      </c>
      <c r="FF532" s="2" t="n">
        <v>100</v>
      </c>
      <c r="FG532" s="2" t="n">
        <v>100</v>
      </c>
      <c r="FH532" s="2" t="n">
        <v>0</v>
      </c>
      <c r="FI532" s="2" t="n">
        <v>100</v>
      </c>
      <c r="FJ532" s="2" t="n">
        <v>100</v>
      </c>
      <c r="FK532" s="2" t="n">
        <v>0</v>
      </c>
      <c r="FL532" s="2" t="n">
        <v>100</v>
      </c>
      <c r="FM532" s="2" t="n">
        <v>100</v>
      </c>
      <c r="FN532" s="2" t="n">
        <v>0</v>
      </c>
      <c r="FO532" s="2" t="n">
        <v>100</v>
      </c>
      <c r="FP532" s="2" t="n">
        <v>100</v>
      </c>
      <c r="FQ532" s="2" t="n">
        <v>0</v>
      </c>
    </row>
    <row r="533">
      <c r="A533" s="2" t="n">
        <v>3</v>
      </c>
      <c r="B533" s="2" t="inlineStr">
        <is>
          <t>22.03.03</t>
        </is>
      </c>
      <c r="C533" s="2" t="inlineStr">
        <is>
          <t>Redes Coletoras De Esgoto</t>
        </is>
      </c>
      <c r="D533" s="2" t="inlineStr">
        <is>
          <t>24/08/2026</t>
        </is>
      </c>
      <c r="E533" s="2" t="inlineStr">
        <is>
          <t>14/09/2027</t>
        </is>
      </c>
      <c r="F533" s="2" t="n">
        <v>310811.904</v>
      </c>
      <c r="G533" s="2" t="n">
        <v>0</v>
      </c>
      <c r="H533" s="2" t="n">
        <v>310811.904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</v>
      </c>
      <c r="BV533" s="2" t="n">
        <v>0</v>
      </c>
      <c r="BW533" s="2" t="n">
        <v>0</v>
      </c>
      <c r="BX533" s="2" t="n">
        <v>0</v>
      </c>
      <c r="BY533" s="2" t="n">
        <v>0</v>
      </c>
      <c r="BZ533" s="2" t="n">
        <v>0.9399999999999999</v>
      </c>
      <c r="CA533" s="2" t="n">
        <v>0</v>
      </c>
      <c r="CB533" s="2" t="n">
        <v>0</v>
      </c>
      <c r="CC533" s="2" t="n">
        <v>4.29</v>
      </c>
      <c r="CD533" s="2" t="n">
        <v>1.41</v>
      </c>
      <c r="CE533" s="2" t="n">
        <v>0</v>
      </c>
      <c r="CF533" s="2" t="n">
        <v>12.42</v>
      </c>
      <c r="CG533" s="2" t="n">
        <v>9.83</v>
      </c>
      <c r="CH533" s="2" t="n">
        <v>0</v>
      </c>
      <c r="CI533" s="2" t="n">
        <v>17.63</v>
      </c>
      <c r="CJ533" s="2" t="n">
        <v>14.15</v>
      </c>
      <c r="CK533" s="2" t="n">
        <v>0</v>
      </c>
      <c r="CL533" s="2" t="n">
        <v>25.01</v>
      </c>
      <c r="CM533" s="2" t="n">
        <v>22.84</v>
      </c>
      <c r="CN533" s="2" t="n">
        <v>0</v>
      </c>
      <c r="CO533" s="2" t="n">
        <v>25.01</v>
      </c>
      <c r="CP533" s="2" t="n">
        <v>25.01</v>
      </c>
      <c r="CQ533" s="2" t="n">
        <v>0</v>
      </c>
      <c r="CR533" s="2" t="n">
        <v>28.92</v>
      </c>
      <c r="CS533" s="2" t="n">
        <v>28.92</v>
      </c>
      <c r="CT533" s="2" t="n">
        <v>0</v>
      </c>
      <c r="CU533" s="2" t="n">
        <v>35.68</v>
      </c>
      <c r="CV533" s="2" t="n">
        <v>35.68</v>
      </c>
      <c r="CW533" s="2" t="n">
        <v>0</v>
      </c>
      <c r="CX533" s="2" t="n">
        <v>45.06</v>
      </c>
      <c r="CY533" s="2" t="n">
        <v>45.06</v>
      </c>
      <c r="CZ533" s="2" t="n">
        <v>0</v>
      </c>
      <c r="DA533" s="2" t="n">
        <v>54.62</v>
      </c>
      <c r="DB533" s="2" t="n">
        <v>54.62</v>
      </c>
      <c r="DC533" s="2" t="n">
        <v>0</v>
      </c>
      <c r="DD533" s="2" t="n">
        <v>65.43000000000001</v>
      </c>
      <c r="DE533" s="2" t="n">
        <v>65.43000000000001</v>
      </c>
      <c r="DF533" s="2" t="n">
        <v>0</v>
      </c>
      <c r="DG533" s="2" t="n">
        <v>73.08</v>
      </c>
      <c r="DH533" s="2" t="n">
        <v>73.08</v>
      </c>
      <c r="DI533" s="2" t="n">
        <v>0</v>
      </c>
      <c r="DJ533" s="2" t="n">
        <v>86.09999999999999</v>
      </c>
      <c r="DK533" s="2" t="n">
        <v>86.09999999999999</v>
      </c>
      <c r="DL533" s="2" t="n">
        <v>0</v>
      </c>
      <c r="DM533" s="2" t="n">
        <v>96.09</v>
      </c>
      <c r="DN533" s="2" t="n">
        <v>96.09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  <c r="ET533" s="2" t="n">
        <v>100</v>
      </c>
      <c r="EU533" s="2" t="n">
        <v>100</v>
      </c>
      <c r="EV533" s="2" t="n">
        <v>0</v>
      </c>
      <c r="EW533" s="2" t="n">
        <v>100</v>
      </c>
      <c r="EX533" s="2" t="n">
        <v>100</v>
      </c>
      <c r="EY533" s="2" t="n">
        <v>0</v>
      </c>
      <c r="EZ533" s="2" t="n">
        <v>100</v>
      </c>
      <c r="FA533" s="2" t="n">
        <v>100</v>
      </c>
      <c r="FB533" s="2" t="n">
        <v>0</v>
      </c>
      <c r="FC533" s="2" t="n">
        <v>100</v>
      </c>
      <c r="FD533" s="2" t="n">
        <v>100</v>
      </c>
      <c r="FE533" s="2" t="n">
        <v>0</v>
      </c>
      <c r="FF533" s="2" t="n">
        <v>100</v>
      </c>
      <c r="FG533" s="2" t="n">
        <v>100</v>
      </c>
      <c r="FH533" s="2" t="n">
        <v>0</v>
      </c>
      <c r="FI533" s="2" t="n">
        <v>100</v>
      </c>
      <c r="FJ533" s="2" t="n">
        <v>100</v>
      </c>
      <c r="FK533" s="2" t="n">
        <v>0</v>
      </c>
      <c r="FL533" s="2" t="n">
        <v>100</v>
      </c>
      <c r="FM533" s="2" t="n">
        <v>100</v>
      </c>
      <c r="FN533" s="2" t="n">
        <v>0</v>
      </c>
      <c r="FO533" s="2" t="n">
        <v>100</v>
      </c>
      <c r="FP533" s="2" t="n">
        <v>100</v>
      </c>
      <c r="FQ533" s="2" t="n">
        <v>0</v>
      </c>
    </row>
    <row r="534">
      <c r="A534" s="2" t="n">
        <v>3</v>
      </c>
      <c r="B534" s="2" t="inlineStr">
        <is>
          <t>22.03.04</t>
        </is>
      </c>
      <c r="C534" s="2" t="inlineStr">
        <is>
          <t>Caixas de passagem</t>
        </is>
      </c>
      <c r="D534" s="2" t="inlineStr">
        <is>
          <t>24/08/2026</t>
        </is>
      </c>
      <c r="E534" s="2" t="inlineStr">
        <is>
          <t>14/09/2027</t>
        </is>
      </c>
      <c r="F534" s="2" t="n">
        <v>174831.696</v>
      </c>
      <c r="G534" s="2" t="n">
        <v>0</v>
      </c>
      <c r="H534" s="2" t="n">
        <v>174831.696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0.9399999999999999</v>
      </c>
      <c r="CA534" s="2" t="n">
        <v>0</v>
      </c>
      <c r="CB534" s="2" t="n">
        <v>0</v>
      </c>
      <c r="CC534" s="2" t="n">
        <v>4.29</v>
      </c>
      <c r="CD534" s="2" t="n">
        <v>1.41</v>
      </c>
      <c r="CE534" s="2" t="n">
        <v>0</v>
      </c>
      <c r="CF534" s="2" t="n">
        <v>12.42</v>
      </c>
      <c r="CG534" s="2" t="n">
        <v>9.83</v>
      </c>
      <c r="CH534" s="2" t="n">
        <v>0</v>
      </c>
      <c r="CI534" s="2" t="n">
        <v>17.63</v>
      </c>
      <c r="CJ534" s="2" t="n">
        <v>14.15</v>
      </c>
      <c r="CK534" s="2" t="n">
        <v>0</v>
      </c>
      <c r="CL534" s="2" t="n">
        <v>25.01</v>
      </c>
      <c r="CM534" s="2" t="n">
        <v>22.84</v>
      </c>
      <c r="CN534" s="2" t="n">
        <v>0</v>
      </c>
      <c r="CO534" s="2" t="n">
        <v>25.01</v>
      </c>
      <c r="CP534" s="2" t="n">
        <v>25.01</v>
      </c>
      <c r="CQ534" s="2" t="n">
        <v>0</v>
      </c>
      <c r="CR534" s="2" t="n">
        <v>28.92</v>
      </c>
      <c r="CS534" s="2" t="n">
        <v>28.92</v>
      </c>
      <c r="CT534" s="2" t="n">
        <v>0</v>
      </c>
      <c r="CU534" s="2" t="n">
        <v>35.68</v>
      </c>
      <c r="CV534" s="2" t="n">
        <v>35.68</v>
      </c>
      <c r="CW534" s="2" t="n">
        <v>0</v>
      </c>
      <c r="CX534" s="2" t="n">
        <v>45.06</v>
      </c>
      <c r="CY534" s="2" t="n">
        <v>45.06</v>
      </c>
      <c r="CZ534" s="2" t="n">
        <v>0</v>
      </c>
      <c r="DA534" s="2" t="n">
        <v>54.62</v>
      </c>
      <c r="DB534" s="2" t="n">
        <v>54.62</v>
      </c>
      <c r="DC534" s="2" t="n">
        <v>0</v>
      </c>
      <c r="DD534" s="2" t="n">
        <v>65.43000000000001</v>
      </c>
      <c r="DE534" s="2" t="n">
        <v>65.43000000000001</v>
      </c>
      <c r="DF534" s="2" t="n">
        <v>0</v>
      </c>
      <c r="DG534" s="2" t="n">
        <v>73.08</v>
      </c>
      <c r="DH534" s="2" t="n">
        <v>73.08</v>
      </c>
      <c r="DI534" s="2" t="n">
        <v>0</v>
      </c>
      <c r="DJ534" s="2" t="n">
        <v>86.09999999999999</v>
      </c>
      <c r="DK534" s="2" t="n">
        <v>86.09999999999999</v>
      </c>
      <c r="DL534" s="2" t="n">
        <v>0</v>
      </c>
      <c r="DM534" s="2" t="n">
        <v>96.09</v>
      </c>
      <c r="DN534" s="2" t="n">
        <v>96.09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  <c r="ET534" s="2" t="n">
        <v>100</v>
      </c>
      <c r="EU534" s="2" t="n">
        <v>100</v>
      </c>
      <c r="EV534" s="2" t="n">
        <v>0</v>
      </c>
      <c r="EW534" s="2" t="n">
        <v>100</v>
      </c>
      <c r="EX534" s="2" t="n">
        <v>100</v>
      </c>
      <c r="EY534" s="2" t="n">
        <v>0</v>
      </c>
      <c r="EZ534" s="2" t="n">
        <v>100</v>
      </c>
      <c r="FA534" s="2" t="n">
        <v>100</v>
      </c>
      <c r="FB534" s="2" t="n">
        <v>0</v>
      </c>
      <c r="FC534" s="2" t="n">
        <v>100</v>
      </c>
      <c r="FD534" s="2" t="n">
        <v>100</v>
      </c>
      <c r="FE534" s="2" t="n">
        <v>0</v>
      </c>
      <c r="FF534" s="2" t="n">
        <v>100</v>
      </c>
      <c r="FG534" s="2" t="n">
        <v>100</v>
      </c>
      <c r="FH534" s="2" t="n">
        <v>0</v>
      </c>
      <c r="FI534" s="2" t="n">
        <v>100</v>
      </c>
      <c r="FJ534" s="2" t="n">
        <v>100</v>
      </c>
      <c r="FK534" s="2" t="n">
        <v>0</v>
      </c>
      <c r="FL534" s="2" t="n">
        <v>100</v>
      </c>
      <c r="FM534" s="2" t="n">
        <v>100</v>
      </c>
      <c r="FN534" s="2" t="n">
        <v>0</v>
      </c>
      <c r="FO534" s="2" t="n">
        <v>100</v>
      </c>
      <c r="FP534" s="2" t="n">
        <v>100</v>
      </c>
      <c r="FQ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Instalações pluviais Prediais</t>
        </is>
      </c>
      <c r="D535" s="2" t="inlineStr">
        <is>
          <t>24/08/2026</t>
        </is>
      </c>
      <c r="E535" s="2" t="inlineStr">
        <is>
          <t>14/09/2027</t>
        </is>
      </c>
      <c r="F535" s="2" t="n">
        <v>777029.76</v>
      </c>
      <c r="G535" s="2" t="n">
        <v>0</v>
      </c>
      <c r="H535" s="2" t="n">
        <v>777029.76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0.9399999999999999</v>
      </c>
      <c r="CA535" s="2" t="n">
        <v>0</v>
      </c>
      <c r="CB535" s="2" t="n">
        <v>0</v>
      </c>
      <c r="CC535" s="2" t="n">
        <v>4.29</v>
      </c>
      <c r="CD535" s="2" t="n">
        <v>1.41</v>
      </c>
      <c r="CE535" s="2" t="n">
        <v>0</v>
      </c>
      <c r="CF535" s="2" t="n">
        <v>12.42</v>
      </c>
      <c r="CG535" s="2" t="n">
        <v>9.83</v>
      </c>
      <c r="CH535" s="2" t="n">
        <v>0</v>
      </c>
      <c r="CI535" s="2" t="n">
        <v>17.63</v>
      </c>
      <c r="CJ535" s="2" t="n">
        <v>14.15</v>
      </c>
      <c r="CK535" s="2" t="n">
        <v>0</v>
      </c>
      <c r="CL535" s="2" t="n">
        <v>25.01</v>
      </c>
      <c r="CM535" s="2" t="n">
        <v>22.84</v>
      </c>
      <c r="CN535" s="2" t="n">
        <v>0</v>
      </c>
      <c r="CO535" s="2" t="n">
        <v>25.01</v>
      </c>
      <c r="CP535" s="2" t="n">
        <v>25.01</v>
      </c>
      <c r="CQ535" s="2" t="n">
        <v>0</v>
      </c>
      <c r="CR535" s="2" t="n">
        <v>28.92</v>
      </c>
      <c r="CS535" s="2" t="n">
        <v>28.92</v>
      </c>
      <c r="CT535" s="2" t="n">
        <v>0</v>
      </c>
      <c r="CU535" s="2" t="n">
        <v>35.68</v>
      </c>
      <c r="CV535" s="2" t="n">
        <v>35.68</v>
      </c>
      <c r="CW535" s="2" t="n">
        <v>0</v>
      </c>
      <c r="CX535" s="2" t="n">
        <v>45.06</v>
      </c>
      <c r="CY535" s="2" t="n">
        <v>45.06</v>
      </c>
      <c r="CZ535" s="2" t="n">
        <v>0</v>
      </c>
      <c r="DA535" s="2" t="n">
        <v>54.62</v>
      </c>
      <c r="DB535" s="2" t="n">
        <v>54.62</v>
      </c>
      <c r="DC535" s="2" t="n">
        <v>0</v>
      </c>
      <c r="DD535" s="2" t="n">
        <v>65.43000000000001</v>
      </c>
      <c r="DE535" s="2" t="n">
        <v>65.43000000000001</v>
      </c>
      <c r="DF535" s="2" t="n">
        <v>0</v>
      </c>
      <c r="DG535" s="2" t="n">
        <v>73.08</v>
      </c>
      <c r="DH535" s="2" t="n">
        <v>73.08</v>
      </c>
      <c r="DI535" s="2" t="n">
        <v>0</v>
      </c>
      <c r="DJ535" s="2" t="n">
        <v>86.09999999999999</v>
      </c>
      <c r="DK535" s="2" t="n">
        <v>86.09999999999999</v>
      </c>
      <c r="DL535" s="2" t="n">
        <v>0</v>
      </c>
      <c r="DM535" s="2" t="n">
        <v>96.09</v>
      </c>
      <c r="DN535" s="2" t="n">
        <v>96.09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  <c r="ET535" s="2" t="n">
        <v>100</v>
      </c>
      <c r="EU535" s="2" t="n">
        <v>100</v>
      </c>
      <c r="EV535" s="2" t="n">
        <v>0</v>
      </c>
      <c r="EW535" s="2" t="n">
        <v>100</v>
      </c>
      <c r="EX535" s="2" t="n">
        <v>100</v>
      </c>
      <c r="EY535" s="2" t="n">
        <v>0</v>
      </c>
      <c r="EZ535" s="2" t="n">
        <v>100</v>
      </c>
      <c r="FA535" s="2" t="n">
        <v>100</v>
      </c>
      <c r="FB535" s="2" t="n">
        <v>0</v>
      </c>
      <c r="FC535" s="2" t="n">
        <v>100</v>
      </c>
      <c r="FD535" s="2" t="n">
        <v>100</v>
      </c>
      <c r="FE535" s="2" t="n">
        <v>0</v>
      </c>
      <c r="FF535" s="2" t="n">
        <v>100</v>
      </c>
      <c r="FG535" s="2" t="n">
        <v>100</v>
      </c>
      <c r="FH535" s="2" t="n">
        <v>0</v>
      </c>
      <c r="FI535" s="2" t="n">
        <v>100</v>
      </c>
      <c r="FJ535" s="2" t="n">
        <v>100</v>
      </c>
      <c r="FK535" s="2" t="n">
        <v>0</v>
      </c>
      <c r="FL535" s="2" t="n">
        <v>100</v>
      </c>
      <c r="FM535" s="2" t="n">
        <v>100</v>
      </c>
      <c r="FN535" s="2" t="n">
        <v>0</v>
      </c>
      <c r="FO535" s="2" t="n">
        <v>100</v>
      </c>
      <c r="FP535" s="2" t="n">
        <v>100</v>
      </c>
      <c r="FQ535" s="2" t="n">
        <v>0</v>
      </c>
    </row>
    <row r="536">
      <c r="A536" s="2" t="n">
        <v>3</v>
      </c>
      <c r="B536" s="2" t="inlineStr">
        <is>
          <t>22.04.01</t>
        </is>
      </c>
      <c r="C536" s="2" t="inlineStr">
        <is>
          <t>Prumadas  pluviais</t>
        </is>
      </c>
      <c r="D536" s="2" t="inlineStr">
        <is>
          <t>24/08/2026</t>
        </is>
      </c>
      <c r="E536" s="2" t="inlineStr">
        <is>
          <t>14/09/2027</t>
        </is>
      </c>
      <c r="F536" s="2" t="n">
        <v>194257.44</v>
      </c>
      <c r="G536" s="2" t="n">
        <v>0</v>
      </c>
      <c r="H536" s="2" t="n">
        <v>194257.44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0.9399999999999999</v>
      </c>
      <c r="CA536" s="2" t="n">
        <v>0</v>
      </c>
      <c r="CB536" s="2" t="n">
        <v>0</v>
      </c>
      <c r="CC536" s="2" t="n">
        <v>4.29</v>
      </c>
      <c r="CD536" s="2" t="n">
        <v>1.41</v>
      </c>
      <c r="CE536" s="2" t="n">
        <v>0</v>
      </c>
      <c r="CF536" s="2" t="n">
        <v>12.42</v>
      </c>
      <c r="CG536" s="2" t="n">
        <v>9.83</v>
      </c>
      <c r="CH536" s="2" t="n">
        <v>0</v>
      </c>
      <c r="CI536" s="2" t="n">
        <v>17.63</v>
      </c>
      <c r="CJ536" s="2" t="n">
        <v>14.15</v>
      </c>
      <c r="CK536" s="2" t="n">
        <v>0</v>
      </c>
      <c r="CL536" s="2" t="n">
        <v>25.01</v>
      </c>
      <c r="CM536" s="2" t="n">
        <v>22.84</v>
      </c>
      <c r="CN536" s="2" t="n">
        <v>0</v>
      </c>
      <c r="CO536" s="2" t="n">
        <v>25.01</v>
      </c>
      <c r="CP536" s="2" t="n">
        <v>25.01</v>
      </c>
      <c r="CQ536" s="2" t="n">
        <v>0</v>
      </c>
      <c r="CR536" s="2" t="n">
        <v>28.92</v>
      </c>
      <c r="CS536" s="2" t="n">
        <v>28.92</v>
      </c>
      <c r="CT536" s="2" t="n">
        <v>0</v>
      </c>
      <c r="CU536" s="2" t="n">
        <v>35.68</v>
      </c>
      <c r="CV536" s="2" t="n">
        <v>35.68</v>
      </c>
      <c r="CW536" s="2" t="n">
        <v>0</v>
      </c>
      <c r="CX536" s="2" t="n">
        <v>45.06</v>
      </c>
      <c r="CY536" s="2" t="n">
        <v>45.06</v>
      </c>
      <c r="CZ536" s="2" t="n">
        <v>0</v>
      </c>
      <c r="DA536" s="2" t="n">
        <v>54.62</v>
      </c>
      <c r="DB536" s="2" t="n">
        <v>54.62</v>
      </c>
      <c r="DC536" s="2" t="n">
        <v>0</v>
      </c>
      <c r="DD536" s="2" t="n">
        <v>65.43000000000001</v>
      </c>
      <c r="DE536" s="2" t="n">
        <v>65.43000000000001</v>
      </c>
      <c r="DF536" s="2" t="n">
        <v>0</v>
      </c>
      <c r="DG536" s="2" t="n">
        <v>73.08</v>
      </c>
      <c r="DH536" s="2" t="n">
        <v>73.08</v>
      </c>
      <c r="DI536" s="2" t="n">
        <v>0</v>
      </c>
      <c r="DJ536" s="2" t="n">
        <v>86.09999999999999</v>
      </c>
      <c r="DK536" s="2" t="n">
        <v>86.09999999999999</v>
      </c>
      <c r="DL536" s="2" t="n">
        <v>0</v>
      </c>
      <c r="DM536" s="2" t="n">
        <v>96.09</v>
      </c>
      <c r="DN536" s="2" t="n">
        <v>96.09</v>
      </c>
      <c r="DO536" s="2" t="n">
        <v>0</v>
      </c>
      <c r="DP536" s="2" t="n">
        <v>100</v>
      </c>
      <c r="DQ536" s="2" t="n">
        <v>100</v>
      </c>
      <c r="DR536" s="2" t="n">
        <v>0</v>
      </c>
      <c r="DS536" s="2" t="n">
        <v>100</v>
      </c>
      <c r="DT536" s="2" t="n">
        <v>100</v>
      </c>
      <c r="DU536" s="2" t="n">
        <v>0</v>
      </c>
      <c r="DV536" s="2" t="n">
        <v>100</v>
      </c>
      <c r="DW536" s="2" t="n">
        <v>100</v>
      </c>
      <c r="DX536" s="2" t="n">
        <v>0</v>
      </c>
      <c r="DY536" s="2" t="n">
        <v>100</v>
      </c>
      <c r="DZ536" s="2" t="n">
        <v>100</v>
      </c>
      <c r="EA536" s="2" t="n">
        <v>0</v>
      </c>
      <c r="EB536" s="2" t="n">
        <v>100</v>
      </c>
      <c r="EC536" s="2" t="n">
        <v>100</v>
      </c>
      <c r="ED536" s="2" t="n">
        <v>0</v>
      </c>
      <c r="EE536" s="2" t="n">
        <v>100</v>
      </c>
      <c r="EF536" s="2" t="n">
        <v>100</v>
      </c>
      <c r="EG536" s="2" t="n">
        <v>0</v>
      </c>
      <c r="EH536" s="2" t="n">
        <v>100</v>
      </c>
      <c r="EI536" s="2" t="n">
        <v>100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  <c r="ET536" s="2" t="n">
        <v>100</v>
      </c>
      <c r="EU536" s="2" t="n">
        <v>100</v>
      </c>
      <c r="EV536" s="2" t="n">
        <v>0</v>
      </c>
      <c r="EW536" s="2" t="n">
        <v>100</v>
      </c>
      <c r="EX536" s="2" t="n">
        <v>100</v>
      </c>
      <c r="EY536" s="2" t="n">
        <v>0</v>
      </c>
      <c r="EZ536" s="2" t="n">
        <v>100</v>
      </c>
      <c r="FA536" s="2" t="n">
        <v>100</v>
      </c>
      <c r="FB536" s="2" t="n">
        <v>0</v>
      </c>
      <c r="FC536" s="2" t="n">
        <v>100</v>
      </c>
      <c r="FD536" s="2" t="n">
        <v>100</v>
      </c>
      <c r="FE536" s="2" t="n">
        <v>0</v>
      </c>
      <c r="FF536" s="2" t="n">
        <v>100</v>
      </c>
      <c r="FG536" s="2" t="n">
        <v>100</v>
      </c>
      <c r="FH536" s="2" t="n">
        <v>0</v>
      </c>
      <c r="FI536" s="2" t="n">
        <v>100</v>
      </c>
      <c r="FJ536" s="2" t="n">
        <v>100</v>
      </c>
      <c r="FK536" s="2" t="n">
        <v>0</v>
      </c>
      <c r="FL536" s="2" t="n">
        <v>100</v>
      </c>
      <c r="FM536" s="2" t="n">
        <v>100</v>
      </c>
      <c r="FN536" s="2" t="n">
        <v>0</v>
      </c>
      <c r="FO536" s="2" t="n">
        <v>100</v>
      </c>
      <c r="FP536" s="2" t="n">
        <v>100</v>
      </c>
      <c r="FQ536" s="2" t="n">
        <v>0</v>
      </c>
    </row>
    <row r="537">
      <c r="A537" s="2" t="n">
        <v>3</v>
      </c>
      <c r="B537" s="2" t="inlineStr">
        <is>
          <t>22.04.02</t>
        </is>
      </c>
      <c r="C537" s="2" t="inlineStr">
        <is>
          <t>Redes Coletoras de água pluvial</t>
        </is>
      </c>
      <c r="D537" s="2" t="inlineStr">
        <is>
          <t>24/08/2026</t>
        </is>
      </c>
      <c r="E537" s="2" t="inlineStr">
        <is>
          <t>14/09/2027</t>
        </is>
      </c>
      <c r="F537" s="2" t="n">
        <v>349663.3920000001</v>
      </c>
      <c r="G537" s="2" t="n">
        <v>0</v>
      </c>
      <c r="H537" s="2" t="n">
        <v>349663.3920000001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0.9399999999999999</v>
      </c>
      <c r="CA537" s="2" t="n">
        <v>0</v>
      </c>
      <c r="CB537" s="2" t="n">
        <v>0</v>
      </c>
      <c r="CC537" s="2" t="n">
        <v>4.29</v>
      </c>
      <c r="CD537" s="2" t="n">
        <v>1.41</v>
      </c>
      <c r="CE537" s="2" t="n">
        <v>0</v>
      </c>
      <c r="CF537" s="2" t="n">
        <v>12.42</v>
      </c>
      <c r="CG537" s="2" t="n">
        <v>9.83</v>
      </c>
      <c r="CH537" s="2" t="n">
        <v>0</v>
      </c>
      <c r="CI537" s="2" t="n">
        <v>17.63</v>
      </c>
      <c r="CJ537" s="2" t="n">
        <v>14.15</v>
      </c>
      <c r="CK537" s="2" t="n">
        <v>0</v>
      </c>
      <c r="CL537" s="2" t="n">
        <v>25.01</v>
      </c>
      <c r="CM537" s="2" t="n">
        <v>22.84</v>
      </c>
      <c r="CN537" s="2" t="n">
        <v>0</v>
      </c>
      <c r="CO537" s="2" t="n">
        <v>25.01</v>
      </c>
      <c r="CP537" s="2" t="n">
        <v>25.01</v>
      </c>
      <c r="CQ537" s="2" t="n">
        <v>0</v>
      </c>
      <c r="CR537" s="2" t="n">
        <v>28.92</v>
      </c>
      <c r="CS537" s="2" t="n">
        <v>28.92</v>
      </c>
      <c r="CT537" s="2" t="n">
        <v>0</v>
      </c>
      <c r="CU537" s="2" t="n">
        <v>35.68</v>
      </c>
      <c r="CV537" s="2" t="n">
        <v>35.68</v>
      </c>
      <c r="CW537" s="2" t="n">
        <v>0</v>
      </c>
      <c r="CX537" s="2" t="n">
        <v>45.06</v>
      </c>
      <c r="CY537" s="2" t="n">
        <v>45.06</v>
      </c>
      <c r="CZ537" s="2" t="n">
        <v>0</v>
      </c>
      <c r="DA537" s="2" t="n">
        <v>54.62</v>
      </c>
      <c r="DB537" s="2" t="n">
        <v>54.62</v>
      </c>
      <c r="DC537" s="2" t="n">
        <v>0</v>
      </c>
      <c r="DD537" s="2" t="n">
        <v>65.43000000000001</v>
      </c>
      <c r="DE537" s="2" t="n">
        <v>65.43000000000001</v>
      </c>
      <c r="DF537" s="2" t="n">
        <v>0</v>
      </c>
      <c r="DG537" s="2" t="n">
        <v>73.08</v>
      </c>
      <c r="DH537" s="2" t="n">
        <v>73.08</v>
      </c>
      <c r="DI537" s="2" t="n">
        <v>0</v>
      </c>
      <c r="DJ537" s="2" t="n">
        <v>86.09999999999999</v>
      </c>
      <c r="DK537" s="2" t="n">
        <v>86.09999999999999</v>
      </c>
      <c r="DL537" s="2" t="n">
        <v>0</v>
      </c>
      <c r="DM537" s="2" t="n">
        <v>96.09</v>
      </c>
      <c r="DN537" s="2" t="n">
        <v>96.09</v>
      </c>
      <c r="DO537" s="2" t="n">
        <v>0</v>
      </c>
      <c r="DP537" s="2" t="n">
        <v>100</v>
      </c>
      <c r="DQ537" s="2" t="n">
        <v>100</v>
      </c>
      <c r="DR537" s="2" t="n">
        <v>0</v>
      </c>
      <c r="DS537" s="2" t="n">
        <v>100</v>
      </c>
      <c r="DT537" s="2" t="n">
        <v>100</v>
      </c>
      <c r="DU537" s="2" t="n">
        <v>0</v>
      </c>
      <c r="DV537" s="2" t="n">
        <v>100</v>
      </c>
      <c r="DW537" s="2" t="n">
        <v>100</v>
      </c>
      <c r="DX537" s="2" t="n">
        <v>0</v>
      </c>
      <c r="DY537" s="2" t="n">
        <v>100</v>
      </c>
      <c r="DZ537" s="2" t="n">
        <v>100</v>
      </c>
      <c r="EA537" s="2" t="n">
        <v>0</v>
      </c>
      <c r="EB537" s="2" t="n">
        <v>100</v>
      </c>
      <c r="EC537" s="2" t="n">
        <v>100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  <c r="ET537" s="2" t="n">
        <v>100</v>
      </c>
      <c r="EU537" s="2" t="n">
        <v>100</v>
      </c>
      <c r="EV537" s="2" t="n">
        <v>0</v>
      </c>
      <c r="EW537" s="2" t="n">
        <v>100</v>
      </c>
      <c r="EX537" s="2" t="n">
        <v>100</v>
      </c>
      <c r="EY537" s="2" t="n">
        <v>0</v>
      </c>
      <c r="EZ537" s="2" t="n">
        <v>100</v>
      </c>
      <c r="FA537" s="2" t="n">
        <v>100</v>
      </c>
      <c r="FB537" s="2" t="n">
        <v>0</v>
      </c>
      <c r="FC537" s="2" t="n">
        <v>100</v>
      </c>
      <c r="FD537" s="2" t="n">
        <v>100</v>
      </c>
      <c r="FE537" s="2" t="n">
        <v>0</v>
      </c>
      <c r="FF537" s="2" t="n">
        <v>100</v>
      </c>
      <c r="FG537" s="2" t="n">
        <v>100</v>
      </c>
      <c r="FH537" s="2" t="n">
        <v>0</v>
      </c>
      <c r="FI537" s="2" t="n">
        <v>100</v>
      </c>
      <c r="FJ537" s="2" t="n">
        <v>100</v>
      </c>
      <c r="FK537" s="2" t="n">
        <v>0</v>
      </c>
      <c r="FL537" s="2" t="n">
        <v>100</v>
      </c>
      <c r="FM537" s="2" t="n">
        <v>100</v>
      </c>
      <c r="FN537" s="2" t="n">
        <v>0</v>
      </c>
      <c r="FO537" s="2" t="n">
        <v>100</v>
      </c>
      <c r="FP537" s="2" t="n">
        <v>100</v>
      </c>
      <c r="FQ537" s="2" t="n">
        <v>0</v>
      </c>
    </row>
    <row r="538">
      <c r="A538" s="2" t="n">
        <v>3</v>
      </c>
      <c r="B538" s="2" t="inlineStr">
        <is>
          <t>22.04.03</t>
        </is>
      </c>
      <c r="C538" s="2" t="inlineStr">
        <is>
          <t>Caixas de passagem</t>
        </is>
      </c>
      <c r="D538" s="2" t="inlineStr">
        <is>
          <t>24/08/2026</t>
        </is>
      </c>
      <c r="E538" s="2" t="inlineStr">
        <is>
          <t>14/09/2027</t>
        </is>
      </c>
      <c r="F538" s="2" t="n">
        <v>233108.928</v>
      </c>
      <c r="G538" s="2" t="n">
        <v>0</v>
      </c>
      <c r="H538" s="2" t="n">
        <v>233108.928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0.9399999999999999</v>
      </c>
      <c r="CA538" s="2" t="n">
        <v>0</v>
      </c>
      <c r="CB538" s="2" t="n">
        <v>0</v>
      </c>
      <c r="CC538" s="2" t="n">
        <v>4.29</v>
      </c>
      <c r="CD538" s="2" t="n">
        <v>1.41</v>
      </c>
      <c r="CE538" s="2" t="n">
        <v>0</v>
      </c>
      <c r="CF538" s="2" t="n">
        <v>12.42</v>
      </c>
      <c r="CG538" s="2" t="n">
        <v>9.83</v>
      </c>
      <c r="CH538" s="2" t="n">
        <v>0</v>
      </c>
      <c r="CI538" s="2" t="n">
        <v>17.63</v>
      </c>
      <c r="CJ538" s="2" t="n">
        <v>14.15</v>
      </c>
      <c r="CK538" s="2" t="n">
        <v>0</v>
      </c>
      <c r="CL538" s="2" t="n">
        <v>25.01</v>
      </c>
      <c r="CM538" s="2" t="n">
        <v>22.84</v>
      </c>
      <c r="CN538" s="2" t="n">
        <v>0</v>
      </c>
      <c r="CO538" s="2" t="n">
        <v>25.01</v>
      </c>
      <c r="CP538" s="2" t="n">
        <v>25.01</v>
      </c>
      <c r="CQ538" s="2" t="n">
        <v>0</v>
      </c>
      <c r="CR538" s="2" t="n">
        <v>28.92</v>
      </c>
      <c r="CS538" s="2" t="n">
        <v>28.92</v>
      </c>
      <c r="CT538" s="2" t="n">
        <v>0</v>
      </c>
      <c r="CU538" s="2" t="n">
        <v>35.68</v>
      </c>
      <c r="CV538" s="2" t="n">
        <v>35.68</v>
      </c>
      <c r="CW538" s="2" t="n">
        <v>0</v>
      </c>
      <c r="CX538" s="2" t="n">
        <v>45.06</v>
      </c>
      <c r="CY538" s="2" t="n">
        <v>45.06</v>
      </c>
      <c r="CZ538" s="2" t="n">
        <v>0</v>
      </c>
      <c r="DA538" s="2" t="n">
        <v>54.62</v>
      </c>
      <c r="DB538" s="2" t="n">
        <v>54.62</v>
      </c>
      <c r="DC538" s="2" t="n">
        <v>0</v>
      </c>
      <c r="DD538" s="2" t="n">
        <v>65.43000000000001</v>
      </c>
      <c r="DE538" s="2" t="n">
        <v>65.43000000000001</v>
      </c>
      <c r="DF538" s="2" t="n">
        <v>0</v>
      </c>
      <c r="DG538" s="2" t="n">
        <v>73.08</v>
      </c>
      <c r="DH538" s="2" t="n">
        <v>73.08</v>
      </c>
      <c r="DI538" s="2" t="n">
        <v>0</v>
      </c>
      <c r="DJ538" s="2" t="n">
        <v>86.09999999999999</v>
      </c>
      <c r="DK538" s="2" t="n">
        <v>86.09999999999999</v>
      </c>
      <c r="DL538" s="2" t="n">
        <v>0</v>
      </c>
      <c r="DM538" s="2" t="n">
        <v>96.09</v>
      </c>
      <c r="DN538" s="2" t="n">
        <v>96.09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  <c r="ET538" s="2" t="n">
        <v>100</v>
      </c>
      <c r="EU538" s="2" t="n">
        <v>100</v>
      </c>
      <c r="EV538" s="2" t="n">
        <v>0</v>
      </c>
      <c r="EW538" s="2" t="n">
        <v>100</v>
      </c>
      <c r="EX538" s="2" t="n">
        <v>100</v>
      </c>
      <c r="EY538" s="2" t="n">
        <v>0</v>
      </c>
      <c r="EZ538" s="2" t="n">
        <v>100</v>
      </c>
      <c r="FA538" s="2" t="n">
        <v>100</v>
      </c>
      <c r="FB538" s="2" t="n">
        <v>0</v>
      </c>
      <c r="FC538" s="2" t="n">
        <v>100</v>
      </c>
      <c r="FD538" s="2" t="n">
        <v>100</v>
      </c>
      <c r="FE538" s="2" t="n">
        <v>0</v>
      </c>
      <c r="FF538" s="2" t="n">
        <v>100</v>
      </c>
      <c r="FG538" s="2" t="n">
        <v>100</v>
      </c>
      <c r="FH538" s="2" t="n">
        <v>0</v>
      </c>
      <c r="FI538" s="2" t="n">
        <v>100</v>
      </c>
      <c r="FJ538" s="2" t="n">
        <v>100</v>
      </c>
      <c r="FK538" s="2" t="n">
        <v>0</v>
      </c>
      <c r="FL538" s="2" t="n">
        <v>100</v>
      </c>
      <c r="FM538" s="2" t="n">
        <v>100</v>
      </c>
      <c r="FN538" s="2" t="n">
        <v>0</v>
      </c>
      <c r="FO538" s="2" t="n">
        <v>100</v>
      </c>
      <c r="FP538" s="2" t="n">
        <v>100</v>
      </c>
      <c r="FQ538" s="2" t="n">
        <v>0</v>
      </c>
    </row>
    <row r="539">
      <c r="A539" s="2" t="n">
        <v>1</v>
      </c>
      <c r="B539" s="2" t="inlineStr">
        <is>
          <t>23</t>
        </is>
      </c>
      <c r="C539" s="2" t="inlineStr">
        <is>
          <t>INSTALAÇÕES COMBATE INCÊNDIO</t>
        </is>
      </c>
      <c r="D539" s="2" t="inlineStr">
        <is>
          <t>21/09/2026</t>
        </is>
      </c>
      <c r="E539" s="2" t="inlineStr">
        <is>
          <t>06/02/2029</t>
        </is>
      </c>
      <c r="F539" s="2" t="n">
        <v>647524.8</v>
      </c>
      <c r="G539" s="2" t="n">
        <v>0</v>
      </c>
      <c r="H539" s="2" t="n">
        <v>647524.8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0.47</v>
      </c>
      <c r="CA539" s="2" t="n">
        <v>0</v>
      </c>
      <c r="CB539" s="2" t="n">
        <v>0</v>
      </c>
      <c r="CC539" s="2" t="n">
        <v>4.7</v>
      </c>
      <c r="CD539" s="2" t="n">
        <v>0</v>
      </c>
      <c r="CE539" s="2" t="n">
        <v>0</v>
      </c>
      <c r="CF539" s="2" t="n">
        <v>9.199999999999999</v>
      </c>
      <c r="CG539" s="2" t="n">
        <v>2.34</v>
      </c>
      <c r="CH539" s="2" t="n">
        <v>0</v>
      </c>
      <c r="CI539" s="2" t="n">
        <v>14.45</v>
      </c>
      <c r="CJ539" s="2" t="n">
        <v>11.82</v>
      </c>
      <c r="CK539" s="2" t="n">
        <v>0</v>
      </c>
      <c r="CL539" s="2" t="n">
        <v>14.45</v>
      </c>
      <c r="CM539" s="2" t="n">
        <v>14.45</v>
      </c>
      <c r="CN539" s="2" t="n">
        <v>0</v>
      </c>
      <c r="CO539" s="2" t="n">
        <v>17.08</v>
      </c>
      <c r="CP539" s="2" t="n">
        <v>17.08</v>
      </c>
      <c r="CQ539" s="2" t="n">
        <v>0</v>
      </c>
      <c r="CR539" s="2" t="n">
        <v>20.92</v>
      </c>
      <c r="CS539" s="2" t="n">
        <v>20.92</v>
      </c>
      <c r="CT539" s="2" t="n">
        <v>0</v>
      </c>
      <c r="CU539" s="2" t="n">
        <v>27.93</v>
      </c>
      <c r="CV539" s="2" t="n">
        <v>27.93</v>
      </c>
      <c r="CW539" s="2" t="n">
        <v>0</v>
      </c>
      <c r="CX539" s="2" t="n">
        <v>32.31</v>
      </c>
      <c r="CY539" s="2" t="n">
        <v>32.31</v>
      </c>
      <c r="CZ539" s="2" t="n">
        <v>0</v>
      </c>
      <c r="DA539" s="2" t="n">
        <v>39.61</v>
      </c>
      <c r="DB539" s="2" t="n">
        <v>40.2</v>
      </c>
      <c r="DC539" s="2" t="n">
        <v>0</v>
      </c>
      <c r="DD539" s="2" t="n">
        <v>46.47</v>
      </c>
      <c r="DE539" s="2" t="n">
        <v>46.47</v>
      </c>
      <c r="DF539" s="2" t="n">
        <v>0</v>
      </c>
      <c r="DG539" s="2" t="n">
        <v>56.44</v>
      </c>
      <c r="DH539" s="2" t="n">
        <v>56.44</v>
      </c>
      <c r="DI539" s="2" t="n">
        <v>0</v>
      </c>
      <c r="DJ539" s="2" t="n">
        <v>64.73</v>
      </c>
      <c r="DK539" s="2" t="n">
        <v>64.73</v>
      </c>
      <c r="DL539" s="2" t="n">
        <v>0</v>
      </c>
      <c r="DM539" s="2" t="n">
        <v>72.63</v>
      </c>
      <c r="DN539" s="2" t="n">
        <v>71.64</v>
      </c>
      <c r="DO539" s="2" t="n">
        <v>0</v>
      </c>
      <c r="DP539" s="2" t="n">
        <v>75.29000000000001</v>
      </c>
      <c r="DQ539" s="2" t="n">
        <v>73.66</v>
      </c>
      <c r="DR539" s="2" t="n">
        <v>0</v>
      </c>
      <c r="DS539" s="2" t="n">
        <v>76.63</v>
      </c>
      <c r="DT539" s="2" t="n">
        <v>74.47</v>
      </c>
      <c r="DU539" s="2" t="n">
        <v>0</v>
      </c>
      <c r="DV539" s="2" t="n">
        <v>78.16</v>
      </c>
      <c r="DW539" s="2" t="n">
        <v>76.54000000000001</v>
      </c>
      <c r="DX539" s="2" t="n">
        <v>0</v>
      </c>
      <c r="DY539" s="2" t="n">
        <v>79.34999999999999</v>
      </c>
      <c r="DZ539" s="2" t="n">
        <v>76.75</v>
      </c>
      <c r="EA539" s="2" t="n">
        <v>0</v>
      </c>
      <c r="EB539" s="2" t="n">
        <v>84.87</v>
      </c>
      <c r="EC539" s="2" t="n">
        <v>80.59999999999999</v>
      </c>
      <c r="ED539" s="2" t="n">
        <v>0</v>
      </c>
      <c r="EE539" s="2" t="n">
        <v>87.70999999999999</v>
      </c>
      <c r="EF539" s="2" t="n">
        <v>83.65000000000001</v>
      </c>
      <c r="EG539" s="2" t="n">
        <v>0</v>
      </c>
      <c r="EH539" s="2" t="n">
        <v>90.73</v>
      </c>
      <c r="EI539" s="2" t="n">
        <v>85.33</v>
      </c>
      <c r="EJ539" s="2" t="n">
        <v>0</v>
      </c>
      <c r="EK539" s="2" t="n">
        <v>92.44</v>
      </c>
      <c r="EL539" s="2" t="n">
        <v>86.39</v>
      </c>
      <c r="EM539" s="2" t="n">
        <v>0</v>
      </c>
      <c r="EN539" s="2" t="n">
        <v>95.15000000000001</v>
      </c>
      <c r="EO539" s="2" t="n">
        <v>87.44</v>
      </c>
      <c r="EP539" s="2" t="n">
        <v>0</v>
      </c>
      <c r="EQ539" s="2" t="n">
        <v>97.33</v>
      </c>
      <c r="ER539" s="2" t="n">
        <v>89.94</v>
      </c>
      <c r="ES539" s="2" t="n">
        <v>0</v>
      </c>
      <c r="ET539" s="2" t="n">
        <v>99.27</v>
      </c>
      <c r="EU539" s="2" t="n">
        <v>92.31999999999999</v>
      </c>
      <c r="EV539" s="2" t="n">
        <v>0</v>
      </c>
      <c r="EW539" s="2" t="n">
        <v>100</v>
      </c>
      <c r="EX539" s="2" t="n">
        <v>93.54000000000001</v>
      </c>
      <c r="EY539" s="2" t="n">
        <v>0</v>
      </c>
      <c r="EZ539" s="2" t="n">
        <v>100</v>
      </c>
      <c r="FA539" s="2" t="n">
        <v>94.59</v>
      </c>
      <c r="FB539" s="2" t="n">
        <v>0</v>
      </c>
      <c r="FC539" s="2" t="n">
        <v>100</v>
      </c>
      <c r="FD539" s="2" t="n">
        <v>95.89</v>
      </c>
      <c r="FE539" s="2" t="n">
        <v>0</v>
      </c>
      <c r="FF539" s="2" t="n">
        <v>100</v>
      </c>
      <c r="FG539" s="2" t="n">
        <v>96.79000000000001</v>
      </c>
      <c r="FH539" s="2" t="n">
        <v>0</v>
      </c>
      <c r="FI539" s="2" t="n">
        <v>100</v>
      </c>
      <c r="FJ539" s="2" t="n">
        <v>97.92</v>
      </c>
      <c r="FK539" s="2" t="n">
        <v>0</v>
      </c>
      <c r="FL539" s="2" t="n">
        <v>100</v>
      </c>
      <c r="FM539" s="2" t="n">
        <v>99.75</v>
      </c>
      <c r="FN539" s="2" t="n">
        <v>0</v>
      </c>
      <c r="FO539" s="2" t="n">
        <v>100</v>
      </c>
      <c r="FP539" s="2" t="n">
        <v>100</v>
      </c>
      <c r="FQ539" s="2" t="n">
        <v>0</v>
      </c>
    </row>
    <row r="540">
      <c r="A540" s="2" t="n">
        <v>2</v>
      </c>
      <c r="B540" s="2" t="inlineStr">
        <is>
          <t>23.01</t>
        </is>
      </c>
      <c r="C540" s="2" t="inlineStr">
        <is>
          <t>Combate à Incêndio e Sinalização</t>
        </is>
      </c>
      <c r="D540" s="2" t="inlineStr">
        <is>
          <t>21/09/2026</t>
        </is>
      </c>
      <c r="E540" s="2" t="inlineStr">
        <is>
          <t>06/02/2029</t>
        </is>
      </c>
      <c r="F540" s="2" t="n">
        <v>647524.8</v>
      </c>
      <c r="G540" s="2" t="n">
        <v>0</v>
      </c>
      <c r="H540" s="2" t="n">
        <v>647524.8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0.47</v>
      </c>
      <c r="CA540" s="2" t="n">
        <v>0</v>
      </c>
      <c r="CB540" s="2" t="n">
        <v>0</v>
      </c>
      <c r="CC540" s="2" t="n">
        <v>4.7</v>
      </c>
      <c r="CD540" s="2" t="n">
        <v>0</v>
      </c>
      <c r="CE540" s="2" t="n">
        <v>0</v>
      </c>
      <c r="CF540" s="2" t="n">
        <v>9.199999999999999</v>
      </c>
      <c r="CG540" s="2" t="n">
        <v>2.34</v>
      </c>
      <c r="CH540" s="2" t="n">
        <v>0</v>
      </c>
      <c r="CI540" s="2" t="n">
        <v>14.45</v>
      </c>
      <c r="CJ540" s="2" t="n">
        <v>11.82</v>
      </c>
      <c r="CK540" s="2" t="n">
        <v>0</v>
      </c>
      <c r="CL540" s="2" t="n">
        <v>14.45</v>
      </c>
      <c r="CM540" s="2" t="n">
        <v>14.45</v>
      </c>
      <c r="CN540" s="2" t="n">
        <v>0</v>
      </c>
      <c r="CO540" s="2" t="n">
        <v>17.08</v>
      </c>
      <c r="CP540" s="2" t="n">
        <v>17.08</v>
      </c>
      <c r="CQ540" s="2" t="n">
        <v>0</v>
      </c>
      <c r="CR540" s="2" t="n">
        <v>20.92</v>
      </c>
      <c r="CS540" s="2" t="n">
        <v>20.92</v>
      </c>
      <c r="CT540" s="2" t="n">
        <v>0</v>
      </c>
      <c r="CU540" s="2" t="n">
        <v>27.93</v>
      </c>
      <c r="CV540" s="2" t="n">
        <v>27.93</v>
      </c>
      <c r="CW540" s="2" t="n">
        <v>0</v>
      </c>
      <c r="CX540" s="2" t="n">
        <v>32.31</v>
      </c>
      <c r="CY540" s="2" t="n">
        <v>32.31</v>
      </c>
      <c r="CZ540" s="2" t="n">
        <v>0</v>
      </c>
      <c r="DA540" s="2" t="n">
        <v>39.61</v>
      </c>
      <c r="DB540" s="2" t="n">
        <v>40.2</v>
      </c>
      <c r="DC540" s="2" t="n">
        <v>0</v>
      </c>
      <c r="DD540" s="2" t="n">
        <v>46.47</v>
      </c>
      <c r="DE540" s="2" t="n">
        <v>46.47</v>
      </c>
      <c r="DF540" s="2" t="n">
        <v>0</v>
      </c>
      <c r="DG540" s="2" t="n">
        <v>56.44</v>
      </c>
      <c r="DH540" s="2" t="n">
        <v>56.44</v>
      </c>
      <c r="DI540" s="2" t="n">
        <v>0</v>
      </c>
      <c r="DJ540" s="2" t="n">
        <v>64.73</v>
      </c>
      <c r="DK540" s="2" t="n">
        <v>64.73</v>
      </c>
      <c r="DL540" s="2" t="n">
        <v>0</v>
      </c>
      <c r="DM540" s="2" t="n">
        <v>72.63</v>
      </c>
      <c r="DN540" s="2" t="n">
        <v>71.64</v>
      </c>
      <c r="DO540" s="2" t="n">
        <v>0</v>
      </c>
      <c r="DP540" s="2" t="n">
        <v>75.29000000000001</v>
      </c>
      <c r="DQ540" s="2" t="n">
        <v>73.66</v>
      </c>
      <c r="DR540" s="2" t="n">
        <v>0</v>
      </c>
      <c r="DS540" s="2" t="n">
        <v>76.63</v>
      </c>
      <c r="DT540" s="2" t="n">
        <v>74.47</v>
      </c>
      <c r="DU540" s="2" t="n">
        <v>0</v>
      </c>
      <c r="DV540" s="2" t="n">
        <v>78.16</v>
      </c>
      <c r="DW540" s="2" t="n">
        <v>76.54000000000001</v>
      </c>
      <c r="DX540" s="2" t="n">
        <v>0</v>
      </c>
      <c r="DY540" s="2" t="n">
        <v>79.34999999999999</v>
      </c>
      <c r="DZ540" s="2" t="n">
        <v>76.75</v>
      </c>
      <c r="EA540" s="2" t="n">
        <v>0</v>
      </c>
      <c r="EB540" s="2" t="n">
        <v>84.87</v>
      </c>
      <c r="EC540" s="2" t="n">
        <v>80.59999999999999</v>
      </c>
      <c r="ED540" s="2" t="n">
        <v>0</v>
      </c>
      <c r="EE540" s="2" t="n">
        <v>87.70999999999999</v>
      </c>
      <c r="EF540" s="2" t="n">
        <v>83.65000000000001</v>
      </c>
      <c r="EG540" s="2" t="n">
        <v>0</v>
      </c>
      <c r="EH540" s="2" t="n">
        <v>90.73</v>
      </c>
      <c r="EI540" s="2" t="n">
        <v>85.33</v>
      </c>
      <c r="EJ540" s="2" t="n">
        <v>0</v>
      </c>
      <c r="EK540" s="2" t="n">
        <v>92.44</v>
      </c>
      <c r="EL540" s="2" t="n">
        <v>86.39</v>
      </c>
      <c r="EM540" s="2" t="n">
        <v>0</v>
      </c>
      <c r="EN540" s="2" t="n">
        <v>95.15000000000001</v>
      </c>
      <c r="EO540" s="2" t="n">
        <v>87.44</v>
      </c>
      <c r="EP540" s="2" t="n">
        <v>0</v>
      </c>
      <c r="EQ540" s="2" t="n">
        <v>97.33</v>
      </c>
      <c r="ER540" s="2" t="n">
        <v>89.94</v>
      </c>
      <c r="ES540" s="2" t="n">
        <v>0</v>
      </c>
      <c r="ET540" s="2" t="n">
        <v>99.27</v>
      </c>
      <c r="EU540" s="2" t="n">
        <v>92.31999999999999</v>
      </c>
      <c r="EV540" s="2" t="n">
        <v>0</v>
      </c>
      <c r="EW540" s="2" t="n">
        <v>100</v>
      </c>
      <c r="EX540" s="2" t="n">
        <v>93.54000000000001</v>
      </c>
      <c r="EY540" s="2" t="n">
        <v>0</v>
      </c>
      <c r="EZ540" s="2" t="n">
        <v>100</v>
      </c>
      <c r="FA540" s="2" t="n">
        <v>94.59</v>
      </c>
      <c r="FB540" s="2" t="n">
        <v>0</v>
      </c>
      <c r="FC540" s="2" t="n">
        <v>100</v>
      </c>
      <c r="FD540" s="2" t="n">
        <v>95.89</v>
      </c>
      <c r="FE540" s="2" t="n">
        <v>0</v>
      </c>
      <c r="FF540" s="2" t="n">
        <v>100</v>
      </c>
      <c r="FG540" s="2" t="n">
        <v>96.79000000000001</v>
      </c>
      <c r="FH540" s="2" t="n">
        <v>0</v>
      </c>
      <c r="FI540" s="2" t="n">
        <v>100</v>
      </c>
      <c r="FJ540" s="2" t="n">
        <v>97.92</v>
      </c>
      <c r="FK540" s="2" t="n">
        <v>0</v>
      </c>
      <c r="FL540" s="2" t="n">
        <v>100</v>
      </c>
      <c r="FM540" s="2" t="n">
        <v>99.75</v>
      </c>
      <c r="FN540" s="2" t="n">
        <v>0</v>
      </c>
      <c r="FO540" s="2" t="n">
        <v>100</v>
      </c>
      <c r="FP540" s="2" t="n">
        <v>100</v>
      </c>
      <c r="FQ540" s="2" t="n">
        <v>0</v>
      </c>
    </row>
    <row r="541">
      <c r="A541" s="2" t="n">
        <v>3</v>
      </c>
      <c r="B541" s="2" t="inlineStr">
        <is>
          <t>23.01.01</t>
        </is>
      </c>
      <c r="C541" s="2" t="inlineStr">
        <is>
          <t>Prumadas de incendio</t>
        </is>
      </c>
      <c r="D541" s="2" t="inlineStr">
        <is>
          <t>21/09/2026</t>
        </is>
      </c>
      <c r="E541" s="2" t="inlineStr">
        <is>
          <t>17/09/2027</t>
        </is>
      </c>
      <c r="F541" s="2" t="n">
        <v>194257.44</v>
      </c>
      <c r="G541" s="2" t="n">
        <v>0</v>
      </c>
      <c r="H541" s="2" t="n">
        <v>194257.44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0.67</v>
      </c>
      <c r="CA541" s="2" t="n">
        <v>0</v>
      </c>
      <c r="CB541" s="2" t="n">
        <v>0</v>
      </c>
      <c r="CC541" s="2" t="n">
        <v>6.71</v>
      </c>
      <c r="CD541" s="2" t="n">
        <v>0</v>
      </c>
      <c r="CE541" s="2" t="n">
        <v>0</v>
      </c>
      <c r="CF541" s="2" t="n">
        <v>13.14</v>
      </c>
      <c r="CG541" s="2" t="n">
        <v>3.34</v>
      </c>
      <c r="CH541" s="2" t="n">
        <v>0</v>
      </c>
      <c r="CI541" s="2" t="n">
        <v>20.64</v>
      </c>
      <c r="CJ541" s="2" t="n">
        <v>16.89</v>
      </c>
      <c r="CK541" s="2" t="n">
        <v>0</v>
      </c>
      <c r="CL541" s="2" t="n">
        <v>20.64</v>
      </c>
      <c r="CM541" s="2" t="n">
        <v>20.64</v>
      </c>
      <c r="CN541" s="2" t="n">
        <v>0</v>
      </c>
      <c r="CO541" s="2" t="n">
        <v>24.4</v>
      </c>
      <c r="CP541" s="2" t="n">
        <v>24.4</v>
      </c>
      <c r="CQ541" s="2" t="n">
        <v>0</v>
      </c>
      <c r="CR541" s="2" t="n">
        <v>29.89</v>
      </c>
      <c r="CS541" s="2" t="n">
        <v>29.89</v>
      </c>
      <c r="CT541" s="2" t="n">
        <v>0</v>
      </c>
      <c r="CU541" s="2" t="n">
        <v>39.91</v>
      </c>
      <c r="CV541" s="2" t="n">
        <v>39.91</v>
      </c>
      <c r="CW541" s="2" t="n">
        <v>0</v>
      </c>
      <c r="CX541" s="2" t="n">
        <v>46.16</v>
      </c>
      <c r="CY541" s="2" t="n">
        <v>46.16</v>
      </c>
      <c r="CZ541" s="2" t="n">
        <v>0</v>
      </c>
      <c r="DA541" s="2" t="n">
        <v>56.59</v>
      </c>
      <c r="DB541" s="2" t="n">
        <v>57.42</v>
      </c>
      <c r="DC541" s="2" t="n">
        <v>0</v>
      </c>
      <c r="DD541" s="2" t="n">
        <v>66.39</v>
      </c>
      <c r="DE541" s="2" t="n">
        <v>66.39</v>
      </c>
      <c r="DF541" s="2" t="n">
        <v>0</v>
      </c>
      <c r="DG541" s="2" t="n">
        <v>75.98</v>
      </c>
      <c r="DH541" s="2" t="n">
        <v>75.98</v>
      </c>
      <c r="DI541" s="2" t="n">
        <v>0</v>
      </c>
      <c r="DJ541" s="2" t="n">
        <v>87.23999999999999</v>
      </c>
      <c r="DK541" s="2" t="n">
        <v>87.23999999999999</v>
      </c>
      <c r="DL541" s="2" t="n">
        <v>0</v>
      </c>
      <c r="DM541" s="2" t="n">
        <v>97.11</v>
      </c>
      <c r="DN541" s="2" t="n">
        <v>97.11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  <c r="ET541" s="2" t="n">
        <v>100</v>
      </c>
      <c r="EU541" s="2" t="n">
        <v>100</v>
      </c>
      <c r="EV541" s="2" t="n">
        <v>0</v>
      </c>
      <c r="EW541" s="2" t="n">
        <v>100</v>
      </c>
      <c r="EX541" s="2" t="n">
        <v>100</v>
      </c>
      <c r="EY541" s="2" t="n">
        <v>0</v>
      </c>
      <c r="EZ541" s="2" t="n">
        <v>100</v>
      </c>
      <c r="FA541" s="2" t="n">
        <v>100</v>
      </c>
      <c r="FB541" s="2" t="n">
        <v>0</v>
      </c>
      <c r="FC541" s="2" t="n">
        <v>100</v>
      </c>
      <c r="FD541" s="2" t="n">
        <v>100</v>
      </c>
      <c r="FE541" s="2" t="n">
        <v>0</v>
      </c>
      <c r="FF541" s="2" t="n">
        <v>100</v>
      </c>
      <c r="FG541" s="2" t="n">
        <v>100</v>
      </c>
      <c r="FH541" s="2" t="n">
        <v>0</v>
      </c>
      <c r="FI541" s="2" t="n">
        <v>100</v>
      </c>
      <c r="FJ541" s="2" t="n">
        <v>100</v>
      </c>
      <c r="FK541" s="2" t="n">
        <v>0</v>
      </c>
      <c r="FL541" s="2" t="n">
        <v>100</v>
      </c>
      <c r="FM541" s="2" t="n">
        <v>100</v>
      </c>
      <c r="FN541" s="2" t="n">
        <v>0</v>
      </c>
      <c r="FO541" s="2" t="n">
        <v>100</v>
      </c>
      <c r="FP541" s="2" t="n">
        <v>100</v>
      </c>
      <c r="FQ541" s="2" t="n">
        <v>0</v>
      </c>
    </row>
    <row r="542">
      <c r="A542" s="2" t="n">
        <v>3</v>
      </c>
      <c r="B542" s="2" t="inlineStr">
        <is>
          <t>23.01.02</t>
        </is>
      </c>
      <c r="C542" s="2" t="inlineStr">
        <is>
          <t>Distribuição</t>
        </is>
      </c>
      <c r="D542" s="2" t="inlineStr">
        <is>
          <t>21/09/2026</t>
        </is>
      </c>
      <c r="E542" s="2" t="inlineStr">
        <is>
          <t>17/09/2027</t>
        </is>
      </c>
      <c r="F542" s="2" t="n">
        <v>259009.9200000001</v>
      </c>
      <c r="G542" s="2" t="n">
        <v>0</v>
      </c>
      <c r="H542" s="2" t="n">
        <v>259009.9200000001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0.67</v>
      </c>
      <c r="CA542" s="2" t="n">
        <v>0</v>
      </c>
      <c r="CB542" s="2" t="n">
        <v>0</v>
      </c>
      <c r="CC542" s="2" t="n">
        <v>6.71</v>
      </c>
      <c r="CD542" s="2" t="n">
        <v>0</v>
      </c>
      <c r="CE542" s="2" t="n">
        <v>0</v>
      </c>
      <c r="CF542" s="2" t="n">
        <v>13.14</v>
      </c>
      <c r="CG542" s="2" t="n">
        <v>3.34</v>
      </c>
      <c r="CH542" s="2" t="n">
        <v>0</v>
      </c>
      <c r="CI542" s="2" t="n">
        <v>20.64</v>
      </c>
      <c r="CJ542" s="2" t="n">
        <v>16.89</v>
      </c>
      <c r="CK542" s="2" t="n">
        <v>0</v>
      </c>
      <c r="CL542" s="2" t="n">
        <v>20.64</v>
      </c>
      <c r="CM542" s="2" t="n">
        <v>20.64</v>
      </c>
      <c r="CN542" s="2" t="n">
        <v>0</v>
      </c>
      <c r="CO542" s="2" t="n">
        <v>24.4</v>
      </c>
      <c r="CP542" s="2" t="n">
        <v>24.4</v>
      </c>
      <c r="CQ542" s="2" t="n">
        <v>0</v>
      </c>
      <c r="CR542" s="2" t="n">
        <v>29.89</v>
      </c>
      <c r="CS542" s="2" t="n">
        <v>29.89</v>
      </c>
      <c r="CT542" s="2" t="n">
        <v>0</v>
      </c>
      <c r="CU542" s="2" t="n">
        <v>39.91</v>
      </c>
      <c r="CV542" s="2" t="n">
        <v>39.91</v>
      </c>
      <c r="CW542" s="2" t="n">
        <v>0</v>
      </c>
      <c r="CX542" s="2" t="n">
        <v>46.16</v>
      </c>
      <c r="CY542" s="2" t="n">
        <v>46.16</v>
      </c>
      <c r="CZ542" s="2" t="n">
        <v>0</v>
      </c>
      <c r="DA542" s="2" t="n">
        <v>56.59</v>
      </c>
      <c r="DB542" s="2" t="n">
        <v>57.42</v>
      </c>
      <c r="DC542" s="2" t="n">
        <v>0</v>
      </c>
      <c r="DD542" s="2" t="n">
        <v>66.39</v>
      </c>
      <c r="DE542" s="2" t="n">
        <v>66.39</v>
      </c>
      <c r="DF542" s="2" t="n">
        <v>0</v>
      </c>
      <c r="DG542" s="2" t="n">
        <v>75.98</v>
      </c>
      <c r="DH542" s="2" t="n">
        <v>75.98</v>
      </c>
      <c r="DI542" s="2" t="n">
        <v>0</v>
      </c>
      <c r="DJ542" s="2" t="n">
        <v>87.23999999999999</v>
      </c>
      <c r="DK542" s="2" t="n">
        <v>87.23999999999999</v>
      </c>
      <c r="DL542" s="2" t="n">
        <v>0</v>
      </c>
      <c r="DM542" s="2" t="n">
        <v>97.11</v>
      </c>
      <c r="DN542" s="2" t="n">
        <v>97.11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  <c r="ET542" s="2" t="n">
        <v>100</v>
      </c>
      <c r="EU542" s="2" t="n">
        <v>100</v>
      </c>
      <c r="EV542" s="2" t="n">
        <v>0</v>
      </c>
      <c r="EW542" s="2" t="n">
        <v>100</v>
      </c>
      <c r="EX542" s="2" t="n">
        <v>100</v>
      </c>
      <c r="EY542" s="2" t="n">
        <v>0</v>
      </c>
      <c r="EZ542" s="2" t="n">
        <v>100</v>
      </c>
      <c r="FA542" s="2" t="n">
        <v>100</v>
      </c>
      <c r="FB542" s="2" t="n">
        <v>0</v>
      </c>
      <c r="FC542" s="2" t="n">
        <v>100</v>
      </c>
      <c r="FD542" s="2" t="n">
        <v>100</v>
      </c>
      <c r="FE542" s="2" t="n">
        <v>0</v>
      </c>
      <c r="FF542" s="2" t="n">
        <v>100</v>
      </c>
      <c r="FG542" s="2" t="n">
        <v>100</v>
      </c>
      <c r="FH542" s="2" t="n">
        <v>0</v>
      </c>
      <c r="FI542" s="2" t="n">
        <v>100</v>
      </c>
      <c r="FJ542" s="2" t="n">
        <v>100</v>
      </c>
      <c r="FK542" s="2" t="n">
        <v>0</v>
      </c>
      <c r="FL542" s="2" t="n">
        <v>100</v>
      </c>
      <c r="FM542" s="2" t="n">
        <v>100</v>
      </c>
      <c r="FN542" s="2" t="n">
        <v>0</v>
      </c>
      <c r="FO542" s="2" t="n">
        <v>100</v>
      </c>
      <c r="FP542" s="2" t="n">
        <v>100</v>
      </c>
      <c r="FQ542" s="2" t="n">
        <v>0</v>
      </c>
    </row>
    <row r="543">
      <c r="A543" s="2" t="n">
        <v>3</v>
      </c>
      <c r="B543" s="2" t="inlineStr">
        <is>
          <t>23.01.03</t>
        </is>
      </c>
      <c r="C543" s="2" t="inlineStr">
        <is>
          <t>Hidrantes, mangueiras, registros e caixas</t>
        </is>
      </c>
      <c r="D543" s="2" t="inlineStr">
        <is>
          <t>21/06/2027</t>
        </is>
      </c>
      <c r="E543" s="2" t="inlineStr">
        <is>
          <t>06/02/2029</t>
        </is>
      </c>
      <c r="F543" s="2" t="n">
        <v>97128.72000000002</v>
      </c>
      <c r="G543" s="2" t="n">
        <v>0</v>
      </c>
      <c r="H543" s="2" t="n">
        <v>97128.72000000002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0</v>
      </c>
      <c r="CP543" s="2" t="n">
        <v>0</v>
      </c>
      <c r="CQ543" s="2" t="n">
        <v>0</v>
      </c>
      <c r="CR543" s="2" t="n">
        <v>0</v>
      </c>
      <c r="CS543" s="2" t="n">
        <v>0</v>
      </c>
      <c r="CT543" s="2" t="n">
        <v>0</v>
      </c>
      <c r="CU543" s="2" t="n">
        <v>0</v>
      </c>
      <c r="CV543" s="2" t="n">
        <v>0</v>
      </c>
      <c r="CW543" s="2" t="n">
        <v>0</v>
      </c>
      <c r="CX543" s="2" t="n">
        <v>0</v>
      </c>
      <c r="CY543" s="2" t="n">
        <v>0</v>
      </c>
      <c r="CZ543" s="2" t="n">
        <v>0</v>
      </c>
      <c r="DA543" s="2" t="n">
        <v>0</v>
      </c>
      <c r="DB543" s="2" t="n">
        <v>0</v>
      </c>
      <c r="DC543" s="2" t="n">
        <v>0</v>
      </c>
      <c r="DD543" s="2" t="n">
        <v>0</v>
      </c>
      <c r="DE543" s="2" t="n">
        <v>0</v>
      </c>
      <c r="DF543" s="2" t="n">
        <v>0</v>
      </c>
      <c r="DG543" s="2" t="n">
        <v>10.85</v>
      </c>
      <c r="DH543" s="2" t="n">
        <v>10.85</v>
      </c>
      <c r="DI543" s="2" t="n">
        <v>0</v>
      </c>
      <c r="DJ543" s="2" t="n">
        <v>12.2</v>
      </c>
      <c r="DK543" s="2" t="n">
        <v>12.2</v>
      </c>
      <c r="DL543" s="2" t="n">
        <v>0</v>
      </c>
      <c r="DM543" s="2" t="n">
        <v>15.51</v>
      </c>
      <c r="DN543" s="2" t="n">
        <v>12.2</v>
      </c>
      <c r="DO543" s="2" t="n">
        <v>0</v>
      </c>
      <c r="DP543" s="2" t="n">
        <v>17.62</v>
      </c>
      <c r="DQ543" s="2" t="n">
        <v>12.2</v>
      </c>
      <c r="DR543" s="2" t="n">
        <v>0</v>
      </c>
      <c r="DS543" s="2" t="n">
        <v>22.1</v>
      </c>
      <c r="DT543" s="2" t="n">
        <v>14.89</v>
      </c>
      <c r="DU543" s="2" t="n">
        <v>0</v>
      </c>
      <c r="DV543" s="2" t="n">
        <v>27.22</v>
      </c>
      <c r="DW543" s="2" t="n">
        <v>21.8</v>
      </c>
      <c r="DX543" s="2" t="n">
        <v>0</v>
      </c>
      <c r="DY543" s="2" t="n">
        <v>31.18</v>
      </c>
      <c r="DZ543" s="2" t="n">
        <v>22.51</v>
      </c>
      <c r="EA543" s="2" t="n">
        <v>0</v>
      </c>
      <c r="EB543" s="2" t="n">
        <v>49.56</v>
      </c>
      <c r="EC543" s="2" t="n">
        <v>35.32</v>
      </c>
      <c r="ED543" s="2" t="n">
        <v>0</v>
      </c>
      <c r="EE543" s="2" t="n">
        <v>59.03</v>
      </c>
      <c r="EF543" s="2" t="n">
        <v>45.5</v>
      </c>
      <c r="EG543" s="2" t="n">
        <v>0</v>
      </c>
      <c r="EH543" s="2" t="n">
        <v>69.09</v>
      </c>
      <c r="EI543" s="2" t="n">
        <v>51.1</v>
      </c>
      <c r="EJ543" s="2" t="n">
        <v>0</v>
      </c>
      <c r="EK543" s="2" t="n">
        <v>74.81</v>
      </c>
      <c r="EL543" s="2" t="n">
        <v>54.62</v>
      </c>
      <c r="EM543" s="2" t="n">
        <v>0</v>
      </c>
      <c r="EN543" s="2" t="n">
        <v>83.84</v>
      </c>
      <c r="EO543" s="2" t="n">
        <v>58.14</v>
      </c>
      <c r="EP543" s="2" t="n">
        <v>0</v>
      </c>
      <c r="EQ543" s="2" t="n">
        <v>91.09999999999999</v>
      </c>
      <c r="ER543" s="2" t="n">
        <v>66.45999999999999</v>
      </c>
      <c r="ES543" s="2" t="n">
        <v>0</v>
      </c>
      <c r="ET543" s="2" t="n">
        <v>97.56</v>
      </c>
      <c r="EU543" s="2" t="n">
        <v>74.39</v>
      </c>
      <c r="EV543" s="2" t="n">
        <v>0</v>
      </c>
      <c r="EW543" s="2" t="n">
        <v>100</v>
      </c>
      <c r="EX543" s="2" t="n">
        <v>78.45</v>
      </c>
      <c r="EY543" s="2" t="n">
        <v>0</v>
      </c>
      <c r="EZ543" s="2" t="n">
        <v>100</v>
      </c>
      <c r="FA543" s="2" t="n">
        <v>81.98</v>
      </c>
      <c r="FB543" s="2" t="n">
        <v>0</v>
      </c>
      <c r="FC543" s="2" t="n">
        <v>100</v>
      </c>
      <c r="FD543" s="2" t="n">
        <v>86.31</v>
      </c>
      <c r="FE543" s="2" t="n">
        <v>0</v>
      </c>
      <c r="FF543" s="2" t="n">
        <v>100</v>
      </c>
      <c r="FG543" s="2" t="n">
        <v>89.29000000000001</v>
      </c>
      <c r="FH543" s="2" t="n">
        <v>0</v>
      </c>
      <c r="FI543" s="2" t="n">
        <v>100</v>
      </c>
      <c r="FJ543" s="2" t="n">
        <v>93.08</v>
      </c>
      <c r="FK543" s="2" t="n">
        <v>0</v>
      </c>
      <c r="FL543" s="2" t="n">
        <v>100</v>
      </c>
      <c r="FM543" s="2" t="n">
        <v>99.16</v>
      </c>
      <c r="FN543" s="2" t="n">
        <v>0</v>
      </c>
      <c r="FO543" s="2" t="n">
        <v>100</v>
      </c>
      <c r="FP543" s="2" t="n">
        <v>100</v>
      </c>
      <c r="FQ543" s="2" t="n">
        <v>0</v>
      </c>
    </row>
    <row r="544">
      <c r="A544" s="2" t="n">
        <v>3</v>
      </c>
      <c r="B544" s="2" t="inlineStr">
        <is>
          <t>23.01.04</t>
        </is>
      </c>
      <c r="C544" s="2" t="inlineStr">
        <is>
          <t>Extintores de incêndio</t>
        </is>
      </c>
      <c r="D544" s="2" t="inlineStr">
        <is>
          <t>21/06/2027</t>
        </is>
      </c>
      <c r="E544" s="2" t="inlineStr">
        <is>
          <t>06/02/2029</t>
        </is>
      </c>
      <c r="F544" s="2" t="n">
        <v>77702.97600000001</v>
      </c>
      <c r="G544" s="2" t="n">
        <v>0</v>
      </c>
      <c r="H544" s="2" t="n">
        <v>77702.97600000001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0</v>
      </c>
      <c r="CP544" s="2" t="n">
        <v>0</v>
      </c>
      <c r="CQ544" s="2" t="n">
        <v>0</v>
      </c>
      <c r="CR544" s="2" t="n">
        <v>0</v>
      </c>
      <c r="CS544" s="2" t="n">
        <v>0</v>
      </c>
      <c r="CT544" s="2" t="n">
        <v>0</v>
      </c>
      <c r="CU544" s="2" t="n">
        <v>0</v>
      </c>
      <c r="CV544" s="2" t="n">
        <v>0</v>
      </c>
      <c r="CW544" s="2" t="n">
        <v>0</v>
      </c>
      <c r="CX544" s="2" t="n">
        <v>0</v>
      </c>
      <c r="CY544" s="2" t="n">
        <v>0</v>
      </c>
      <c r="CZ544" s="2" t="n">
        <v>0</v>
      </c>
      <c r="DA544" s="2" t="n">
        <v>0</v>
      </c>
      <c r="DB544" s="2" t="n">
        <v>0</v>
      </c>
      <c r="DC544" s="2" t="n">
        <v>0</v>
      </c>
      <c r="DD544" s="2" t="n">
        <v>0</v>
      </c>
      <c r="DE544" s="2" t="n">
        <v>0</v>
      </c>
      <c r="DF544" s="2" t="n">
        <v>0</v>
      </c>
      <c r="DG544" s="2" t="n">
        <v>10.85</v>
      </c>
      <c r="DH544" s="2" t="n">
        <v>10.85</v>
      </c>
      <c r="DI544" s="2" t="n">
        <v>0</v>
      </c>
      <c r="DJ544" s="2" t="n">
        <v>12.2</v>
      </c>
      <c r="DK544" s="2" t="n">
        <v>12.2</v>
      </c>
      <c r="DL544" s="2" t="n">
        <v>0</v>
      </c>
      <c r="DM544" s="2" t="n">
        <v>15.51</v>
      </c>
      <c r="DN544" s="2" t="n">
        <v>12.2</v>
      </c>
      <c r="DO544" s="2" t="n">
        <v>0</v>
      </c>
      <c r="DP544" s="2" t="n">
        <v>17.62</v>
      </c>
      <c r="DQ544" s="2" t="n">
        <v>12.2</v>
      </c>
      <c r="DR544" s="2" t="n">
        <v>0</v>
      </c>
      <c r="DS544" s="2" t="n">
        <v>22.1</v>
      </c>
      <c r="DT544" s="2" t="n">
        <v>14.89</v>
      </c>
      <c r="DU544" s="2" t="n">
        <v>0</v>
      </c>
      <c r="DV544" s="2" t="n">
        <v>27.22</v>
      </c>
      <c r="DW544" s="2" t="n">
        <v>21.8</v>
      </c>
      <c r="DX544" s="2" t="n">
        <v>0</v>
      </c>
      <c r="DY544" s="2" t="n">
        <v>31.18</v>
      </c>
      <c r="DZ544" s="2" t="n">
        <v>22.51</v>
      </c>
      <c r="EA544" s="2" t="n">
        <v>0</v>
      </c>
      <c r="EB544" s="2" t="n">
        <v>49.56</v>
      </c>
      <c r="EC544" s="2" t="n">
        <v>35.32</v>
      </c>
      <c r="ED544" s="2" t="n">
        <v>0</v>
      </c>
      <c r="EE544" s="2" t="n">
        <v>59.03</v>
      </c>
      <c r="EF544" s="2" t="n">
        <v>45.5</v>
      </c>
      <c r="EG544" s="2" t="n">
        <v>0</v>
      </c>
      <c r="EH544" s="2" t="n">
        <v>69.09</v>
      </c>
      <c r="EI544" s="2" t="n">
        <v>51.1</v>
      </c>
      <c r="EJ544" s="2" t="n">
        <v>0</v>
      </c>
      <c r="EK544" s="2" t="n">
        <v>74.81</v>
      </c>
      <c r="EL544" s="2" t="n">
        <v>54.62</v>
      </c>
      <c r="EM544" s="2" t="n">
        <v>0</v>
      </c>
      <c r="EN544" s="2" t="n">
        <v>83.84</v>
      </c>
      <c r="EO544" s="2" t="n">
        <v>58.14</v>
      </c>
      <c r="EP544" s="2" t="n">
        <v>0</v>
      </c>
      <c r="EQ544" s="2" t="n">
        <v>91.09999999999999</v>
      </c>
      <c r="ER544" s="2" t="n">
        <v>66.45999999999999</v>
      </c>
      <c r="ES544" s="2" t="n">
        <v>0</v>
      </c>
      <c r="ET544" s="2" t="n">
        <v>97.56</v>
      </c>
      <c r="EU544" s="2" t="n">
        <v>74.39</v>
      </c>
      <c r="EV544" s="2" t="n">
        <v>0</v>
      </c>
      <c r="EW544" s="2" t="n">
        <v>100</v>
      </c>
      <c r="EX544" s="2" t="n">
        <v>78.45</v>
      </c>
      <c r="EY544" s="2" t="n">
        <v>0</v>
      </c>
      <c r="EZ544" s="2" t="n">
        <v>100</v>
      </c>
      <c r="FA544" s="2" t="n">
        <v>81.98</v>
      </c>
      <c r="FB544" s="2" t="n">
        <v>0</v>
      </c>
      <c r="FC544" s="2" t="n">
        <v>100</v>
      </c>
      <c r="FD544" s="2" t="n">
        <v>86.31</v>
      </c>
      <c r="FE544" s="2" t="n">
        <v>0</v>
      </c>
      <c r="FF544" s="2" t="n">
        <v>100</v>
      </c>
      <c r="FG544" s="2" t="n">
        <v>89.29000000000001</v>
      </c>
      <c r="FH544" s="2" t="n">
        <v>0</v>
      </c>
      <c r="FI544" s="2" t="n">
        <v>100</v>
      </c>
      <c r="FJ544" s="2" t="n">
        <v>93.08</v>
      </c>
      <c r="FK544" s="2" t="n">
        <v>0</v>
      </c>
      <c r="FL544" s="2" t="n">
        <v>100</v>
      </c>
      <c r="FM544" s="2" t="n">
        <v>99.16</v>
      </c>
      <c r="FN544" s="2" t="n">
        <v>0</v>
      </c>
      <c r="FO544" s="2" t="n">
        <v>100</v>
      </c>
      <c r="FP544" s="2" t="n">
        <v>100</v>
      </c>
      <c r="FQ544" s="2" t="n">
        <v>0</v>
      </c>
    </row>
    <row r="545">
      <c r="A545" s="2" t="n">
        <v>3</v>
      </c>
      <c r="B545" s="2" t="inlineStr">
        <is>
          <t>23.01.05</t>
        </is>
      </c>
      <c r="C545" s="2" t="inlineStr">
        <is>
          <t>Comunicação visual</t>
        </is>
      </c>
      <c r="D545" s="2" t="inlineStr">
        <is>
          <t>21/06/2027</t>
        </is>
      </c>
      <c r="E545" s="2" t="inlineStr">
        <is>
          <t>06/02/2029</t>
        </is>
      </c>
      <c r="F545" s="2" t="n">
        <v>19425.744</v>
      </c>
      <c r="G545" s="2" t="n">
        <v>0</v>
      </c>
      <c r="H545" s="2" t="n">
        <v>19425.744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0</v>
      </c>
      <c r="CP545" s="2" t="n">
        <v>0</v>
      </c>
      <c r="CQ545" s="2" t="n">
        <v>0</v>
      </c>
      <c r="CR545" s="2" t="n">
        <v>0</v>
      </c>
      <c r="CS545" s="2" t="n">
        <v>0</v>
      </c>
      <c r="CT545" s="2" t="n">
        <v>0</v>
      </c>
      <c r="CU545" s="2" t="n">
        <v>0</v>
      </c>
      <c r="CV545" s="2" t="n">
        <v>0</v>
      </c>
      <c r="CW545" s="2" t="n">
        <v>0</v>
      </c>
      <c r="CX545" s="2" t="n">
        <v>0</v>
      </c>
      <c r="CY545" s="2" t="n">
        <v>0</v>
      </c>
      <c r="CZ545" s="2" t="n">
        <v>0</v>
      </c>
      <c r="DA545" s="2" t="n">
        <v>0</v>
      </c>
      <c r="DB545" s="2" t="n">
        <v>0</v>
      </c>
      <c r="DC545" s="2" t="n">
        <v>0</v>
      </c>
      <c r="DD545" s="2" t="n">
        <v>0</v>
      </c>
      <c r="DE545" s="2" t="n">
        <v>0</v>
      </c>
      <c r="DF545" s="2" t="n">
        <v>0</v>
      </c>
      <c r="DG545" s="2" t="n">
        <v>10.85</v>
      </c>
      <c r="DH545" s="2" t="n">
        <v>10.85</v>
      </c>
      <c r="DI545" s="2" t="n">
        <v>0</v>
      </c>
      <c r="DJ545" s="2" t="n">
        <v>12.2</v>
      </c>
      <c r="DK545" s="2" t="n">
        <v>12.2</v>
      </c>
      <c r="DL545" s="2" t="n">
        <v>0</v>
      </c>
      <c r="DM545" s="2" t="n">
        <v>15.51</v>
      </c>
      <c r="DN545" s="2" t="n">
        <v>12.2</v>
      </c>
      <c r="DO545" s="2" t="n">
        <v>0</v>
      </c>
      <c r="DP545" s="2" t="n">
        <v>17.62</v>
      </c>
      <c r="DQ545" s="2" t="n">
        <v>12.2</v>
      </c>
      <c r="DR545" s="2" t="n">
        <v>0</v>
      </c>
      <c r="DS545" s="2" t="n">
        <v>22.1</v>
      </c>
      <c r="DT545" s="2" t="n">
        <v>14.89</v>
      </c>
      <c r="DU545" s="2" t="n">
        <v>0</v>
      </c>
      <c r="DV545" s="2" t="n">
        <v>27.22</v>
      </c>
      <c r="DW545" s="2" t="n">
        <v>21.8</v>
      </c>
      <c r="DX545" s="2" t="n">
        <v>0</v>
      </c>
      <c r="DY545" s="2" t="n">
        <v>31.18</v>
      </c>
      <c r="DZ545" s="2" t="n">
        <v>22.51</v>
      </c>
      <c r="EA545" s="2" t="n">
        <v>0</v>
      </c>
      <c r="EB545" s="2" t="n">
        <v>49.56</v>
      </c>
      <c r="EC545" s="2" t="n">
        <v>35.32</v>
      </c>
      <c r="ED545" s="2" t="n">
        <v>0</v>
      </c>
      <c r="EE545" s="2" t="n">
        <v>59.03</v>
      </c>
      <c r="EF545" s="2" t="n">
        <v>45.5</v>
      </c>
      <c r="EG545" s="2" t="n">
        <v>0</v>
      </c>
      <c r="EH545" s="2" t="n">
        <v>69.09</v>
      </c>
      <c r="EI545" s="2" t="n">
        <v>51.1</v>
      </c>
      <c r="EJ545" s="2" t="n">
        <v>0</v>
      </c>
      <c r="EK545" s="2" t="n">
        <v>74.81</v>
      </c>
      <c r="EL545" s="2" t="n">
        <v>54.62</v>
      </c>
      <c r="EM545" s="2" t="n">
        <v>0</v>
      </c>
      <c r="EN545" s="2" t="n">
        <v>83.84</v>
      </c>
      <c r="EO545" s="2" t="n">
        <v>58.14</v>
      </c>
      <c r="EP545" s="2" t="n">
        <v>0</v>
      </c>
      <c r="EQ545" s="2" t="n">
        <v>91.09999999999999</v>
      </c>
      <c r="ER545" s="2" t="n">
        <v>66.45999999999999</v>
      </c>
      <c r="ES545" s="2" t="n">
        <v>0</v>
      </c>
      <c r="ET545" s="2" t="n">
        <v>97.56</v>
      </c>
      <c r="EU545" s="2" t="n">
        <v>74.39</v>
      </c>
      <c r="EV545" s="2" t="n">
        <v>0</v>
      </c>
      <c r="EW545" s="2" t="n">
        <v>100</v>
      </c>
      <c r="EX545" s="2" t="n">
        <v>78.45</v>
      </c>
      <c r="EY545" s="2" t="n">
        <v>0</v>
      </c>
      <c r="EZ545" s="2" t="n">
        <v>100</v>
      </c>
      <c r="FA545" s="2" t="n">
        <v>81.98</v>
      </c>
      <c r="FB545" s="2" t="n">
        <v>0</v>
      </c>
      <c r="FC545" s="2" t="n">
        <v>100</v>
      </c>
      <c r="FD545" s="2" t="n">
        <v>86.31</v>
      </c>
      <c r="FE545" s="2" t="n">
        <v>0</v>
      </c>
      <c r="FF545" s="2" t="n">
        <v>100</v>
      </c>
      <c r="FG545" s="2" t="n">
        <v>89.29000000000001</v>
      </c>
      <c r="FH545" s="2" t="n">
        <v>0</v>
      </c>
      <c r="FI545" s="2" t="n">
        <v>100</v>
      </c>
      <c r="FJ545" s="2" t="n">
        <v>93.08</v>
      </c>
      <c r="FK545" s="2" t="n">
        <v>0</v>
      </c>
      <c r="FL545" s="2" t="n">
        <v>100</v>
      </c>
      <c r="FM545" s="2" t="n">
        <v>99.16</v>
      </c>
      <c r="FN545" s="2" t="n">
        <v>0</v>
      </c>
      <c r="FO545" s="2" t="n">
        <v>100</v>
      </c>
      <c r="FP545" s="2" t="n">
        <v>100</v>
      </c>
      <c r="FQ545" s="2" t="n">
        <v>0</v>
      </c>
    </row>
    <row r="546">
      <c r="A546" s="2" t="n">
        <v>1</v>
      </c>
      <c r="B546" s="2" t="inlineStr">
        <is>
          <t>24</t>
        </is>
      </c>
      <c r="C546" s="2" t="inlineStr">
        <is>
          <t>INSTALAÇÕES ESPECIAIS</t>
        </is>
      </c>
      <c r="D546" s="2" t="inlineStr">
        <is>
          <t>01/09/2026</t>
        </is>
      </c>
      <c r="E546" s="2" t="inlineStr">
        <is>
          <t>07/02/2029</t>
        </is>
      </c>
      <c r="F546" s="2" t="n">
        <v>5085820.248829471</v>
      </c>
      <c r="G546" s="2" t="n">
        <v>0</v>
      </c>
      <c r="H546" s="2" t="n">
        <v>5085820.248829471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0.09</v>
      </c>
      <c r="CD546" s="2" t="n">
        <v>0</v>
      </c>
      <c r="CE546" s="2" t="n">
        <v>0</v>
      </c>
      <c r="CF546" s="2" t="n">
        <v>0.37</v>
      </c>
      <c r="CG546" s="2" t="n">
        <v>0.25</v>
      </c>
      <c r="CH546" s="2" t="n">
        <v>0</v>
      </c>
      <c r="CI546" s="2" t="n">
        <v>0.96</v>
      </c>
      <c r="CJ546" s="2" t="n">
        <v>0.89</v>
      </c>
      <c r="CK546" s="2" t="n">
        <v>0</v>
      </c>
      <c r="CL546" s="2" t="n">
        <v>1.85</v>
      </c>
      <c r="CM546" s="2" t="n">
        <v>1.1</v>
      </c>
      <c r="CN546" s="2" t="n">
        <v>0</v>
      </c>
      <c r="CO546" s="2" t="n">
        <v>4.2</v>
      </c>
      <c r="CP546" s="2" t="n">
        <v>3.07</v>
      </c>
      <c r="CQ546" s="2" t="n">
        <v>0</v>
      </c>
      <c r="CR546" s="2" t="n">
        <v>7.67</v>
      </c>
      <c r="CS546" s="2" t="n">
        <v>6.04</v>
      </c>
      <c r="CT546" s="2" t="n">
        <v>0</v>
      </c>
      <c r="CU546" s="2" t="n">
        <v>12.21</v>
      </c>
      <c r="CV546" s="2" t="n">
        <v>10.37</v>
      </c>
      <c r="CW546" s="2" t="n">
        <v>0</v>
      </c>
      <c r="CX546" s="2" t="n">
        <v>18.6</v>
      </c>
      <c r="CY546" s="2" t="n">
        <v>17.88</v>
      </c>
      <c r="CZ546" s="2" t="n">
        <v>0</v>
      </c>
      <c r="DA546" s="2" t="n">
        <v>27.91</v>
      </c>
      <c r="DB546" s="2" t="n">
        <v>26.05</v>
      </c>
      <c r="DC546" s="2" t="n">
        <v>0</v>
      </c>
      <c r="DD546" s="2" t="n">
        <v>34.59</v>
      </c>
      <c r="DE546" s="2" t="n">
        <v>33.79</v>
      </c>
      <c r="DF546" s="2" t="n">
        <v>0</v>
      </c>
      <c r="DG546" s="2" t="n">
        <v>50.13</v>
      </c>
      <c r="DH546" s="2" t="n">
        <v>44.25</v>
      </c>
      <c r="DI546" s="2" t="n">
        <v>0</v>
      </c>
      <c r="DJ546" s="2" t="n">
        <v>57.07</v>
      </c>
      <c r="DK546" s="2" t="n">
        <v>56.97</v>
      </c>
      <c r="DL546" s="2" t="n">
        <v>0</v>
      </c>
      <c r="DM546" s="2" t="n">
        <v>60.69</v>
      </c>
      <c r="DN546" s="2" t="n">
        <v>60.87</v>
      </c>
      <c r="DO546" s="2" t="n">
        <v>0</v>
      </c>
      <c r="DP546" s="2" t="n">
        <v>67.77</v>
      </c>
      <c r="DQ546" s="2" t="n">
        <v>64.91</v>
      </c>
      <c r="DR546" s="2" t="n">
        <v>0</v>
      </c>
      <c r="DS546" s="2" t="n">
        <v>72.68000000000001</v>
      </c>
      <c r="DT546" s="2" t="n">
        <v>70.34999999999999</v>
      </c>
      <c r="DU546" s="2" t="n">
        <v>0</v>
      </c>
      <c r="DV546" s="2" t="n">
        <v>75.84</v>
      </c>
      <c r="DW546" s="2" t="n">
        <v>74.23</v>
      </c>
      <c r="DX546" s="2" t="n">
        <v>0</v>
      </c>
      <c r="DY546" s="2" t="n">
        <v>88.88</v>
      </c>
      <c r="DZ546" s="2" t="n">
        <v>85.77</v>
      </c>
      <c r="EA546" s="2" t="n">
        <v>0</v>
      </c>
      <c r="EB546" s="2" t="n">
        <v>94.91</v>
      </c>
      <c r="EC546" s="2" t="n">
        <v>94.52</v>
      </c>
      <c r="ED546" s="2" t="n">
        <v>0</v>
      </c>
      <c r="EE546" s="2" t="n">
        <v>95.53</v>
      </c>
      <c r="EF546" s="2" t="n">
        <v>94.88</v>
      </c>
      <c r="EG546" s="2" t="n">
        <v>0</v>
      </c>
      <c r="EH546" s="2" t="n">
        <v>99.53</v>
      </c>
      <c r="EI546" s="2" t="n">
        <v>99.34999999999999</v>
      </c>
      <c r="EJ546" s="2" t="n">
        <v>0</v>
      </c>
      <c r="EK546" s="2" t="n">
        <v>99.63</v>
      </c>
      <c r="EL546" s="2" t="n">
        <v>99.39</v>
      </c>
      <c r="EM546" s="2" t="n">
        <v>0</v>
      </c>
      <c r="EN546" s="2" t="n">
        <v>99.73</v>
      </c>
      <c r="EO546" s="2" t="n">
        <v>99.45999999999999</v>
      </c>
      <c r="EP546" s="2" t="n">
        <v>0</v>
      </c>
      <c r="EQ546" s="2" t="n">
        <v>99.84999999999999</v>
      </c>
      <c r="ER546" s="2" t="n">
        <v>99.51000000000001</v>
      </c>
      <c r="ES546" s="2" t="n">
        <v>0</v>
      </c>
      <c r="ET546" s="2" t="n">
        <v>99.92</v>
      </c>
      <c r="EU546" s="2" t="n">
        <v>99.61</v>
      </c>
      <c r="EV546" s="2" t="n">
        <v>0</v>
      </c>
      <c r="EW546" s="2" t="n">
        <v>100</v>
      </c>
      <c r="EX546" s="2" t="n">
        <v>99.72</v>
      </c>
      <c r="EY546" s="2" t="n">
        <v>0</v>
      </c>
      <c r="EZ546" s="2" t="n">
        <v>100</v>
      </c>
      <c r="FA546" s="2" t="n">
        <v>99.75</v>
      </c>
      <c r="FB546" s="2" t="n">
        <v>0</v>
      </c>
      <c r="FC546" s="2" t="n">
        <v>100</v>
      </c>
      <c r="FD546" s="2" t="n">
        <v>99.81</v>
      </c>
      <c r="FE546" s="2" t="n">
        <v>0</v>
      </c>
      <c r="FF546" s="2" t="n">
        <v>100</v>
      </c>
      <c r="FG546" s="2" t="n">
        <v>99.84999999999999</v>
      </c>
      <c r="FH546" s="2" t="n">
        <v>0</v>
      </c>
      <c r="FI546" s="2" t="n">
        <v>100</v>
      </c>
      <c r="FJ546" s="2" t="n">
        <v>99.89</v>
      </c>
      <c r="FK546" s="2" t="n">
        <v>0</v>
      </c>
      <c r="FL546" s="2" t="n">
        <v>100</v>
      </c>
      <c r="FM546" s="2" t="n">
        <v>99.95999999999999</v>
      </c>
      <c r="FN546" s="2" t="n">
        <v>0</v>
      </c>
      <c r="FO546" s="2" t="n">
        <v>100</v>
      </c>
      <c r="FP546" s="2" t="n">
        <v>100</v>
      </c>
      <c r="FQ546" s="2" t="n">
        <v>0</v>
      </c>
    </row>
    <row r="547">
      <c r="A547" s="2" t="n">
        <v>2</v>
      </c>
      <c r="B547" s="2" t="inlineStr">
        <is>
          <t>24.01</t>
        </is>
      </c>
      <c r="C547" s="2" t="inlineStr">
        <is>
          <t>Automação</t>
        </is>
      </c>
      <c r="D547" s="2" t="inlineStr">
        <is>
          <t>06/12/2027</t>
        </is>
      </c>
      <c r="E547" s="2" t="inlineStr">
        <is>
          <t>17/03/2028</t>
        </is>
      </c>
      <c r="F547" s="2" t="n">
        <v>357400</v>
      </c>
      <c r="G547" s="2" t="n">
        <v>0</v>
      </c>
      <c r="H547" s="2" t="n">
        <v>357400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0</v>
      </c>
      <c r="DT547" s="2" t="n">
        <v>0</v>
      </c>
      <c r="DU547" s="2" t="n">
        <v>0</v>
      </c>
      <c r="DV547" s="2" t="n">
        <v>0</v>
      </c>
      <c r="DW547" s="2" t="n">
        <v>0</v>
      </c>
      <c r="DX547" s="2" t="n">
        <v>0</v>
      </c>
      <c r="DY547" s="2" t="n">
        <v>50</v>
      </c>
      <c r="DZ547" s="2" t="n">
        <v>50</v>
      </c>
      <c r="EA547" s="2" t="n">
        <v>0</v>
      </c>
      <c r="EB547" s="2" t="n">
        <v>50</v>
      </c>
      <c r="EC547" s="2" t="n">
        <v>50</v>
      </c>
      <c r="ED547" s="2" t="n">
        <v>0</v>
      </c>
      <c r="EE547" s="2" t="n">
        <v>50</v>
      </c>
      <c r="EF547" s="2" t="n">
        <v>50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  <c r="ET547" s="2" t="n">
        <v>100</v>
      </c>
      <c r="EU547" s="2" t="n">
        <v>100</v>
      </c>
      <c r="EV547" s="2" t="n">
        <v>0</v>
      </c>
      <c r="EW547" s="2" t="n">
        <v>100</v>
      </c>
      <c r="EX547" s="2" t="n">
        <v>100</v>
      </c>
      <c r="EY547" s="2" t="n">
        <v>0</v>
      </c>
      <c r="EZ547" s="2" t="n">
        <v>100</v>
      </c>
      <c r="FA547" s="2" t="n">
        <v>100</v>
      </c>
      <c r="FB547" s="2" t="n">
        <v>0</v>
      </c>
      <c r="FC547" s="2" t="n">
        <v>100</v>
      </c>
      <c r="FD547" s="2" t="n">
        <v>100</v>
      </c>
      <c r="FE547" s="2" t="n">
        <v>0</v>
      </c>
      <c r="FF547" s="2" t="n">
        <v>100</v>
      </c>
      <c r="FG547" s="2" t="n">
        <v>100</v>
      </c>
      <c r="FH547" s="2" t="n">
        <v>0</v>
      </c>
      <c r="FI547" s="2" t="n">
        <v>100</v>
      </c>
      <c r="FJ547" s="2" t="n">
        <v>100</v>
      </c>
      <c r="FK547" s="2" t="n">
        <v>0</v>
      </c>
      <c r="FL547" s="2" t="n">
        <v>100</v>
      </c>
      <c r="FM547" s="2" t="n">
        <v>100</v>
      </c>
      <c r="FN547" s="2" t="n">
        <v>0</v>
      </c>
      <c r="FO547" s="2" t="n">
        <v>100</v>
      </c>
      <c r="FP547" s="2" t="n">
        <v>100</v>
      </c>
      <c r="FQ547" s="2" t="n">
        <v>0</v>
      </c>
    </row>
    <row r="548">
      <c r="A548" s="2" t="n">
        <v>3</v>
      </c>
      <c r="B548" s="2" t="inlineStr">
        <is>
          <t>24.01.01</t>
        </is>
      </c>
      <c r="C548" s="2" t="inlineStr">
        <is>
          <t>Abertura automática de portões de garagem (vaga-box)</t>
        </is>
      </c>
      <c r="D548" s="2" t="inlineStr">
        <is>
          <t>06/12/2027</t>
        </is>
      </c>
      <c r="E548" s="2" t="inlineStr">
        <is>
          <t>17/03/2028</t>
        </is>
      </c>
      <c r="F548" s="2" t="n">
        <v>127400</v>
      </c>
      <c r="G548" s="2" t="n">
        <v>0</v>
      </c>
      <c r="H548" s="2" t="n">
        <v>127400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0</v>
      </c>
      <c r="DT548" s="2" t="n">
        <v>0</v>
      </c>
      <c r="DU548" s="2" t="n">
        <v>0</v>
      </c>
      <c r="DV548" s="2" t="n">
        <v>0</v>
      </c>
      <c r="DW548" s="2" t="n">
        <v>0</v>
      </c>
      <c r="DX548" s="2" t="n">
        <v>0</v>
      </c>
      <c r="DY548" s="2" t="n">
        <v>50</v>
      </c>
      <c r="DZ548" s="2" t="n">
        <v>50</v>
      </c>
      <c r="EA548" s="2" t="n">
        <v>0</v>
      </c>
      <c r="EB548" s="2" t="n">
        <v>50</v>
      </c>
      <c r="EC548" s="2" t="n">
        <v>50</v>
      </c>
      <c r="ED548" s="2" t="n">
        <v>0</v>
      </c>
      <c r="EE548" s="2" t="n">
        <v>50</v>
      </c>
      <c r="EF548" s="2" t="n">
        <v>50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  <c r="ET548" s="2" t="n">
        <v>100</v>
      </c>
      <c r="EU548" s="2" t="n">
        <v>100</v>
      </c>
      <c r="EV548" s="2" t="n">
        <v>0</v>
      </c>
      <c r="EW548" s="2" t="n">
        <v>100</v>
      </c>
      <c r="EX548" s="2" t="n">
        <v>100</v>
      </c>
      <c r="EY548" s="2" t="n">
        <v>0</v>
      </c>
      <c r="EZ548" s="2" t="n">
        <v>100</v>
      </c>
      <c r="FA548" s="2" t="n">
        <v>100</v>
      </c>
      <c r="FB548" s="2" t="n">
        <v>0</v>
      </c>
      <c r="FC548" s="2" t="n">
        <v>100</v>
      </c>
      <c r="FD548" s="2" t="n">
        <v>100</v>
      </c>
      <c r="FE548" s="2" t="n">
        <v>0</v>
      </c>
      <c r="FF548" s="2" t="n">
        <v>100</v>
      </c>
      <c r="FG548" s="2" t="n">
        <v>100</v>
      </c>
      <c r="FH548" s="2" t="n">
        <v>0</v>
      </c>
      <c r="FI548" s="2" t="n">
        <v>100</v>
      </c>
      <c r="FJ548" s="2" t="n">
        <v>100</v>
      </c>
      <c r="FK548" s="2" t="n">
        <v>0</v>
      </c>
      <c r="FL548" s="2" t="n">
        <v>100</v>
      </c>
      <c r="FM548" s="2" t="n">
        <v>100</v>
      </c>
      <c r="FN548" s="2" t="n">
        <v>0</v>
      </c>
      <c r="FO548" s="2" t="n">
        <v>100</v>
      </c>
      <c r="FP548" s="2" t="n">
        <v>100</v>
      </c>
      <c r="FQ548" s="2" t="n">
        <v>0</v>
      </c>
    </row>
    <row r="549">
      <c r="A549" s="2" t="n">
        <v>3</v>
      </c>
      <c r="B549" s="2" t="inlineStr">
        <is>
          <t>24.01.02</t>
        </is>
      </c>
      <c r="C549" s="2" t="inlineStr">
        <is>
          <t>Estação de carga para carro elétrico - 2 estações por andar de estacionamento</t>
        </is>
      </c>
      <c r="D549" s="2" t="inlineStr">
        <is>
          <t>06/12/2027</t>
        </is>
      </c>
      <c r="E549" s="2" t="inlineStr">
        <is>
          <t>17/03/2028</t>
        </is>
      </c>
      <c r="F549" s="2" t="n">
        <v>230000</v>
      </c>
      <c r="G549" s="2" t="n">
        <v>0</v>
      </c>
      <c r="H549" s="2" t="n">
        <v>230000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</v>
      </c>
      <c r="DB549" s="2" t="n">
        <v>0</v>
      </c>
      <c r="DC549" s="2" t="n">
        <v>0</v>
      </c>
      <c r="DD549" s="2" t="n">
        <v>0</v>
      </c>
      <c r="DE549" s="2" t="n">
        <v>0</v>
      </c>
      <c r="DF549" s="2" t="n">
        <v>0</v>
      </c>
      <c r="DG549" s="2" t="n">
        <v>0</v>
      </c>
      <c r="DH549" s="2" t="n">
        <v>0</v>
      </c>
      <c r="DI549" s="2" t="n">
        <v>0</v>
      </c>
      <c r="DJ549" s="2" t="n">
        <v>0</v>
      </c>
      <c r="DK549" s="2" t="n">
        <v>0</v>
      </c>
      <c r="DL549" s="2" t="n">
        <v>0</v>
      </c>
      <c r="DM549" s="2" t="n">
        <v>0</v>
      </c>
      <c r="DN549" s="2" t="n">
        <v>0</v>
      </c>
      <c r="DO549" s="2" t="n">
        <v>0</v>
      </c>
      <c r="DP549" s="2" t="n">
        <v>0</v>
      </c>
      <c r="DQ549" s="2" t="n">
        <v>0</v>
      </c>
      <c r="DR549" s="2" t="n">
        <v>0</v>
      </c>
      <c r="DS549" s="2" t="n">
        <v>0</v>
      </c>
      <c r="DT549" s="2" t="n">
        <v>0</v>
      </c>
      <c r="DU549" s="2" t="n">
        <v>0</v>
      </c>
      <c r="DV549" s="2" t="n">
        <v>0</v>
      </c>
      <c r="DW549" s="2" t="n">
        <v>0</v>
      </c>
      <c r="DX549" s="2" t="n">
        <v>0</v>
      </c>
      <c r="DY549" s="2" t="n">
        <v>50</v>
      </c>
      <c r="DZ549" s="2" t="n">
        <v>50</v>
      </c>
      <c r="EA549" s="2" t="n">
        <v>0</v>
      </c>
      <c r="EB549" s="2" t="n">
        <v>50</v>
      </c>
      <c r="EC549" s="2" t="n">
        <v>50</v>
      </c>
      <c r="ED549" s="2" t="n">
        <v>0</v>
      </c>
      <c r="EE549" s="2" t="n">
        <v>50</v>
      </c>
      <c r="EF549" s="2" t="n">
        <v>50</v>
      </c>
      <c r="EG549" s="2" t="n">
        <v>0</v>
      </c>
      <c r="EH549" s="2" t="n">
        <v>100</v>
      </c>
      <c r="EI549" s="2" t="n">
        <v>100</v>
      </c>
      <c r="EJ549" s="2" t="n">
        <v>0</v>
      </c>
      <c r="EK549" s="2" t="n">
        <v>100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  <c r="ET549" s="2" t="n">
        <v>100</v>
      </c>
      <c r="EU549" s="2" t="n">
        <v>100</v>
      </c>
      <c r="EV549" s="2" t="n">
        <v>0</v>
      </c>
      <c r="EW549" s="2" t="n">
        <v>100</v>
      </c>
      <c r="EX549" s="2" t="n">
        <v>100</v>
      </c>
      <c r="EY549" s="2" t="n">
        <v>0</v>
      </c>
      <c r="EZ549" s="2" t="n">
        <v>100</v>
      </c>
      <c r="FA549" s="2" t="n">
        <v>100</v>
      </c>
      <c r="FB549" s="2" t="n">
        <v>0</v>
      </c>
      <c r="FC549" s="2" t="n">
        <v>100</v>
      </c>
      <c r="FD549" s="2" t="n">
        <v>100</v>
      </c>
      <c r="FE549" s="2" t="n">
        <v>0</v>
      </c>
      <c r="FF549" s="2" t="n">
        <v>100</v>
      </c>
      <c r="FG549" s="2" t="n">
        <v>100</v>
      </c>
      <c r="FH549" s="2" t="n">
        <v>0</v>
      </c>
      <c r="FI549" s="2" t="n">
        <v>100</v>
      </c>
      <c r="FJ549" s="2" t="n">
        <v>100</v>
      </c>
      <c r="FK549" s="2" t="n">
        <v>0</v>
      </c>
      <c r="FL549" s="2" t="n">
        <v>100</v>
      </c>
      <c r="FM549" s="2" t="n">
        <v>100</v>
      </c>
      <c r="FN549" s="2" t="n">
        <v>0</v>
      </c>
      <c r="FO549" s="2" t="n">
        <v>100</v>
      </c>
      <c r="FP549" s="2" t="n">
        <v>100</v>
      </c>
      <c r="FQ549" s="2" t="n">
        <v>0</v>
      </c>
    </row>
    <row r="550">
      <c r="A550" s="2" t="n">
        <v>2</v>
      </c>
      <c r="B550" s="2" t="inlineStr">
        <is>
          <t>24.02</t>
        </is>
      </c>
      <c r="C550" s="2" t="inlineStr">
        <is>
          <t>Ar condicionado,  exaustão e pressurização</t>
        </is>
      </c>
      <c r="D550" s="2" t="inlineStr">
        <is>
          <t>12/02/2027</t>
        </is>
      </c>
      <c r="E550" s="2" t="inlineStr">
        <is>
          <t>31/03/2028</t>
        </is>
      </c>
      <c r="F550" s="2" t="n">
        <v>417650.04</v>
      </c>
      <c r="G550" s="2" t="n">
        <v>0</v>
      </c>
      <c r="H550" s="2" t="n">
        <v>417650.04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8.51</v>
      </c>
      <c r="CV550" s="2" t="n">
        <v>8.51</v>
      </c>
      <c r="CW550" s="2" t="n">
        <v>0</v>
      </c>
      <c r="CX550" s="2" t="n">
        <v>17.94</v>
      </c>
      <c r="CY550" s="2" t="n">
        <v>14.95</v>
      </c>
      <c r="CZ550" s="2" t="n">
        <v>0</v>
      </c>
      <c r="DA550" s="2" t="n">
        <v>22.13</v>
      </c>
      <c r="DB550" s="2" t="n">
        <v>17.94</v>
      </c>
      <c r="DC550" s="2" t="n">
        <v>0</v>
      </c>
      <c r="DD550" s="2" t="n">
        <v>23.92</v>
      </c>
      <c r="DE550" s="2" t="n">
        <v>23.32</v>
      </c>
      <c r="DF550" s="2" t="n">
        <v>0</v>
      </c>
      <c r="DG550" s="2" t="n">
        <v>26.91</v>
      </c>
      <c r="DH550" s="2" t="n">
        <v>23.92</v>
      </c>
      <c r="DI550" s="2" t="n">
        <v>0</v>
      </c>
      <c r="DJ550" s="2" t="n">
        <v>33.29</v>
      </c>
      <c r="DK550" s="2" t="n">
        <v>30.18</v>
      </c>
      <c r="DL550" s="2" t="n">
        <v>0</v>
      </c>
      <c r="DM550" s="2" t="n">
        <v>44.79</v>
      </c>
      <c r="DN550" s="2" t="n">
        <v>47.15</v>
      </c>
      <c r="DO550" s="2" t="n">
        <v>0</v>
      </c>
      <c r="DP550" s="2" t="n">
        <v>70.09</v>
      </c>
      <c r="DQ550" s="2" t="n">
        <v>53.73</v>
      </c>
      <c r="DR550" s="2" t="n">
        <v>0</v>
      </c>
      <c r="DS550" s="2" t="n">
        <v>76.06999999999999</v>
      </c>
      <c r="DT550" s="2" t="n">
        <v>76.06999999999999</v>
      </c>
      <c r="DU550" s="2" t="n">
        <v>0</v>
      </c>
      <c r="DV550" s="2" t="n">
        <v>79.66</v>
      </c>
      <c r="DW550" s="2" t="n">
        <v>79.06</v>
      </c>
      <c r="DX550" s="2" t="n">
        <v>0</v>
      </c>
      <c r="DY550" s="2" t="n">
        <v>85.05</v>
      </c>
      <c r="DZ550" s="2" t="n">
        <v>82.06</v>
      </c>
      <c r="EA550" s="2" t="n">
        <v>0</v>
      </c>
      <c r="EB550" s="2" t="n">
        <v>94.02</v>
      </c>
      <c r="EC550" s="2" t="n">
        <v>91.03</v>
      </c>
      <c r="ED550" s="2" t="n">
        <v>0</v>
      </c>
      <c r="EE550" s="2" t="n">
        <v>100</v>
      </c>
      <c r="EF550" s="2" t="n">
        <v>94.02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  <c r="ET550" s="2" t="n">
        <v>100</v>
      </c>
      <c r="EU550" s="2" t="n">
        <v>100</v>
      </c>
      <c r="EV550" s="2" t="n">
        <v>0</v>
      </c>
      <c r="EW550" s="2" t="n">
        <v>100</v>
      </c>
      <c r="EX550" s="2" t="n">
        <v>100</v>
      </c>
      <c r="EY550" s="2" t="n">
        <v>0</v>
      </c>
      <c r="EZ550" s="2" t="n">
        <v>100</v>
      </c>
      <c r="FA550" s="2" t="n">
        <v>100</v>
      </c>
      <c r="FB550" s="2" t="n">
        <v>0</v>
      </c>
      <c r="FC550" s="2" t="n">
        <v>100</v>
      </c>
      <c r="FD550" s="2" t="n">
        <v>100</v>
      </c>
      <c r="FE550" s="2" t="n">
        <v>0</v>
      </c>
      <c r="FF550" s="2" t="n">
        <v>100</v>
      </c>
      <c r="FG550" s="2" t="n">
        <v>100</v>
      </c>
      <c r="FH550" s="2" t="n">
        <v>0</v>
      </c>
      <c r="FI550" s="2" t="n">
        <v>100</v>
      </c>
      <c r="FJ550" s="2" t="n">
        <v>100</v>
      </c>
      <c r="FK550" s="2" t="n">
        <v>0</v>
      </c>
      <c r="FL550" s="2" t="n">
        <v>100</v>
      </c>
      <c r="FM550" s="2" t="n">
        <v>100</v>
      </c>
      <c r="FN550" s="2" t="n">
        <v>0</v>
      </c>
      <c r="FO550" s="2" t="n">
        <v>100</v>
      </c>
      <c r="FP550" s="2" t="n">
        <v>100</v>
      </c>
      <c r="FQ550" s="2" t="n">
        <v>0</v>
      </c>
    </row>
    <row r="551">
      <c r="A551" s="2" t="n">
        <v>3</v>
      </c>
      <c r="B551" s="2" t="inlineStr">
        <is>
          <t>24.02.01</t>
        </is>
      </c>
      <c r="C551" s="2" t="inlineStr">
        <is>
          <t>Ar condicionado - Sistema completo para pilotis</t>
        </is>
      </c>
      <c r="D551" s="2" t="inlineStr">
        <is>
          <t>12/02/2027</t>
        </is>
      </c>
      <c r="E551" s="2" t="inlineStr">
        <is>
          <t>22/10/2027</t>
        </is>
      </c>
      <c r="F551" s="2" t="n">
        <v>141207.54</v>
      </c>
      <c r="G551" s="2" t="n">
        <v>0</v>
      </c>
      <c r="H551" s="2" t="n">
        <v>141207.54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0</v>
      </c>
      <c r="CM551" s="2" t="n">
        <v>0</v>
      </c>
      <c r="CN551" s="2" t="n">
        <v>0</v>
      </c>
      <c r="CO551" s="2" t="n">
        <v>0</v>
      </c>
      <c r="CP551" s="2" t="n">
        <v>0</v>
      </c>
      <c r="CQ551" s="2" t="n">
        <v>0</v>
      </c>
      <c r="CR551" s="2" t="n">
        <v>0</v>
      </c>
      <c r="CS551" s="2" t="n">
        <v>0</v>
      </c>
      <c r="CT551" s="2" t="n">
        <v>0</v>
      </c>
      <c r="CU551" s="2" t="n">
        <v>25.17</v>
      </c>
      <c r="CV551" s="2" t="n">
        <v>25.17</v>
      </c>
      <c r="CW551" s="2" t="n">
        <v>0</v>
      </c>
      <c r="CX551" s="2" t="n">
        <v>35.37</v>
      </c>
      <c r="CY551" s="2" t="n">
        <v>35.37</v>
      </c>
      <c r="CZ551" s="2" t="n">
        <v>0</v>
      </c>
      <c r="DA551" s="2" t="n">
        <v>35.37</v>
      </c>
      <c r="DB551" s="2" t="n">
        <v>35.37</v>
      </c>
      <c r="DC551" s="2" t="n">
        <v>0</v>
      </c>
      <c r="DD551" s="2" t="n">
        <v>35.37</v>
      </c>
      <c r="DE551" s="2" t="n">
        <v>35.37</v>
      </c>
      <c r="DF551" s="2" t="n">
        <v>0</v>
      </c>
      <c r="DG551" s="2" t="n">
        <v>35.37</v>
      </c>
      <c r="DH551" s="2" t="n">
        <v>35.37</v>
      </c>
      <c r="DI551" s="2" t="n">
        <v>0</v>
      </c>
      <c r="DJ551" s="2" t="n">
        <v>35.37</v>
      </c>
      <c r="DK551" s="2" t="n">
        <v>35.37</v>
      </c>
      <c r="DL551" s="2" t="n">
        <v>0</v>
      </c>
      <c r="DM551" s="2" t="n">
        <v>51.69</v>
      </c>
      <c r="DN551" s="2" t="n">
        <v>58.69</v>
      </c>
      <c r="DO551" s="2" t="n">
        <v>0</v>
      </c>
      <c r="DP551" s="2" t="n">
        <v>100</v>
      </c>
      <c r="DQ551" s="2" t="n">
        <v>58.69</v>
      </c>
      <c r="DR551" s="2" t="n">
        <v>0</v>
      </c>
      <c r="DS551" s="2" t="n">
        <v>100</v>
      </c>
      <c r="DT551" s="2" t="n">
        <v>100</v>
      </c>
      <c r="DU551" s="2" t="n">
        <v>0</v>
      </c>
      <c r="DV551" s="2" t="n">
        <v>100</v>
      </c>
      <c r="DW551" s="2" t="n">
        <v>100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  <c r="ET551" s="2" t="n">
        <v>100</v>
      </c>
      <c r="EU551" s="2" t="n">
        <v>100</v>
      </c>
      <c r="EV551" s="2" t="n">
        <v>0</v>
      </c>
      <c r="EW551" s="2" t="n">
        <v>100</v>
      </c>
      <c r="EX551" s="2" t="n">
        <v>100</v>
      </c>
      <c r="EY551" s="2" t="n">
        <v>0</v>
      </c>
      <c r="EZ551" s="2" t="n">
        <v>100</v>
      </c>
      <c r="FA551" s="2" t="n">
        <v>100</v>
      </c>
      <c r="FB551" s="2" t="n">
        <v>0</v>
      </c>
      <c r="FC551" s="2" t="n">
        <v>100</v>
      </c>
      <c r="FD551" s="2" t="n">
        <v>100</v>
      </c>
      <c r="FE551" s="2" t="n">
        <v>0</v>
      </c>
      <c r="FF551" s="2" t="n">
        <v>100</v>
      </c>
      <c r="FG551" s="2" t="n">
        <v>100</v>
      </c>
      <c r="FH551" s="2" t="n">
        <v>0</v>
      </c>
      <c r="FI551" s="2" t="n">
        <v>100</v>
      </c>
      <c r="FJ551" s="2" t="n">
        <v>100</v>
      </c>
      <c r="FK551" s="2" t="n">
        <v>0</v>
      </c>
      <c r="FL551" s="2" t="n">
        <v>100</v>
      </c>
      <c r="FM551" s="2" t="n">
        <v>100</v>
      </c>
      <c r="FN551" s="2" t="n">
        <v>0</v>
      </c>
      <c r="FO551" s="2" t="n">
        <v>100</v>
      </c>
      <c r="FP551" s="2" t="n">
        <v>100</v>
      </c>
      <c r="FQ551" s="2" t="n">
        <v>0</v>
      </c>
    </row>
    <row r="552">
      <c r="A552" s="2" t="n">
        <v>3</v>
      </c>
      <c r="B552" s="2" t="inlineStr">
        <is>
          <t>24.02.02</t>
        </is>
      </c>
      <c r="C552" s="2" t="inlineStr">
        <is>
          <t>Sistema de exaustão tipo ventokit</t>
        </is>
      </c>
      <c r="D552" s="2" t="inlineStr">
        <is>
          <t>17/03/2027</t>
        </is>
      </c>
      <c r="E552" s="2" t="inlineStr">
        <is>
          <t>31/03/2028</t>
        </is>
      </c>
      <c r="F552" s="2" t="n">
        <v>50350.00000000001</v>
      </c>
      <c r="G552" s="2" t="n">
        <v>0</v>
      </c>
      <c r="H552" s="2" t="n">
        <v>50350.00000000001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9.039999999999999</v>
      </c>
      <c r="CY552" s="2" t="n">
        <v>4.52</v>
      </c>
      <c r="CZ552" s="2" t="n">
        <v>0</v>
      </c>
      <c r="DA552" s="2" t="n">
        <v>15.36</v>
      </c>
      <c r="DB552" s="2" t="n">
        <v>9.039999999999999</v>
      </c>
      <c r="DC552" s="2" t="n">
        <v>0</v>
      </c>
      <c r="DD552" s="2" t="n">
        <v>18.07</v>
      </c>
      <c r="DE552" s="2" t="n">
        <v>17.17</v>
      </c>
      <c r="DF552" s="2" t="n">
        <v>0</v>
      </c>
      <c r="DG552" s="2" t="n">
        <v>22.59</v>
      </c>
      <c r="DH552" s="2" t="n">
        <v>18.07</v>
      </c>
      <c r="DI552" s="2" t="n">
        <v>0</v>
      </c>
      <c r="DJ552" s="2" t="n">
        <v>32.22</v>
      </c>
      <c r="DK552" s="2" t="n">
        <v>27.53</v>
      </c>
      <c r="DL552" s="2" t="n">
        <v>0</v>
      </c>
      <c r="DM552" s="2" t="n">
        <v>41.26</v>
      </c>
      <c r="DN552" s="2" t="n">
        <v>41.26</v>
      </c>
      <c r="DO552" s="2" t="n">
        <v>0</v>
      </c>
      <c r="DP552" s="2" t="n">
        <v>54.82</v>
      </c>
      <c r="DQ552" s="2" t="n">
        <v>51.2</v>
      </c>
      <c r="DR552" s="2" t="n">
        <v>0</v>
      </c>
      <c r="DS552" s="2" t="n">
        <v>63.85</v>
      </c>
      <c r="DT552" s="2" t="n">
        <v>63.85</v>
      </c>
      <c r="DU552" s="2" t="n">
        <v>0</v>
      </c>
      <c r="DV552" s="2" t="n">
        <v>69.27</v>
      </c>
      <c r="DW552" s="2" t="n">
        <v>68.37</v>
      </c>
      <c r="DX552" s="2" t="n">
        <v>0</v>
      </c>
      <c r="DY552" s="2" t="n">
        <v>77.41</v>
      </c>
      <c r="DZ552" s="2" t="n">
        <v>72.89</v>
      </c>
      <c r="EA552" s="2" t="n">
        <v>0</v>
      </c>
      <c r="EB552" s="2" t="n">
        <v>90.95999999999999</v>
      </c>
      <c r="EC552" s="2" t="n">
        <v>86.44</v>
      </c>
      <c r="ED552" s="2" t="n">
        <v>0</v>
      </c>
      <c r="EE552" s="2" t="n">
        <v>100</v>
      </c>
      <c r="EF552" s="2" t="n">
        <v>90.95999999999999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  <c r="ET552" s="2" t="n">
        <v>100</v>
      </c>
      <c r="EU552" s="2" t="n">
        <v>100</v>
      </c>
      <c r="EV552" s="2" t="n">
        <v>0</v>
      </c>
      <c r="EW552" s="2" t="n">
        <v>100</v>
      </c>
      <c r="EX552" s="2" t="n">
        <v>100</v>
      </c>
      <c r="EY552" s="2" t="n">
        <v>0</v>
      </c>
      <c r="EZ552" s="2" t="n">
        <v>100</v>
      </c>
      <c r="FA552" s="2" t="n">
        <v>100</v>
      </c>
      <c r="FB552" s="2" t="n">
        <v>0</v>
      </c>
      <c r="FC552" s="2" t="n">
        <v>100</v>
      </c>
      <c r="FD552" s="2" t="n">
        <v>100</v>
      </c>
      <c r="FE552" s="2" t="n">
        <v>0</v>
      </c>
      <c r="FF552" s="2" t="n">
        <v>100</v>
      </c>
      <c r="FG552" s="2" t="n">
        <v>100</v>
      </c>
      <c r="FH552" s="2" t="n">
        <v>0</v>
      </c>
      <c r="FI552" s="2" t="n">
        <v>100</v>
      </c>
      <c r="FJ552" s="2" t="n">
        <v>100</v>
      </c>
      <c r="FK552" s="2" t="n">
        <v>0</v>
      </c>
      <c r="FL552" s="2" t="n">
        <v>100</v>
      </c>
      <c r="FM552" s="2" t="n">
        <v>100</v>
      </c>
      <c r="FN552" s="2" t="n">
        <v>0</v>
      </c>
      <c r="FO552" s="2" t="n">
        <v>100</v>
      </c>
      <c r="FP552" s="2" t="n">
        <v>100</v>
      </c>
      <c r="FQ552" s="2" t="n">
        <v>0</v>
      </c>
    </row>
    <row r="553">
      <c r="A553" s="2" t="n">
        <v>3</v>
      </c>
      <c r="B553" s="2" t="inlineStr">
        <is>
          <t>24.02.03</t>
        </is>
      </c>
      <c r="C553" s="2" t="inlineStr">
        <is>
          <t>Sistema de Pressurização</t>
        </is>
      </c>
      <c r="D553" s="2" t="inlineStr">
        <is>
          <t>17/03/2027</t>
        </is>
      </c>
      <c r="E553" s="2" t="inlineStr">
        <is>
          <t>31/03/2028</t>
        </is>
      </c>
      <c r="F553" s="2" t="n">
        <v>226092.5</v>
      </c>
      <c r="G553" s="2" t="n">
        <v>0</v>
      </c>
      <c r="H553" s="2" t="n">
        <v>226092.5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9.039999999999999</v>
      </c>
      <c r="CY553" s="2" t="n">
        <v>4.52</v>
      </c>
      <c r="CZ553" s="2" t="n">
        <v>0</v>
      </c>
      <c r="DA553" s="2" t="n">
        <v>15.36</v>
      </c>
      <c r="DB553" s="2" t="n">
        <v>9.039999999999999</v>
      </c>
      <c r="DC553" s="2" t="n">
        <v>0</v>
      </c>
      <c r="DD553" s="2" t="n">
        <v>18.07</v>
      </c>
      <c r="DE553" s="2" t="n">
        <v>17.17</v>
      </c>
      <c r="DF553" s="2" t="n">
        <v>0</v>
      </c>
      <c r="DG553" s="2" t="n">
        <v>22.59</v>
      </c>
      <c r="DH553" s="2" t="n">
        <v>18.07</v>
      </c>
      <c r="DI553" s="2" t="n">
        <v>0</v>
      </c>
      <c r="DJ553" s="2" t="n">
        <v>32.22</v>
      </c>
      <c r="DK553" s="2" t="n">
        <v>27.53</v>
      </c>
      <c r="DL553" s="2" t="n">
        <v>0</v>
      </c>
      <c r="DM553" s="2" t="n">
        <v>41.26</v>
      </c>
      <c r="DN553" s="2" t="n">
        <v>41.26</v>
      </c>
      <c r="DO553" s="2" t="n">
        <v>0</v>
      </c>
      <c r="DP553" s="2" t="n">
        <v>54.82</v>
      </c>
      <c r="DQ553" s="2" t="n">
        <v>51.2</v>
      </c>
      <c r="DR553" s="2" t="n">
        <v>0</v>
      </c>
      <c r="DS553" s="2" t="n">
        <v>63.85</v>
      </c>
      <c r="DT553" s="2" t="n">
        <v>63.85</v>
      </c>
      <c r="DU553" s="2" t="n">
        <v>0</v>
      </c>
      <c r="DV553" s="2" t="n">
        <v>69.27</v>
      </c>
      <c r="DW553" s="2" t="n">
        <v>68.37</v>
      </c>
      <c r="DX553" s="2" t="n">
        <v>0</v>
      </c>
      <c r="DY553" s="2" t="n">
        <v>77.41</v>
      </c>
      <c r="DZ553" s="2" t="n">
        <v>72.89</v>
      </c>
      <c r="EA553" s="2" t="n">
        <v>0</v>
      </c>
      <c r="EB553" s="2" t="n">
        <v>90.95999999999999</v>
      </c>
      <c r="EC553" s="2" t="n">
        <v>86.44</v>
      </c>
      <c r="ED553" s="2" t="n">
        <v>0</v>
      </c>
      <c r="EE553" s="2" t="n">
        <v>100</v>
      </c>
      <c r="EF553" s="2" t="n">
        <v>90.95999999999999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  <c r="ET553" s="2" t="n">
        <v>100</v>
      </c>
      <c r="EU553" s="2" t="n">
        <v>100</v>
      </c>
      <c r="EV553" s="2" t="n">
        <v>0</v>
      </c>
      <c r="EW553" s="2" t="n">
        <v>100</v>
      </c>
      <c r="EX553" s="2" t="n">
        <v>100</v>
      </c>
      <c r="EY553" s="2" t="n">
        <v>0</v>
      </c>
      <c r="EZ553" s="2" t="n">
        <v>100</v>
      </c>
      <c r="FA553" s="2" t="n">
        <v>100</v>
      </c>
      <c r="FB553" s="2" t="n">
        <v>0</v>
      </c>
      <c r="FC553" s="2" t="n">
        <v>100</v>
      </c>
      <c r="FD553" s="2" t="n">
        <v>100</v>
      </c>
      <c r="FE553" s="2" t="n">
        <v>0</v>
      </c>
      <c r="FF553" s="2" t="n">
        <v>100</v>
      </c>
      <c r="FG553" s="2" t="n">
        <v>100</v>
      </c>
      <c r="FH553" s="2" t="n">
        <v>0</v>
      </c>
      <c r="FI553" s="2" t="n">
        <v>100</v>
      </c>
      <c r="FJ553" s="2" t="n">
        <v>100</v>
      </c>
      <c r="FK553" s="2" t="n">
        <v>0</v>
      </c>
      <c r="FL553" s="2" t="n">
        <v>100</v>
      </c>
      <c r="FM553" s="2" t="n">
        <v>100</v>
      </c>
      <c r="FN553" s="2" t="n">
        <v>0</v>
      </c>
      <c r="FO553" s="2" t="n">
        <v>100</v>
      </c>
      <c r="FP553" s="2" t="n">
        <v>100</v>
      </c>
      <c r="FQ553" s="2" t="n">
        <v>0</v>
      </c>
    </row>
    <row r="554">
      <c r="A554" s="2" t="n">
        <v>2</v>
      </c>
      <c r="B554" s="2" t="inlineStr">
        <is>
          <t>24.03</t>
        </is>
      </c>
      <c r="C554" s="2" t="inlineStr">
        <is>
          <t>Serviços Complementares diversos</t>
        </is>
      </c>
      <c r="D554" s="2" t="inlineStr">
        <is>
          <t>16/09/2026</t>
        </is>
      </c>
      <c r="E554" s="2" t="inlineStr">
        <is>
          <t>24/03/2028</t>
        </is>
      </c>
      <c r="F554" s="2" t="n">
        <v>835818.041</v>
      </c>
      <c r="G554" s="2" t="n">
        <v>0</v>
      </c>
      <c r="H554" s="2" t="n">
        <v>835818.041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0.05</v>
      </c>
      <c r="CG554" s="2" t="n">
        <v>0.05</v>
      </c>
      <c r="CH554" s="2" t="n">
        <v>0</v>
      </c>
      <c r="CI554" s="2" t="n">
        <v>0.12</v>
      </c>
      <c r="CJ554" s="2" t="n">
        <v>0.11</v>
      </c>
      <c r="CK554" s="2" t="n">
        <v>0</v>
      </c>
      <c r="CL554" s="2" t="n">
        <v>0.25</v>
      </c>
      <c r="CM554" s="2" t="n">
        <v>0.18</v>
      </c>
      <c r="CN554" s="2" t="n">
        <v>0</v>
      </c>
      <c r="CO554" s="2" t="n">
        <v>1.02</v>
      </c>
      <c r="CP554" s="2" t="n">
        <v>0.91</v>
      </c>
      <c r="CQ554" s="2" t="n">
        <v>0</v>
      </c>
      <c r="CR554" s="2" t="n">
        <v>4.22</v>
      </c>
      <c r="CS554" s="2" t="n">
        <v>4.15</v>
      </c>
      <c r="CT554" s="2" t="n">
        <v>0</v>
      </c>
      <c r="CU554" s="2" t="n">
        <v>4.9</v>
      </c>
      <c r="CV554" s="2" t="n">
        <v>4.85</v>
      </c>
      <c r="CW554" s="2" t="n">
        <v>0</v>
      </c>
      <c r="CX554" s="2" t="n">
        <v>5.66</v>
      </c>
      <c r="CY554" s="2" t="n">
        <v>5.63</v>
      </c>
      <c r="CZ554" s="2" t="n">
        <v>0</v>
      </c>
      <c r="DA554" s="2" t="n">
        <v>7.15</v>
      </c>
      <c r="DB554" s="2" t="n">
        <v>7.08</v>
      </c>
      <c r="DC554" s="2" t="n">
        <v>0</v>
      </c>
      <c r="DD554" s="2" t="n">
        <v>8.140000000000001</v>
      </c>
      <c r="DE554" s="2" t="n">
        <v>9.710000000000001</v>
      </c>
      <c r="DF554" s="2" t="n">
        <v>0</v>
      </c>
      <c r="DG554" s="2" t="n">
        <v>15.69</v>
      </c>
      <c r="DH554" s="2" t="n">
        <v>15.68</v>
      </c>
      <c r="DI554" s="2" t="n">
        <v>0</v>
      </c>
      <c r="DJ554" s="2" t="n">
        <v>17.67</v>
      </c>
      <c r="DK554" s="2" t="n">
        <v>17.64</v>
      </c>
      <c r="DL554" s="2" t="n">
        <v>0</v>
      </c>
      <c r="DM554" s="2" t="n">
        <v>19.89</v>
      </c>
      <c r="DN554" s="2" t="n">
        <v>19.82</v>
      </c>
      <c r="DO554" s="2" t="n">
        <v>0</v>
      </c>
      <c r="DP554" s="2" t="n">
        <v>22.97</v>
      </c>
      <c r="DQ554" s="2" t="n">
        <v>22.87</v>
      </c>
      <c r="DR554" s="2" t="n">
        <v>0</v>
      </c>
      <c r="DS554" s="2" t="n">
        <v>24.65</v>
      </c>
      <c r="DT554" s="2" t="n">
        <v>24.51</v>
      </c>
      <c r="DU554" s="2" t="n">
        <v>0</v>
      </c>
      <c r="DV554" s="2" t="n">
        <v>28.89</v>
      </c>
      <c r="DW554" s="2" t="n">
        <v>28.76</v>
      </c>
      <c r="DX554" s="2" t="n">
        <v>0</v>
      </c>
      <c r="DY554" s="2" t="n">
        <v>75.95</v>
      </c>
      <c r="DZ554" s="2" t="n">
        <v>75.88</v>
      </c>
      <c r="EA554" s="2" t="n">
        <v>0</v>
      </c>
      <c r="EB554" s="2" t="n">
        <v>97.61</v>
      </c>
      <c r="EC554" s="2" t="n">
        <v>97.61</v>
      </c>
      <c r="ED554" s="2" t="n">
        <v>0</v>
      </c>
      <c r="EE554" s="2" t="n">
        <v>97.84999999999999</v>
      </c>
      <c r="EF554" s="2" t="n">
        <v>97.84999999999999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  <c r="ET554" s="2" t="n">
        <v>100</v>
      </c>
      <c r="EU554" s="2" t="n">
        <v>100</v>
      </c>
      <c r="EV554" s="2" t="n">
        <v>0</v>
      </c>
      <c r="EW554" s="2" t="n">
        <v>100</v>
      </c>
      <c r="EX554" s="2" t="n">
        <v>100</v>
      </c>
      <c r="EY554" s="2" t="n">
        <v>0</v>
      </c>
      <c r="EZ554" s="2" t="n">
        <v>100</v>
      </c>
      <c r="FA554" s="2" t="n">
        <v>100</v>
      </c>
      <c r="FB554" s="2" t="n">
        <v>0</v>
      </c>
      <c r="FC554" s="2" t="n">
        <v>100</v>
      </c>
      <c r="FD554" s="2" t="n">
        <v>100</v>
      </c>
      <c r="FE554" s="2" t="n">
        <v>0</v>
      </c>
      <c r="FF554" s="2" t="n">
        <v>100</v>
      </c>
      <c r="FG554" s="2" t="n">
        <v>100</v>
      </c>
      <c r="FH554" s="2" t="n">
        <v>0</v>
      </c>
      <c r="FI554" s="2" t="n">
        <v>100</v>
      </c>
      <c r="FJ554" s="2" t="n">
        <v>100</v>
      </c>
      <c r="FK554" s="2" t="n">
        <v>0</v>
      </c>
      <c r="FL554" s="2" t="n">
        <v>100</v>
      </c>
      <c r="FM554" s="2" t="n">
        <v>100</v>
      </c>
      <c r="FN554" s="2" t="n">
        <v>0</v>
      </c>
      <c r="FO554" s="2" t="n">
        <v>100</v>
      </c>
      <c r="FP554" s="2" t="n">
        <v>100</v>
      </c>
      <c r="FQ554" s="2" t="n">
        <v>0</v>
      </c>
    </row>
    <row r="555">
      <c r="A555" s="2" t="n">
        <v>3</v>
      </c>
      <c r="B555" s="2" t="inlineStr">
        <is>
          <t>24.03.01</t>
        </is>
      </c>
      <c r="C555" s="2" t="inlineStr">
        <is>
          <t>Maquinário para Spa coberto(Pilotis)</t>
        </is>
      </c>
      <c r="D555" s="2" t="inlineStr">
        <is>
          <t>30/11/2027</t>
        </is>
      </c>
      <c r="E555" s="2" t="inlineStr">
        <is>
          <t>10/01/2028</t>
        </is>
      </c>
      <c r="F555" s="2" t="n">
        <v>89910</v>
      </c>
      <c r="G555" s="2" t="n">
        <v>0</v>
      </c>
      <c r="H555" s="2" t="n">
        <v>89910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</v>
      </c>
      <c r="CD555" s="2" t="n">
        <v>0</v>
      </c>
      <c r="CE555" s="2" t="n">
        <v>0</v>
      </c>
      <c r="CF555" s="2" t="n">
        <v>0</v>
      </c>
      <c r="CG555" s="2" t="n">
        <v>0</v>
      </c>
      <c r="CH555" s="2" t="n">
        <v>0</v>
      </c>
      <c r="CI555" s="2" t="n">
        <v>0</v>
      </c>
      <c r="CJ555" s="2" t="n">
        <v>0</v>
      </c>
      <c r="CK555" s="2" t="n">
        <v>0</v>
      </c>
      <c r="CL555" s="2" t="n">
        <v>0</v>
      </c>
      <c r="CM555" s="2" t="n">
        <v>0</v>
      </c>
      <c r="CN555" s="2" t="n">
        <v>0</v>
      </c>
      <c r="CO555" s="2" t="n">
        <v>0</v>
      </c>
      <c r="CP555" s="2" t="n">
        <v>0</v>
      </c>
      <c r="CQ555" s="2" t="n">
        <v>0</v>
      </c>
      <c r="CR555" s="2" t="n">
        <v>0</v>
      </c>
      <c r="CS555" s="2" t="n">
        <v>0</v>
      </c>
      <c r="CT555" s="2" t="n">
        <v>0</v>
      </c>
      <c r="CU555" s="2" t="n">
        <v>0</v>
      </c>
      <c r="CV555" s="2" t="n">
        <v>0</v>
      </c>
      <c r="CW555" s="2" t="n">
        <v>0</v>
      </c>
      <c r="CX555" s="2" t="n">
        <v>0</v>
      </c>
      <c r="CY555" s="2" t="n">
        <v>0</v>
      </c>
      <c r="CZ555" s="2" t="n">
        <v>0</v>
      </c>
      <c r="DA555" s="2" t="n">
        <v>0</v>
      </c>
      <c r="DB555" s="2" t="n">
        <v>0</v>
      </c>
      <c r="DC555" s="2" t="n">
        <v>0</v>
      </c>
      <c r="DD555" s="2" t="n">
        <v>0</v>
      </c>
      <c r="DE555" s="2" t="n">
        <v>0</v>
      </c>
      <c r="DF555" s="2" t="n">
        <v>0</v>
      </c>
      <c r="DG555" s="2" t="n">
        <v>0</v>
      </c>
      <c r="DH555" s="2" t="n">
        <v>0</v>
      </c>
      <c r="DI555" s="2" t="n">
        <v>0</v>
      </c>
      <c r="DJ555" s="2" t="n">
        <v>0</v>
      </c>
      <c r="DK555" s="2" t="n">
        <v>0</v>
      </c>
      <c r="DL555" s="2" t="n">
        <v>0</v>
      </c>
      <c r="DM555" s="2" t="n">
        <v>0</v>
      </c>
      <c r="DN555" s="2" t="n">
        <v>0</v>
      </c>
      <c r="DO555" s="2" t="n">
        <v>0</v>
      </c>
      <c r="DP555" s="2" t="n">
        <v>0</v>
      </c>
      <c r="DQ555" s="2" t="n">
        <v>0</v>
      </c>
      <c r="DR555" s="2" t="n">
        <v>0</v>
      </c>
      <c r="DS555" s="2" t="n">
        <v>0</v>
      </c>
      <c r="DT555" s="2" t="n">
        <v>0</v>
      </c>
      <c r="DU555" s="2" t="n">
        <v>0</v>
      </c>
      <c r="DV555" s="2" t="n">
        <v>5</v>
      </c>
      <c r="DW555" s="2" t="n">
        <v>5</v>
      </c>
      <c r="DX555" s="2" t="n">
        <v>0</v>
      </c>
      <c r="DY555" s="2" t="n">
        <v>70</v>
      </c>
      <c r="DZ555" s="2" t="n">
        <v>70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  <c r="ET555" s="2" t="n">
        <v>100</v>
      </c>
      <c r="EU555" s="2" t="n">
        <v>100</v>
      </c>
      <c r="EV555" s="2" t="n">
        <v>0</v>
      </c>
      <c r="EW555" s="2" t="n">
        <v>100</v>
      </c>
      <c r="EX555" s="2" t="n">
        <v>100</v>
      </c>
      <c r="EY555" s="2" t="n">
        <v>0</v>
      </c>
      <c r="EZ555" s="2" t="n">
        <v>100</v>
      </c>
      <c r="FA555" s="2" t="n">
        <v>100</v>
      </c>
      <c r="FB555" s="2" t="n">
        <v>0</v>
      </c>
      <c r="FC555" s="2" t="n">
        <v>100</v>
      </c>
      <c r="FD555" s="2" t="n">
        <v>100</v>
      </c>
      <c r="FE555" s="2" t="n">
        <v>0</v>
      </c>
      <c r="FF555" s="2" t="n">
        <v>100</v>
      </c>
      <c r="FG555" s="2" t="n">
        <v>100</v>
      </c>
      <c r="FH555" s="2" t="n">
        <v>0</v>
      </c>
      <c r="FI555" s="2" t="n">
        <v>100</v>
      </c>
      <c r="FJ555" s="2" t="n">
        <v>100</v>
      </c>
      <c r="FK555" s="2" t="n">
        <v>0</v>
      </c>
      <c r="FL555" s="2" t="n">
        <v>100</v>
      </c>
      <c r="FM555" s="2" t="n">
        <v>100</v>
      </c>
      <c r="FN555" s="2" t="n">
        <v>0</v>
      </c>
      <c r="FO555" s="2" t="n">
        <v>100</v>
      </c>
      <c r="FP555" s="2" t="n">
        <v>100</v>
      </c>
      <c r="FQ555" s="2" t="n">
        <v>0</v>
      </c>
    </row>
    <row r="556">
      <c r="A556" s="2" t="n">
        <v>3</v>
      </c>
      <c r="B556" s="2" t="inlineStr">
        <is>
          <t>24.03.02</t>
        </is>
      </c>
      <c r="C556" s="2" t="inlineStr">
        <is>
          <t>Maquinário para Piscina raia coberta (Pilotis)</t>
        </is>
      </c>
      <c r="D556" s="2" t="inlineStr">
        <is>
          <t>30/11/2027</t>
        </is>
      </c>
      <c r="E556" s="2" t="inlineStr">
        <is>
          <t>10/01/2028</t>
        </is>
      </c>
      <c r="F556" s="2" t="n">
        <v>110020</v>
      </c>
      <c r="G556" s="2" t="n">
        <v>0</v>
      </c>
      <c r="H556" s="2" t="n">
        <v>110020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0</v>
      </c>
      <c r="DB556" s="2" t="n">
        <v>0</v>
      </c>
      <c r="DC556" s="2" t="n">
        <v>0</v>
      </c>
      <c r="DD556" s="2" t="n">
        <v>0</v>
      </c>
      <c r="DE556" s="2" t="n">
        <v>0</v>
      </c>
      <c r="DF556" s="2" t="n">
        <v>0</v>
      </c>
      <c r="DG556" s="2" t="n">
        <v>0</v>
      </c>
      <c r="DH556" s="2" t="n">
        <v>0</v>
      </c>
      <c r="DI556" s="2" t="n">
        <v>0</v>
      </c>
      <c r="DJ556" s="2" t="n">
        <v>0</v>
      </c>
      <c r="DK556" s="2" t="n">
        <v>0</v>
      </c>
      <c r="DL556" s="2" t="n">
        <v>0</v>
      </c>
      <c r="DM556" s="2" t="n">
        <v>0</v>
      </c>
      <c r="DN556" s="2" t="n">
        <v>0</v>
      </c>
      <c r="DO556" s="2" t="n">
        <v>0</v>
      </c>
      <c r="DP556" s="2" t="n">
        <v>0</v>
      </c>
      <c r="DQ556" s="2" t="n">
        <v>0</v>
      </c>
      <c r="DR556" s="2" t="n">
        <v>0</v>
      </c>
      <c r="DS556" s="2" t="n">
        <v>0</v>
      </c>
      <c r="DT556" s="2" t="n">
        <v>0</v>
      </c>
      <c r="DU556" s="2" t="n">
        <v>0</v>
      </c>
      <c r="DV556" s="2" t="n">
        <v>5</v>
      </c>
      <c r="DW556" s="2" t="n">
        <v>5</v>
      </c>
      <c r="DX556" s="2" t="n">
        <v>0</v>
      </c>
      <c r="DY556" s="2" t="n">
        <v>70</v>
      </c>
      <c r="DZ556" s="2" t="n">
        <v>70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  <c r="ET556" s="2" t="n">
        <v>100</v>
      </c>
      <c r="EU556" s="2" t="n">
        <v>100</v>
      </c>
      <c r="EV556" s="2" t="n">
        <v>0</v>
      </c>
      <c r="EW556" s="2" t="n">
        <v>100</v>
      </c>
      <c r="EX556" s="2" t="n">
        <v>100</v>
      </c>
      <c r="EY556" s="2" t="n">
        <v>0</v>
      </c>
      <c r="EZ556" s="2" t="n">
        <v>100</v>
      </c>
      <c r="FA556" s="2" t="n">
        <v>100</v>
      </c>
      <c r="FB556" s="2" t="n">
        <v>0</v>
      </c>
      <c r="FC556" s="2" t="n">
        <v>100</v>
      </c>
      <c r="FD556" s="2" t="n">
        <v>100</v>
      </c>
      <c r="FE556" s="2" t="n">
        <v>0</v>
      </c>
      <c r="FF556" s="2" t="n">
        <v>100</v>
      </c>
      <c r="FG556" s="2" t="n">
        <v>100</v>
      </c>
      <c r="FH556" s="2" t="n">
        <v>0</v>
      </c>
      <c r="FI556" s="2" t="n">
        <v>100</v>
      </c>
      <c r="FJ556" s="2" t="n">
        <v>100</v>
      </c>
      <c r="FK556" s="2" t="n">
        <v>0</v>
      </c>
      <c r="FL556" s="2" t="n">
        <v>100</v>
      </c>
      <c r="FM556" s="2" t="n">
        <v>100</v>
      </c>
      <c r="FN556" s="2" t="n">
        <v>0</v>
      </c>
      <c r="FO556" s="2" t="n">
        <v>100</v>
      </c>
      <c r="FP556" s="2" t="n">
        <v>100</v>
      </c>
      <c r="FQ556" s="2" t="n">
        <v>0</v>
      </c>
    </row>
    <row r="557">
      <c r="A557" s="2" t="n">
        <v>3</v>
      </c>
      <c r="B557" s="2" t="inlineStr">
        <is>
          <t>24.03.03</t>
        </is>
      </c>
      <c r="C557" s="2" t="inlineStr">
        <is>
          <t>Maquinário para Piscina adulto| infantil climatizada externa (Pilotis)</t>
        </is>
      </c>
      <c r="D557" s="2" t="inlineStr">
        <is>
          <t>30/11/2027</t>
        </is>
      </c>
      <c r="E557" s="2" t="inlineStr">
        <is>
          <t>10/01/2028</t>
        </is>
      </c>
      <c r="F557" s="2" t="n">
        <v>360440</v>
      </c>
      <c r="G557" s="2" t="n">
        <v>0</v>
      </c>
      <c r="H557" s="2" t="n">
        <v>360440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</v>
      </c>
      <c r="CD557" s="2" t="n">
        <v>0</v>
      </c>
      <c r="CE557" s="2" t="n">
        <v>0</v>
      </c>
      <c r="CF557" s="2" t="n">
        <v>0</v>
      </c>
      <c r="CG557" s="2" t="n">
        <v>0</v>
      </c>
      <c r="CH557" s="2" t="n">
        <v>0</v>
      </c>
      <c r="CI557" s="2" t="n">
        <v>0</v>
      </c>
      <c r="CJ557" s="2" t="n">
        <v>0</v>
      </c>
      <c r="CK557" s="2" t="n">
        <v>0</v>
      </c>
      <c r="CL557" s="2" t="n">
        <v>0</v>
      </c>
      <c r="CM557" s="2" t="n">
        <v>0</v>
      </c>
      <c r="CN557" s="2" t="n">
        <v>0</v>
      </c>
      <c r="CO557" s="2" t="n">
        <v>0</v>
      </c>
      <c r="CP557" s="2" t="n">
        <v>0</v>
      </c>
      <c r="CQ557" s="2" t="n">
        <v>0</v>
      </c>
      <c r="CR557" s="2" t="n">
        <v>0</v>
      </c>
      <c r="CS557" s="2" t="n">
        <v>0</v>
      </c>
      <c r="CT557" s="2" t="n">
        <v>0</v>
      </c>
      <c r="CU557" s="2" t="n">
        <v>0</v>
      </c>
      <c r="CV557" s="2" t="n">
        <v>0</v>
      </c>
      <c r="CW557" s="2" t="n">
        <v>0</v>
      </c>
      <c r="CX557" s="2" t="n">
        <v>0</v>
      </c>
      <c r="CY557" s="2" t="n">
        <v>0</v>
      </c>
      <c r="CZ557" s="2" t="n">
        <v>0</v>
      </c>
      <c r="DA557" s="2" t="n">
        <v>0</v>
      </c>
      <c r="DB557" s="2" t="n">
        <v>0</v>
      </c>
      <c r="DC557" s="2" t="n">
        <v>0</v>
      </c>
      <c r="DD557" s="2" t="n">
        <v>0</v>
      </c>
      <c r="DE557" s="2" t="n">
        <v>0</v>
      </c>
      <c r="DF557" s="2" t="n">
        <v>0</v>
      </c>
      <c r="DG557" s="2" t="n">
        <v>0</v>
      </c>
      <c r="DH557" s="2" t="n">
        <v>0</v>
      </c>
      <c r="DI557" s="2" t="n">
        <v>0</v>
      </c>
      <c r="DJ557" s="2" t="n">
        <v>0</v>
      </c>
      <c r="DK557" s="2" t="n">
        <v>0</v>
      </c>
      <c r="DL557" s="2" t="n">
        <v>0</v>
      </c>
      <c r="DM557" s="2" t="n">
        <v>0</v>
      </c>
      <c r="DN557" s="2" t="n">
        <v>0</v>
      </c>
      <c r="DO557" s="2" t="n">
        <v>0</v>
      </c>
      <c r="DP557" s="2" t="n">
        <v>0</v>
      </c>
      <c r="DQ557" s="2" t="n">
        <v>0</v>
      </c>
      <c r="DR557" s="2" t="n">
        <v>0</v>
      </c>
      <c r="DS557" s="2" t="n">
        <v>0</v>
      </c>
      <c r="DT557" s="2" t="n">
        <v>0</v>
      </c>
      <c r="DU557" s="2" t="n">
        <v>0</v>
      </c>
      <c r="DV557" s="2" t="n">
        <v>5</v>
      </c>
      <c r="DW557" s="2" t="n">
        <v>5</v>
      </c>
      <c r="DX557" s="2" t="n">
        <v>0</v>
      </c>
      <c r="DY557" s="2" t="n">
        <v>70</v>
      </c>
      <c r="DZ557" s="2" t="n">
        <v>70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  <c r="ET557" s="2" t="n">
        <v>100</v>
      </c>
      <c r="EU557" s="2" t="n">
        <v>100</v>
      </c>
      <c r="EV557" s="2" t="n">
        <v>0</v>
      </c>
      <c r="EW557" s="2" t="n">
        <v>100</v>
      </c>
      <c r="EX557" s="2" t="n">
        <v>100</v>
      </c>
      <c r="EY557" s="2" t="n">
        <v>0</v>
      </c>
      <c r="EZ557" s="2" t="n">
        <v>100</v>
      </c>
      <c r="FA557" s="2" t="n">
        <v>100</v>
      </c>
      <c r="FB557" s="2" t="n">
        <v>0</v>
      </c>
      <c r="FC557" s="2" t="n">
        <v>100</v>
      </c>
      <c r="FD557" s="2" t="n">
        <v>100</v>
      </c>
      <c r="FE557" s="2" t="n">
        <v>0</v>
      </c>
      <c r="FF557" s="2" t="n">
        <v>100</v>
      </c>
      <c r="FG557" s="2" t="n">
        <v>100</v>
      </c>
      <c r="FH557" s="2" t="n">
        <v>0</v>
      </c>
      <c r="FI557" s="2" t="n">
        <v>100</v>
      </c>
      <c r="FJ557" s="2" t="n">
        <v>100</v>
      </c>
      <c r="FK557" s="2" t="n">
        <v>0</v>
      </c>
      <c r="FL557" s="2" t="n">
        <v>100</v>
      </c>
      <c r="FM557" s="2" t="n">
        <v>100</v>
      </c>
      <c r="FN557" s="2" t="n">
        <v>0</v>
      </c>
      <c r="FO557" s="2" t="n">
        <v>100</v>
      </c>
      <c r="FP557" s="2" t="n">
        <v>100</v>
      </c>
      <c r="FQ557" s="2" t="n">
        <v>0</v>
      </c>
    </row>
    <row r="558">
      <c r="A558" s="2" t="n">
        <v>3</v>
      </c>
      <c r="B558" s="2" t="inlineStr">
        <is>
          <t>24.03.04</t>
        </is>
      </c>
      <c r="C558" s="2" t="inlineStr">
        <is>
          <t>Maquinário para sauna a vapor</t>
        </is>
      </c>
      <c r="D558" s="2" t="inlineStr">
        <is>
          <t>30/11/2027</t>
        </is>
      </c>
      <c r="E558" s="2" t="inlineStr">
        <is>
          <t>10/01/2028</t>
        </is>
      </c>
      <c r="F558" s="2" t="n">
        <v>15000</v>
      </c>
      <c r="G558" s="2" t="n">
        <v>0</v>
      </c>
      <c r="H558" s="2" t="n">
        <v>15000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</v>
      </c>
      <c r="CD558" s="2" t="n">
        <v>0</v>
      </c>
      <c r="CE558" s="2" t="n">
        <v>0</v>
      </c>
      <c r="CF558" s="2" t="n">
        <v>0</v>
      </c>
      <c r="CG558" s="2" t="n">
        <v>0</v>
      </c>
      <c r="CH558" s="2" t="n">
        <v>0</v>
      </c>
      <c r="CI558" s="2" t="n">
        <v>0</v>
      </c>
      <c r="CJ558" s="2" t="n">
        <v>0</v>
      </c>
      <c r="CK558" s="2" t="n">
        <v>0</v>
      </c>
      <c r="CL558" s="2" t="n">
        <v>0</v>
      </c>
      <c r="CM558" s="2" t="n">
        <v>0</v>
      </c>
      <c r="CN558" s="2" t="n">
        <v>0</v>
      </c>
      <c r="CO558" s="2" t="n">
        <v>0</v>
      </c>
      <c r="CP558" s="2" t="n">
        <v>0</v>
      </c>
      <c r="CQ558" s="2" t="n">
        <v>0</v>
      </c>
      <c r="CR558" s="2" t="n">
        <v>0</v>
      </c>
      <c r="CS558" s="2" t="n">
        <v>0</v>
      </c>
      <c r="CT558" s="2" t="n">
        <v>0</v>
      </c>
      <c r="CU558" s="2" t="n">
        <v>0</v>
      </c>
      <c r="CV558" s="2" t="n">
        <v>0</v>
      </c>
      <c r="CW558" s="2" t="n">
        <v>0</v>
      </c>
      <c r="CX558" s="2" t="n">
        <v>0</v>
      </c>
      <c r="CY558" s="2" t="n">
        <v>0</v>
      </c>
      <c r="CZ558" s="2" t="n">
        <v>0</v>
      </c>
      <c r="DA558" s="2" t="n">
        <v>0</v>
      </c>
      <c r="DB558" s="2" t="n">
        <v>0</v>
      </c>
      <c r="DC558" s="2" t="n">
        <v>0</v>
      </c>
      <c r="DD558" s="2" t="n">
        <v>0</v>
      </c>
      <c r="DE558" s="2" t="n">
        <v>0</v>
      </c>
      <c r="DF558" s="2" t="n">
        <v>0</v>
      </c>
      <c r="DG558" s="2" t="n">
        <v>0</v>
      </c>
      <c r="DH558" s="2" t="n">
        <v>0</v>
      </c>
      <c r="DI558" s="2" t="n">
        <v>0</v>
      </c>
      <c r="DJ558" s="2" t="n">
        <v>0</v>
      </c>
      <c r="DK558" s="2" t="n">
        <v>0</v>
      </c>
      <c r="DL558" s="2" t="n">
        <v>0</v>
      </c>
      <c r="DM558" s="2" t="n">
        <v>0</v>
      </c>
      <c r="DN558" s="2" t="n">
        <v>0</v>
      </c>
      <c r="DO558" s="2" t="n">
        <v>0</v>
      </c>
      <c r="DP558" s="2" t="n">
        <v>0</v>
      </c>
      <c r="DQ558" s="2" t="n">
        <v>0</v>
      </c>
      <c r="DR558" s="2" t="n">
        <v>0</v>
      </c>
      <c r="DS558" s="2" t="n">
        <v>0</v>
      </c>
      <c r="DT558" s="2" t="n">
        <v>0</v>
      </c>
      <c r="DU558" s="2" t="n">
        <v>0</v>
      </c>
      <c r="DV558" s="2" t="n">
        <v>5</v>
      </c>
      <c r="DW558" s="2" t="n">
        <v>5</v>
      </c>
      <c r="DX558" s="2" t="n">
        <v>0</v>
      </c>
      <c r="DY558" s="2" t="n">
        <v>70</v>
      </c>
      <c r="DZ558" s="2" t="n">
        <v>70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  <c r="ET558" s="2" t="n">
        <v>100</v>
      </c>
      <c r="EU558" s="2" t="n">
        <v>100</v>
      </c>
      <c r="EV558" s="2" t="n">
        <v>0</v>
      </c>
      <c r="EW558" s="2" t="n">
        <v>100</v>
      </c>
      <c r="EX558" s="2" t="n">
        <v>100</v>
      </c>
      <c r="EY558" s="2" t="n">
        <v>0</v>
      </c>
      <c r="EZ558" s="2" t="n">
        <v>100</v>
      </c>
      <c r="FA558" s="2" t="n">
        <v>100</v>
      </c>
      <c r="FB558" s="2" t="n">
        <v>0</v>
      </c>
      <c r="FC558" s="2" t="n">
        <v>100</v>
      </c>
      <c r="FD558" s="2" t="n">
        <v>100</v>
      </c>
      <c r="FE558" s="2" t="n">
        <v>0</v>
      </c>
      <c r="FF558" s="2" t="n">
        <v>100</v>
      </c>
      <c r="FG558" s="2" t="n">
        <v>100</v>
      </c>
      <c r="FH558" s="2" t="n">
        <v>0</v>
      </c>
      <c r="FI558" s="2" t="n">
        <v>100</v>
      </c>
      <c r="FJ558" s="2" t="n">
        <v>100</v>
      </c>
      <c r="FK558" s="2" t="n">
        <v>0</v>
      </c>
      <c r="FL558" s="2" t="n">
        <v>100</v>
      </c>
      <c r="FM558" s="2" t="n">
        <v>100</v>
      </c>
      <c r="FN558" s="2" t="n">
        <v>0</v>
      </c>
      <c r="FO558" s="2" t="n">
        <v>100</v>
      </c>
      <c r="FP558" s="2" t="n">
        <v>100</v>
      </c>
      <c r="FQ558" s="2" t="n">
        <v>0</v>
      </c>
    </row>
    <row r="559">
      <c r="A559" s="2" t="n">
        <v>3</v>
      </c>
      <c r="B559" s="2" t="inlineStr">
        <is>
          <t>24.03.05</t>
        </is>
      </c>
      <c r="C559" s="2" t="inlineStr">
        <is>
          <t>Maquinário para sauna a seca</t>
        </is>
      </c>
      <c r="D559" s="2" t="inlineStr">
        <is>
          <t>30/11/2027</t>
        </is>
      </c>
      <c r="E559" s="2" t="inlineStr">
        <is>
          <t>10/01/2028</t>
        </is>
      </c>
      <c r="F559" s="2" t="n">
        <v>25000</v>
      </c>
      <c r="G559" s="2" t="n">
        <v>0</v>
      </c>
      <c r="H559" s="2" t="n">
        <v>25000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</v>
      </c>
      <c r="CD559" s="2" t="n">
        <v>0</v>
      </c>
      <c r="CE559" s="2" t="n">
        <v>0</v>
      </c>
      <c r="CF559" s="2" t="n">
        <v>0</v>
      </c>
      <c r="CG559" s="2" t="n">
        <v>0</v>
      </c>
      <c r="CH559" s="2" t="n">
        <v>0</v>
      </c>
      <c r="CI559" s="2" t="n">
        <v>0</v>
      </c>
      <c r="CJ559" s="2" t="n">
        <v>0</v>
      </c>
      <c r="CK559" s="2" t="n">
        <v>0</v>
      </c>
      <c r="CL559" s="2" t="n">
        <v>0</v>
      </c>
      <c r="CM559" s="2" t="n">
        <v>0</v>
      </c>
      <c r="CN559" s="2" t="n">
        <v>0</v>
      </c>
      <c r="CO559" s="2" t="n">
        <v>0</v>
      </c>
      <c r="CP559" s="2" t="n">
        <v>0</v>
      </c>
      <c r="CQ559" s="2" t="n">
        <v>0</v>
      </c>
      <c r="CR559" s="2" t="n">
        <v>0</v>
      </c>
      <c r="CS559" s="2" t="n">
        <v>0</v>
      </c>
      <c r="CT559" s="2" t="n">
        <v>0</v>
      </c>
      <c r="CU559" s="2" t="n">
        <v>0</v>
      </c>
      <c r="CV559" s="2" t="n">
        <v>0</v>
      </c>
      <c r="CW559" s="2" t="n">
        <v>0</v>
      </c>
      <c r="CX559" s="2" t="n">
        <v>0</v>
      </c>
      <c r="CY559" s="2" t="n">
        <v>0</v>
      </c>
      <c r="CZ559" s="2" t="n">
        <v>0</v>
      </c>
      <c r="DA559" s="2" t="n">
        <v>0</v>
      </c>
      <c r="DB559" s="2" t="n">
        <v>0</v>
      </c>
      <c r="DC559" s="2" t="n">
        <v>0</v>
      </c>
      <c r="DD559" s="2" t="n">
        <v>0</v>
      </c>
      <c r="DE559" s="2" t="n">
        <v>0</v>
      </c>
      <c r="DF559" s="2" t="n">
        <v>0</v>
      </c>
      <c r="DG559" s="2" t="n">
        <v>0</v>
      </c>
      <c r="DH559" s="2" t="n">
        <v>0</v>
      </c>
      <c r="DI559" s="2" t="n">
        <v>0</v>
      </c>
      <c r="DJ559" s="2" t="n">
        <v>0</v>
      </c>
      <c r="DK559" s="2" t="n">
        <v>0</v>
      </c>
      <c r="DL559" s="2" t="n">
        <v>0</v>
      </c>
      <c r="DM559" s="2" t="n">
        <v>0</v>
      </c>
      <c r="DN559" s="2" t="n">
        <v>0</v>
      </c>
      <c r="DO559" s="2" t="n">
        <v>0</v>
      </c>
      <c r="DP559" s="2" t="n">
        <v>0</v>
      </c>
      <c r="DQ559" s="2" t="n">
        <v>0</v>
      </c>
      <c r="DR559" s="2" t="n">
        <v>0</v>
      </c>
      <c r="DS559" s="2" t="n">
        <v>0</v>
      </c>
      <c r="DT559" s="2" t="n">
        <v>0</v>
      </c>
      <c r="DU559" s="2" t="n">
        <v>0</v>
      </c>
      <c r="DV559" s="2" t="n">
        <v>5</v>
      </c>
      <c r="DW559" s="2" t="n">
        <v>5</v>
      </c>
      <c r="DX559" s="2" t="n">
        <v>0</v>
      </c>
      <c r="DY559" s="2" t="n">
        <v>70</v>
      </c>
      <c r="DZ559" s="2" t="n">
        <v>70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  <c r="ET559" s="2" t="n">
        <v>100</v>
      </c>
      <c r="EU559" s="2" t="n">
        <v>100</v>
      </c>
      <c r="EV559" s="2" t="n">
        <v>0</v>
      </c>
      <c r="EW559" s="2" t="n">
        <v>100</v>
      </c>
      <c r="EX559" s="2" t="n">
        <v>100</v>
      </c>
      <c r="EY559" s="2" t="n">
        <v>0</v>
      </c>
      <c r="EZ559" s="2" t="n">
        <v>100</v>
      </c>
      <c r="FA559" s="2" t="n">
        <v>100</v>
      </c>
      <c r="FB559" s="2" t="n">
        <v>0</v>
      </c>
      <c r="FC559" s="2" t="n">
        <v>100</v>
      </c>
      <c r="FD559" s="2" t="n">
        <v>100</v>
      </c>
      <c r="FE559" s="2" t="n">
        <v>0</v>
      </c>
      <c r="FF559" s="2" t="n">
        <v>100</v>
      </c>
      <c r="FG559" s="2" t="n">
        <v>100</v>
      </c>
      <c r="FH559" s="2" t="n">
        <v>0</v>
      </c>
      <c r="FI559" s="2" t="n">
        <v>100</v>
      </c>
      <c r="FJ559" s="2" t="n">
        <v>100</v>
      </c>
      <c r="FK559" s="2" t="n">
        <v>0</v>
      </c>
      <c r="FL559" s="2" t="n">
        <v>100</v>
      </c>
      <c r="FM559" s="2" t="n">
        <v>100</v>
      </c>
      <c r="FN559" s="2" t="n">
        <v>0</v>
      </c>
      <c r="FO559" s="2" t="n">
        <v>100</v>
      </c>
      <c r="FP559" s="2" t="n">
        <v>100</v>
      </c>
      <c r="FQ559" s="2" t="n">
        <v>0</v>
      </c>
    </row>
    <row r="560">
      <c r="A560" s="2" t="n">
        <v>3</v>
      </c>
      <c r="B560" s="2" t="inlineStr">
        <is>
          <t>24.03.06</t>
        </is>
      </c>
      <c r="C560" s="2" t="inlineStr">
        <is>
          <t>INT - Desenho recortado a laser - Paginação segue paginação do granito</t>
        </is>
      </c>
      <c r="D560" s="2" t="inlineStr">
        <is>
          <t>21/05/2027</t>
        </is>
      </c>
      <c r="E560" s="2" t="inlineStr">
        <is>
          <t>22/06/2027</t>
        </is>
      </c>
      <c r="F560" s="2" t="n">
        <v>50000</v>
      </c>
      <c r="G560" s="2" t="n">
        <v>0</v>
      </c>
      <c r="H560" s="2" t="n">
        <v>50000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</v>
      </c>
      <c r="CD560" s="2" t="n">
        <v>0</v>
      </c>
      <c r="CE560" s="2" t="n">
        <v>0</v>
      </c>
      <c r="CF560" s="2" t="n">
        <v>0</v>
      </c>
      <c r="CG560" s="2" t="n">
        <v>0</v>
      </c>
      <c r="CH560" s="2" t="n">
        <v>0</v>
      </c>
      <c r="CI560" s="2" t="n">
        <v>0</v>
      </c>
      <c r="CJ560" s="2" t="n">
        <v>0</v>
      </c>
      <c r="CK560" s="2" t="n">
        <v>0</v>
      </c>
      <c r="CL560" s="2" t="n">
        <v>0</v>
      </c>
      <c r="CM560" s="2" t="n">
        <v>0</v>
      </c>
      <c r="CN560" s="2" t="n">
        <v>0</v>
      </c>
      <c r="CO560" s="2" t="n">
        <v>0</v>
      </c>
      <c r="CP560" s="2" t="n">
        <v>0</v>
      </c>
      <c r="CQ560" s="2" t="n">
        <v>0</v>
      </c>
      <c r="CR560" s="2" t="n">
        <v>0</v>
      </c>
      <c r="CS560" s="2" t="n">
        <v>0</v>
      </c>
      <c r="CT560" s="2" t="n">
        <v>0</v>
      </c>
      <c r="CU560" s="2" t="n">
        <v>0</v>
      </c>
      <c r="CV560" s="2" t="n">
        <v>0</v>
      </c>
      <c r="CW560" s="2" t="n">
        <v>0</v>
      </c>
      <c r="CX560" s="2" t="n">
        <v>0</v>
      </c>
      <c r="CY560" s="2" t="n">
        <v>0</v>
      </c>
      <c r="CZ560" s="2" t="n">
        <v>0</v>
      </c>
      <c r="DA560" s="2" t="n">
        <v>0</v>
      </c>
      <c r="DB560" s="2" t="n">
        <v>0</v>
      </c>
      <c r="DC560" s="2" t="n">
        <v>0</v>
      </c>
      <c r="DD560" s="2" t="n">
        <v>0</v>
      </c>
      <c r="DE560" s="2" t="n">
        <v>27.27</v>
      </c>
      <c r="DF560" s="2" t="n">
        <v>0</v>
      </c>
      <c r="DG560" s="2" t="n">
        <v>100</v>
      </c>
      <c r="DH560" s="2" t="n">
        <v>100</v>
      </c>
      <c r="DI560" s="2" t="n">
        <v>0</v>
      </c>
      <c r="DJ560" s="2" t="n">
        <v>100</v>
      </c>
      <c r="DK560" s="2" t="n">
        <v>100</v>
      </c>
      <c r="DL560" s="2" t="n">
        <v>0</v>
      </c>
      <c r="DM560" s="2" t="n">
        <v>100</v>
      </c>
      <c r="DN560" s="2" t="n">
        <v>100</v>
      </c>
      <c r="DO560" s="2" t="n">
        <v>0</v>
      </c>
      <c r="DP560" s="2" t="n">
        <v>100</v>
      </c>
      <c r="DQ560" s="2" t="n">
        <v>100</v>
      </c>
      <c r="DR560" s="2" t="n">
        <v>0</v>
      </c>
      <c r="DS560" s="2" t="n">
        <v>100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  <c r="ET560" s="2" t="n">
        <v>100</v>
      </c>
      <c r="EU560" s="2" t="n">
        <v>100</v>
      </c>
      <c r="EV560" s="2" t="n">
        <v>0</v>
      </c>
      <c r="EW560" s="2" t="n">
        <v>100</v>
      </c>
      <c r="EX560" s="2" t="n">
        <v>100</v>
      </c>
      <c r="EY560" s="2" t="n">
        <v>0</v>
      </c>
      <c r="EZ560" s="2" t="n">
        <v>100</v>
      </c>
      <c r="FA560" s="2" t="n">
        <v>100</v>
      </c>
      <c r="FB560" s="2" t="n">
        <v>0</v>
      </c>
      <c r="FC560" s="2" t="n">
        <v>100</v>
      </c>
      <c r="FD560" s="2" t="n">
        <v>100</v>
      </c>
      <c r="FE560" s="2" t="n">
        <v>0</v>
      </c>
      <c r="FF560" s="2" t="n">
        <v>100</v>
      </c>
      <c r="FG560" s="2" t="n">
        <v>100</v>
      </c>
      <c r="FH560" s="2" t="n">
        <v>0</v>
      </c>
      <c r="FI560" s="2" t="n">
        <v>100</v>
      </c>
      <c r="FJ560" s="2" t="n">
        <v>100</v>
      </c>
      <c r="FK560" s="2" t="n">
        <v>0</v>
      </c>
      <c r="FL560" s="2" t="n">
        <v>100</v>
      </c>
      <c r="FM560" s="2" t="n">
        <v>100</v>
      </c>
      <c r="FN560" s="2" t="n">
        <v>0</v>
      </c>
      <c r="FO560" s="2" t="n">
        <v>100</v>
      </c>
      <c r="FP560" s="2" t="n">
        <v>100</v>
      </c>
      <c r="FQ560" s="2" t="n">
        <v>0</v>
      </c>
    </row>
    <row r="561">
      <c r="A561" s="2" t="n">
        <v>3</v>
      </c>
      <c r="B561" s="2" t="inlineStr">
        <is>
          <t>24.03.07</t>
        </is>
      </c>
      <c r="C561" s="2" t="inlineStr">
        <is>
          <t>INT - Enchimento em drywall</t>
        </is>
      </c>
      <c r="D561" s="2" t="inlineStr">
        <is>
          <t>16/09/2026</t>
        </is>
      </c>
      <c r="E561" s="2" t="inlineStr">
        <is>
          <t>11/01/2028</t>
        </is>
      </c>
      <c r="F561" s="2" t="n">
        <v>15448.041</v>
      </c>
      <c r="G561" s="2" t="n">
        <v>0</v>
      </c>
      <c r="H561" s="2" t="n">
        <v>15448.041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</v>
      </c>
      <c r="CD561" s="2" t="n">
        <v>0</v>
      </c>
      <c r="CE561" s="2" t="n">
        <v>0</v>
      </c>
      <c r="CF561" s="2" t="n">
        <v>2.49</v>
      </c>
      <c r="CG561" s="2" t="n">
        <v>2.49</v>
      </c>
      <c r="CH561" s="2" t="n">
        <v>0</v>
      </c>
      <c r="CI561" s="2" t="n">
        <v>6.23</v>
      </c>
      <c r="CJ561" s="2" t="n">
        <v>5.8</v>
      </c>
      <c r="CK561" s="2" t="n">
        <v>0</v>
      </c>
      <c r="CL561" s="2" t="n">
        <v>13.53</v>
      </c>
      <c r="CM561" s="2" t="n">
        <v>9.66</v>
      </c>
      <c r="CN561" s="2" t="n">
        <v>0</v>
      </c>
      <c r="CO561" s="2" t="n">
        <v>16.54</v>
      </c>
      <c r="CP561" s="2" t="n">
        <v>10.52</v>
      </c>
      <c r="CQ561" s="2" t="n">
        <v>0</v>
      </c>
      <c r="CR561" s="2" t="n">
        <v>21.26</v>
      </c>
      <c r="CS561" s="2" t="n">
        <v>17.39</v>
      </c>
      <c r="CT561" s="2" t="n">
        <v>0</v>
      </c>
      <c r="CU561" s="2" t="n">
        <v>24.7</v>
      </c>
      <c r="CV561" s="2" t="n">
        <v>22.12</v>
      </c>
      <c r="CW561" s="2" t="n">
        <v>0</v>
      </c>
      <c r="CX561" s="2" t="n">
        <v>29.24</v>
      </c>
      <c r="CY561" s="2" t="n">
        <v>27.92</v>
      </c>
      <c r="CZ561" s="2" t="n">
        <v>0</v>
      </c>
      <c r="DA561" s="2" t="n">
        <v>40.24</v>
      </c>
      <c r="DB561" s="2" t="n">
        <v>36.37</v>
      </c>
      <c r="DC561" s="2" t="n">
        <v>0</v>
      </c>
      <c r="DD561" s="2" t="n">
        <v>48.83</v>
      </c>
      <c r="DE561" s="2" t="n">
        <v>45.82</v>
      </c>
      <c r="DF561" s="2" t="n">
        <v>0</v>
      </c>
      <c r="DG561" s="2" t="n">
        <v>62.36</v>
      </c>
      <c r="DH561" s="2" t="n">
        <v>61.5</v>
      </c>
      <c r="DI561" s="2" t="n">
        <v>0</v>
      </c>
      <c r="DJ561" s="2" t="n">
        <v>68.37</v>
      </c>
      <c r="DK561" s="2" t="n">
        <v>66.65000000000001</v>
      </c>
      <c r="DL561" s="2" t="n">
        <v>0</v>
      </c>
      <c r="DM561" s="2" t="n">
        <v>77.39</v>
      </c>
      <c r="DN561" s="2" t="n">
        <v>73.52</v>
      </c>
      <c r="DO561" s="2" t="n">
        <v>0</v>
      </c>
      <c r="DP561" s="2" t="n">
        <v>88.98</v>
      </c>
      <c r="DQ561" s="2" t="n">
        <v>83.83</v>
      </c>
      <c r="DR561" s="2" t="n">
        <v>0</v>
      </c>
      <c r="DS561" s="2" t="n">
        <v>95.43000000000001</v>
      </c>
      <c r="DT561" s="2" t="n">
        <v>87.7</v>
      </c>
      <c r="DU561" s="2" t="n">
        <v>0</v>
      </c>
      <c r="DV561" s="2" t="n">
        <v>100</v>
      </c>
      <c r="DW561" s="2" t="n">
        <v>93.28</v>
      </c>
      <c r="DX561" s="2" t="n">
        <v>0</v>
      </c>
      <c r="DY561" s="2" t="n">
        <v>100</v>
      </c>
      <c r="DZ561" s="2" t="n">
        <v>96.44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  <c r="ET561" s="2" t="n">
        <v>100</v>
      </c>
      <c r="EU561" s="2" t="n">
        <v>100</v>
      </c>
      <c r="EV561" s="2" t="n">
        <v>0</v>
      </c>
      <c r="EW561" s="2" t="n">
        <v>100</v>
      </c>
      <c r="EX561" s="2" t="n">
        <v>100</v>
      </c>
      <c r="EY561" s="2" t="n">
        <v>0</v>
      </c>
      <c r="EZ561" s="2" t="n">
        <v>100</v>
      </c>
      <c r="FA561" s="2" t="n">
        <v>100</v>
      </c>
      <c r="FB561" s="2" t="n">
        <v>0</v>
      </c>
      <c r="FC561" s="2" t="n">
        <v>100</v>
      </c>
      <c r="FD561" s="2" t="n">
        <v>100</v>
      </c>
      <c r="FE561" s="2" t="n">
        <v>0</v>
      </c>
      <c r="FF561" s="2" t="n">
        <v>100</v>
      </c>
      <c r="FG561" s="2" t="n">
        <v>100</v>
      </c>
      <c r="FH561" s="2" t="n">
        <v>0</v>
      </c>
      <c r="FI561" s="2" t="n">
        <v>100</v>
      </c>
      <c r="FJ561" s="2" t="n">
        <v>100</v>
      </c>
      <c r="FK561" s="2" t="n">
        <v>0</v>
      </c>
      <c r="FL561" s="2" t="n">
        <v>100</v>
      </c>
      <c r="FM561" s="2" t="n">
        <v>100</v>
      </c>
      <c r="FN561" s="2" t="n">
        <v>0</v>
      </c>
      <c r="FO561" s="2" t="n">
        <v>100</v>
      </c>
      <c r="FP561" s="2" t="n">
        <v>100</v>
      </c>
      <c r="FQ561" s="2" t="n">
        <v>0</v>
      </c>
    </row>
    <row r="562">
      <c r="A562" s="2" t="n">
        <v>3</v>
      </c>
      <c r="B562" s="2" t="inlineStr">
        <is>
          <t>24.03.08</t>
        </is>
      </c>
      <c r="C562" s="2" t="inlineStr">
        <is>
          <t>Pontos de ancoragem para limpeza e manutenção de fachadas</t>
        </is>
      </c>
      <c r="D562" s="2" t="inlineStr">
        <is>
          <t>10/12/2026</t>
        </is>
      </c>
      <c r="E562" s="2" t="inlineStr">
        <is>
          <t>06/01/2028</t>
        </is>
      </c>
      <c r="F562" s="2" t="n">
        <v>150000</v>
      </c>
      <c r="G562" s="2" t="n">
        <v>0</v>
      </c>
      <c r="H562" s="2" t="n">
        <v>150000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</v>
      </c>
      <c r="CD562" s="2" t="n">
        <v>0</v>
      </c>
      <c r="CE562" s="2" t="n">
        <v>0</v>
      </c>
      <c r="CF562" s="2" t="n">
        <v>0</v>
      </c>
      <c r="CG562" s="2" t="n">
        <v>0</v>
      </c>
      <c r="CH562" s="2" t="n">
        <v>0</v>
      </c>
      <c r="CI562" s="2" t="n">
        <v>0</v>
      </c>
      <c r="CJ562" s="2" t="n">
        <v>0</v>
      </c>
      <c r="CK562" s="2" t="n">
        <v>0</v>
      </c>
      <c r="CL562" s="2" t="n">
        <v>0</v>
      </c>
      <c r="CM562" s="2" t="n">
        <v>0</v>
      </c>
      <c r="CN562" s="2" t="n">
        <v>0</v>
      </c>
      <c r="CO562" s="2" t="n">
        <v>3.98</v>
      </c>
      <c r="CP562" s="2" t="n">
        <v>3.98</v>
      </c>
      <c r="CQ562" s="2" t="n">
        <v>0</v>
      </c>
      <c r="CR562" s="2" t="n">
        <v>21.31</v>
      </c>
      <c r="CS562" s="2" t="n">
        <v>21.31</v>
      </c>
      <c r="CT562" s="2" t="n">
        <v>0</v>
      </c>
      <c r="CU562" s="2" t="n">
        <v>24.74</v>
      </c>
      <c r="CV562" s="2" t="n">
        <v>24.74</v>
      </c>
      <c r="CW562" s="2" t="n">
        <v>0</v>
      </c>
      <c r="CX562" s="2" t="n">
        <v>28.52</v>
      </c>
      <c r="CY562" s="2" t="n">
        <v>28.52</v>
      </c>
      <c r="CZ562" s="2" t="n">
        <v>0</v>
      </c>
      <c r="DA562" s="2" t="n">
        <v>35.7</v>
      </c>
      <c r="DB562" s="2" t="n">
        <v>35.7</v>
      </c>
      <c r="DC562" s="2" t="n">
        <v>0</v>
      </c>
      <c r="DD562" s="2" t="n">
        <v>40.31</v>
      </c>
      <c r="DE562" s="2" t="n">
        <v>40.31</v>
      </c>
      <c r="DF562" s="2" t="n">
        <v>0</v>
      </c>
      <c r="DG562" s="2" t="n">
        <v>47.69</v>
      </c>
      <c r="DH562" s="2" t="n">
        <v>47.69</v>
      </c>
      <c r="DI562" s="2" t="n">
        <v>0</v>
      </c>
      <c r="DJ562" s="2" t="n">
        <v>58.11</v>
      </c>
      <c r="DK562" s="2" t="n">
        <v>58.11</v>
      </c>
      <c r="DL562" s="2" t="n">
        <v>0</v>
      </c>
      <c r="DM562" s="2" t="n">
        <v>69.51000000000001</v>
      </c>
      <c r="DN562" s="2" t="n">
        <v>69.51000000000001</v>
      </c>
      <c r="DO562" s="2" t="n">
        <v>0</v>
      </c>
      <c r="DP562" s="2" t="n">
        <v>85.48</v>
      </c>
      <c r="DQ562" s="2" t="n">
        <v>85.48</v>
      </c>
      <c r="DR562" s="2" t="n">
        <v>0</v>
      </c>
      <c r="DS562" s="2" t="n">
        <v>94.18000000000001</v>
      </c>
      <c r="DT562" s="2" t="n">
        <v>94.18000000000001</v>
      </c>
      <c r="DU562" s="2" t="n">
        <v>0</v>
      </c>
      <c r="DV562" s="2" t="n">
        <v>97.33</v>
      </c>
      <c r="DW562" s="2" t="n">
        <v>97.33</v>
      </c>
      <c r="DX562" s="2" t="n">
        <v>0</v>
      </c>
      <c r="DY562" s="2" t="n">
        <v>99.37</v>
      </c>
      <c r="DZ562" s="2" t="n">
        <v>99.37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  <c r="ET562" s="2" t="n">
        <v>100</v>
      </c>
      <c r="EU562" s="2" t="n">
        <v>100</v>
      </c>
      <c r="EV562" s="2" t="n">
        <v>0</v>
      </c>
      <c r="EW562" s="2" t="n">
        <v>100</v>
      </c>
      <c r="EX562" s="2" t="n">
        <v>100</v>
      </c>
      <c r="EY562" s="2" t="n">
        <v>0</v>
      </c>
      <c r="EZ562" s="2" t="n">
        <v>100</v>
      </c>
      <c r="FA562" s="2" t="n">
        <v>100</v>
      </c>
      <c r="FB562" s="2" t="n">
        <v>0</v>
      </c>
      <c r="FC562" s="2" t="n">
        <v>100</v>
      </c>
      <c r="FD562" s="2" t="n">
        <v>100</v>
      </c>
      <c r="FE562" s="2" t="n">
        <v>0</v>
      </c>
      <c r="FF562" s="2" t="n">
        <v>100</v>
      </c>
      <c r="FG562" s="2" t="n">
        <v>100</v>
      </c>
      <c r="FH562" s="2" t="n">
        <v>0</v>
      </c>
      <c r="FI562" s="2" t="n">
        <v>100</v>
      </c>
      <c r="FJ562" s="2" t="n">
        <v>100</v>
      </c>
      <c r="FK562" s="2" t="n">
        <v>0</v>
      </c>
      <c r="FL562" s="2" t="n">
        <v>100</v>
      </c>
      <c r="FM562" s="2" t="n">
        <v>100</v>
      </c>
      <c r="FN562" s="2" t="n">
        <v>0</v>
      </c>
      <c r="FO562" s="2" t="n">
        <v>100</v>
      </c>
      <c r="FP562" s="2" t="n">
        <v>100</v>
      </c>
      <c r="FQ562" s="2" t="n">
        <v>0</v>
      </c>
    </row>
    <row r="563">
      <c r="A563" s="2" t="n">
        <v>3</v>
      </c>
      <c r="B563" s="2" t="inlineStr">
        <is>
          <t>24.03.09</t>
        </is>
      </c>
      <c r="C563" s="2" t="inlineStr">
        <is>
          <t>Gaiolas metálicas para isolamento e proteção de tubulação nos subsolos</t>
        </is>
      </c>
      <c r="D563" s="2" t="inlineStr">
        <is>
          <t>28/02/2028</t>
        </is>
      </c>
      <c r="E563" s="2" t="inlineStr">
        <is>
          <t>24/03/2028</t>
        </is>
      </c>
      <c r="F563" s="2" t="n">
        <v>20000</v>
      </c>
      <c r="G563" s="2" t="n">
        <v>0</v>
      </c>
      <c r="H563" s="2" t="n">
        <v>20000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0</v>
      </c>
      <c r="DL563" s="2" t="n">
        <v>0</v>
      </c>
      <c r="DM563" s="2" t="n">
        <v>0</v>
      </c>
      <c r="DN563" s="2" t="n">
        <v>0</v>
      </c>
      <c r="DO563" s="2" t="n">
        <v>0</v>
      </c>
      <c r="DP563" s="2" t="n">
        <v>0</v>
      </c>
      <c r="DQ563" s="2" t="n">
        <v>0</v>
      </c>
      <c r="DR563" s="2" t="n">
        <v>0</v>
      </c>
      <c r="DS563" s="2" t="n">
        <v>0</v>
      </c>
      <c r="DT563" s="2" t="n">
        <v>0</v>
      </c>
      <c r="DU563" s="2" t="n">
        <v>0</v>
      </c>
      <c r="DV563" s="2" t="n">
        <v>0</v>
      </c>
      <c r="DW563" s="2" t="n">
        <v>0</v>
      </c>
      <c r="DX563" s="2" t="n">
        <v>0</v>
      </c>
      <c r="DY563" s="2" t="n">
        <v>0</v>
      </c>
      <c r="DZ563" s="2" t="n">
        <v>0</v>
      </c>
      <c r="EA563" s="2" t="n">
        <v>0</v>
      </c>
      <c r="EB563" s="2" t="n">
        <v>0</v>
      </c>
      <c r="EC563" s="2" t="n">
        <v>0</v>
      </c>
      <c r="ED563" s="2" t="n">
        <v>0</v>
      </c>
      <c r="EE563" s="2" t="n">
        <v>10</v>
      </c>
      <c r="EF563" s="2" t="n">
        <v>10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  <c r="ET563" s="2" t="n">
        <v>100</v>
      </c>
      <c r="EU563" s="2" t="n">
        <v>100</v>
      </c>
      <c r="EV563" s="2" t="n">
        <v>0</v>
      </c>
      <c r="EW563" s="2" t="n">
        <v>100</v>
      </c>
      <c r="EX563" s="2" t="n">
        <v>100</v>
      </c>
      <c r="EY563" s="2" t="n">
        <v>0</v>
      </c>
      <c r="EZ563" s="2" t="n">
        <v>100</v>
      </c>
      <c r="FA563" s="2" t="n">
        <v>100</v>
      </c>
      <c r="FB563" s="2" t="n">
        <v>0</v>
      </c>
      <c r="FC563" s="2" t="n">
        <v>100</v>
      </c>
      <c r="FD563" s="2" t="n">
        <v>100</v>
      </c>
      <c r="FE563" s="2" t="n">
        <v>0</v>
      </c>
      <c r="FF563" s="2" t="n">
        <v>100</v>
      </c>
      <c r="FG563" s="2" t="n">
        <v>100</v>
      </c>
      <c r="FH563" s="2" t="n">
        <v>0</v>
      </c>
      <c r="FI563" s="2" t="n">
        <v>100</v>
      </c>
      <c r="FJ563" s="2" t="n">
        <v>100</v>
      </c>
      <c r="FK563" s="2" t="n">
        <v>0</v>
      </c>
      <c r="FL563" s="2" t="n">
        <v>100</v>
      </c>
      <c r="FM563" s="2" t="n">
        <v>100</v>
      </c>
      <c r="FN563" s="2" t="n">
        <v>0</v>
      </c>
      <c r="FO563" s="2" t="n">
        <v>100</v>
      </c>
      <c r="FP563" s="2" t="n">
        <v>100</v>
      </c>
      <c r="FQ563" s="2" t="n">
        <v>0</v>
      </c>
    </row>
    <row r="564">
      <c r="A564" s="2" t="n">
        <v>2</v>
      </c>
      <c r="B564" s="2" t="inlineStr">
        <is>
          <t>24.04</t>
        </is>
      </c>
      <c r="C564" s="2" t="inlineStr">
        <is>
          <t>Comunicação visual definitiva</t>
        </is>
      </c>
      <c r="D564" s="2" t="inlineStr">
        <is>
          <t>22/11/2027</t>
        </is>
      </c>
      <c r="E564" s="2" t="inlineStr">
        <is>
          <t>07/02/2029</t>
        </is>
      </c>
      <c r="F564" s="2" t="n">
        <v>56900</v>
      </c>
      <c r="G564" s="2" t="n">
        <v>0</v>
      </c>
      <c r="H564" s="2" t="n">
        <v>56900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0</v>
      </c>
      <c r="DL564" s="2" t="n">
        <v>0</v>
      </c>
      <c r="DM564" s="2" t="n">
        <v>0</v>
      </c>
      <c r="DN564" s="2" t="n">
        <v>0</v>
      </c>
      <c r="DO564" s="2" t="n">
        <v>0</v>
      </c>
      <c r="DP564" s="2" t="n">
        <v>5.58</v>
      </c>
      <c r="DQ564" s="2" t="n">
        <v>0</v>
      </c>
      <c r="DR564" s="2" t="n">
        <v>0</v>
      </c>
      <c r="DS564" s="2" t="n">
        <v>6.2</v>
      </c>
      <c r="DT564" s="2" t="n">
        <v>0</v>
      </c>
      <c r="DU564" s="2" t="n">
        <v>0</v>
      </c>
      <c r="DV564" s="2" t="n">
        <v>14.14</v>
      </c>
      <c r="DW564" s="2" t="n">
        <v>4.67</v>
      </c>
      <c r="DX564" s="2" t="n">
        <v>0</v>
      </c>
      <c r="DY564" s="2" t="n">
        <v>16.35</v>
      </c>
      <c r="DZ564" s="2" t="n">
        <v>8.289999999999999</v>
      </c>
      <c r="EA564" s="2" t="n">
        <v>0</v>
      </c>
      <c r="EB564" s="2" t="n">
        <v>38.19</v>
      </c>
      <c r="EC564" s="2" t="n">
        <v>25.55</v>
      </c>
      <c r="ED564" s="2" t="n">
        <v>0</v>
      </c>
      <c r="EE564" s="2" t="n">
        <v>45.93</v>
      </c>
      <c r="EF564" s="2" t="n">
        <v>31.68</v>
      </c>
      <c r="EG564" s="2" t="n">
        <v>0</v>
      </c>
      <c r="EH564" s="2" t="n">
        <v>58.11</v>
      </c>
      <c r="EI564" s="2" t="n">
        <v>41.6</v>
      </c>
      <c r="EJ564" s="2" t="n">
        <v>0</v>
      </c>
      <c r="EK564" s="2" t="n">
        <v>66.69</v>
      </c>
      <c r="EL564" s="2" t="n">
        <v>45.83</v>
      </c>
      <c r="EM564" s="2" t="n">
        <v>0</v>
      </c>
      <c r="EN564" s="2" t="n">
        <v>75.98</v>
      </c>
      <c r="EO564" s="2" t="n">
        <v>51.41</v>
      </c>
      <c r="EP564" s="2" t="n">
        <v>0</v>
      </c>
      <c r="EQ564" s="2" t="n">
        <v>87.04000000000001</v>
      </c>
      <c r="ER564" s="2" t="n">
        <v>56.27</v>
      </c>
      <c r="ES564" s="2" t="n">
        <v>0</v>
      </c>
      <c r="ET564" s="2" t="n">
        <v>93.23999999999999</v>
      </c>
      <c r="EU564" s="2" t="n">
        <v>65.56999999999999</v>
      </c>
      <c r="EV564" s="2" t="n">
        <v>0</v>
      </c>
      <c r="EW564" s="2" t="n">
        <v>100</v>
      </c>
      <c r="EX564" s="2" t="n">
        <v>74.65000000000001</v>
      </c>
      <c r="EY564" s="2" t="n">
        <v>0</v>
      </c>
      <c r="EZ564" s="2" t="n">
        <v>100</v>
      </c>
      <c r="FA564" s="2" t="n">
        <v>77.73999999999999</v>
      </c>
      <c r="FB564" s="2" t="n">
        <v>0</v>
      </c>
      <c r="FC564" s="2" t="n">
        <v>100</v>
      </c>
      <c r="FD564" s="2" t="n">
        <v>82.7</v>
      </c>
      <c r="FE564" s="2" t="n">
        <v>0</v>
      </c>
      <c r="FF564" s="2" t="n">
        <v>100</v>
      </c>
      <c r="FG564" s="2" t="n">
        <v>87.04000000000001</v>
      </c>
      <c r="FH564" s="2" t="n">
        <v>0</v>
      </c>
      <c r="FI564" s="2" t="n">
        <v>100</v>
      </c>
      <c r="FJ564" s="2" t="n">
        <v>90.14</v>
      </c>
      <c r="FK564" s="2" t="n">
        <v>0</v>
      </c>
      <c r="FL564" s="2" t="n">
        <v>100</v>
      </c>
      <c r="FM564" s="2" t="n">
        <v>96.33</v>
      </c>
      <c r="FN564" s="2" t="n">
        <v>0</v>
      </c>
      <c r="FO564" s="2" t="n">
        <v>100</v>
      </c>
      <c r="FP564" s="2" t="n">
        <v>100</v>
      </c>
      <c r="FQ564" s="2" t="n">
        <v>0</v>
      </c>
    </row>
    <row r="565">
      <c r="A565" s="2" t="n">
        <v>3</v>
      </c>
      <c r="B565" s="2" t="inlineStr">
        <is>
          <t>24.04.01</t>
        </is>
      </c>
      <c r="C565" s="2" t="inlineStr">
        <is>
          <t>Numeracao dos apartamentos</t>
        </is>
      </c>
      <c r="D565" s="2" t="inlineStr">
        <is>
          <t>22/11/2027</t>
        </is>
      </c>
      <c r="E565" s="2" t="inlineStr">
        <is>
          <t>07/02/2029</t>
        </is>
      </c>
      <c r="F565" s="2" t="n">
        <v>6900</v>
      </c>
      <c r="G565" s="2" t="n">
        <v>0</v>
      </c>
      <c r="H565" s="2" t="n">
        <v>6900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0</v>
      </c>
      <c r="DL565" s="2" t="n">
        <v>0</v>
      </c>
      <c r="DM565" s="2" t="n">
        <v>0</v>
      </c>
      <c r="DN565" s="2" t="n">
        <v>0</v>
      </c>
      <c r="DO565" s="2" t="n">
        <v>0</v>
      </c>
      <c r="DP565" s="2" t="n">
        <v>5.58</v>
      </c>
      <c r="DQ565" s="2" t="n">
        <v>0</v>
      </c>
      <c r="DR565" s="2" t="n">
        <v>0</v>
      </c>
      <c r="DS565" s="2" t="n">
        <v>6.2</v>
      </c>
      <c r="DT565" s="2" t="n">
        <v>0</v>
      </c>
      <c r="DU565" s="2" t="n">
        <v>0</v>
      </c>
      <c r="DV565" s="2" t="n">
        <v>14.14</v>
      </c>
      <c r="DW565" s="2" t="n">
        <v>4.67</v>
      </c>
      <c r="DX565" s="2" t="n">
        <v>0</v>
      </c>
      <c r="DY565" s="2" t="n">
        <v>16.35</v>
      </c>
      <c r="DZ565" s="2" t="n">
        <v>8.289999999999999</v>
      </c>
      <c r="EA565" s="2" t="n">
        <v>0</v>
      </c>
      <c r="EB565" s="2" t="n">
        <v>38.19</v>
      </c>
      <c r="EC565" s="2" t="n">
        <v>25.55</v>
      </c>
      <c r="ED565" s="2" t="n">
        <v>0</v>
      </c>
      <c r="EE565" s="2" t="n">
        <v>45.93</v>
      </c>
      <c r="EF565" s="2" t="n">
        <v>31.68</v>
      </c>
      <c r="EG565" s="2" t="n">
        <v>0</v>
      </c>
      <c r="EH565" s="2" t="n">
        <v>58.11</v>
      </c>
      <c r="EI565" s="2" t="n">
        <v>41.6</v>
      </c>
      <c r="EJ565" s="2" t="n">
        <v>0</v>
      </c>
      <c r="EK565" s="2" t="n">
        <v>66.69</v>
      </c>
      <c r="EL565" s="2" t="n">
        <v>45.83</v>
      </c>
      <c r="EM565" s="2" t="n">
        <v>0</v>
      </c>
      <c r="EN565" s="2" t="n">
        <v>75.98</v>
      </c>
      <c r="EO565" s="2" t="n">
        <v>51.41</v>
      </c>
      <c r="EP565" s="2" t="n">
        <v>0</v>
      </c>
      <c r="EQ565" s="2" t="n">
        <v>87.04000000000001</v>
      </c>
      <c r="ER565" s="2" t="n">
        <v>56.27</v>
      </c>
      <c r="ES565" s="2" t="n">
        <v>0</v>
      </c>
      <c r="ET565" s="2" t="n">
        <v>93.23999999999999</v>
      </c>
      <c r="EU565" s="2" t="n">
        <v>65.56999999999999</v>
      </c>
      <c r="EV565" s="2" t="n">
        <v>0</v>
      </c>
      <c r="EW565" s="2" t="n">
        <v>100</v>
      </c>
      <c r="EX565" s="2" t="n">
        <v>74.65000000000001</v>
      </c>
      <c r="EY565" s="2" t="n">
        <v>0</v>
      </c>
      <c r="EZ565" s="2" t="n">
        <v>100</v>
      </c>
      <c r="FA565" s="2" t="n">
        <v>77.73999999999999</v>
      </c>
      <c r="FB565" s="2" t="n">
        <v>0</v>
      </c>
      <c r="FC565" s="2" t="n">
        <v>100</v>
      </c>
      <c r="FD565" s="2" t="n">
        <v>82.7</v>
      </c>
      <c r="FE565" s="2" t="n">
        <v>0</v>
      </c>
      <c r="FF565" s="2" t="n">
        <v>100</v>
      </c>
      <c r="FG565" s="2" t="n">
        <v>87.04000000000001</v>
      </c>
      <c r="FH565" s="2" t="n">
        <v>0</v>
      </c>
      <c r="FI565" s="2" t="n">
        <v>100</v>
      </c>
      <c r="FJ565" s="2" t="n">
        <v>90.14</v>
      </c>
      <c r="FK565" s="2" t="n">
        <v>0</v>
      </c>
      <c r="FL565" s="2" t="n">
        <v>100</v>
      </c>
      <c r="FM565" s="2" t="n">
        <v>96.33</v>
      </c>
      <c r="FN565" s="2" t="n">
        <v>0</v>
      </c>
      <c r="FO565" s="2" t="n">
        <v>100</v>
      </c>
      <c r="FP565" s="2" t="n">
        <v>100</v>
      </c>
      <c r="FQ565" s="2" t="n">
        <v>0</v>
      </c>
    </row>
    <row r="566">
      <c r="A566" s="2" t="n">
        <v>3</v>
      </c>
      <c r="B566" s="2" t="inlineStr">
        <is>
          <t>24.04.02</t>
        </is>
      </c>
      <c r="C566" s="2" t="inlineStr">
        <is>
          <t>Letreiro com nome do predio</t>
        </is>
      </c>
      <c r="D566" s="2" t="inlineStr">
        <is>
          <t>22/11/2027</t>
        </is>
      </c>
      <c r="E566" s="2" t="inlineStr">
        <is>
          <t>07/02/2029</t>
        </is>
      </c>
      <c r="F566" s="2" t="n">
        <v>25000</v>
      </c>
      <c r="G566" s="2" t="n">
        <v>0</v>
      </c>
      <c r="H566" s="2" t="n">
        <v>25000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0</v>
      </c>
      <c r="DL566" s="2" t="n">
        <v>0</v>
      </c>
      <c r="DM566" s="2" t="n">
        <v>0</v>
      </c>
      <c r="DN566" s="2" t="n">
        <v>0</v>
      </c>
      <c r="DO566" s="2" t="n">
        <v>0</v>
      </c>
      <c r="DP566" s="2" t="n">
        <v>5.58</v>
      </c>
      <c r="DQ566" s="2" t="n">
        <v>0</v>
      </c>
      <c r="DR566" s="2" t="n">
        <v>0</v>
      </c>
      <c r="DS566" s="2" t="n">
        <v>6.2</v>
      </c>
      <c r="DT566" s="2" t="n">
        <v>0</v>
      </c>
      <c r="DU566" s="2" t="n">
        <v>0</v>
      </c>
      <c r="DV566" s="2" t="n">
        <v>14.14</v>
      </c>
      <c r="DW566" s="2" t="n">
        <v>4.67</v>
      </c>
      <c r="DX566" s="2" t="n">
        <v>0</v>
      </c>
      <c r="DY566" s="2" t="n">
        <v>16.35</v>
      </c>
      <c r="DZ566" s="2" t="n">
        <v>8.289999999999999</v>
      </c>
      <c r="EA566" s="2" t="n">
        <v>0</v>
      </c>
      <c r="EB566" s="2" t="n">
        <v>38.19</v>
      </c>
      <c r="EC566" s="2" t="n">
        <v>25.55</v>
      </c>
      <c r="ED566" s="2" t="n">
        <v>0</v>
      </c>
      <c r="EE566" s="2" t="n">
        <v>45.93</v>
      </c>
      <c r="EF566" s="2" t="n">
        <v>31.68</v>
      </c>
      <c r="EG566" s="2" t="n">
        <v>0</v>
      </c>
      <c r="EH566" s="2" t="n">
        <v>58.11</v>
      </c>
      <c r="EI566" s="2" t="n">
        <v>41.6</v>
      </c>
      <c r="EJ566" s="2" t="n">
        <v>0</v>
      </c>
      <c r="EK566" s="2" t="n">
        <v>66.69</v>
      </c>
      <c r="EL566" s="2" t="n">
        <v>45.83</v>
      </c>
      <c r="EM566" s="2" t="n">
        <v>0</v>
      </c>
      <c r="EN566" s="2" t="n">
        <v>75.98</v>
      </c>
      <c r="EO566" s="2" t="n">
        <v>51.41</v>
      </c>
      <c r="EP566" s="2" t="n">
        <v>0</v>
      </c>
      <c r="EQ566" s="2" t="n">
        <v>87.04000000000001</v>
      </c>
      <c r="ER566" s="2" t="n">
        <v>56.27</v>
      </c>
      <c r="ES566" s="2" t="n">
        <v>0</v>
      </c>
      <c r="ET566" s="2" t="n">
        <v>93.23999999999999</v>
      </c>
      <c r="EU566" s="2" t="n">
        <v>65.56999999999999</v>
      </c>
      <c r="EV566" s="2" t="n">
        <v>0</v>
      </c>
      <c r="EW566" s="2" t="n">
        <v>100</v>
      </c>
      <c r="EX566" s="2" t="n">
        <v>74.65000000000001</v>
      </c>
      <c r="EY566" s="2" t="n">
        <v>0</v>
      </c>
      <c r="EZ566" s="2" t="n">
        <v>100</v>
      </c>
      <c r="FA566" s="2" t="n">
        <v>77.73999999999999</v>
      </c>
      <c r="FB566" s="2" t="n">
        <v>0</v>
      </c>
      <c r="FC566" s="2" t="n">
        <v>100</v>
      </c>
      <c r="FD566" s="2" t="n">
        <v>82.7</v>
      </c>
      <c r="FE566" s="2" t="n">
        <v>0</v>
      </c>
      <c r="FF566" s="2" t="n">
        <v>100</v>
      </c>
      <c r="FG566" s="2" t="n">
        <v>87.04000000000001</v>
      </c>
      <c r="FH566" s="2" t="n">
        <v>0</v>
      </c>
      <c r="FI566" s="2" t="n">
        <v>100</v>
      </c>
      <c r="FJ566" s="2" t="n">
        <v>90.14</v>
      </c>
      <c r="FK566" s="2" t="n">
        <v>0</v>
      </c>
      <c r="FL566" s="2" t="n">
        <v>100</v>
      </c>
      <c r="FM566" s="2" t="n">
        <v>96.33</v>
      </c>
      <c r="FN566" s="2" t="n">
        <v>0</v>
      </c>
      <c r="FO566" s="2" t="n">
        <v>100</v>
      </c>
      <c r="FP566" s="2" t="n">
        <v>100</v>
      </c>
      <c r="FQ566" s="2" t="n">
        <v>0</v>
      </c>
    </row>
    <row r="567">
      <c r="A567" s="2" t="n">
        <v>3</v>
      </c>
      <c r="B567" s="2" t="inlineStr">
        <is>
          <t>24.04.03</t>
        </is>
      </c>
      <c r="C567" s="2" t="inlineStr">
        <is>
          <t>Placas de indicação de ambientes</t>
        </is>
      </c>
      <c r="D567" s="2" t="inlineStr">
        <is>
          <t>22/11/2027</t>
        </is>
      </c>
      <c r="E567" s="2" t="inlineStr">
        <is>
          <t>07/02/2029</t>
        </is>
      </c>
      <c r="F567" s="2" t="n">
        <v>25000</v>
      </c>
      <c r="G567" s="2" t="n">
        <v>0</v>
      </c>
      <c r="H567" s="2" t="n">
        <v>25000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0</v>
      </c>
      <c r="DL567" s="2" t="n">
        <v>0</v>
      </c>
      <c r="DM567" s="2" t="n">
        <v>0</v>
      </c>
      <c r="DN567" s="2" t="n">
        <v>0</v>
      </c>
      <c r="DO567" s="2" t="n">
        <v>0</v>
      </c>
      <c r="DP567" s="2" t="n">
        <v>5.58</v>
      </c>
      <c r="DQ567" s="2" t="n">
        <v>0</v>
      </c>
      <c r="DR567" s="2" t="n">
        <v>0</v>
      </c>
      <c r="DS567" s="2" t="n">
        <v>6.2</v>
      </c>
      <c r="DT567" s="2" t="n">
        <v>0</v>
      </c>
      <c r="DU567" s="2" t="n">
        <v>0</v>
      </c>
      <c r="DV567" s="2" t="n">
        <v>14.14</v>
      </c>
      <c r="DW567" s="2" t="n">
        <v>4.67</v>
      </c>
      <c r="DX567" s="2" t="n">
        <v>0</v>
      </c>
      <c r="DY567" s="2" t="n">
        <v>16.35</v>
      </c>
      <c r="DZ567" s="2" t="n">
        <v>8.289999999999999</v>
      </c>
      <c r="EA567" s="2" t="n">
        <v>0</v>
      </c>
      <c r="EB567" s="2" t="n">
        <v>38.19</v>
      </c>
      <c r="EC567" s="2" t="n">
        <v>25.55</v>
      </c>
      <c r="ED567" s="2" t="n">
        <v>0</v>
      </c>
      <c r="EE567" s="2" t="n">
        <v>45.93</v>
      </c>
      <c r="EF567" s="2" t="n">
        <v>31.68</v>
      </c>
      <c r="EG567" s="2" t="n">
        <v>0</v>
      </c>
      <c r="EH567" s="2" t="n">
        <v>58.11</v>
      </c>
      <c r="EI567" s="2" t="n">
        <v>41.6</v>
      </c>
      <c r="EJ567" s="2" t="n">
        <v>0</v>
      </c>
      <c r="EK567" s="2" t="n">
        <v>66.69</v>
      </c>
      <c r="EL567" s="2" t="n">
        <v>45.83</v>
      </c>
      <c r="EM567" s="2" t="n">
        <v>0</v>
      </c>
      <c r="EN567" s="2" t="n">
        <v>75.98</v>
      </c>
      <c r="EO567" s="2" t="n">
        <v>51.41</v>
      </c>
      <c r="EP567" s="2" t="n">
        <v>0</v>
      </c>
      <c r="EQ567" s="2" t="n">
        <v>87.04000000000001</v>
      </c>
      <c r="ER567" s="2" t="n">
        <v>56.27</v>
      </c>
      <c r="ES567" s="2" t="n">
        <v>0</v>
      </c>
      <c r="ET567" s="2" t="n">
        <v>93.23999999999999</v>
      </c>
      <c r="EU567" s="2" t="n">
        <v>65.56999999999999</v>
      </c>
      <c r="EV567" s="2" t="n">
        <v>0</v>
      </c>
      <c r="EW567" s="2" t="n">
        <v>100</v>
      </c>
      <c r="EX567" s="2" t="n">
        <v>74.65000000000001</v>
      </c>
      <c r="EY567" s="2" t="n">
        <v>0</v>
      </c>
      <c r="EZ567" s="2" t="n">
        <v>100</v>
      </c>
      <c r="FA567" s="2" t="n">
        <v>77.73999999999999</v>
      </c>
      <c r="FB567" s="2" t="n">
        <v>0</v>
      </c>
      <c r="FC567" s="2" t="n">
        <v>100</v>
      </c>
      <c r="FD567" s="2" t="n">
        <v>82.7</v>
      </c>
      <c r="FE567" s="2" t="n">
        <v>0</v>
      </c>
      <c r="FF567" s="2" t="n">
        <v>100</v>
      </c>
      <c r="FG567" s="2" t="n">
        <v>87.04000000000001</v>
      </c>
      <c r="FH567" s="2" t="n">
        <v>0</v>
      </c>
      <c r="FI567" s="2" t="n">
        <v>100</v>
      </c>
      <c r="FJ567" s="2" t="n">
        <v>90.14</v>
      </c>
      <c r="FK567" s="2" t="n">
        <v>0</v>
      </c>
      <c r="FL567" s="2" t="n">
        <v>100</v>
      </c>
      <c r="FM567" s="2" t="n">
        <v>96.33</v>
      </c>
      <c r="FN567" s="2" t="n">
        <v>0</v>
      </c>
      <c r="FO567" s="2" t="n">
        <v>100</v>
      </c>
      <c r="FP567" s="2" t="n">
        <v>100</v>
      </c>
      <c r="FQ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Quadras</t>
        </is>
      </c>
      <c r="D568" s="2" t="inlineStr">
        <is>
          <t>10/02/2027</t>
        </is>
      </c>
      <c r="E568" s="2" t="inlineStr">
        <is>
          <t>16/07/2027</t>
        </is>
      </c>
      <c r="F568" s="2" t="n">
        <v>856196</v>
      </c>
      <c r="G568" s="2" t="n">
        <v>0</v>
      </c>
      <c r="H568" s="2" t="n">
        <v>856196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0.6</v>
      </c>
      <c r="CS568" s="2" t="n">
        <v>0</v>
      </c>
      <c r="CT568" s="2" t="n">
        <v>0</v>
      </c>
      <c r="CU568" s="2" t="n">
        <v>4.6</v>
      </c>
      <c r="CV568" s="2" t="n">
        <v>2.6</v>
      </c>
      <c r="CW568" s="2" t="n">
        <v>0</v>
      </c>
      <c r="CX568" s="2" t="n">
        <v>10</v>
      </c>
      <c r="CY568" s="2" t="n">
        <v>7.5</v>
      </c>
      <c r="CZ568" s="2" t="n">
        <v>0</v>
      </c>
      <c r="DA568" s="2" t="n">
        <v>20.6</v>
      </c>
      <c r="DB568" s="2" t="n">
        <v>15.5</v>
      </c>
      <c r="DC568" s="2" t="n">
        <v>0</v>
      </c>
      <c r="DD568" s="2" t="n">
        <v>32.6</v>
      </c>
      <c r="DE568" s="2" t="n">
        <v>26.6</v>
      </c>
      <c r="DF568" s="2" t="n">
        <v>0</v>
      </c>
      <c r="DG568" s="2" t="n">
        <v>93.5</v>
      </c>
      <c r="DH568" s="2" t="n">
        <v>61</v>
      </c>
      <c r="DI568" s="2" t="n">
        <v>0</v>
      </c>
      <c r="DJ568" s="2" t="n">
        <v>100</v>
      </c>
      <c r="DK568" s="2" t="n">
        <v>100</v>
      </c>
      <c r="DL568" s="2" t="n">
        <v>0</v>
      </c>
      <c r="DM568" s="2" t="n">
        <v>100</v>
      </c>
      <c r="DN568" s="2" t="n">
        <v>100</v>
      </c>
      <c r="DO568" s="2" t="n">
        <v>0</v>
      </c>
      <c r="DP568" s="2" t="n">
        <v>100</v>
      </c>
      <c r="DQ568" s="2" t="n">
        <v>100</v>
      </c>
      <c r="DR568" s="2" t="n">
        <v>0</v>
      </c>
      <c r="DS568" s="2" t="n">
        <v>100</v>
      </c>
      <c r="DT568" s="2" t="n">
        <v>100</v>
      </c>
      <c r="DU568" s="2" t="n">
        <v>0</v>
      </c>
      <c r="DV568" s="2" t="n">
        <v>100</v>
      </c>
      <c r="DW568" s="2" t="n">
        <v>100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  <c r="ET568" s="2" t="n">
        <v>100</v>
      </c>
      <c r="EU568" s="2" t="n">
        <v>100</v>
      </c>
      <c r="EV568" s="2" t="n">
        <v>0</v>
      </c>
      <c r="EW568" s="2" t="n">
        <v>100</v>
      </c>
      <c r="EX568" s="2" t="n">
        <v>100</v>
      </c>
      <c r="EY568" s="2" t="n">
        <v>0</v>
      </c>
      <c r="EZ568" s="2" t="n">
        <v>100</v>
      </c>
      <c r="FA568" s="2" t="n">
        <v>100</v>
      </c>
      <c r="FB568" s="2" t="n">
        <v>0</v>
      </c>
      <c r="FC568" s="2" t="n">
        <v>100</v>
      </c>
      <c r="FD568" s="2" t="n">
        <v>100</v>
      </c>
      <c r="FE568" s="2" t="n">
        <v>0</v>
      </c>
      <c r="FF568" s="2" t="n">
        <v>100</v>
      </c>
      <c r="FG568" s="2" t="n">
        <v>100</v>
      </c>
      <c r="FH568" s="2" t="n">
        <v>0</v>
      </c>
      <c r="FI568" s="2" t="n">
        <v>100</v>
      </c>
      <c r="FJ568" s="2" t="n">
        <v>100</v>
      </c>
      <c r="FK568" s="2" t="n">
        <v>0</v>
      </c>
      <c r="FL568" s="2" t="n">
        <v>100</v>
      </c>
      <c r="FM568" s="2" t="n">
        <v>100</v>
      </c>
      <c r="FN568" s="2" t="n">
        <v>0</v>
      </c>
      <c r="FO568" s="2" t="n">
        <v>100</v>
      </c>
      <c r="FP568" s="2" t="n">
        <v>100</v>
      </c>
      <c r="FQ568" s="2" t="n">
        <v>0</v>
      </c>
    </row>
    <row r="569">
      <c r="A569" s="2" t="n">
        <v>3</v>
      </c>
      <c r="B569" s="2" t="inlineStr">
        <is>
          <t>24.05.01</t>
        </is>
      </c>
      <c r="C569" s="2" t="inlineStr">
        <is>
          <t>Quadra de tênis 678,79m2 - acabamento em pó de saibro. Faixa de PVC na cor branca, para marcação de quadra de tênis de saibro, fixada com pregos especiais. Verificar instalações junto ao fornecedor.</t>
        </is>
      </c>
      <c r="D569" s="2" t="inlineStr">
        <is>
          <t>10/02/2027</t>
        </is>
      </c>
      <c r="E569" s="2" t="inlineStr">
        <is>
          <t>16/07/2027</t>
        </is>
      </c>
      <c r="F569" s="2" t="n">
        <v>99668</v>
      </c>
      <c r="G569" s="2" t="n">
        <v>0</v>
      </c>
      <c r="H569" s="2" t="n">
        <v>99668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0.6</v>
      </c>
      <c r="CS569" s="2" t="n">
        <v>0</v>
      </c>
      <c r="CT569" s="2" t="n">
        <v>0</v>
      </c>
      <c r="CU569" s="2" t="n">
        <v>4.6</v>
      </c>
      <c r="CV569" s="2" t="n">
        <v>2.6</v>
      </c>
      <c r="CW569" s="2" t="n">
        <v>0</v>
      </c>
      <c r="CX569" s="2" t="n">
        <v>10</v>
      </c>
      <c r="CY569" s="2" t="n">
        <v>7.5</v>
      </c>
      <c r="CZ569" s="2" t="n">
        <v>0</v>
      </c>
      <c r="DA569" s="2" t="n">
        <v>20.6</v>
      </c>
      <c r="DB569" s="2" t="n">
        <v>15.5</v>
      </c>
      <c r="DC569" s="2" t="n">
        <v>0</v>
      </c>
      <c r="DD569" s="2" t="n">
        <v>32.6</v>
      </c>
      <c r="DE569" s="2" t="n">
        <v>26.6</v>
      </c>
      <c r="DF569" s="2" t="n">
        <v>0</v>
      </c>
      <c r="DG569" s="2" t="n">
        <v>93.5</v>
      </c>
      <c r="DH569" s="2" t="n">
        <v>61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  <c r="ET569" s="2" t="n">
        <v>100</v>
      </c>
      <c r="EU569" s="2" t="n">
        <v>100</v>
      </c>
      <c r="EV569" s="2" t="n">
        <v>0</v>
      </c>
      <c r="EW569" s="2" t="n">
        <v>100</v>
      </c>
      <c r="EX569" s="2" t="n">
        <v>100</v>
      </c>
      <c r="EY569" s="2" t="n">
        <v>0</v>
      </c>
      <c r="EZ569" s="2" t="n">
        <v>100</v>
      </c>
      <c r="FA569" s="2" t="n">
        <v>100</v>
      </c>
      <c r="FB569" s="2" t="n">
        <v>0</v>
      </c>
      <c r="FC569" s="2" t="n">
        <v>100</v>
      </c>
      <c r="FD569" s="2" t="n">
        <v>100</v>
      </c>
      <c r="FE569" s="2" t="n">
        <v>0</v>
      </c>
      <c r="FF569" s="2" t="n">
        <v>100</v>
      </c>
      <c r="FG569" s="2" t="n">
        <v>100</v>
      </c>
      <c r="FH569" s="2" t="n">
        <v>0</v>
      </c>
      <c r="FI569" s="2" t="n">
        <v>100</v>
      </c>
      <c r="FJ569" s="2" t="n">
        <v>100</v>
      </c>
      <c r="FK569" s="2" t="n">
        <v>0</v>
      </c>
      <c r="FL569" s="2" t="n">
        <v>100</v>
      </c>
      <c r="FM569" s="2" t="n">
        <v>100</v>
      </c>
      <c r="FN569" s="2" t="n">
        <v>0</v>
      </c>
      <c r="FO569" s="2" t="n">
        <v>100</v>
      </c>
      <c r="FP569" s="2" t="n">
        <v>100</v>
      </c>
      <c r="FQ569" s="2" t="n">
        <v>0</v>
      </c>
    </row>
    <row r="570">
      <c r="A570" s="2" t="n">
        <v>3</v>
      </c>
      <c r="B570" s="2" t="inlineStr">
        <is>
          <t>24.05.02</t>
        </is>
      </c>
      <c r="C570" s="2" t="inlineStr">
        <is>
          <t>Quadra infantil 104,87m2 - acabamento em pintura acrílica na cor cinza. Ref.: ??; Suvinil. Faixa de pintura acrílica na cor branca, para marcação do desenho de quadra infantil. Ref.: Branco Neve; Suvinil. Verificar dimensões conforme detalhamento| verde claro e verde escuro</t>
        </is>
      </c>
      <c r="D570" s="2" t="inlineStr">
        <is>
          <t>10/02/2027</t>
        </is>
      </c>
      <c r="E570" s="2" t="inlineStr">
        <is>
          <t>16/07/2027</t>
        </is>
      </c>
      <c r="F570" s="2" t="n">
        <v>56528</v>
      </c>
      <c r="G570" s="2" t="n">
        <v>0</v>
      </c>
      <c r="H570" s="2" t="n">
        <v>56528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0.6</v>
      </c>
      <c r="CS570" s="2" t="n">
        <v>0</v>
      </c>
      <c r="CT570" s="2" t="n">
        <v>0</v>
      </c>
      <c r="CU570" s="2" t="n">
        <v>4.6</v>
      </c>
      <c r="CV570" s="2" t="n">
        <v>2.6</v>
      </c>
      <c r="CW570" s="2" t="n">
        <v>0</v>
      </c>
      <c r="CX570" s="2" t="n">
        <v>10</v>
      </c>
      <c r="CY570" s="2" t="n">
        <v>7.5</v>
      </c>
      <c r="CZ570" s="2" t="n">
        <v>0</v>
      </c>
      <c r="DA570" s="2" t="n">
        <v>20.6</v>
      </c>
      <c r="DB570" s="2" t="n">
        <v>15.5</v>
      </c>
      <c r="DC570" s="2" t="n">
        <v>0</v>
      </c>
      <c r="DD570" s="2" t="n">
        <v>32.6</v>
      </c>
      <c r="DE570" s="2" t="n">
        <v>26.6</v>
      </c>
      <c r="DF570" s="2" t="n">
        <v>0</v>
      </c>
      <c r="DG570" s="2" t="n">
        <v>93.5</v>
      </c>
      <c r="DH570" s="2" t="n">
        <v>61</v>
      </c>
      <c r="DI570" s="2" t="n">
        <v>0</v>
      </c>
      <c r="DJ570" s="2" t="n">
        <v>100</v>
      </c>
      <c r="DK570" s="2" t="n">
        <v>100</v>
      </c>
      <c r="DL570" s="2" t="n">
        <v>0</v>
      </c>
      <c r="DM570" s="2" t="n">
        <v>100</v>
      </c>
      <c r="DN570" s="2" t="n">
        <v>100</v>
      </c>
      <c r="DO570" s="2" t="n">
        <v>0</v>
      </c>
      <c r="DP570" s="2" t="n">
        <v>100</v>
      </c>
      <c r="DQ570" s="2" t="n">
        <v>100</v>
      </c>
      <c r="DR570" s="2" t="n">
        <v>0</v>
      </c>
      <c r="DS570" s="2" t="n">
        <v>100</v>
      </c>
      <c r="DT570" s="2" t="n">
        <v>100</v>
      </c>
      <c r="DU570" s="2" t="n">
        <v>0</v>
      </c>
      <c r="DV570" s="2" t="n">
        <v>100</v>
      </c>
      <c r="DW570" s="2" t="n">
        <v>100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  <c r="ET570" s="2" t="n">
        <v>100</v>
      </c>
      <c r="EU570" s="2" t="n">
        <v>100</v>
      </c>
      <c r="EV570" s="2" t="n">
        <v>0</v>
      </c>
      <c r="EW570" s="2" t="n">
        <v>100</v>
      </c>
      <c r="EX570" s="2" t="n">
        <v>100</v>
      </c>
      <c r="EY570" s="2" t="n">
        <v>0</v>
      </c>
      <c r="EZ570" s="2" t="n">
        <v>100</v>
      </c>
      <c r="FA570" s="2" t="n">
        <v>100</v>
      </c>
      <c r="FB570" s="2" t="n">
        <v>0</v>
      </c>
      <c r="FC570" s="2" t="n">
        <v>100</v>
      </c>
      <c r="FD570" s="2" t="n">
        <v>100</v>
      </c>
      <c r="FE570" s="2" t="n">
        <v>0</v>
      </c>
      <c r="FF570" s="2" t="n">
        <v>100</v>
      </c>
      <c r="FG570" s="2" t="n">
        <v>100</v>
      </c>
      <c r="FH570" s="2" t="n">
        <v>0</v>
      </c>
      <c r="FI570" s="2" t="n">
        <v>100</v>
      </c>
      <c r="FJ570" s="2" t="n">
        <v>100</v>
      </c>
      <c r="FK570" s="2" t="n">
        <v>0</v>
      </c>
      <c r="FL570" s="2" t="n">
        <v>100</v>
      </c>
      <c r="FM570" s="2" t="n">
        <v>100</v>
      </c>
      <c r="FN570" s="2" t="n">
        <v>0</v>
      </c>
      <c r="FO570" s="2" t="n">
        <v>100</v>
      </c>
      <c r="FP570" s="2" t="n">
        <v>100</v>
      </c>
      <c r="FQ570" s="2" t="n">
        <v>0</v>
      </c>
    </row>
    <row r="571">
      <c r="A571" s="2" t="n">
        <v>3</v>
      </c>
      <c r="B571" s="2" t="inlineStr">
        <is>
          <t>24.05.03</t>
        </is>
      </c>
      <c r="C571" s="2" t="inlineStr">
        <is>
          <t>Cobertura para quadra de tênis</t>
        </is>
      </c>
      <c r="D571" s="2" t="inlineStr">
        <is>
          <t>10/02/2027</t>
        </is>
      </c>
      <c r="E571" s="2" t="inlineStr">
        <is>
          <t>16/07/2027</t>
        </is>
      </c>
      <c r="F571" s="2" t="n">
        <v>700000</v>
      </c>
      <c r="G571" s="2" t="n">
        <v>0</v>
      </c>
      <c r="H571" s="2" t="n">
        <v>700000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0.6</v>
      </c>
      <c r="CS571" s="2" t="n">
        <v>0</v>
      </c>
      <c r="CT571" s="2" t="n">
        <v>0</v>
      </c>
      <c r="CU571" s="2" t="n">
        <v>4.6</v>
      </c>
      <c r="CV571" s="2" t="n">
        <v>2.6</v>
      </c>
      <c r="CW571" s="2" t="n">
        <v>0</v>
      </c>
      <c r="CX571" s="2" t="n">
        <v>10</v>
      </c>
      <c r="CY571" s="2" t="n">
        <v>7.5</v>
      </c>
      <c r="CZ571" s="2" t="n">
        <v>0</v>
      </c>
      <c r="DA571" s="2" t="n">
        <v>20.6</v>
      </c>
      <c r="DB571" s="2" t="n">
        <v>15.5</v>
      </c>
      <c r="DC571" s="2" t="n">
        <v>0</v>
      </c>
      <c r="DD571" s="2" t="n">
        <v>32.6</v>
      </c>
      <c r="DE571" s="2" t="n">
        <v>26.6</v>
      </c>
      <c r="DF571" s="2" t="n">
        <v>0</v>
      </c>
      <c r="DG571" s="2" t="n">
        <v>93.5</v>
      </c>
      <c r="DH571" s="2" t="n">
        <v>61</v>
      </c>
      <c r="DI571" s="2" t="n">
        <v>0</v>
      </c>
      <c r="DJ571" s="2" t="n">
        <v>100</v>
      </c>
      <c r="DK571" s="2" t="n">
        <v>100</v>
      </c>
      <c r="DL571" s="2" t="n">
        <v>0</v>
      </c>
      <c r="DM571" s="2" t="n">
        <v>100</v>
      </c>
      <c r="DN571" s="2" t="n">
        <v>100</v>
      </c>
      <c r="DO571" s="2" t="n">
        <v>0</v>
      </c>
      <c r="DP571" s="2" t="n">
        <v>100</v>
      </c>
      <c r="DQ571" s="2" t="n">
        <v>100</v>
      </c>
      <c r="DR571" s="2" t="n">
        <v>0</v>
      </c>
      <c r="DS571" s="2" t="n">
        <v>100</v>
      </c>
      <c r="DT571" s="2" t="n">
        <v>100</v>
      </c>
      <c r="DU571" s="2" t="n">
        <v>0</v>
      </c>
      <c r="DV571" s="2" t="n">
        <v>100</v>
      </c>
      <c r="DW571" s="2" t="n">
        <v>100</v>
      </c>
      <c r="DX571" s="2" t="n">
        <v>0</v>
      </c>
      <c r="DY571" s="2" t="n">
        <v>100</v>
      </c>
      <c r="DZ571" s="2" t="n">
        <v>100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  <c r="ET571" s="2" t="n">
        <v>100</v>
      </c>
      <c r="EU571" s="2" t="n">
        <v>100</v>
      </c>
      <c r="EV571" s="2" t="n">
        <v>0</v>
      </c>
      <c r="EW571" s="2" t="n">
        <v>100</v>
      </c>
      <c r="EX571" s="2" t="n">
        <v>100</v>
      </c>
      <c r="EY571" s="2" t="n">
        <v>0</v>
      </c>
      <c r="EZ571" s="2" t="n">
        <v>100</v>
      </c>
      <c r="FA571" s="2" t="n">
        <v>100</v>
      </c>
      <c r="FB571" s="2" t="n">
        <v>0</v>
      </c>
      <c r="FC571" s="2" t="n">
        <v>100</v>
      </c>
      <c r="FD571" s="2" t="n">
        <v>100</v>
      </c>
      <c r="FE571" s="2" t="n">
        <v>0</v>
      </c>
      <c r="FF571" s="2" t="n">
        <v>100</v>
      </c>
      <c r="FG571" s="2" t="n">
        <v>100</v>
      </c>
      <c r="FH571" s="2" t="n">
        <v>0</v>
      </c>
      <c r="FI571" s="2" t="n">
        <v>100</v>
      </c>
      <c r="FJ571" s="2" t="n">
        <v>100</v>
      </c>
      <c r="FK571" s="2" t="n">
        <v>0</v>
      </c>
      <c r="FL571" s="2" t="n">
        <v>100</v>
      </c>
      <c r="FM571" s="2" t="n">
        <v>100</v>
      </c>
      <c r="FN571" s="2" t="n">
        <v>0</v>
      </c>
      <c r="FO571" s="2" t="n">
        <v>100</v>
      </c>
      <c r="FP571" s="2" t="n">
        <v>100</v>
      </c>
      <c r="FQ571" s="2" t="n">
        <v>0</v>
      </c>
    </row>
    <row r="572">
      <c r="A572" s="2" t="n">
        <v>2</v>
      </c>
      <c r="B572" s="2" t="inlineStr">
        <is>
          <t>24.06</t>
        </is>
      </c>
      <c r="C572" s="2" t="inlineStr">
        <is>
          <t>Tratamento acústico</t>
        </is>
      </c>
      <c r="D572" s="2" t="inlineStr">
        <is>
          <t>10/12/2026</t>
        </is>
      </c>
      <c r="E572" s="2" t="inlineStr">
        <is>
          <t>26/01/2028</t>
        </is>
      </c>
      <c r="F572" s="2" t="n">
        <v>1764331.367829471</v>
      </c>
      <c r="G572" s="2" t="n">
        <v>0</v>
      </c>
      <c r="H572" s="2" t="n">
        <v>1764331.367829471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1.38</v>
      </c>
      <c r="CM572" s="2" t="n">
        <v>0</v>
      </c>
      <c r="CN572" s="2" t="n">
        <v>0</v>
      </c>
      <c r="CO572" s="2" t="n">
        <v>6.92</v>
      </c>
      <c r="CP572" s="2" t="n">
        <v>4.15</v>
      </c>
      <c r="CQ572" s="2" t="n">
        <v>0</v>
      </c>
      <c r="CR572" s="2" t="n">
        <v>12.46</v>
      </c>
      <c r="CS572" s="2" t="n">
        <v>8.300000000000001</v>
      </c>
      <c r="CT572" s="2" t="n">
        <v>0</v>
      </c>
      <c r="CU572" s="2" t="n">
        <v>16.61</v>
      </c>
      <c r="CV572" s="2" t="n">
        <v>12.46</v>
      </c>
      <c r="CW572" s="2" t="n">
        <v>0</v>
      </c>
      <c r="CX572" s="2" t="n">
        <v>20.76</v>
      </c>
      <c r="CY572" s="2" t="n">
        <v>20.76</v>
      </c>
      <c r="CZ572" s="2" t="n">
        <v>0</v>
      </c>
      <c r="DA572" s="2" t="n">
        <v>26.84</v>
      </c>
      <c r="DB572" s="2" t="n">
        <v>24.62</v>
      </c>
      <c r="DC572" s="2" t="n">
        <v>0</v>
      </c>
      <c r="DD572" s="2" t="n">
        <v>37.91</v>
      </c>
      <c r="DE572" s="2" t="n">
        <v>37.91</v>
      </c>
      <c r="DF572" s="2" t="n">
        <v>0</v>
      </c>
      <c r="DG572" s="2" t="n">
        <v>46.68</v>
      </c>
      <c r="DH572" s="2" t="n">
        <v>46.22</v>
      </c>
      <c r="DI572" s="2" t="n">
        <v>0</v>
      </c>
      <c r="DJ572" s="2" t="n">
        <v>58.21</v>
      </c>
      <c r="DK572" s="2" t="n">
        <v>58.67</v>
      </c>
      <c r="DL572" s="2" t="n">
        <v>0</v>
      </c>
      <c r="DM572" s="2" t="n">
        <v>62.82</v>
      </c>
      <c r="DN572" s="2" t="n">
        <v>62.82</v>
      </c>
      <c r="DO572" s="2" t="n">
        <v>0</v>
      </c>
      <c r="DP572" s="2" t="n">
        <v>75.28</v>
      </c>
      <c r="DQ572" s="2" t="n">
        <v>71.13</v>
      </c>
      <c r="DR572" s="2" t="n">
        <v>0</v>
      </c>
      <c r="DS572" s="2" t="n">
        <v>85.89</v>
      </c>
      <c r="DT572" s="2" t="n">
        <v>79.43000000000001</v>
      </c>
      <c r="DU572" s="2" t="n">
        <v>0</v>
      </c>
      <c r="DV572" s="2" t="n">
        <v>91.89</v>
      </c>
      <c r="DW572" s="2" t="n">
        <v>87.73999999999999</v>
      </c>
      <c r="DX572" s="2" t="n">
        <v>0</v>
      </c>
      <c r="DY572" s="2" t="n">
        <v>95.70999999999999</v>
      </c>
      <c r="DZ572" s="2" t="n">
        <v>87.73999999999999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  <c r="ET572" s="2" t="n">
        <v>100</v>
      </c>
      <c r="EU572" s="2" t="n">
        <v>100</v>
      </c>
      <c r="EV572" s="2" t="n">
        <v>0</v>
      </c>
      <c r="EW572" s="2" t="n">
        <v>100</v>
      </c>
      <c r="EX572" s="2" t="n">
        <v>100</v>
      </c>
      <c r="EY572" s="2" t="n">
        <v>0</v>
      </c>
      <c r="EZ572" s="2" t="n">
        <v>100</v>
      </c>
      <c r="FA572" s="2" t="n">
        <v>100</v>
      </c>
      <c r="FB572" s="2" t="n">
        <v>0</v>
      </c>
      <c r="FC572" s="2" t="n">
        <v>100</v>
      </c>
      <c r="FD572" s="2" t="n">
        <v>100</v>
      </c>
      <c r="FE572" s="2" t="n">
        <v>0</v>
      </c>
      <c r="FF572" s="2" t="n">
        <v>100</v>
      </c>
      <c r="FG572" s="2" t="n">
        <v>100</v>
      </c>
      <c r="FH572" s="2" t="n">
        <v>0</v>
      </c>
      <c r="FI572" s="2" t="n">
        <v>100</v>
      </c>
      <c r="FJ572" s="2" t="n">
        <v>100</v>
      </c>
      <c r="FK572" s="2" t="n">
        <v>0</v>
      </c>
      <c r="FL572" s="2" t="n">
        <v>100</v>
      </c>
      <c r="FM572" s="2" t="n">
        <v>100</v>
      </c>
      <c r="FN572" s="2" t="n">
        <v>0</v>
      </c>
      <c r="FO572" s="2" t="n">
        <v>100</v>
      </c>
      <c r="FP572" s="2" t="n">
        <v>100</v>
      </c>
      <c r="FQ572" s="2" t="n">
        <v>0</v>
      </c>
    </row>
    <row r="573">
      <c r="A573" s="2" t="n">
        <v>3</v>
      </c>
      <c r="B573" s="2" t="inlineStr">
        <is>
          <t>24.06.01</t>
        </is>
      </c>
      <c r="C573" s="2" t="inlineStr">
        <is>
          <t>Tratamento acústico para tubulações hidráulicas</t>
        </is>
      </c>
      <c r="D573" s="2" t="inlineStr">
        <is>
          <t>10/12/2026</t>
        </is>
      </c>
      <c r="E573" s="2" t="inlineStr">
        <is>
          <t>26/01/2028</t>
        </is>
      </c>
      <c r="F573" s="2" t="n">
        <v>80000</v>
      </c>
      <c r="G573" s="2" t="n">
        <v>0</v>
      </c>
      <c r="H573" s="2" t="n">
        <v>80000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1.38</v>
      </c>
      <c r="CM573" s="2" t="n">
        <v>0</v>
      </c>
      <c r="CN573" s="2" t="n">
        <v>0</v>
      </c>
      <c r="CO573" s="2" t="n">
        <v>6.92</v>
      </c>
      <c r="CP573" s="2" t="n">
        <v>4.15</v>
      </c>
      <c r="CQ573" s="2" t="n">
        <v>0</v>
      </c>
      <c r="CR573" s="2" t="n">
        <v>12.46</v>
      </c>
      <c r="CS573" s="2" t="n">
        <v>8.300000000000001</v>
      </c>
      <c r="CT573" s="2" t="n">
        <v>0</v>
      </c>
      <c r="CU573" s="2" t="n">
        <v>16.61</v>
      </c>
      <c r="CV573" s="2" t="n">
        <v>12.46</v>
      </c>
      <c r="CW573" s="2" t="n">
        <v>0</v>
      </c>
      <c r="CX573" s="2" t="n">
        <v>20.76</v>
      </c>
      <c r="CY573" s="2" t="n">
        <v>20.76</v>
      </c>
      <c r="CZ573" s="2" t="n">
        <v>0</v>
      </c>
      <c r="DA573" s="2" t="n">
        <v>26.84</v>
      </c>
      <c r="DB573" s="2" t="n">
        <v>24.62</v>
      </c>
      <c r="DC573" s="2" t="n">
        <v>0</v>
      </c>
      <c r="DD573" s="2" t="n">
        <v>37.91</v>
      </c>
      <c r="DE573" s="2" t="n">
        <v>37.91</v>
      </c>
      <c r="DF573" s="2" t="n">
        <v>0</v>
      </c>
      <c r="DG573" s="2" t="n">
        <v>46.68</v>
      </c>
      <c r="DH573" s="2" t="n">
        <v>46.22</v>
      </c>
      <c r="DI573" s="2" t="n">
        <v>0</v>
      </c>
      <c r="DJ573" s="2" t="n">
        <v>58.21</v>
      </c>
      <c r="DK573" s="2" t="n">
        <v>58.67</v>
      </c>
      <c r="DL573" s="2" t="n">
        <v>0</v>
      </c>
      <c r="DM573" s="2" t="n">
        <v>62.82</v>
      </c>
      <c r="DN573" s="2" t="n">
        <v>62.82</v>
      </c>
      <c r="DO573" s="2" t="n">
        <v>0</v>
      </c>
      <c r="DP573" s="2" t="n">
        <v>75.28</v>
      </c>
      <c r="DQ573" s="2" t="n">
        <v>71.13</v>
      </c>
      <c r="DR573" s="2" t="n">
        <v>0</v>
      </c>
      <c r="DS573" s="2" t="n">
        <v>85.89</v>
      </c>
      <c r="DT573" s="2" t="n">
        <v>79.43000000000001</v>
      </c>
      <c r="DU573" s="2" t="n">
        <v>0</v>
      </c>
      <c r="DV573" s="2" t="n">
        <v>91.89</v>
      </c>
      <c r="DW573" s="2" t="n">
        <v>87.73999999999999</v>
      </c>
      <c r="DX573" s="2" t="n">
        <v>0</v>
      </c>
      <c r="DY573" s="2" t="n">
        <v>95.70999999999999</v>
      </c>
      <c r="DZ573" s="2" t="n">
        <v>87.73999999999999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  <c r="ET573" s="2" t="n">
        <v>100</v>
      </c>
      <c r="EU573" s="2" t="n">
        <v>100</v>
      </c>
      <c r="EV573" s="2" t="n">
        <v>0</v>
      </c>
      <c r="EW573" s="2" t="n">
        <v>100</v>
      </c>
      <c r="EX573" s="2" t="n">
        <v>100</v>
      </c>
      <c r="EY573" s="2" t="n">
        <v>0</v>
      </c>
      <c r="EZ573" s="2" t="n">
        <v>100</v>
      </c>
      <c r="FA573" s="2" t="n">
        <v>100</v>
      </c>
      <c r="FB573" s="2" t="n">
        <v>0</v>
      </c>
      <c r="FC573" s="2" t="n">
        <v>100</v>
      </c>
      <c r="FD573" s="2" t="n">
        <v>100</v>
      </c>
      <c r="FE573" s="2" t="n">
        <v>0</v>
      </c>
      <c r="FF573" s="2" t="n">
        <v>100</v>
      </c>
      <c r="FG573" s="2" t="n">
        <v>100</v>
      </c>
      <c r="FH573" s="2" t="n">
        <v>0</v>
      </c>
      <c r="FI573" s="2" t="n">
        <v>100</v>
      </c>
      <c r="FJ573" s="2" t="n">
        <v>100</v>
      </c>
      <c r="FK573" s="2" t="n">
        <v>0</v>
      </c>
      <c r="FL573" s="2" t="n">
        <v>100</v>
      </c>
      <c r="FM573" s="2" t="n">
        <v>100</v>
      </c>
      <c r="FN573" s="2" t="n">
        <v>0</v>
      </c>
      <c r="FO573" s="2" t="n">
        <v>100</v>
      </c>
      <c r="FP573" s="2" t="n">
        <v>100</v>
      </c>
      <c r="FQ573" s="2" t="n">
        <v>0</v>
      </c>
    </row>
    <row r="574">
      <c r="A574" s="2" t="n">
        <v>3</v>
      </c>
      <c r="B574" s="2" t="inlineStr">
        <is>
          <t>24.06.02</t>
        </is>
      </c>
      <c r="C574" s="2" t="inlineStr">
        <is>
          <t>Tratamento termo-acústico para teto da cobertura</t>
        </is>
      </c>
      <c r="D574" s="2" t="inlineStr">
        <is>
          <t>10/12/2026</t>
        </is>
      </c>
      <c r="E574" s="2" t="inlineStr">
        <is>
          <t>26/01/2028</t>
        </is>
      </c>
      <c r="F574" s="2" t="n">
        <v>42611.77</v>
      </c>
      <c r="G574" s="2" t="n">
        <v>0</v>
      </c>
      <c r="H574" s="2" t="n">
        <v>42611.77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1.38</v>
      </c>
      <c r="CM574" s="2" t="n">
        <v>0</v>
      </c>
      <c r="CN574" s="2" t="n">
        <v>0</v>
      </c>
      <c r="CO574" s="2" t="n">
        <v>6.92</v>
      </c>
      <c r="CP574" s="2" t="n">
        <v>4.15</v>
      </c>
      <c r="CQ574" s="2" t="n">
        <v>0</v>
      </c>
      <c r="CR574" s="2" t="n">
        <v>12.46</v>
      </c>
      <c r="CS574" s="2" t="n">
        <v>8.300000000000001</v>
      </c>
      <c r="CT574" s="2" t="n">
        <v>0</v>
      </c>
      <c r="CU574" s="2" t="n">
        <v>16.61</v>
      </c>
      <c r="CV574" s="2" t="n">
        <v>12.46</v>
      </c>
      <c r="CW574" s="2" t="n">
        <v>0</v>
      </c>
      <c r="CX574" s="2" t="n">
        <v>20.76</v>
      </c>
      <c r="CY574" s="2" t="n">
        <v>20.76</v>
      </c>
      <c r="CZ574" s="2" t="n">
        <v>0</v>
      </c>
      <c r="DA574" s="2" t="n">
        <v>26.84</v>
      </c>
      <c r="DB574" s="2" t="n">
        <v>24.62</v>
      </c>
      <c r="DC574" s="2" t="n">
        <v>0</v>
      </c>
      <c r="DD574" s="2" t="n">
        <v>37.91</v>
      </c>
      <c r="DE574" s="2" t="n">
        <v>37.91</v>
      </c>
      <c r="DF574" s="2" t="n">
        <v>0</v>
      </c>
      <c r="DG574" s="2" t="n">
        <v>46.68</v>
      </c>
      <c r="DH574" s="2" t="n">
        <v>46.22</v>
      </c>
      <c r="DI574" s="2" t="n">
        <v>0</v>
      </c>
      <c r="DJ574" s="2" t="n">
        <v>58.21</v>
      </c>
      <c r="DK574" s="2" t="n">
        <v>58.67</v>
      </c>
      <c r="DL574" s="2" t="n">
        <v>0</v>
      </c>
      <c r="DM574" s="2" t="n">
        <v>62.82</v>
      </c>
      <c r="DN574" s="2" t="n">
        <v>62.82</v>
      </c>
      <c r="DO574" s="2" t="n">
        <v>0</v>
      </c>
      <c r="DP574" s="2" t="n">
        <v>75.28</v>
      </c>
      <c r="DQ574" s="2" t="n">
        <v>71.13</v>
      </c>
      <c r="DR574" s="2" t="n">
        <v>0</v>
      </c>
      <c r="DS574" s="2" t="n">
        <v>85.89</v>
      </c>
      <c r="DT574" s="2" t="n">
        <v>79.43000000000001</v>
      </c>
      <c r="DU574" s="2" t="n">
        <v>0</v>
      </c>
      <c r="DV574" s="2" t="n">
        <v>91.89</v>
      </c>
      <c r="DW574" s="2" t="n">
        <v>87.73999999999999</v>
      </c>
      <c r="DX574" s="2" t="n">
        <v>0</v>
      </c>
      <c r="DY574" s="2" t="n">
        <v>95.70999999999999</v>
      </c>
      <c r="DZ574" s="2" t="n">
        <v>87.73999999999999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  <c r="ET574" s="2" t="n">
        <v>100</v>
      </c>
      <c r="EU574" s="2" t="n">
        <v>100</v>
      </c>
      <c r="EV574" s="2" t="n">
        <v>0</v>
      </c>
      <c r="EW574" s="2" t="n">
        <v>100</v>
      </c>
      <c r="EX574" s="2" t="n">
        <v>100</v>
      </c>
      <c r="EY574" s="2" t="n">
        <v>0</v>
      </c>
      <c r="EZ574" s="2" t="n">
        <v>100</v>
      </c>
      <c r="FA574" s="2" t="n">
        <v>100</v>
      </c>
      <c r="FB574" s="2" t="n">
        <v>0</v>
      </c>
      <c r="FC574" s="2" t="n">
        <v>100</v>
      </c>
      <c r="FD574" s="2" t="n">
        <v>100</v>
      </c>
      <c r="FE574" s="2" t="n">
        <v>0</v>
      </c>
      <c r="FF574" s="2" t="n">
        <v>100</v>
      </c>
      <c r="FG574" s="2" t="n">
        <v>100</v>
      </c>
      <c r="FH574" s="2" t="n">
        <v>0</v>
      </c>
      <c r="FI574" s="2" t="n">
        <v>100</v>
      </c>
      <c r="FJ574" s="2" t="n">
        <v>100</v>
      </c>
      <c r="FK574" s="2" t="n">
        <v>0</v>
      </c>
      <c r="FL574" s="2" t="n">
        <v>100</v>
      </c>
      <c r="FM574" s="2" t="n">
        <v>100</v>
      </c>
      <c r="FN574" s="2" t="n">
        <v>0</v>
      </c>
      <c r="FO574" s="2" t="n">
        <v>100</v>
      </c>
      <c r="FP574" s="2" t="n">
        <v>100</v>
      </c>
      <c r="FQ574" s="2" t="n">
        <v>0</v>
      </c>
    </row>
    <row r="575">
      <c r="A575" s="2" t="n">
        <v>3</v>
      </c>
      <c r="B575" s="2" t="inlineStr">
        <is>
          <t>24.06.03</t>
        </is>
      </c>
      <c r="C575" s="2" t="inlineStr">
        <is>
          <t>PI01 - Contrapiso flutuante: Contrapiso sobre Manta acústica aderida, 3mm - Fornecedor: Bautech, sobre Laje maciça - Espessura 10cm. Para evitar fissuras, o contrapiso deverá ser armado com tela tipo "Pop" soldada. - jantar/estar, circulação, suítes e estar íntimo</t>
        </is>
      </c>
      <c r="D575" s="2" t="inlineStr">
        <is>
          <t>10/12/2026</t>
        </is>
      </c>
      <c r="E575" s="2" t="inlineStr">
        <is>
          <t>26/01/2028</t>
        </is>
      </c>
      <c r="F575" s="2" t="n">
        <v>1041356.455347803</v>
      </c>
      <c r="G575" s="2" t="n">
        <v>0</v>
      </c>
      <c r="H575" s="2" t="n">
        <v>1041356.455347803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1.38</v>
      </c>
      <c r="CM575" s="2" t="n">
        <v>0</v>
      </c>
      <c r="CN575" s="2" t="n">
        <v>0</v>
      </c>
      <c r="CO575" s="2" t="n">
        <v>6.92</v>
      </c>
      <c r="CP575" s="2" t="n">
        <v>4.15</v>
      </c>
      <c r="CQ575" s="2" t="n">
        <v>0</v>
      </c>
      <c r="CR575" s="2" t="n">
        <v>12.46</v>
      </c>
      <c r="CS575" s="2" t="n">
        <v>8.300000000000001</v>
      </c>
      <c r="CT575" s="2" t="n">
        <v>0</v>
      </c>
      <c r="CU575" s="2" t="n">
        <v>16.61</v>
      </c>
      <c r="CV575" s="2" t="n">
        <v>12.46</v>
      </c>
      <c r="CW575" s="2" t="n">
        <v>0</v>
      </c>
      <c r="CX575" s="2" t="n">
        <v>20.76</v>
      </c>
      <c r="CY575" s="2" t="n">
        <v>20.76</v>
      </c>
      <c r="CZ575" s="2" t="n">
        <v>0</v>
      </c>
      <c r="DA575" s="2" t="n">
        <v>26.84</v>
      </c>
      <c r="DB575" s="2" t="n">
        <v>24.62</v>
      </c>
      <c r="DC575" s="2" t="n">
        <v>0</v>
      </c>
      <c r="DD575" s="2" t="n">
        <v>37.91</v>
      </c>
      <c r="DE575" s="2" t="n">
        <v>37.91</v>
      </c>
      <c r="DF575" s="2" t="n">
        <v>0</v>
      </c>
      <c r="DG575" s="2" t="n">
        <v>46.68</v>
      </c>
      <c r="DH575" s="2" t="n">
        <v>46.22</v>
      </c>
      <c r="DI575" s="2" t="n">
        <v>0</v>
      </c>
      <c r="DJ575" s="2" t="n">
        <v>58.21</v>
      </c>
      <c r="DK575" s="2" t="n">
        <v>58.67</v>
      </c>
      <c r="DL575" s="2" t="n">
        <v>0</v>
      </c>
      <c r="DM575" s="2" t="n">
        <v>62.82</v>
      </c>
      <c r="DN575" s="2" t="n">
        <v>62.82</v>
      </c>
      <c r="DO575" s="2" t="n">
        <v>0</v>
      </c>
      <c r="DP575" s="2" t="n">
        <v>75.28</v>
      </c>
      <c r="DQ575" s="2" t="n">
        <v>71.13</v>
      </c>
      <c r="DR575" s="2" t="n">
        <v>0</v>
      </c>
      <c r="DS575" s="2" t="n">
        <v>85.89</v>
      </c>
      <c r="DT575" s="2" t="n">
        <v>79.43000000000001</v>
      </c>
      <c r="DU575" s="2" t="n">
        <v>0</v>
      </c>
      <c r="DV575" s="2" t="n">
        <v>91.89</v>
      </c>
      <c r="DW575" s="2" t="n">
        <v>87.73999999999999</v>
      </c>
      <c r="DX575" s="2" t="n">
        <v>0</v>
      </c>
      <c r="DY575" s="2" t="n">
        <v>95.70999999999999</v>
      </c>
      <c r="DZ575" s="2" t="n">
        <v>87.73999999999999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  <c r="ET575" s="2" t="n">
        <v>100</v>
      </c>
      <c r="EU575" s="2" t="n">
        <v>100</v>
      </c>
      <c r="EV575" s="2" t="n">
        <v>0</v>
      </c>
      <c r="EW575" s="2" t="n">
        <v>100</v>
      </c>
      <c r="EX575" s="2" t="n">
        <v>100</v>
      </c>
      <c r="EY575" s="2" t="n">
        <v>0</v>
      </c>
      <c r="EZ575" s="2" t="n">
        <v>100</v>
      </c>
      <c r="FA575" s="2" t="n">
        <v>100</v>
      </c>
      <c r="FB575" s="2" t="n">
        <v>0</v>
      </c>
      <c r="FC575" s="2" t="n">
        <v>100</v>
      </c>
      <c r="FD575" s="2" t="n">
        <v>100</v>
      </c>
      <c r="FE575" s="2" t="n">
        <v>0</v>
      </c>
      <c r="FF575" s="2" t="n">
        <v>100</v>
      </c>
      <c r="FG575" s="2" t="n">
        <v>100</v>
      </c>
      <c r="FH575" s="2" t="n">
        <v>0</v>
      </c>
      <c r="FI575" s="2" t="n">
        <v>100</v>
      </c>
      <c r="FJ575" s="2" t="n">
        <v>100</v>
      </c>
      <c r="FK575" s="2" t="n">
        <v>0</v>
      </c>
      <c r="FL575" s="2" t="n">
        <v>100</v>
      </c>
      <c r="FM575" s="2" t="n">
        <v>100</v>
      </c>
      <c r="FN575" s="2" t="n">
        <v>0</v>
      </c>
      <c r="FO575" s="2" t="n">
        <v>100</v>
      </c>
      <c r="FP575" s="2" t="n">
        <v>100</v>
      </c>
      <c r="FQ575" s="2" t="n">
        <v>0</v>
      </c>
    </row>
    <row r="576">
      <c r="A576" s="2" t="n">
        <v>3</v>
      </c>
      <c r="B576" s="2" t="inlineStr">
        <is>
          <t>24.06.04</t>
        </is>
      </c>
      <c r="C576" s="2" t="inlineStr">
        <is>
          <t>PI02 - Contrapiso flutuante: Contrapiso armado sobre painel de lã de vidro, (sistema OPTIMA PISO, membrana flexível, 15mm de espessura, ref. ISOVER. Para evitar fissuras, o contrapiso deverá ser armado com tela tipo "Pop" soldada. - Áreas técnicas</t>
        </is>
      </c>
      <c r="D576" s="2" t="inlineStr">
        <is>
          <t>10/12/2026</t>
        </is>
      </c>
      <c r="E576" s="2" t="inlineStr">
        <is>
          <t>26/01/2028</t>
        </is>
      </c>
      <c r="F576" s="2" t="n">
        <v>100618.8213597237</v>
      </c>
      <c r="G576" s="2" t="n">
        <v>0</v>
      </c>
      <c r="H576" s="2" t="n">
        <v>100618.8213597237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1.38</v>
      </c>
      <c r="CM576" s="2" t="n">
        <v>0</v>
      </c>
      <c r="CN576" s="2" t="n">
        <v>0</v>
      </c>
      <c r="CO576" s="2" t="n">
        <v>6.92</v>
      </c>
      <c r="CP576" s="2" t="n">
        <v>4.15</v>
      </c>
      <c r="CQ576" s="2" t="n">
        <v>0</v>
      </c>
      <c r="CR576" s="2" t="n">
        <v>12.46</v>
      </c>
      <c r="CS576" s="2" t="n">
        <v>8.300000000000001</v>
      </c>
      <c r="CT576" s="2" t="n">
        <v>0</v>
      </c>
      <c r="CU576" s="2" t="n">
        <v>16.61</v>
      </c>
      <c r="CV576" s="2" t="n">
        <v>12.46</v>
      </c>
      <c r="CW576" s="2" t="n">
        <v>0</v>
      </c>
      <c r="CX576" s="2" t="n">
        <v>20.76</v>
      </c>
      <c r="CY576" s="2" t="n">
        <v>20.76</v>
      </c>
      <c r="CZ576" s="2" t="n">
        <v>0</v>
      </c>
      <c r="DA576" s="2" t="n">
        <v>26.84</v>
      </c>
      <c r="DB576" s="2" t="n">
        <v>24.62</v>
      </c>
      <c r="DC576" s="2" t="n">
        <v>0</v>
      </c>
      <c r="DD576" s="2" t="n">
        <v>37.91</v>
      </c>
      <c r="DE576" s="2" t="n">
        <v>37.91</v>
      </c>
      <c r="DF576" s="2" t="n">
        <v>0</v>
      </c>
      <c r="DG576" s="2" t="n">
        <v>46.68</v>
      </c>
      <c r="DH576" s="2" t="n">
        <v>46.22</v>
      </c>
      <c r="DI576" s="2" t="n">
        <v>0</v>
      </c>
      <c r="DJ576" s="2" t="n">
        <v>58.21</v>
      </c>
      <c r="DK576" s="2" t="n">
        <v>58.67</v>
      </c>
      <c r="DL576" s="2" t="n">
        <v>0</v>
      </c>
      <c r="DM576" s="2" t="n">
        <v>62.82</v>
      </c>
      <c r="DN576" s="2" t="n">
        <v>62.82</v>
      </c>
      <c r="DO576" s="2" t="n">
        <v>0</v>
      </c>
      <c r="DP576" s="2" t="n">
        <v>75.28</v>
      </c>
      <c r="DQ576" s="2" t="n">
        <v>71.13</v>
      </c>
      <c r="DR576" s="2" t="n">
        <v>0</v>
      </c>
      <c r="DS576" s="2" t="n">
        <v>85.89</v>
      </c>
      <c r="DT576" s="2" t="n">
        <v>79.43000000000001</v>
      </c>
      <c r="DU576" s="2" t="n">
        <v>0</v>
      </c>
      <c r="DV576" s="2" t="n">
        <v>91.89</v>
      </c>
      <c r="DW576" s="2" t="n">
        <v>87.73999999999999</v>
      </c>
      <c r="DX576" s="2" t="n">
        <v>0</v>
      </c>
      <c r="DY576" s="2" t="n">
        <v>95.70999999999999</v>
      </c>
      <c r="DZ576" s="2" t="n">
        <v>87.73999999999999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  <c r="ET576" s="2" t="n">
        <v>100</v>
      </c>
      <c r="EU576" s="2" t="n">
        <v>100</v>
      </c>
      <c r="EV576" s="2" t="n">
        <v>0</v>
      </c>
      <c r="EW576" s="2" t="n">
        <v>100</v>
      </c>
      <c r="EX576" s="2" t="n">
        <v>100</v>
      </c>
      <c r="EY576" s="2" t="n">
        <v>0</v>
      </c>
      <c r="EZ576" s="2" t="n">
        <v>100</v>
      </c>
      <c r="FA576" s="2" t="n">
        <v>100</v>
      </c>
      <c r="FB576" s="2" t="n">
        <v>0</v>
      </c>
      <c r="FC576" s="2" t="n">
        <v>100</v>
      </c>
      <c r="FD576" s="2" t="n">
        <v>100</v>
      </c>
      <c r="FE576" s="2" t="n">
        <v>0</v>
      </c>
      <c r="FF576" s="2" t="n">
        <v>100</v>
      </c>
      <c r="FG576" s="2" t="n">
        <v>100</v>
      </c>
      <c r="FH576" s="2" t="n">
        <v>0</v>
      </c>
      <c r="FI576" s="2" t="n">
        <v>100</v>
      </c>
      <c r="FJ576" s="2" t="n">
        <v>100</v>
      </c>
      <c r="FK576" s="2" t="n">
        <v>0</v>
      </c>
      <c r="FL576" s="2" t="n">
        <v>100</v>
      </c>
      <c r="FM576" s="2" t="n">
        <v>100</v>
      </c>
      <c r="FN576" s="2" t="n">
        <v>0</v>
      </c>
      <c r="FO576" s="2" t="n">
        <v>100</v>
      </c>
      <c r="FP576" s="2" t="n">
        <v>100</v>
      </c>
      <c r="FQ576" s="2" t="n">
        <v>0</v>
      </c>
    </row>
    <row r="577">
      <c r="A577" s="2" t="n">
        <v>3</v>
      </c>
      <c r="B577" s="2" t="inlineStr">
        <is>
          <t>24.06.05</t>
        </is>
      </c>
      <c r="C577" s="2" t="inlineStr">
        <is>
          <t>PI03 - Contrapiso flutuante: base de concreto armado, de 10cm, sobre formar perdida de placa cimentícia de 10mm, e painel de lã de PET, 50mm de espessura, E 35KG/M3  de densidade., na projeção das bombas.</t>
        </is>
      </c>
      <c r="D577" s="2" t="inlineStr">
        <is>
          <t>10/12/2026</t>
        </is>
      </c>
      <c r="E577" s="2" t="inlineStr">
        <is>
          <t>26/01/2028</t>
        </is>
      </c>
      <c r="F577" s="2" t="n">
        <v>10796.57117900352</v>
      </c>
      <c r="G577" s="2" t="n">
        <v>0</v>
      </c>
      <c r="H577" s="2" t="n">
        <v>10796.57117900352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1.38</v>
      </c>
      <c r="CM577" s="2" t="n">
        <v>0</v>
      </c>
      <c r="CN577" s="2" t="n">
        <v>0</v>
      </c>
      <c r="CO577" s="2" t="n">
        <v>6.92</v>
      </c>
      <c r="CP577" s="2" t="n">
        <v>4.15</v>
      </c>
      <c r="CQ577" s="2" t="n">
        <v>0</v>
      </c>
      <c r="CR577" s="2" t="n">
        <v>12.46</v>
      </c>
      <c r="CS577" s="2" t="n">
        <v>8.300000000000001</v>
      </c>
      <c r="CT577" s="2" t="n">
        <v>0</v>
      </c>
      <c r="CU577" s="2" t="n">
        <v>16.61</v>
      </c>
      <c r="CV577" s="2" t="n">
        <v>12.46</v>
      </c>
      <c r="CW577" s="2" t="n">
        <v>0</v>
      </c>
      <c r="CX577" s="2" t="n">
        <v>20.76</v>
      </c>
      <c r="CY577" s="2" t="n">
        <v>20.76</v>
      </c>
      <c r="CZ577" s="2" t="n">
        <v>0</v>
      </c>
      <c r="DA577" s="2" t="n">
        <v>26.84</v>
      </c>
      <c r="DB577" s="2" t="n">
        <v>24.62</v>
      </c>
      <c r="DC577" s="2" t="n">
        <v>0</v>
      </c>
      <c r="DD577" s="2" t="n">
        <v>37.91</v>
      </c>
      <c r="DE577" s="2" t="n">
        <v>37.91</v>
      </c>
      <c r="DF577" s="2" t="n">
        <v>0</v>
      </c>
      <c r="DG577" s="2" t="n">
        <v>46.68</v>
      </c>
      <c r="DH577" s="2" t="n">
        <v>46.22</v>
      </c>
      <c r="DI577" s="2" t="n">
        <v>0</v>
      </c>
      <c r="DJ577" s="2" t="n">
        <v>58.21</v>
      </c>
      <c r="DK577" s="2" t="n">
        <v>58.67</v>
      </c>
      <c r="DL577" s="2" t="n">
        <v>0</v>
      </c>
      <c r="DM577" s="2" t="n">
        <v>62.82</v>
      </c>
      <c r="DN577" s="2" t="n">
        <v>62.82</v>
      </c>
      <c r="DO577" s="2" t="n">
        <v>0</v>
      </c>
      <c r="DP577" s="2" t="n">
        <v>75.28</v>
      </c>
      <c r="DQ577" s="2" t="n">
        <v>71.13</v>
      </c>
      <c r="DR577" s="2" t="n">
        <v>0</v>
      </c>
      <c r="DS577" s="2" t="n">
        <v>85.89</v>
      </c>
      <c r="DT577" s="2" t="n">
        <v>79.43000000000001</v>
      </c>
      <c r="DU577" s="2" t="n">
        <v>0</v>
      </c>
      <c r="DV577" s="2" t="n">
        <v>91.89</v>
      </c>
      <c r="DW577" s="2" t="n">
        <v>87.73999999999999</v>
      </c>
      <c r="DX577" s="2" t="n">
        <v>0</v>
      </c>
      <c r="DY577" s="2" t="n">
        <v>95.70999999999999</v>
      </c>
      <c r="DZ577" s="2" t="n">
        <v>87.73999999999999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  <c r="ET577" s="2" t="n">
        <v>100</v>
      </c>
      <c r="EU577" s="2" t="n">
        <v>100</v>
      </c>
      <c r="EV577" s="2" t="n">
        <v>0</v>
      </c>
      <c r="EW577" s="2" t="n">
        <v>100</v>
      </c>
      <c r="EX577" s="2" t="n">
        <v>100</v>
      </c>
      <c r="EY577" s="2" t="n">
        <v>0</v>
      </c>
      <c r="EZ577" s="2" t="n">
        <v>100</v>
      </c>
      <c r="FA577" s="2" t="n">
        <v>100</v>
      </c>
      <c r="FB577" s="2" t="n">
        <v>0</v>
      </c>
      <c r="FC577" s="2" t="n">
        <v>100</v>
      </c>
      <c r="FD577" s="2" t="n">
        <v>100</v>
      </c>
      <c r="FE577" s="2" t="n">
        <v>0</v>
      </c>
      <c r="FF577" s="2" t="n">
        <v>100</v>
      </c>
      <c r="FG577" s="2" t="n">
        <v>100</v>
      </c>
      <c r="FH577" s="2" t="n">
        <v>0</v>
      </c>
      <c r="FI577" s="2" t="n">
        <v>100</v>
      </c>
      <c r="FJ577" s="2" t="n">
        <v>100</v>
      </c>
      <c r="FK577" s="2" t="n">
        <v>0</v>
      </c>
      <c r="FL577" s="2" t="n">
        <v>100</v>
      </c>
      <c r="FM577" s="2" t="n">
        <v>100</v>
      </c>
      <c r="FN577" s="2" t="n">
        <v>0</v>
      </c>
      <c r="FO577" s="2" t="n">
        <v>100</v>
      </c>
      <c r="FP577" s="2" t="n">
        <v>100</v>
      </c>
      <c r="FQ577" s="2" t="n">
        <v>0</v>
      </c>
    </row>
    <row r="578">
      <c r="A578" s="2" t="n">
        <v>3</v>
      </c>
      <c r="B578" s="2" t="inlineStr">
        <is>
          <t>24.06.06</t>
        </is>
      </c>
      <c r="C578" s="2" t="inlineStr">
        <is>
          <t>RE01 - Revestimento parede em manta de Lã de PET com 50mm de espessura e 35kg/m3 de densidade.</t>
        </is>
      </c>
      <c r="D578" s="2" t="inlineStr">
        <is>
          <t>10/12/2026</t>
        </is>
      </c>
      <c r="E578" s="2" t="inlineStr">
        <is>
          <t>26/01/2028</t>
        </is>
      </c>
      <c r="F578" s="2" t="n">
        <v>75523.9324922208</v>
      </c>
      <c r="G578" s="2" t="n">
        <v>0</v>
      </c>
      <c r="H578" s="2" t="n">
        <v>75523.9324922208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1.38</v>
      </c>
      <c r="CM578" s="2" t="n">
        <v>0</v>
      </c>
      <c r="CN578" s="2" t="n">
        <v>0</v>
      </c>
      <c r="CO578" s="2" t="n">
        <v>6.92</v>
      </c>
      <c r="CP578" s="2" t="n">
        <v>4.15</v>
      </c>
      <c r="CQ578" s="2" t="n">
        <v>0</v>
      </c>
      <c r="CR578" s="2" t="n">
        <v>12.46</v>
      </c>
      <c r="CS578" s="2" t="n">
        <v>8.300000000000001</v>
      </c>
      <c r="CT578" s="2" t="n">
        <v>0</v>
      </c>
      <c r="CU578" s="2" t="n">
        <v>16.61</v>
      </c>
      <c r="CV578" s="2" t="n">
        <v>12.46</v>
      </c>
      <c r="CW578" s="2" t="n">
        <v>0</v>
      </c>
      <c r="CX578" s="2" t="n">
        <v>20.76</v>
      </c>
      <c r="CY578" s="2" t="n">
        <v>20.76</v>
      </c>
      <c r="CZ578" s="2" t="n">
        <v>0</v>
      </c>
      <c r="DA578" s="2" t="n">
        <v>26.84</v>
      </c>
      <c r="DB578" s="2" t="n">
        <v>24.62</v>
      </c>
      <c r="DC578" s="2" t="n">
        <v>0</v>
      </c>
      <c r="DD578" s="2" t="n">
        <v>37.91</v>
      </c>
      <c r="DE578" s="2" t="n">
        <v>37.91</v>
      </c>
      <c r="DF578" s="2" t="n">
        <v>0</v>
      </c>
      <c r="DG578" s="2" t="n">
        <v>46.68</v>
      </c>
      <c r="DH578" s="2" t="n">
        <v>46.22</v>
      </c>
      <c r="DI578" s="2" t="n">
        <v>0</v>
      </c>
      <c r="DJ578" s="2" t="n">
        <v>58.21</v>
      </c>
      <c r="DK578" s="2" t="n">
        <v>58.67</v>
      </c>
      <c r="DL578" s="2" t="n">
        <v>0</v>
      </c>
      <c r="DM578" s="2" t="n">
        <v>62.82</v>
      </c>
      <c r="DN578" s="2" t="n">
        <v>62.82</v>
      </c>
      <c r="DO578" s="2" t="n">
        <v>0</v>
      </c>
      <c r="DP578" s="2" t="n">
        <v>75.28</v>
      </c>
      <c r="DQ578" s="2" t="n">
        <v>71.13</v>
      </c>
      <c r="DR578" s="2" t="n">
        <v>0</v>
      </c>
      <c r="DS578" s="2" t="n">
        <v>85.89</v>
      </c>
      <c r="DT578" s="2" t="n">
        <v>79.43000000000001</v>
      </c>
      <c r="DU578" s="2" t="n">
        <v>0</v>
      </c>
      <c r="DV578" s="2" t="n">
        <v>91.89</v>
      </c>
      <c r="DW578" s="2" t="n">
        <v>87.73999999999999</v>
      </c>
      <c r="DX578" s="2" t="n">
        <v>0</v>
      </c>
      <c r="DY578" s="2" t="n">
        <v>95.70999999999999</v>
      </c>
      <c r="DZ578" s="2" t="n">
        <v>87.73999999999999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  <c r="ET578" s="2" t="n">
        <v>100</v>
      </c>
      <c r="EU578" s="2" t="n">
        <v>100</v>
      </c>
      <c r="EV578" s="2" t="n">
        <v>0</v>
      </c>
      <c r="EW578" s="2" t="n">
        <v>100</v>
      </c>
      <c r="EX578" s="2" t="n">
        <v>100</v>
      </c>
      <c r="EY578" s="2" t="n">
        <v>0</v>
      </c>
      <c r="EZ578" s="2" t="n">
        <v>100</v>
      </c>
      <c r="FA578" s="2" t="n">
        <v>100</v>
      </c>
      <c r="FB578" s="2" t="n">
        <v>0</v>
      </c>
      <c r="FC578" s="2" t="n">
        <v>100</v>
      </c>
      <c r="FD578" s="2" t="n">
        <v>100</v>
      </c>
      <c r="FE578" s="2" t="n">
        <v>0</v>
      </c>
      <c r="FF578" s="2" t="n">
        <v>100</v>
      </c>
      <c r="FG578" s="2" t="n">
        <v>100</v>
      </c>
      <c r="FH578" s="2" t="n">
        <v>0</v>
      </c>
      <c r="FI578" s="2" t="n">
        <v>100</v>
      </c>
      <c r="FJ578" s="2" t="n">
        <v>100</v>
      </c>
      <c r="FK578" s="2" t="n">
        <v>0</v>
      </c>
      <c r="FL578" s="2" t="n">
        <v>100</v>
      </c>
      <c r="FM578" s="2" t="n">
        <v>100</v>
      </c>
      <c r="FN578" s="2" t="n">
        <v>0</v>
      </c>
      <c r="FO578" s="2" t="n">
        <v>100</v>
      </c>
      <c r="FP578" s="2" t="n">
        <v>100</v>
      </c>
      <c r="FQ578" s="2" t="n">
        <v>0</v>
      </c>
    </row>
    <row r="579">
      <c r="A579" s="2" t="n">
        <v>3</v>
      </c>
      <c r="B579" s="2" t="inlineStr">
        <is>
          <t>24.06.07</t>
        </is>
      </c>
      <c r="C579" s="2" t="inlineStr">
        <is>
          <t>FO01 - Forro em manta de Lã de PET com 50mm de espessura e 35kg/m3 de densidade.</t>
        </is>
      </c>
      <c r="D579" s="2" t="inlineStr">
        <is>
          <t>10/12/2026</t>
        </is>
      </c>
      <c r="E579" s="2" t="inlineStr">
        <is>
          <t>26/01/2028</t>
        </is>
      </c>
      <c r="F579" s="2" t="n">
        <v>51322.23935999999</v>
      </c>
      <c r="G579" s="2" t="n">
        <v>0</v>
      </c>
      <c r="H579" s="2" t="n">
        <v>51322.23935999999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0</v>
      </c>
      <c r="CJ579" s="2" t="n">
        <v>0</v>
      </c>
      <c r="CK579" s="2" t="n">
        <v>0</v>
      </c>
      <c r="CL579" s="2" t="n">
        <v>1.38</v>
      </c>
      <c r="CM579" s="2" t="n">
        <v>0</v>
      </c>
      <c r="CN579" s="2" t="n">
        <v>0</v>
      </c>
      <c r="CO579" s="2" t="n">
        <v>6.92</v>
      </c>
      <c r="CP579" s="2" t="n">
        <v>4.15</v>
      </c>
      <c r="CQ579" s="2" t="n">
        <v>0</v>
      </c>
      <c r="CR579" s="2" t="n">
        <v>12.46</v>
      </c>
      <c r="CS579" s="2" t="n">
        <v>8.300000000000001</v>
      </c>
      <c r="CT579" s="2" t="n">
        <v>0</v>
      </c>
      <c r="CU579" s="2" t="n">
        <v>16.61</v>
      </c>
      <c r="CV579" s="2" t="n">
        <v>12.46</v>
      </c>
      <c r="CW579" s="2" t="n">
        <v>0</v>
      </c>
      <c r="CX579" s="2" t="n">
        <v>20.76</v>
      </c>
      <c r="CY579" s="2" t="n">
        <v>20.76</v>
      </c>
      <c r="CZ579" s="2" t="n">
        <v>0</v>
      </c>
      <c r="DA579" s="2" t="n">
        <v>26.84</v>
      </c>
      <c r="DB579" s="2" t="n">
        <v>24.62</v>
      </c>
      <c r="DC579" s="2" t="n">
        <v>0</v>
      </c>
      <c r="DD579" s="2" t="n">
        <v>37.91</v>
      </c>
      <c r="DE579" s="2" t="n">
        <v>37.91</v>
      </c>
      <c r="DF579" s="2" t="n">
        <v>0</v>
      </c>
      <c r="DG579" s="2" t="n">
        <v>46.68</v>
      </c>
      <c r="DH579" s="2" t="n">
        <v>46.22</v>
      </c>
      <c r="DI579" s="2" t="n">
        <v>0</v>
      </c>
      <c r="DJ579" s="2" t="n">
        <v>58.21</v>
      </c>
      <c r="DK579" s="2" t="n">
        <v>58.67</v>
      </c>
      <c r="DL579" s="2" t="n">
        <v>0</v>
      </c>
      <c r="DM579" s="2" t="n">
        <v>62.82</v>
      </c>
      <c r="DN579" s="2" t="n">
        <v>62.82</v>
      </c>
      <c r="DO579" s="2" t="n">
        <v>0</v>
      </c>
      <c r="DP579" s="2" t="n">
        <v>75.28</v>
      </c>
      <c r="DQ579" s="2" t="n">
        <v>71.13</v>
      </c>
      <c r="DR579" s="2" t="n">
        <v>0</v>
      </c>
      <c r="DS579" s="2" t="n">
        <v>85.89</v>
      </c>
      <c r="DT579" s="2" t="n">
        <v>79.43000000000001</v>
      </c>
      <c r="DU579" s="2" t="n">
        <v>0</v>
      </c>
      <c r="DV579" s="2" t="n">
        <v>91.89</v>
      </c>
      <c r="DW579" s="2" t="n">
        <v>87.73999999999999</v>
      </c>
      <c r="DX579" s="2" t="n">
        <v>0</v>
      </c>
      <c r="DY579" s="2" t="n">
        <v>95.70999999999999</v>
      </c>
      <c r="DZ579" s="2" t="n">
        <v>87.73999999999999</v>
      </c>
      <c r="EA579" s="2" t="n">
        <v>0</v>
      </c>
      <c r="EB579" s="2" t="n">
        <v>100</v>
      </c>
      <c r="EC579" s="2" t="n">
        <v>100</v>
      </c>
      <c r="ED579" s="2" t="n">
        <v>0</v>
      </c>
      <c r="EE579" s="2" t="n">
        <v>100</v>
      </c>
      <c r="EF579" s="2" t="n">
        <v>100</v>
      </c>
      <c r="EG579" s="2" t="n">
        <v>0</v>
      </c>
      <c r="EH579" s="2" t="n">
        <v>100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  <c r="ET579" s="2" t="n">
        <v>100</v>
      </c>
      <c r="EU579" s="2" t="n">
        <v>100</v>
      </c>
      <c r="EV579" s="2" t="n">
        <v>0</v>
      </c>
      <c r="EW579" s="2" t="n">
        <v>100</v>
      </c>
      <c r="EX579" s="2" t="n">
        <v>100</v>
      </c>
      <c r="EY579" s="2" t="n">
        <v>0</v>
      </c>
      <c r="EZ579" s="2" t="n">
        <v>100</v>
      </c>
      <c r="FA579" s="2" t="n">
        <v>100</v>
      </c>
      <c r="FB579" s="2" t="n">
        <v>0</v>
      </c>
      <c r="FC579" s="2" t="n">
        <v>100</v>
      </c>
      <c r="FD579" s="2" t="n">
        <v>100</v>
      </c>
      <c r="FE579" s="2" t="n">
        <v>0</v>
      </c>
      <c r="FF579" s="2" t="n">
        <v>100</v>
      </c>
      <c r="FG579" s="2" t="n">
        <v>100</v>
      </c>
      <c r="FH579" s="2" t="n">
        <v>0</v>
      </c>
      <c r="FI579" s="2" t="n">
        <v>100</v>
      </c>
      <c r="FJ579" s="2" t="n">
        <v>100</v>
      </c>
      <c r="FK579" s="2" t="n">
        <v>0</v>
      </c>
      <c r="FL579" s="2" t="n">
        <v>100</v>
      </c>
      <c r="FM579" s="2" t="n">
        <v>100</v>
      </c>
      <c r="FN579" s="2" t="n">
        <v>0</v>
      </c>
      <c r="FO579" s="2" t="n">
        <v>100</v>
      </c>
      <c r="FP579" s="2" t="n">
        <v>100</v>
      </c>
      <c r="FQ579" s="2" t="n">
        <v>0</v>
      </c>
    </row>
    <row r="580">
      <c r="A580" s="2" t="n">
        <v>3</v>
      </c>
      <c r="B580" s="2" t="inlineStr">
        <is>
          <t>24.06.08</t>
        </is>
      </c>
      <c r="C580" s="2" t="inlineStr">
        <is>
          <t>FO02 - Forro de absorção acústica CLENEO,  em revestimento tipo 495 D,  com absorvedor em lã de pet branca 35kg/m3, e 50mm de espessura,  NRC&gt; 0,90 - classificação A, Ref. DIARCO ou equivalente</t>
        </is>
      </c>
      <c r="D580" s="2" t="inlineStr">
        <is>
          <t>10/12/2026</t>
        </is>
      </c>
      <c r="E580" s="2" t="inlineStr">
        <is>
          <t>26/01/2028</t>
        </is>
      </c>
      <c r="F580" s="2" t="n">
        <v>200785.2435</v>
      </c>
      <c r="G580" s="2" t="n">
        <v>0</v>
      </c>
      <c r="H580" s="2" t="n">
        <v>200785.2435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1.38</v>
      </c>
      <c r="CM580" s="2" t="n">
        <v>0</v>
      </c>
      <c r="CN580" s="2" t="n">
        <v>0</v>
      </c>
      <c r="CO580" s="2" t="n">
        <v>6.92</v>
      </c>
      <c r="CP580" s="2" t="n">
        <v>4.15</v>
      </c>
      <c r="CQ580" s="2" t="n">
        <v>0</v>
      </c>
      <c r="CR580" s="2" t="n">
        <v>12.46</v>
      </c>
      <c r="CS580" s="2" t="n">
        <v>8.300000000000001</v>
      </c>
      <c r="CT580" s="2" t="n">
        <v>0</v>
      </c>
      <c r="CU580" s="2" t="n">
        <v>16.61</v>
      </c>
      <c r="CV580" s="2" t="n">
        <v>12.46</v>
      </c>
      <c r="CW580" s="2" t="n">
        <v>0</v>
      </c>
      <c r="CX580" s="2" t="n">
        <v>20.76</v>
      </c>
      <c r="CY580" s="2" t="n">
        <v>20.76</v>
      </c>
      <c r="CZ580" s="2" t="n">
        <v>0</v>
      </c>
      <c r="DA580" s="2" t="n">
        <v>26.84</v>
      </c>
      <c r="DB580" s="2" t="n">
        <v>24.62</v>
      </c>
      <c r="DC580" s="2" t="n">
        <v>0</v>
      </c>
      <c r="DD580" s="2" t="n">
        <v>37.91</v>
      </c>
      <c r="DE580" s="2" t="n">
        <v>37.91</v>
      </c>
      <c r="DF580" s="2" t="n">
        <v>0</v>
      </c>
      <c r="DG580" s="2" t="n">
        <v>46.68</v>
      </c>
      <c r="DH580" s="2" t="n">
        <v>46.22</v>
      </c>
      <c r="DI580" s="2" t="n">
        <v>0</v>
      </c>
      <c r="DJ580" s="2" t="n">
        <v>58.21</v>
      </c>
      <c r="DK580" s="2" t="n">
        <v>58.67</v>
      </c>
      <c r="DL580" s="2" t="n">
        <v>0</v>
      </c>
      <c r="DM580" s="2" t="n">
        <v>62.82</v>
      </c>
      <c r="DN580" s="2" t="n">
        <v>62.82</v>
      </c>
      <c r="DO580" s="2" t="n">
        <v>0</v>
      </c>
      <c r="DP580" s="2" t="n">
        <v>75.28</v>
      </c>
      <c r="DQ580" s="2" t="n">
        <v>71.13</v>
      </c>
      <c r="DR580" s="2" t="n">
        <v>0</v>
      </c>
      <c r="DS580" s="2" t="n">
        <v>85.89</v>
      </c>
      <c r="DT580" s="2" t="n">
        <v>79.43000000000001</v>
      </c>
      <c r="DU580" s="2" t="n">
        <v>0</v>
      </c>
      <c r="DV580" s="2" t="n">
        <v>91.89</v>
      </c>
      <c r="DW580" s="2" t="n">
        <v>87.73999999999999</v>
      </c>
      <c r="DX580" s="2" t="n">
        <v>0</v>
      </c>
      <c r="DY580" s="2" t="n">
        <v>95.70999999999999</v>
      </c>
      <c r="DZ580" s="2" t="n">
        <v>87.73999999999999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  <c r="ET580" s="2" t="n">
        <v>100</v>
      </c>
      <c r="EU580" s="2" t="n">
        <v>100</v>
      </c>
      <c r="EV580" s="2" t="n">
        <v>0</v>
      </c>
      <c r="EW580" s="2" t="n">
        <v>100</v>
      </c>
      <c r="EX580" s="2" t="n">
        <v>100</v>
      </c>
      <c r="EY580" s="2" t="n">
        <v>0</v>
      </c>
      <c r="EZ580" s="2" t="n">
        <v>100</v>
      </c>
      <c r="FA580" s="2" t="n">
        <v>100</v>
      </c>
      <c r="FB580" s="2" t="n">
        <v>0</v>
      </c>
      <c r="FC580" s="2" t="n">
        <v>100</v>
      </c>
      <c r="FD580" s="2" t="n">
        <v>100</v>
      </c>
      <c r="FE580" s="2" t="n">
        <v>0</v>
      </c>
      <c r="FF580" s="2" t="n">
        <v>100</v>
      </c>
      <c r="FG580" s="2" t="n">
        <v>100</v>
      </c>
      <c r="FH580" s="2" t="n">
        <v>0</v>
      </c>
      <c r="FI580" s="2" t="n">
        <v>100</v>
      </c>
      <c r="FJ580" s="2" t="n">
        <v>100</v>
      </c>
      <c r="FK580" s="2" t="n">
        <v>0</v>
      </c>
      <c r="FL580" s="2" t="n">
        <v>100</v>
      </c>
      <c r="FM580" s="2" t="n">
        <v>100</v>
      </c>
      <c r="FN580" s="2" t="n">
        <v>0</v>
      </c>
      <c r="FO580" s="2" t="n">
        <v>100</v>
      </c>
      <c r="FP580" s="2" t="n">
        <v>100</v>
      </c>
      <c r="FQ580" s="2" t="n">
        <v>0</v>
      </c>
    </row>
    <row r="581">
      <c r="A581" s="2" t="n">
        <v>3</v>
      </c>
      <c r="B581" s="2" t="inlineStr">
        <is>
          <t>24.06.09</t>
        </is>
      </c>
      <c r="C581" s="2" t="inlineStr">
        <is>
          <t>FO03 - Forro de isolamento acústico composto por  2 níveis  de forro FGE ( estruturado) com 2 chapas de gesso  RF (resistente ao fogo) cada um. preenchimento superior  com 2 mantas de lã de pet com 35kg/m³ de densidade e 50mm de espessura.</t>
        </is>
      </c>
      <c r="D581" s="2" t="inlineStr">
        <is>
          <t>10/12/2026</t>
        </is>
      </c>
      <c r="E581" s="2" t="inlineStr">
        <is>
          <t>26/01/2028</t>
        </is>
      </c>
      <c r="F581" s="2" t="n">
        <v>161316.33459072</v>
      </c>
      <c r="G581" s="2" t="n">
        <v>0</v>
      </c>
      <c r="H581" s="2" t="n">
        <v>161316.33459072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1.38</v>
      </c>
      <c r="CM581" s="2" t="n">
        <v>0</v>
      </c>
      <c r="CN581" s="2" t="n">
        <v>0</v>
      </c>
      <c r="CO581" s="2" t="n">
        <v>6.92</v>
      </c>
      <c r="CP581" s="2" t="n">
        <v>4.15</v>
      </c>
      <c r="CQ581" s="2" t="n">
        <v>0</v>
      </c>
      <c r="CR581" s="2" t="n">
        <v>12.46</v>
      </c>
      <c r="CS581" s="2" t="n">
        <v>8.300000000000001</v>
      </c>
      <c r="CT581" s="2" t="n">
        <v>0</v>
      </c>
      <c r="CU581" s="2" t="n">
        <v>16.61</v>
      </c>
      <c r="CV581" s="2" t="n">
        <v>12.46</v>
      </c>
      <c r="CW581" s="2" t="n">
        <v>0</v>
      </c>
      <c r="CX581" s="2" t="n">
        <v>20.76</v>
      </c>
      <c r="CY581" s="2" t="n">
        <v>20.76</v>
      </c>
      <c r="CZ581" s="2" t="n">
        <v>0</v>
      </c>
      <c r="DA581" s="2" t="n">
        <v>26.84</v>
      </c>
      <c r="DB581" s="2" t="n">
        <v>24.62</v>
      </c>
      <c r="DC581" s="2" t="n">
        <v>0</v>
      </c>
      <c r="DD581" s="2" t="n">
        <v>37.91</v>
      </c>
      <c r="DE581" s="2" t="n">
        <v>37.91</v>
      </c>
      <c r="DF581" s="2" t="n">
        <v>0</v>
      </c>
      <c r="DG581" s="2" t="n">
        <v>46.68</v>
      </c>
      <c r="DH581" s="2" t="n">
        <v>46.22</v>
      </c>
      <c r="DI581" s="2" t="n">
        <v>0</v>
      </c>
      <c r="DJ581" s="2" t="n">
        <v>58.21</v>
      </c>
      <c r="DK581" s="2" t="n">
        <v>58.67</v>
      </c>
      <c r="DL581" s="2" t="n">
        <v>0</v>
      </c>
      <c r="DM581" s="2" t="n">
        <v>62.82</v>
      </c>
      <c r="DN581" s="2" t="n">
        <v>62.82</v>
      </c>
      <c r="DO581" s="2" t="n">
        <v>0</v>
      </c>
      <c r="DP581" s="2" t="n">
        <v>75.28</v>
      </c>
      <c r="DQ581" s="2" t="n">
        <v>71.13</v>
      </c>
      <c r="DR581" s="2" t="n">
        <v>0</v>
      </c>
      <c r="DS581" s="2" t="n">
        <v>85.89</v>
      </c>
      <c r="DT581" s="2" t="n">
        <v>79.43000000000001</v>
      </c>
      <c r="DU581" s="2" t="n">
        <v>0</v>
      </c>
      <c r="DV581" s="2" t="n">
        <v>91.89</v>
      </c>
      <c r="DW581" s="2" t="n">
        <v>87.73999999999999</v>
      </c>
      <c r="DX581" s="2" t="n">
        <v>0</v>
      </c>
      <c r="DY581" s="2" t="n">
        <v>95.70999999999999</v>
      </c>
      <c r="DZ581" s="2" t="n">
        <v>87.73999999999999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  <c r="ET581" s="2" t="n">
        <v>100</v>
      </c>
      <c r="EU581" s="2" t="n">
        <v>100</v>
      </c>
      <c r="EV581" s="2" t="n">
        <v>0</v>
      </c>
      <c r="EW581" s="2" t="n">
        <v>100</v>
      </c>
      <c r="EX581" s="2" t="n">
        <v>100</v>
      </c>
      <c r="EY581" s="2" t="n">
        <v>0</v>
      </c>
      <c r="EZ581" s="2" t="n">
        <v>100</v>
      </c>
      <c r="FA581" s="2" t="n">
        <v>100</v>
      </c>
      <c r="FB581" s="2" t="n">
        <v>0</v>
      </c>
      <c r="FC581" s="2" t="n">
        <v>100</v>
      </c>
      <c r="FD581" s="2" t="n">
        <v>100</v>
      </c>
      <c r="FE581" s="2" t="n">
        <v>0</v>
      </c>
      <c r="FF581" s="2" t="n">
        <v>100</v>
      </c>
      <c r="FG581" s="2" t="n">
        <v>100</v>
      </c>
      <c r="FH581" s="2" t="n">
        <v>0</v>
      </c>
      <c r="FI581" s="2" t="n">
        <v>100</v>
      </c>
      <c r="FJ581" s="2" t="n">
        <v>100</v>
      </c>
      <c r="FK581" s="2" t="n">
        <v>0</v>
      </c>
      <c r="FL581" s="2" t="n">
        <v>100</v>
      </c>
      <c r="FM581" s="2" t="n">
        <v>100</v>
      </c>
      <c r="FN581" s="2" t="n">
        <v>0</v>
      </c>
      <c r="FO581" s="2" t="n">
        <v>100</v>
      </c>
      <c r="FP581" s="2" t="n">
        <v>100</v>
      </c>
      <c r="FQ581" s="2" t="n">
        <v>0</v>
      </c>
    </row>
    <row r="582">
      <c r="A582" s="2" t="n">
        <v>2</v>
      </c>
      <c r="B582" s="2" t="inlineStr">
        <is>
          <t>24.07</t>
        </is>
      </c>
      <c r="C582" s="2" t="inlineStr">
        <is>
          <t>Instalações hidráulicas complementares</t>
        </is>
      </c>
      <c r="D582" s="2" t="inlineStr">
        <is>
          <t>01/09/2026</t>
        </is>
      </c>
      <c r="E582" s="2" t="inlineStr">
        <is>
          <t>27/10/2027</t>
        </is>
      </c>
      <c r="F582" s="2" t="n">
        <v>797524.8000000002</v>
      </c>
      <c r="G582" s="2" t="n">
        <v>0</v>
      </c>
      <c r="H582" s="2" t="n">
        <v>797524.8000000002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0.55</v>
      </c>
      <c r="CD582" s="2" t="n">
        <v>0</v>
      </c>
      <c r="CE582" s="2" t="n">
        <v>0</v>
      </c>
      <c r="CF582" s="2" t="n">
        <v>2.29</v>
      </c>
      <c r="CG582" s="2" t="n">
        <v>1.52</v>
      </c>
      <c r="CH582" s="2" t="n">
        <v>0</v>
      </c>
      <c r="CI582" s="2" t="n">
        <v>5.98</v>
      </c>
      <c r="CJ582" s="2" t="n">
        <v>5.57</v>
      </c>
      <c r="CK582" s="2" t="n">
        <v>0</v>
      </c>
      <c r="CL582" s="2" t="n">
        <v>8.44</v>
      </c>
      <c r="CM582" s="2" t="n">
        <v>6.8</v>
      </c>
      <c r="CN582" s="2" t="n">
        <v>0</v>
      </c>
      <c r="CO582" s="2" t="n">
        <v>10.38</v>
      </c>
      <c r="CP582" s="2" t="n">
        <v>9.470000000000001</v>
      </c>
      <c r="CQ582" s="2" t="n">
        <v>0</v>
      </c>
      <c r="CR582" s="2" t="n">
        <v>16.31</v>
      </c>
      <c r="CS582" s="2" t="n">
        <v>15.79</v>
      </c>
      <c r="CT582" s="2" t="n">
        <v>0</v>
      </c>
      <c r="CU582" s="2" t="n">
        <v>26.59</v>
      </c>
      <c r="CV582" s="2" t="n">
        <v>26.25</v>
      </c>
      <c r="CW582" s="2" t="n">
        <v>0</v>
      </c>
      <c r="CX582" s="2" t="n">
        <v>46.63</v>
      </c>
      <c r="CY582" s="2" t="n">
        <v>46.33</v>
      </c>
      <c r="CZ582" s="2" t="n">
        <v>0</v>
      </c>
      <c r="DA582" s="2" t="n">
        <v>77.41</v>
      </c>
      <c r="DB582" s="2" t="n">
        <v>78.23</v>
      </c>
      <c r="DC582" s="2" t="n">
        <v>0</v>
      </c>
      <c r="DD582" s="2" t="n">
        <v>80.67</v>
      </c>
      <c r="DE582" s="2" t="n">
        <v>80.67</v>
      </c>
      <c r="DF582" s="2" t="n">
        <v>0</v>
      </c>
      <c r="DG582" s="2" t="n">
        <v>85.52</v>
      </c>
      <c r="DH582" s="2" t="n">
        <v>85.52</v>
      </c>
      <c r="DI582" s="2" t="n">
        <v>0</v>
      </c>
      <c r="DJ582" s="2" t="n">
        <v>91.88</v>
      </c>
      <c r="DK582" s="2" t="n">
        <v>91.88</v>
      </c>
      <c r="DL582" s="2" t="n">
        <v>0</v>
      </c>
      <c r="DM582" s="2" t="n">
        <v>96.39</v>
      </c>
      <c r="DN582" s="2" t="n">
        <v>96.39</v>
      </c>
      <c r="DO582" s="2" t="n">
        <v>0</v>
      </c>
      <c r="DP582" s="2" t="n">
        <v>97.12</v>
      </c>
      <c r="DQ582" s="2" t="n">
        <v>97.12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  <c r="ET582" s="2" t="n">
        <v>100</v>
      </c>
      <c r="EU582" s="2" t="n">
        <v>100</v>
      </c>
      <c r="EV582" s="2" t="n">
        <v>0</v>
      </c>
      <c r="EW582" s="2" t="n">
        <v>100</v>
      </c>
      <c r="EX582" s="2" t="n">
        <v>100</v>
      </c>
      <c r="EY582" s="2" t="n">
        <v>0</v>
      </c>
      <c r="EZ582" s="2" t="n">
        <v>100</v>
      </c>
      <c r="FA582" s="2" t="n">
        <v>100</v>
      </c>
      <c r="FB582" s="2" t="n">
        <v>0</v>
      </c>
      <c r="FC582" s="2" t="n">
        <v>100</v>
      </c>
      <c r="FD582" s="2" t="n">
        <v>100</v>
      </c>
      <c r="FE582" s="2" t="n">
        <v>0</v>
      </c>
      <c r="FF582" s="2" t="n">
        <v>100</v>
      </c>
      <c r="FG582" s="2" t="n">
        <v>100</v>
      </c>
      <c r="FH582" s="2" t="n">
        <v>0</v>
      </c>
      <c r="FI582" s="2" t="n">
        <v>100</v>
      </c>
      <c r="FJ582" s="2" t="n">
        <v>100</v>
      </c>
      <c r="FK582" s="2" t="n">
        <v>0</v>
      </c>
      <c r="FL582" s="2" t="n">
        <v>100</v>
      </c>
      <c r="FM582" s="2" t="n">
        <v>100</v>
      </c>
      <c r="FN582" s="2" t="n">
        <v>0</v>
      </c>
      <c r="FO582" s="2" t="n">
        <v>100</v>
      </c>
      <c r="FP582" s="2" t="n">
        <v>100</v>
      </c>
      <c r="FQ582" s="2" t="n">
        <v>0</v>
      </c>
    </row>
    <row r="583">
      <c r="A583" s="2" t="n">
        <v>3</v>
      </c>
      <c r="B583" s="2" t="inlineStr">
        <is>
          <t>24.07.01</t>
        </is>
      </c>
      <c r="C583" s="2" t="inlineStr">
        <is>
          <t>Redes de Irrigação</t>
        </is>
      </c>
      <c r="D583" s="2" t="inlineStr">
        <is>
          <t>04/01/2027</t>
        </is>
      </c>
      <c r="E583" s="2" t="inlineStr">
        <is>
          <t>22/04/2027</t>
        </is>
      </c>
      <c r="F583" s="2" t="n">
        <v>150000</v>
      </c>
      <c r="G583" s="2" t="n">
        <v>0</v>
      </c>
      <c r="H583" s="2" t="n">
        <v>150000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3.75</v>
      </c>
      <c r="CP583" s="2" t="n">
        <v>0</v>
      </c>
      <c r="CQ583" s="2" t="n">
        <v>0</v>
      </c>
      <c r="CR583" s="2" t="n">
        <v>28.75</v>
      </c>
      <c r="CS583" s="2" t="n">
        <v>25.97</v>
      </c>
      <c r="CT583" s="2" t="n">
        <v>0</v>
      </c>
      <c r="CU583" s="2" t="n">
        <v>53.75</v>
      </c>
      <c r="CV583" s="2" t="n">
        <v>51.95</v>
      </c>
      <c r="CW583" s="2" t="n">
        <v>0</v>
      </c>
      <c r="CX583" s="2" t="n">
        <v>81.25</v>
      </c>
      <c r="CY583" s="2" t="n">
        <v>80.52</v>
      </c>
      <c r="CZ583" s="2" t="n">
        <v>0</v>
      </c>
      <c r="DA583" s="2" t="n">
        <v>100</v>
      </c>
      <c r="DB583" s="2" t="n">
        <v>100</v>
      </c>
      <c r="DC583" s="2" t="n">
        <v>0</v>
      </c>
      <c r="DD583" s="2" t="n">
        <v>100</v>
      </c>
      <c r="DE583" s="2" t="n">
        <v>100</v>
      </c>
      <c r="DF583" s="2" t="n">
        <v>0</v>
      </c>
      <c r="DG583" s="2" t="n">
        <v>100</v>
      </c>
      <c r="DH583" s="2" t="n">
        <v>100</v>
      </c>
      <c r="DI583" s="2" t="n">
        <v>0</v>
      </c>
      <c r="DJ583" s="2" t="n">
        <v>100</v>
      </c>
      <c r="DK583" s="2" t="n">
        <v>100</v>
      </c>
      <c r="DL583" s="2" t="n">
        <v>0</v>
      </c>
      <c r="DM583" s="2" t="n">
        <v>100</v>
      </c>
      <c r="DN583" s="2" t="n">
        <v>100</v>
      </c>
      <c r="DO583" s="2" t="n">
        <v>0</v>
      </c>
      <c r="DP583" s="2" t="n">
        <v>100</v>
      </c>
      <c r="DQ583" s="2" t="n">
        <v>100</v>
      </c>
      <c r="DR583" s="2" t="n">
        <v>0</v>
      </c>
      <c r="DS583" s="2" t="n">
        <v>100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  <c r="ET583" s="2" t="n">
        <v>100</v>
      </c>
      <c r="EU583" s="2" t="n">
        <v>100</v>
      </c>
      <c r="EV583" s="2" t="n">
        <v>0</v>
      </c>
      <c r="EW583" s="2" t="n">
        <v>100</v>
      </c>
      <c r="EX583" s="2" t="n">
        <v>100</v>
      </c>
      <c r="EY583" s="2" t="n">
        <v>0</v>
      </c>
      <c r="EZ583" s="2" t="n">
        <v>100</v>
      </c>
      <c r="FA583" s="2" t="n">
        <v>100</v>
      </c>
      <c r="FB583" s="2" t="n">
        <v>0</v>
      </c>
      <c r="FC583" s="2" t="n">
        <v>100</v>
      </c>
      <c r="FD583" s="2" t="n">
        <v>100</v>
      </c>
      <c r="FE583" s="2" t="n">
        <v>0</v>
      </c>
      <c r="FF583" s="2" t="n">
        <v>100</v>
      </c>
      <c r="FG583" s="2" t="n">
        <v>100</v>
      </c>
      <c r="FH583" s="2" t="n">
        <v>0</v>
      </c>
      <c r="FI583" s="2" t="n">
        <v>100</v>
      </c>
      <c r="FJ583" s="2" t="n">
        <v>100</v>
      </c>
      <c r="FK583" s="2" t="n">
        <v>0</v>
      </c>
      <c r="FL583" s="2" t="n">
        <v>100</v>
      </c>
      <c r="FM583" s="2" t="n">
        <v>100</v>
      </c>
      <c r="FN583" s="2" t="n">
        <v>0</v>
      </c>
      <c r="FO583" s="2" t="n">
        <v>100</v>
      </c>
      <c r="FP583" s="2" t="n">
        <v>100</v>
      </c>
      <c r="FQ583" s="2" t="n">
        <v>0</v>
      </c>
    </row>
    <row r="584">
      <c r="A584" s="2" t="n">
        <v>3</v>
      </c>
      <c r="B584" s="2" t="inlineStr">
        <is>
          <t>24.07.02</t>
        </is>
      </c>
      <c r="C584" s="2" t="inlineStr">
        <is>
          <t>Instalações de Gás de cozinha</t>
        </is>
      </c>
      <c r="D584" s="2" t="inlineStr">
        <is>
          <t>01/09/2026</t>
        </is>
      </c>
      <c r="E584" s="2" t="inlineStr">
        <is>
          <t>27/10/2027</t>
        </is>
      </c>
      <c r="F584" s="2" t="n">
        <v>388514.8800000001</v>
      </c>
      <c r="G584" s="2" t="n">
        <v>0</v>
      </c>
      <c r="H584" s="2" t="n">
        <v>388514.8800000001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1.13</v>
      </c>
      <c r="CD584" s="2" t="n">
        <v>0</v>
      </c>
      <c r="CE584" s="2" t="n">
        <v>0</v>
      </c>
      <c r="CF584" s="2" t="n">
        <v>4.7</v>
      </c>
      <c r="CG584" s="2" t="n">
        <v>3.12</v>
      </c>
      <c r="CH584" s="2" t="n">
        <v>0</v>
      </c>
      <c r="CI584" s="2" t="n">
        <v>12.28</v>
      </c>
      <c r="CJ584" s="2" t="n">
        <v>11.44</v>
      </c>
      <c r="CK584" s="2" t="n">
        <v>0</v>
      </c>
      <c r="CL584" s="2" t="n">
        <v>17.33</v>
      </c>
      <c r="CM584" s="2" t="n">
        <v>13.96</v>
      </c>
      <c r="CN584" s="2" t="n">
        <v>0</v>
      </c>
      <c r="CO584" s="2" t="n">
        <v>19.86</v>
      </c>
      <c r="CP584" s="2" t="n">
        <v>19.44</v>
      </c>
      <c r="CQ584" s="2" t="n">
        <v>0</v>
      </c>
      <c r="CR584" s="2" t="n">
        <v>22.39</v>
      </c>
      <c r="CS584" s="2" t="n">
        <v>22.39</v>
      </c>
      <c r="CT584" s="2" t="n">
        <v>0</v>
      </c>
      <c r="CU584" s="2" t="n">
        <v>33.84</v>
      </c>
      <c r="CV584" s="2" t="n">
        <v>33.84</v>
      </c>
      <c r="CW584" s="2" t="n">
        <v>0</v>
      </c>
      <c r="CX584" s="2" t="n">
        <v>44.79</v>
      </c>
      <c r="CY584" s="2" t="n">
        <v>44.79</v>
      </c>
      <c r="CZ584" s="2" t="n">
        <v>0</v>
      </c>
      <c r="DA584" s="2" t="n">
        <v>53.63</v>
      </c>
      <c r="DB584" s="2" t="n">
        <v>55.32</v>
      </c>
      <c r="DC584" s="2" t="n">
        <v>0</v>
      </c>
      <c r="DD584" s="2" t="n">
        <v>60.33</v>
      </c>
      <c r="DE584" s="2" t="n">
        <v>60.33</v>
      </c>
      <c r="DF584" s="2" t="n">
        <v>0</v>
      </c>
      <c r="DG584" s="2" t="n">
        <v>70.27</v>
      </c>
      <c r="DH584" s="2" t="n">
        <v>70.27</v>
      </c>
      <c r="DI584" s="2" t="n">
        <v>0</v>
      </c>
      <c r="DJ584" s="2" t="n">
        <v>83.33</v>
      </c>
      <c r="DK584" s="2" t="n">
        <v>83.33</v>
      </c>
      <c r="DL584" s="2" t="n">
        <v>0</v>
      </c>
      <c r="DM584" s="2" t="n">
        <v>92.59</v>
      </c>
      <c r="DN584" s="2" t="n">
        <v>92.59</v>
      </c>
      <c r="DO584" s="2" t="n">
        <v>0</v>
      </c>
      <c r="DP584" s="2" t="n">
        <v>94.09</v>
      </c>
      <c r="DQ584" s="2" t="n">
        <v>94.09</v>
      </c>
      <c r="DR584" s="2" t="n">
        <v>0</v>
      </c>
      <c r="DS584" s="2" t="n">
        <v>100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  <c r="ET584" s="2" t="n">
        <v>100</v>
      </c>
      <c r="EU584" s="2" t="n">
        <v>100</v>
      </c>
      <c r="EV584" s="2" t="n">
        <v>0</v>
      </c>
      <c r="EW584" s="2" t="n">
        <v>100</v>
      </c>
      <c r="EX584" s="2" t="n">
        <v>100</v>
      </c>
      <c r="EY584" s="2" t="n">
        <v>0</v>
      </c>
      <c r="EZ584" s="2" t="n">
        <v>100</v>
      </c>
      <c r="FA584" s="2" t="n">
        <v>100</v>
      </c>
      <c r="FB584" s="2" t="n">
        <v>0</v>
      </c>
      <c r="FC584" s="2" t="n">
        <v>100</v>
      </c>
      <c r="FD584" s="2" t="n">
        <v>100</v>
      </c>
      <c r="FE584" s="2" t="n">
        <v>0</v>
      </c>
      <c r="FF584" s="2" t="n">
        <v>100</v>
      </c>
      <c r="FG584" s="2" t="n">
        <v>100</v>
      </c>
      <c r="FH584" s="2" t="n">
        <v>0</v>
      </c>
      <c r="FI584" s="2" t="n">
        <v>100</v>
      </c>
      <c r="FJ584" s="2" t="n">
        <v>100</v>
      </c>
      <c r="FK584" s="2" t="n">
        <v>0</v>
      </c>
      <c r="FL584" s="2" t="n">
        <v>100</v>
      </c>
      <c r="FM584" s="2" t="n">
        <v>100</v>
      </c>
      <c r="FN584" s="2" t="n">
        <v>0</v>
      </c>
      <c r="FO584" s="2" t="n">
        <v>100</v>
      </c>
      <c r="FP584" s="2" t="n">
        <v>100</v>
      </c>
      <c r="FQ584" s="2" t="n">
        <v>0</v>
      </c>
    </row>
    <row r="585">
      <c r="A585" s="2" t="n">
        <v>3</v>
      </c>
      <c r="B585" s="2" t="inlineStr">
        <is>
          <t>24.07.03</t>
        </is>
      </c>
      <c r="C585" s="2" t="inlineStr">
        <is>
          <t>Aquecedores Solares</t>
        </is>
      </c>
      <c r="D585" s="2" t="inlineStr">
        <is>
          <t>16/03/2027</t>
        </is>
      </c>
      <c r="E585" s="2" t="inlineStr">
        <is>
          <t>29/04/2027</t>
        </is>
      </c>
      <c r="F585" s="2" t="n">
        <v>259009.9200000001</v>
      </c>
      <c r="G585" s="2" t="n">
        <v>0</v>
      </c>
      <c r="H585" s="2" t="n">
        <v>259009.9200000001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0</v>
      </c>
      <c r="CJ585" s="2" t="n">
        <v>0</v>
      </c>
      <c r="CK585" s="2" t="n">
        <v>0</v>
      </c>
      <c r="CL585" s="2" t="n">
        <v>0</v>
      </c>
      <c r="CM585" s="2" t="n">
        <v>0</v>
      </c>
      <c r="CN585" s="2" t="n">
        <v>0</v>
      </c>
      <c r="CO585" s="2" t="n">
        <v>0</v>
      </c>
      <c r="CP585" s="2" t="n">
        <v>0</v>
      </c>
      <c r="CQ585" s="2" t="n">
        <v>0</v>
      </c>
      <c r="CR585" s="2" t="n">
        <v>0</v>
      </c>
      <c r="CS585" s="2" t="n">
        <v>0</v>
      </c>
      <c r="CT585" s="2" t="n">
        <v>0</v>
      </c>
      <c r="CU585" s="2" t="n">
        <v>0</v>
      </c>
      <c r="CV585" s="2" t="n">
        <v>0</v>
      </c>
      <c r="CW585" s="2" t="n">
        <v>0</v>
      </c>
      <c r="CX585" s="2" t="n">
        <v>29.35</v>
      </c>
      <c r="CY585" s="2" t="n">
        <v>28.84</v>
      </c>
      <c r="CZ585" s="2" t="n">
        <v>0</v>
      </c>
      <c r="DA585" s="2" t="n">
        <v>100</v>
      </c>
      <c r="DB585" s="2" t="n">
        <v>100</v>
      </c>
      <c r="DC585" s="2" t="n">
        <v>0</v>
      </c>
      <c r="DD585" s="2" t="n">
        <v>100</v>
      </c>
      <c r="DE585" s="2" t="n">
        <v>100</v>
      </c>
      <c r="DF585" s="2" t="n">
        <v>0</v>
      </c>
      <c r="DG585" s="2" t="n">
        <v>100</v>
      </c>
      <c r="DH585" s="2" t="n">
        <v>100</v>
      </c>
      <c r="DI585" s="2" t="n">
        <v>0</v>
      </c>
      <c r="DJ585" s="2" t="n">
        <v>100</v>
      </c>
      <c r="DK585" s="2" t="n">
        <v>100</v>
      </c>
      <c r="DL585" s="2" t="n">
        <v>0</v>
      </c>
      <c r="DM585" s="2" t="n">
        <v>100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  <c r="ET585" s="2" t="n">
        <v>100</v>
      </c>
      <c r="EU585" s="2" t="n">
        <v>100</v>
      </c>
      <c r="EV585" s="2" t="n">
        <v>0</v>
      </c>
      <c r="EW585" s="2" t="n">
        <v>100</v>
      </c>
      <c r="EX585" s="2" t="n">
        <v>100</v>
      </c>
      <c r="EY585" s="2" t="n">
        <v>0</v>
      </c>
      <c r="EZ585" s="2" t="n">
        <v>100</v>
      </c>
      <c r="FA585" s="2" t="n">
        <v>100</v>
      </c>
      <c r="FB585" s="2" t="n">
        <v>0</v>
      </c>
      <c r="FC585" s="2" t="n">
        <v>100</v>
      </c>
      <c r="FD585" s="2" t="n">
        <v>100</v>
      </c>
      <c r="FE585" s="2" t="n">
        <v>0</v>
      </c>
      <c r="FF585" s="2" t="n">
        <v>100</v>
      </c>
      <c r="FG585" s="2" t="n">
        <v>100</v>
      </c>
      <c r="FH585" s="2" t="n">
        <v>0</v>
      </c>
      <c r="FI585" s="2" t="n">
        <v>100</v>
      </c>
      <c r="FJ585" s="2" t="n">
        <v>100</v>
      </c>
      <c r="FK585" s="2" t="n">
        <v>0</v>
      </c>
      <c r="FL585" s="2" t="n">
        <v>100</v>
      </c>
      <c r="FM585" s="2" t="n">
        <v>100</v>
      </c>
      <c r="FN585" s="2" t="n">
        <v>0</v>
      </c>
      <c r="FO585" s="2" t="n">
        <v>100</v>
      </c>
      <c r="FP585" s="2" t="n">
        <v>100</v>
      </c>
      <c r="FQ585" s="2" t="n">
        <v>0</v>
      </c>
    </row>
    <row r="586">
      <c r="A586" s="2" t="n">
        <v>1</v>
      </c>
      <c r="B586" s="2" t="inlineStr">
        <is>
          <t>25</t>
        </is>
      </c>
      <c r="C586" s="2" t="inlineStr">
        <is>
          <t>ELEVADORES</t>
        </is>
      </c>
      <c r="D586" s="2" t="inlineStr">
        <is>
          <t>20/04/2027</t>
        </is>
      </c>
      <c r="E586" s="2" t="inlineStr">
        <is>
          <t>06/01/2028</t>
        </is>
      </c>
      <c r="F586" s="2" t="n">
        <v>2639985.61610244</v>
      </c>
      <c r="G586" s="2" t="n">
        <v>0</v>
      </c>
      <c r="H586" s="2" t="n">
        <v>2639985.61610244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0</v>
      </c>
      <c r="CJ586" s="2" t="n">
        <v>0</v>
      </c>
      <c r="CK586" s="2" t="n">
        <v>0</v>
      </c>
      <c r="CL586" s="2" t="n">
        <v>0</v>
      </c>
      <c r="CM586" s="2" t="n">
        <v>0</v>
      </c>
      <c r="CN586" s="2" t="n">
        <v>0</v>
      </c>
      <c r="CO586" s="2" t="n">
        <v>0</v>
      </c>
      <c r="CP586" s="2" t="n">
        <v>0</v>
      </c>
      <c r="CQ586" s="2" t="n">
        <v>0</v>
      </c>
      <c r="CR586" s="2" t="n">
        <v>0</v>
      </c>
      <c r="CS586" s="2" t="n">
        <v>0</v>
      </c>
      <c r="CT586" s="2" t="n">
        <v>0</v>
      </c>
      <c r="CU586" s="2" t="n">
        <v>0</v>
      </c>
      <c r="CV586" s="2" t="n">
        <v>0</v>
      </c>
      <c r="CW586" s="2" t="n">
        <v>0</v>
      </c>
      <c r="CX586" s="2" t="n">
        <v>0</v>
      </c>
      <c r="CY586" s="2" t="n">
        <v>0</v>
      </c>
      <c r="CZ586" s="2" t="n">
        <v>0</v>
      </c>
      <c r="DA586" s="2" t="n">
        <v>0.21</v>
      </c>
      <c r="DB586" s="2" t="n">
        <v>0.21</v>
      </c>
      <c r="DC586" s="2" t="n">
        <v>0</v>
      </c>
      <c r="DD586" s="2" t="n">
        <v>1.06</v>
      </c>
      <c r="DE586" s="2" t="n">
        <v>1.06</v>
      </c>
      <c r="DF586" s="2" t="n">
        <v>0</v>
      </c>
      <c r="DG586" s="2" t="n">
        <v>6.43</v>
      </c>
      <c r="DH586" s="2" t="n">
        <v>6.43</v>
      </c>
      <c r="DI586" s="2" t="n">
        <v>0</v>
      </c>
      <c r="DJ586" s="2" t="n">
        <v>23.43</v>
      </c>
      <c r="DK586" s="2" t="n">
        <v>23.43</v>
      </c>
      <c r="DL586" s="2" t="n">
        <v>0</v>
      </c>
      <c r="DM586" s="2" t="n">
        <v>40.44</v>
      </c>
      <c r="DN586" s="2" t="n">
        <v>40.44</v>
      </c>
      <c r="DO586" s="2" t="n">
        <v>0</v>
      </c>
      <c r="DP586" s="2" t="n">
        <v>57.34</v>
      </c>
      <c r="DQ586" s="2" t="n">
        <v>57.34</v>
      </c>
      <c r="DR586" s="2" t="n">
        <v>0</v>
      </c>
      <c r="DS586" s="2" t="n">
        <v>73.44</v>
      </c>
      <c r="DT586" s="2" t="n">
        <v>72.93000000000001</v>
      </c>
      <c r="DU586" s="2" t="n">
        <v>0</v>
      </c>
      <c r="DV586" s="2" t="n">
        <v>89.54000000000001</v>
      </c>
      <c r="DW586" s="2" t="n">
        <v>87.56</v>
      </c>
      <c r="DX586" s="2" t="n">
        <v>0</v>
      </c>
      <c r="DY586" s="2" t="n">
        <v>100</v>
      </c>
      <c r="DZ586" s="2" t="n">
        <v>97.06999999999999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  <c r="ET586" s="2" t="n">
        <v>100</v>
      </c>
      <c r="EU586" s="2" t="n">
        <v>100</v>
      </c>
      <c r="EV586" s="2" t="n">
        <v>0</v>
      </c>
      <c r="EW586" s="2" t="n">
        <v>100</v>
      </c>
      <c r="EX586" s="2" t="n">
        <v>100</v>
      </c>
      <c r="EY586" s="2" t="n">
        <v>0</v>
      </c>
      <c r="EZ586" s="2" t="n">
        <v>100</v>
      </c>
      <c r="FA586" s="2" t="n">
        <v>100</v>
      </c>
      <c r="FB586" s="2" t="n">
        <v>0</v>
      </c>
      <c r="FC586" s="2" t="n">
        <v>100</v>
      </c>
      <c r="FD586" s="2" t="n">
        <v>100</v>
      </c>
      <c r="FE586" s="2" t="n">
        <v>0</v>
      </c>
      <c r="FF586" s="2" t="n">
        <v>100</v>
      </c>
      <c r="FG586" s="2" t="n">
        <v>100</v>
      </c>
      <c r="FH586" s="2" t="n">
        <v>0</v>
      </c>
      <c r="FI586" s="2" t="n">
        <v>100</v>
      </c>
      <c r="FJ586" s="2" t="n">
        <v>100</v>
      </c>
      <c r="FK586" s="2" t="n">
        <v>0</v>
      </c>
      <c r="FL586" s="2" t="n">
        <v>100</v>
      </c>
      <c r="FM586" s="2" t="n">
        <v>100</v>
      </c>
      <c r="FN586" s="2" t="n">
        <v>0</v>
      </c>
      <c r="FO586" s="2" t="n">
        <v>100</v>
      </c>
      <c r="FP586" s="2" t="n">
        <v>100</v>
      </c>
      <c r="FQ586" s="2" t="n">
        <v>0</v>
      </c>
    </row>
    <row r="587">
      <c r="A587" s="2" t="n">
        <v>2</v>
      </c>
      <c r="B587" s="2" t="inlineStr">
        <is>
          <t>25.01</t>
        </is>
      </c>
      <c r="C587" s="2" t="inlineStr">
        <is>
          <t>Elevadores</t>
        </is>
      </c>
      <c r="D587" s="2" t="inlineStr">
        <is>
          <t>20/04/2027</t>
        </is>
      </c>
      <c r="E587" s="2" t="inlineStr">
        <is>
          <t>06/01/2028</t>
        </is>
      </c>
      <c r="F587" s="2" t="n">
        <v>2639985.61610244</v>
      </c>
      <c r="G587" s="2" t="n">
        <v>0</v>
      </c>
      <c r="H587" s="2" t="n">
        <v>2639985.61610244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0</v>
      </c>
      <c r="CJ587" s="2" t="n">
        <v>0</v>
      </c>
      <c r="CK587" s="2" t="n">
        <v>0</v>
      </c>
      <c r="CL587" s="2" t="n">
        <v>0</v>
      </c>
      <c r="CM587" s="2" t="n">
        <v>0</v>
      </c>
      <c r="CN587" s="2" t="n">
        <v>0</v>
      </c>
      <c r="CO587" s="2" t="n">
        <v>0</v>
      </c>
      <c r="CP587" s="2" t="n">
        <v>0</v>
      </c>
      <c r="CQ587" s="2" t="n">
        <v>0</v>
      </c>
      <c r="CR587" s="2" t="n">
        <v>0</v>
      </c>
      <c r="CS587" s="2" t="n">
        <v>0</v>
      </c>
      <c r="CT587" s="2" t="n">
        <v>0</v>
      </c>
      <c r="CU587" s="2" t="n">
        <v>0</v>
      </c>
      <c r="CV587" s="2" t="n">
        <v>0</v>
      </c>
      <c r="CW587" s="2" t="n">
        <v>0</v>
      </c>
      <c r="CX587" s="2" t="n">
        <v>0</v>
      </c>
      <c r="CY587" s="2" t="n">
        <v>0</v>
      </c>
      <c r="CZ587" s="2" t="n">
        <v>0</v>
      </c>
      <c r="DA587" s="2" t="n">
        <v>0.21</v>
      </c>
      <c r="DB587" s="2" t="n">
        <v>0.21</v>
      </c>
      <c r="DC587" s="2" t="n">
        <v>0</v>
      </c>
      <c r="DD587" s="2" t="n">
        <v>1.06</v>
      </c>
      <c r="DE587" s="2" t="n">
        <v>1.06</v>
      </c>
      <c r="DF587" s="2" t="n">
        <v>0</v>
      </c>
      <c r="DG587" s="2" t="n">
        <v>6.43</v>
      </c>
      <c r="DH587" s="2" t="n">
        <v>6.43</v>
      </c>
      <c r="DI587" s="2" t="n">
        <v>0</v>
      </c>
      <c r="DJ587" s="2" t="n">
        <v>23.43</v>
      </c>
      <c r="DK587" s="2" t="n">
        <v>23.43</v>
      </c>
      <c r="DL587" s="2" t="n">
        <v>0</v>
      </c>
      <c r="DM587" s="2" t="n">
        <v>40.44</v>
      </c>
      <c r="DN587" s="2" t="n">
        <v>40.44</v>
      </c>
      <c r="DO587" s="2" t="n">
        <v>0</v>
      </c>
      <c r="DP587" s="2" t="n">
        <v>57.34</v>
      </c>
      <c r="DQ587" s="2" t="n">
        <v>57.34</v>
      </c>
      <c r="DR587" s="2" t="n">
        <v>0</v>
      </c>
      <c r="DS587" s="2" t="n">
        <v>73.44</v>
      </c>
      <c r="DT587" s="2" t="n">
        <v>72.93000000000001</v>
      </c>
      <c r="DU587" s="2" t="n">
        <v>0</v>
      </c>
      <c r="DV587" s="2" t="n">
        <v>89.54000000000001</v>
      </c>
      <c r="DW587" s="2" t="n">
        <v>87.56</v>
      </c>
      <c r="DX587" s="2" t="n">
        <v>0</v>
      </c>
      <c r="DY587" s="2" t="n">
        <v>100</v>
      </c>
      <c r="DZ587" s="2" t="n">
        <v>97.06999999999999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  <c r="ET587" s="2" t="n">
        <v>100</v>
      </c>
      <c r="EU587" s="2" t="n">
        <v>100</v>
      </c>
      <c r="EV587" s="2" t="n">
        <v>0</v>
      </c>
      <c r="EW587" s="2" t="n">
        <v>100</v>
      </c>
      <c r="EX587" s="2" t="n">
        <v>100</v>
      </c>
      <c r="EY587" s="2" t="n">
        <v>0</v>
      </c>
      <c r="EZ587" s="2" t="n">
        <v>100</v>
      </c>
      <c r="FA587" s="2" t="n">
        <v>100</v>
      </c>
      <c r="FB587" s="2" t="n">
        <v>0</v>
      </c>
      <c r="FC587" s="2" t="n">
        <v>100</v>
      </c>
      <c r="FD587" s="2" t="n">
        <v>100</v>
      </c>
      <c r="FE587" s="2" t="n">
        <v>0</v>
      </c>
      <c r="FF587" s="2" t="n">
        <v>100</v>
      </c>
      <c r="FG587" s="2" t="n">
        <v>100</v>
      </c>
      <c r="FH587" s="2" t="n">
        <v>0</v>
      </c>
      <c r="FI587" s="2" t="n">
        <v>100</v>
      </c>
      <c r="FJ587" s="2" t="n">
        <v>100</v>
      </c>
      <c r="FK587" s="2" t="n">
        <v>0</v>
      </c>
      <c r="FL587" s="2" t="n">
        <v>100</v>
      </c>
      <c r="FM587" s="2" t="n">
        <v>100</v>
      </c>
      <c r="FN587" s="2" t="n">
        <v>0</v>
      </c>
      <c r="FO587" s="2" t="n">
        <v>100</v>
      </c>
      <c r="FP587" s="2" t="n">
        <v>100</v>
      </c>
      <c r="FQ587" s="2" t="n">
        <v>0</v>
      </c>
    </row>
    <row r="588">
      <c r="A588" s="2" t="n">
        <v>3</v>
      </c>
      <c r="B588" s="2" t="inlineStr">
        <is>
          <t>25.01.01</t>
        </is>
      </c>
      <c r="C588" s="2" t="inlineStr">
        <is>
          <t>Elevador de Serviço - 27 paradas</t>
        </is>
      </c>
      <c r="D588" s="2" t="inlineStr">
        <is>
          <t>23/06/2027</t>
        </is>
      </c>
      <c r="E588" s="2" t="inlineStr">
        <is>
          <t>06/01/2028</t>
        </is>
      </c>
      <c r="F588" s="2" t="n">
        <v>849999.9999999999</v>
      </c>
      <c r="G588" s="2" t="n">
        <v>0</v>
      </c>
      <c r="H588" s="2" t="n">
        <v>849999.9999999999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0</v>
      </c>
      <c r="CJ588" s="2" t="n">
        <v>0</v>
      </c>
      <c r="CK588" s="2" t="n">
        <v>0</v>
      </c>
      <c r="CL588" s="2" t="n">
        <v>0</v>
      </c>
      <c r="CM588" s="2" t="n">
        <v>0</v>
      </c>
      <c r="CN588" s="2" t="n">
        <v>0</v>
      </c>
      <c r="CO588" s="2" t="n">
        <v>0</v>
      </c>
      <c r="CP588" s="2" t="n">
        <v>0</v>
      </c>
      <c r="CQ588" s="2" t="n">
        <v>0</v>
      </c>
      <c r="CR588" s="2" t="n">
        <v>0</v>
      </c>
      <c r="CS588" s="2" t="n">
        <v>0</v>
      </c>
      <c r="CT588" s="2" t="n">
        <v>0</v>
      </c>
      <c r="CU588" s="2" t="n">
        <v>0</v>
      </c>
      <c r="CV588" s="2" t="n">
        <v>0</v>
      </c>
      <c r="CW588" s="2" t="n">
        <v>0</v>
      </c>
      <c r="CX588" s="2" t="n">
        <v>0</v>
      </c>
      <c r="CY588" s="2" t="n">
        <v>0</v>
      </c>
      <c r="CZ588" s="2" t="n">
        <v>0</v>
      </c>
      <c r="DA588" s="2" t="n">
        <v>0</v>
      </c>
      <c r="DB588" s="2" t="n">
        <v>0</v>
      </c>
      <c r="DC588" s="2" t="n">
        <v>0</v>
      </c>
      <c r="DD588" s="2" t="n">
        <v>0</v>
      </c>
      <c r="DE588" s="2" t="n">
        <v>0</v>
      </c>
      <c r="DF588" s="2" t="n">
        <v>0</v>
      </c>
      <c r="DG588" s="2" t="n">
        <v>4.55</v>
      </c>
      <c r="DH588" s="2" t="n">
        <v>4.55</v>
      </c>
      <c r="DI588" s="2" t="n">
        <v>0</v>
      </c>
      <c r="DJ588" s="2" t="n">
        <v>21.21</v>
      </c>
      <c r="DK588" s="2" t="n">
        <v>21.21</v>
      </c>
      <c r="DL588" s="2" t="n">
        <v>0</v>
      </c>
      <c r="DM588" s="2" t="n">
        <v>38.33</v>
      </c>
      <c r="DN588" s="2" t="n">
        <v>38.33</v>
      </c>
      <c r="DO588" s="2" t="n">
        <v>0</v>
      </c>
      <c r="DP588" s="2" t="n">
        <v>55.83</v>
      </c>
      <c r="DQ588" s="2" t="n">
        <v>55.83</v>
      </c>
      <c r="DR588" s="2" t="n">
        <v>0</v>
      </c>
      <c r="DS588" s="2" t="n">
        <v>72.5</v>
      </c>
      <c r="DT588" s="2" t="n">
        <v>71.97</v>
      </c>
      <c r="DU588" s="2" t="n">
        <v>0</v>
      </c>
      <c r="DV588" s="2" t="n">
        <v>89.17</v>
      </c>
      <c r="DW588" s="2" t="n">
        <v>87.12</v>
      </c>
      <c r="DX588" s="2" t="n">
        <v>0</v>
      </c>
      <c r="DY588" s="2" t="n">
        <v>100</v>
      </c>
      <c r="DZ588" s="2" t="n">
        <v>96.97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  <c r="ET588" s="2" t="n">
        <v>100</v>
      </c>
      <c r="EU588" s="2" t="n">
        <v>100</v>
      </c>
      <c r="EV588" s="2" t="n">
        <v>0</v>
      </c>
      <c r="EW588" s="2" t="n">
        <v>100</v>
      </c>
      <c r="EX588" s="2" t="n">
        <v>100</v>
      </c>
      <c r="EY588" s="2" t="n">
        <v>0</v>
      </c>
      <c r="EZ588" s="2" t="n">
        <v>100</v>
      </c>
      <c r="FA588" s="2" t="n">
        <v>100</v>
      </c>
      <c r="FB588" s="2" t="n">
        <v>0</v>
      </c>
      <c r="FC588" s="2" t="n">
        <v>100</v>
      </c>
      <c r="FD588" s="2" t="n">
        <v>100</v>
      </c>
      <c r="FE588" s="2" t="n">
        <v>0</v>
      </c>
      <c r="FF588" s="2" t="n">
        <v>100</v>
      </c>
      <c r="FG588" s="2" t="n">
        <v>100</v>
      </c>
      <c r="FH588" s="2" t="n">
        <v>0</v>
      </c>
      <c r="FI588" s="2" t="n">
        <v>100</v>
      </c>
      <c r="FJ588" s="2" t="n">
        <v>100</v>
      </c>
      <c r="FK588" s="2" t="n">
        <v>0</v>
      </c>
      <c r="FL588" s="2" t="n">
        <v>100</v>
      </c>
      <c r="FM588" s="2" t="n">
        <v>100</v>
      </c>
      <c r="FN588" s="2" t="n">
        <v>0</v>
      </c>
      <c r="FO588" s="2" t="n">
        <v>100</v>
      </c>
      <c r="FP588" s="2" t="n">
        <v>100</v>
      </c>
      <c r="FQ588" s="2" t="n">
        <v>0</v>
      </c>
    </row>
    <row r="589">
      <c r="A589" s="2" t="n">
        <v>3</v>
      </c>
      <c r="B589" s="2" t="inlineStr">
        <is>
          <t>25.01.02</t>
        </is>
      </c>
      <c r="C589" s="2" t="inlineStr">
        <is>
          <t>Elevador Social - 27 paradas</t>
        </is>
      </c>
      <c r="D589" s="2" t="inlineStr">
        <is>
          <t>23/06/2027</t>
        </is>
      </c>
      <c r="E589" s="2" t="inlineStr">
        <is>
          <t>06/01/2028</t>
        </is>
      </c>
      <c r="F589" s="2" t="n">
        <v>1700000</v>
      </c>
      <c r="G589" s="2" t="n">
        <v>0</v>
      </c>
      <c r="H589" s="2" t="n">
        <v>1700000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0</v>
      </c>
      <c r="CJ589" s="2" t="n">
        <v>0</v>
      </c>
      <c r="CK589" s="2" t="n">
        <v>0</v>
      </c>
      <c r="CL589" s="2" t="n">
        <v>0</v>
      </c>
      <c r="CM589" s="2" t="n">
        <v>0</v>
      </c>
      <c r="CN589" s="2" t="n">
        <v>0</v>
      </c>
      <c r="CO589" s="2" t="n">
        <v>0</v>
      </c>
      <c r="CP589" s="2" t="n">
        <v>0</v>
      </c>
      <c r="CQ589" s="2" t="n">
        <v>0</v>
      </c>
      <c r="CR589" s="2" t="n">
        <v>0</v>
      </c>
      <c r="CS589" s="2" t="n">
        <v>0</v>
      </c>
      <c r="CT589" s="2" t="n">
        <v>0</v>
      </c>
      <c r="CU589" s="2" t="n">
        <v>0</v>
      </c>
      <c r="CV589" s="2" t="n">
        <v>0</v>
      </c>
      <c r="CW589" s="2" t="n">
        <v>0</v>
      </c>
      <c r="CX589" s="2" t="n">
        <v>0</v>
      </c>
      <c r="CY589" s="2" t="n">
        <v>0</v>
      </c>
      <c r="CZ589" s="2" t="n">
        <v>0</v>
      </c>
      <c r="DA589" s="2" t="n">
        <v>0</v>
      </c>
      <c r="DB589" s="2" t="n">
        <v>0</v>
      </c>
      <c r="DC589" s="2" t="n">
        <v>0</v>
      </c>
      <c r="DD589" s="2" t="n">
        <v>0</v>
      </c>
      <c r="DE589" s="2" t="n">
        <v>0</v>
      </c>
      <c r="DF589" s="2" t="n">
        <v>0</v>
      </c>
      <c r="DG589" s="2" t="n">
        <v>4.55</v>
      </c>
      <c r="DH589" s="2" t="n">
        <v>4.55</v>
      </c>
      <c r="DI589" s="2" t="n">
        <v>0</v>
      </c>
      <c r="DJ589" s="2" t="n">
        <v>21.21</v>
      </c>
      <c r="DK589" s="2" t="n">
        <v>21.21</v>
      </c>
      <c r="DL589" s="2" t="n">
        <v>0</v>
      </c>
      <c r="DM589" s="2" t="n">
        <v>38.33</v>
      </c>
      <c r="DN589" s="2" t="n">
        <v>38.33</v>
      </c>
      <c r="DO589" s="2" t="n">
        <v>0</v>
      </c>
      <c r="DP589" s="2" t="n">
        <v>55.83</v>
      </c>
      <c r="DQ589" s="2" t="n">
        <v>55.83</v>
      </c>
      <c r="DR589" s="2" t="n">
        <v>0</v>
      </c>
      <c r="DS589" s="2" t="n">
        <v>72.5</v>
      </c>
      <c r="DT589" s="2" t="n">
        <v>71.97</v>
      </c>
      <c r="DU589" s="2" t="n">
        <v>0</v>
      </c>
      <c r="DV589" s="2" t="n">
        <v>89.17</v>
      </c>
      <c r="DW589" s="2" t="n">
        <v>87.12</v>
      </c>
      <c r="DX589" s="2" t="n">
        <v>0</v>
      </c>
      <c r="DY589" s="2" t="n">
        <v>100</v>
      </c>
      <c r="DZ589" s="2" t="n">
        <v>96.97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  <c r="ET589" s="2" t="n">
        <v>100</v>
      </c>
      <c r="EU589" s="2" t="n">
        <v>100</v>
      </c>
      <c r="EV589" s="2" t="n">
        <v>0</v>
      </c>
      <c r="EW589" s="2" t="n">
        <v>100</v>
      </c>
      <c r="EX589" s="2" t="n">
        <v>100</v>
      </c>
      <c r="EY589" s="2" t="n">
        <v>0</v>
      </c>
      <c r="EZ589" s="2" t="n">
        <v>100</v>
      </c>
      <c r="FA589" s="2" t="n">
        <v>100</v>
      </c>
      <c r="FB589" s="2" t="n">
        <v>0</v>
      </c>
      <c r="FC589" s="2" t="n">
        <v>100</v>
      </c>
      <c r="FD589" s="2" t="n">
        <v>100</v>
      </c>
      <c r="FE589" s="2" t="n">
        <v>0</v>
      </c>
      <c r="FF589" s="2" t="n">
        <v>100</v>
      </c>
      <c r="FG589" s="2" t="n">
        <v>100</v>
      </c>
      <c r="FH589" s="2" t="n">
        <v>0</v>
      </c>
      <c r="FI589" s="2" t="n">
        <v>100</v>
      </c>
      <c r="FJ589" s="2" t="n">
        <v>100</v>
      </c>
      <c r="FK589" s="2" t="n">
        <v>0</v>
      </c>
      <c r="FL589" s="2" t="n">
        <v>100</v>
      </c>
      <c r="FM589" s="2" t="n">
        <v>100</v>
      </c>
      <c r="FN589" s="2" t="n">
        <v>0</v>
      </c>
      <c r="FO589" s="2" t="n">
        <v>100</v>
      </c>
      <c r="FP589" s="2" t="n">
        <v>100</v>
      </c>
      <c r="FQ589" s="2" t="n">
        <v>0</v>
      </c>
    </row>
    <row r="590">
      <c r="A590" s="2" t="n">
        <v>3</v>
      </c>
      <c r="B590" s="2" t="inlineStr">
        <is>
          <t>25.01.03</t>
        </is>
      </c>
      <c r="C590" s="2" t="inlineStr">
        <is>
          <t>Proteção para fosso dos elevadores</t>
        </is>
      </c>
      <c r="D590" s="2" t="inlineStr">
        <is>
          <t>20/04/2027</t>
        </is>
      </c>
      <c r="E590" s="2" t="inlineStr">
        <is>
          <t>12/08/2027</t>
        </is>
      </c>
      <c r="F590" s="2" t="n">
        <v>14985.61610244092</v>
      </c>
      <c r="G590" s="2" t="n">
        <v>0</v>
      </c>
      <c r="H590" s="2" t="n">
        <v>14985.61610244092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0</v>
      </c>
      <c r="CJ590" s="2" t="n">
        <v>0</v>
      </c>
      <c r="CK590" s="2" t="n">
        <v>0</v>
      </c>
      <c r="CL590" s="2" t="n">
        <v>0</v>
      </c>
      <c r="CM590" s="2" t="n">
        <v>0</v>
      </c>
      <c r="CN590" s="2" t="n">
        <v>0</v>
      </c>
      <c r="CO590" s="2" t="n">
        <v>0</v>
      </c>
      <c r="CP590" s="2" t="n">
        <v>0</v>
      </c>
      <c r="CQ590" s="2" t="n">
        <v>0</v>
      </c>
      <c r="CR590" s="2" t="n">
        <v>0</v>
      </c>
      <c r="CS590" s="2" t="n">
        <v>0</v>
      </c>
      <c r="CT590" s="2" t="n">
        <v>0</v>
      </c>
      <c r="CU590" s="2" t="n">
        <v>0</v>
      </c>
      <c r="CV590" s="2" t="n">
        <v>0</v>
      </c>
      <c r="CW590" s="2" t="n">
        <v>0</v>
      </c>
      <c r="CX590" s="2" t="n">
        <v>0</v>
      </c>
      <c r="CY590" s="2" t="n">
        <v>0</v>
      </c>
      <c r="CZ590" s="2" t="n">
        <v>0</v>
      </c>
      <c r="DA590" s="2" t="n">
        <v>6.06</v>
      </c>
      <c r="DB590" s="2" t="n">
        <v>6.06</v>
      </c>
      <c r="DC590" s="2" t="n">
        <v>0</v>
      </c>
      <c r="DD590" s="2" t="n">
        <v>31.06</v>
      </c>
      <c r="DE590" s="2" t="n">
        <v>31.06</v>
      </c>
      <c r="DF590" s="2" t="n">
        <v>0</v>
      </c>
      <c r="DG590" s="2" t="n">
        <v>59.85</v>
      </c>
      <c r="DH590" s="2" t="n">
        <v>59.85</v>
      </c>
      <c r="DI590" s="2" t="n">
        <v>0</v>
      </c>
      <c r="DJ590" s="2" t="n">
        <v>86.36</v>
      </c>
      <c r="DK590" s="2" t="n">
        <v>86.36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  <c r="ET590" s="2" t="n">
        <v>100</v>
      </c>
      <c r="EU590" s="2" t="n">
        <v>100</v>
      </c>
      <c r="EV590" s="2" t="n">
        <v>0</v>
      </c>
      <c r="EW590" s="2" t="n">
        <v>100</v>
      </c>
      <c r="EX590" s="2" t="n">
        <v>100</v>
      </c>
      <c r="EY590" s="2" t="n">
        <v>0</v>
      </c>
      <c r="EZ590" s="2" t="n">
        <v>100</v>
      </c>
      <c r="FA590" s="2" t="n">
        <v>100</v>
      </c>
      <c r="FB590" s="2" t="n">
        <v>0</v>
      </c>
      <c r="FC590" s="2" t="n">
        <v>100</v>
      </c>
      <c r="FD590" s="2" t="n">
        <v>100</v>
      </c>
      <c r="FE590" s="2" t="n">
        <v>0</v>
      </c>
      <c r="FF590" s="2" t="n">
        <v>100</v>
      </c>
      <c r="FG590" s="2" t="n">
        <v>100</v>
      </c>
      <c r="FH590" s="2" t="n">
        <v>0</v>
      </c>
      <c r="FI590" s="2" t="n">
        <v>100</v>
      </c>
      <c r="FJ590" s="2" t="n">
        <v>100</v>
      </c>
      <c r="FK590" s="2" t="n">
        <v>0</v>
      </c>
      <c r="FL590" s="2" t="n">
        <v>100</v>
      </c>
      <c r="FM590" s="2" t="n">
        <v>100</v>
      </c>
      <c r="FN590" s="2" t="n">
        <v>0</v>
      </c>
      <c r="FO590" s="2" t="n">
        <v>100</v>
      </c>
      <c r="FP590" s="2" t="n">
        <v>100</v>
      </c>
      <c r="FQ590" s="2" t="n">
        <v>0</v>
      </c>
    </row>
    <row r="591">
      <c r="A591" s="2" t="n">
        <v>3</v>
      </c>
      <c r="B591" s="2" t="inlineStr">
        <is>
          <t>25.01.04</t>
        </is>
      </c>
      <c r="C591" s="2" t="inlineStr">
        <is>
          <t>Instalação de bomba sapo para drenagem do poço do elevador</t>
        </is>
      </c>
      <c r="D591" s="2" t="inlineStr">
        <is>
          <t>20/04/2027</t>
        </is>
      </c>
      <c r="E591" s="2" t="inlineStr">
        <is>
          <t>12/08/2027</t>
        </is>
      </c>
      <c r="F591" s="2" t="n">
        <v>7500</v>
      </c>
      <c r="G591" s="2" t="n">
        <v>0</v>
      </c>
      <c r="H591" s="2" t="n">
        <v>7500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0</v>
      </c>
      <c r="CJ591" s="2" t="n">
        <v>0</v>
      </c>
      <c r="CK591" s="2" t="n">
        <v>0</v>
      </c>
      <c r="CL591" s="2" t="n">
        <v>0</v>
      </c>
      <c r="CM591" s="2" t="n">
        <v>0</v>
      </c>
      <c r="CN591" s="2" t="n">
        <v>0</v>
      </c>
      <c r="CO591" s="2" t="n">
        <v>0</v>
      </c>
      <c r="CP591" s="2" t="n">
        <v>0</v>
      </c>
      <c r="CQ591" s="2" t="n">
        <v>0</v>
      </c>
      <c r="CR591" s="2" t="n">
        <v>0</v>
      </c>
      <c r="CS591" s="2" t="n">
        <v>0</v>
      </c>
      <c r="CT591" s="2" t="n">
        <v>0</v>
      </c>
      <c r="CU591" s="2" t="n">
        <v>0</v>
      </c>
      <c r="CV591" s="2" t="n">
        <v>0</v>
      </c>
      <c r="CW591" s="2" t="n">
        <v>0</v>
      </c>
      <c r="CX591" s="2" t="n">
        <v>0</v>
      </c>
      <c r="CY591" s="2" t="n">
        <v>0</v>
      </c>
      <c r="CZ591" s="2" t="n">
        <v>0</v>
      </c>
      <c r="DA591" s="2" t="n">
        <v>6.06</v>
      </c>
      <c r="DB591" s="2" t="n">
        <v>6.06</v>
      </c>
      <c r="DC591" s="2" t="n">
        <v>0</v>
      </c>
      <c r="DD591" s="2" t="n">
        <v>31.06</v>
      </c>
      <c r="DE591" s="2" t="n">
        <v>31.06</v>
      </c>
      <c r="DF591" s="2" t="n">
        <v>0</v>
      </c>
      <c r="DG591" s="2" t="n">
        <v>59.85</v>
      </c>
      <c r="DH591" s="2" t="n">
        <v>59.85</v>
      </c>
      <c r="DI591" s="2" t="n">
        <v>0</v>
      </c>
      <c r="DJ591" s="2" t="n">
        <v>86.36</v>
      </c>
      <c r="DK591" s="2" t="n">
        <v>86.36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  <c r="ET591" s="2" t="n">
        <v>100</v>
      </c>
      <c r="EU591" s="2" t="n">
        <v>100</v>
      </c>
      <c r="EV591" s="2" t="n">
        <v>0</v>
      </c>
      <c r="EW591" s="2" t="n">
        <v>100</v>
      </c>
      <c r="EX591" s="2" t="n">
        <v>100</v>
      </c>
      <c r="EY591" s="2" t="n">
        <v>0</v>
      </c>
      <c r="EZ591" s="2" t="n">
        <v>100</v>
      </c>
      <c r="FA591" s="2" t="n">
        <v>100</v>
      </c>
      <c r="FB591" s="2" t="n">
        <v>0</v>
      </c>
      <c r="FC591" s="2" t="n">
        <v>100</v>
      </c>
      <c r="FD591" s="2" t="n">
        <v>100</v>
      </c>
      <c r="FE591" s="2" t="n">
        <v>0</v>
      </c>
      <c r="FF591" s="2" t="n">
        <v>100</v>
      </c>
      <c r="FG591" s="2" t="n">
        <v>100</v>
      </c>
      <c r="FH591" s="2" t="n">
        <v>0</v>
      </c>
      <c r="FI591" s="2" t="n">
        <v>100</v>
      </c>
      <c r="FJ591" s="2" t="n">
        <v>100</v>
      </c>
      <c r="FK591" s="2" t="n">
        <v>0</v>
      </c>
      <c r="FL591" s="2" t="n">
        <v>100</v>
      </c>
      <c r="FM591" s="2" t="n">
        <v>100</v>
      </c>
      <c r="FN591" s="2" t="n">
        <v>0</v>
      </c>
      <c r="FO591" s="2" t="n">
        <v>100</v>
      </c>
      <c r="FP591" s="2" t="n">
        <v>100</v>
      </c>
      <c r="FQ591" s="2" t="n">
        <v>0</v>
      </c>
    </row>
    <row r="592">
      <c r="A592" s="2" t="n">
        <v>3</v>
      </c>
      <c r="B592" s="2" t="inlineStr">
        <is>
          <t>25.01.05</t>
        </is>
      </c>
      <c r="C592" s="2" t="inlineStr">
        <is>
          <t>Proteção de elevadores definitivos com madeira, papelão e plástico durante a utilização pela obra</t>
        </is>
      </c>
      <c r="D592" s="2" t="inlineStr">
        <is>
          <t>20/04/2027</t>
        </is>
      </c>
      <c r="E592" s="2" t="inlineStr">
        <is>
          <t>12/08/2027</t>
        </is>
      </c>
      <c r="F592" s="2" t="n">
        <v>7500</v>
      </c>
      <c r="G592" s="2" t="n">
        <v>0</v>
      </c>
      <c r="H592" s="2" t="n">
        <v>7500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0</v>
      </c>
      <c r="CJ592" s="2" t="n">
        <v>0</v>
      </c>
      <c r="CK592" s="2" t="n">
        <v>0</v>
      </c>
      <c r="CL592" s="2" t="n">
        <v>0</v>
      </c>
      <c r="CM592" s="2" t="n">
        <v>0</v>
      </c>
      <c r="CN592" s="2" t="n">
        <v>0</v>
      </c>
      <c r="CO592" s="2" t="n">
        <v>0</v>
      </c>
      <c r="CP592" s="2" t="n">
        <v>0</v>
      </c>
      <c r="CQ592" s="2" t="n">
        <v>0</v>
      </c>
      <c r="CR592" s="2" t="n">
        <v>0</v>
      </c>
      <c r="CS592" s="2" t="n">
        <v>0</v>
      </c>
      <c r="CT592" s="2" t="n">
        <v>0</v>
      </c>
      <c r="CU592" s="2" t="n">
        <v>0</v>
      </c>
      <c r="CV592" s="2" t="n">
        <v>0</v>
      </c>
      <c r="CW592" s="2" t="n">
        <v>0</v>
      </c>
      <c r="CX592" s="2" t="n">
        <v>0</v>
      </c>
      <c r="CY592" s="2" t="n">
        <v>0</v>
      </c>
      <c r="CZ592" s="2" t="n">
        <v>0</v>
      </c>
      <c r="DA592" s="2" t="n">
        <v>6.06</v>
      </c>
      <c r="DB592" s="2" t="n">
        <v>6.06</v>
      </c>
      <c r="DC592" s="2" t="n">
        <v>0</v>
      </c>
      <c r="DD592" s="2" t="n">
        <v>31.06</v>
      </c>
      <c r="DE592" s="2" t="n">
        <v>31.06</v>
      </c>
      <c r="DF592" s="2" t="n">
        <v>0</v>
      </c>
      <c r="DG592" s="2" t="n">
        <v>59.85</v>
      </c>
      <c r="DH592" s="2" t="n">
        <v>59.85</v>
      </c>
      <c r="DI592" s="2" t="n">
        <v>0</v>
      </c>
      <c r="DJ592" s="2" t="n">
        <v>86.36</v>
      </c>
      <c r="DK592" s="2" t="n">
        <v>86.36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  <c r="ET592" s="2" t="n">
        <v>100</v>
      </c>
      <c r="EU592" s="2" t="n">
        <v>100</v>
      </c>
      <c r="EV592" s="2" t="n">
        <v>0</v>
      </c>
      <c r="EW592" s="2" t="n">
        <v>100</v>
      </c>
      <c r="EX592" s="2" t="n">
        <v>100</v>
      </c>
      <c r="EY592" s="2" t="n">
        <v>0</v>
      </c>
      <c r="EZ592" s="2" t="n">
        <v>100</v>
      </c>
      <c r="FA592" s="2" t="n">
        <v>100</v>
      </c>
      <c r="FB592" s="2" t="n">
        <v>0</v>
      </c>
      <c r="FC592" s="2" t="n">
        <v>100</v>
      </c>
      <c r="FD592" s="2" t="n">
        <v>100</v>
      </c>
      <c r="FE592" s="2" t="n">
        <v>0</v>
      </c>
      <c r="FF592" s="2" t="n">
        <v>100</v>
      </c>
      <c r="FG592" s="2" t="n">
        <v>100</v>
      </c>
      <c r="FH592" s="2" t="n">
        <v>0</v>
      </c>
      <c r="FI592" s="2" t="n">
        <v>100</v>
      </c>
      <c r="FJ592" s="2" t="n">
        <v>100</v>
      </c>
      <c r="FK592" s="2" t="n">
        <v>0</v>
      </c>
      <c r="FL592" s="2" t="n">
        <v>100</v>
      </c>
      <c r="FM592" s="2" t="n">
        <v>100</v>
      </c>
      <c r="FN592" s="2" t="n">
        <v>0</v>
      </c>
      <c r="FO592" s="2" t="n">
        <v>100</v>
      </c>
      <c r="FP592" s="2" t="n">
        <v>100</v>
      </c>
      <c r="FQ592" s="2" t="n">
        <v>0</v>
      </c>
    </row>
    <row r="593">
      <c r="A593" s="2" t="n">
        <v>3</v>
      </c>
      <c r="B593" s="2" t="inlineStr">
        <is>
          <t>25.01.06</t>
        </is>
      </c>
      <c r="C593" s="2" t="inlineStr">
        <is>
          <t>Serviços complementares à instalação e operação dos elevadores (içamento de motor, chumbamento de portas, preparo do poço)</t>
        </is>
      </c>
      <c r="D593" s="2" t="inlineStr">
        <is>
          <t>20/04/2027</t>
        </is>
      </c>
      <c r="E593" s="2" t="inlineStr">
        <is>
          <t>12/08/2027</t>
        </is>
      </c>
      <c r="F593" s="2" t="n">
        <v>60000</v>
      </c>
      <c r="G593" s="2" t="n">
        <v>0</v>
      </c>
      <c r="H593" s="2" t="n">
        <v>60000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6.06</v>
      </c>
      <c r="DB593" s="2" t="n">
        <v>6.06</v>
      </c>
      <c r="DC593" s="2" t="n">
        <v>0</v>
      </c>
      <c r="DD593" s="2" t="n">
        <v>31.06</v>
      </c>
      <c r="DE593" s="2" t="n">
        <v>31.06</v>
      </c>
      <c r="DF593" s="2" t="n">
        <v>0</v>
      </c>
      <c r="DG593" s="2" t="n">
        <v>59.85</v>
      </c>
      <c r="DH593" s="2" t="n">
        <v>59.85</v>
      </c>
      <c r="DI593" s="2" t="n">
        <v>0</v>
      </c>
      <c r="DJ593" s="2" t="n">
        <v>86.36</v>
      </c>
      <c r="DK593" s="2" t="n">
        <v>86.36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  <c r="ET593" s="2" t="n">
        <v>100</v>
      </c>
      <c r="EU593" s="2" t="n">
        <v>100</v>
      </c>
      <c r="EV593" s="2" t="n">
        <v>0</v>
      </c>
      <c r="EW593" s="2" t="n">
        <v>100</v>
      </c>
      <c r="EX593" s="2" t="n">
        <v>100</v>
      </c>
      <c r="EY593" s="2" t="n">
        <v>0</v>
      </c>
      <c r="EZ593" s="2" t="n">
        <v>100</v>
      </c>
      <c r="FA593" s="2" t="n">
        <v>100</v>
      </c>
      <c r="FB593" s="2" t="n">
        <v>0</v>
      </c>
      <c r="FC593" s="2" t="n">
        <v>100</v>
      </c>
      <c r="FD593" s="2" t="n">
        <v>100</v>
      </c>
      <c r="FE593" s="2" t="n">
        <v>0</v>
      </c>
      <c r="FF593" s="2" t="n">
        <v>100</v>
      </c>
      <c r="FG593" s="2" t="n">
        <v>100</v>
      </c>
      <c r="FH593" s="2" t="n">
        <v>0</v>
      </c>
      <c r="FI593" s="2" t="n">
        <v>100</v>
      </c>
      <c r="FJ593" s="2" t="n">
        <v>100</v>
      </c>
      <c r="FK593" s="2" t="n">
        <v>0</v>
      </c>
      <c r="FL593" s="2" t="n">
        <v>100</v>
      </c>
      <c r="FM593" s="2" t="n">
        <v>100</v>
      </c>
      <c r="FN593" s="2" t="n">
        <v>0</v>
      </c>
      <c r="FO593" s="2" t="n">
        <v>100</v>
      </c>
      <c r="FP593" s="2" t="n">
        <v>100</v>
      </c>
      <c r="FQ593" s="2" t="n">
        <v>0</v>
      </c>
    </row>
    <row r="594">
      <c r="A594" s="2" t="n">
        <v>1</v>
      </c>
      <c r="B594" s="2" t="inlineStr">
        <is>
          <t>26</t>
        </is>
      </c>
      <c r="C594" s="2" t="inlineStr">
        <is>
          <t>ESQUADRIAS</t>
        </is>
      </c>
      <c r="D594" s="2" t="inlineStr">
        <is>
          <t>23/09/2026</t>
        </is>
      </c>
      <c r="E594" s="2" t="inlineStr">
        <is>
          <t>12/09/2028</t>
        </is>
      </c>
      <c r="F594" s="2" t="n">
        <v>12959647.29118251</v>
      </c>
      <c r="G594" s="2" t="n">
        <v>0</v>
      </c>
      <c r="H594" s="2" t="n">
        <v>12959647.29118251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0.14</v>
      </c>
      <c r="CG594" s="2" t="n">
        <v>0.14</v>
      </c>
      <c r="CH594" s="2" t="n">
        <v>0</v>
      </c>
      <c r="CI594" s="2" t="n">
        <v>1.1</v>
      </c>
      <c r="CJ594" s="2" t="n">
        <v>0.89</v>
      </c>
      <c r="CK594" s="2" t="n">
        <v>0</v>
      </c>
      <c r="CL594" s="2" t="n">
        <v>2.08</v>
      </c>
      <c r="CM594" s="2" t="n">
        <v>1.57</v>
      </c>
      <c r="CN594" s="2" t="n">
        <v>0</v>
      </c>
      <c r="CO594" s="2" t="n">
        <v>2.79</v>
      </c>
      <c r="CP594" s="2" t="n">
        <v>2.36</v>
      </c>
      <c r="CQ594" s="2" t="n">
        <v>0</v>
      </c>
      <c r="CR594" s="2" t="n">
        <v>2.94</v>
      </c>
      <c r="CS594" s="2" t="n">
        <v>2.94</v>
      </c>
      <c r="CT594" s="2" t="n">
        <v>0</v>
      </c>
      <c r="CU594" s="2" t="n">
        <v>3.68</v>
      </c>
      <c r="CV594" s="2" t="n">
        <v>3.67</v>
      </c>
      <c r="CW594" s="2" t="n">
        <v>0</v>
      </c>
      <c r="CX594" s="2" t="n">
        <v>5.46</v>
      </c>
      <c r="CY594" s="2" t="n">
        <v>5.14</v>
      </c>
      <c r="CZ594" s="2" t="n">
        <v>0</v>
      </c>
      <c r="DA594" s="2" t="n">
        <v>11.64</v>
      </c>
      <c r="DB594" s="2" t="n">
        <v>9.949999999999999</v>
      </c>
      <c r="DC594" s="2" t="n">
        <v>0</v>
      </c>
      <c r="DD594" s="2" t="n">
        <v>18.53</v>
      </c>
      <c r="DE594" s="2" t="n">
        <v>14.33</v>
      </c>
      <c r="DF594" s="2" t="n">
        <v>0</v>
      </c>
      <c r="DG594" s="2" t="n">
        <v>27.59</v>
      </c>
      <c r="DH594" s="2" t="n">
        <v>20.59</v>
      </c>
      <c r="DI594" s="2" t="n">
        <v>0</v>
      </c>
      <c r="DJ594" s="2" t="n">
        <v>36.33</v>
      </c>
      <c r="DK594" s="2" t="n">
        <v>27.53</v>
      </c>
      <c r="DL594" s="2" t="n">
        <v>0</v>
      </c>
      <c r="DM594" s="2" t="n">
        <v>41.6</v>
      </c>
      <c r="DN594" s="2" t="n">
        <v>33.49</v>
      </c>
      <c r="DO594" s="2" t="n">
        <v>0</v>
      </c>
      <c r="DP594" s="2" t="n">
        <v>51.46</v>
      </c>
      <c r="DQ594" s="2" t="n">
        <v>42.21</v>
      </c>
      <c r="DR594" s="2" t="n">
        <v>0</v>
      </c>
      <c r="DS594" s="2" t="n">
        <v>61.51</v>
      </c>
      <c r="DT594" s="2" t="n">
        <v>48.05</v>
      </c>
      <c r="DU594" s="2" t="n">
        <v>0</v>
      </c>
      <c r="DV594" s="2" t="n">
        <v>68.26000000000001</v>
      </c>
      <c r="DW594" s="2" t="n">
        <v>53.81</v>
      </c>
      <c r="DX594" s="2" t="n">
        <v>0</v>
      </c>
      <c r="DY594" s="2" t="n">
        <v>72.06999999999999</v>
      </c>
      <c r="DZ594" s="2" t="n">
        <v>57.6</v>
      </c>
      <c r="EA594" s="2" t="n">
        <v>0</v>
      </c>
      <c r="EB594" s="2" t="n">
        <v>77.67</v>
      </c>
      <c r="EC594" s="2" t="n">
        <v>61.33</v>
      </c>
      <c r="ED594" s="2" t="n">
        <v>0</v>
      </c>
      <c r="EE594" s="2" t="n">
        <v>93.43000000000001</v>
      </c>
      <c r="EF594" s="2" t="n">
        <v>75.03</v>
      </c>
      <c r="EG594" s="2" t="n">
        <v>0</v>
      </c>
      <c r="EH594" s="2" t="n">
        <v>98.42</v>
      </c>
      <c r="EI594" s="2" t="n">
        <v>79.12</v>
      </c>
      <c r="EJ594" s="2" t="n">
        <v>0</v>
      </c>
      <c r="EK594" s="2" t="n">
        <v>98.48</v>
      </c>
      <c r="EL594" s="2" t="n">
        <v>82.39</v>
      </c>
      <c r="EM594" s="2" t="n">
        <v>0</v>
      </c>
      <c r="EN594" s="2" t="n">
        <v>99.51000000000001</v>
      </c>
      <c r="EO594" s="2" t="n">
        <v>87.31999999999999</v>
      </c>
      <c r="EP594" s="2" t="n">
        <v>0</v>
      </c>
      <c r="EQ594" s="2" t="n">
        <v>100</v>
      </c>
      <c r="ER594" s="2" t="n">
        <v>91.55</v>
      </c>
      <c r="ES594" s="2" t="n">
        <v>0</v>
      </c>
      <c r="ET594" s="2" t="n">
        <v>100</v>
      </c>
      <c r="EU594" s="2" t="n">
        <v>95.28</v>
      </c>
      <c r="EV594" s="2" t="n">
        <v>0</v>
      </c>
      <c r="EW594" s="2" t="n">
        <v>100</v>
      </c>
      <c r="EX594" s="2" t="n">
        <v>99.04000000000001</v>
      </c>
      <c r="EY594" s="2" t="n">
        <v>0</v>
      </c>
      <c r="EZ594" s="2" t="n">
        <v>100</v>
      </c>
      <c r="FA594" s="2" t="n">
        <v>100</v>
      </c>
      <c r="FB594" s="2" t="n">
        <v>0</v>
      </c>
      <c r="FC594" s="2" t="n">
        <v>100</v>
      </c>
      <c r="FD594" s="2" t="n">
        <v>100</v>
      </c>
      <c r="FE594" s="2" t="n">
        <v>0</v>
      </c>
      <c r="FF594" s="2" t="n">
        <v>100</v>
      </c>
      <c r="FG594" s="2" t="n">
        <v>100</v>
      </c>
      <c r="FH594" s="2" t="n">
        <v>0</v>
      </c>
      <c r="FI594" s="2" t="n">
        <v>100</v>
      </c>
      <c r="FJ594" s="2" t="n">
        <v>100</v>
      </c>
      <c r="FK594" s="2" t="n">
        <v>0</v>
      </c>
      <c r="FL594" s="2" t="n">
        <v>100</v>
      </c>
      <c r="FM594" s="2" t="n">
        <v>100</v>
      </c>
      <c r="FN594" s="2" t="n">
        <v>0</v>
      </c>
      <c r="FO594" s="2" t="n">
        <v>100</v>
      </c>
      <c r="FP594" s="2" t="n">
        <v>100</v>
      </c>
      <c r="FQ594" s="2" t="n">
        <v>0</v>
      </c>
    </row>
    <row r="595">
      <c r="A595" s="2" t="n">
        <v>2</v>
      </c>
      <c r="B595" s="2" t="inlineStr">
        <is>
          <t>26.01</t>
        </is>
      </c>
      <c r="C595" s="2" t="inlineStr">
        <is>
          <t>Contramarcos</t>
        </is>
      </c>
      <c r="D595" s="2" t="inlineStr">
        <is>
          <t>23/09/2026</t>
        </is>
      </c>
      <c r="E595" s="2" t="inlineStr">
        <is>
          <t>27/10/2027</t>
        </is>
      </c>
      <c r="F595" s="2" t="n">
        <v>740028.8334684864</v>
      </c>
      <c r="G595" s="2" t="n">
        <v>0</v>
      </c>
      <c r="H595" s="2" t="n">
        <v>740028.8334684864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2.41</v>
      </c>
      <c r="CG595" s="2" t="n">
        <v>2.41</v>
      </c>
      <c r="CH595" s="2" t="n">
        <v>0</v>
      </c>
      <c r="CI595" s="2" t="n">
        <v>12.26</v>
      </c>
      <c r="CJ595" s="2" t="n">
        <v>8.5</v>
      </c>
      <c r="CK595" s="2" t="n">
        <v>0</v>
      </c>
      <c r="CL595" s="2" t="n">
        <v>18.14</v>
      </c>
      <c r="CM595" s="2" t="n">
        <v>14.81</v>
      </c>
      <c r="CN595" s="2" t="n">
        <v>0</v>
      </c>
      <c r="CO595" s="2" t="n">
        <v>20.64</v>
      </c>
      <c r="CP595" s="2" t="n">
        <v>20.23</v>
      </c>
      <c r="CQ595" s="2" t="n">
        <v>0</v>
      </c>
      <c r="CR595" s="2" t="n">
        <v>23.15</v>
      </c>
      <c r="CS595" s="2" t="n">
        <v>23.15</v>
      </c>
      <c r="CT595" s="2" t="n">
        <v>0</v>
      </c>
      <c r="CU595" s="2" t="n">
        <v>27.89</v>
      </c>
      <c r="CV595" s="2" t="n">
        <v>27.89</v>
      </c>
      <c r="CW595" s="2" t="n">
        <v>0</v>
      </c>
      <c r="CX595" s="2" t="n">
        <v>37.82</v>
      </c>
      <c r="CY595" s="2" t="n">
        <v>37.82</v>
      </c>
      <c r="CZ595" s="2" t="n">
        <v>0</v>
      </c>
      <c r="DA595" s="2" t="n">
        <v>47.41</v>
      </c>
      <c r="DB595" s="2" t="n">
        <v>47.41</v>
      </c>
      <c r="DC595" s="2" t="n">
        <v>0</v>
      </c>
      <c r="DD595" s="2" t="n">
        <v>54.92</v>
      </c>
      <c r="DE595" s="2" t="n">
        <v>57.42</v>
      </c>
      <c r="DF595" s="2" t="n">
        <v>0</v>
      </c>
      <c r="DG595" s="2" t="n">
        <v>65.56</v>
      </c>
      <c r="DH595" s="2" t="n">
        <v>65.56</v>
      </c>
      <c r="DI595" s="2" t="n">
        <v>0</v>
      </c>
      <c r="DJ595" s="2" t="n">
        <v>72.23</v>
      </c>
      <c r="DK595" s="2" t="n">
        <v>72.23</v>
      </c>
      <c r="DL595" s="2" t="n">
        <v>0</v>
      </c>
      <c r="DM595" s="2" t="n">
        <v>85.16</v>
      </c>
      <c r="DN595" s="2" t="n">
        <v>85.16</v>
      </c>
      <c r="DO595" s="2" t="n">
        <v>0</v>
      </c>
      <c r="DP595" s="2" t="n">
        <v>94.15000000000001</v>
      </c>
      <c r="DQ595" s="2" t="n">
        <v>94.15000000000001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  <c r="ET595" s="2" t="n">
        <v>100</v>
      </c>
      <c r="EU595" s="2" t="n">
        <v>100</v>
      </c>
      <c r="EV595" s="2" t="n">
        <v>0</v>
      </c>
      <c r="EW595" s="2" t="n">
        <v>100</v>
      </c>
      <c r="EX595" s="2" t="n">
        <v>100</v>
      </c>
      <c r="EY595" s="2" t="n">
        <v>0</v>
      </c>
      <c r="EZ595" s="2" t="n">
        <v>100</v>
      </c>
      <c r="FA595" s="2" t="n">
        <v>100</v>
      </c>
      <c r="FB595" s="2" t="n">
        <v>0</v>
      </c>
      <c r="FC595" s="2" t="n">
        <v>100</v>
      </c>
      <c r="FD595" s="2" t="n">
        <v>100</v>
      </c>
      <c r="FE595" s="2" t="n">
        <v>0</v>
      </c>
      <c r="FF595" s="2" t="n">
        <v>100</v>
      </c>
      <c r="FG595" s="2" t="n">
        <v>100</v>
      </c>
      <c r="FH595" s="2" t="n">
        <v>0</v>
      </c>
      <c r="FI595" s="2" t="n">
        <v>100</v>
      </c>
      <c r="FJ595" s="2" t="n">
        <v>100</v>
      </c>
      <c r="FK595" s="2" t="n">
        <v>0</v>
      </c>
      <c r="FL595" s="2" t="n">
        <v>100</v>
      </c>
      <c r="FM595" s="2" t="n">
        <v>100</v>
      </c>
      <c r="FN595" s="2" t="n">
        <v>0</v>
      </c>
      <c r="FO595" s="2" t="n">
        <v>100</v>
      </c>
      <c r="FP595" s="2" t="n">
        <v>100</v>
      </c>
      <c r="FQ595" s="2" t="n">
        <v>0</v>
      </c>
    </row>
    <row r="596">
      <c r="A596" s="2" t="n">
        <v>3</v>
      </c>
      <c r="B596" s="2" t="inlineStr">
        <is>
          <t>26.01.01</t>
        </is>
      </c>
      <c r="C596" s="2" t="inlineStr">
        <is>
          <t>Contramarcos para esquadrias de alumínio</t>
        </is>
      </c>
      <c r="D596" s="2" t="inlineStr">
        <is>
          <t>23/09/2026</t>
        </is>
      </c>
      <c r="E596" s="2" t="inlineStr">
        <is>
          <t>27/10/2027</t>
        </is>
      </c>
      <c r="F596" s="2" t="n">
        <v>740028.8334684864</v>
      </c>
      <c r="G596" s="2" t="n">
        <v>0</v>
      </c>
      <c r="H596" s="2" t="n">
        <v>740028.8334684864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2.41</v>
      </c>
      <c r="CG596" s="2" t="n">
        <v>2.41</v>
      </c>
      <c r="CH596" s="2" t="n">
        <v>0</v>
      </c>
      <c r="CI596" s="2" t="n">
        <v>12.26</v>
      </c>
      <c r="CJ596" s="2" t="n">
        <v>8.5</v>
      </c>
      <c r="CK596" s="2" t="n">
        <v>0</v>
      </c>
      <c r="CL596" s="2" t="n">
        <v>18.14</v>
      </c>
      <c r="CM596" s="2" t="n">
        <v>14.81</v>
      </c>
      <c r="CN596" s="2" t="n">
        <v>0</v>
      </c>
      <c r="CO596" s="2" t="n">
        <v>20.64</v>
      </c>
      <c r="CP596" s="2" t="n">
        <v>20.23</v>
      </c>
      <c r="CQ596" s="2" t="n">
        <v>0</v>
      </c>
      <c r="CR596" s="2" t="n">
        <v>23.15</v>
      </c>
      <c r="CS596" s="2" t="n">
        <v>23.15</v>
      </c>
      <c r="CT596" s="2" t="n">
        <v>0</v>
      </c>
      <c r="CU596" s="2" t="n">
        <v>27.89</v>
      </c>
      <c r="CV596" s="2" t="n">
        <v>27.89</v>
      </c>
      <c r="CW596" s="2" t="n">
        <v>0</v>
      </c>
      <c r="CX596" s="2" t="n">
        <v>37.82</v>
      </c>
      <c r="CY596" s="2" t="n">
        <v>37.82</v>
      </c>
      <c r="CZ596" s="2" t="n">
        <v>0</v>
      </c>
      <c r="DA596" s="2" t="n">
        <v>47.41</v>
      </c>
      <c r="DB596" s="2" t="n">
        <v>47.41</v>
      </c>
      <c r="DC596" s="2" t="n">
        <v>0</v>
      </c>
      <c r="DD596" s="2" t="n">
        <v>54.92</v>
      </c>
      <c r="DE596" s="2" t="n">
        <v>57.42</v>
      </c>
      <c r="DF596" s="2" t="n">
        <v>0</v>
      </c>
      <c r="DG596" s="2" t="n">
        <v>65.56</v>
      </c>
      <c r="DH596" s="2" t="n">
        <v>65.56</v>
      </c>
      <c r="DI596" s="2" t="n">
        <v>0</v>
      </c>
      <c r="DJ596" s="2" t="n">
        <v>72.23</v>
      </c>
      <c r="DK596" s="2" t="n">
        <v>72.23</v>
      </c>
      <c r="DL596" s="2" t="n">
        <v>0</v>
      </c>
      <c r="DM596" s="2" t="n">
        <v>85.16</v>
      </c>
      <c r="DN596" s="2" t="n">
        <v>85.16</v>
      </c>
      <c r="DO596" s="2" t="n">
        <v>0</v>
      </c>
      <c r="DP596" s="2" t="n">
        <v>94.15000000000001</v>
      </c>
      <c r="DQ596" s="2" t="n">
        <v>94.15000000000001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  <c r="ET596" s="2" t="n">
        <v>100</v>
      </c>
      <c r="EU596" s="2" t="n">
        <v>100</v>
      </c>
      <c r="EV596" s="2" t="n">
        <v>0</v>
      </c>
      <c r="EW596" s="2" t="n">
        <v>100</v>
      </c>
      <c r="EX596" s="2" t="n">
        <v>100</v>
      </c>
      <c r="EY596" s="2" t="n">
        <v>0</v>
      </c>
      <c r="EZ596" s="2" t="n">
        <v>100</v>
      </c>
      <c r="FA596" s="2" t="n">
        <v>100</v>
      </c>
      <c r="FB596" s="2" t="n">
        <v>0</v>
      </c>
      <c r="FC596" s="2" t="n">
        <v>100</v>
      </c>
      <c r="FD596" s="2" t="n">
        <v>100</v>
      </c>
      <c r="FE596" s="2" t="n">
        <v>0</v>
      </c>
      <c r="FF596" s="2" t="n">
        <v>100</v>
      </c>
      <c r="FG596" s="2" t="n">
        <v>100</v>
      </c>
      <c r="FH596" s="2" t="n">
        <v>0</v>
      </c>
      <c r="FI596" s="2" t="n">
        <v>100</v>
      </c>
      <c r="FJ596" s="2" t="n">
        <v>100</v>
      </c>
      <c r="FK596" s="2" t="n">
        <v>0</v>
      </c>
      <c r="FL596" s="2" t="n">
        <v>100</v>
      </c>
      <c r="FM596" s="2" t="n">
        <v>100</v>
      </c>
      <c r="FN596" s="2" t="n">
        <v>0</v>
      </c>
      <c r="FO596" s="2" t="n">
        <v>100</v>
      </c>
      <c r="FP596" s="2" t="n">
        <v>100</v>
      </c>
      <c r="FQ596" s="2" t="n">
        <v>0</v>
      </c>
    </row>
    <row r="597">
      <c r="A597" s="2" t="n">
        <v>2</v>
      </c>
      <c r="B597" s="2" t="inlineStr">
        <is>
          <t>26.02</t>
        </is>
      </c>
      <c r="C597" s="2" t="inlineStr">
        <is>
          <t>Esquadrias de alumínio</t>
        </is>
      </c>
      <c r="D597" s="2" t="inlineStr">
        <is>
          <t>22/10/2026</t>
        </is>
      </c>
      <c r="E597" s="2" t="inlineStr">
        <is>
          <t>12/09/2028</t>
        </is>
      </c>
      <c r="F597" s="2" t="n">
        <v>12168268.01021403</v>
      </c>
      <c r="G597" s="2" t="n">
        <v>0</v>
      </c>
      <c r="H597" s="2" t="n">
        <v>12168268.01021403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0.43</v>
      </c>
      <c r="CJ597" s="2" t="n">
        <v>0.43</v>
      </c>
      <c r="CK597" s="2" t="n">
        <v>0</v>
      </c>
      <c r="CL597" s="2" t="n">
        <v>1.12</v>
      </c>
      <c r="CM597" s="2" t="n">
        <v>0.77</v>
      </c>
      <c r="CN597" s="2" t="n">
        <v>0</v>
      </c>
      <c r="CO597" s="2" t="n">
        <v>1.72</v>
      </c>
      <c r="CP597" s="2" t="n">
        <v>1.29</v>
      </c>
      <c r="CQ597" s="2" t="n">
        <v>0</v>
      </c>
      <c r="CR597" s="2" t="n">
        <v>1.72</v>
      </c>
      <c r="CS597" s="2" t="n">
        <v>1.72</v>
      </c>
      <c r="CT597" s="2" t="n">
        <v>0</v>
      </c>
      <c r="CU597" s="2" t="n">
        <v>2.14</v>
      </c>
      <c r="CV597" s="2" t="n">
        <v>2.14</v>
      </c>
      <c r="CW597" s="2" t="n">
        <v>0</v>
      </c>
      <c r="CX597" s="2" t="n">
        <v>3.4</v>
      </c>
      <c r="CY597" s="2" t="n">
        <v>3.06</v>
      </c>
      <c r="CZ597" s="2" t="n">
        <v>0</v>
      </c>
      <c r="DA597" s="2" t="n">
        <v>9.4</v>
      </c>
      <c r="DB597" s="2" t="n">
        <v>7.6</v>
      </c>
      <c r="DC597" s="2" t="n">
        <v>0</v>
      </c>
      <c r="DD597" s="2" t="n">
        <v>16.28</v>
      </c>
      <c r="DE597" s="2" t="n">
        <v>11.64</v>
      </c>
      <c r="DF597" s="2" t="n">
        <v>0</v>
      </c>
      <c r="DG597" s="2" t="n">
        <v>25.21</v>
      </c>
      <c r="DH597" s="2" t="n">
        <v>17.76</v>
      </c>
      <c r="DI597" s="2" t="n">
        <v>0</v>
      </c>
      <c r="DJ597" s="2" t="n">
        <v>34.12</v>
      </c>
      <c r="DK597" s="2" t="n">
        <v>24.74</v>
      </c>
      <c r="DL597" s="2" t="n">
        <v>0</v>
      </c>
      <c r="DM597" s="2" t="n">
        <v>38.81</v>
      </c>
      <c r="DN597" s="2" t="n">
        <v>30.31</v>
      </c>
      <c r="DO597" s="2" t="n">
        <v>0</v>
      </c>
      <c r="DP597" s="2" t="n">
        <v>48.77</v>
      </c>
      <c r="DQ597" s="2" t="n">
        <v>38.91</v>
      </c>
      <c r="DR597" s="2" t="n">
        <v>0</v>
      </c>
      <c r="DS597" s="2" t="n">
        <v>59.07</v>
      </c>
      <c r="DT597" s="2" t="n">
        <v>44.74</v>
      </c>
      <c r="DU597" s="2" t="n">
        <v>0</v>
      </c>
      <c r="DV597" s="2" t="n">
        <v>66.26000000000001</v>
      </c>
      <c r="DW597" s="2" t="n">
        <v>50.88</v>
      </c>
      <c r="DX597" s="2" t="n">
        <v>0</v>
      </c>
      <c r="DY597" s="2" t="n">
        <v>70.33</v>
      </c>
      <c r="DZ597" s="2" t="n">
        <v>54.91</v>
      </c>
      <c r="EA597" s="2" t="n">
        <v>0</v>
      </c>
      <c r="EB597" s="2" t="n">
        <v>76.29000000000001</v>
      </c>
      <c r="EC597" s="2" t="n">
        <v>58.88</v>
      </c>
      <c r="ED597" s="2" t="n">
        <v>0</v>
      </c>
      <c r="EE597" s="2" t="n">
        <v>93.06999999999999</v>
      </c>
      <c r="EF597" s="2" t="n">
        <v>73.48</v>
      </c>
      <c r="EG597" s="2" t="n">
        <v>0</v>
      </c>
      <c r="EH597" s="2" t="n">
        <v>98.38</v>
      </c>
      <c r="EI597" s="2" t="n">
        <v>77.83</v>
      </c>
      <c r="EJ597" s="2" t="n">
        <v>0</v>
      </c>
      <c r="EK597" s="2" t="n">
        <v>98.38</v>
      </c>
      <c r="EL597" s="2" t="n">
        <v>81.23999999999999</v>
      </c>
      <c r="EM597" s="2" t="n">
        <v>0</v>
      </c>
      <c r="EN597" s="2" t="n">
        <v>99.48</v>
      </c>
      <c r="EO597" s="2" t="n">
        <v>86.5</v>
      </c>
      <c r="EP597" s="2" t="n">
        <v>0</v>
      </c>
      <c r="EQ597" s="2" t="n">
        <v>100</v>
      </c>
      <c r="ER597" s="2" t="n">
        <v>91</v>
      </c>
      <c r="ES597" s="2" t="n">
        <v>0</v>
      </c>
      <c r="ET597" s="2" t="n">
        <v>100</v>
      </c>
      <c r="EU597" s="2" t="n">
        <v>94.97</v>
      </c>
      <c r="EV597" s="2" t="n">
        <v>0</v>
      </c>
      <c r="EW597" s="2" t="n">
        <v>100</v>
      </c>
      <c r="EX597" s="2" t="n">
        <v>98.98</v>
      </c>
      <c r="EY597" s="2" t="n">
        <v>0</v>
      </c>
      <c r="EZ597" s="2" t="n">
        <v>100</v>
      </c>
      <c r="FA597" s="2" t="n">
        <v>100</v>
      </c>
      <c r="FB597" s="2" t="n">
        <v>0</v>
      </c>
      <c r="FC597" s="2" t="n">
        <v>100</v>
      </c>
      <c r="FD597" s="2" t="n">
        <v>100</v>
      </c>
      <c r="FE597" s="2" t="n">
        <v>0</v>
      </c>
      <c r="FF597" s="2" t="n">
        <v>100</v>
      </c>
      <c r="FG597" s="2" t="n">
        <v>100</v>
      </c>
      <c r="FH597" s="2" t="n">
        <v>0</v>
      </c>
      <c r="FI597" s="2" t="n">
        <v>100</v>
      </c>
      <c r="FJ597" s="2" t="n">
        <v>100</v>
      </c>
      <c r="FK597" s="2" t="n">
        <v>0</v>
      </c>
      <c r="FL597" s="2" t="n">
        <v>100</v>
      </c>
      <c r="FM597" s="2" t="n">
        <v>100</v>
      </c>
      <c r="FN597" s="2" t="n">
        <v>0</v>
      </c>
      <c r="FO597" s="2" t="n">
        <v>100</v>
      </c>
      <c r="FP597" s="2" t="n">
        <v>100</v>
      </c>
      <c r="FQ597" s="2" t="n">
        <v>0</v>
      </c>
    </row>
    <row r="598">
      <c r="A598" s="2" t="n">
        <v>3</v>
      </c>
      <c r="B598" s="2" t="inlineStr">
        <is>
          <t>26.02.01</t>
        </is>
      </c>
      <c r="C598" s="2" t="inlineStr">
        <is>
          <t>Esquadrias de alumínio</t>
        </is>
      </c>
      <c r="D598" s="2" t="inlineStr">
        <is>
          <t>22/10/2026</t>
        </is>
      </c>
      <c r="E598" s="2" t="inlineStr">
        <is>
          <t>12/09/2028</t>
        </is>
      </c>
      <c r="F598" s="2" t="n">
        <v>12168268.01021403</v>
      </c>
      <c r="G598" s="2" t="n">
        <v>0</v>
      </c>
      <c r="H598" s="2" t="n">
        <v>12168268.01021403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0.43</v>
      </c>
      <c r="CJ598" s="2" t="n">
        <v>0.43</v>
      </c>
      <c r="CK598" s="2" t="n">
        <v>0</v>
      </c>
      <c r="CL598" s="2" t="n">
        <v>1.12</v>
      </c>
      <c r="CM598" s="2" t="n">
        <v>0.77</v>
      </c>
      <c r="CN598" s="2" t="n">
        <v>0</v>
      </c>
      <c r="CO598" s="2" t="n">
        <v>1.72</v>
      </c>
      <c r="CP598" s="2" t="n">
        <v>1.29</v>
      </c>
      <c r="CQ598" s="2" t="n">
        <v>0</v>
      </c>
      <c r="CR598" s="2" t="n">
        <v>1.72</v>
      </c>
      <c r="CS598" s="2" t="n">
        <v>1.72</v>
      </c>
      <c r="CT598" s="2" t="n">
        <v>0</v>
      </c>
      <c r="CU598" s="2" t="n">
        <v>2.14</v>
      </c>
      <c r="CV598" s="2" t="n">
        <v>2.14</v>
      </c>
      <c r="CW598" s="2" t="n">
        <v>0</v>
      </c>
      <c r="CX598" s="2" t="n">
        <v>3.4</v>
      </c>
      <c r="CY598" s="2" t="n">
        <v>3.06</v>
      </c>
      <c r="CZ598" s="2" t="n">
        <v>0</v>
      </c>
      <c r="DA598" s="2" t="n">
        <v>9.4</v>
      </c>
      <c r="DB598" s="2" t="n">
        <v>7.6</v>
      </c>
      <c r="DC598" s="2" t="n">
        <v>0</v>
      </c>
      <c r="DD598" s="2" t="n">
        <v>16.28</v>
      </c>
      <c r="DE598" s="2" t="n">
        <v>11.64</v>
      </c>
      <c r="DF598" s="2" t="n">
        <v>0</v>
      </c>
      <c r="DG598" s="2" t="n">
        <v>25.21</v>
      </c>
      <c r="DH598" s="2" t="n">
        <v>17.76</v>
      </c>
      <c r="DI598" s="2" t="n">
        <v>0</v>
      </c>
      <c r="DJ598" s="2" t="n">
        <v>34.12</v>
      </c>
      <c r="DK598" s="2" t="n">
        <v>24.74</v>
      </c>
      <c r="DL598" s="2" t="n">
        <v>0</v>
      </c>
      <c r="DM598" s="2" t="n">
        <v>38.81</v>
      </c>
      <c r="DN598" s="2" t="n">
        <v>30.31</v>
      </c>
      <c r="DO598" s="2" t="n">
        <v>0</v>
      </c>
      <c r="DP598" s="2" t="n">
        <v>48.77</v>
      </c>
      <c r="DQ598" s="2" t="n">
        <v>38.91</v>
      </c>
      <c r="DR598" s="2" t="n">
        <v>0</v>
      </c>
      <c r="DS598" s="2" t="n">
        <v>59.07</v>
      </c>
      <c r="DT598" s="2" t="n">
        <v>44.74</v>
      </c>
      <c r="DU598" s="2" t="n">
        <v>0</v>
      </c>
      <c r="DV598" s="2" t="n">
        <v>66.26000000000001</v>
      </c>
      <c r="DW598" s="2" t="n">
        <v>50.88</v>
      </c>
      <c r="DX598" s="2" t="n">
        <v>0</v>
      </c>
      <c r="DY598" s="2" t="n">
        <v>70.33</v>
      </c>
      <c r="DZ598" s="2" t="n">
        <v>54.91</v>
      </c>
      <c r="EA598" s="2" t="n">
        <v>0</v>
      </c>
      <c r="EB598" s="2" t="n">
        <v>76.29000000000001</v>
      </c>
      <c r="EC598" s="2" t="n">
        <v>58.88</v>
      </c>
      <c r="ED598" s="2" t="n">
        <v>0</v>
      </c>
      <c r="EE598" s="2" t="n">
        <v>93.06999999999999</v>
      </c>
      <c r="EF598" s="2" t="n">
        <v>73.48</v>
      </c>
      <c r="EG598" s="2" t="n">
        <v>0</v>
      </c>
      <c r="EH598" s="2" t="n">
        <v>98.38</v>
      </c>
      <c r="EI598" s="2" t="n">
        <v>77.83</v>
      </c>
      <c r="EJ598" s="2" t="n">
        <v>0</v>
      </c>
      <c r="EK598" s="2" t="n">
        <v>98.38</v>
      </c>
      <c r="EL598" s="2" t="n">
        <v>81.23999999999999</v>
      </c>
      <c r="EM598" s="2" t="n">
        <v>0</v>
      </c>
      <c r="EN598" s="2" t="n">
        <v>99.48</v>
      </c>
      <c r="EO598" s="2" t="n">
        <v>86.5</v>
      </c>
      <c r="EP598" s="2" t="n">
        <v>0</v>
      </c>
      <c r="EQ598" s="2" t="n">
        <v>100</v>
      </c>
      <c r="ER598" s="2" t="n">
        <v>91</v>
      </c>
      <c r="ES598" s="2" t="n">
        <v>0</v>
      </c>
      <c r="ET598" s="2" t="n">
        <v>100</v>
      </c>
      <c r="EU598" s="2" t="n">
        <v>94.97</v>
      </c>
      <c r="EV598" s="2" t="n">
        <v>0</v>
      </c>
      <c r="EW598" s="2" t="n">
        <v>100</v>
      </c>
      <c r="EX598" s="2" t="n">
        <v>98.98</v>
      </c>
      <c r="EY598" s="2" t="n">
        <v>0</v>
      </c>
      <c r="EZ598" s="2" t="n">
        <v>100</v>
      </c>
      <c r="FA598" s="2" t="n">
        <v>100</v>
      </c>
      <c r="FB598" s="2" t="n">
        <v>0</v>
      </c>
      <c r="FC598" s="2" t="n">
        <v>100</v>
      </c>
      <c r="FD598" s="2" t="n">
        <v>100</v>
      </c>
      <c r="FE598" s="2" t="n">
        <v>0</v>
      </c>
      <c r="FF598" s="2" t="n">
        <v>100</v>
      </c>
      <c r="FG598" s="2" t="n">
        <v>100</v>
      </c>
      <c r="FH598" s="2" t="n">
        <v>0</v>
      </c>
      <c r="FI598" s="2" t="n">
        <v>100</v>
      </c>
      <c r="FJ598" s="2" t="n">
        <v>100</v>
      </c>
      <c r="FK598" s="2" t="n">
        <v>0</v>
      </c>
      <c r="FL598" s="2" t="n">
        <v>100</v>
      </c>
      <c r="FM598" s="2" t="n">
        <v>100</v>
      </c>
      <c r="FN598" s="2" t="n">
        <v>0</v>
      </c>
      <c r="FO598" s="2" t="n">
        <v>100</v>
      </c>
      <c r="FP598" s="2" t="n">
        <v>100</v>
      </c>
      <c r="FQ598" s="2" t="n">
        <v>0</v>
      </c>
    </row>
    <row r="599">
      <c r="A599" s="2" t="n">
        <v>2</v>
      </c>
      <c r="B599" s="2" t="inlineStr">
        <is>
          <t>26.03</t>
        </is>
      </c>
      <c r="C599" s="2" t="inlineStr">
        <is>
          <t>Vidraçaria</t>
        </is>
      </c>
      <c r="D599" s="2" t="inlineStr">
        <is>
          <t>21/01/2027</t>
        </is>
      </c>
      <c r="E599" s="2" t="inlineStr">
        <is>
          <t>24/04/2028</t>
        </is>
      </c>
      <c r="F599" s="2" t="n">
        <v>51350.44749999999</v>
      </c>
      <c r="G599" s="2" t="n">
        <v>0</v>
      </c>
      <c r="H599" s="2" t="n">
        <v>51350.44749999999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0</v>
      </c>
      <c r="CJ599" s="2" t="n">
        <v>0</v>
      </c>
      <c r="CK599" s="2" t="n">
        <v>0</v>
      </c>
      <c r="CL599" s="2" t="n">
        <v>0</v>
      </c>
      <c r="CM599" s="2" t="n">
        <v>0</v>
      </c>
      <c r="CN599" s="2" t="n">
        <v>0</v>
      </c>
      <c r="CO599" s="2" t="n">
        <v>0</v>
      </c>
      <c r="CP599" s="2" t="n">
        <v>0</v>
      </c>
      <c r="CQ599" s="2" t="n">
        <v>0</v>
      </c>
      <c r="CR599" s="2" t="n">
        <v>1.72</v>
      </c>
      <c r="CS599" s="2" t="n">
        <v>2.4</v>
      </c>
      <c r="CT599" s="2" t="n">
        <v>0</v>
      </c>
      <c r="CU599" s="2" t="n">
        <v>18.58</v>
      </c>
      <c r="CV599" s="2" t="n">
        <v>16.88</v>
      </c>
      <c r="CW599" s="2" t="n">
        <v>0</v>
      </c>
      <c r="CX599" s="2" t="n">
        <v>26.2</v>
      </c>
      <c r="CY599" s="2" t="n">
        <v>26.2</v>
      </c>
      <c r="CZ599" s="2" t="n">
        <v>0</v>
      </c>
      <c r="DA599" s="2" t="n">
        <v>26.2</v>
      </c>
      <c r="DB599" s="2" t="n">
        <v>26.2</v>
      </c>
      <c r="DC599" s="2" t="n">
        <v>0</v>
      </c>
      <c r="DD599" s="2" t="n">
        <v>26.2</v>
      </c>
      <c r="DE599" s="2" t="n">
        <v>30.91</v>
      </c>
      <c r="DF599" s="2" t="n">
        <v>0</v>
      </c>
      <c r="DG599" s="2" t="n">
        <v>43.48</v>
      </c>
      <c r="DH599" s="2" t="n">
        <v>43.48</v>
      </c>
      <c r="DI599" s="2" t="n">
        <v>0</v>
      </c>
      <c r="DJ599" s="2" t="n">
        <v>43.48</v>
      </c>
      <c r="DK599" s="2" t="n">
        <v>43.48</v>
      </c>
      <c r="DL599" s="2" t="n">
        <v>0</v>
      </c>
      <c r="DM599" s="2" t="n">
        <v>74.08</v>
      </c>
      <c r="DN599" s="2" t="n">
        <v>43.48</v>
      </c>
      <c r="DO599" s="2" t="n">
        <v>0</v>
      </c>
      <c r="DP599" s="2" t="n">
        <v>74.08</v>
      </c>
      <c r="DQ599" s="2" t="n">
        <v>74.08</v>
      </c>
      <c r="DR599" s="2" t="n">
        <v>0</v>
      </c>
      <c r="DS599" s="2" t="n">
        <v>83.51000000000001</v>
      </c>
      <c r="DT599" s="2" t="n">
        <v>83.51000000000001</v>
      </c>
      <c r="DU599" s="2" t="n">
        <v>0</v>
      </c>
      <c r="DV599" s="2" t="n">
        <v>83.51000000000001</v>
      </c>
      <c r="DW599" s="2" t="n">
        <v>83.51000000000001</v>
      </c>
      <c r="DX599" s="2" t="n">
        <v>0</v>
      </c>
      <c r="DY599" s="2" t="n">
        <v>83.51000000000001</v>
      </c>
      <c r="DZ599" s="2" t="n">
        <v>83.51000000000001</v>
      </c>
      <c r="EA599" s="2" t="n">
        <v>0</v>
      </c>
      <c r="EB599" s="2" t="n">
        <v>83.51000000000001</v>
      </c>
      <c r="EC599" s="2" t="n">
        <v>83.51000000000001</v>
      </c>
      <c r="ED599" s="2" t="n">
        <v>0</v>
      </c>
      <c r="EE599" s="2" t="n">
        <v>83.51000000000001</v>
      </c>
      <c r="EF599" s="2" t="n">
        <v>83.51000000000001</v>
      </c>
      <c r="EG599" s="2" t="n">
        <v>0</v>
      </c>
      <c r="EH599" s="2" t="n">
        <v>83.51000000000001</v>
      </c>
      <c r="EI599" s="2" t="n">
        <v>83.51000000000001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  <c r="ET599" s="2" t="n">
        <v>100</v>
      </c>
      <c r="EU599" s="2" t="n">
        <v>100</v>
      </c>
      <c r="EV599" s="2" t="n">
        <v>0</v>
      </c>
      <c r="EW599" s="2" t="n">
        <v>100</v>
      </c>
      <c r="EX599" s="2" t="n">
        <v>100</v>
      </c>
      <c r="EY599" s="2" t="n">
        <v>0</v>
      </c>
      <c r="EZ599" s="2" t="n">
        <v>100</v>
      </c>
      <c r="FA599" s="2" t="n">
        <v>100</v>
      </c>
      <c r="FB599" s="2" t="n">
        <v>0</v>
      </c>
      <c r="FC599" s="2" t="n">
        <v>100</v>
      </c>
      <c r="FD599" s="2" t="n">
        <v>100</v>
      </c>
      <c r="FE599" s="2" t="n">
        <v>0</v>
      </c>
      <c r="FF599" s="2" t="n">
        <v>100</v>
      </c>
      <c r="FG599" s="2" t="n">
        <v>100</v>
      </c>
      <c r="FH599" s="2" t="n">
        <v>0</v>
      </c>
      <c r="FI599" s="2" t="n">
        <v>100</v>
      </c>
      <c r="FJ599" s="2" t="n">
        <v>100</v>
      </c>
      <c r="FK599" s="2" t="n">
        <v>0</v>
      </c>
      <c r="FL599" s="2" t="n">
        <v>100</v>
      </c>
      <c r="FM599" s="2" t="n">
        <v>100</v>
      </c>
      <c r="FN599" s="2" t="n">
        <v>0</v>
      </c>
      <c r="FO599" s="2" t="n">
        <v>100</v>
      </c>
      <c r="FP599" s="2" t="n">
        <v>100</v>
      </c>
      <c r="FQ599" s="2" t="n">
        <v>0</v>
      </c>
    </row>
    <row r="600">
      <c r="A600" s="2" t="n">
        <v>3</v>
      </c>
      <c r="B600" s="2" t="inlineStr">
        <is>
          <t>26.03.01</t>
        </is>
      </c>
      <c r="C600" s="2" t="inlineStr">
        <is>
          <t>Espelhos p/ elevadores</t>
        </is>
      </c>
      <c r="D600" s="2" t="inlineStr">
        <is>
          <t>21/01/2027</t>
        </is>
      </c>
      <c r="E600" s="2" t="inlineStr">
        <is>
          <t>24/04/2028</t>
        </is>
      </c>
      <c r="F600" s="2" t="n">
        <v>4402.2</v>
      </c>
      <c r="G600" s="2" t="n">
        <v>0</v>
      </c>
      <c r="H600" s="2" t="n">
        <v>4402.2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0</v>
      </c>
      <c r="CJ600" s="2" t="n">
        <v>0</v>
      </c>
      <c r="CK600" s="2" t="n">
        <v>0</v>
      </c>
      <c r="CL600" s="2" t="n">
        <v>0</v>
      </c>
      <c r="CM600" s="2" t="n">
        <v>0</v>
      </c>
      <c r="CN600" s="2" t="n">
        <v>0</v>
      </c>
      <c r="CO600" s="2" t="n">
        <v>0</v>
      </c>
      <c r="CP600" s="2" t="n">
        <v>0</v>
      </c>
      <c r="CQ600" s="2" t="n">
        <v>0</v>
      </c>
      <c r="CR600" s="2" t="n">
        <v>1.72</v>
      </c>
      <c r="CS600" s="2" t="n">
        <v>2.4</v>
      </c>
      <c r="CT600" s="2" t="n">
        <v>0</v>
      </c>
      <c r="CU600" s="2" t="n">
        <v>18.58</v>
      </c>
      <c r="CV600" s="2" t="n">
        <v>16.88</v>
      </c>
      <c r="CW600" s="2" t="n">
        <v>0</v>
      </c>
      <c r="CX600" s="2" t="n">
        <v>26.2</v>
      </c>
      <c r="CY600" s="2" t="n">
        <v>26.2</v>
      </c>
      <c r="CZ600" s="2" t="n">
        <v>0</v>
      </c>
      <c r="DA600" s="2" t="n">
        <v>26.2</v>
      </c>
      <c r="DB600" s="2" t="n">
        <v>26.2</v>
      </c>
      <c r="DC600" s="2" t="n">
        <v>0</v>
      </c>
      <c r="DD600" s="2" t="n">
        <v>26.2</v>
      </c>
      <c r="DE600" s="2" t="n">
        <v>30.91</v>
      </c>
      <c r="DF600" s="2" t="n">
        <v>0</v>
      </c>
      <c r="DG600" s="2" t="n">
        <v>43.48</v>
      </c>
      <c r="DH600" s="2" t="n">
        <v>43.48</v>
      </c>
      <c r="DI600" s="2" t="n">
        <v>0</v>
      </c>
      <c r="DJ600" s="2" t="n">
        <v>43.48</v>
      </c>
      <c r="DK600" s="2" t="n">
        <v>43.48</v>
      </c>
      <c r="DL600" s="2" t="n">
        <v>0</v>
      </c>
      <c r="DM600" s="2" t="n">
        <v>74.08</v>
      </c>
      <c r="DN600" s="2" t="n">
        <v>43.48</v>
      </c>
      <c r="DO600" s="2" t="n">
        <v>0</v>
      </c>
      <c r="DP600" s="2" t="n">
        <v>74.08</v>
      </c>
      <c r="DQ600" s="2" t="n">
        <v>74.08</v>
      </c>
      <c r="DR600" s="2" t="n">
        <v>0</v>
      </c>
      <c r="DS600" s="2" t="n">
        <v>83.51000000000001</v>
      </c>
      <c r="DT600" s="2" t="n">
        <v>83.51000000000001</v>
      </c>
      <c r="DU600" s="2" t="n">
        <v>0</v>
      </c>
      <c r="DV600" s="2" t="n">
        <v>83.51000000000001</v>
      </c>
      <c r="DW600" s="2" t="n">
        <v>83.51000000000001</v>
      </c>
      <c r="DX600" s="2" t="n">
        <v>0</v>
      </c>
      <c r="DY600" s="2" t="n">
        <v>83.51000000000001</v>
      </c>
      <c r="DZ600" s="2" t="n">
        <v>83.51000000000001</v>
      </c>
      <c r="EA600" s="2" t="n">
        <v>0</v>
      </c>
      <c r="EB600" s="2" t="n">
        <v>83.51000000000001</v>
      </c>
      <c r="EC600" s="2" t="n">
        <v>83.51000000000001</v>
      </c>
      <c r="ED600" s="2" t="n">
        <v>0</v>
      </c>
      <c r="EE600" s="2" t="n">
        <v>83.51000000000001</v>
      </c>
      <c r="EF600" s="2" t="n">
        <v>83.51000000000001</v>
      </c>
      <c r="EG600" s="2" t="n">
        <v>0</v>
      </c>
      <c r="EH600" s="2" t="n">
        <v>83.51000000000001</v>
      </c>
      <c r="EI600" s="2" t="n">
        <v>83.51000000000001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  <c r="ET600" s="2" t="n">
        <v>100</v>
      </c>
      <c r="EU600" s="2" t="n">
        <v>100</v>
      </c>
      <c r="EV600" s="2" t="n">
        <v>0</v>
      </c>
      <c r="EW600" s="2" t="n">
        <v>100</v>
      </c>
      <c r="EX600" s="2" t="n">
        <v>100</v>
      </c>
      <c r="EY600" s="2" t="n">
        <v>0</v>
      </c>
      <c r="EZ600" s="2" t="n">
        <v>100</v>
      </c>
      <c r="FA600" s="2" t="n">
        <v>100</v>
      </c>
      <c r="FB600" s="2" t="n">
        <v>0</v>
      </c>
      <c r="FC600" s="2" t="n">
        <v>100</v>
      </c>
      <c r="FD600" s="2" t="n">
        <v>100</v>
      </c>
      <c r="FE600" s="2" t="n">
        <v>0</v>
      </c>
      <c r="FF600" s="2" t="n">
        <v>100</v>
      </c>
      <c r="FG600" s="2" t="n">
        <v>100</v>
      </c>
      <c r="FH600" s="2" t="n">
        <v>0</v>
      </c>
      <c r="FI600" s="2" t="n">
        <v>100</v>
      </c>
      <c r="FJ600" s="2" t="n">
        <v>100</v>
      </c>
      <c r="FK600" s="2" t="n">
        <v>0</v>
      </c>
      <c r="FL600" s="2" t="n">
        <v>100</v>
      </c>
      <c r="FM600" s="2" t="n">
        <v>100</v>
      </c>
      <c r="FN600" s="2" t="n">
        <v>0</v>
      </c>
      <c r="FO600" s="2" t="n">
        <v>100</v>
      </c>
      <c r="FP600" s="2" t="n">
        <v>100</v>
      </c>
      <c r="FQ600" s="2" t="n">
        <v>0</v>
      </c>
    </row>
    <row r="601">
      <c r="A601" s="2" t="n">
        <v>3</v>
      </c>
      <c r="B601" s="2" t="inlineStr">
        <is>
          <t>26.03.02</t>
        </is>
      </c>
      <c r="C601" s="2" t="inlineStr">
        <is>
          <t>INT - Espelho liso fumê colado em MDF cru aparafusado em enchimento</t>
        </is>
      </c>
      <c r="D601" s="2" t="inlineStr">
        <is>
          <t>21/01/2027</t>
        </is>
      </c>
      <c r="E601" s="2" t="inlineStr">
        <is>
          <t>24/04/2028</t>
        </is>
      </c>
      <c r="F601" s="2" t="n">
        <v>16401.9075</v>
      </c>
      <c r="G601" s="2" t="n">
        <v>0</v>
      </c>
      <c r="H601" s="2" t="n">
        <v>16401.9075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0</v>
      </c>
      <c r="CJ601" s="2" t="n">
        <v>0</v>
      </c>
      <c r="CK601" s="2" t="n">
        <v>0</v>
      </c>
      <c r="CL601" s="2" t="n">
        <v>0</v>
      </c>
      <c r="CM601" s="2" t="n">
        <v>0</v>
      </c>
      <c r="CN601" s="2" t="n">
        <v>0</v>
      </c>
      <c r="CO601" s="2" t="n">
        <v>0</v>
      </c>
      <c r="CP601" s="2" t="n">
        <v>0</v>
      </c>
      <c r="CQ601" s="2" t="n">
        <v>0</v>
      </c>
      <c r="CR601" s="2" t="n">
        <v>1.72</v>
      </c>
      <c r="CS601" s="2" t="n">
        <v>2.4</v>
      </c>
      <c r="CT601" s="2" t="n">
        <v>0</v>
      </c>
      <c r="CU601" s="2" t="n">
        <v>18.58</v>
      </c>
      <c r="CV601" s="2" t="n">
        <v>16.88</v>
      </c>
      <c r="CW601" s="2" t="n">
        <v>0</v>
      </c>
      <c r="CX601" s="2" t="n">
        <v>26.2</v>
      </c>
      <c r="CY601" s="2" t="n">
        <v>26.2</v>
      </c>
      <c r="CZ601" s="2" t="n">
        <v>0</v>
      </c>
      <c r="DA601" s="2" t="n">
        <v>26.2</v>
      </c>
      <c r="DB601" s="2" t="n">
        <v>26.2</v>
      </c>
      <c r="DC601" s="2" t="n">
        <v>0</v>
      </c>
      <c r="DD601" s="2" t="n">
        <v>26.2</v>
      </c>
      <c r="DE601" s="2" t="n">
        <v>30.91</v>
      </c>
      <c r="DF601" s="2" t="n">
        <v>0</v>
      </c>
      <c r="DG601" s="2" t="n">
        <v>43.48</v>
      </c>
      <c r="DH601" s="2" t="n">
        <v>43.48</v>
      </c>
      <c r="DI601" s="2" t="n">
        <v>0</v>
      </c>
      <c r="DJ601" s="2" t="n">
        <v>43.48</v>
      </c>
      <c r="DK601" s="2" t="n">
        <v>43.48</v>
      </c>
      <c r="DL601" s="2" t="n">
        <v>0</v>
      </c>
      <c r="DM601" s="2" t="n">
        <v>74.08</v>
      </c>
      <c r="DN601" s="2" t="n">
        <v>43.48</v>
      </c>
      <c r="DO601" s="2" t="n">
        <v>0</v>
      </c>
      <c r="DP601" s="2" t="n">
        <v>74.08</v>
      </c>
      <c r="DQ601" s="2" t="n">
        <v>74.08</v>
      </c>
      <c r="DR601" s="2" t="n">
        <v>0</v>
      </c>
      <c r="DS601" s="2" t="n">
        <v>83.51000000000001</v>
      </c>
      <c r="DT601" s="2" t="n">
        <v>83.51000000000001</v>
      </c>
      <c r="DU601" s="2" t="n">
        <v>0</v>
      </c>
      <c r="DV601" s="2" t="n">
        <v>83.51000000000001</v>
      </c>
      <c r="DW601" s="2" t="n">
        <v>83.51000000000001</v>
      </c>
      <c r="DX601" s="2" t="n">
        <v>0</v>
      </c>
      <c r="DY601" s="2" t="n">
        <v>83.51000000000001</v>
      </c>
      <c r="DZ601" s="2" t="n">
        <v>83.51000000000001</v>
      </c>
      <c r="EA601" s="2" t="n">
        <v>0</v>
      </c>
      <c r="EB601" s="2" t="n">
        <v>83.51000000000001</v>
      </c>
      <c r="EC601" s="2" t="n">
        <v>83.51000000000001</v>
      </c>
      <c r="ED601" s="2" t="n">
        <v>0</v>
      </c>
      <c r="EE601" s="2" t="n">
        <v>83.51000000000001</v>
      </c>
      <c r="EF601" s="2" t="n">
        <v>83.51000000000001</v>
      </c>
      <c r="EG601" s="2" t="n">
        <v>0</v>
      </c>
      <c r="EH601" s="2" t="n">
        <v>83.51000000000001</v>
      </c>
      <c r="EI601" s="2" t="n">
        <v>83.51000000000001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  <c r="ET601" s="2" t="n">
        <v>100</v>
      </c>
      <c r="EU601" s="2" t="n">
        <v>100</v>
      </c>
      <c r="EV601" s="2" t="n">
        <v>0</v>
      </c>
      <c r="EW601" s="2" t="n">
        <v>100</v>
      </c>
      <c r="EX601" s="2" t="n">
        <v>100</v>
      </c>
      <c r="EY601" s="2" t="n">
        <v>0</v>
      </c>
      <c r="EZ601" s="2" t="n">
        <v>100</v>
      </c>
      <c r="FA601" s="2" t="n">
        <v>100</v>
      </c>
      <c r="FB601" s="2" t="n">
        <v>0</v>
      </c>
      <c r="FC601" s="2" t="n">
        <v>100</v>
      </c>
      <c r="FD601" s="2" t="n">
        <v>100</v>
      </c>
      <c r="FE601" s="2" t="n">
        <v>0</v>
      </c>
      <c r="FF601" s="2" t="n">
        <v>100</v>
      </c>
      <c r="FG601" s="2" t="n">
        <v>100</v>
      </c>
      <c r="FH601" s="2" t="n">
        <v>0</v>
      </c>
      <c r="FI601" s="2" t="n">
        <v>100</v>
      </c>
      <c r="FJ601" s="2" t="n">
        <v>100</v>
      </c>
      <c r="FK601" s="2" t="n">
        <v>0</v>
      </c>
      <c r="FL601" s="2" t="n">
        <v>100</v>
      </c>
      <c r="FM601" s="2" t="n">
        <v>100</v>
      </c>
      <c r="FN601" s="2" t="n">
        <v>0</v>
      </c>
      <c r="FO601" s="2" t="n">
        <v>100</v>
      </c>
      <c r="FP601" s="2" t="n">
        <v>100</v>
      </c>
      <c r="FQ601" s="2" t="n">
        <v>0</v>
      </c>
    </row>
    <row r="602">
      <c r="A602" s="2" t="n">
        <v>3</v>
      </c>
      <c r="B602" s="2" t="inlineStr">
        <is>
          <t>26.03.03</t>
        </is>
      </c>
      <c r="C602" s="2" t="inlineStr">
        <is>
          <t>INT - Espelho liso incolor 4mm colado em MDF cru 6mm aparafusado na alvenaria</t>
        </is>
      </c>
      <c r="D602" s="2" t="inlineStr">
        <is>
          <t>21/01/2027</t>
        </is>
      </c>
      <c r="E602" s="2" t="inlineStr">
        <is>
          <t>24/04/2028</t>
        </is>
      </c>
      <c r="F602" s="2" t="n">
        <v>22218.78999999999</v>
      </c>
      <c r="G602" s="2" t="n">
        <v>0</v>
      </c>
      <c r="H602" s="2" t="n">
        <v>22218.78999999999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0</v>
      </c>
      <c r="CJ602" s="2" t="n">
        <v>0</v>
      </c>
      <c r="CK602" s="2" t="n">
        <v>0</v>
      </c>
      <c r="CL602" s="2" t="n">
        <v>0</v>
      </c>
      <c r="CM602" s="2" t="n">
        <v>0</v>
      </c>
      <c r="CN602" s="2" t="n">
        <v>0</v>
      </c>
      <c r="CO602" s="2" t="n">
        <v>0</v>
      </c>
      <c r="CP602" s="2" t="n">
        <v>0</v>
      </c>
      <c r="CQ602" s="2" t="n">
        <v>0</v>
      </c>
      <c r="CR602" s="2" t="n">
        <v>1.72</v>
      </c>
      <c r="CS602" s="2" t="n">
        <v>2.4</v>
      </c>
      <c r="CT602" s="2" t="n">
        <v>0</v>
      </c>
      <c r="CU602" s="2" t="n">
        <v>18.58</v>
      </c>
      <c r="CV602" s="2" t="n">
        <v>16.88</v>
      </c>
      <c r="CW602" s="2" t="n">
        <v>0</v>
      </c>
      <c r="CX602" s="2" t="n">
        <v>26.2</v>
      </c>
      <c r="CY602" s="2" t="n">
        <v>26.2</v>
      </c>
      <c r="CZ602" s="2" t="n">
        <v>0</v>
      </c>
      <c r="DA602" s="2" t="n">
        <v>26.2</v>
      </c>
      <c r="DB602" s="2" t="n">
        <v>26.2</v>
      </c>
      <c r="DC602" s="2" t="n">
        <v>0</v>
      </c>
      <c r="DD602" s="2" t="n">
        <v>26.2</v>
      </c>
      <c r="DE602" s="2" t="n">
        <v>30.91</v>
      </c>
      <c r="DF602" s="2" t="n">
        <v>0</v>
      </c>
      <c r="DG602" s="2" t="n">
        <v>43.48</v>
      </c>
      <c r="DH602" s="2" t="n">
        <v>43.48</v>
      </c>
      <c r="DI602" s="2" t="n">
        <v>0</v>
      </c>
      <c r="DJ602" s="2" t="n">
        <v>43.48</v>
      </c>
      <c r="DK602" s="2" t="n">
        <v>43.48</v>
      </c>
      <c r="DL602" s="2" t="n">
        <v>0</v>
      </c>
      <c r="DM602" s="2" t="n">
        <v>74.08</v>
      </c>
      <c r="DN602" s="2" t="n">
        <v>43.48</v>
      </c>
      <c r="DO602" s="2" t="n">
        <v>0</v>
      </c>
      <c r="DP602" s="2" t="n">
        <v>74.08</v>
      </c>
      <c r="DQ602" s="2" t="n">
        <v>74.08</v>
      </c>
      <c r="DR602" s="2" t="n">
        <v>0</v>
      </c>
      <c r="DS602" s="2" t="n">
        <v>83.51000000000001</v>
      </c>
      <c r="DT602" s="2" t="n">
        <v>83.51000000000001</v>
      </c>
      <c r="DU602" s="2" t="n">
        <v>0</v>
      </c>
      <c r="DV602" s="2" t="n">
        <v>83.51000000000001</v>
      </c>
      <c r="DW602" s="2" t="n">
        <v>83.51000000000001</v>
      </c>
      <c r="DX602" s="2" t="n">
        <v>0</v>
      </c>
      <c r="DY602" s="2" t="n">
        <v>83.51000000000001</v>
      </c>
      <c r="DZ602" s="2" t="n">
        <v>83.51000000000001</v>
      </c>
      <c r="EA602" s="2" t="n">
        <v>0</v>
      </c>
      <c r="EB602" s="2" t="n">
        <v>83.51000000000001</v>
      </c>
      <c r="EC602" s="2" t="n">
        <v>83.51000000000001</v>
      </c>
      <c r="ED602" s="2" t="n">
        <v>0</v>
      </c>
      <c r="EE602" s="2" t="n">
        <v>83.51000000000001</v>
      </c>
      <c r="EF602" s="2" t="n">
        <v>83.51000000000001</v>
      </c>
      <c r="EG602" s="2" t="n">
        <v>0</v>
      </c>
      <c r="EH602" s="2" t="n">
        <v>83.51000000000001</v>
      </c>
      <c r="EI602" s="2" t="n">
        <v>83.51000000000001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  <c r="ET602" s="2" t="n">
        <v>100</v>
      </c>
      <c r="EU602" s="2" t="n">
        <v>100</v>
      </c>
      <c r="EV602" s="2" t="n">
        <v>0</v>
      </c>
      <c r="EW602" s="2" t="n">
        <v>100</v>
      </c>
      <c r="EX602" s="2" t="n">
        <v>100</v>
      </c>
      <c r="EY602" s="2" t="n">
        <v>0</v>
      </c>
      <c r="EZ602" s="2" t="n">
        <v>100</v>
      </c>
      <c r="FA602" s="2" t="n">
        <v>100</v>
      </c>
      <c r="FB602" s="2" t="n">
        <v>0</v>
      </c>
      <c r="FC602" s="2" t="n">
        <v>100</v>
      </c>
      <c r="FD602" s="2" t="n">
        <v>100</v>
      </c>
      <c r="FE602" s="2" t="n">
        <v>0</v>
      </c>
      <c r="FF602" s="2" t="n">
        <v>100</v>
      </c>
      <c r="FG602" s="2" t="n">
        <v>100</v>
      </c>
      <c r="FH602" s="2" t="n">
        <v>0</v>
      </c>
      <c r="FI602" s="2" t="n">
        <v>100</v>
      </c>
      <c r="FJ602" s="2" t="n">
        <v>100</v>
      </c>
      <c r="FK602" s="2" t="n">
        <v>0</v>
      </c>
      <c r="FL602" s="2" t="n">
        <v>100</v>
      </c>
      <c r="FM602" s="2" t="n">
        <v>100</v>
      </c>
      <c r="FN602" s="2" t="n">
        <v>0</v>
      </c>
      <c r="FO602" s="2" t="n">
        <v>100</v>
      </c>
      <c r="FP602" s="2" t="n">
        <v>100</v>
      </c>
      <c r="FQ602" s="2" t="n">
        <v>0</v>
      </c>
    </row>
    <row r="603">
      <c r="A603" s="2" t="n">
        <v>3</v>
      </c>
      <c r="B603" s="2" t="inlineStr">
        <is>
          <t>26.03.04</t>
        </is>
      </c>
      <c r="C603" s="2" t="inlineStr">
        <is>
          <t>INT - Espelho liso prata colado em MDF cru 6mm aparafusado na alvenaria</t>
        </is>
      </c>
      <c r="D603" s="2" t="inlineStr">
        <is>
          <t>21/01/2027</t>
        </is>
      </c>
      <c r="E603" s="2" t="inlineStr">
        <is>
          <t>24/04/2028</t>
        </is>
      </c>
      <c r="F603" s="2" t="n">
        <v>8327.549999999999</v>
      </c>
      <c r="G603" s="2" t="n">
        <v>0</v>
      </c>
      <c r="H603" s="2" t="n">
        <v>8327.549999999999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1.72</v>
      </c>
      <c r="CS603" s="2" t="n">
        <v>2.4</v>
      </c>
      <c r="CT603" s="2" t="n">
        <v>0</v>
      </c>
      <c r="CU603" s="2" t="n">
        <v>18.58</v>
      </c>
      <c r="CV603" s="2" t="n">
        <v>16.88</v>
      </c>
      <c r="CW603" s="2" t="n">
        <v>0</v>
      </c>
      <c r="CX603" s="2" t="n">
        <v>26.2</v>
      </c>
      <c r="CY603" s="2" t="n">
        <v>26.2</v>
      </c>
      <c r="CZ603" s="2" t="n">
        <v>0</v>
      </c>
      <c r="DA603" s="2" t="n">
        <v>26.2</v>
      </c>
      <c r="DB603" s="2" t="n">
        <v>26.2</v>
      </c>
      <c r="DC603" s="2" t="n">
        <v>0</v>
      </c>
      <c r="DD603" s="2" t="n">
        <v>26.2</v>
      </c>
      <c r="DE603" s="2" t="n">
        <v>30.91</v>
      </c>
      <c r="DF603" s="2" t="n">
        <v>0</v>
      </c>
      <c r="DG603" s="2" t="n">
        <v>43.48</v>
      </c>
      <c r="DH603" s="2" t="n">
        <v>43.48</v>
      </c>
      <c r="DI603" s="2" t="n">
        <v>0</v>
      </c>
      <c r="DJ603" s="2" t="n">
        <v>43.48</v>
      </c>
      <c r="DK603" s="2" t="n">
        <v>43.48</v>
      </c>
      <c r="DL603" s="2" t="n">
        <v>0</v>
      </c>
      <c r="DM603" s="2" t="n">
        <v>74.08</v>
      </c>
      <c r="DN603" s="2" t="n">
        <v>43.48</v>
      </c>
      <c r="DO603" s="2" t="n">
        <v>0</v>
      </c>
      <c r="DP603" s="2" t="n">
        <v>74.08</v>
      </c>
      <c r="DQ603" s="2" t="n">
        <v>74.08</v>
      </c>
      <c r="DR603" s="2" t="n">
        <v>0</v>
      </c>
      <c r="DS603" s="2" t="n">
        <v>83.51000000000001</v>
      </c>
      <c r="DT603" s="2" t="n">
        <v>83.51000000000001</v>
      </c>
      <c r="DU603" s="2" t="n">
        <v>0</v>
      </c>
      <c r="DV603" s="2" t="n">
        <v>83.51000000000001</v>
      </c>
      <c r="DW603" s="2" t="n">
        <v>83.51000000000001</v>
      </c>
      <c r="DX603" s="2" t="n">
        <v>0</v>
      </c>
      <c r="DY603" s="2" t="n">
        <v>83.51000000000001</v>
      </c>
      <c r="DZ603" s="2" t="n">
        <v>83.51000000000001</v>
      </c>
      <c r="EA603" s="2" t="n">
        <v>0</v>
      </c>
      <c r="EB603" s="2" t="n">
        <v>83.51000000000001</v>
      </c>
      <c r="EC603" s="2" t="n">
        <v>83.51000000000001</v>
      </c>
      <c r="ED603" s="2" t="n">
        <v>0</v>
      </c>
      <c r="EE603" s="2" t="n">
        <v>83.51000000000001</v>
      </c>
      <c r="EF603" s="2" t="n">
        <v>83.51000000000001</v>
      </c>
      <c r="EG603" s="2" t="n">
        <v>0</v>
      </c>
      <c r="EH603" s="2" t="n">
        <v>83.51000000000001</v>
      </c>
      <c r="EI603" s="2" t="n">
        <v>83.51000000000001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  <c r="ET603" s="2" t="n">
        <v>100</v>
      </c>
      <c r="EU603" s="2" t="n">
        <v>100</v>
      </c>
      <c r="EV603" s="2" t="n">
        <v>0</v>
      </c>
      <c r="EW603" s="2" t="n">
        <v>100</v>
      </c>
      <c r="EX603" s="2" t="n">
        <v>100</v>
      </c>
      <c r="EY603" s="2" t="n">
        <v>0</v>
      </c>
      <c r="EZ603" s="2" t="n">
        <v>100</v>
      </c>
      <c r="FA603" s="2" t="n">
        <v>100</v>
      </c>
      <c r="FB603" s="2" t="n">
        <v>0</v>
      </c>
      <c r="FC603" s="2" t="n">
        <v>100</v>
      </c>
      <c r="FD603" s="2" t="n">
        <v>100</v>
      </c>
      <c r="FE603" s="2" t="n">
        <v>0</v>
      </c>
      <c r="FF603" s="2" t="n">
        <v>100</v>
      </c>
      <c r="FG603" s="2" t="n">
        <v>100</v>
      </c>
      <c r="FH603" s="2" t="n">
        <v>0</v>
      </c>
      <c r="FI603" s="2" t="n">
        <v>100</v>
      </c>
      <c r="FJ603" s="2" t="n">
        <v>100</v>
      </c>
      <c r="FK603" s="2" t="n">
        <v>0</v>
      </c>
      <c r="FL603" s="2" t="n">
        <v>100</v>
      </c>
      <c r="FM603" s="2" t="n">
        <v>100</v>
      </c>
      <c r="FN603" s="2" t="n">
        <v>0</v>
      </c>
      <c r="FO603" s="2" t="n">
        <v>100</v>
      </c>
      <c r="FP603" s="2" t="n">
        <v>100</v>
      </c>
      <c r="FQ603" s="2" t="n">
        <v>0</v>
      </c>
    </row>
    <row r="604">
      <c r="A604" s="2" t="n">
        <v>1</v>
      </c>
      <c r="B604" s="2" t="inlineStr">
        <is>
          <t>27</t>
        </is>
      </c>
      <c r="C604" s="2" t="inlineStr">
        <is>
          <t>SERRALHERIA</t>
        </is>
      </c>
      <c r="D604" s="2" t="inlineStr">
        <is>
          <t>20/10/2027</t>
        </is>
      </c>
      <c r="E604" s="2" t="inlineStr">
        <is>
          <t>01/02/2029</t>
        </is>
      </c>
      <c r="F604" s="2" t="n">
        <v>445157.5335142803</v>
      </c>
      <c r="G604" s="2" t="n">
        <v>0</v>
      </c>
      <c r="H604" s="2" t="n">
        <v>445157.5335142803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0</v>
      </c>
      <c r="DB604" s="2" t="n">
        <v>0</v>
      </c>
      <c r="DC604" s="2" t="n">
        <v>0</v>
      </c>
      <c r="DD604" s="2" t="n">
        <v>0</v>
      </c>
      <c r="DE604" s="2" t="n">
        <v>0</v>
      </c>
      <c r="DF604" s="2" t="n">
        <v>0</v>
      </c>
      <c r="DG604" s="2" t="n">
        <v>0</v>
      </c>
      <c r="DH604" s="2" t="n">
        <v>0</v>
      </c>
      <c r="DI604" s="2" t="n">
        <v>0</v>
      </c>
      <c r="DJ604" s="2" t="n">
        <v>0</v>
      </c>
      <c r="DK604" s="2" t="n">
        <v>0</v>
      </c>
      <c r="DL604" s="2" t="n">
        <v>0</v>
      </c>
      <c r="DM604" s="2" t="n">
        <v>3.07</v>
      </c>
      <c r="DN604" s="2" t="n">
        <v>0</v>
      </c>
      <c r="DO604" s="2" t="n">
        <v>0</v>
      </c>
      <c r="DP604" s="2" t="n">
        <v>5.02</v>
      </c>
      <c r="DQ604" s="2" t="n">
        <v>0</v>
      </c>
      <c r="DR604" s="2" t="n">
        <v>0</v>
      </c>
      <c r="DS604" s="2" t="n">
        <v>8.369999999999999</v>
      </c>
      <c r="DT604" s="2" t="n">
        <v>2.23</v>
      </c>
      <c r="DU604" s="2" t="n">
        <v>0</v>
      </c>
      <c r="DV604" s="2" t="n">
        <v>10.05</v>
      </c>
      <c r="DW604" s="2" t="n">
        <v>5.02</v>
      </c>
      <c r="DX604" s="2" t="n">
        <v>0</v>
      </c>
      <c r="DY604" s="2" t="n">
        <v>13.06</v>
      </c>
      <c r="DZ604" s="2" t="n">
        <v>5.02</v>
      </c>
      <c r="EA604" s="2" t="n">
        <v>0</v>
      </c>
      <c r="EB604" s="2" t="n">
        <v>26.75</v>
      </c>
      <c r="EC604" s="2" t="n">
        <v>16.2</v>
      </c>
      <c r="ED604" s="2" t="n">
        <v>0</v>
      </c>
      <c r="EE604" s="2" t="n">
        <v>44.89</v>
      </c>
      <c r="EF604" s="2" t="n">
        <v>32.49</v>
      </c>
      <c r="EG604" s="2" t="n">
        <v>0</v>
      </c>
      <c r="EH604" s="2" t="n">
        <v>72.77</v>
      </c>
      <c r="EI604" s="2" t="n">
        <v>56.2</v>
      </c>
      <c r="EJ604" s="2" t="n">
        <v>0</v>
      </c>
      <c r="EK604" s="2" t="n">
        <v>78.06999999999999</v>
      </c>
      <c r="EL604" s="2" t="n">
        <v>59.55</v>
      </c>
      <c r="EM604" s="2" t="n">
        <v>0</v>
      </c>
      <c r="EN604" s="2" t="n">
        <v>86.44</v>
      </c>
      <c r="EO604" s="2" t="n">
        <v>62.62</v>
      </c>
      <c r="EP604" s="2" t="n">
        <v>0</v>
      </c>
      <c r="EQ604" s="2" t="n">
        <v>91.73999999999999</v>
      </c>
      <c r="ER604" s="2" t="n">
        <v>69.04000000000001</v>
      </c>
      <c r="ES604" s="2" t="n">
        <v>0</v>
      </c>
      <c r="ET604" s="2" t="n">
        <v>97.73</v>
      </c>
      <c r="EU604" s="2" t="n">
        <v>76.40000000000001</v>
      </c>
      <c r="EV604" s="2" t="n">
        <v>0</v>
      </c>
      <c r="EW604" s="2" t="n">
        <v>100</v>
      </c>
      <c r="EX604" s="2" t="n">
        <v>80.02</v>
      </c>
      <c r="EY604" s="2" t="n">
        <v>0</v>
      </c>
      <c r="EZ604" s="2" t="n">
        <v>100</v>
      </c>
      <c r="FA604" s="2" t="n">
        <v>83.37</v>
      </c>
      <c r="FB604" s="2" t="n">
        <v>0</v>
      </c>
      <c r="FC604" s="2" t="n">
        <v>100</v>
      </c>
      <c r="FD604" s="2" t="n">
        <v>87.56</v>
      </c>
      <c r="FE604" s="2" t="n">
        <v>0</v>
      </c>
      <c r="FF604" s="2" t="n">
        <v>100</v>
      </c>
      <c r="FG604" s="2" t="n">
        <v>90.06999999999999</v>
      </c>
      <c r="FH604" s="2" t="n">
        <v>0</v>
      </c>
      <c r="FI604" s="2" t="n">
        <v>100</v>
      </c>
      <c r="FJ604" s="2" t="n">
        <v>93.7</v>
      </c>
      <c r="FK604" s="2" t="n">
        <v>0</v>
      </c>
      <c r="FL604" s="2" t="n">
        <v>100</v>
      </c>
      <c r="FM604" s="2" t="n">
        <v>99.78</v>
      </c>
      <c r="FN604" s="2" t="n">
        <v>0</v>
      </c>
      <c r="FO604" s="2" t="n">
        <v>100</v>
      </c>
      <c r="FP604" s="2" t="n">
        <v>100</v>
      </c>
      <c r="FQ604" s="2" t="n">
        <v>0</v>
      </c>
    </row>
    <row r="605">
      <c r="A605" s="2" t="n">
        <v>2</v>
      </c>
      <c r="B605" s="2" t="inlineStr">
        <is>
          <t>27.01</t>
        </is>
      </c>
      <c r="C605" s="2" t="inlineStr">
        <is>
          <t>Esquadrias de aço</t>
        </is>
      </c>
      <c r="D605" s="2" t="inlineStr">
        <is>
          <t>20/10/2027</t>
        </is>
      </c>
      <c r="E605" s="2" t="inlineStr">
        <is>
          <t>01/02/2029</t>
        </is>
      </c>
      <c r="F605" s="2" t="n">
        <v>445157.5335142803</v>
      </c>
      <c r="G605" s="2" t="n">
        <v>0</v>
      </c>
      <c r="H605" s="2" t="n">
        <v>445157.5335142803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0</v>
      </c>
      <c r="DB605" s="2" t="n">
        <v>0</v>
      </c>
      <c r="DC605" s="2" t="n">
        <v>0</v>
      </c>
      <c r="DD605" s="2" t="n">
        <v>0</v>
      </c>
      <c r="DE605" s="2" t="n">
        <v>0</v>
      </c>
      <c r="DF605" s="2" t="n">
        <v>0</v>
      </c>
      <c r="DG605" s="2" t="n">
        <v>0</v>
      </c>
      <c r="DH605" s="2" t="n">
        <v>0</v>
      </c>
      <c r="DI605" s="2" t="n">
        <v>0</v>
      </c>
      <c r="DJ605" s="2" t="n">
        <v>0</v>
      </c>
      <c r="DK605" s="2" t="n">
        <v>0</v>
      </c>
      <c r="DL605" s="2" t="n">
        <v>0</v>
      </c>
      <c r="DM605" s="2" t="n">
        <v>3.07</v>
      </c>
      <c r="DN605" s="2" t="n">
        <v>0</v>
      </c>
      <c r="DO605" s="2" t="n">
        <v>0</v>
      </c>
      <c r="DP605" s="2" t="n">
        <v>5.02</v>
      </c>
      <c r="DQ605" s="2" t="n">
        <v>0</v>
      </c>
      <c r="DR605" s="2" t="n">
        <v>0</v>
      </c>
      <c r="DS605" s="2" t="n">
        <v>8.369999999999999</v>
      </c>
      <c r="DT605" s="2" t="n">
        <v>2.23</v>
      </c>
      <c r="DU605" s="2" t="n">
        <v>0</v>
      </c>
      <c r="DV605" s="2" t="n">
        <v>10.05</v>
      </c>
      <c r="DW605" s="2" t="n">
        <v>5.02</v>
      </c>
      <c r="DX605" s="2" t="n">
        <v>0</v>
      </c>
      <c r="DY605" s="2" t="n">
        <v>13.06</v>
      </c>
      <c r="DZ605" s="2" t="n">
        <v>5.02</v>
      </c>
      <c r="EA605" s="2" t="n">
        <v>0</v>
      </c>
      <c r="EB605" s="2" t="n">
        <v>26.75</v>
      </c>
      <c r="EC605" s="2" t="n">
        <v>16.2</v>
      </c>
      <c r="ED605" s="2" t="n">
        <v>0</v>
      </c>
      <c r="EE605" s="2" t="n">
        <v>44.89</v>
      </c>
      <c r="EF605" s="2" t="n">
        <v>32.49</v>
      </c>
      <c r="EG605" s="2" t="n">
        <v>0</v>
      </c>
      <c r="EH605" s="2" t="n">
        <v>72.77</v>
      </c>
      <c r="EI605" s="2" t="n">
        <v>56.2</v>
      </c>
      <c r="EJ605" s="2" t="n">
        <v>0</v>
      </c>
      <c r="EK605" s="2" t="n">
        <v>78.06999999999999</v>
      </c>
      <c r="EL605" s="2" t="n">
        <v>59.55</v>
      </c>
      <c r="EM605" s="2" t="n">
        <v>0</v>
      </c>
      <c r="EN605" s="2" t="n">
        <v>86.44</v>
      </c>
      <c r="EO605" s="2" t="n">
        <v>62.62</v>
      </c>
      <c r="EP605" s="2" t="n">
        <v>0</v>
      </c>
      <c r="EQ605" s="2" t="n">
        <v>91.73999999999999</v>
      </c>
      <c r="ER605" s="2" t="n">
        <v>69.04000000000001</v>
      </c>
      <c r="ES605" s="2" t="n">
        <v>0</v>
      </c>
      <c r="ET605" s="2" t="n">
        <v>97.73</v>
      </c>
      <c r="EU605" s="2" t="n">
        <v>76.40000000000001</v>
      </c>
      <c r="EV605" s="2" t="n">
        <v>0</v>
      </c>
      <c r="EW605" s="2" t="n">
        <v>100</v>
      </c>
      <c r="EX605" s="2" t="n">
        <v>80.02</v>
      </c>
      <c r="EY605" s="2" t="n">
        <v>0</v>
      </c>
      <c r="EZ605" s="2" t="n">
        <v>100</v>
      </c>
      <c r="FA605" s="2" t="n">
        <v>83.37</v>
      </c>
      <c r="FB605" s="2" t="n">
        <v>0</v>
      </c>
      <c r="FC605" s="2" t="n">
        <v>100</v>
      </c>
      <c r="FD605" s="2" t="n">
        <v>87.56</v>
      </c>
      <c r="FE605" s="2" t="n">
        <v>0</v>
      </c>
      <c r="FF605" s="2" t="n">
        <v>100</v>
      </c>
      <c r="FG605" s="2" t="n">
        <v>90.06999999999999</v>
      </c>
      <c r="FH605" s="2" t="n">
        <v>0</v>
      </c>
      <c r="FI605" s="2" t="n">
        <v>100</v>
      </c>
      <c r="FJ605" s="2" t="n">
        <v>93.7</v>
      </c>
      <c r="FK605" s="2" t="n">
        <v>0</v>
      </c>
      <c r="FL605" s="2" t="n">
        <v>100</v>
      </c>
      <c r="FM605" s="2" t="n">
        <v>99.78</v>
      </c>
      <c r="FN605" s="2" t="n">
        <v>0</v>
      </c>
      <c r="FO605" s="2" t="n">
        <v>100</v>
      </c>
      <c r="FP605" s="2" t="n">
        <v>100</v>
      </c>
      <c r="FQ605" s="2" t="n">
        <v>0</v>
      </c>
    </row>
    <row r="606">
      <c r="A606" s="2" t="n">
        <v>3</v>
      </c>
      <c r="B606" s="2" t="inlineStr">
        <is>
          <t>27.01.01</t>
        </is>
      </c>
      <c r="C606" s="2" t="inlineStr">
        <is>
          <t>Portas corta-fogo</t>
        </is>
      </c>
      <c r="D606" s="2" t="inlineStr">
        <is>
          <t>20/10/2027</t>
        </is>
      </c>
      <c r="E606" s="2" t="inlineStr">
        <is>
          <t>01/02/2029</t>
        </is>
      </c>
      <c r="F606" s="2" t="n">
        <v>74789.11454991197</v>
      </c>
      <c r="G606" s="2" t="n">
        <v>0</v>
      </c>
      <c r="H606" s="2" t="n">
        <v>74789.11454991197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0</v>
      </c>
      <c r="DB606" s="2" t="n">
        <v>0</v>
      </c>
      <c r="DC606" s="2" t="n">
        <v>0</v>
      </c>
      <c r="DD606" s="2" t="n">
        <v>0</v>
      </c>
      <c r="DE606" s="2" t="n">
        <v>0</v>
      </c>
      <c r="DF606" s="2" t="n">
        <v>0</v>
      </c>
      <c r="DG606" s="2" t="n">
        <v>0</v>
      </c>
      <c r="DH606" s="2" t="n">
        <v>0</v>
      </c>
      <c r="DI606" s="2" t="n">
        <v>0</v>
      </c>
      <c r="DJ606" s="2" t="n">
        <v>0</v>
      </c>
      <c r="DK606" s="2" t="n">
        <v>0</v>
      </c>
      <c r="DL606" s="2" t="n">
        <v>0</v>
      </c>
      <c r="DM606" s="2" t="n">
        <v>3.07</v>
      </c>
      <c r="DN606" s="2" t="n">
        <v>0</v>
      </c>
      <c r="DO606" s="2" t="n">
        <v>0</v>
      </c>
      <c r="DP606" s="2" t="n">
        <v>5.02</v>
      </c>
      <c r="DQ606" s="2" t="n">
        <v>0</v>
      </c>
      <c r="DR606" s="2" t="n">
        <v>0</v>
      </c>
      <c r="DS606" s="2" t="n">
        <v>8.369999999999999</v>
      </c>
      <c r="DT606" s="2" t="n">
        <v>2.23</v>
      </c>
      <c r="DU606" s="2" t="n">
        <v>0</v>
      </c>
      <c r="DV606" s="2" t="n">
        <v>10.05</v>
      </c>
      <c r="DW606" s="2" t="n">
        <v>5.02</v>
      </c>
      <c r="DX606" s="2" t="n">
        <v>0</v>
      </c>
      <c r="DY606" s="2" t="n">
        <v>13.06</v>
      </c>
      <c r="DZ606" s="2" t="n">
        <v>5.02</v>
      </c>
      <c r="EA606" s="2" t="n">
        <v>0</v>
      </c>
      <c r="EB606" s="2" t="n">
        <v>26.75</v>
      </c>
      <c r="EC606" s="2" t="n">
        <v>16.2</v>
      </c>
      <c r="ED606" s="2" t="n">
        <v>0</v>
      </c>
      <c r="EE606" s="2" t="n">
        <v>44.89</v>
      </c>
      <c r="EF606" s="2" t="n">
        <v>32.49</v>
      </c>
      <c r="EG606" s="2" t="n">
        <v>0</v>
      </c>
      <c r="EH606" s="2" t="n">
        <v>72.77</v>
      </c>
      <c r="EI606" s="2" t="n">
        <v>56.2</v>
      </c>
      <c r="EJ606" s="2" t="n">
        <v>0</v>
      </c>
      <c r="EK606" s="2" t="n">
        <v>78.06999999999999</v>
      </c>
      <c r="EL606" s="2" t="n">
        <v>59.55</v>
      </c>
      <c r="EM606" s="2" t="n">
        <v>0</v>
      </c>
      <c r="EN606" s="2" t="n">
        <v>86.44</v>
      </c>
      <c r="EO606" s="2" t="n">
        <v>62.62</v>
      </c>
      <c r="EP606" s="2" t="n">
        <v>0</v>
      </c>
      <c r="EQ606" s="2" t="n">
        <v>91.73999999999999</v>
      </c>
      <c r="ER606" s="2" t="n">
        <v>69.04000000000001</v>
      </c>
      <c r="ES606" s="2" t="n">
        <v>0</v>
      </c>
      <c r="ET606" s="2" t="n">
        <v>97.73</v>
      </c>
      <c r="EU606" s="2" t="n">
        <v>76.40000000000001</v>
      </c>
      <c r="EV606" s="2" t="n">
        <v>0</v>
      </c>
      <c r="EW606" s="2" t="n">
        <v>100</v>
      </c>
      <c r="EX606" s="2" t="n">
        <v>80.02</v>
      </c>
      <c r="EY606" s="2" t="n">
        <v>0</v>
      </c>
      <c r="EZ606" s="2" t="n">
        <v>100</v>
      </c>
      <c r="FA606" s="2" t="n">
        <v>83.37</v>
      </c>
      <c r="FB606" s="2" t="n">
        <v>0</v>
      </c>
      <c r="FC606" s="2" t="n">
        <v>100</v>
      </c>
      <c r="FD606" s="2" t="n">
        <v>87.56</v>
      </c>
      <c r="FE606" s="2" t="n">
        <v>0</v>
      </c>
      <c r="FF606" s="2" t="n">
        <v>100</v>
      </c>
      <c r="FG606" s="2" t="n">
        <v>90.06999999999999</v>
      </c>
      <c r="FH606" s="2" t="n">
        <v>0</v>
      </c>
      <c r="FI606" s="2" t="n">
        <v>100</v>
      </c>
      <c r="FJ606" s="2" t="n">
        <v>93.7</v>
      </c>
      <c r="FK606" s="2" t="n">
        <v>0</v>
      </c>
      <c r="FL606" s="2" t="n">
        <v>100</v>
      </c>
      <c r="FM606" s="2" t="n">
        <v>99.78</v>
      </c>
      <c r="FN606" s="2" t="n">
        <v>0</v>
      </c>
      <c r="FO606" s="2" t="n">
        <v>100</v>
      </c>
      <c r="FP606" s="2" t="n">
        <v>100</v>
      </c>
      <c r="FQ606" s="2" t="n">
        <v>0</v>
      </c>
    </row>
    <row r="607">
      <c r="A607" s="2" t="n">
        <v>4</v>
      </c>
      <c r="B607" s="2" t="inlineStr">
        <is>
          <t>27.01.01.01</t>
        </is>
      </c>
      <c r="C607" s="2" t="inlineStr">
        <is>
          <t>PCF - Porta corta-fogo 102x210cm</t>
        </is>
      </c>
      <c r="D607" s="2" t="inlineStr">
        <is>
          <t>20/10/2027</t>
        </is>
      </c>
      <c r="E607" s="2" t="inlineStr">
        <is>
          <t>01/02/2029</t>
        </is>
      </c>
      <c r="F607" s="2" t="n">
        <v>69531.19202266399</v>
      </c>
      <c r="G607" s="2" t="n">
        <v>0</v>
      </c>
      <c r="H607" s="2" t="n">
        <v>69531.19202266399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0</v>
      </c>
      <c r="DB607" s="2" t="n">
        <v>0</v>
      </c>
      <c r="DC607" s="2" t="n">
        <v>0</v>
      </c>
      <c r="DD607" s="2" t="n">
        <v>0</v>
      </c>
      <c r="DE607" s="2" t="n">
        <v>0</v>
      </c>
      <c r="DF607" s="2" t="n">
        <v>0</v>
      </c>
      <c r="DG607" s="2" t="n">
        <v>0</v>
      </c>
      <c r="DH607" s="2" t="n">
        <v>0</v>
      </c>
      <c r="DI607" s="2" t="n">
        <v>0</v>
      </c>
      <c r="DJ607" s="2" t="n">
        <v>0</v>
      </c>
      <c r="DK607" s="2" t="n">
        <v>0</v>
      </c>
      <c r="DL607" s="2" t="n">
        <v>0</v>
      </c>
      <c r="DM607" s="2" t="n">
        <v>3.07</v>
      </c>
      <c r="DN607" s="2" t="n">
        <v>0</v>
      </c>
      <c r="DO607" s="2" t="n">
        <v>0</v>
      </c>
      <c r="DP607" s="2" t="n">
        <v>5.02</v>
      </c>
      <c r="DQ607" s="2" t="n">
        <v>0</v>
      </c>
      <c r="DR607" s="2" t="n">
        <v>0</v>
      </c>
      <c r="DS607" s="2" t="n">
        <v>8.369999999999999</v>
      </c>
      <c r="DT607" s="2" t="n">
        <v>2.23</v>
      </c>
      <c r="DU607" s="2" t="n">
        <v>0</v>
      </c>
      <c r="DV607" s="2" t="n">
        <v>10.05</v>
      </c>
      <c r="DW607" s="2" t="n">
        <v>5.02</v>
      </c>
      <c r="DX607" s="2" t="n">
        <v>0</v>
      </c>
      <c r="DY607" s="2" t="n">
        <v>13.06</v>
      </c>
      <c r="DZ607" s="2" t="n">
        <v>5.02</v>
      </c>
      <c r="EA607" s="2" t="n">
        <v>0</v>
      </c>
      <c r="EB607" s="2" t="n">
        <v>26.75</v>
      </c>
      <c r="EC607" s="2" t="n">
        <v>16.2</v>
      </c>
      <c r="ED607" s="2" t="n">
        <v>0</v>
      </c>
      <c r="EE607" s="2" t="n">
        <v>44.89</v>
      </c>
      <c r="EF607" s="2" t="n">
        <v>32.49</v>
      </c>
      <c r="EG607" s="2" t="n">
        <v>0</v>
      </c>
      <c r="EH607" s="2" t="n">
        <v>72.77</v>
      </c>
      <c r="EI607" s="2" t="n">
        <v>56.2</v>
      </c>
      <c r="EJ607" s="2" t="n">
        <v>0</v>
      </c>
      <c r="EK607" s="2" t="n">
        <v>78.06999999999999</v>
      </c>
      <c r="EL607" s="2" t="n">
        <v>59.55</v>
      </c>
      <c r="EM607" s="2" t="n">
        <v>0</v>
      </c>
      <c r="EN607" s="2" t="n">
        <v>86.44</v>
      </c>
      <c r="EO607" s="2" t="n">
        <v>62.62</v>
      </c>
      <c r="EP607" s="2" t="n">
        <v>0</v>
      </c>
      <c r="EQ607" s="2" t="n">
        <v>91.73999999999999</v>
      </c>
      <c r="ER607" s="2" t="n">
        <v>69.04000000000001</v>
      </c>
      <c r="ES607" s="2" t="n">
        <v>0</v>
      </c>
      <c r="ET607" s="2" t="n">
        <v>97.73</v>
      </c>
      <c r="EU607" s="2" t="n">
        <v>76.40000000000001</v>
      </c>
      <c r="EV607" s="2" t="n">
        <v>0</v>
      </c>
      <c r="EW607" s="2" t="n">
        <v>100</v>
      </c>
      <c r="EX607" s="2" t="n">
        <v>80.02</v>
      </c>
      <c r="EY607" s="2" t="n">
        <v>0</v>
      </c>
      <c r="EZ607" s="2" t="n">
        <v>100</v>
      </c>
      <c r="FA607" s="2" t="n">
        <v>83.37</v>
      </c>
      <c r="FB607" s="2" t="n">
        <v>0</v>
      </c>
      <c r="FC607" s="2" t="n">
        <v>100</v>
      </c>
      <c r="FD607" s="2" t="n">
        <v>87.56</v>
      </c>
      <c r="FE607" s="2" t="n">
        <v>0</v>
      </c>
      <c r="FF607" s="2" t="n">
        <v>100</v>
      </c>
      <c r="FG607" s="2" t="n">
        <v>90.06999999999999</v>
      </c>
      <c r="FH607" s="2" t="n">
        <v>0</v>
      </c>
      <c r="FI607" s="2" t="n">
        <v>100</v>
      </c>
      <c r="FJ607" s="2" t="n">
        <v>93.7</v>
      </c>
      <c r="FK607" s="2" t="n">
        <v>0</v>
      </c>
      <c r="FL607" s="2" t="n">
        <v>100</v>
      </c>
      <c r="FM607" s="2" t="n">
        <v>99.78</v>
      </c>
      <c r="FN607" s="2" t="n">
        <v>0</v>
      </c>
      <c r="FO607" s="2" t="n">
        <v>100</v>
      </c>
      <c r="FP607" s="2" t="n">
        <v>100</v>
      </c>
      <c r="FQ607" s="2" t="n">
        <v>0</v>
      </c>
    </row>
    <row r="608">
      <c r="A608" s="2" t="n">
        <v>4</v>
      </c>
      <c r="B608" s="2" t="inlineStr">
        <is>
          <t>27.01.01.02</t>
        </is>
      </c>
      <c r="C608" s="2" t="inlineStr">
        <is>
          <t>PCF - Porta corta-fogo 162x210cm</t>
        </is>
      </c>
      <c r="D608" s="2" t="inlineStr">
        <is>
          <t>20/10/2027</t>
        </is>
      </c>
      <c r="E608" s="2" t="inlineStr">
        <is>
          <t>01/02/2029</t>
        </is>
      </c>
      <c r="F608" s="2" t="n">
        <v>5257.922527247985</v>
      </c>
      <c r="G608" s="2" t="n">
        <v>0</v>
      </c>
      <c r="H608" s="2" t="n">
        <v>5257.922527247985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0</v>
      </c>
      <c r="DB608" s="2" t="n">
        <v>0</v>
      </c>
      <c r="DC608" s="2" t="n">
        <v>0</v>
      </c>
      <c r="DD608" s="2" t="n">
        <v>0</v>
      </c>
      <c r="DE608" s="2" t="n">
        <v>0</v>
      </c>
      <c r="DF608" s="2" t="n">
        <v>0</v>
      </c>
      <c r="DG608" s="2" t="n">
        <v>0</v>
      </c>
      <c r="DH608" s="2" t="n">
        <v>0</v>
      </c>
      <c r="DI608" s="2" t="n">
        <v>0</v>
      </c>
      <c r="DJ608" s="2" t="n">
        <v>0</v>
      </c>
      <c r="DK608" s="2" t="n">
        <v>0</v>
      </c>
      <c r="DL608" s="2" t="n">
        <v>0</v>
      </c>
      <c r="DM608" s="2" t="n">
        <v>3.07</v>
      </c>
      <c r="DN608" s="2" t="n">
        <v>0</v>
      </c>
      <c r="DO608" s="2" t="n">
        <v>0</v>
      </c>
      <c r="DP608" s="2" t="n">
        <v>5.02</v>
      </c>
      <c r="DQ608" s="2" t="n">
        <v>0</v>
      </c>
      <c r="DR608" s="2" t="n">
        <v>0</v>
      </c>
      <c r="DS608" s="2" t="n">
        <v>8.369999999999999</v>
      </c>
      <c r="DT608" s="2" t="n">
        <v>2.23</v>
      </c>
      <c r="DU608" s="2" t="n">
        <v>0</v>
      </c>
      <c r="DV608" s="2" t="n">
        <v>10.05</v>
      </c>
      <c r="DW608" s="2" t="n">
        <v>5.02</v>
      </c>
      <c r="DX608" s="2" t="n">
        <v>0</v>
      </c>
      <c r="DY608" s="2" t="n">
        <v>13.06</v>
      </c>
      <c r="DZ608" s="2" t="n">
        <v>5.02</v>
      </c>
      <c r="EA608" s="2" t="n">
        <v>0</v>
      </c>
      <c r="EB608" s="2" t="n">
        <v>26.75</v>
      </c>
      <c r="EC608" s="2" t="n">
        <v>16.2</v>
      </c>
      <c r="ED608" s="2" t="n">
        <v>0</v>
      </c>
      <c r="EE608" s="2" t="n">
        <v>44.89</v>
      </c>
      <c r="EF608" s="2" t="n">
        <v>32.49</v>
      </c>
      <c r="EG608" s="2" t="n">
        <v>0</v>
      </c>
      <c r="EH608" s="2" t="n">
        <v>72.77</v>
      </c>
      <c r="EI608" s="2" t="n">
        <v>56.2</v>
      </c>
      <c r="EJ608" s="2" t="n">
        <v>0</v>
      </c>
      <c r="EK608" s="2" t="n">
        <v>78.06999999999999</v>
      </c>
      <c r="EL608" s="2" t="n">
        <v>59.55</v>
      </c>
      <c r="EM608" s="2" t="n">
        <v>0</v>
      </c>
      <c r="EN608" s="2" t="n">
        <v>86.44</v>
      </c>
      <c r="EO608" s="2" t="n">
        <v>62.62</v>
      </c>
      <c r="EP608" s="2" t="n">
        <v>0</v>
      </c>
      <c r="EQ608" s="2" t="n">
        <v>91.73999999999999</v>
      </c>
      <c r="ER608" s="2" t="n">
        <v>69.04000000000001</v>
      </c>
      <c r="ES608" s="2" t="n">
        <v>0</v>
      </c>
      <c r="ET608" s="2" t="n">
        <v>97.73</v>
      </c>
      <c r="EU608" s="2" t="n">
        <v>76.40000000000001</v>
      </c>
      <c r="EV608" s="2" t="n">
        <v>0</v>
      </c>
      <c r="EW608" s="2" t="n">
        <v>100</v>
      </c>
      <c r="EX608" s="2" t="n">
        <v>80.02</v>
      </c>
      <c r="EY608" s="2" t="n">
        <v>0</v>
      </c>
      <c r="EZ608" s="2" t="n">
        <v>100</v>
      </c>
      <c r="FA608" s="2" t="n">
        <v>83.37</v>
      </c>
      <c r="FB608" s="2" t="n">
        <v>0</v>
      </c>
      <c r="FC608" s="2" t="n">
        <v>100</v>
      </c>
      <c r="FD608" s="2" t="n">
        <v>87.56</v>
      </c>
      <c r="FE608" s="2" t="n">
        <v>0</v>
      </c>
      <c r="FF608" s="2" t="n">
        <v>100</v>
      </c>
      <c r="FG608" s="2" t="n">
        <v>90.06999999999999</v>
      </c>
      <c r="FH608" s="2" t="n">
        <v>0</v>
      </c>
      <c r="FI608" s="2" t="n">
        <v>100</v>
      </c>
      <c r="FJ608" s="2" t="n">
        <v>93.7</v>
      </c>
      <c r="FK608" s="2" t="n">
        <v>0</v>
      </c>
      <c r="FL608" s="2" t="n">
        <v>100</v>
      </c>
      <c r="FM608" s="2" t="n">
        <v>99.78</v>
      </c>
      <c r="FN608" s="2" t="n">
        <v>0</v>
      </c>
      <c r="FO608" s="2" t="n">
        <v>100</v>
      </c>
      <c r="FP608" s="2" t="n">
        <v>100</v>
      </c>
      <c r="FQ608" s="2" t="n">
        <v>0</v>
      </c>
    </row>
    <row r="609">
      <c r="A609" s="2" t="n">
        <v>3</v>
      </c>
      <c r="B609" s="2" t="inlineStr">
        <is>
          <t>27.01.02</t>
        </is>
      </c>
      <c r="C609" s="2" t="inlineStr">
        <is>
          <t>Alçapões</t>
        </is>
      </c>
      <c r="D609" s="2" t="inlineStr">
        <is>
          <t>20/10/2027</t>
        </is>
      </c>
      <c r="E609" s="2" t="inlineStr">
        <is>
          <t>01/02/2029</t>
        </is>
      </c>
      <c r="F609" s="2" t="n">
        <v>12500</v>
      </c>
      <c r="G609" s="2" t="n">
        <v>0</v>
      </c>
      <c r="H609" s="2" t="n">
        <v>12500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0</v>
      </c>
      <c r="DB609" s="2" t="n">
        <v>0</v>
      </c>
      <c r="DC609" s="2" t="n">
        <v>0</v>
      </c>
      <c r="DD609" s="2" t="n">
        <v>0</v>
      </c>
      <c r="DE609" s="2" t="n">
        <v>0</v>
      </c>
      <c r="DF609" s="2" t="n">
        <v>0</v>
      </c>
      <c r="DG609" s="2" t="n">
        <v>0</v>
      </c>
      <c r="DH609" s="2" t="n">
        <v>0</v>
      </c>
      <c r="DI609" s="2" t="n">
        <v>0</v>
      </c>
      <c r="DJ609" s="2" t="n">
        <v>0</v>
      </c>
      <c r="DK609" s="2" t="n">
        <v>0</v>
      </c>
      <c r="DL609" s="2" t="n">
        <v>0</v>
      </c>
      <c r="DM609" s="2" t="n">
        <v>3.07</v>
      </c>
      <c r="DN609" s="2" t="n">
        <v>0</v>
      </c>
      <c r="DO609" s="2" t="n">
        <v>0</v>
      </c>
      <c r="DP609" s="2" t="n">
        <v>5.02</v>
      </c>
      <c r="DQ609" s="2" t="n">
        <v>0</v>
      </c>
      <c r="DR609" s="2" t="n">
        <v>0</v>
      </c>
      <c r="DS609" s="2" t="n">
        <v>8.369999999999999</v>
      </c>
      <c r="DT609" s="2" t="n">
        <v>2.23</v>
      </c>
      <c r="DU609" s="2" t="n">
        <v>0</v>
      </c>
      <c r="DV609" s="2" t="n">
        <v>10.05</v>
      </c>
      <c r="DW609" s="2" t="n">
        <v>5.02</v>
      </c>
      <c r="DX609" s="2" t="n">
        <v>0</v>
      </c>
      <c r="DY609" s="2" t="n">
        <v>13.06</v>
      </c>
      <c r="DZ609" s="2" t="n">
        <v>5.02</v>
      </c>
      <c r="EA609" s="2" t="n">
        <v>0</v>
      </c>
      <c r="EB609" s="2" t="n">
        <v>26.75</v>
      </c>
      <c r="EC609" s="2" t="n">
        <v>16.2</v>
      </c>
      <c r="ED609" s="2" t="n">
        <v>0</v>
      </c>
      <c r="EE609" s="2" t="n">
        <v>44.89</v>
      </c>
      <c r="EF609" s="2" t="n">
        <v>32.49</v>
      </c>
      <c r="EG609" s="2" t="n">
        <v>0</v>
      </c>
      <c r="EH609" s="2" t="n">
        <v>72.77</v>
      </c>
      <c r="EI609" s="2" t="n">
        <v>56.2</v>
      </c>
      <c r="EJ609" s="2" t="n">
        <v>0</v>
      </c>
      <c r="EK609" s="2" t="n">
        <v>78.06999999999999</v>
      </c>
      <c r="EL609" s="2" t="n">
        <v>59.55</v>
      </c>
      <c r="EM609" s="2" t="n">
        <v>0</v>
      </c>
      <c r="EN609" s="2" t="n">
        <v>86.44</v>
      </c>
      <c r="EO609" s="2" t="n">
        <v>62.62</v>
      </c>
      <c r="EP609" s="2" t="n">
        <v>0</v>
      </c>
      <c r="EQ609" s="2" t="n">
        <v>91.73999999999999</v>
      </c>
      <c r="ER609" s="2" t="n">
        <v>69.04000000000001</v>
      </c>
      <c r="ES609" s="2" t="n">
        <v>0</v>
      </c>
      <c r="ET609" s="2" t="n">
        <v>97.73</v>
      </c>
      <c r="EU609" s="2" t="n">
        <v>76.40000000000001</v>
      </c>
      <c r="EV609" s="2" t="n">
        <v>0</v>
      </c>
      <c r="EW609" s="2" t="n">
        <v>100</v>
      </c>
      <c r="EX609" s="2" t="n">
        <v>80.02</v>
      </c>
      <c r="EY609" s="2" t="n">
        <v>0</v>
      </c>
      <c r="EZ609" s="2" t="n">
        <v>100</v>
      </c>
      <c r="FA609" s="2" t="n">
        <v>83.37</v>
      </c>
      <c r="FB609" s="2" t="n">
        <v>0</v>
      </c>
      <c r="FC609" s="2" t="n">
        <v>100</v>
      </c>
      <c r="FD609" s="2" t="n">
        <v>87.56</v>
      </c>
      <c r="FE609" s="2" t="n">
        <v>0</v>
      </c>
      <c r="FF609" s="2" t="n">
        <v>100</v>
      </c>
      <c r="FG609" s="2" t="n">
        <v>90.06999999999999</v>
      </c>
      <c r="FH609" s="2" t="n">
        <v>0</v>
      </c>
      <c r="FI609" s="2" t="n">
        <v>100</v>
      </c>
      <c r="FJ609" s="2" t="n">
        <v>93.7</v>
      </c>
      <c r="FK609" s="2" t="n">
        <v>0</v>
      </c>
      <c r="FL609" s="2" t="n">
        <v>100</v>
      </c>
      <c r="FM609" s="2" t="n">
        <v>99.78</v>
      </c>
      <c r="FN609" s="2" t="n">
        <v>0</v>
      </c>
      <c r="FO609" s="2" t="n">
        <v>100</v>
      </c>
      <c r="FP609" s="2" t="n">
        <v>100</v>
      </c>
      <c r="FQ609" s="2" t="n">
        <v>0</v>
      </c>
    </row>
    <row r="610">
      <c r="A610" s="2" t="n">
        <v>4</v>
      </c>
      <c r="B610" s="2" t="inlineStr">
        <is>
          <t>27.01.02.01</t>
        </is>
      </c>
      <c r="C610" s="2" t="inlineStr">
        <is>
          <t>Alçapão de chapa lisa 100x100cm</t>
        </is>
      </c>
      <c r="D610" s="2" t="inlineStr">
        <is>
          <t>20/10/2027</t>
        </is>
      </c>
      <c r="E610" s="2" t="inlineStr">
        <is>
          <t>01/02/2029</t>
        </is>
      </c>
      <c r="F610" s="2" t="n">
        <v>12500</v>
      </c>
      <c r="G610" s="2" t="n">
        <v>0</v>
      </c>
      <c r="H610" s="2" t="n">
        <v>12500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0</v>
      </c>
      <c r="DB610" s="2" t="n">
        <v>0</v>
      </c>
      <c r="DC610" s="2" t="n">
        <v>0</v>
      </c>
      <c r="DD610" s="2" t="n">
        <v>0</v>
      </c>
      <c r="DE610" s="2" t="n">
        <v>0</v>
      </c>
      <c r="DF610" s="2" t="n">
        <v>0</v>
      </c>
      <c r="DG610" s="2" t="n">
        <v>0</v>
      </c>
      <c r="DH610" s="2" t="n">
        <v>0</v>
      </c>
      <c r="DI610" s="2" t="n">
        <v>0</v>
      </c>
      <c r="DJ610" s="2" t="n">
        <v>0</v>
      </c>
      <c r="DK610" s="2" t="n">
        <v>0</v>
      </c>
      <c r="DL610" s="2" t="n">
        <v>0</v>
      </c>
      <c r="DM610" s="2" t="n">
        <v>3.07</v>
      </c>
      <c r="DN610" s="2" t="n">
        <v>0</v>
      </c>
      <c r="DO610" s="2" t="n">
        <v>0</v>
      </c>
      <c r="DP610" s="2" t="n">
        <v>5.02</v>
      </c>
      <c r="DQ610" s="2" t="n">
        <v>0</v>
      </c>
      <c r="DR610" s="2" t="n">
        <v>0</v>
      </c>
      <c r="DS610" s="2" t="n">
        <v>8.369999999999999</v>
      </c>
      <c r="DT610" s="2" t="n">
        <v>2.23</v>
      </c>
      <c r="DU610" s="2" t="n">
        <v>0</v>
      </c>
      <c r="DV610" s="2" t="n">
        <v>10.05</v>
      </c>
      <c r="DW610" s="2" t="n">
        <v>5.02</v>
      </c>
      <c r="DX610" s="2" t="n">
        <v>0</v>
      </c>
      <c r="DY610" s="2" t="n">
        <v>13.06</v>
      </c>
      <c r="DZ610" s="2" t="n">
        <v>5.02</v>
      </c>
      <c r="EA610" s="2" t="n">
        <v>0</v>
      </c>
      <c r="EB610" s="2" t="n">
        <v>26.75</v>
      </c>
      <c r="EC610" s="2" t="n">
        <v>16.2</v>
      </c>
      <c r="ED610" s="2" t="n">
        <v>0</v>
      </c>
      <c r="EE610" s="2" t="n">
        <v>44.89</v>
      </c>
      <c r="EF610" s="2" t="n">
        <v>32.49</v>
      </c>
      <c r="EG610" s="2" t="n">
        <v>0</v>
      </c>
      <c r="EH610" s="2" t="n">
        <v>72.77</v>
      </c>
      <c r="EI610" s="2" t="n">
        <v>56.2</v>
      </c>
      <c r="EJ610" s="2" t="n">
        <v>0</v>
      </c>
      <c r="EK610" s="2" t="n">
        <v>78.06999999999999</v>
      </c>
      <c r="EL610" s="2" t="n">
        <v>59.55</v>
      </c>
      <c r="EM610" s="2" t="n">
        <v>0</v>
      </c>
      <c r="EN610" s="2" t="n">
        <v>86.44</v>
      </c>
      <c r="EO610" s="2" t="n">
        <v>62.62</v>
      </c>
      <c r="EP610" s="2" t="n">
        <v>0</v>
      </c>
      <c r="EQ610" s="2" t="n">
        <v>91.73999999999999</v>
      </c>
      <c r="ER610" s="2" t="n">
        <v>69.04000000000001</v>
      </c>
      <c r="ES610" s="2" t="n">
        <v>0</v>
      </c>
      <c r="ET610" s="2" t="n">
        <v>97.73</v>
      </c>
      <c r="EU610" s="2" t="n">
        <v>76.40000000000001</v>
      </c>
      <c r="EV610" s="2" t="n">
        <v>0</v>
      </c>
      <c r="EW610" s="2" t="n">
        <v>100</v>
      </c>
      <c r="EX610" s="2" t="n">
        <v>80.02</v>
      </c>
      <c r="EY610" s="2" t="n">
        <v>0</v>
      </c>
      <c r="EZ610" s="2" t="n">
        <v>100</v>
      </c>
      <c r="FA610" s="2" t="n">
        <v>83.37</v>
      </c>
      <c r="FB610" s="2" t="n">
        <v>0</v>
      </c>
      <c r="FC610" s="2" t="n">
        <v>100</v>
      </c>
      <c r="FD610" s="2" t="n">
        <v>87.56</v>
      </c>
      <c r="FE610" s="2" t="n">
        <v>0</v>
      </c>
      <c r="FF610" s="2" t="n">
        <v>100</v>
      </c>
      <c r="FG610" s="2" t="n">
        <v>90.06999999999999</v>
      </c>
      <c r="FH610" s="2" t="n">
        <v>0</v>
      </c>
      <c r="FI610" s="2" t="n">
        <v>100</v>
      </c>
      <c r="FJ610" s="2" t="n">
        <v>93.7</v>
      </c>
      <c r="FK610" s="2" t="n">
        <v>0</v>
      </c>
      <c r="FL610" s="2" t="n">
        <v>100</v>
      </c>
      <c r="FM610" s="2" t="n">
        <v>99.78</v>
      </c>
      <c r="FN610" s="2" t="n">
        <v>0</v>
      </c>
      <c r="FO610" s="2" t="n">
        <v>100</v>
      </c>
      <c r="FP610" s="2" t="n">
        <v>100</v>
      </c>
      <c r="FQ610" s="2" t="n">
        <v>0</v>
      </c>
    </row>
    <row r="611">
      <c r="A611" s="2" t="n">
        <v>3</v>
      </c>
      <c r="B611" s="2" t="inlineStr">
        <is>
          <t>27.01.03</t>
        </is>
      </c>
      <c r="C611" s="2" t="inlineStr">
        <is>
          <t>Corrimaos e guarda corpos</t>
        </is>
      </c>
      <c r="D611" s="2" t="inlineStr">
        <is>
          <t>20/10/2027</t>
        </is>
      </c>
      <c r="E611" s="2" t="inlineStr">
        <is>
          <t>01/02/2029</t>
        </is>
      </c>
      <c r="F611" s="2" t="n">
        <v>170123.952557759</v>
      </c>
      <c r="G611" s="2" t="n">
        <v>0</v>
      </c>
      <c r="H611" s="2" t="n">
        <v>170123.952557759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0</v>
      </c>
      <c r="DB611" s="2" t="n">
        <v>0</v>
      </c>
      <c r="DC611" s="2" t="n">
        <v>0</v>
      </c>
      <c r="DD611" s="2" t="n">
        <v>0</v>
      </c>
      <c r="DE611" s="2" t="n">
        <v>0</v>
      </c>
      <c r="DF611" s="2" t="n">
        <v>0</v>
      </c>
      <c r="DG611" s="2" t="n">
        <v>0</v>
      </c>
      <c r="DH611" s="2" t="n">
        <v>0</v>
      </c>
      <c r="DI611" s="2" t="n">
        <v>0</v>
      </c>
      <c r="DJ611" s="2" t="n">
        <v>0</v>
      </c>
      <c r="DK611" s="2" t="n">
        <v>0</v>
      </c>
      <c r="DL611" s="2" t="n">
        <v>0</v>
      </c>
      <c r="DM611" s="2" t="n">
        <v>3.07</v>
      </c>
      <c r="DN611" s="2" t="n">
        <v>0</v>
      </c>
      <c r="DO611" s="2" t="n">
        <v>0</v>
      </c>
      <c r="DP611" s="2" t="n">
        <v>5.02</v>
      </c>
      <c r="DQ611" s="2" t="n">
        <v>0</v>
      </c>
      <c r="DR611" s="2" t="n">
        <v>0</v>
      </c>
      <c r="DS611" s="2" t="n">
        <v>8.369999999999999</v>
      </c>
      <c r="DT611" s="2" t="n">
        <v>2.23</v>
      </c>
      <c r="DU611" s="2" t="n">
        <v>0</v>
      </c>
      <c r="DV611" s="2" t="n">
        <v>10.05</v>
      </c>
      <c r="DW611" s="2" t="n">
        <v>5.02</v>
      </c>
      <c r="DX611" s="2" t="n">
        <v>0</v>
      </c>
      <c r="DY611" s="2" t="n">
        <v>13.06</v>
      </c>
      <c r="DZ611" s="2" t="n">
        <v>5.02</v>
      </c>
      <c r="EA611" s="2" t="n">
        <v>0</v>
      </c>
      <c r="EB611" s="2" t="n">
        <v>26.75</v>
      </c>
      <c r="EC611" s="2" t="n">
        <v>16.2</v>
      </c>
      <c r="ED611" s="2" t="n">
        <v>0</v>
      </c>
      <c r="EE611" s="2" t="n">
        <v>44.89</v>
      </c>
      <c r="EF611" s="2" t="n">
        <v>32.49</v>
      </c>
      <c r="EG611" s="2" t="n">
        <v>0</v>
      </c>
      <c r="EH611" s="2" t="n">
        <v>72.77</v>
      </c>
      <c r="EI611" s="2" t="n">
        <v>56.2</v>
      </c>
      <c r="EJ611" s="2" t="n">
        <v>0</v>
      </c>
      <c r="EK611" s="2" t="n">
        <v>78.06999999999999</v>
      </c>
      <c r="EL611" s="2" t="n">
        <v>59.55</v>
      </c>
      <c r="EM611" s="2" t="n">
        <v>0</v>
      </c>
      <c r="EN611" s="2" t="n">
        <v>86.44</v>
      </c>
      <c r="EO611" s="2" t="n">
        <v>62.62</v>
      </c>
      <c r="EP611" s="2" t="n">
        <v>0</v>
      </c>
      <c r="EQ611" s="2" t="n">
        <v>91.73999999999999</v>
      </c>
      <c r="ER611" s="2" t="n">
        <v>69.04000000000001</v>
      </c>
      <c r="ES611" s="2" t="n">
        <v>0</v>
      </c>
      <c r="ET611" s="2" t="n">
        <v>97.73</v>
      </c>
      <c r="EU611" s="2" t="n">
        <v>76.40000000000001</v>
      </c>
      <c r="EV611" s="2" t="n">
        <v>0</v>
      </c>
      <c r="EW611" s="2" t="n">
        <v>100</v>
      </c>
      <c r="EX611" s="2" t="n">
        <v>80.02</v>
      </c>
      <c r="EY611" s="2" t="n">
        <v>0</v>
      </c>
      <c r="EZ611" s="2" t="n">
        <v>100</v>
      </c>
      <c r="FA611" s="2" t="n">
        <v>83.37</v>
      </c>
      <c r="FB611" s="2" t="n">
        <v>0</v>
      </c>
      <c r="FC611" s="2" t="n">
        <v>100</v>
      </c>
      <c r="FD611" s="2" t="n">
        <v>87.56</v>
      </c>
      <c r="FE611" s="2" t="n">
        <v>0</v>
      </c>
      <c r="FF611" s="2" t="n">
        <v>100</v>
      </c>
      <c r="FG611" s="2" t="n">
        <v>90.06999999999999</v>
      </c>
      <c r="FH611" s="2" t="n">
        <v>0</v>
      </c>
      <c r="FI611" s="2" t="n">
        <v>100</v>
      </c>
      <c r="FJ611" s="2" t="n">
        <v>93.7</v>
      </c>
      <c r="FK611" s="2" t="n">
        <v>0</v>
      </c>
      <c r="FL611" s="2" t="n">
        <v>100</v>
      </c>
      <c r="FM611" s="2" t="n">
        <v>99.78</v>
      </c>
      <c r="FN611" s="2" t="n">
        <v>0</v>
      </c>
      <c r="FO611" s="2" t="n">
        <v>100</v>
      </c>
      <c r="FP611" s="2" t="n">
        <v>100</v>
      </c>
      <c r="FQ611" s="2" t="n">
        <v>0</v>
      </c>
    </row>
    <row r="612">
      <c r="A612" s="2" t="n">
        <v>4</v>
      </c>
      <c r="B612" s="2" t="inlineStr">
        <is>
          <t>27.01.03.01</t>
        </is>
      </c>
      <c r="C612" s="2" t="inlineStr">
        <is>
          <t>Corrimão em aço carbono pintados com tinta esmalte</t>
        </is>
      </c>
      <c r="D612" s="2" t="inlineStr">
        <is>
          <t>20/10/2027</t>
        </is>
      </c>
      <c r="E612" s="2" t="inlineStr">
        <is>
          <t>01/02/2029</t>
        </is>
      </c>
      <c r="F612" s="2" t="n">
        <v>122839.10058</v>
      </c>
      <c r="G612" s="2" t="n">
        <v>0</v>
      </c>
      <c r="H612" s="2" t="n">
        <v>122839.10058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0</v>
      </c>
      <c r="DB612" s="2" t="n">
        <v>0</v>
      </c>
      <c r="DC612" s="2" t="n">
        <v>0</v>
      </c>
      <c r="DD612" s="2" t="n">
        <v>0</v>
      </c>
      <c r="DE612" s="2" t="n">
        <v>0</v>
      </c>
      <c r="DF612" s="2" t="n">
        <v>0</v>
      </c>
      <c r="DG612" s="2" t="n">
        <v>0</v>
      </c>
      <c r="DH612" s="2" t="n">
        <v>0</v>
      </c>
      <c r="DI612" s="2" t="n">
        <v>0</v>
      </c>
      <c r="DJ612" s="2" t="n">
        <v>0</v>
      </c>
      <c r="DK612" s="2" t="n">
        <v>0</v>
      </c>
      <c r="DL612" s="2" t="n">
        <v>0</v>
      </c>
      <c r="DM612" s="2" t="n">
        <v>3.07</v>
      </c>
      <c r="DN612" s="2" t="n">
        <v>0</v>
      </c>
      <c r="DO612" s="2" t="n">
        <v>0</v>
      </c>
      <c r="DP612" s="2" t="n">
        <v>5.02</v>
      </c>
      <c r="DQ612" s="2" t="n">
        <v>0</v>
      </c>
      <c r="DR612" s="2" t="n">
        <v>0</v>
      </c>
      <c r="DS612" s="2" t="n">
        <v>8.369999999999999</v>
      </c>
      <c r="DT612" s="2" t="n">
        <v>2.23</v>
      </c>
      <c r="DU612" s="2" t="n">
        <v>0</v>
      </c>
      <c r="DV612" s="2" t="n">
        <v>10.05</v>
      </c>
      <c r="DW612" s="2" t="n">
        <v>5.02</v>
      </c>
      <c r="DX612" s="2" t="n">
        <v>0</v>
      </c>
      <c r="DY612" s="2" t="n">
        <v>13.06</v>
      </c>
      <c r="DZ612" s="2" t="n">
        <v>5.02</v>
      </c>
      <c r="EA612" s="2" t="n">
        <v>0</v>
      </c>
      <c r="EB612" s="2" t="n">
        <v>26.75</v>
      </c>
      <c r="EC612" s="2" t="n">
        <v>16.2</v>
      </c>
      <c r="ED612" s="2" t="n">
        <v>0</v>
      </c>
      <c r="EE612" s="2" t="n">
        <v>44.89</v>
      </c>
      <c r="EF612" s="2" t="n">
        <v>32.49</v>
      </c>
      <c r="EG612" s="2" t="n">
        <v>0</v>
      </c>
      <c r="EH612" s="2" t="n">
        <v>72.77</v>
      </c>
      <c r="EI612" s="2" t="n">
        <v>56.2</v>
      </c>
      <c r="EJ612" s="2" t="n">
        <v>0</v>
      </c>
      <c r="EK612" s="2" t="n">
        <v>78.06999999999999</v>
      </c>
      <c r="EL612" s="2" t="n">
        <v>59.55</v>
      </c>
      <c r="EM612" s="2" t="n">
        <v>0</v>
      </c>
      <c r="EN612" s="2" t="n">
        <v>86.44</v>
      </c>
      <c r="EO612" s="2" t="n">
        <v>62.62</v>
      </c>
      <c r="EP612" s="2" t="n">
        <v>0</v>
      </c>
      <c r="EQ612" s="2" t="n">
        <v>91.73999999999999</v>
      </c>
      <c r="ER612" s="2" t="n">
        <v>69.04000000000001</v>
      </c>
      <c r="ES612" s="2" t="n">
        <v>0</v>
      </c>
      <c r="ET612" s="2" t="n">
        <v>97.73</v>
      </c>
      <c r="EU612" s="2" t="n">
        <v>76.40000000000001</v>
      </c>
      <c r="EV612" s="2" t="n">
        <v>0</v>
      </c>
      <c r="EW612" s="2" t="n">
        <v>100</v>
      </c>
      <c r="EX612" s="2" t="n">
        <v>80.02</v>
      </c>
      <c r="EY612" s="2" t="n">
        <v>0</v>
      </c>
      <c r="EZ612" s="2" t="n">
        <v>100</v>
      </c>
      <c r="FA612" s="2" t="n">
        <v>83.37</v>
      </c>
      <c r="FB612" s="2" t="n">
        <v>0</v>
      </c>
      <c r="FC612" s="2" t="n">
        <v>100</v>
      </c>
      <c r="FD612" s="2" t="n">
        <v>87.56</v>
      </c>
      <c r="FE612" s="2" t="n">
        <v>0</v>
      </c>
      <c r="FF612" s="2" t="n">
        <v>100</v>
      </c>
      <c r="FG612" s="2" t="n">
        <v>90.06999999999999</v>
      </c>
      <c r="FH612" s="2" t="n">
        <v>0</v>
      </c>
      <c r="FI612" s="2" t="n">
        <v>100</v>
      </c>
      <c r="FJ612" s="2" t="n">
        <v>93.7</v>
      </c>
      <c r="FK612" s="2" t="n">
        <v>0</v>
      </c>
      <c r="FL612" s="2" t="n">
        <v>100</v>
      </c>
      <c r="FM612" s="2" t="n">
        <v>99.78</v>
      </c>
      <c r="FN612" s="2" t="n">
        <v>0</v>
      </c>
      <c r="FO612" s="2" t="n">
        <v>100</v>
      </c>
      <c r="FP612" s="2" t="n">
        <v>100</v>
      </c>
      <c r="FQ612" s="2" t="n">
        <v>0</v>
      </c>
    </row>
    <row r="613">
      <c r="A613" s="2" t="n">
        <v>4</v>
      </c>
      <c r="B613" s="2" t="inlineStr">
        <is>
          <t>27.01.03.02</t>
        </is>
      </c>
      <c r="C613" s="2" t="inlineStr">
        <is>
          <t>Guarda-corpo tubular de aço H=120cm</t>
        </is>
      </c>
      <c r="D613" s="2" t="inlineStr">
        <is>
          <t>20/10/2027</t>
        </is>
      </c>
      <c r="E613" s="2" t="inlineStr">
        <is>
          <t>01/02/2029</t>
        </is>
      </c>
      <c r="F613" s="2" t="n">
        <v>31067.75398787944</v>
      </c>
      <c r="G613" s="2" t="n">
        <v>0</v>
      </c>
      <c r="H613" s="2" t="n">
        <v>31067.75398787944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0</v>
      </c>
      <c r="DB613" s="2" t="n">
        <v>0</v>
      </c>
      <c r="DC613" s="2" t="n">
        <v>0</v>
      </c>
      <c r="DD613" s="2" t="n">
        <v>0</v>
      </c>
      <c r="DE613" s="2" t="n">
        <v>0</v>
      </c>
      <c r="DF613" s="2" t="n">
        <v>0</v>
      </c>
      <c r="DG613" s="2" t="n">
        <v>0</v>
      </c>
      <c r="DH613" s="2" t="n">
        <v>0</v>
      </c>
      <c r="DI613" s="2" t="n">
        <v>0</v>
      </c>
      <c r="DJ613" s="2" t="n">
        <v>0</v>
      </c>
      <c r="DK613" s="2" t="n">
        <v>0</v>
      </c>
      <c r="DL613" s="2" t="n">
        <v>0</v>
      </c>
      <c r="DM613" s="2" t="n">
        <v>3.07</v>
      </c>
      <c r="DN613" s="2" t="n">
        <v>0</v>
      </c>
      <c r="DO613" s="2" t="n">
        <v>0</v>
      </c>
      <c r="DP613" s="2" t="n">
        <v>5.02</v>
      </c>
      <c r="DQ613" s="2" t="n">
        <v>0</v>
      </c>
      <c r="DR613" s="2" t="n">
        <v>0</v>
      </c>
      <c r="DS613" s="2" t="n">
        <v>8.369999999999999</v>
      </c>
      <c r="DT613" s="2" t="n">
        <v>2.23</v>
      </c>
      <c r="DU613" s="2" t="n">
        <v>0</v>
      </c>
      <c r="DV613" s="2" t="n">
        <v>10.05</v>
      </c>
      <c r="DW613" s="2" t="n">
        <v>5.02</v>
      </c>
      <c r="DX613" s="2" t="n">
        <v>0</v>
      </c>
      <c r="DY613" s="2" t="n">
        <v>13.06</v>
      </c>
      <c r="DZ613" s="2" t="n">
        <v>5.02</v>
      </c>
      <c r="EA613" s="2" t="n">
        <v>0</v>
      </c>
      <c r="EB613" s="2" t="n">
        <v>26.75</v>
      </c>
      <c r="EC613" s="2" t="n">
        <v>16.2</v>
      </c>
      <c r="ED613" s="2" t="n">
        <v>0</v>
      </c>
      <c r="EE613" s="2" t="n">
        <v>44.89</v>
      </c>
      <c r="EF613" s="2" t="n">
        <v>32.49</v>
      </c>
      <c r="EG613" s="2" t="n">
        <v>0</v>
      </c>
      <c r="EH613" s="2" t="n">
        <v>72.77</v>
      </c>
      <c r="EI613" s="2" t="n">
        <v>56.2</v>
      </c>
      <c r="EJ613" s="2" t="n">
        <v>0</v>
      </c>
      <c r="EK613" s="2" t="n">
        <v>78.06999999999999</v>
      </c>
      <c r="EL613" s="2" t="n">
        <v>59.55</v>
      </c>
      <c r="EM613" s="2" t="n">
        <v>0</v>
      </c>
      <c r="EN613" s="2" t="n">
        <v>86.44</v>
      </c>
      <c r="EO613" s="2" t="n">
        <v>62.62</v>
      </c>
      <c r="EP613" s="2" t="n">
        <v>0</v>
      </c>
      <c r="EQ613" s="2" t="n">
        <v>91.73999999999999</v>
      </c>
      <c r="ER613" s="2" t="n">
        <v>69.04000000000001</v>
      </c>
      <c r="ES613" s="2" t="n">
        <v>0</v>
      </c>
      <c r="ET613" s="2" t="n">
        <v>97.73</v>
      </c>
      <c r="EU613" s="2" t="n">
        <v>76.40000000000001</v>
      </c>
      <c r="EV613" s="2" t="n">
        <v>0</v>
      </c>
      <c r="EW613" s="2" t="n">
        <v>100</v>
      </c>
      <c r="EX613" s="2" t="n">
        <v>80.02</v>
      </c>
      <c r="EY613" s="2" t="n">
        <v>0</v>
      </c>
      <c r="EZ613" s="2" t="n">
        <v>100</v>
      </c>
      <c r="FA613" s="2" t="n">
        <v>83.37</v>
      </c>
      <c r="FB613" s="2" t="n">
        <v>0</v>
      </c>
      <c r="FC613" s="2" t="n">
        <v>100</v>
      </c>
      <c r="FD613" s="2" t="n">
        <v>87.56</v>
      </c>
      <c r="FE613" s="2" t="n">
        <v>0</v>
      </c>
      <c r="FF613" s="2" t="n">
        <v>100</v>
      </c>
      <c r="FG613" s="2" t="n">
        <v>90.06999999999999</v>
      </c>
      <c r="FH613" s="2" t="n">
        <v>0</v>
      </c>
      <c r="FI613" s="2" t="n">
        <v>100</v>
      </c>
      <c r="FJ613" s="2" t="n">
        <v>93.7</v>
      </c>
      <c r="FK613" s="2" t="n">
        <v>0</v>
      </c>
      <c r="FL613" s="2" t="n">
        <v>100</v>
      </c>
      <c r="FM613" s="2" t="n">
        <v>99.78</v>
      </c>
      <c r="FN613" s="2" t="n">
        <v>0</v>
      </c>
      <c r="FO613" s="2" t="n">
        <v>100</v>
      </c>
      <c r="FP613" s="2" t="n">
        <v>100</v>
      </c>
      <c r="FQ613" s="2" t="n">
        <v>0</v>
      </c>
    </row>
    <row r="614">
      <c r="A614" s="2" t="n">
        <v>4</v>
      </c>
      <c r="B614" s="2" t="inlineStr">
        <is>
          <t>27.01.03.03</t>
        </is>
      </c>
      <c r="C614" s="2" t="inlineStr">
        <is>
          <t>INT - Guarda corpo em chapa metálica dourada, H=180,5cm</t>
        </is>
      </c>
      <c r="D614" s="2" t="inlineStr">
        <is>
          <t>20/10/2027</t>
        </is>
      </c>
      <c r="E614" s="2" t="inlineStr">
        <is>
          <t>01/02/2029</t>
        </is>
      </c>
      <c r="F614" s="2" t="n">
        <v>13672.5</v>
      </c>
      <c r="G614" s="2" t="n">
        <v>0</v>
      </c>
      <c r="H614" s="2" t="n">
        <v>13672.5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0</v>
      </c>
      <c r="DB614" s="2" t="n">
        <v>0</v>
      </c>
      <c r="DC614" s="2" t="n">
        <v>0</v>
      </c>
      <c r="DD614" s="2" t="n">
        <v>0</v>
      </c>
      <c r="DE614" s="2" t="n">
        <v>0</v>
      </c>
      <c r="DF614" s="2" t="n">
        <v>0</v>
      </c>
      <c r="DG614" s="2" t="n">
        <v>0</v>
      </c>
      <c r="DH614" s="2" t="n">
        <v>0</v>
      </c>
      <c r="DI614" s="2" t="n">
        <v>0</v>
      </c>
      <c r="DJ614" s="2" t="n">
        <v>0</v>
      </c>
      <c r="DK614" s="2" t="n">
        <v>0</v>
      </c>
      <c r="DL614" s="2" t="n">
        <v>0</v>
      </c>
      <c r="DM614" s="2" t="n">
        <v>3.07</v>
      </c>
      <c r="DN614" s="2" t="n">
        <v>0</v>
      </c>
      <c r="DO614" s="2" t="n">
        <v>0</v>
      </c>
      <c r="DP614" s="2" t="n">
        <v>5.02</v>
      </c>
      <c r="DQ614" s="2" t="n">
        <v>0</v>
      </c>
      <c r="DR614" s="2" t="n">
        <v>0</v>
      </c>
      <c r="DS614" s="2" t="n">
        <v>8.369999999999999</v>
      </c>
      <c r="DT614" s="2" t="n">
        <v>2.23</v>
      </c>
      <c r="DU614" s="2" t="n">
        <v>0</v>
      </c>
      <c r="DV614" s="2" t="n">
        <v>10.05</v>
      </c>
      <c r="DW614" s="2" t="n">
        <v>5.02</v>
      </c>
      <c r="DX614" s="2" t="n">
        <v>0</v>
      </c>
      <c r="DY614" s="2" t="n">
        <v>13.06</v>
      </c>
      <c r="DZ614" s="2" t="n">
        <v>5.02</v>
      </c>
      <c r="EA614" s="2" t="n">
        <v>0</v>
      </c>
      <c r="EB614" s="2" t="n">
        <v>26.75</v>
      </c>
      <c r="EC614" s="2" t="n">
        <v>16.2</v>
      </c>
      <c r="ED614" s="2" t="n">
        <v>0</v>
      </c>
      <c r="EE614" s="2" t="n">
        <v>44.89</v>
      </c>
      <c r="EF614" s="2" t="n">
        <v>32.49</v>
      </c>
      <c r="EG614" s="2" t="n">
        <v>0</v>
      </c>
      <c r="EH614" s="2" t="n">
        <v>72.77</v>
      </c>
      <c r="EI614" s="2" t="n">
        <v>56.2</v>
      </c>
      <c r="EJ614" s="2" t="n">
        <v>0</v>
      </c>
      <c r="EK614" s="2" t="n">
        <v>78.06999999999999</v>
      </c>
      <c r="EL614" s="2" t="n">
        <v>59.55</v>
      </c>
      <c r="EM614" s="2" t="n">
        <v>0</v>
      </c>
      <c r="EN614" s="2" t="n">
        <v>86.44</v>
      </c>
      <c r="EO614" s="2" t="n">
        <v>62.62</v>
      </c>
      <c r="EP614" s="2" t="n">
        <v>0</v>
      </c>
      <c r="EQ614" s="2" t="n">
        <v>91.73999999999999</v>
      </c>
      <c r="ER614" s="2" t="n">
        <v>69.04000000000001</v>
      </c>
      <c r="ES614" s="2" t="n">
        <v>0</v>
      </c>
      <c r="ET614" s="2" t="n">
        <v>97.73</v>
      </c>
      <c r="EU614" s="2" t="n">
        <v>76.40000000000001</v>
      </c>
      <c r="EV614" s="2" t="n">
        <v>0</v>
      </c>
      <c r="EW614" s="2" t="n">
        <v>100</v>
      </c>
      <c r="EX614" s="2" t="n">
        <v>80.02</v>
      </c>
      <c r="EY614" s="2" t="n">
        <v>0</v>
      </c>
      <c r="EZ614" s="2" t="n">
        <v>100</v>
      </c>
      <c r="FA614" s="2" t="n">
        <v>83.37</v>
      </c>
      <c r="FB614" s="2" t="n">
        <v>0</v>
      </c>
      <c r="FC614" s="2" t="n">
        <v>100</v>
      </c>
      <c r="FD614" s="2" t="n">
        <v>87.56</v>
      </c>
      <c r="FE614" s="2" t="n">
        <v>0</v>
      </c>
      <c r="FF614" s="2" t="n">
        <v>100</v>
      </c>
      <c r="FG614" s="2" t="n">
        <v>90.06999999999999</v>
      </c>
      <c r="FH614" s="2" t="n">
        <v>0</v>
      </c>
      <c r="FI614" s="2" t="n">
        <v>100</v>
      </c>
      <c r="FJ614" s="2" t="n">
        <v>93.7</v>
      </c>
      <c r="FK614" s="2" t="n">
        <v>0</v>
      </c>
      <c r="FL614" s="2" t="n">
        <v>100</v>
      </c>
      <c r="FM614" s="2" t="n">
        <v>99.78</v>
      </c>
      <c r="FN614" s="2" t="n">
        <v>0</v>
      </c>
      <c r="FO614" s="2" t="n">
        <v>100</v>
      </c>
      <c r="FP614" s="2" t="n">
        <v>100</v>
      </c>
      <c r="FQ614" s="2" t="n">
        <v>0</v>
      </c>
    </row>
    <row r="615">
      <c r="A615" s="2" t="n">
        <v>4</v>
      </c>
      <c r="B615" s="2" t="inlineStr">
        <is>
          <t>27.01.03.04</t>
        </is>
      </c>
      <c r="C615" s="2" t="inlineStr">
        <is>
          <t>INT - Corrimão em tubo metálico fixado na alvenaria H=93cm</t>
        </is>
      </c>
      <c r="D615" s="2" t="inlineStr">
        <is>
          <t>20/10/2027</t>
        </is>
      </c>
      <c r="E615" s="2" t="inlineStr">
        <is>
          <t>01/02/2029</t>
        </is>
      </c>
      <c r="F615" s="2" t="n">
        <v>2544.597989879518</v>
      </c>
      <c r="G615" s="2" t="n">
        <v>0</v>
      </c>
      <c r="H615" s="2" t="n">
        <v>2544.597989879518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0</v>
      </c>
      <c r="DB615" s="2" t="n">
        <v>0</v>
      </c>
      <c r="DC615" s="2" t="n">
        <v>0</v>
      </c>
      <c r="DD615" s="2" t="n">
        <v>0</v>
      </c>
      <c r="DE615" s="2" t="n">
        <v>0</v>
      </c>
      <c r="DF615" s="2" t="n">
        <v>0</v>
      </c>
      <c r="DG615" s="2" t="n">
        <v>0</v>
      </c>
      <c r="DH615" s="2" t="n">
        <v>0</v>
      </c>
      <c r="DI615" s="2" t="n">
        <v>0</v>
      </c>
      <c r="DJ615" s="2" t="n">
        <v>0</v>
      </c>
      <c r="DK615" s="2" t="n">
        <v>0</v>
      </c>
      <c r="DL615" s="2" t="n">
        <v>0</v>
      </c>
      <c r="DM615" s="2" t="n">
        <v>3.07</v>
      </c>
      <c r="DN615" s="2" t="n">
        <v>0</v>
      </c>
      <c r="DO615" s="2" t="n">
        <v>0</v>
      </c>
      <c r="DP615" s="2" t="n">
        <v>5.02</v>
      </c>
      <c r="DQ615" s="2" t="n">
        <v>0</v>
      </c>
      <c r="DR615" s="2" t="n">
        <v>0</v>
      </c>
      <c r="DS615" s="2" t="n">
        <v>8.369999999999999</v>
      </c>
      <c r="DT615" s="2" t="n">
        <v>2.23</v>
      </c>
      <c r="DU615" s="2" t="n">
        <v>0</v>
      </c>
      <c r="DV615" s="2" t="n">
        <v>10.05</v>
      </c>
      <c r="DW615" s="2" t="n">
        <v>5.02</v>
      </c>
      <c r="DX615" s="2" t="n">
        <v>0</v>
      </c>
      <c r="DY615" s="2" t="n">
        <v>13.06</v>
      </c>
      <c r="DZ615" s="2" t="n">
        <v>5.02</v>
      </c>
      <c r="EA615" s="2" t="n">
        <v>0</v>
      </c>
      <c r="EB615" s="2" t="n">
        <v>26.75</v>
      </c>
      <c r="EC615" s="2" t="n">
        <v>16.2</v>
      </c>
      <c r="ED615" s="2" t="n">
        <v>0</v>
      </c>
      <c r="EE615" s="2" t="n">
        <v>44.89</v>
      </c>
      <c r="EF615" s="2" t="n">
        <v>32.49</v>
      </c>
      <c r="EG615" s="2" t="n">
        <v>0</v>
      </c>
      <c r="EH615" s="2" t="n">
        <v>72.77</v>
      </c>
      <c r="EI615" s="2" t="n">
        <v>56.2</v>
      </c>
      <c r="EJ615" s="2" t="n">
        <v>0</v>
      </c>
      <c r="EK615" s="2" t="n">
        <v>78.06999999999999</v>
      </c>
      <c r="EL615" s="2" t="n">
        <v>59.55</v>
      </c>
      <c r="EM615" s="2" t="n">
        <v>0</v>
      </c>
      <c r="EN615" s="2" t="n">
        <v>86.44</v>
      </c>
      <c r="EO615" s="2" t="n">
        <v>62.62</v>
      </c>
      <c r="EP615" s="2" t="n">
        <v>0</v>
      </c>
      <c r="EQ615" s="2" t="n">
        <v>91.73999999999999</v>
      </c>
      <c r="ER615" s="2" t="n">
        <v>69.04000000000001</v>
      </c>
      <c r="ES615" s="2" t="n">
        <v>0</v>
      </c>
      <c r="ET615" s="2" t="n">
        <v>97.73</v>
      </c>
      <c r="EU615" s="2" t="n">
        <v>76.40000000000001</v>
      </c>
      <c r="EV615" s="2" t="n">
        <v>0</v>
      </c>
      <c r="EW615" s="2" t="n">
        <v>100</v>
      </c>
      <c r="EX615" s="2" t="n">
        <v>80.02</v>
      </c>
      <c r="EY615" s="2" t="n">
        <v>0</v>
      </c>
      <c r="EZ615" s="2" t="n">
        <v>100</v>
      </c>
      <c r="FA615" s="2" t="n">
        <v>83.37</v>
      </c>
      <c r="FB615" s="2" t="n">
        <v>0</v>
      </c>
      <c r="FC615" s="2" t="n">
        <v>100</v>
      </c>
      <c r="FD615" s="2" t="n">
        <v>87.56</v>
      </c>
      <c r="FE615" s="2" t="n">
        <v>0</v>
      </c>
      <c r="FF615" s="2" t="n">
        <v>100</v>
      </c>
      <c r="FG615" s="2" t="n">
        <v>90.06999999999999</v>
      </c>
      <c r="FH615" s="2" t="n">
        <v>0</v>
      </c>
      <c r="FI615" s="2" t="n">
        <v>100</v>
      </c>
      <c r="FJ615" s="2" t="n">
        <v>93.7</v>
      </c>
      <c r="FK615" s="2" t="n">
        <v>0</v>
      </c>
      <c r="FL615" s="2" t="n">
        <v>100</v>
      </c>
      <c r="FM615" s="2" t="n">
        <v>99.78</v>
      </c>
      <c r="FN615" s="2" t="n">
        <v>0</v>
      </c>
      <c r="FO615" s="2" t="n">
        <v>100</v>
      </c>
      <c r="FP615" s="2" t="n">
        <v>100</v>
      </c>
      <c r="FQ615" s="2" t="n">
        <v>0</v>
      </c>
    </row>
    <row r="616">
      <c r="A616" s="2" t="n">
        <v>3</v>
      </c>
      <c r="B616" s="2" t="inlineStr">
        <is>
          <t>27.01.04</t>
        </is>
      </c>
      <c r="C616" s="2" t="inlineStr">
        <is>
          <t>Escadas</t>
        </is>
      </c>
      <c r="D616" s="2" t="inlineStr">
        <is>
          <t>20/10/2027</t>
        </is>
      </c>
      <c r="E616" s="2" t="inlineStr">
        <is>
          <t>01/02/2029</t>
        </is>
      </c>
      <c r="F616" s="2" t="n">
        <v>7660</v>
      </c>
      <c r="G616" s="2" t="n">
        <v>0</v>
      </c>
      <c r="H616" s="2" t="n">
        <v>7660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0</v>
      </c>
      <c r="DB616" s="2" t="n">
        <v>0</v>
      </c>
      <c r="DC616" s="2" t="n">
        <v>0</v>
      </c>
      <c r="DD616" s="2" t="n">
        <v>0</v>
      </c>
      <c r="DE616" s="2" t="n">
        <v>0</v>
      </c>
      <c r="DF616" s="2" t="n">
        <v>0</v>
      </c>
      <c r="DG616" s="2" t="n">
        <v>0</v>
      </c>
      <c r="DH616" s="2" t="n">
        <v>0</v>
      </c>
      <c r="DI616" s="2" t="n">
        <v>0</v>
      </c>
      <c r="DJ616" s="2" t="n">
        <v>0</v>
      </c>
      <c r="DK616" s="2" t="n">
        <v>0</v>
      </c>
      <c r="DL616" s="2" t="n">
        <v>0</v>
      </c>
      <c r="DM616" s="2" t="n">
        <v>3.07</v>
      </c>
      <c r="DN616" s="2" t="n">
        <v>0</v>
      </c>
      <c r="DO616" s="2" t="n">
        <v>0</v>
      </c>
      <c r="DP616" s="2" t="n">
        <v>5.02</v>
      </c>
      <c r="DQ616" s="2" t="n">
        <v>0</v>
      </c>
      <c r="DR616" s="2" t="n">
        <v>0</v>
      </c>
      <c r="DS616" s="2" t="n">
        <v>8.369999999999999</v>
      </c>
      <c r="DT616" s="2" t="n">
        <v>2.23</v>
      </c>
      <c r="DU616" s="2" t="n">
        <v>0</v>
      </c>
      <c r="DV616" s="2" t="n">
        <v>10.05</v>
      </c>
      <c r="DW616" s="2" t="n">
        <v>5.02</v>
      </c>
      <c r="DX616" s="2" t="n">
        <v>0</v>
      </c>
      <c r="DY616" s="2" t="n">
        <v>13.06</v>
      </c>
      <c r="DZ616" s="2" t="n">
        <v>5.02</v>
      </c>
      <c r="EA616" s="2" t="n">
        <v>0</v>
      </c>
      <c r="EB616" s="2" t="n">
        <v>26.75</v>
      </c>
      <c r="EC616" s="2" t="n">
        <v>16.2</v>
      </c>
      <c r="ED616" s="2" t="n">
        <v>0</v>
      </c>
      <c r="EE616" s="2" t="n">
        <v>44.89</v>
      </c>
      <c r="EF616" s="2" t="n">
        <v>32.49</v>
      </c>
      <c r="EG616" s="2" t="n">
        <v>0</v>
      </c>
      <c r="EH616" s="2" t="n">
        <v>72.77</v>
      </c>
      <c r="EI616" s="2" t="n">
        <v>56.2</v>
      </c>
      <c r="EJ616" s="2" t="n">
        <v>0</v>
      </c>
      <c r="EK616" s="2" t="n">
        <v>78.06999999999999</v>
      </c>
      <c r="EL616" s="2" t="n">
        <v>59.55</v>
      </c>
      <c r="EM616" s="2" t="n">
        <v>0</v>
      </c>
      <c r="EN616" s="2" t="n">
        <v>86.44</v>
      </c>
      <c r="EO616" s="2" t="n">
        <v>62.62</v>
      </c>
      <c r="EP616" s="2" t="n">
        <v>0</v>
      </c>
      <c r="EQ616" s="2" t="n">
        <v>91.73999999999999</v>
      </c>
      <c r="ER616" s="2" t="n">
        <v>69.04000000000001</v>
      </c>
      <c r="ES616" s="2" t="n">
        <v>0</v>
      </c>
      <c r="ET616" s="2" t="n">
        <v>97.73</v>
      </c>
      <c r="EU616" s="2" t="n">
        <v>76.40000000000001</v>
      </c>
      <c r="EV616" s="2" t="n">
        <v>0</v>
      </c>
      <c r="EW616" s="2" t="n">
        <v>100</v>
      </c>
      <c r="EX616" s="2" t="n">
        <v>80.02</v>
      </c>
      <c r="EY616" s="2" t="n">
        <v>0</v>
      </c>
      <c r="EZ616" s="2" t="n">
        <v>100</v>
      </c>
      <c r="FA616" s="2" t="n">
        <v>83.37</v>
      </c>
      <c r="FB616" s="2" t="n">
        <v>0</v>
      </c>
      <c r="FC616" s="2" t="n">
        <v>100</v>
      </c>
      <c r="FD616" s="2" t="n">
        <v>87.56</v>
      </c>
      <c r="FE616" s="2" t="n">
        <v>0</v>
      </c>
      <c r="FF616" s="2" t="n">
        <v>100</v>
      </c>
      <c r="FG616" s="2" t="n">
        <v>90.06999999999999</v>
      </c>
      <c r="FH616" s="2" t="n">
        <v>0</v>
      </c>
      <c r="FI616" s="2" t="n">
        <v>100</v>
      </c>
      <c r="FJ616" s="2" t="n">
        <v>93.7</v>
      </c>
      <c r="FK616" s="2" t="n">
        <v>0</v>
      </c>
      <c r="FL616" s="2" t="n">
        <v>100</v>
      </c>
      <c r="FM616" s="2" t="n">
        <v>99.78</v>
      </c>
      <c r="FN616" s="2" t="n">
        <v>0</v>
      </c>
      <c r="FO616" s="2" t="n">
        <v>100</v>
      </c>
      <c r="FP616" s="2" t="n">
        <v>100</v>
      </c>
      <c r="FQ616" s="2" t="n">
        <v>0</v>
      </c>
    </row>
    <row r="617">
      <c r="A617" s="2" t="n">
        <v>4</v>
      </c>
      <c r="B617" s="2" t="inlineStr">
        <is>
          <t>27.01.04.01</t>
        </is>
      </c>
      <c r="C617" s="2" t="inlineStr">
        <is>
          <t>Escada de marinheiro - degraus chumbados</t>
        </is>
      </c>
      <c r="D617" s="2" t="inlineStr">
        <is>
          <t>20/10/2027</t>
        </is>
      </c>
      <c r="E617" s="2" t="inlineStr">
        <is>
          <t>01/02/2029</t>
        </is>
      </c>
      <c r="F617" s="2" t="n">
        <v>1860</v>
      </c>
      <c r="G617" s="2" t="n">
        <v>0</v>
      </c>
      <c r="H617" s="2" t="n">
        <v>1860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0</v>
      </c>
      <c r="DB617" s="2" t="n">
        <v>0</v>
      </c>
      <c r="DC617" s="2" t="n">
        <v>0</v>
      </c>
      <c r="DD617" s="2" t="n">
        <v>0</v>
      </c>
      <c r="DE617" s="2" t="n">
        <v>0</v>
      </c>
      <c r="DF617" s="2" t="n">
        <v>0</v>
      </c>
      <c r="DG617" s="2" t="n">
        <v>0</v>
      </c>
      <c r="DH617" s="2" t="n">
        <v>0</v>
      </c>
      <c r="DI617" s="2" t="n">
        <v>0</v>
      </c>
      <c r="DJ617" s="2" t="n">
        <v>0</v>
      </c>
      <c r="DK617" s="2" t="n">
        <v>0</v>
      </c>
      <c r="DL617" s="2" t="n">
        <v>0</v>
      </c>
      <c r="DM617" s="2" t="n">
        <v>3.07</v>
      </c>
      <c r="DN617" s="2" t="n">
        <v>0</v>
      </c>
      <c r="DO617" s="2" t="n">
        <v>0</v>
      </c>
      <c r="DP617" s="2" t="n">
        <v>5.02</v>
      </c>
      <c r="DQ617" s="2" t="n">
        <v>0</v>
      </c>
      <c r="DR617" s="2" t="n">
        <v>0</v>
      </c>
      <c r="DS617" s="2" t="n">
        <v>8.369999999999999</v>
      </c>
      <c r="DT617" s="2" t="n">
        <v>2.23</v>
      </c>
      <c r="DU617" s="2" t="n">
        <v>0</v>
      </c>
      <c r="DV617" s="2" t="n">
        <v>10.05</v>
      </c>
      <c r="DW617" s="2" t="n">
        <v>5.02</v>
      </c>
      <c r="DX617" s="2" t="n">
        <v>0</v>
      </c>
      <c r="DY617" s="2" t="n">
        <v>13.06</v>
      </c>
      <c r="DZ617" s="2" t="n">
        <v>5.02</v>
      </c>
      <c r="EA617" s="2" t="n">
        <v>0</v>
      </c>
      <c r="EB617" s="2" t="n">
        <v>26.75</v>
      </c>
      <c r="EC617" s="2" t="n">
        <v>16.2</v>
      </c>
      <c r="ED617" s="2" t="n">
        <v>0</v>
      </c>
      <c r="EE617" s="2" t="n">
        <v>44.89</v>
      </c>
      <c r="EF617" s="2" t="n">
        <v>32.49</v>
      </c>
      <c r="EG617" s="2" t="n">
        <v>0</v>
      </c>
      <c r="EH617" s="2" t="n">
        <v>72.77</v>
      </c>
      <c r="EI617" s="2" t="n">
        <v>56.2</v>
      </c>
      <c r="EJ617" s="2" t="n">
        <v>0</v>
      </c>
      <c r="EK617" s="2" t="n">
        <v>78.06999999999999</v>
      </c>
      <c r="EL617" s="2" t="n">
        <v>59.55</v>
      </c>
      <c r="EM617" s="2" t="n">
        <v>0</v>
      </c>
      <c r="EN617" s="2" t="n">
        <v>86.44</v>
      </c>
      <c r="EO617" s="2" t="n">
        <v>62.62</v>
      </c>
      <c r="EP617" s="2" t="n">
        <v>0</v>
      </c>
      <c r="EQ617" s="2" t="n">
        <v>91.73999999999999</v>
      </c>
      <c r="ER617" s="2" t="n">
        <v>69.04000000000001</v>
      </c>
      <c r="ES617" s="2" t="n">
        <v>0</v>
      </c>
      <c r="ET617" s="2" t="n">
        <v>97.73</v>
      </c>
      <c r="EU617" s="2" t="n">
        <v>76.40000000000001</v>
      </c>
      <c r="EV617" s="2" t="n">
        <v>0</v>
      </c>
      <c r="EW617" s="2" t="n">
        <v>100</v>
      </c>
      <c r="EX617" s="2" t="n">
        <v>80.02</v>
      </c>
      <c r="EY617" s="2" t="n">
        <v>0</v>
      </c>
      <c r="EZ617" s="2" t="n">
        <v>100</v>
      </c>
      <c r="FA617" s="2" t="n">
        <v>83.37</v>
      </c>
      <c r="FB617" s="2" t="n">
        <v>0</v>
      </c>
      <c r="FC617" s="2" t="n">
        <v>100</v>
      </c>
      <c r="FD617" s="2" t="n">
        <v>87.56</v>
      </c>
      <c r="FE617" s="2" t="n">
        <v>0</v>
      </c>
      <c r="FF617" s="2" t="n">
        <v>100</v>
      </c>
      <c r="FG617" s="2" t="n">
        <v>90.06999999999999</v>
      </c>
      <c r="FH617" s="2" t="n">
        <v>0</v>
      </c>
      <c r="FI617" s="2" t="n">
        <v>100</v>
      </c>
      <c r="FJ617" s="2" t="n">
        <v>93.7</v>
      </c>
      <c r="FK617" s="2" t="n">
        <v>0</v>
      </c>
      <c r="FL617" s="2" t="n">
        <v>100</v>
      </c>
      <c r="FM617" s="2" t="n">
        <v>99.78</v>
      </c>
      <c r="FN617" s="2" t="n">
        <v>0</v>
      </c>
      <c r="FO617" s="2" t="n">
        <v>100</v>
      </c>
      <c r="FP617" s="2" t="n">
        <v>100</v>
      </c>
      <c r="FQ617" s="2" t="n">
        <v>0</v>
      </c>
    </row>
    <row r="618">
      <c r="A618" s="2" t="n">
        <v>4</v>
      </c>
      <c r="B618" s="2" t="inlineStr">
        <is>
          <t>27.01.04.02</t>
        </is>
      </c>
      <c r="C618" s="2" t="inlineStr">
        <is>
          <t>Escada de chapa - sistema completo com guarda-corpo e patamar (acesso à mesa da casa de máquinas de elevadores)</t>
        </is>
      </c>
      <c r="D618" s="2" t="inlineStr">
        <is>
          <t>20/10/2027</t>
        </is>
      </c>
      <c r="E618" s="2" t="inlineStr">
        <is>
          <t>01/02/2029</t>
        </is>
      </c>
      <c r="F618" s="2" t="n">
        <v>5800</v>
      </c>
      <c r="G618" s="2" t="n">
        <v>0</v>
      </c>
      <c r="H618" s="2" t="n">
        <v>5800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0</v>
      </c>
      <c r="DB618" s="2" t="n">
        <v>0</v>
      </c>
      <c r="DC618" s="2" t="n">
        <v>0</v>
      </c>
      <c r="DD618" s="2" t="n">
        <v>0</v>
      </c>
      <c r="DE618" s="2" t="n">
        <v>0</v>
      </c>
      <c r="DF618" s="2" t="n">
        <v>0</v>
      </c>
      <c r="DG618" s="2" t="n">
        <v>0</v>
      </c>
      <c r="DH618" s="2" t="n">
        <v>0</v>
      </c>
      <c r="DI618" s="2" t="n">
        <v>0</v>
      </c>
      <c r="DJ618" s="2" t="n">
        <v>0</v>
      </c>
      <c r="DK618" s="2" t="n">
        <v>0</v>
      </c>
      <c r="DL618" s="2" t="n">
        <v>0</v>
      </c>
      <c r="DM618" s="2" t="n">
        <v>3.07</v>
      </c>
      <c r="DN618" s="2" t="n">
        <v>0</v>
      </c>
      <c r="DO618" s="2" t="n">
        <v>0</v>
      </c>
      <c r="DP618" s="2" t="n">
        <v>5.02</v>
      </c>
      <c r="DQ618" s="2" t="n">
        <v>0</v>
      </c>
      <c r="DR618" s="2" t="n">
        <v>0</v>
      </c>
      <c r="DS618" s="2" t="n">
        <v>8.369999999999999</v>
      </c>
      <c r="DT618" s="2" t="n">
        <v>2.23</v>
      </c>
      <c r="DU618" s="2" t="n">
        <v>0</v>
      </c>
      <c r="DV618" s="2" t="n">
        <v>10.05</v>
      </c>
      <c r="DW618" s="2" t="n">
        <v>5.02</v>
      </c>
      <c r="DX618" s="2" t="n">
        <v>0</v>
      </c>
      <c r="DY618" s="2" t="n">
        <v>13.06</v>
      </c>
      <c r="DZ618" s="2" t="n">
        <v>5.02</v>
      </c>
      <c r="EA618" s="2" t="n">
        <v>0</v>
      </c>
      <c r="EB618" s="2" t="n">
        <v>26.75</v>
      </c>
      <c r="EC618" s="2" t="n">
        <v>16.2</v>
      </c>
      <c r="ED618" s="2" t="n">
        <v>0</v>
      </c>
      <c r="EE618" s="2" t="n">
        <v>44.89</v>
      </c>
      <c r="EF618" s="2" t="n">
        <v>32.49</v>
      </c>
      <c r="EG618" s="2" t="n">
        <v>0</v>
      </c>
      <c r="EH618" s="2" t="n">
        <v>72.77</v>
      </c>
      <c r="EI618" s="2" t="n">
        <v>56.2</v>
      </c>
      <c r="EJ618" s="2" t="n">
        <v>0</v>
      </c>
      <c r="EK618" s="2" t="n">
        <v>78.06999999999999</v>
      </c>
      <c r="EL618" s="2" t="n">
        <v>59.55</v>
      </c>
      <c r="EM618" s="2" t="n">
        <v>0</v>
      </c>
      <c r="EN618" s="2" t="n">
        <v>86.44</v>
      </c>
      <c r="EO618" s="2" t="n">
        <v>62.62</v>
      </c>
      <c r="EP618" s="2" t="n">
        <v>0</v>
      </c>
      <c r="EQ618" s="2" t="n">
        <v>91.73999999999999</v>
      </c>
      <c r="ER618" s="2" t="n">
        <v>69.04000000000001</v>
      </c>
      <c r="ES618" s="2" t="n">
        <v>0</v>
      </c>
      <c r="ET618" s="2" t="n">
        <v>97.73</v>
      </c>
      <c r="EU618" s="2" t="n">
        <v>76.40000000000001</v>
      </c>
      <c r="EV618" s="2" t="n">
        <v>0</v>
      </c>
      <c r="EW618" s="2" t="n">
        <v>100</v>
      </c>
      <c r="EX618" s="2" t="n">
        <v>80.02</v>
      </c>
      <c r="EY618" s="2" t="n">
        <v>0</v>
      </c>
      <c r="EZ618" s="2" t="n">
        <v>100</v>
      </c>
      <c r="FA618" s="2" t="n">
        <v>83.37</v>
      </c>
      <c r="FB618" s="2" t="n">
        <v>0</v>
      </c>
      <c r="FC618" s="2" t="n">
        <v>100</v>
      </c>
      <c r="FD618" s="2" t="n">
        <v>87.56</v>
      </c>
      <c r="FE618" s="2" t="n">
        <v>0</v>
      </c>
      <c r="FF618" s="2" t="n">
        <v>100</v>
      </c>
      <c r="FG618" s="2" t="n">
        <v>90.06999999999999</v>
      </c>
      <c r="FH618" s="2" t="n">
        <v>0</v>
      </c>
      <c r="FI618" s="2" t="n">
        <v>100</v>
      </c>
      <c r="FJ618" s="2" t="n">
        <v>93.7</v>
      </c>
      <c r="FK618" s="2" t="n">
        <v>0</v>
      </c>
      <c r="FL618" s="2" t="n">
        <v>100</v>
      </c>
      <c r="FM618" s="2" t="n">
        <v>99.78</v>
      </c>
      <c r="FN618" s="2" t="n">
        <v>0</v>
      </c>
      <c r="FO618" s="2" t="n">
        <v>100</v>
      </c>
      <c r="FP618" s="2" t="n">
        <v>100</v>
      </c>
      <c r="FQ618" s="2" t="n">
        <v>0</v>
      </c>
    </row>
    <row r="619">
      <c r="A619" s="2" t="n">
        <v>3</v>
      </c>
      <c r="B619" s="2" t="inlineStr">
        <is>
          <t>27.01.05</t>
        </is>
      </c>
      <c r="C619" s="2" t="inlineStr">
        <is>
          <t>Diversos</t>
        </is>
      </c>
      <c r="D619" s="2" t="inlineStr">
        <is>
          <t>20/10/2027</t>
        </is>
      </c>
      <c r="E619" s="2" t="inlineStr">
        <is>
          <t>01/02/2029</t>
        </is>
      </c>
      <c r="F619" s="2" t="n">
        <v>180084.4664066094</v>
      </c>
      <c r="G619" s="2" t="n">
        <v>0</v>
      </c>
      <c r="H619" s="2" t="n">
        <v>180084.4664066094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0</v>
      </c>
      <c r="DB619" s="2" t="n">
        <v>0</v>
      </c>
      <c r="DC619" s="2" t="n">
        <v>0</v>
      </c>
      <c r="DD619" s="2" t="n">
        <v>0</v>
      </c>
      <c r="DE619" s="2" t="n">
        <v>0</v>
      </c>
      <c r="DF619" s="2" t="n">
        <v>0</v>
      </c>
      <c r="DG619" s="2" t="n">
        <v>0</v>
      </c>
      <c r="DH619" s="2" t="n">
        <v>0</v>
      </c>
      <c r="DI619" s="2" t="n">
        <v>0</v>
      </c>
      <c r="DJ619" s="2" t="n">
        <v>0</v>
      </c>
      <c r="DK619" s="2" t="n">
        <v>0</v>
      </c>
      <c r="DL619" s="2" t="n">
        <v>0</v>
      </c>
      <c r="DM619" s="2" t="n">
        <v>3.07</v>
      </c>
      <c r="DN619" s="2" t="n">
        <v>0</v>
      </c>
      <c r="DO619" s="2" t="n">
        <v>0</v>
      </c>
      <c r="DP619" s="2" t="n">
        <v>5.02</v>
      </c>
      <c r="DQ619" s="2" t="n">
        <v>0</v>
      </c>
      <c r="DR619" s="2" t="n">
        <v>0</v>
      </c>
      <c r="DS619" s="2" t="n">
        <v>8.369999999999999</v>
      </c>
      <c r="DT619" s="2" t="n">
        <v>2.23</v>
      </c>
      <c r="DU619" s="2" t="n">
        <v>0</v>
      </c>
      <c r="DV619" s="2" t="n">
        <v>10.05</v>
      </c>
      <c r="DW619" s="2" t="n">
        <v>5.02</v>
      </c>
      <c r="DX619" s="2" t="n">
        <v>0</v>
      </c>
      <c r="DY619" s="2" t="n">
        <v>13.06</v>
      </c>
      <c r="DZ619" s="2" t="n">
        <v>5.02</v>
      </c>
      <c r="EA619" s="2" t="n">
        <v>0</v>
      </c>
      <c r="EB619" s="2" t="n">
        <v>26.75</v>
      </c>
      <c r="EC619" s="2" t="n">
        <v>16.2</v>
      </c>
      <c r="ED619" s="2" t="n">
        <v>0</v>
      </c>
      <c r="EE619" s="2" t="n">
        <v>44.89</v>
      </c>
      <c r="EF619" s="2" t="n">
        <v>32.49</v>
      </c>
      <c r="EG619" s="2" t="n">
        <v>0</v>
      </c>
      <c r="EH619" s="2" t="n">
        <v>72.77</v>
      </c>
      <c r="EI619" s="2" t="n">
        <v>56.2</v>
      </c>
      <c r="EJ619" s="2" t="n">
        <v>0</v>
      </c>
      <c r="EK619" s="2" t="n">
        <v>78.06999999999999</v>
      </c>
      <c r="EL619" s="2" t="n">
        <v>59.55</v>
      </c>
      <c r="EM619" s="2" t="n">
        <v>0</v>
      </c>
      <c r="EN619" s="2" t="n">
        <v>86.44</v>
      </c>
      <c r="EO619" s="2" t="n">
        <v>62.62</v>
      </c>
      <c r="EP619" s="2" t="n">
        <v>0</v>
      </c>
      <c r="EQ619" s="2" t="n">
        <v>91.73999999999999</v>
      </c>
      <c r="ER619" s="2" t="n">
        <v>69.04000000000001</v>
      </c>
      <c r="ES619" s="2" t="n">
        <v>0</v>
      </c>
      <c r="ET619" s="2" t="n">
        <v>97.73</v>
      </c>
      <c r="EU619" s="2" t="n">
        <v>76.40000000000001</v>
      </c>
      <c r="EV619" s="2" t="n">
        <v>0</v>
      </c>
      <c r="EW619" s="2" t="n">
        <v>100</v>
      </c>
      <c r="EX619" s="2" t="n">
        <v>80.02</v>
      </c>
      <c r="EY619" s="2" t="n">
        <v>0</v>
      </c>
      <c r="EZ619" s="2" t="n">
        <v>100</v>
      </c>
      <c r="FA619" s="2" t="n">
        <v>83.37</v>
      </c>
      <c r="FB619" s="2" t="n">
        <v>0</v>
      </c>
      <c r="FC619" s="2" t="n">
        <v>100</v>
      </c>
      <c r="FD619" s="2" t="n">
        <v>87.56</v>
      </c>
      <c r="FE619" s="2" t="n">
        <v>0</v>
      </c>
      <c r="FF619" s="2" t="n">
        <v>100</v>
      </c>
      <c r="FG619" s="2" t="n">
        <v>90.06999999999999</v>
      </c>
      <c r="FH619" s="2" t="n">
        <v>0</v>
      </c>
      <c r="FI619" s="2" t="n">
        <v>100</v>
      </c>
      <c r="FJ619" s="2" t="n">
        <v>93.7</v>
      </c>
      <c r="FK619" s="2" t="n">
        <v>0</v>
      </c>
      <c r="FL619" s="2" t="n">
        <v>100</v>
      </c>
      <c r="FM619" s="2" t="n">
        <v>99.78</v>
      </c>
      <c r="FN619" s="2" t="n">
        <v>0</v>
      </c>
      <c r="FO619" s="2" t="n">
        <v>100</v>
      </c>
      <c r="FP619" s="2" t="n">
        <v>100</v>
      </c>
      <c r="FQ619" s="2" t="n">
        <v>0</v>
      </c>
    </row>
    <row r="620">
      <c r="A620" s="2" t="n">
        <v>4</v>
      </c>
      <c r="B620" s="2" t="inlineStr">
        <is>
          <t>27.01.05.01</t>
        </is>
      </c>
      <c r="C620" s="2" t="inlineStr">
        <is>
          <t>Reforço de varal</t>
        </is>
      </c>
      <c r="D620" s="2" t="inlineStr">
        <is>
          <t>20/10/2027</t>
        </is>
      </c>
      <c r="E620" s="2" t="inlineStr">
        <is>
          <t>01/02/2029</t>
        </is>
      </c>
      <c r="F620" s="2" t="n">
        <v>9200</v>
      </c>
      <c r="G620" s="2" t="n">
        <v>0</v>
      </c>
      <c r="H620" s="2" t="n">
        <v>9200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0</v>
      </c>
      <c r="DB620" s="2" t="n">
        <v>0</v>
      </c>
      <c r="DC620" s="2" t="n">
        <v>0</v>
      </c>
      <c r="DD620" s="2" t="n">
        <v>0</v>
      </c>
      <c r="DE620" s="2" t="n">
        <v>0</v>
      </c>
      <c r="DF620" s="2" t="n">
        <v>0</v>
      </c>
      <c r="DG620" s="2" t="n">
        <v>0</v>
      </c>
      <c r="DH620" s="2" t="n">
        <v>0</v>
      </c>
      <c r="DI620" s="2" t="n">
        <v>0</v>
      </c>
      <c r="DJ620" s="2" t="n">
        <v>0</v>
      </c>
      <c r="DK620" s="2" t="n">
        <v>0</v>
      </c>
      <c r="DL620" s="2" t="n">
        <v>0</v>
      </c>
      <c r="DM620" s="2" t="n">
        <v>3.07</v>
      </c>
      <c r="DN620" s="2" t="n">
        <v>0</v>
      </c>
      <c r="DO620" s="2" t="n">
        <v>0</v>
      </c>
      <c r="DP620" s="2" t="n">
        <v>5.02</v>
      </c>
      <c r="DQ620" s="2" t="n">
        <v>0</v>
      </c>
      <c r="DR620" s="2" t="n">
        <v>0</v>
      </c>
      <c r="DS620" s="2" t="n">
        <v>8.369999999999999</v>
      </c>
      <c r="DT620" s="2" t="n">
        <v>2.23</v>
      </c>
      <c r="DU620" s="2" t="n">
        <v>0</v>
      </c>
      <c r="DV620" s="2" t="n">
        <v>10.05</v>
      </c>
      <c r="DW620" s="2" t="n">
        <v>5.02</v>
      </c>
      <c r="DX620" s="2" t="n">
        <v>0</v>
      </c>
      <c r="DY620" s="2" t="n">
        <v>13.06</v>
      </c>
      <c r="DZ620" s="2" t="n">
        <v>5.02</v>
      </c>
      <c r="EA620" s="2" t="n">
        <v>0</v>
      </c>
      <c r="EB620" s="2" t="n">
        <v>26.75</v>
      </c>
      <c r="EC620" s="2" t="n">
        <v>16.2</v>
      </c>
      <c r="ED620" s="2" t="n">
        <v>0</v>
      </c>
      <c r="EE620" s="2" t="n">
        <v>44.89</v>
      </c>
      <c r="EF620" s="2" t="n">
        <v>32.49</v>
      </c>
      <c r="EG620" s="2" t="n">
        <v>0</v>
      </c>
      <c r="EH620" s="2" t="n">
        <v>72.77</v>
      </c>
      <c r="EI620" s="2" t="n">
        <v>56.2</v>
      </c>
      <c r="EJ620" s="2" t="n">
        <v>0</v>
      </c>
      <c r="EK620" s="2" t="n">
        <v>78.06999999999999</v>
      </c>
      <c r="EL620" s="2" t="n">
        <v>59.55</v>
      </c>
      <c r="EM620" s="2" t="n">
        <v>0</v>
      </c>
      <c r="EN620" s="2" t="n">
        <v>86.44</v>
      </c>
      <c r="EO620" s="2" t="n">
        <v>62.62</v>
      </c>
      <c r="EP620" s="2" t="n">
        <v>0</v>
      </c>
      <c r="EQ620" s="2" t="n">
        <v>91.73999999999999</v>
      </c>
      <c r="ER620" s="2" t="n">
        <v>69.04000000000001</v>
      </c>
      <c r="ES620" s="2" t="n">
        <v>0</v>
      </c>
      <c r="ET620" s="2" t="n">
        <v>97.73</v>
      </c>
      <c r="EU620" s="2" t="n">
        <v>76.40000000000001</v>
      </c>
      <c r="EV620" s="2" t="n">
        <v>0</v>
      </c>
      <c r="EW620" s="2" t="n">
        <v>100</v>
      </c>
      <c r="EX620" s="2" t="n">
        <v>80.02</v>
      </c>
      <c r="EY620" s="2" t="n">
        <v>0</v>
      </c>
      <c r="EZ620" s="2" t="n">
        <v>100</v>
      </c>
      <c r="FA620" s="2" t="n">
        <v>83.37</v>
      </c>
      <c r="FB620" s="2" t="n">
        <v>0</v>
      </c>
      <c r="FC620" s="2" t="n">
        <v>100</v>
      </c>
      <c r="FD620" s="2" t="n">
        <v>87.56</v>
      </c>
      <c r="FE620" s="2" t="n">
        <v>0</v>
      </c>
      <c r="FF620" s="2" t="n">
        <v>100</v>
      </c>
      <c r="FG620" s="2" t="n">
        <v>90.06999999999999</v>
      </c>
      <c r="FH620" s="2" t="n">
        <v>0</v>
      </c>
      <c r="FI620" s="2" t="n">
        <v>100</v>
      </c>
      <c r="FJ620" s="2" t="n">
        <v>93.7</v>
      </c>
      <c r="FK620" s="2" t="n">
        <v>0</v>
      </c>
      <c r="FL620" s="2" t="n">
        <v>100</v>
      </c>
      <c r="FM620" s="2" t="n">
        <v>99.78</v>
      </c>
      <c r="FN620" s="2" t="n">
        <v>0</v>
      </c>
      <c r="FO620" s="2" t="n">
        <v>100</v>
      </c>
      <c r="FP620" s="2" t="n">
        <v>100</v>
      </c>
      <c r="FQ620" s="2" t="n">
        <v>0</v>
      </c>
    </row>
    <row r="621">
      <c r="A621" s="2" t="n">
        <v>4</v>
      </c>
      <c r="B621" s="2" t="inlineStr">
        <is>
          <t>27.01.05.02</t>
        </is>
      </c>
      <c r="C621" s="2" t="inlineStr">
        <is>
          <t>Canaleta de drenagem com grelha de aço para estacionamento</t>
        </is>
      </c>
      <c r="D621" s="2" t="inlineStr">
        <is>
          <t>20/10/2027</t>
        </is>
      </c>
      <c r="E621" s="2" t="inlineStr">
        <is>
          <t>01/02/2029</t>
        </is>
      </c>
      <c r="F621" s="2" t="n">
        <v>170884.4664066094</v>
      </c>
      <c r="G621" s="2" t="n">
        <v>0</v>
      </c>
      <c r="H621" s="2" t="n">
        <v>170884.4664066094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0</v>
      </c>
      <c r="DB621" s="2" t="n">
        <v>0</v>
      </c>
      <c r="DC621" s="2" t="n">
        <v>0</v>
      </c>
      <c r="DD621" s="2" t="n">
        <v>0</v>
      </c>
      <c r="DE621" s="2" t="n">
        <v>0</v>
      </c>
      <c r="DF621" s="2" t="n">
        <v>0</v>
      </c>
      <c r="DG621" s="2" t="n">
        <v>0</v>
      </c>
      <c r="DH621" s="2" t="n">
        <v>0</v>
      </c>
      <c r="DI621" s="2" t="n">
        <v>0</v>
      </c>
      <c r="DJ621" s="2" t="n">
        <v>0</v>
      </c>
      <c r="DK621" s="2" t="n">
        <v>0</v>
      </c>
      <c r="DL621" s="2" t="n">
        <v>0</v>
      </c>
      <c r="DM621" s="2" t="n">
        <v>3.07</v>
      </c>
      <c r="DN621" s="2" t="n">
        <v>0</v>
      </c>
      <c r="DO621" s="2" t="n">
        <v>0</v>
      </c>
      <c r="DP621" s="2" t="n">
        <v>5.02</v>
      </c>
      <c r="DQ621" s="2" t="n">
        <v>0</v>
      </c>
      <c r="DR621" s="2" t="n">
        <v>0</v>
      </c>
      <c r="DS621" s="2" t="n">
        <v>8.369999999999999</v>
      </c>
      <c r="DT621" s="2" t="n">
        <v>2.23</v>
      </c>
      <c r="DU621" s="2" t="n">
        <v>0</v>
      </c>
      <c r="DV621" s="2" t="n">
        <v>10.05</v>
      </c>
      <c r="DW621" s="2" t="n">
        <v>5.02</v>
      </c>
      <c r="DX621" s="2" t="n">
        <v>0</v>
      </c>
      <c r="DY621" s="2" t="n">
        <v>13.06</v>
      </c>
      <c r="DZ621" s="2" t="n">
        <v>5.02</v>
      </c>
      <c r="EA621" s="2" t="n">
        <v>0</v>
      </c>
      <c r="EB621" s="2" t="n">
        <v>26.75</v>
      </c>
      <c r="EC621" s="2" t="n">
        <v>16.2</v>
      </c>
      <c r="ED621" s="2" t="n">
        <v>0</v>
      </c>
      <c r="EE621" s="2" t="n">
        <v>44.89</v>
      </c>
      <c r="EF621" s="2" t="n">
        <v>32.49</v>
      </c>
      <c r="EG621" s="2" t="n">
        <v>0</v>
      </c>
      <c r="EH621" s="2" t="n">
        <v>72.77</v>
      </c>
      <c r="EI621" s="2" t="n">
        <v>56.2</v>
      </c>
      <c r="EJ621" s="2" t="n">
        <v>0</v>
      </c>
      <c r="EK621" s="2" t="n">
        <v>78.06999999999999</v>
      </c>
      <c r="EL621" s="2" t="n">
        <v>59.55</v>
      </c>
      <c r="EM621" s="2" t="n">
        <v>0</v>
      </c>
      <c r="EN621" s="2" t="n">
        <v>86.44</v>
      </c>
      <c r="EO621" s="2" t="n">
        <v>62.62</v>
      </c>
      <c r="EP621" s="2" t="n">
        <v>0</v>
      </c>
      <c r="EQ621" s="2" t="n">
        <v>91.73999999999999</v>
      </c>
      <c r="ER621" s="2" t="n">
        <v>69.04000000000001</v>
      </c>
      <c r="ES621" s="2" t="n">
        <v>0</v>
      </c>
      <c r="ET621" s="2" t="n">
        <v>97.73</v>
      </c>
      <c r="EU621" s="2" t="n">
        <v>76.40000000000001</v>
      </c>
      <c r="EV621" s="2" t="n">
        <v>0</v>
      </c>
      <c r="EW621" s="2" t="n">
        <v>100</v>
      </c>
      <c r="EX621" s="2" t="n">
        <v>80.02</v>
      </c>
      <c r="EY621" s="2" t="n">
        <v>0</v>
      </c>
      <c r="EZ621" s="2" t="n">
        <v>100</v>
      </c>
      <c r="FA621" s="2" t="n">
        <v>83.37</v>
      </c>
      <c r="FB621" s="2" t="n">
        <v>0</v>
      </c>
      <c r="FC621" s="2" t="n">
        <v>100</v>
      </c>
      <c r="FD621" s="2" t="n">
        <v>87.56</v>
      </c>
      <c r="FE621" s="2" t="n">
        <v>0</v>
      </c>
      <c r="FF621" s="2" t="n">
        <v>100</v>
      </c>
      <c r="FG621" s="2" t="n">
        <v>90.06999999999999</v>
      </c>
      <c r="FH621" s="2" t="n">
        <v>0</v>
      </c>
      <c r="FI621" s="2" t="n">
        <v>100</v>
      </c>
      <c r="FJ621" s="2" t="n">
        <v>93.7</v>
      </c>
      <c r="FK621" s="2" t="n">
        <v>0</v>
      </c>
      <c r="FL621" s="2" t="n">
        <v>100</v>
      </c>
      <c r="FM621" s="2" t="n">
        <v>99.78</v>
      </c>
      <c r="FN621" s="2" t="n">
        <v>0</v>
      </c>
      <c r="FO621" s="2" t="n">
        <v>100</v>
      </c>
      <c r="FP621" s="2" t="n">
        <v>100</v>
      </c>
      <c r="FQ621" s="2" t="n">
        <v>0</v>
      </c>
    </row>
    <row r="622">
      <c r="A622" s="2" t="n">
        <v>1</v>
      </c>
      <c r="B622" s="2" t="inlineStr">
        <is>
          <t>28</t>
        </is>
      </c>
      <c r="C622" s="2" t="inlineStr">
        <is>
          <t>MARCENARIA</t>
        </is>
      </c>
      <c r="D622" s="2" t="inlineStr">
        <is>
          <t>05/07/2027</t>
        </is>
      </c>
      <c r="E622" s="2" t="inlineStr">
        <is>
          <t>19/09/2028</t>
        </is>
      </c>
      <c r="F622" s="2" t="n">
        <v>1728851.774059752</v>
      </c>
      <c r="G622" s="2" t="n">
        <v>0</v>
      </c>
      <c r="H622" s="2" t="n">
        <v>1728851.774059752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0</v>
      </c>
      <c r="DB622" s="2" t="n">
        <v>0</v>
      </c>
      <c r="DC622" s="2" t="n">
        <v>0</v>
      </c>
      <c r="DD622" s="2" t="n">
        <v>0</v>
      </c>
      <c r="DE622" s="2" t="n">
        <v>0</v>
      </c>
      <c r="DF622" s="2" t="n">
        <v>0</v>
      </c>
      <c r="DG622" s="2" t="n">
        <v>7.79</v>
      </c>
      <c r="DH622" s="2" t="n">
        <v>0</v>
      </c>
      <c r="DI622" s="2" t="n">
        <v>0</v>
      </c>
      <c r="DJ622" s="2" t="n">
        <v>8.609999999999999</v>
      </c>
      <c r="DK622" s="2" t="n">
        <v>4.92</v>
      </c>
      <c r="DL622" s="2" t="n">
        <v>0</v>
      </c>
      <c r="DM622" s="2" t="n">
        <v>19.03</v>
      </c>
      <c r="DN622" s="2" t="n">
        <v>10.83</v>
      </c>
      <c r="DO622" s="2" t="n">
        <v>0</v>
      </c>
      <c r="DP622" s="2" t="n">
        <v>22.48</v>
      </c>
      <c r="DQ622" s="2" t="n">
        <v>10.83</v>
      </c>
      <c r="DR622" s="2" t="n">
        <v>0</v>
      </c>
      <c r="DS622" s="2" t="n">
        <v>28.05</v>
      </c>
      <c r="DT622" s="2" t="n">
        <v>21.91</v>
      </c>
      <c r="DU622" s="2" t="n">
        <v>0</v>
      </c>
      <c r="DV622" s="2" t="n">
        <v>42.92</v>
      </c>
      <c r="DW622" s="2" t="n">
        <v>28.46</v>
      </c>
      <c r="DX622" s="2" t="n">
        <v>0</v>
      </c>
      <c r="DY622" s="2" t="n">
        <v>51.36</v>
      </c>
      <c r="DZ622" s="2" t="n">
        <v>36.48</v>
      </c>
      <c r="EA622" s="2" t="n">
        <v>0</v>
      </c>
      <c r="EB622" s="2" t="n">
        <v>66.52</v>
      </c>
      <c r="EC622" s="2" t="n">
        <v>44.68</v>
      </c>
      <c r="ED622" s="2" t="n">
        <v>0</v>
      </c>
      <c r="EE622" s="2" t="n">
        <v>74.31</v>
      </c>
      <c r="EF622" s="2" t="n">
        <v>50.82</v>
      </c>
      <c r="EG622" s="2" t="n">
        <v>0</v>
      </c>
      <c r="EH622" s="2" t="n">
        <v>87.83</v>
      </c>
      <c r="EI622" s="2" t="n">
        <v>62.42</v>
      </c>
      <c r="EJ622" s="2" t="n">
        <v>0</v>
      </c>
      <c r="EK622" s="2" t="n">
        <v>95.20999999999999</v>
      </c>
      <c r="EL622" s="2" t="n">
        <v>69.39</v>
      </c>
      <c r="EM622" s="2" t="n">
        <v>0</v>
      </c>
      <c r="EN622" s="2" t="n">
        <v>100</v>
      </c>
      <c r="EO622" s="2" t="n">
        <v>78.69</v>
      </c>
      <c r="EP622" s="2" t="n">
        <v>0</v>
      </c>
      <c r="EQ622" s="2" t="n">
        <v>100</v>
      </c>
      <c r="ER622" s="2" t="n">
        <v>83.61</v>
      </c>
      <c r="ES622" s="2" t="n">
        <v>0</v>
      </c>
      <c r="ET622" s="2" t="n">
        <v>100</v>
      </c>
      <c r="EU622" s="2" t="n">
        <v>89.75</v>
      </c>
      <c r="EV622" s="2" t="n">
        <v>0</v>
      </c>
      <c r="EW622" s="2" t="n">
        <v>100</v>
      </c>
      <c r="EX622" s="2" t="n">
        <v>95.90000000000001</v>
      </c>
      <c r="EY622" s="2" t="n">
        <v>0</v>
      </c>
      <c r="EZ622" s="2" t="n">
        <v>100</v>
      </c>
      <c r="FA622" s="2" t="n">
        <v>100</v>
      </c>
      <c r="FB622" s="2" t="n">
        <v>0</v>
      </c>
      <c r="FC622" s="2" t="n">
        <v>100</v>
      </c>
      <c r="FD622" s="2" t="n">
        <v>100</v>
      </c>
      <c r="FE622" s="2" t="n">
        <v>0</v>
      </c>
      <c r="FF622" s="2" t="n">
        <v>100</v>
      </c>
      <c r="FG622" s="2" t="n">
        <v>100</v>
      </c>
      <c r="FH622" s="2" t="n">
        <v>0</v>
      </c>
      <c r="FI622" s="2" t="n">
        <v>100</v>
      </c>
      <c r="FJ622" s="2" t="n">
        <v>100</v>
      </c>
      <c r="FK622" s="2" t="n">
        <v>0</v>
      </c>
      <c r="FL622" s="2" t="n">
        <v>100</v>
      </c>
      <c r="FM622" s="2" t="n">
        <v>100</v>
      </c>
      <c r="FN622" s="2" t="n">
        <v>0</v>
      </c>
      <c r="FO622" s="2" t="n">
        <v>100</v>
      </c>
      <c r="FP622" s="2" t="n">
        <v>100</v>
      </c>
      <c r="FQ622" s="2" t="n">
        <v>0</v>
      </c>
    </row>
    <row r="623">
      <c r="A623" s="2" t="n">
        <v>2</v>
      </c>
      <c r="B623" s="2" t="inlineStr">
        <is>
          <t>28.01</t>
        </is>
      </c>
      <c r="C623" s="2" t="inlineStr">
        <is>
          <t>Esquadrias de madeira</t>
        </is>
      </c>
      <c r="D623" s="2" t="inlineStr">
        <is>
          <t>05/07/2027</t>
        </is>
      </c>
      <c r="E623" s="2" t="inlineStr">
        <is>
          <t>19/09/2028</t>
        </is>
      </c>
      <c r="F623" s="2" t="n">
        <v>1475221.751659752</v>
      </c>
      <c r="G623" s="2" t="n">
        <v>0</v>
      </c>
      <c r="H623" s="2" t="n">
        <v>1475221.751659752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0</v>
      </c>
      <c r="DB623" s="2" t="n">
        <v>0</v>
      </c>
      <c r="DC623" s="2" t="n">
        <v>0</v>
      </c>
      <c r="DD623" s="2" t="n">
        <v>0</v>
      </c>
      <c r="DE623" s="2" t="n">
        <v>0</v>
      </c>
      <c r="DF623" s="2" t="n">
        <v>0</v>
      </c>
      <c r="DG623" s="2" t="n">
        <v>7.79</v>
      </c>
      <c r="DH623" s="2" t="n">
        <v>0</v>
      </c>
      <c r="DI623" s="2" t="n">
        <v>0</v>
      </c>
      <c r="DJ623" s="2" t="n">
        <v>8.609999999999999</v>
      </c>
      <c r="DK623" s="2" t="n">
        <v>4.92</v>
      </c>
      <c r="DL623" s="2" t="n">
        <v>0</v>
      </c>
      <c r="DM623" s="2" t="n">
        <v>19.03</v>
      </c>
      <c r="DN623" s="2" t="n">
        <v>10.83</v>
      </c>
      <c r="DO623" s="2" t="n">
        <v>0</v>
      </c>
      <c r="DP623" s="2" t="n">
        <v>22.48</v>
      </c>
      <c r="DQ623" s="2" t="n">
        <v>10.83</v>
      </c>
      <c r="DR623" s="2" t="n">
        <v>0</v>
      </c>
      <c r="DS623" s="2" t="n">
        <v>28.05</v>
      </c>
      <c r="DT623" s="2" t="n">
        <v>21.91</v>
      </c>
      <c r="DU623" s="2" t="n">
        <v>0</v>
      </c>
      <c r="DV623" s="2" t="n">
        <v>42.92</v>
      </c>
      <c r="DW623" s="2" t="n">
        <v>28.46</v>
      </c>
      <c r="DX623" s="2" t="n">
        <v>0</v>
      </c>
      <c r="DY623" s="2" t="n">
        <v>51.36</v>
      </c>
      <c r="DZ623" s="2" t="n">
        <v>36.48</v>
      </c>
      <c r="EA623" s="2" t="n">
        <v>0</v>
      </c>
      <c r="EB623" s="2" t="n">
        <v>66.52</v>
      </c>
      <c r="EC623" s="2" t="n">
        <v>44.68</v>
      </c>
      <c r="ED623" s="2" t="n">
        <v>0</v>
      </c>
      <c r="EE623" s="2" t="n">
        <v>74.31</v>
      </c>
      <c r="EF623" s="2" t="n">
        <v>50.82</v>
      </c>
      <c r="EG623" s="2" t="n">
        <v>0</v>
      </c>
      <c r="EH623" s="2" t="n">
        <v>87.83</v>
      </c>
      <c r="EI623" s="2" t="n">
        <v>62.42</v>
      </c>
      <c r="EJ623" s="2" t="n">
        <v>0</v>
      </c>
      <c r="EK623" s="2" t="n">
        <v>95.20999999999999</v>
      </c>
      <c r="EL623" s="2" t="n">
        <v>69.39</v>
      </c>
      <c r="EM623" s="2" t="n">
        <v>0</v>
      </c>
      <c r="EN623" s="2" t="n">
        <v>100</v>
      </c>
      <c r="EO623" s="2" t="n">
        <v>78.69</v>
      </c>
      <c r="EP623" s="2" t="n">
        <v>0</v>
      </c>
      <c r="EQ623" s="2" t="n">
        <v>100</v>
      </c>
      <c r="ER623" s="2" t="n">
        <v>83.61</v>
      </c>
      <c r="ES623" s="2" t="n">
        <v>0</v>
      </c>
      <c r="ET623" s="2" t="n">
        <v>100</v>
      </c>
      <c r="EU623" s="2" t="n">
        <v>89.75</v>
      </c>
      <c r="EV623" s="2" t="n">
        <v>0</v>
      </c>
      <c r="EW623" s="2" t="n">
        <v>100</v>
      </c>
      <c r="EX623" s="2" t="n">
        <v>95.90000000000001</v>
      </c>
      <c r="EY623" s="2" t="n">
        <v>0</v>
      </c>
      <c r="EZ623" s="2" t="n">
        <v>100</v>
      </c>
      <c r="FA623" s="2" t="n">
        <v>100</v>
      </c>
      <c r="FB623" s="2" t="n">
        <v>0</v>
      </c>
      <c r="FC623" s="2" t="n">
        <v>100</v>
      </c>
      <c r="FD623" s="2" t="n">
        <v>100</v>
      </c>
      <c r="FE623" s="2" t="n">
        <v>0</v>
      </c>
      <c r="FF623" s="2" t="n">
        <v>100</v>
      </c>
      <c r="FG623" s="2" t="n">
        <v>100</v>
      </c>
      <c r="FH623" s="2" t="n">
        <v>0</v>
      </c>
      <c r="FI623" s="2" t="n">
        <v>100</v>
      </c>
      <c r="FJ623" s="2" t="n">
        <v>100</v>
      </c>
      <c r="FK623" s="2" t="n">
        <v>0</v>
      </c>
      <c r="FL623" s="2" t="n">
        <v>100</v>
      </c>
      <c r="FM623" s="2" t="n">
        <v>100</v>
      </c>
      <c r="FN623" s="2" t="n">
        <v>0</v>
      </c>
      <c r="FO623" s="2" t="n">
        <v>100</v>
      </c>
      <c r="FP623" s="2" t="n">
        <v>100</v>
      </c>
      <c r="FQ623" s="2" t="n">
        <v>0</v>
      </c>
    </row>
    <row r="624">
      <c r="A624" s="2" t="n">
        <v>3</v>
      </c>
      <c r="B624" s="2" t="inlineStr">
        <is>
          <t>28.01.01</t>
        </is>
      </c>
      <c r="C624" s="2" t="inlineStr">
        <is>
          <t>Preenchimento Lateral</t>
        </is>
      </c>
      <c r="D624" s="2" t="inlineStr">
        <is>
          <t>05/07/2027</t>
        </is>
      </c>
      <c r="E624" s="2" t="inlineStr">
        <is>
          <t>19/09/2028</t>
        </is>
      </c>
      <c r="F624" s="2" t="n">
        <v>22281.59165975181</v>
      </c>
      <c r="G624" s="2" t="n">
        <v>0</v>
      </c>
      <c r="H624" s="2" t="n">
        <v>22281.59165975181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0</v>
      </c>
      <c r="CM624" s="2" t="n">
        <v>0</v>
      </c>
      <c r="CN624" s="2" t="n">
        <v>0</v>
      </c>
      <c r="CO624" s="2" t="n">
        <v>0</v>
      </c>
      <c r="CP624" s="2" t="n">
        <v>0</v>
      </c>
      <c r="CQ624" s="2" t="n">
        <v>0</v>
      </c>
      <c r="CR624" s="2" t="n">
        <v>0</v>
      </c>
      <c r="CS624" s="2" t="n">
        <v>0</v>
      </c>
      <c r="CT624" s="2" t="n">
        <v>0</v>
      </c>
      <c r="CU624" s="2" t="n">
        <v>0</v>
      </c>
      <c r="CV624" s="2" t="n">
        <v>0</v>
      </c>
      <c r="CW624" s="2" t="n">
        <v>0</v>
      </c>
      <c r="CX624" s="2" t="n">
        <v>0</v>
      </c>
      <c r="CY624" s="2" t="n">
        <v>0</v>
      </c>
      <c r="CZ624" s="2" t="n">
        <v>0</v>
      </c>
      <c r="DA624" s="2" t="n">
        <v>0</v>
      </c>
      <c r="DB624" s="2" t="n">
        <v>0</v>
      </c>
      <c r="DC624" s="2" t="n">
        <v>0</v>
      </c>
      <c r="DD624" s="2" t="n">
        <v>0</v>
      </c>
      <c r="DE624" s="2" t="n">
        <v>0</v>
      </c>
      <c r="DF624" s="2" t="n">
        <v>0</v>
      </c>
      <c r="DG624" s="2" t="n">
        <v>7.79</v>
      </c>
      <c r="DH624" s="2" t="n">
        <v>0</v>
      </c>
      <c r="DI624" s="2" t="n">
        <v>0</v>
      </c>
      <c r="DJ624" s="2" t="n">
        <v>8.609999999999999</v>
      </c>
      <c r="DK624" s="2" t="n">
        <v>4.92</v>
      </c>
      <c r="DL624" s="2" t="n">
        <v>0</v>
      </c>
      <c r="DM624" s="2" t="n">
        <v>19.03</v>
      </c>
      <c r="DN624" s="2" t="n">
        <v>10.83</v>
      </c>
      <c r="DO624" s="2" t="n">
        <v>0</v>
      </c>
      <c r="DP624" s="2" t="n">
        <v>22.48</v>
      </c>
      <c r="DQ624" s="2" t="n">
        <v>10.83</v>
      </c>
      <c r="DR624" s="2" t="n">
        <v>0</v>
      </c>
      <c r="DS624" s="2" t="n">
        <v>28.05</v>
      </c>
      <c r="DT624" s="2" t="n">
        <v>21.91</v>
      </c>
      <c r="DU624" s="2" t="n">
        <v>0</v>
      </c>
      <c r="DV624" s="2" t="n">
        <v>42.92</v>
      </c>
      <c r="DW624" s="2" t="n">
        <v>28.46</v>
      </c>
      <c r="DX624" s="2" t="n">
        <v>0</v>
      </c>
      <c r="DY624" s="2" t="n">
        <v>51.36</v>
      </c>
      <c r="DZ624" s="2" t="n">
        <v>36.48</v>
      </c>
      <c r="EA624" s="2" t="n">
        <v>0</v>
      </c>
      <c r="EB624" s="2" t="n">
        <v>66.52</v>
      </c>
      <c r="EC624" s="2" t="n">
        <v>44.68</v>
      </c>
      <c r="ED624" s="2" t="n">
        <v>0</v>
      </c>
      <c r="EE624" s="2" t="n">
        <v>74.31</v>
      </c>
      <c r="EF624" s="2" t="n">
        <v>50.82</v>
      </c>
      <c r="EG624" s="2" t="n">
        <v>0</v>
      </c>
      <c r="EH624" s="2" t="n">
        <v>87.83</v>
      </c>
      <c r="EI624" s="2" t="n">
        <v>62.42</v>
      </c>
      <c r="EJ624" s="2" t="n">
        <v>0</v>
      </c>
      <c r="EK624" s="2" t="n">
        <v>95.20999999999999</v>
      </c>
      <c r="EL624" s="2" t="n">
        <v>69.39</v>
      </c>
      <c r="EM624" s="2" t="n">
        <v>0</v>
      </c>
      <c r="EN624" s="2" t="n">
        <v>100</v>
      </c>
      <c r="EO624" s="2" t="n">
        <v>78.69</v>
      </c>
      <c r="EP624" s="2" t="n">
        <v>0</v>
      </c>
      <c r="EQ624" s="2" t="n">
        <v>100</v>
      </c>
      <c r="ER624" s="2" t="n">
        <v>83.61</v>
      </c>
      <c r="ES624" s="2" t="n">
        <v>0</v>
      </c>
      <c r="ET624" s="2" t="n">
        <v>100</v>
      </c>
      <c r="EU624" s="2" t="n">
        <v>89.75</v>
      </c>
      <c r="EV624" s="2" t="n">
        <v>0</v>
      </c>
      <c r="EW624" s="2" t="n">
        <v>100</v>
      </c>
      <c r="EX624" s="2" t="n">
        <v>95.90000000000001</v>
      </c>
      <c r="EY624" s="2" t="n">
        <v>0</v>
      </c>
      <c r="EZ624" s="2" t="n">
        <v>100</v>
      </c>
      <c r="FA624" s="2" t="n">
        <v>100</v>
      </c>
      <c r="FB624" s="2" t="n">
        <v>0</v>
      </c>
      <c r="FC624" s="2" t="n">
        <v>100</v>
      </c>
      <c r="FD624" s="2" t="n">
        <v>100</v>
      </c>
      <c r="FE624" s="2" t="n">
        <v>0</v>
      </c>
      <c r="FF624" s="2" t="n">
        <v>100</v>
      </c>
      <c r="FG624" s="2" t="n">
        <v>100</v>
      </c>
      <c r="FH624" s="2" t="n">
        <v>0</v>
      </c>
      <c r="FI624" s="2" t="n">
        <v>100</v>
      </c>
      <c r="FJ624" s="2" t="n">
        <v>100</v>
      </c>
      <c r="FK624" s="2" t="n">
        <v>0</v>
      </c>
      <c r="FL624" s="2" t="n">
        <v>100</v>
      </c>
      <c r="FM624" s="2" t="n">
        <v>100</v>
      </c>
      <c r="FN624" s="2" t="n">
        <v>0</v>
      </c>
      <c r="FO624" s="2" t="n">
        <v>100</v>
      </c>
      <c r="FP624" s="2" t="n">
        <v>100</v>
      </c>
      <c r="FQ624" s="2" t="n">
        <v>0</v>
      </c>
    </row>
    <row r="625">
      <c r="A625" s="2" t="n">
        <v>4</v>
      </c>
      <c r="B625" s="2" t="inlineStr">
        <is>
          <t>28.01.01.01</t>
        </is>
      </c>
      <c r="C625" s="2" t="inlineStr">
        <is>
          <t>Preenchimento lateral para portas com espuma expansiva de poliuretano</t>
        </is>
      </c>
      <c r="D625" s="2" t="inlineStr">
        <is>
          <t>05/07/2027</t>
        </is>
      </c>
      <c r="E625" s="2" t="inlineStr">
        <is>
          <t>19/09/2028</t>
        </is>
      </c>
      <c r="F625" s="2" t="n">
        <v>22281.59165975181</v>
      </c>
      <c r="G625" s="2" t="n">
        <v>0</v>
      </c>
      <c r="H625" s="2" t="n">
        <v>22281.59165975181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0</v>
      </c>
      <c r="CM625" s="2" t="n">
        <v>0</v>
      </c>
      <c r="CN625" s="2" t="n">
        <v>0</v>
      </c>
      <c r="CO625" s="2" t="n">
        <v>0</v>
      </c>
      <c r="CP625" s="2" t="n">
        <v>0</v>
      </c>
      <c r="CQ625" s="2" t="n">
        <v>0</v>
      </c>
      <c r="CR625" s="2" t="n">
        <v>0</v>
      </c>
      <c r="CS625" s="2" t="n">
        <v>0</v>
      </c>
      <c r="CT625" s="2" t="n">
        <v>0</v>
      </c>
      <c r="CU625" s="2" t="n">
        <v>0</v>
      </c>
      <c r="CV625" s="2" t="n">
        <v>0</v>
      </c>
      <c r="CW625" s="2" t="n">
        <v>0</v>
      </c>
      <c r="CX625" s="2" t="n">
        <v>0</v>
      </c>
      <c r="CY625" s="2" t="n">
        <v>0</v>
      </c>
      <c r="CZ625" s="2" t="n">
        <v>0</v>
      </c>
      <c r="DA625" s="2" t="n">
        <v>0</v>
      </c>
      <c r="DB625" s="2" t="n">
        <v>0</v>
      </c>
      <c r="DC625" s="2" t="n">
        <v>0</v>
      </c>
      <c r="DD625" s="2" t="n">
        <v>0</v>
      </c>
      <c r="DE625" s="2" t="n">
        <v>0</v>
      </c>
      <c r="DF625" s="2" t="n">
        <v>0</v>
      </c>
      <c r="DG625" s="2" t="n">
        <v>7.79</v>
      </c>
      <c r="DH625" s="2" t="n">
        <v>0</v>
      </c>
      <c r="DI625" s="2" t="n">
        <v>0</v>
      </c>
      <c r="DJ625" s="2" t="n">
        <v>8.609999999999999</v>
      </c>
      <c r="DK625" s="2" t="n">
        <v>4.92</v>
      </c>
      <c r="DL625" s="2" t="n">
        <v>0</v>
      </c>
      <c r="DM625" s="2" t="n">
        <v>19.03</v>
      </c>
      <c r="DN625" s="2" t="n">
        <v>10.83</v>
      </c>
      <c r="DO625" s="2" t="n">
        <v>0</v>
      </c>
      <c r="DP625" s="2" t="n">
        <v>22.48</v>
      </c>
      <c r="DQ625" s="2" t="n">
        <v>10.83</v>
      </c>
      <c r="DR625" s="2" t="n">
        <v>0</v>
      </c>
      <c r="DS625" s="2" t="n">
        <v>28.05</v>
      </c>
      <c r="DT625" s="2" t="n">
        <v>21.91</v>
      </c>
      <c r="DU625" s="2" t="n">
        <v>0</v>
      </c>
      <c r="DV625" s="2" t="n">
        <v>42.92</v>
      </c>
      <c r="DW625" s="2" t="n">
        <v>28.46</v>
      </c>
      <c r="DX625" s="2" t="n">
        <v>0</v>
      </c>
      <c r="DY625" s="2" t="n">
        <v>51.36</v>
      </c>
      <c r="DZ625" s="2" t="n">
        <v>36.48</v>
      </c>
      <c r="EA625" s="2" t="n">
        <v>0</v>
      </c>
      <c r="EB625" s="2" t="n">
        <v>66.52</v>
      </c>
      <c r="EC625" s="2" t="n">
        <v>44.68</v>
      </c>
      <c r="ED625" s="2" t="n">
        <v>0</v>
      </c>
      <c r="EE625" s="2" t="n">
        <v>74.31</v>
      </c>
      <c r="EF625" s="2" t="n">
        <v>50.82</v>
      </c>
      <c r="EG625" s="2" t="n">
        <v>0</v>
      </c>
      <c r="EH625" s="2" t="n">
        <v>87.83</v>
      </c>
      <c r="EI625" s="2" t="n">
        <v>62.42</v>
      </c>
      <c r="EJ625" s="2" t="n">
        <v>0</v>
      </c>
      <c r="EK625" s="2" t="n">
        <v>95.20999999999999</v>
      </c>
      <c r="EL625" s="2" t="n">
        <v>69.39</v>
      </c>
      <c r="EM625" s="2" t="n">
        <v>0</v>
      </c>
      <c r="EN625" s="2" t="n">
        <v>100</v>
      </c>
      <c r="EO625" s="2" t="n">
        <v>78.69</v>
      </c>
      <c r="EP625" s="2" t="n">
        <v>0</v>
      </c>
      <c r="EQ625" s="2" t="n">
        <v>100</v>
      </c>
      <c r="ER625" s="2" t="n">
        <v>83.61</v>
      </c>
      <c r="ES625" s="2" t="n">
        <v>0</v>
      </c>
      <c r="ET625" s="2" t="n">
        <v>100</v>
      </c>
      <c r="EU625" s="2" t="n">
        <v>89.75</v>
      </c>
      <c r="EV625" s="2" t="n">
        <v>0</v>
      </c>
      <c r="EW625" s="2" t="n">
        <v>100</v>
      </c>
      <c r="EX625" s="2" t="n">
        <v>95.90000000000001</v>
      </c>
      <c r="EY625" s="2" t="n">
        <v>0</v>
      </c>
      <c r="EZ625" s="2" t="n">
        <v>100</v>
      </c>
      <c r="FA625" s="2" t="n">
        <v>100</v>
      </c>
      <c r="FB625" s="2" t="n">
        <v>0</v>
      </c>
      <c r="FC625" s="2" t="n">
        <v>100</v>
      </c>
      <c r="FD625" s="2" t="n">
        <v>100</v>
      </c>
      <c r="FE625" s="2" t="n">
        <v>0</v>
      </c>
      <c r="FF625" s="2" t="n">
        <v>100</v>
      </c>
      <c r="FG625" s="2" t="n">
        <v>100</v>
      </c>
      <c r="FH625" s="2" t="n">
        <v>0</v>
      </c>
      <c r="FI625" s="2" t="n">
        <v>100</v>
      </c>
      <c r="FJ625" s="2" t="n">
        <v>100</v>
      </c>
      <c r="FK625" s="2" t="n">
        <v>0</v>
      </c>
      <c r="FL625" s="2" t="n">
        <v>100</v>
      </c>
      <c r="FM625" s="2" t="n">
        <v>100</v>
      </c>
      <c r="FN625" s="2" t="n">
        <v>0</v>
      </c>
      <c r="FO625" s="2" t="n">
        <v>100</v>
      </c>
      <c r="FP625" s="2" t="n">
        <v>100</v>
      </c>
      <c r="FQ625" s="2" t="n">
        <v>0</v>
      </c>
    </row>
    <row r="626">
      <c r="A626" s="2" t="n">
        <v>3</v>
      </c>
      <c r="B626" s="2" t="inlineStr">
        <is>
          <t>28.01.02</t>
        </is>
      </c>
      <c r="C626" s="2" t="inlineStr">
        <is>
          <t>Portas</t>
        </is>
      </c>
      <c r="D626" s="2" t="inlineStr">
        <is>
          <t>05/07/2027</t>
        </is>
      </c>
      <c r="E626" s="2" t="inlineStr">
        <is>
          <t>19/09/2028</t>
        </is>
      </c>
      <c r="F626" s="2" t="n">
        <v>54085.49999999999</v>
      </c>
      <c r="G626" s="2" t="n">
        <v>0</v>
      </c>
      <c r="H626" s="2" t="n">
        <v>54085.49999999999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0</v>
      </c>
      <c r="CM626" s="2" t="n">
        <v>0</v>
      </c>
      <c r="CN626" s="2" t="n">
        <v>0</v>
      </c>
      <c r="CO626" s="2" t="n">
        <v>0</v>
      </c>
      <c r="CP626" s="2" t="n">
        <v>0</v>
      </c>
      <c r="CQ626" s="2" t="n">
        <v>0</v>
      </c>
      <c r="CR626" s="2" t="n">
        <v>0</v>
      </c>
      <c r="CS626" s="2" t="n">
        <v>0</v>
      </c>
      <c r="CT626" s="2" t="n">
        <v>0</v>
      </c>
      <c r="CU626" s="2" t="n">
        <v>0</v>
      </c>
      <c r="CV626" s="2" t="n">
        <v>0</v>
      </c>
      <c r="CW626" s="2" t="n">
        <v>0</v>
      </c>
      <c r="CX626" s="2" t="n">
        <v>0</v>
      </c>
      <c r="CY626" s="2" t="n">
        <v>0</v>
      </c>
      <c r="CZ626" s="2" t="n">
        <v>0</v>
      </c>
      <c r="DA626" s="2" t="n">
        <v>0</v>
      </c>
      <c r="DB626" s="2" t="n">
        <v>0</v>
      </c>
      <c r="DC626" s="2" t="n">
        <v>0</v>
      </c>
      <c r="DD626" s="2" t="n">
        <v>0</v>
      </c>
      <c r="DE626" s="2" t="n">
        <v>0</v>
      </c>
      <c r="DF626" s="2" t="n">
        <v>0</v>
      </c>
      <c r="DG626" s="2" t="n">
        <v>7.79</v>
      </c>
      <c r="DH626" s="2" t="n">
        <v>0</v>
      </c>
      <c r="DI626" s="2" t="n">
        <v>0</v>
      </c>
      <c r="DJ626" s="2" t="n">
        <v>8.609999999999999</v>
      </c>
      <c r="DK626" s="2" t="n">
        <v>4.92</v>
      </c>
      <c r="DL626" s="2" t="n">
        <v>0</v>
      </c>
      <c r="DM626" s="2" t="n">
        <v>19.03</v>
      </c>
      <c r="DN626" s="2" t="n">
        <v>10.83</v>
      </c>
      <c r="DO626" s="2" t="n">
        <v>0</v>
      </c>
      <c r="DP626" s="2" t="n">
        <v>22.48</v>
      </c>
      <c r="DQ626" s="2" t="n">
        <v>10.83</v>
      </c>
      <c r="DR626" s="2" t="n">
        <v>0</v>
      </c>
      <c r="DS626" s="2" t="n">
        <v>28.05</v>
      </c>
      <c r="DT626" s="2" t="n">
        <v>21.91</v>
      </c>
      <c r="DU626" s="2" t="n">
        <v>0</v>
      </c>
      <c r="DV626" s="2" t="n">
        <v>42.92</v>
      </c>
      <c r="DW626" s="2" t="n">
        <v>28.46</v>
      </c>
      <c r="DX626" s="2" t="n">
        <v>0</v>
      </c>
      <c r="DY626" s="2" t="n">
        <v>51.36</v>
      </c>
      <c r="DZ626" s="2" t="n">
        <v>36.48</v>
      </c>
      <c r="EA626" s="2" t="n">
        <v>0</v>
      </c>
      <c r="EB626" s="2" t="n">
        <v>66.52</v>
      </c>
      <c r="EC626" s="2" t="n">
        <v>44.68</v>
      </c>
      <c r="ED626" s="2" t="n">
        <v>0</v>
      </c>
      <c r="EE626" s="2" t="n">
        <v>74.31</v>
      </c>
      <c r="EF626" s="2" t="n">
        <v>50.82</v>
      </c>
      <c r="EG626" s="2" t="n">
        <v>0</v>
      </c>
      <c r="EH626" s="2" t="n">
        <v>87.83</v>
      </c>
      <c r="EI626" s="2" t="n">
        <v>62.42</v>
      </c>
      <c r="EJ626" s="2" t="n">
        <v>0</v>
      </c>
      <c r="EK626" s="2" t="n">
        <v>95.20999999999999</v>
      </c>
      <c r="EL626" s="2" t="n">
        <v>69.39</v>
      </c>
      <c r="EM626" s="2" t="n">
        <v>0</v>
      </c>
      <c r="EN626" s="2" t="n">
        <v>100</v>
      </c>
      <c r="EO626" s="2" t="n">
        <v>78.69</v>
      </c>
      <c r="EP626" s="2" t="n">
        <v>0</v>
      </c>
      <c r="EQ626" s="2" t="n">
        <v>100</v>
      </c>
      <c r="ER626" s="2" t="n">
        <v>83.61</v>
      </c>
      <c r="ES626" s="2" t="n">
        <v>0</v>
      </c>
      <c r="ET626" s="2" t="n">
        <v>100</v>
      </c>
      <c r="EU626" s="2" t="n">
        <v>89.75</v>
      </c>
      <c r="EV626" s="2" t="n">
        <v>0</v>
      </c>
      <c r="EW626" s="2" t="n">
        <v>100</v>
      </c>
      <c r="EX626" s="2" t="n">
        <v>95.90000000000001</v>
      </c>
      <c r="EY626" s="2" t="n">
        <v>0</v>
      </c>
      <c r="EZ626" s="2" t="n">
        <v>100</v>
      </c>
      <c r="FA626" s="2" t="n">
        <v>100</v>
      </c>
      <c r="FB626" s="2" t="n">
        <v>0</v>
      </c>
      <c r="FC626" s="2" t="n">
        <v>100</v>
      </c>
      <c r="FD626" s="2" t="n">
        <v>100</v>
      </c>
      <c r="FE626" s="2" t="n">
        <v>0</v>
      </c>
      <c r="FF626" s="2" t="n">
        <v>100</v>
      </c>
      <c r="FG626" s="2" t="n">
        <v>100</v>
      </c>
      <c r="FH626" s="2" t="n">
        <v>0</v>
      </c>
      <c r="FI626" s="2" t="n">
        <v>100</v>
      </c>
      <c r="FJ626" s="2" t="n">
        <v>100</v>
      </c>
      <c r="FK626" s="2" t="n">
        <v>0</v>
      </c>
      <c r="FL626" s="2" t="n">
        <v>100</v>
      </c>
      <c r="FM626" s="2" t="n">
        <v>100</v>
      </c>
      <c r="FN626" s="2" t="n">
        <v>0</v>
      </c>
      <c r="FO626" s="2" t="n">
        <v>100</v>
      </c>
      <c r="FP626" s="2" t="n">
        <v>100</v>
      </c>
      <c r="FQ626" s="2" t="n">
        <v>0</v>
      </c>
    </row>
    <row r="627">
      <c r="A627" s="2" t="n">
        <v>4</v>
      </c>
      <c r="B627" s="2" t="inlineStr">
        <is>
          <t>28.01.02.01</t>
        </is>
      </c>
      <c r="C627" s="2" t="inlineStr">
        <is>
          <t>P - Porta pivotante em MDF com acabamento em pintura acrílica fosca. Tom a definir, 62x210cm</t>
        </is>
      </c>
      <c r="D627" s="2" t="inlineStr">
        <is>
          <t>05/07/2027</t>
        </is>
      </c>
      <c r="E627" s="2" t="inlineStr">
        <is>
          <t>19/09/2028</t>
        </is>
      </c>
      <c r="F627" s="2" t="n">
        <v>3605.7</v>
      </c>
      <c r="G627" s="2" t="n">
        <v>0</v>
      </c>
      <c r="H627" s="2" t="n">
        <v>3605.7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0</v>
      </c>
      <c r="CM627" s="2" t="n">
        <v>0</v>
      </c>
      <c r="CN627" s="2" t="n">
        <v>0</v>
      </c>
      <c r="CO627" s="2" t="n">
        <v>0</v>
      </c>
      <c r="CP627" s="2" t="n">
        <v>0</v>
      </c>
      <c r="CQ627" s="2" t="n">
        <v>0</v>
      </c>
      <c r="CR627" s="2" t="n">
        <v>0</v>
      </c>
      <c r="CS627" s="2" t="n">
        <v>0</v>
      </c>
      <c r="CT627" s="2" t="n">
        <v>0</v>
      </c>
      <c r="CU627" s="2" t="n">
        <v>0</v>
      </c>
      <c r="CV627" s="2" t="n">
        <v>0</v>
      </c>
      <c r="CW627" s="2" t="n">
        <v>0</v>
      </c>
      <c r="CX627" s="2" t="n">
        <v>0</v>
      </c>
      <c r="CY627" s="2" t="n">
        <v>0</v>
      </c>
      <c r="CZ627" s="2" t="n">
        <v>0</v>
      </c>
      <c r="DA627" s="2" t="n">
        <v>0</v>
      </c>
      <c r="DB627" s="2" t="n">
        <v>0</v>
      </c>
      <c r="DC627" s="2" t="n">
        <v>0</v>
      </c>
      <c r="DD627" s="2" t="n">
        <v>0</v>
      </c>
      <c r="DE627" s="2" t="n">
        <v>0</v>
      </c>
      <c r="DF627" s="2" t="n">
        <v>0</v>
      </c>
      <c r="DG627" s="2" t="n">
        <v>7.79</v>
      </c>
      <c r="DH627" s="2" t="n">
        <v>0</v>
      </c>
      <c r="DI627" s="2" t="n">
        <v>0</v>
      </c>
      <c r="DJ627" s="2" t="n">
        <v>8.609999999999999</v>
      </c>
      <c r="DK627" s="2" t="n">
        <v>4.92</v>
      </c>
      <c r="DL627" s="2" t="n">
        <v>0</v>
      </c>
      <c r="DM627" s="2" t="n">
        <v>19.03</v>
      </c>
      <c r="DN627" s="2" t="n">
        <v>10.83</v>
      </c>
      <c r="DO627" s="2" t="n">
        <v>0</v>
      </c>
      <c r="DP627" s="2" t="n">
        <v>22.48</v>
      </c>
      <c r="DQ627" s="2" t="n">
        <v>10.83</v>
      </c>
      <c r="DR627" s="2" t="n">
        <v>0</v>
      </c>
      <c r="DS627" s="2" t="n">
        <v>28.05</v>
      </c>
      <c r="DT627" s="2" t="n">
        <v>21.91</v>
      </c>
      <c r="DU627" s="2" t="n">
        <v>0</v>
      </c>
      <c r="DV627" s="2" t="n">
        <v>42.92</v>
      </c>
      <c r="DW627" s="2" t="n">
        <v>28.46</v>
      </c>
      <c r="DX627" s="2" t="n">
        <v>0</v>
      </c>
      <c r="DY627" s="2" t="n">
        <v>51.36</v>
      </c>
      <c r="DZ627" s="2" t="n">
        <v>36.48</v>
      </c>
      <c r="EA627" s="2" t="n">
        <v>0</v>
      </c>
      <c r="EB627" s="2" t="n">
        <v>66.52</v>
      </c>
      <c r="EC627" s="2" t="n">
        <v>44.68</v>
      </c>
      <c r="ED627" s="2" t="n">
        <v>0</v>
      </c>
      <c r="EE627" s="2" t="n">
        <v>74.31</v>
      </c>
      <c r="EF627" s="2" t="n">
        <v>50.82</v>
      </c>
      <c r="EG627" s="2" t="n">
        <v>0</v>
      </c>
      <c r="EH627" s="2" t="n">
        <v>87.83</v>
      </c>
      <c r="EI627" s="2" t="n">
        <v>62.42</v>
      </c>
      <c r="EJ627" s="2" t="n">
        <v>0</v>
      </c>
      <c r="EK627" s="2" t="n">
        <v>95.20999999999999</v>
      </c>
      <c r="EL627" s="2" t="n">
        <v>69.39</v>
      </c>
      <c r="EM627" s="2" t="n">
        <v>0</v>
      </c>
      <c r="EN627" s="2" t="n">
        <v>100</v>
      </c>
      <c r="EO627" s="2" t="n">
        <v>78.69</v>
      </c>
      <c r="EP627" s="2" t="n">
        <v>0</v>
      </c>
      <c r="EQ627" s="2" t="n">
        <v>100</v>
      </c>
      <c r="ER627" s="2" t="n">
        <v>83.61</v>
      </c>
      <c r="ES627" s="2" t="n">
        <v>0</v>
      </c>
      <c r="ET627" s="2" t="n">
        <v>100</v>
      </c>
      <c r="EU627" s="2" t="n">
        <v>89.75</v>
      </c>
      <c r="EV627" s="2" t="n">
        <v>0</v>
      </c>
      <c r="EW627" s="2" t="n">
        <v>100</v>
      </c>
      <c r="EX627" s="2" t="n">
        <v>95.90000000000001</v>
      </c>
      <c r="EY627" s="2" t="n">
        <v>0</v>
      </c>
      <c r="EZ627" s="2" t="n">
        <v>100</v>
      </c>
      <c r="FA627" s="2" t="n">
        <v>100</v>
      </c>
      <c r="FB627" s="2" t="n">
        <v>0</v>
      </c>
      <c r="FC627" s="2" t="n">
        <v>100</v>
      </c>
      <c r="FD627" s="2" t="n">
        <v>100</v>
      </c>
      <c r="FE627" s="2" t="n">
        <v>0</v>
      </c>
      <c r="FF627" s="2" t="n">
        <v>100</v>
      </c>
      <c r="FG627" s="2" t="n">
        <v>100</v>
      </c>
      <c r="FH627" s="2" t="n">
        <v>0</v>
      </c>
      <c r="FI627" s="2" t="n">
        <v>100</v>
      </c>
      <c r="FJ627" s="2" t="n">
        <v>100</v>
      </c>
      <c r="FK627" s="2" t="n">
        <v>0</v>
      </c>
      <c r="FL627" s="2" t="n">
        <v>100</v>
      </c>
      <c r="FM627" s="2" t="n">
        <v>100</v>
      </c>
      <c r="FN627" s="2" t="n">
        <v>0</v>
      </c>
      <c r="FO627" s="2" t="n">
        <v>100</v>
      </c>
      <c r="FP627" s="2" t="n">
        <v>100</v>
      </c>
      <c r="FQ627" s="2" t="n">
        <v>0</v>
      </c>
    </row>
    <row r="628">
      <c r="A628" s="2" t="n">
        <v>4</v>
      </c>
      <c r="B628" s="2" t="inlineStr">
        <is>
          <t>28.01.02.02</t>
        </is>
      </c>
      <c r="C628" s="2" t="inlineStr">
        <is>
          <t>P - Porta pivotante em MDF com acabamento em pintura acrílica fosca. Tom a definir, 67x210cm</t>
        </is>
      </c>
      <c r="D628" s="2" t="inlineStr">
        <is>
          <t>05/07/2027</t>
        </is>
      </c>
      <c r="E628" s="2" t="inlineStr">
        <is>
          <t>19/09/2028</t>
        </is>
      </c>
      <c r="F628" s="2" t="n">
        <v>7211.4</v>
      </c>
      <c r="G628" s="2" t="n">
        <v>0</v>
      </c>
      <c r="H628" s="2" t="n">
        <v>7211.4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0</v>
      </c>
      <c r="CM628" s="2" t="n">
        <v>0</v>
      </c>
      <c r="CN628" s="2" t="n">
        <v>0</v>
      </c>
      <c r="CO628" s="2" t="n">
        <v>0</v>
      </c>
      <c r="CP628" s="2" t="n">
        <v>0</v>
      </c>
      <c r="CQ628" s="2" t="n">
        <v>0</v>
      </c>
      <c r="CR628" s="2" t="n">
        <v>0</v>
      </c>
      <c r="CS628" s="2" t="n">
        <v>0</v>
      </c>
      <c r="CT628" s="2" t="n">
        <v>0</v>
      </c>
      <c r="CU628" s="2" t="n">
        <v>0</v>
      </c>
      <c r="CV628" s="2" t="n">
        <v>0</v>
      </c>
      <c r="CW628" s="2" t="n">
        <v>0</v>
      </c>
      <c r="CX628" s="2" t="n">
        <v>0</v>
      </c>
      <c r="CY628" s="2" t="n">
        <v>0</v>
      </c>
      <c r="CZ628" s="2" t="n">
        <v>0</v>
      </c>
      <c r="DA628" s="2" t="n">
        <v>0</v>
      </c>
      <c r="DB628" s="2" t="n">
        <v>0</v>
      </c>
      <c r="DC628" s="2" t="n">
        <v>0</v>
      </c>
      <c r="DD628" s="2" t="n">
        <v>0</v>
      </c>
      <c r="DE628" s="2" t="n">
        <v>0</v>
      </c>
      <c r="DF628" s="2" t="n">
        <v>0</v>
      </c>
      <c r="DG628" s="2" t="n">
        <v>7.79</v>
      </c>
      <c r="DH628" s="2" t="n">
        <v>0</v>
      </c>
      <c r="DI628" s="2" t="n">
        <v>0</v>
      </c>
      <c r="DJ628" s="2" t="n">
        <v>8.609999999999999</v>
      </c>
      <c r="DK628" s="2" t="n">
        <v>4.92</v>
      </c>
      <c r="DL628" s="2" t="n">
        <v>0</v>
      </c>
      <c r="DM628" s="2" t="n">
        <v>19.03</v>
      </c>
      <c r="DN628" s="2" t="n">
        <v>10.83</v>
      </c>
      <c r="DO628" s="2" t="n">
        <v>0</v>
      </c>
      <c r="DP628" s="2" t="n">
        <v>22.48</v>
      </c>
      <c r="DQ628" s="2" t="n">
        <v>10.83</v>
      </c>
      <c r="DR628" s="2" t="n">
        <v>0</v>
      </c>
      <c r="DS628" s="2" t="n">
        <v>28.05</v>
      </c>
      <c r="DT628" s="2" t="n">
        <v>21.91</v>
      </c>
      <c r="DU628" s="2" t="n">
        <v>0</v>
      </c>
      <c r="DV628" s="2" t="n">
        <v>42.92</v>
      </c>
      <c r="DW628" s="2" t="n">
        <v>28.46</v>
      </c>
      <c r="DX628" s="2" t="n">
        <v>0</v>
      </c>
      <c r="DY628" s="2" t="n">
        <v>51.36</v>
      </c>
      <c r="DZ628" s="2" t="n">
        <v>36.48</v>
      </c>
      <c r="EA628" s="2" t="n">
        <v>0</v>
      </c>
      <c r="EB628" s="2" t="n">
        <v>66.52</v>
      </c>
      <c r="EC628" s="2" t="n">
        <v>44.68</v>
      </c>
      <c r="ED628" s="2" t="n">
        <v>0</v>
      </c>
      <c r="EE628" s="2" t="n">
        <v>74.31</v>
      </c>
      <c r="EF628" s="2" t="n">
        <v>50.82</v>
      </c>
      <c r="EG628" s="2" t="n">
        <v>0</v>
      </c>
      <c r="EH628" s="2" t="n">
        <v>87.83</v>
      </c>
      <c r="EI628" s="2" t="n">
        <v>62.42</v>
      </c>
      <c r="EJ628" s="2" t="n">
        <v>0</v>
      </c>
      <c r="EK628" s="2" t="n">
        <v>95.20999999999999</v>
      </c>
      <c r="EL628" s="2" t="n">
        <v>69.39</v>
      </c>
      <c r="EM628" s="2" t="n">
        <v>0</v>
      </c>
      <c r="EN628" s="2" t="n">
        <v>100</v>
      </c>
      <c r="EO628" s="2" t="n">
        <v>78.69</v>
      </c>
      <c r="EP628" s="2" t="n">
        <v>0</v>
      </c>
      <c r="EQ628" s="2" t="n">
        <v>100</v>
      </c>
      <c r="ER628" s="2" t="n">
        <v>83.61</v>
      </c>
      <c r="ES628" s="2" t="n">
        <v>0</v>
      </c>
      <c r="ET628" s="2" t="n">
        <v>100</v>
      </c>
      <c r="EU628" s="2" t="n">
        <v>89.75</v>
      </c>
      <c r="EV628" s="2" t="n">
        <v>0</v>
      </c>
      <c r="EW628" s="2" t="n">
        <v>100</v>
      </c>
      <c r="EX628" s="2" t="n">
        <v>95.90000000000001</v>
      </c>
      <c r="EY628" s="2" t="n">
        <v>0</v>
      </c>
      <c r="EZ628" s="2" t="n">
        <v>100</v>
      </c>
      <c r="FA628" s="2" t="n">
        <v>100</v>
      </c>
      <c r="FB628" s="2" t="n">
        <v>0</v>
      </c>
      <c r="FC628" s="2" t="n">
        <v>100</v>
      </c>
      <c r="FD628" s="2" t="n">
        <v>100</v>
      </c>
      <c r="FE628" s="2" t="n">
        <v>0</v>
      </c>
      <c r="FF628" s="2" t="n">
        <v>100</v>
      </c>
      <c r="FG628" s="2" t="n">
        <v>100</v>
      </c>
      <c r="FH628" s="2" t="n">
        <v>0</v>
      </c>
      <c r="FI628" s="2" t="n">
        <v>100</v>
      </c>
      <c r="FJ628" s="2" t="n">
        <v>100</v>
      </c>
      <c r="FK628" s="2" t="n">
        <v>0</v>
      </c>
      <c r="FL628" s="2" t="n">
        <v>100</v>
      </c>
      <c r="FM628" s="2" t="n">
        <v>100</v>
      </c>
      <c r="FN628" s="2" t="n">
        <v>0</v>
      </c>
      <c r="FO628" s="2" t="n">
        <v>100</v>
      </c>
      <c r="FP628" s="2" t="n">
        <v>100</v>
      </c>
      <c r="FQ628" s="2" t="n">
        <v>0</v>
      </c>
    </row>
    <row r="629">
      <c r="A629" s="2" t="n">
        <v>4</v>
      </c>
      <c r="B629" s="2" t="inlineStr">
        <is>
          <t>28.01.02.03</t>
        </is>
      </c>
      <c r="C629" s="2" t="inlineStr">
        <is>
          <t>P - Porta pivotante em MDF com acabamento em pintura acrílica fosca. Tom a definir, 92x210cm</t>
        </is>
      </c>
      <c r="D629" s="2" t="inlineStr">
        <is>
          <t>05/07/2027</t>
        </is>
      </c>
      <c r="E629" s="2" t="inlineStr">
        <is>
          <t>19/09/2028</t>
        </is>
      </c>
      <c r="F629" s="2" t="n">
        <v>21634.2</v>
      </c>
      <c r="G629" s="2" t="n">
        <v>0</v>
      </c>
      <c r="H629" s="2" t="n">
        <v>21634.2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0</v>
      </c>
      <c r="CM629" s="2" t="n">
        <v>0</v>
      </c>
      <c r="CN629" s="2" t="n">
        <v>0</v>
      </c>
      <c r="CO629" s="2" t="n">
        <v>0</v>
      </c>
      <c r="CP629" s="2" t="n">
        <v>0</v>
      </c>
      <c r="CQ629" s="2" t="n">
        <v>0</v>
      </c>
      <c r="CR629" s="2" t="n">
        <v>0</v>
      </c>
      <c r="CS629" s="2" t="n">
        <v>0</v>
      </c>
      <c r="CT629" s="2" t="n">
        <v>0</v>
      </c>
      <c r="CU629" s="2" t="n">
        <v>0</v>
      </c>
      <c r="CV629" s="2" t="n">
        <v>0</v>
      </c>
      <c r="CW629" s="2" t="n">
        <v>0</v>
      </c>
      <c r="CX629" s="2" t="n">
        <v>0</v>
      </c>
      <c r="CY629" s="2" t="n">
        <v>0</v>
      </c>
      <c r="CZ629" s="2" t="n">
        <v>0</v>
      </c>
      <c r="DA629" s="2" t="n">
        <v>0</v>
      </c>
      <c r="DB629" s="2" t="n">
        <v>0</v>
      </c>
      <c r="DC629" s="2" t="n">
        <v>0</v>
      </c>
      <c r="DD629" s="2" t="n">
        <v>0</v>
      </c>
      <c r="DE629" s="2" t="n">
        <v>0</v>
      </c>
      <c r="DF629" s="2" t="n">
        <v>0</v>
      </c>
      <c r="DG629" s="2" t="n">
        <v>7.79</v>
      </c>
      <c r="DH629" s="2" t="n">
        <v>0</v>
      </c>
      <c r="DI629" s="2" t="n">
        <v>0</v>
      </c>
      <c r="DJ629" s="2" t="n">
        <v>8.609999999999999</v>
      </c>
      <c r="DK629" s="2" t="n">
        <v>4.92</v>
      </c>
      <c r="DL629" s="2" t="n">
        <v>0</v>
      </c>
      <c r="DM629" s="2" t="n">
        <v>19.03</v>
      </c>
      <c r="DN629" s="2" t="n">
        <v>10.83</v>
      </c>
      <c r="DO629" s="2" t="n">
        <v>0</v>
      </c>
      <c r="DP629" s="2" t="n">
        <v>22.48</v>
      </c>
      <c r="DQ629" s="2" t="n">
        <v>10.83</v>
      </c>
      <c r="DR629" s="2" t="n">
        <v>0</v>
      </c>
      <c r="DS629" s="2" t="n">
        <v>28.05</v>
      </c>
      <c r="DT629" s="2" t="n">
        <v>21.91</v>
      </c>
      <c r="DU629" s="2" t="n">
        <v>0</v>
      </c>
      <c r="DV629" s="2" t="n">
        <v>42.92</v>
      </c>
      <c r="DW629" s="2" t="n">
        <v>28.46</v>
      </c>
      <c r="DX629" s="2" t="n">
        <v>0</v>
      </c>
      <c r="DY629" s="2" t="n">
        <v>51.36</v>
      </c>
      <c r="DZ629" s="2" t="n">
        <v>36.48</v>
      </c>
      <c r="EA629" s="2" t="n">
        <v>0</v>
      </c>
      <c r="EB629" s="2" t="n">
        <v>66.52</v>
      </c>
      <c r="EC629" s="2" t="n">
        <v>44.68</v>
      </c>
      <c r="ED629" s="2" t="n">
        <v>0</v>
      </c>
      <c r="EE629" s="2" t="n">
        <v>74.31</v>
      </c>
      <c r="EF629" s="2" t="n">
        <v>50.82</v>
      </c>
      <c r="EG629" s="2" t="n">
        <v>0</v>
      </c>
      <c r="EH629" s="2" t="n">
        <v>87.83</v>
      </c>
      <c r="EI629" s="2" t="n">
        <v>62.42</v>
      </c>
      <c r="EJ629" s="2" t="n">
        <v>0</v>
      </c>
      <c r="EK629" s="2" t="n">
        <v>95.20999999999999</v>
      </c>
      <c r="EL629" s="2" t="n">
        <v>69.39</v>
      </c>
      <c r="EM629" s="2" t="n">
        <v>0</v>
      </c>
      <c r="EN629" s="2" t="n">
        <v>100</v>
      </c>
      <c r="EO629" s="2" t="n">
        <v>78.69</v>
      </c>
      <c r="EP629" s="2" t="n">
        <v>0</v>
      </c>
      <c r="EQ629" s="2" t="n">
        <v>100</v>
      </c>
      <c r="ER629" s="2" t="n">
        <v>83.61</v>
      </c>
      <c r="ES629" s="2" t="n">
        <v>0</v>
      </c>
      <c r="ET629" s="2" t="n">
        <v>100</v>
      </c>
      <c r="EU629" s="2" t="n">
        <v>89.75</v>
      </c>
      <c r="EV629" s="2" t="n">
        <v>0</v>
      </c>
      <c r="EW629" s="2" t="n">
        <v>100</v>
      </c>
      <c r="EX629" s="2" t="n">
        <v>95.90000000000001</v>
      </c>
      <c r="EY629" s="2" t="n">
        <v>0</v>
      </c>
      <c r="EZ629" s="2" t="n">
        <v>100</v>
      </c>
      <c r="FA629" s="2" t="n">
        <v>100</v>
      </c>
      <c r="FB629" s="2" t="n">
        <v>0</v>
      </c>
      <c r="FC629" s="2" t="n">
        <v>100</v>
      </c>
      <c r="FD629" s="2" t="n">
        <v>100</v>
      </c>
      <c r="FE629" s="2" t="n">
        <v>0</v>
      </c>
      <c r="FF629" s="2" t="n">
        <v>100</v>
      </c>
      <c r="FG629" s="2" t="n">
        <v>100</v>
      </c>
      <c r="FH629" s="2" t="n">
        <v>0</v>
      </c>
      <c r="FI629" s="2" t="n">
        <v>100</v>
      </c>
      <c r="FJ629" s="2" t="n">
        <v>100</v>
      </c>
      <c r="FK629" s="2" t="n">
        <v>0</v>
      </c>
      <c r="FL629" s="2" t="n">
        <v>100</v>
      </c>
      <c r="FM629" s="2" t="n">
        <v>100</v>
      </c>
      <c r="FN629" s="2" t="n">
        <v>0</v>
      </c>
      <c r="FO629" s="2" t="n">
        <v>100</v>
      </c>
      <c r="FP629" s="2" t="n">
        <v>100</v>
      </c>
      <c r="FQ629" s="2" t="n">
        <v>0</v>
      </c>
    </row>
    <row r="630">
      <c r="A630" s="2" t="n">
        <v>4</v>
      </c>
      <c r="B630" s="2" t="inlineStr">
        <is>
          <t>28.01.02.04</t>
        </is>
      </c>
      <c r="C630" s="2" t="inlineStr">
        <is>
          <t>P - Porta pivotante em MDF com acabamento em pintura acrílica fosca. Tom a definir, 82x210cm</t>
        </is>
      </c>
      <c r="D630" s="2" t="inlineStr">
        <is>
          <t>05/07/2027</t>
        </is>
      </c>
      <c r="E630" s="2" t="inlineStr">
        <is>
          <t>19/09/2028</t>
        </is>
      </c>
      <c r="F630" s="2" t="n">
        <v>14422.8</v>
      </c>
      <c r="G630" s="2" t="n">
        <v>0</v>
      </c>
      <c r="H630" s="2" t="n">
        <v>14422.8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0</v>
      </c>
      <c r="CM630" s="2" t="n">
        <v>0</v>
      </c>
      <c r="CN630" s="2" t="n">
        <v>0</v>
      </c>
      <c r="CO630" s="2" t="n">
        <v>0</v>
      </c>
      <c r="CP630" s="2" t="n">
        <v>0</v>
      </c>
      <c r="CQ630" s="2" t="n">
        <v>0</v>
      </c>
      <c r="CR630" s="2" t="n">
        <v>0</v>
      </c>
      <c r="CS630" s="2" t="n">
        <v>0</v>
      </c>
      <c r="CT630" s="2" t="n">
        <v>0</v>
      </c>
      <c r="CU630" s="2" t="n">
        <v>0</v>
      </c>
      <c r="CV630" s="2" t="n">
        <v>0</v>
      </c>
      <c r="CW630" s="2" t="n">
        <v>0</v>
      </c>
      <c r="CX630" s="2" t="n">
        <v>0</v>
      </c>
      <c r="CY630" s="2" t="n">
        <v>0</v>
      </c>
      <c r="CZ630" s="2" t="n">
        <v>0</v>
      </c>
      <c r="DA630" s="2" t="n">
        <v>0</v>
      </c>
      <c r="DB630" s="2" t="n">
        <v>0</v>
      </c>
      <c r="DC630" s="2" t="n">
        <v>0</v>
      </c>
      <c r="DD630" s="2" t="n">
        <v>0</v>
      </c>
      <c r="DE630" s="2" t="n">
        <v>0</v>
      </c>
      <c r="DF630" s="2" t="n">
        <v>0</v>
      </c>
      <c r="DG630" s="2" t="n">
        <v>7.79</v>
      </c>
      <c r="DH630" s="2" t="n">
        <v>0</v>
      </c>
      <c r="DI630" s="2" t="n">
        <v>0</v>
      </c>
      <c r="DJ630" s="2" t="n">
        <v>8.609999999999999</v>
      </c>
      <c r="DK630" s="2" t="n">
        <v>4.92</v>
      </c>
      <c r="DL630" s="2" t="n">
        <v>0</v>
      </c>
      <c r="DM630" s="2" t="n">
        <v>19.03</v>
      </c>
      <c r="DN630" s="2" t="n">
        <v>10.83</v>
      </c>
      <c r="DO630" s="2" t="n">
        <v>0</v>
      </c>
      <c r="DP630" s="2" t="n">
        <v>22.48</v>
      </c>
      <c r="DQ630" s="2" t="n">
        <v>10.83</v>
      </c>
      <c r="DR630" s="2" t="n">
        <v>0</v>
      </c>
      <c r="DS630" s="2" t="n">
        <v>28.05</v>
      </c>
      <c r="DT630" s="2" t="n">
        <v>21.91</v>
      </c>
      <c r="DU630" s="2" t="n">
        <v>0</v>
      </c>
      <c r="DV630" s="2" t="n">
        <v>42.92</v>
      </c>
      <c r="DW630" s="2" t="n">
        <v>28.46</v>
      </c>
      <c r="DX630" s="2" t="n">
        <v>0</v>
      </c>
      <c r="DY630" s="2" t="n">
        <v>51.36</v>
      </c>
      <c r="DZ630" s="2" t="n">
        <v>36.48</v>
      </c>
      <c r="EA630" s="2" t="n">
        <v>0</v>
      </c>
      <c r="EB630" s="2" t="n">
        <v>66.52</v>
      </c>
      <c r="EC630" s="2" t="n">
        <v>44.68</v>
      </c>
      <c r="ED630" s="2" t="n">
        <v>0</v>
      </c>
      <c r="EE630" s="2" t="n">
        <v>74.31</v>
      </c>
      <c r="EF630" s="2" t="n">
        <v>50.82</v>
      </c>
      <c r="EG630" s="2" t="n">
        <v>0</v>
      </c>
      <c r="EH630" s="2" t="n">
        <v>87.83</v>
      </c>
      <c r="EI630" s="2" t="n">
        <v>62.42</v>
      </c>
      <c r="EJ630" s="2" t="n">
        <v>0</v>
      </c>
      <c r="EK630" s="2" t="n">
        <v>95.20999999999999</v>
      </c>
      <c r="EL630" s="2" t="n">
        <v>69.39</v>
      </c>
      <c r="EM630" s="2" t="n">
        <v>0</v>
      </c>
      <c r="EN630" s="2" t="n">
        <v>100</v>
      </c>
      <c r="EO630" s="2" t="n">
        <v>78.69</v>
      </c>
      <c r="EP630" s="2" t="n">
        <v>0</v>
      </c>
      <c r="EQ630" s="2" t="n">
        <v>100</v>
      </c>
      <c r="ER630" s="2" t="n">
        <v>83.61</v>
      </c>
      <c r="ES630" s="2" t="n">
        <v>0</v>
      </c>
      <c r="ET630" s="2" t="n">
        <v>100</v>
      </c>
      <c r="EU630" s="2" t="n">
        <v>89.75</v>
      </c>
      <c r="EV630" s="2" t="n">
        <v>0</v>
      </c>
      <c r="EW630" s="2" t="n">
        <v>100</v>
      </c>
      <c r="EX630" s="2" t="n">
        <v>95.90000000000001</v>
      </c>
      <c r="EY630" s="2" t="n">
        <v>0</v>
      </c>
      <c r="EZ630" s="2" t="n">
        <v>100</v>
      </c>
      <c r="FA630" s="2" t="n">
        <v>100</v>
      </c>
      <c r="FB630" s="2" t="n">
        <v>0</v>
      </c>
      <c r="FC630" s="2" t="n">
        <v>100</v>
      </c>
      <c r="FD630" s="2" t="n">
        <v>100</v>
      </c>
      <c r="FE630" s="2" t="n">
        <v>0</v>
      </c>
      <c r="FF630" s="2" t="n">
        <v>100</v>
      </c>
      <c r="FG630" s="2" t="n">
        <v>100</v>
      </c>
      <c r="FH630" s="2" t="n">
        <v>0</v>
      </c>
      <c r="FI630" s="2" t="n">
        <v>100</v>
      </c>
      <c r="FJ630" s="2" t="n">
        <v>100</v>
      </c>
      <c r="FK630" s="2" t="n">
        <v>0</v>
      </c>
      <c r="FL630" s="2" t="n">
        <v>100</v>
      </c>
      <c r="FM630" s="2" t="n">
        <v>100</v>
      </c>
      <c r="FN630" s="2" t="n">
        <v>0</v>
      </c>
      <c r="FO630" s="2" t="n">
        <v>100</v>
      </c>
      <c r="FP630" s="2" t="n">
        <v>100</v>
      </c>
      <c r="FQ630" s="2" t="n">
        <v>0</v>
      </c>
    </row>
    <row r="631">
      <c r="A631" s="2" t="n">
        <v>4</v>
      </c>
      <c r="B631" s="2" t="inlineStr">
        <is>
          <t>28.01.02.05</t>
        </is>
      </c>
      <c r="C631" s="2" t="inlineStr">
        <is>
          <t>P - Porta pivotante em MDF com acabamento em pintura acrílica fosca branco neve; Suvinil, 84x210cm</t>
        </is>
      </c>
      <c r="D631" s="2" t="inlineStr">
        <is>
          <t>05/07/2027</t>
        </is>
      </c>
      <c r="E631" s="2" t="inlineStr">
        <is>
          <t>19/09/2028</t>
        </is>
      </c>
      <c r="F631" s="2" t="n">
        <v>7211.4</v>
      </c>
      <c r="G631" s="2" t="n">
        <v>0</v>
      </c>
      <c r="H631" s="2" t="n">
        <v>7211.4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</v>
      </c>
      <c r="CD631" s="2" t="n">
        <v>0</v>
      </c>
      <c r="CE631" s="2" t="n">
        <v>0</v>
      </c>
      <c r="CF631" s="2" t="n">
        <v>0</v>
      </c>
      <c r="CG631" s="2" t="n">
        <v>0</v>
      </c>
      <c r="CH631" s="2" t="n">
        <v>0</v>
      </c>
      <c r="CI631" s="2" t="n">
        <v>0</v>
      </c>
      <c r="CJ631" s="2" t="n">
        <v>0</v>
      </c>
      <c r="CK631" s="2" t="n">
        <v>0</v>
      </c>
      <c r="CL631" s="2" t="n">
        <v>0</v>
      </c>
      <c r="CM631" s="2" t="n">
        <v>0</v>
      </c>
      <c r="CN631" s="2" t="n">
        <v>0</v>
      </c>
      <c r="CO631" s="2" t="n">
        <v>0</v>
      </c>
      <c r="CP631" s="2" t="n">
        <v>0</v>
      </c>
      <c r="CQ631" s="2" t="n">
        <v>0</v>
      </c>
      <c r="CR631" s="2" t="n">
        <v>0</v>
      </c>
      <c r="CS631" s="2" t="n">
        <v>0</v>
      </c>
      <c r="CT631" s="2" t="n">
        <v>0</v>
      </c>
      <c r="CU631" s="2" t="n">
        <v>0</v>
      </c>
      <c r="CV631" s="2" t="n">
        <v>0</v>
      </c>
      <c r="CW631" s="2" t="n">
        <v>0</v>
      </c>
      <c r="CX631" s="2" t="n">
        <v>0</v>
      </c>
      <c r="CY631" s="2" t="n">
        <v>0</v>
      </c>
      <c r="CZ631" s="2" t="n">
        <v>0</v>
      </c>
      <c r="DA631" s="2" t="n">
        <v>0</v>
      </c>
      <c r="DB631" s="2" t="n">
        <v>0</v>
      </c>
      <c r="DC631" s="2" t="n">
        <v>0</v>
      </c>
      <c r="DD631" s="2" t="n">
        <v>0</v>
      </c>
      <c r="DE631" s="2" t="n">
        <v>0</v>
      </c>
      <c r="DF631" s="2" t="n">
        <v>0</v>
      </c>
      <c r="DG631" s="2" t="n">
        <v>7.79</v>
      </c>
      <c r="DH631" s="2" t="n">
        <v>0</v>
      </c>
      <c r="DI631" s="2" t="n">
        <v>0</v>
      </c>
      <c r="DJ631" s="2" t="n">
        <v>8.609999999999999</v>
      </c>
      <c r="DK631" s="2" t="n">
        <v>4.92</v>
      </c>
      <c r="DL631" s="2" t="n">
        <v>0</v>
      </c>
      <c r="DM631" s="2" t="n">
        <v>19.03</v>
      </c>
      <c r="DN631" s="2" t="n">
        <v>10.83</v>
      </c>
      <c r="DO631" s="2" t="n">
        <v>0</v>
      </c>
      <c r="DP631" s="2" t="n">
        <v>22.48</v>
      </c>
      <c r="DQ631" s="2" t="n">
        <v>10.83</v>
      </c>
      <c r="DR631" s="2" t="n">
        <v>0</v>
      </c>
      <c r="DS631" s="2" t="n">
        <v>28.05</v>
      </c>
      <c r="DT631" s="2" t="n">
        <v>21.91</v>
      </c>
      <c r="DU631" s="2" t="n">
        <v>0</v>
      </c>
      <c r="DV631" s="2" t="n">
        <v>42.92</v>
      </c>
      <c r="DW631" s="2" t="n">
        <v>28.46</v>
      </c>
      <c r="DX631" s="2" t="n">
        <v>0</v>
      </c>
      <c r="DY631" s="2" t="n">
        <v>51.36</v>
      </c>
      <c r="DZ631" s="2" t="n">
        <v>36.48</v>
      </c>
      <c r="EA631" s="2" t="n">
        <v>0</v>
      </c>
      <c r="EB631" s="2" t="n">
        <v>66.52</v>
      </c>
      <c r="EC631" s="2" t="n">
        <v>44.68</v>
      </c>
      <c r="ED631" s="2" t="n">
        <v>0</v>
      </c>
      <c r="EE631" s="2" t="n">
        <v>74.31</v>
      </c>
      <c r="EF631" s="2" t="n">
        <v>50.82</v>
      </c>
      <c r="EG631" s="2" t="n">
        <v>0</v>
      </c>
      <c r="EH631" s="2" t="n">
        <v>87.83</v>
      </c>
      <c r="EI631" s="2" t="n">
        <v>62.42</v>
      </c>
      <c r="EJ631" s="2" t="n">
        <v>0</v>
      </c>
      <c r="EK631" s="2" t="n">
        <v>95.20999999999999</v>
      </c>
      <c r="EL631" s="2" t="n">
        <v>69.39</v>
      </c>
      <c r="EM631" s="2" t="n">
        <v>0</v>
      </c>
      <c r="EN631" s="2" t="n">
        <v>100</v>
      </c>
      <c r="EO631" s="2" t="n">
        <v>78.69</v>
      </c>
      <c r="EP631" s="2" t="n">
        <v>0</v>
      </c>
      <c r="EQ631" s="2" t="n">
        <v>100</v>
      </c>
      <c r="ER631" s="2" t="n">
        <v>83.61</v>
      </c>
      <c r="ES631" s="2" t="n">
        <v>0</v>
      </c>
      <c r="ET631" s="2" t="n">
        <v>100</v>
      </c>
      <c r="EU631" s="2" t="n">
        <v>89.75</v>
      </c>
      <c r="EV631" s="2" t="n">
        <v>0</v>
      </c>
      <c r="EW631" s="2" t="n">
        <v>100</v>
      </c>
      <c r="EX631" s="2" t="n">
        <v>95.90000000000001</v>
      </c>
      <c r="EY631" s="2" t="n">
        <v>0</v>
      </c>
      <c r="EZ631" s="2" t="n">
        <v>100</v>
      </c>
      <c r="FA631" s="2" t="n">
        <v>100</v>
      </c>
      <c r="FB631" s="2" t="n">
        <v>0</v>
      </c>
      <c r="FC631" s="2" t="n">
        <v>100</v>
      </c>
      <c r="FD631" s="2" t="n">
        <v>100</v>
      </c>
      <c r="FE631" s="2" t="n">
        <v>0</v>
      </c>
      <c r="FF631" s="2" t="n">
        <v>100</v>
      </c>
      <c r="FG631" s="2" t="n">
        <v>100</v>
      </c>
      <c r="FH631" s="2" t="n">
        <v>0</v>
      </c>
      <c r="FI631" s="2" t="n">
        <v>100</v>
      </c>
      <c r="FJ631" s="2" t="n">
        <v>100</v>
      </c>
      <c r="FK631" s="2" t="n">
        <v>0</v>
      </c>
      <c r="FL631" s="2" t="n">
        <v>100</v>
      </c>
      <c r="FM631" s="2" t="n">
        <v>100</v>
      </c>
      <c r="FN631" s="2" t="n">
        <v>0</v>
      </c>
      <c r="FO631" s="2" t="n">
        <v>100</v>
      </c>
      <c r="FP631" s="2" t="n">
        <v>100</v>
      </c>
      <c r="FQ631" s="2" t="n">
        <v>0</v>
      </c>
    </row>
    <row r="632">
      <c r="A632" s="2" t="n">
        <v>3</v>
      </c>
      <c r="B632" s="2" t="inlineStr">
        <is>
          <t>28.01.03</t>
        </is>
      </c>
      <c r="C632" s="2" t="inlineStr">
        <is>
          <t>Portas de madeira com dimensões atípicas</t>
        </is>
      </c>
      <c r="D632" s="2" t="inlineStr">
        <is>
          <t>05/07/2027</t>
        </is>
      </c>
      <c r="E632" s="2" t="inlineStr">
        <is>
          <t>19/09/2028</t>
        </is>
      </c>
      <c r="F632" s="2" t="n">
        <v>1180649.6</v>
      </c>
      <c r="G632" s="2" t="n">
        <v>0</v>
      </c>
      <c r="H632" s="2" t="n">
        <v>1180649.6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</v>
      </c>
      <c r="CD632" s="2" t="n">
        <v>0</v>
      </c>
      <c r="CE632" s="2" t="n">
        <v>0</v>
      </c>
      <c r="CF632" s="2" t="n">
        <v>0</v>
      </c>
      <c r="CG632" s="2" t="n">
        <v>0</v>
      </c>
      <c r="CH632" s="2" t="n">
        <v>0</v>
      </c>
      <c r="CI632" s="2" t="n">
        <v>0</v>
      </c>
      <c r="CJ632" s="2" t="n">
        <v>0</v>
      </c>
      <c r="CK632" s="2" t="n">
        <v>0</v>
      </c>
      <c r="CL632" s="2" t="n">
        <v>0</v>
      </c>
      <c r="CM632" s="2" t="n">
        <v>0</v>
      </c>
      <c r="CN632" s="2" t="n">
        <v>0</v>
      </c>
      <c r="CO632" s="2" t="n">
        <v>0</v>
      </c>
      <c r="CP632" s="2" t="n">
        <v>0</v>
      </c>
      <c r="CQ632" s="2" t="n">
        <v>0</v>
      </c>
      <c r="CR632" s="2" t="n">
        <v>0</v>
      </c>
      <c r="CS632" s="2" t="n">
        <v>0</v>
      </c>
      <c r="CT632" s="2" t="n">
        <v>0</v>
      </c>
      <c r="CU632" s="2" t="n">
        <v>0</v>
      </c>
      <c r="CV632" s="2" t="n">
        <v>0</v>
      </c>
      <c r="CW632" s="2" t="n">
        <v>0</v>
      </c>
      <c r="CX632" s="2" t="n">
        <v>0</v>
      </c>
      <c r="CY632" s="2" t="n">
        <v>0</v>
      </c>
      <c r="CZ632" s="2" t="n">
        <v>0</v>
      </c>
      <c r="DA632" s="2" t="n">
        <v>0</v>
      </c>
      <c r="DB632" s="2" t="n">
        <v>0</v>
      </c>
      <c r="DC632" s="2" t="n">
        <v>0</v>
      </c>
      <c r="DD632" s="2" t="n">
        <v>0</v>
      </c>
      <c r="DE632" s="2" t="n">
        <v>0</v>
      </c>
      <c r="DF632" s="2" t="n">
        <v>0</v>
      </c>
      <c r="DG632" s="2" t="n">
        <v>7.79</v>
      </c>
      <c r="DH632" s="2" t="n">
        <v>0</v>
      </c>
      <c r="DI632" s="2" t="n">
        <v>0</v>
      </c>
      <c r="DJ632" s="2" t="n">
        <v>8.609999999999999</v>
      </c>
      <c r="DK632" s="2" t="n">
        <v>4.92</v>
      </c>
      <c r="DL632" s="2" t="n">
        <v>0</v>
      </c>
      <c r="DM632" s="2" t="n">
        <v>19.03</v>
      </c>
      <c r="DN632" s="2" t="n">
        <v>10.83</v>
      </c>
      <c r="DO632" s="2" t="n">
        <v>0</v>
      </c>
      <c r="DP632" s="2" t="n">
        <v>22.48</v>
      </c>
      <c r="DQ632" s="2" t="n">
        <v>10.83</v>
      </c>
      <c r="DR632" s="2" t="n">
        <v>0</v>
      </c>
      <c r="DS632" s="2" t="n">
        <v>28.05</v>
      </c>
      <c r="DT632" s="2" t="n">
        <v>21.91</v>
      </c>
      <c r="DU632" s="2" t="n">
        <v>0</v>
      </c>
      <c r="DV632" s="2" t="n">
        <v>42.92</v>
      </c>
      <c r="DW632" s="2" t="n">
        <v>28.46</v>
      </c>
      <c r="DX632" s="2" t="n">
        <v>0</v>
      </c>
      <c r="DY632" s="2" t="n">
        <v>51.36</v>
      </c>
      <c r="DZ632" s="2" t="n">
        <v>36.48</v>
      </c>
      <c r="EA632" s="2" t="n">
        <v>0</v>
      </c>
      <c r="EB632" s="2" t="n">
        <v>66.52</v>
      </c>
      <c r="EC632" s="2" t="n">
        <v>44.68</v>
      </c>
      <c r="ED632" s="2" t="n">
        <v>0</v>
      </c>
      <c r="EE632" s="2" t="n">
        <v>74.31</v>
      </c>
      <c r="EF632" s="2" t="n">
        <v>50.82</v>
      </c>
      <c r="EG632" s="2" t="n">
        <v>0</v>
      </c>
      <c r="EH632" s="2" t="n">
        <v>87.83</v>
      </c>
      <c r="EI632" s="2" t="n">
        <v>62.42</v>
      </c>
      <c r="EJ632" s="2" t="n">
        <v>0</v>
      </c>
      <c r="EK632" s="2" t="n">
        <v>95.20999999999999</v>
      </c>
      <c r="EL632" s="2" t="n">
        <v>69.39</v>
      </c>
      <c r="EM632" s="2" t="n">
        <v>0</v>
      </c>
      <c r="EN632" s="2" t="n">
        <v>100</v>
      </c>
      <c r="EO632" s="2" t="n">
        <v>78.69</v>
      </c>
      <c r="EP632" s="2" t="n">
        <v>0</v>
      </c>
      <c r="EQ632" s="2" t="n">
        <v>100</v>
      </c>
      <c r="ER632" s="2" t="n">
        <v>83.61</v>
      </c>
      <c r="ES632" s="2" t="n">
        <v>0</v>
      </c>
      <c r="ET632" s="2" t="n">
        <v>100</v>
      </c>
      <c r="EU632" s="2" t="n">
        <v>89.75</v>
      </c>
      <c r="EV632" s="2" t="n">
        <v>0</v>
      </c>
      <c r="EW632" s="2" t="n">
        <v>100</v>
      </c>
      <c r="EX632" s="2" t="n">
        <v>95.90000000000001</v>
      </c>
      <c r="EY632" s="2" t="n">
        <v>0</v>
      </c>
      <c r="EZ632" s="2" t="n">
        <v>100</v>
      </c>
      <c r="FA632" s="2" t="n">
        <v>100</v>
      </c>
      <c r="FB632" s="2" t="n">
        <v>0</v>
      </c>
      <c r="FC632" s="2" t="n">
        <v>100</v>
      </c>
      <c r="FD632" s="2" t="n">
        <v>100</v>
      </c>
      <c r="FE632" s="2" t="n">
        <v>0</v>
      </c>
      <c r="FF632" s="2" t="n">
        <v>100</v>
      </c>
      <c r="FG632" s="2" t="n">
        <v>100</v>
      </c>
      <c r="FH632" s="2" t="n">
        <v>0</v>
      </c>
      <c r="FI632" s="2" t="n">
        <v>100</v>
      </c>
      <c r="FJ632" s="2" t="n">
        <v>100</v>
      </c>
      <c r="FK632" s="2" t="n">
        <v>0</v>
      </c>
      <c r="FL632" s="2" t="n">
        <v>100</v>
      </c>
      <c r="FM632" s="2" t="n">
        <v>100</v>
      </c>
      <c r="FN632" s="2" t="n">
        <v>0</v>
      </c>
      <c r="FO632" s="2" t="n">
        <v>100</v>
      </c>
      <c r="FP632" s="2" t="n">
        <v>100</v>
      </c>
      <c r="FQ632" s="2" t="n">
        <v>0</v>
      </c>
    </row>
    <row r="633">
      <c r="A633" s="2" t="n">
        <v>4</v>
      </c>
      <c r="B633" s="2" t="inlineStr">
        <is>
          <t>28.01.03.01</t>
        </is>
      </c>
      <c r="C633" s="2" t="inlineStr">
        <is>
          <t>P - Porta pivotante estruturada, fechamento em  MDF cru, acabamento micro pintura face interna cor S081-Sayerlack e acabamento face externa em folha madeira natural caravalho tonalizado. Batente em cantoneira metálica conforme detalhe, 120x324cm - Pilotis</t>
        </is>
      </c>
      <c r="D633" s="2" t="inlineStr">
        <is>
          <t>05/07/2027</t>
        </is>
      </c>
      <c r="E633" s="2" t="inlineStr">
        <is>
          <t>19/09/2028</t>
        </is>
      </c>
      <c r="F633" s="2" t="n">
        <v>3334.53</v>
      </c>
      <c r="G633" s="2" t="n">
        <v>0</v>
      </c>
      <c r="H633" s="2" t="n">
        <v>3334.53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</v>
      </c>
      <c r="BX633" s="2" t="n">
        <v>0</v>
      </c>
      <c r="BY633" s="2" t="n">
        <v>0</v>
      </c>
      <c r="BZ633" s="2" t="n">
        <v>0</v>
      </c>
      <c r="CA633" s="2" t="n">
        <v>0</v>
      </c>
      <c r="CB633" s="2" t="n">
        <v>0</v>
      </c>
      <c r="CC633" s="2" t="n">
        <v>0</v>
      </c>
      <c r="CD633" s="2" t="n">
        <v>0</v>
      </c>
      <c r="CE633" s="2" t="n">
        <v>0</v>
      </c>
      <c r="CF633" s="2" t="n">
        <v>0</v>
      </c>
      <c r="CG633" s="2" t="n">
        <v>0</v>
      </c>
      <c r="CH633" s="2" t="n">
        <v>0</v>
      </c>
      <c r="CI633" s="2" t="n">
        <v>0</v>
      </c>
      <c r="CJ633" s="2" t="n">
        <v>0</v>
      </c>
      <c r="CK633" s="2" t="n">
        <v>0</v>
      </c>
      <c r="CL633" s="2" t="n">
        <v>0</v>
      </c>
      <c r="CM633" s="2" t="n">
        <v>0</v>
      </c>
      <c r="CN633" s="2" t="n">
        <v>0</v>
      </c>
      <c r="CO633" s="2" t="n">
        <v>0</v>
      </c>
      <c r="CP633" s="2" t="n">
        <v>0</v>
      </c>
      <c r="CQ633" s="2" t="n">
        <v>0</v>
      </c>
      <c r="CR633" s="2" t="n">
        <v>0</v>
      </c>
      <c r="CS633" s="2" t="n">
        <v>0</v>
      </c>
      <c r="CT633" s="2" t="n">
        <v>0</v>
      </c>
      <c r="CU633" s="2" t="n">
        <v>0</v>
      </c>
      <c r="CV633" s="2" t="n">
        <v>0</v>
      </c>
      <c r="CW633" s="2" t="n">
        <v>0</v>
      </c>
      <c r="CX633" s="2" t="n">
        <v>0</v>
      </c>
      <c r="CY633" s="2" t="n">
        <v>0</v>
      </c>
      <c r="CZ633" s="2" t="n">
        <v>0</v>
      </c>
      <c r="DA633" s="2" t="n">
        <v>0</v>
      </c>
      <c r="DB633" s="2" t="n">
        <v>0</v>
      </c>
      <c r="DC633" s="2" t="n">
        <v>0</v>
      </c>
      <c r="DD633" s="2" t="n">
        <v>0</v>
      </c>
      <c r="DE633" s="2" t="n">
        <v>0</v>
      </c>
      <c r="DF633" s="2" t="n">
        <v>0</v>
      </c>
      <c r="DG633" s="2" t="n">
        <v>7.79</v>
      </c>
      <c r="DH633" s="2" t="n">
        <v>0</v>
      </c>
      <c r="DI633" s="2" t="n">
        <v>0</v>
      </c>
      <c r="DJ633" s="2" t="n">
        <v>8.609999999999999</v>
      </c>
      <c r="DK633" s="2" t="n">
        <v>4.92</v>
      </c>
      <c r="DL633" s="2" t="n">
        <v>0</v>
      </c>
      <c r="DM633" s="2" t="n">
        <v>19.03</v>
      </c>
      <c r="DN633" s="2" t="n">
        <v>10.83</v>
      </c>
      <c r="DO633" s="2" t="n">
        <v>0</v>
      </c>
      <c r="DP633" s="2" t="n">
        <v>22.48</v>
      </c>
      <c r="DQ633" s="2" t="n">
        <v>10.83</v>
      </c>
      <c r="DR633" s="2" t="n">
        <v>0</v>
      </c>
      <c r="DS633" s="2" t="n">
        <v>28.05</v>
      </c>
      <c r="DT633" s="2" t="n">
        <v>21.91</v>
      </c>
      <c r="DU633" s="2" t="n">
        <v>0</v>
      </c>
      <c r="DV633" s="2" t="n">
        <v>42.92</v>
      </c>
      <c r="DW633" s="2" t="n">
        <v>28.46</v>
      </c>
      <c r="DX633" s="2" t="n">
        <v>0</v>
      </c>
      <c r="DY633" s="2" t="n">
        <v>51.36</v>
      </c>
      <c r="DZ633" s="2" t="n">
        <v>36.48</v>
      </c>
      <c r="EA633" s="2" t="n">
        <v>0</v>
      </c>
      <c r="EB633" s="2" t="n">
        <v>66.52</v>
      </c>
      <c r="EC633" s="2" t="n">
        <v>44.68</v>
      </c>
      <c r="ED633" s="2" t="n">
        <v>0</v>
      </c>
      <c r="EE633" s="2" t="n">
        <v>74.31</v>
      </c>
      <c r="EF633" s="2" t="n">
        <v>50.82</v>
      </c>
      <c r="EG633" s="2" t="n">
        <v>0</v>
      </c>
      <c r="EH633" s="2" t="n">
        <v>87.83</v>
      </c>
      <c r="EI633" s="2" t="n">
        <v>62.42</v>
      </c>
      <c r="EJ633" s="2" t="n">
        <v>0</v>
      </c>
      <c r="EK633" s="2" t="n">
        <v>95.20999999999999</v>
      </c>
      <c r="EL633" s="2" t="n">
        <v>69.39</v>
      </c>
      <c r="EM633" s="2" t="n">
        <v>0</v>
      </c>
      <c r="EN633" s="2" t="n">
        <v>100</v>
      </c>
      <c r="EO633" s="2" t="n">
        <v>78.69</v>
      </c>
      <c r="EP633" s="2" t="n">
        <v>0</v>
      </c>
      <c r="EQ633" s="2" t="n">
        <v>100</v>
      </c>
      <c r="ER633" s="2" t="n">
        <v>83.61</v>
      </c>
      <c r="ES633" s="2" t="n">
        <v>0</v>
      </c>
      <c r="ET633" s="2" t="n">
        <v>100</v>
      </c>
      <c r="EU633" s="2" t="n">
        <v>89.75</v>
      </c>
      <c r="EV633" s="2" t="n">
        <v>0</v>
      </c>
      <c r="EW633" s="2" t="n">
        <v>100</v>
      </c>
      <c r="EX633" s="2" t="n">
        <v>95.90000000000001</v>
      </c>
      <c r="EY633" s="2" t="n">
        <v>0</v>
      </c>
      <c r="EZ633" s="2" t="n">
        <v>100</v>
      </c>
      <c r="FA633" s="2" t="n">
        <v>100</v>
      </c>
      <c r="FB633" s="2" t="n">
        <v>0</v>
      </c>
      <c r="FC633" s="2" t="n">
        <v>100</v>
      </c>
      <c r="FD633" s="2" t="n">
        <v>100</v>
      </c>
      <c r="FE633" s="2" t="n">
        <v>0</v>
      </c>
      <c r="FF633" s="2" t="n">
        <v>100</v>
      </c>
      <c r="FG633" s="2" t="n">
        <v>100</v>
      </c>
      <c r="FH633" s="2" t="n">
        <v>0</v>
      </c>
      <c r="FI633" s="2" t="n">
        <v>100</v>
      </c>
      <c r="FJ633" s="2" t="n">
        <v>100</v>
      </c>
      <c r="FK633" s="2" t="n">
        <v>0</v>
      </c>
      <c r="FL633" s="2" t="n">
        <v>100</v>
      </c>
      <c r="FM633" s="2" t="n">
        <v>100</v>
      </c>
      <c r="FN633" s="2" t="n">
        <v>0</v>
      </c>
      <c r="FO633" s="2" t="n">
        <v>100</v>
      </c>
      <c r="FP633" s="2" t="n">
        <v>100</v>
      </c>
      <c r="FQ633" s="2" t="n">
        <v>0</v>
      </c>
    </row>
    <row r="634">
      <c r="A634" s="2" t="n">
        <v>4</v>
      </c>
      <c r="B634" s="2" t="inlineStr">
        <is>
          <t>28.01.03.02</t>
        </is>
      </c>
      <c r="C634" s="2" t="inlineStr">
        <is>
          <t>P - Porta pivotante estruturada, fechamento em MDF cru, acabamento micro pintura face interna cor S081-Sayerlack e acabamento face externa cor S168-Sayerlack. Batente em cantoneira metálica conforme detalhe. Dimensões e desenho conforme detalhamento. Puxador tipo cava, prever tranca, 86x324cm - Pilotis</t>
        </is>
      </c>
      <c r="D634" s="2" t="inlineStr">
        <is>
          <t>05/07/2027</t>
        </is>
      </c>
      <c r="E634" s="2" t="inlineStr">
        <is>
          <t>19/09/2028</t>
        </is>
      </c>
      <c r="F634" s="2" t="n">
        <v>3334.53</v>
      </c>
      <c r="G634" s="2" t="n">
        <v>0</v>
      </c>
      <c r="H634" s="2" t="n">
        <v>3334.53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</v>
      </c>
      <c r="BX634" s="2" t="n">
        <v>0</v>
      </c>
      <c r="BY634" s="2" t="n">
        <v>0</v>
      </c>
      <c r="BZ634" s="2" t="n">
        <v>0</v>
      </c>
      <c r="CA634" s="2" t="n">
        <v>0</v>
      </c>
      <c r="CB634" s="2" t="n">
        <v>0</v>
      </c>
      <c r="CC634" s="2" t="n">
        <v>0</v>
      </c>
      <c r="CD634" s="2" t="n">
        <v>0</v>
      </c>
      <c r="CE634" s="2" t="n">
        <v>0</v>
      </c>
      <c r="CF634" s="2" t="n">
        <v>0</v>
      </c>
      <c r="CG634" s="2" t="n">
        <v>0</v>
      </c>
      <c r="CH634" s="2" t="n">
        <v>0</v>
      </c>
      <c r="CI634" s="2" t="n">
        <v>0</v>
      </c>
      <c r="CJ634" s="2" t="n">
        <v>0</v>
      </c>
      <c r="CK634" s="2" t="n">
        <v>0</v>
      </c>
      <c r="CL634" s="2" t="n">
        <v>0</v>
      </c>
      <c r="CM634" s="2" t="n">
        <v>0</v>
      </c>
      <c r="CN634" s="2" t="n">
        <v>0</v>
      </c>
      <c r="CO634" s="2" t="n">
        <v>0</v>
      </c>
      <c r="CP634" s="2" t="n">
        <v>0</v>
      </c>
      <c r="CQ634" s="2" t="n">
        <v>0</v>
      </c>
      <c r="CR634" s="2" t="n">
        <v>0</v>
      </c>
      <c r="CS634" s="2" t="n">
        <v>0</v>
      </c>
      <c r="CT634" s="2" t="n">
        <v>0</v>
      </c>
      <c r="CU634" s="2" t="n">
        <v>0</v>
      </c>
      <c r="CV634" s="2" t="n">
        <v>0</v>
      </c>
      <c r="CW634" s="2" t="n">
        <v>0</v>
      </c>
      <c r="CX634" s="2" t="n">
        <v>0</v>
      </c>
      <c r="CY634" s="2" t="n">
        <v>0</v>
      </c>
      <c r="CZ634" s="2" t="n">
        <v>0</v>
      </c>
      <c r="DA634" s="2" t="n">
        <v>0</v>
      </c>
      <c r="DB634" s="2" t="n">
        <v>0</v>
      </c>
      <c r="DC634" s="2" t="n">
        <v>0</v>
      </c>
      <c r="DD634" s="2" t="n">
        <v>0</v>
      </c>
      <c r="DE634" s="2" t="n">
        <v>0</v>
      </c>
      <c r="DF634" s="2" t="n">
        <v>0</v>
      </c>
      <c r="DG634" s="2" t="n">
        <v>7.79</v>
      </c>
      <c r="DH634" s="2" t="n">
        <v>0</v>
      </c>
      <c r="DI634" s="2" t="n">
        <v>0</v>
      </c>
      <c r="DJ634" s="2" t="n">
        <v>8.609999999999999</v>
      </c>
      <c r="DK634" s="2" t="n">
        <v>4.92</v>
      </c>
      <c r="DL634" s="2" t="n">
        <v>0</v>
      </c>
      <c r="DM634" s="2" t="n">
        <v>19.03</v>
      </c>
      <c r="DN634" s="2" t="n">
        <v>10.83</v>
      </c>
      <c r="DO634" s="2" t="n">
        <v>0</v>
      </c>
      <c r="DP634" s="2" t="n">
        <v>22.48</v>
      </c>
      <c r="DQ634" s="2" t="n">
        <v>10.83</v>
      </c>
      <c r="DR634" s="2" t="n">
        <v>0</v>
      </c>
      <c r="DS634" s="2" t="n">
        <v>28.05</v>
      </c>
      <c r="DT634" s="2" t="n">
        <v>21.91</v>
      </c>
      <c r="DU634" s="2" t="n">
        <v>0</v>
      </c>
      <c r="DV634" s="2" t="n">
        <v>42.92</v>
      </c>
      <c r="DW634" s="2" t="n">
        <v>28.46</v>
      </c>
      <c r="DX634" s="2" t="n">
        <v>0</v>
      </c>
      <c r="DY634" s="2" t="n">
        <v>51.36</v>
      </c>
      <c r="DZ634" s="2" t="n">
        <v>36.48</v>
      </c>
      <c r="EA634" s="2" t="n">
        <v>0</v>
      </c>
      <c r="EB634" s="2" t="n">
        <v>66.52</v>
      </c>
      <c r="EC634" s="2" t="n">
        <v>44.68</v>
      </c>
      <c r="ED634" s="2" t="n">
        <v>0</v>
      </c>
      <c r="EE634" s="2" t="n">
        <v>74.31</v>
      </c>
      <c r="EF634" s="2" t="n">
        <v>50.82</v>
      </c>
      <c r="EG634" s="2" t="n">
        <v>0</v>
      </c>
      <c r="EH634" s="2" t="n">
        <v>87.83</v>
      </c>
      <c r="EI634" s="2" t="n">
        <v>62.42</v>
      </c>
      <c r="EJ634" s="2" t="n">
        <v>0</v>
      </c>
      <c r="EK634" s="2" t="n">
        <v>95.20999999999999</v>
      </c>
      <c r="EL634" s="2" t="n">
        <v>69.39</v>
      </c>
      <c r="EM634" s="2" t="n">
        <v>0</v>
      </c>
      <c r="EN634" s="2" t="n">
        <v>100</v>
      </c>
      <c r="EO634" s="2" t="n">
        <v>78.69</v>
      </c>
      <c r="EP634" s="2" t="n">
        <v>0</v>
      </c>
      <c r="EQ634" s="2" t="n">
        <v>100</v>
      </c>
      <c r="ER634" s="2" t="n">
        <v>83.61</v>
      </c>
      <c r="ES634" s="2" t="n">
        <v>0</v>
      </c>
      <c r="ET634" s="2" t="n">
        <v>100</v>
      </c>
      <c r="EU634" s="2" t="n">
        <v>89.75</v>
      </c>
      <c r="EV634" s="2" t="n">
        <v>0</v>
      </c>
      <c r="EW634" s="2" t="n">
        <v>100</v>
      </c>
      <c r="EX634" s="2" t="n">
        <v>95.90000000000001</v>
      </c>
      <c r="EY634" s="2" t="n">
        <v>0</v>
      </c>
      <c r="EZ634" s="2" t="n">
        <v>100</v>
      </c>
      <c r="FA634" s="2" t="n">
        <v>100</v>
      </c>
      <c r="FB634" s="2" t="n">
        <v>0</v>
      </c>
      <c r="FC634" s="2" t="n">
        <v>100</v>
      </c>
      <c r="FD634" s="2" t="n">
        <v>100</v>
      </c>
      <c r="FE634" s="2" t="n">
        <v>0</v>
      </c>
      <c r="FF634" s="2" t="n">
        <v>100</v>
      </c>
      <c r="FG634" s="2" t="n">
        <v>100</v>
      </c>
      <c r="FH634" s="2" t="n">
        <v>0</v>
      </c>
      <c r="FI634" s="2" t="n">
        <v>100</v>
      </c>
      <c r="FJ634" s="2" t="n">
        <v>100</v>
      </c>
      <c r="FK634" s="2" t="n">
        <v>0</v>
      </c>
      <c r="FL634" s="2" t="n">
        <v>100</v>
      </c>
      <c r="FM634" s="2" t="n">
        <v>100</v>
      </c>
      <c r="FN634" s="2" t="n">
        <v>0</v>
      </c>
      <c r="FO634" s="2" t="n">
        <v>100</v>
      </c>
      <c r="FP634" s="2" t="n">
        <v>100</v>
      </c>
      <c r="FQ634" s="2" t="n">
        <v>0</v>
      </c>
    </row>
    <row r="635">
      <c r="A635" s="2" t="n">
        <v>4</v>
      </c>
      <c r="B635" s="2" t="inlineStr">
        <is>
          <t>28.01.03.03</t>
        </is>
      </c>
      <c r="C635" s="2" t="inlineStr">
        <is>
          <t>P - Porta pivotante estruturada fechamento em madeira maciça engenheirada reflorestada, tonalizada. Acabamento superfície escovada. Painel Bark. Ref.: Demuner, 82x324cm - Pilotis</t>
        </is>
      </c>
      <c r="D635" s="2" t="inlineStr">
        <is>
          <t>05/07/2027</t>
        </is>
      </c>
      <c r="E635" s="2" t="inlineStr">
        <is>
          <t>19/09/2028</t>
        </is>
      </c>
      <c r="F635" s="2" t="n">
        <v>6669.06</v>
      </c>
      <c r="G635" s="2" t="n">
        <v>0</v>
      </c>
      <c r="H635" s="2" t="n">
        <v>6669.06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</v>
      </c>
      <c r="CB635" s="2" t="n">
        <v>0</v>
      </c>
      <c r="CC635" s="2" t="n">
        <v>0</v>
      </c>
      <c r="CD635" s="2" t="n">
        <v>0</v>
      </c>
      <c r="CE635" s="2" t="n">
        <v>0</v>
      </c>
      <c r="CF635" s="2" t="n">
        <v>0</v>
      </c>
      <c r="CG635" s="2" t="n">
        <v>0</v>
      </c>
      <c r="CH635" s="2" t="n">
        <v>0</v>
      </c>
      <c r="CI635" s="2" t="n">
        <v>0</v>
      </c>
      <c r="CJ635" s="2" t="n">
        <v>0</v>
      </c>
      <c r="CK635" s="2" t="n">
        <v>0</v>
      </c>
      <c r="CL635" s="2" t="n">
        <v>0</v>
      </c>
      <c r="CM635" s="2" t="n">
        <v>0</v>
      </c>
      <c r="CN635" s="2" t="n">
        <v>0</v>
      </c>
      <c r="CO635" s="2" t="n">
        <v>0</v>
      </c>
      <c r="CP635" s="2" t="n">
        <v>0</v>
      </c>
      <c r="CQ635" s="2" t="n">
        <v>0</v>
      </c>
      <c r="CR635" s="2" t="n">
        <v>0</v>
      </c>
      <c r="CS635" s="2" t="n">
        <v>0</v>
      </c>
      <c r="CT635" s="2" t="n">
        <v>0</v>
      </c>
      <c r="CU635" s="2" t="n">
        <v>0</v>
      </c>
      <c r="CV635" s="2" t="n">
        <v>0</v>
      </c>
      <c r="CW635" s="2" t="n">
        <v>0</v>
      </c>
      <c r="CX635" s="2" t="n">
        <v>0</v>
      </c>
      <c r="CY635" s="2" t="n">
        <v>0</v>
      </c>
      <c r="CZ635" s="2" t="n">
        <v>0</v>
      </c>
      <c r="DA635" s="2" t="n">
        <v>0</v>
      </c>
      <c r="DB635" s="2" t="n">
        <v>0</v>
      </c>
      <c r="DC635" s="2" t="n">
        <v>0</v>
      </c>
      <c r="DD635" s="2" t="n">
        <v>0</v>
      </c>
      <c r="DE635" s="2" t="n">
        <v>0</v>
      </c>
      <c r="DF635" s="2" t="n">
        <v>0</v>
      </c>
      <c r="DG635" s="2" t="n">
        <v>7.79</v>
      </c>
      <c r="DH635" s="2" t="n">
        <v>0</v>
      </c>
      <c r="DI635" s="2" t="n">
        <v>0</v>
      </c>
      <c r="DJ635" s="2" t="n">
        <v>8.609999999999999</v>
      </c>
      <c r="DK635" s="2" t="n">
        <v>4.92</v>
      </c>
      <c r="DL635" s="2" t="n">
        <v>0</v>
      </c>
      <c r="DM635" s="2" t="n">
        <v>19.03</v>
      </c>
      <c r="DN635" s="2" t="n">
        <v>10.83</v>
      </c>
      <c r="DO635" s="2" t="n">
        <v>0</v>
      </c>
      <c r="DP635" s="2" t="n">
        <v>22.48</v>
      </c>
      <c r="DQ635" s="2" t="n">
        <v>10.83</v>
      </c>
      <c r="DR635" s="2" t="n">
        <v>0</v>
      </c>
      <c r="DS635" s="2" t="n">
        <v>28.05</v>
      </c>
      <c r="DT635" s="2" t="n">
        <v>21.91</v>
      </c>
      <c r="DU635" s="2" t="n">
        <v>0</v>
      </c>
      <c r="DV635" s="2" t="n">
        <v>42.92</v>
      </c>
      <c r="DW635" s="2" t="n">
        <v>28.46</v>
      </c>
      <c r="DX635" s="2" t="n">
        <v>0</v>
      </c>
      <c r="DY635" s="2" t="n">
        <v>51.36</v>
      </c>
      <c r="DZ635" s="2" t="n">
        <v>36.48</v>
      </c>
      <c r="EA635" s="2" t="n">
        <v>0</v>
      </c>
      <c r="EB635" s="2" t="n">
        <v>66.52</v>
      </c>
      <c r="EC635" s="2" t="n">
        <v>44.68</v>
      </c>
      <c r="ED635" s="2" t="n">
        <v>0</v>
      </c>
      <c r="EE635" s="2" t="n">
        <v>74.31</v>
      </c>
      <c r="EF635" s="2" t="n">
        <v>50.82</v>
      </c>
      <c r="EG635" s="2" t="n">
        <v>0</v>
      </c>
      <c r="EH635" s="2" t="n">
        <v>87.83</v>
      </c>
      <c r="EI635" s="2" t="n">
        <v>62.42</v>
      </c>
      <c r="EJ635" s="2" t="n">
        <v>0</v>
      </c>
      <c r="EK635" s="2" t="n">
        <v>95.20999999999999</v>
      </c>
      <c r="EL635" s="2" t="n">
        <v>69.39</v>
      </c>
      <c r="EM635" s="2" t="n">
        <v>0</v>
      </c>
      <c r="EN635" s="2" t="n">
        <v>100</v>
      </c>
      <c r="EO635" s="2" t="n">
        <v>78.69</v>
      </c>
      <c r="EP635" s="2" t="n">
        <v>0</v>
      </c>
      <c r="EQ635" s="2" t="n">
        <v>100</v>
      </c>
      <c r="ER635" s="2" t="n">
        <v>83.61</v>
      </c>
      <c r="ES635" s="2" t="n">
        <v>0</v>
      </c>
      <c r="ET635" s="2" t="n">
        <v>100</v>
      </c>
      <c r="EU635" s="2" t="n">
        <v>89.75</v>
      </c>
      <c r="EV635" s="2" t="n">
        <v>0</v>
      </c>
      <c r="EW635" s="2" t="n">
        <v>100</v>
      </c>
      <c r="EX635" s="2" t="n">
        <v>95.90000000000001</v>
      </c>
      <c r="EY635" s="2" t="n">
        <v>0</v>
      </c>
      <c r="EZ635" s="2" t="n">
        <v>100</v>
      </c>
      <c r="FA635" s="2" t="n">
        <v>100</v>
      </c>
      <c r="FB635" s="2" t="n">
        <v>0</v>
      </c>
      <c r="FC635" s="2" t="n">
        <v>100</v>
      </c>
      <c r="FD635" s="2" t="n">
        <v>100</v>
      </c>
      <c r="FE635" s="2" t="n">
        <v>0</v>
      </c>
      <c r="FF635" s="2" t="n">
        <v>100</v>
      </c>
      <c r="FG635" s="2" t="n">
        <v>100</v>
      </c>
      <c r="FH635" s="2" t="n">
        <v>0</v>
      </c>
      <c r="FI635" s="2" t="n">
        <v>100</v>
      </c>
      <c r="FJ635" s="2" t="n">
        <v>100</v>
      </c>
      <c r="FK635" s="2" t="n">
        <v>0</v>
      </c>
      <c r="FL635" s="2" t="n">
        <v>100</v>
      </c>
      <c r="FM635" s="2" t="n">
        <v>100</v>
      </c>
      <c r="FN635" s="2" t="n">
        <v>0</v>
      </c>
      <c r="FO635" s="2" t="n">
        <v>100</v>
      </c>
      <c r="FP635" s="2" t="n">
        <v>100</v>
      </c>
      <c r="FQ635" s="2" t="n">
        <v>0</v>
      </c>
    </row>
    <row r="636">
      <c r="A636" s="2" t="n">
        <v>4</v>
      </c>
      <c r="B636" s="2" t="inlineStr">
        <is>
          <t>28.01.03.04</t>
        </is>
      </c>
      <c r="C636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92x240cm - Pilotis</t>
        </is>
      </c>
      <c r="D636" s="2" t="inlineStr">
        <is>
          <t>05/07/2027</t>
        </is>
      </c>
      <c r="E636" s="2" t="inlineStr">
        <is>
          <t>19/09/2028</t>
        </is>
      </c>
      <c r="F636" s="2" t="n">
        <v>3334.53</v>
      </c>
      <c r="G636" s="2" t="n">
        <v>0</v>
      </c>
      <c r="H636" s="2" t="n">
        <v>3334.53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</v>
      </c>
      <c r="CB636" s="2" t="n">
        <v>0</v>
      </c>
      <c r="CC636" s="2" t="n">
        <v>0</v>
      </c>
      <c r="CD636" s="2" t="n">
        <v>0</v>
      </c>
      <c r="CE636" s="2" t="n">
        <v>0</v>
      </c>
      <c r="CF636" s="2" t="n">
        <v>0</v>
      </c>
      <c r="CG636" s="2" t="n">
        <v>0</v>
      </c>
      <c r="CH636" s="2" t="n">
        <v>0</v>
      </c>
      <c r="CI636" s="2" t="n">
        <v>0</v>
      </c>
      <c r="CJ636" s="2" t="n">
        <v>0</v>
      </c>
      <c r="CK636" s="2" t="n">
        <v>0</v>
      </c>
      <c r="CL636" s="2" t="n">
        <v>0</v>
      </c>
      <c r="CM636" s="2" t="n">
        <v>0</v>
      </c>
      <c r="CN636" s="2" t="n">
        <v>0</v>
      </c>
      <c r="CO636" s="2" t="n">
        <v>0</v>
      </c>
      <c r="CP636" s="2" t="n">
        <v>0</v>
      </c>
      <c r="CQ636" s="2" t="n">
        <v>0</v>
      </c>
      <c r="CR636" s="2" t="n">
        <v>0</v>
      </c>
      <c r="CS636" s="2" t="n">
        <v>0</v>
      </c>
      <c r="CT636" s="2" t="n">
        <v>0</v>
      </c>
      <c r="CU636" s="2" t="n">
        <v>0</v>
      </c>
      <c r="CV636" s="2" t="n">
        <v>0</v>
      </c>
      <c r="CW636" s="2" t="n">
        <v>0</v>
      </c>
      <c r="CX636" s="2" t="n">
        <v>0</v>
      </c>
      <c r="CY636" s="2" t="n">
        <v>0</v>
      </c>
      <c r="CZ636" s="2" t="n">
        <v>0</v>
      </c>
      <c r="DA636" s="2" t="n">
        <v>0</v>
      </c>
      <c r="DB636" s="2" t="n">
        <v>0</v>
      </c>
      <c r="DC636" s="2" t="n">
        <v>0</v>
      </c>
      <c r="DD636" s="2" t="n">
        <v>0</v>
      </c>
      <c r="DE636" s="2" t="n">
        <v>0</v>
      </c>
      <c r="DF636" s="2" t="n">
        <v>0</v>
      </c>
      <c r="DG636" s="2" t="n">
        <v>7.79</v>
      </c>
      <c r="DH636" s="2" t="n">
        <v>0</v>
      </c>
      <c r="DI636" s="2" t="n">
        <v>0</v>
      </c>
      <c r="DJ636" s="2" t="n">
        <v>8.609999999999999</v>
      </c>
      <c r="DK636" s="2" t="n">
        <v>4.92</v>
      </c>
      <c r="DL636" s="2" t="n">
        <v>0</v>
      </c>
      <c r="DM636" s="2" t="n">
        <v>19.03</v>
      </c>
      <c r="DN636" s="2" t="n">
        <v>10.83</v>
      </c>
      <c r="DO636" s="2" t="n">
        <v>0</v>
      </c>
      <c r="DP636" s="2" t="n">
        <v>22.48</v>
      </c>
      <c r="DQ636" s="2" t="n">
        <v>10.83</v>
      </c>
      <c r="DR636" s="2" t="n">
        <v>0</v>
      </c>
      <c r="DS636" s="2" t="n">
        <v>28.05</v>
      </c>
      <c r="DT636" s="2" t="n">
        <v>21.91</v>
      </c>
      <c r="DU636" s="2" t="n">
        <v>0</v>
      </c>
      <c r="DV636" s="2" t="n">
        <v>42.92</v>
      </c>
      <c r="DW636" s="2" t="n">
        <v>28.46</v>
      </c>
      <c r="DX636" s="2" t="n">
        <v>0</v>
      </c>
      <c r="DY636" s="2" t="n">
        <v>51.36</v>
      </c>
      <c r="DZ636" s="2" t="n">
        <v>36.48</v>
      </c>
      <c r="EA636" s="2" t="n">
        <v>0</v>
      </c>
      <c r="EB636" s="2" t="n">
        <v>66.52</v>
      </c>
      <c r="EC636" s="2" t="n">
        <v>44.68</v>
      </c>
      <c r="ED636" s="2" t="n">
        <v>0</v>
      </c>
      <c r="EE636" s="2" t="n">
        <v>74.31</v>
      </c>
      <c r="EF636" s="2" t="n">
        <v>50.82</v>
      </c>
      <c r="EG636" s="2" t="n">
        <v>0</v>
      </c>
      <c r="EH636" s="2" t="n">
        <v>87.83</v>
      </c>
      <c r="EI636" s="2" t="n">
        <v>62.42</v>
      </c>
      <c r="EJ636" s="2" t="n">
        <v>0</v>
      </c>
      <c r="EK636" s="2" t="n">
        <v>95.20999999999999</v>
      </c>
      <c r="EL636" s="2" t="n">
        <v>69.39</v>
      </c>
      <c r="EM636" s="2" t="n">
        <v>0</v>
      </c>
      <c r="EN636" s="2" t="n">
        <v>100</v>
      </c>
      <c r="EO636" s="2" t="n">
        <v>78.69</v>
      </c>
      <c r="EP636" s="2" t="n">
        <v>0</v>
      </c>
      <c r="EQ636" s="2" t="n">
        <v>100</v>
      </c>
      <c r="ER636" s="2" t="n">
        <v>83.61</v>
      </c>
      <c r="ES636" s="2" t="n">
        <v>0</v>
      </c>
      <c r="ET636" s="2" t="n">
        <v>100</v>
      </c>
      <c r="EU636" s="2" t="n">
        <v>89.75</v>
      </c>
      <c r="EV636" s="2" t="n">
        <v>0</v>
      </c>
      <c r="EW636" s="2" t="n">
        <v>100</v>
      </c>
      <c r="EX636" s="2" t="n">
        <v>95.90000000000001</v>
      </c>
      <c r="EY636" s="2" t="n">
        <v>0</v>
      </c>
      <c r="EZ636" s="2" t="n">
        <v>100</v>
      </c>
      <c r="FA636" s="2" t="n">
        <v>100</v>
      </c>
      <c r="FB636" s="2" t="n">
        <v>0</v>
      </c>
      <c r="FC636" s="2" t="n">
        <v>100</v>
      </c>
      <c r="FD636" s="2" t="n">
        <v>100</v>
      </c>
      <c r="FE636" s="2" t="n">
        <v>0</v>
      </c>
      <c r="FF636" s="2" t="n">
        <v>100</v>
      </c>
      <c r="FG636" s="2" t="n">
        <v>100</v>
      </c>
      <c r="FH636" s="2" t="n">
        <v>0</v>
      </c>
      <c r="FI636" s="2" t="n">
        <v>100</v>
      </c>
      <c r="FJ636" s="2" t="n">
        <v>100</v>
      </c>
      <c r="FK636" s="2" t="n">
        <v>0</v>
      </c>
      <c r="FL636" s="2" t="n">
        <v>100</v>
      </c>
      <c r="FM636" s="2" t="n">
        <v>100</v>
      </c>
      <c r="FN636" s="2" t="n">
        <v>0</v>
      </c>
      <c r="FO636" s="2" t="n">
        <v>100</v>
      </c>
      <c r="FP636" s="2" t="n">
        <v>100</v>
      </c>
      <c r="FQ636" s="2" t="n">
        <v>0</v>
      </c>
    </row>
    <row r="637">
      <c r="A637" s="2" t="n">
        <v>4</v>
      </c>
      <c r="B637" s="2" t="inlineStr">
        <is>
          <t>28.01.03.05</t>
        </is>
      </c>
      <c r="C637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82x240cm - Pilotis</t>
        </is>
      </c>
      <c r="D637" s="2" t="inlineStr">
        <is>
          <t>05/07/2027</t>
        </is>
      </c>
      <c r="E637" s="2" t="inlineStr">
        <is>
          <t>19/09/2028</t>
        </is>
      </c>
      <c r="F637" s="2" t="n">
        <v>3334.53</v>
      </c>
      <c r="G637" s="2" t="n">
        <v>0</v>
      </c>
      <c r="H637" s="2" t="n">
        <v>3334.53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</v>
      </c>
      <c r="CB637" s="2" t="n">
        <v>0</v>
      </c>
      <c r="CC637" s="2" t="n">
        <v>0</v>
      </c>
      <c r="CD637" s="2" t="n">
        <v>0</v>
      </c>
      <c r="CE637" s="2" t="n">
        <v>0</v>
      </c>
      <c r="CF637" s="2" t="n">
        <v>0</v>
      </c>
      <c r="CG637" s="2" t="n">
        <v>0</v>
      </c>
      <c r="CH637" s="2" t="n">
        <v>0</v>
      </c>
      <c r="CI637" s="2" t="n">
        <v>0</v>
      </c>
      <c r="CJ637" s="2" t="n">
        <v>0</v>
      </c>
      <c r="CK637" s="2" t="n">
        <v>0</v>
      </c>
      <c r="CL637" s="2" t="n">
        <v>0</v>
      </c>
      <c r="CM637" s="2" t="n">
        <v>0</v>
      </c>
      <c r="CN637" s="2" t="n">
        <v>0</v>
      </c>
      <c r="CO637" s="2" t="n">
        <v>0</v>
      </c>
      <c r="CP637" s="2" t="n">
        <v>0</v>
      </c>
      <c r="CQ637" s="2" t="n">
        <v>0</v>
      </c>
      <c r="CR637" s="2" t="n">
        <v>0</v>
      </c>
      <c r="CS637" s="2" t="n">
        <v>0</v>
      </c>
      <c r="CT637" s="2" t="n">
        <v>0</v>
      </c>
      <c r="CU637" s="2" t="n">
        <v>0</v>
      </c>
      <c r="CV637" s="2" t="n">
        <v>0</v>
      </c>
      <c r="CW637" s="2" t="n">
        <v>0</v>
      </c>
      <c r="CX637" s="2" t="n">
        <v>0</v>
      </c>
      <c r="CY637" s="2" t="n">
        <v>0</v>
      </c>
      <c r="CZ637" s="2" t="n">
        <v>0</v>
      </c>
      <c r="DA637" s="2" t="n">
        <v>0</v>
      </c>
      <c r="DB637" s="2" t="n">
        <v>0</v>
      </c>
      <c r="DC637" s="2" t="n">
        <v>0</v>
      </c>
      <c r="DD637" s="2" t="n">
        <v>0</v>
      </c>
      <c r="DE637" s="2" t="n">
        <v>0</v>
      </c>
      <c r="DF637" s="2" t="n">
        <v>0</v>
      </c>
      <c r="DG637" s="2" t="n">
        <v>7.79</v>
      </c>
      <c r="DH637" s="2" t="n">
        <v>0</v>
      </c>
      <c r="DI637" s="2" t="n">
        <v>0</v>
      </c>
      <c r="DJ637" s="2" t="n">
        <v>8.609999999999999</v>
      </c>
      <c r="DK637" s="2" t="n">
        <v>4.92</v>
      </c>
      <c r="DL637" s="2" t="n">
        <v>0</v>
      </c>
      <c r="DM637" s="2" t="n">
        <v>19.03</v>
      </c>
      <c r="DN637" s="2" t="n">
        <v>10.83</v>
      </c>
      <c r="DO637" s="2" t="n">
        <v>0</v>
      </c>
      <c r="DP637" s="2" t="n">
        <v>22.48</v>
      </c>
      <c r="DQ637" s="2" t="n">
        <v>10.83</v>
      </c>
      <c r="DR637" s="2" t="n">
        <v>0</v>
      </c>
      <c r="DS637" s="2" t="n">
        <v>28.05</v>
      </c>
      <c r="DT637" s="2" t="n">
        <v>21.91</v>
      </c>
      <c r="DU637" s="2" t="n">
        <v>0</v>
      </c>
      <c r="DV637" s="2" t="n">
        <v>42.92</v>
      </c>
      <c r="DW637" s="2" t="n">
        <v>28.46</v>
      </c>
      <c r="DX637" s="2" t="n">
        <v>0</v>
      </c>
      <c r="DY637" s="2" t="n">
        <v>51.36</v>
      </c>
      <c r="DZ637" s="2" t="n">
        <v>36.48</v>
      </c>
      <c r="EA637" s="2" t="n">
        <v>0</v>
      </c>
      <c r="EB637" s="2" t="n">
        <v>66.52</v>
      </c>
      <c r="EC637" s="2" t="n">
        <v>44.68</v>
      </c>
      <c r="ED637" s="2" t="n">
        <v>0</v>
      </c>
      <c r="EE637" s="2" t="n">
        <v>74.31</v>
      </c>
      <c r="EF637" s="2" t="n">
        <v>50.82</v>
      </c>
      <c r="EG637" s="2" t="n">
        <v>0</v>
      </c>
      <c r="EH637" s="2" t="n">
        <v>87.83</v>
      </c>
      <c r="EI637" s="2" t="n">
        <v>62.42</v>
      </c>
      <c r="EJ637" s="2" t="n">
        <v>0</v>
      </c>
      <c r="EK637" s="2" t="n">
        <v>95.20999999999999</v>
      </c>
      <c r="EL637" s="2" t="n">
        <v>69.39</v>
      </c>
      <c r="EM637" s="2" t="n">
        <v>0</v>
      </c>
      <c r="EN637" s="2" t="n">
        <v>100</v>
      </c>
      <c r="EO637" s="2" t="n">
        <v>78.69</v>
      </c>
      <c r="EP637" s="2" t="n">
        <v>0</v>
      </c>
      <c r="EQ637" s="2" t="n">
        <v>100</v>
      </c>
      <c r="ER637" s="2" t="n">
        <v>83.61</v>
      </c>
      <c r="ES637" s="2" t="n">
        <v>0</v>
      </c>
      <c r="ET637" s="2" t="n">
        <v>100</v>
      </c>
      <c r="EU637" s="2" t="n">
        <v>89.75</v>
      </c>
      <c r="EV637" s="2" t="n">
        <v>0</v>
      </c>
      <c r="EW637" s="2" t="n">
        <v>100</v>
      </c>
      <c r="EX637" s="2" t="n">
        <v>95.90000000000001</v>
      </c>
      <c r="EY637" s="2" t="n">
        <v>0</v>
      </c>
      <c r="EZ637" s="2" t="n">
        <v>100</v>
      </c>
      <c r="FA637" s="2" t="n">
        <v>100</v>
      </c>
      <c r="FB637" s="2" t="n">
        <v>0</v>
      </c>
      <c r="FC637" s="2" t="n">
        <v>100</v>
      </c>
      <c r="FD637" s="2" t="n">
        <v>100</v>
      </c>
      <c r="FE637" s="2" t="n">
        <v>0</v>
      </c>
      <c r="FF637" s="2" t="n">
        <v>100</v>
      </c>
      <c r="FG637" s="2" t="n">
        <v>100</v>
      </c>
      <c r="FH637" s="2" t="n">
        <v>0</v>
      </c>
      <c r="FI637" s="2" t="n">
        <v>100</v>
      </c>
      <c r="FJ637" s="2" t="n">
        <v>100</v>
      </c>
      <c r="FK637" s="2" t="n">
        <v>0</v>
      </c>
      <c r="FL637" s="2" t="n">
        <v>100</v>
      </c>
      <c r="FM637" s="2" t="n">
        <v>100</v>
      </c>
      <c r="FN637" s="2" t="n">
        <v>0</v>
      </c>
      <c r="FO637" s="2" t="n">
        <v>100</v>
      </c>
      <c r="FP637" s="2" t="n">
        <v>100</v>
      </c>
      <c r="FQ637" s="2" t="n">
        <v>0</v>
      </c>
    </row>
    <row r="638">
      <c r="A638" s="2" t="n">
        <v>4</v>
      </c>
      <c r="B638" s="2" t="inlineStr">
        <is>
          <t>28.01.03.06</t>
        </is>
      </c>
      <c r="C638" s="2" t="inlineStr">
        <is>
          <t>P - Porta em marcenaria piso-forro cor branca alizar 10cm/ Fechadura eletrônica, 102x260cm - Hall serviço cobertura</t>
        </is>
      </c>
      <c r="D638" s="2" t="inlineStr">
        <is>
          <t>05/07/2027</t>
        </is>
      </c>
      <c r="E638" s="2" t="inlineStr">
        <is>
          <t>19/09/2028</t>
        </is>
      </c>
      <c r="F638" s="2" t="n">
        <v>2673.92</v>
      </c>
      <c r="G638" s="2" t="n">
        <v>0</v>
      </c>
      <c r="H638" s="2" t="n">
        <v>2673.92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</v>
      </c>
      <c r="CB638" s="2" t="n">
        <v>0</v>
      </c>
      <c r="CC638" s="2" t="n">
        <v>0</v>
      </c>
      <c r="CD638" s="2" t="n">
        <v>0</v>
      </c>
      <c r="CE638" s="2" t="n">
        <v>0</v>
      </c>
      <c r="CF638" s="2" t="n">
        <v>0</v>
      </c>
      <c r="CG638" s="2" t="n">
        <v>0</v>
      </c>
      <c r="CH638" s="2" t="n">
        <v>0</v>
      </c>
      <c r="CI638" s="2" t="n">
        <v>0</v>
      </c>
      <c r="CJ638" s="2" t="n">
        <v>0</v>
      </c>
      <c r="CK638" s="2" t="n">
        <v>0</v>
      </c>
      <c r="CL638" s="2" t="n">
        <v>0</v>
      </c>
      <c r="CM638" s="2" t="n">
        <v>0</v>
      </c>
      <c r="CN638" s="2" t="n">
        <v>0</v>
      </c>
      <c r="CO638" s="2" t="n">
        <v>0</v>
      </c>
      <c r="CP638" s="2" t="n">
        <v>0</v>
      </c>
      <c r="CQ638" s="2" t="n">
        <v>0</v>
      </c>
      <c r="CR638" s="2" t="n">
        <v>0</v>
      </c>
      <c r="CS638" s="2" t="n">
        <v>0</v>
      </c>
      <c r="CT638" s="2" t="n">
        <v>0</v>
      </c>
      <c r="CU638" s="2" t="n">
        <v>0</v>
      </c>
      <c r="CV638" s="2" t="n">
        <v>0</v>
      </c>
      <c r="CW638" s="2" t="n">
        <v>0</v>
      </c>
      <c r="CX638" s="2" t="n">
        <v>0</v>
      </c>
      <c r="CY638" s="2" t="n">
        <v>0</v>
      </c>
      <c r="CZ638" s="2" t="n">
        <v>0</v>
      </c>
      <c r="DA638" s="2" t="n">
        <v>0</v>
      </c>
      <c r="DB638" s="2" t="n">
        <v>0</v>
      </c>
      <c r="DC638" s="2" t="n">
        <v>0</v>
      </c>
      <c r="DD638" s="2" t="n">
        <v>0</v>
      </c>
      <c r="DE638" s="2" t="n">
        <v>0</v>
      </c>
      <c r="DF638" s="2" t="n">
        <v>0</v>
      </c>
      <c r="DG638" s="2" t="n">
        <v>7.79</v>
      </c>
      <c r="DH638" s="2" t="n">
        <v>0</v>
      </c>
      <c r="DI638" s="2" t="n">
        <v>0</v>
      </c>
      <c r="DJ638" s="2" t="n">
        <v>8.609999999999999</v>
      </c>
      <c r="DK638" s="2" t="n">
        <v>4.92</v>
      </c>
      <c r="DL638" s="2" t="n">
        <v>0</v>
      </c>
      <c r="DM638" s="2" t="n">
        <v>19.03</v>
      </c>
      <c r="DN638" s="2" t="n">
        <v>10.83</v>
      </c>
      <c r="DO638" s="2" t="n">
        <v>0</v>
      </c>
      <c r="DP638" s="2" t="n">
        <v>22.48</v>
      </c>
      <c r="DQ638" s="2" t="n">
        <v>10.83</v>
      </c>
      <c r="DR638" s="2" t="n">
        <v>0</v>
      </c>
      <c r="DS638" s="2" t="n">
        <v>28.05</v>
      </c>
      <c r="DT638" s="2" t="n">
        <v>21.91</v>
      </c>
      <c r="DU638" s="2" t="n">
        <v>0</v>
      </c>
      <c r="DV638" s="2" t="n">
        <v>42.92</v>
      </c>
      <c r="DW638" s="2" t="n">
        <v>28.46</v>
      </c>
      <c r="DX638" s="2" t="n">
        <v>0</v>
      </c>
      <c r="DY638" s="2" t="n">
        <v>51.36</v>
      </c>
      <c r="DZ638" s="2" t="n">
        <v>36.48</v>
      </c>
      <c r="EA638" s="2" t="n">
        <v>0</v>
      </c>
      <c r="EB638" s="2" t="n">
        <v>66.52</v>
      </c>
      <c r="EC638" s="2" t="n">
        <v>44.68</v>
      </c>
      <c r="ED638" s="2" t="n">
        <v>0</v>
      </c>
      <c r="EE638" s="2" t="n">
        <v>74.31</v>
      </c>
      <c r="EF638" s="2" t="n">
        <v>50.82</v>
      </c>
      <c r="EG638" s="2" t="n">
        <v>0</v>
      </c>
      <c r="EH638" s="2" t="n">
        <v>87.83</v>
      </c>
      <c r="EI638" s="2" t="n">
        <v>62.42</v>
      </c>
      <c r="EJ638" s="2" t="n">
        <v>0</v>
      </c>
      <c r="EK638" s="2" t="n">
        <v>95.20999999999999</v>
      </c>
      <c r="EL638" s="2" t="n">
        <v>69.39</v>
      </c>
      <c r="EM638" s="2" t="n">
        <v>0</v>
      </c>
      <c r="EN638" s="2" t="n">
        <v>100</v>
      </c>
      <c r="EO638" s="2" t="n">
        <v>78.69</v>
      </c>
      <c r="EP638" s="2" t="n">
        <v>0</v>
      </c>
      <c r="EQ638" s="2" t="n">
        <v>100</v>
      </c>
      <c r="ER638" s="2" t="n">
        <v>83.61</v>
      </c>
      <c r="ES638" s="2" t="n">
        <v>0</v>
      </c>
      <c r="ET638" s="2" t="n">
        <v>100</v>
      </c>
      <c r="EU638" s="2" t="n">
        <v>89.75</v>
      </c>
      <c r="EV638" s="2" t="n">
        <v>0</v>
      </c>
      <c r="EW638" s="2" t="n">
        <v>100</v>
      </c>
      <c r="EX638" s="2" t="n">
        <v>95.90000000000001</v>
      </c>
      <c r="EY638" s="2" t="n">
        <v>0</v>
      </c>
      <c r="EZ638" s="2" t="n">
        <v>100</v>
      </c>
      <c r="FA638" s="2" t="n">
        <v>100</v>
      </c>
      <c r="FB638" s="2" t="n">
        <v>0</v>
      </c>
      <c r="FC638" s="2" t="n">
        <v>100</v>
      </c>
      <c r="FD638" s="2" t="n">
        <v>100</v>
      </c>
      <c r="FE638" s="2" t="n">
        <v>0</v>
      </c>
      <c r="FF638" s="2" t="n">
        <v>100</v>
      </c>
      <c r="FG638" s="2" t="n">
        <v>100</v>
      </c>
      <c r="FH638" s="2" t="n">
        <v>0</v>
      </c>
      <c r="FI638" s="2" t="n">
        <v>100</v>
      </c>
      <c r="FJ638" s="2" t="n">
        <v>100</v>
      </c>
      <c r="FK638" s="2" t="n">
        <v>0</v>
      </c>
      <c r="FL638" s="2" t="n">
        <v>100</v>
      </c>
      <c r="FM638" s="2" t="n">
        <v>100</v>
      </c>
      <c r="FN638" s="2" t="n">
        <v>0</v>
      </c>
      <c r="FO638" s="2" t="n">
        <v>100</v>
      </c>
      <c r="FP638" s="2" t="n">
        <v>100</v>
      </c>
      <c r="FQ638" s="2" t="n">
        <v>0</v>
      </c>
    </row>
    <row r="639">
      <c r="A639" s="2" t="n">
        <v>4</v>
      </c>
      <c r="B639" s="2" t="inlineStr">
        <is>
          <t>28.01.03.07</t>
        </is>
      </c>
      <c r="C639" s="2" t="inlineStr">
        <is>
          <t>P - Porta em marcenaria piso-forro cor branca alizar 10cm, 102x300cm  - Hall serviço cobertura</t>
        </is>
      </c>
      <c r="D639" s="2" t="inlineStr">
        <is>
          <t>05/07/2027</t>
        </is>
      </c>
      <c r="E639" s="2" t="inlineStr">
        <is>
          <t>19/09/2028</t>
        </is>
      </c>
      <c r="F639" s="2" t="n">
        <v>2673.92</v>
      </c>
      <c r="G639" s="2" t="n">
        <v>0</v>
      </c>
      <c r="H639" s="2" t="n">
        <v>2673.92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</v>
      </c>
      <c r="CB639" s="2" t="n">
        <v>0</v>
      </c>
      <c r="CC639" s="2" t="n">
        <v>0</v>
      </c>
      <c r="CD639" s="2" t="n">
        <v>0</v>
      </c>
      <c r="CE639" s="2" t="n">
        <v>0</v>
      </c>
      <c r="CF639" s="2" t="n">
        <v>0</v>
      </c>
      <c r="CG639" s="2" t="n">
        <v>0</v>
      </c>
      <c r="CH639" s="2" t="n">
        <v>0</v>
      </c>
      <c r="CI639" s="2" t="n">
        <v>0</v>
      </c>
      <c r="CJ639" s="2" t="n">
        <v>0</v>
      </c>
      <c r="CK639" s="2" t="n">
        <v>0</v>
      </c>
      <c r="CL639" s="2" t="n">
        <v>0</v>
      </c>
      <c r="CM639" s="2" t="n">
        <v>0</v>
      </c>
      <c r="CN639" s="2" t="n">
        <v>0</v>
      </c>
      <c r="CO639" s="2" t="n">
        <v>0</v>
      </c>
      <c r="CP639" s="2" t="n">
        <v>0</v>
      </c>
      <c r="CQ639" s="2" t="n">
        <v>0</v>
      </c>
      <c r="CR639" s="2" t="n">
        <v>0</v>
      </c>
      <c r="CS639" s="2" t="n">
        <v>0</v>
      </c>
      <c r="CT639" s="2" t="n">
        <v>0</v>
      </c>
      <c r="CU639" s="2" t="n">
        <v>0</v>
      </c>
      <c r="CV639" s="2" t="n">
        <v>0</v>
      </c>
      <c r="CW639" s="2" t="n">
        <v>0</v>
      </c>
      <c r="CX639" s="2" t="n">
        <v>0</v>
      </c>
      <c r="CY639" s="2" t="n">
        <v>0</v>
      </c>
      <c r="CZ639" s="2" t="n">
        <v>0</v>
      </c>
      <c r="DA639" s="2" t="n">
        <v>0</v>
      </c>
      <c r="DB639" s="2" t="n">
        <v>0</v>
      </c>
      <c r="DC639" s="2" t="n">
        <v>0</v>
      </c>
      <c r="DD639" s="2" t="n">
        <v>0</v>
      </c>
      <c r="DE639" s="2" t="n">
        <v>0</v>
      </c>
      <c r="DF639" s="2" t="n">
        <v>0</v>
      </c>
      <c r="DG639" s="2" t="n">
        <v>7.79</v>
      </c>
      <c r="DH639" s="2" t="n">
        <v>0</v>
      </c>
      <c r="DI639" s="2" t="n">
        <v>0</v>
      </c>
      <c r="DJ639" s="2" t="n">
        <v>8.609999999999999</v>
      </c>
      <c r="DK639" s="2" t="n">
        <v>4.92</v>
      </c>
      <c r="DL639" s="2" t="n">
        <v>0</v>
      </c>
      <c r="DM639" s="2" t="n">
        <v>19.03</v>
      </c>
      <c r="DN639" s="2" t="n">
        <v>10.83</v>
      </c>
      <c r="DO639" s="2" t="n">
        <v>0</v>
      </c>
      <c r="DP639" s="2" t="n">
        <v>22.48</v>
      </c>
      <c r="DQ639" s="2" t="n">
        <v>10.83</v>
      </c>
      <c r="DR639" s="2" t="n">
        <v>0</v>
      </c>
      <c r="DS639" s="2" t="n">
        <v>28.05</v>
      </c>
      <c r="DT639" s="2" t="n">
        <v>21.91</v>
      </c>
      <c r="DU639" s="2" t="n">
        <v>0</v>
      </c>
      <c r="DV639" s="2" t="n">
        <v>42.92</v>
      </c>
      <c r="DW639" s="2" t="n">
        <v>28.46</v>
      </c>
      <c r="DX639" s="2" t="n">
        <v>0</v>
      </c>
      <c r="DY639" s="2" t="n">
        <v>51.36</v>
      </c>
      <c r="DZ639" s="2" t="n">
        <v>36.48</v>
      </c>
      <c r="EA639" s="2" t="n">
        <v>0</v>
      </c>
      <c r="EB639" s="2" t="n">
        <v>66.52</v>
      </c>
      <c r="EC639" s="2" t="n">
        <v>44.68</v>
      </c>
      <c r="ED639" s="2" t="n">
        <v>0</v>
      </c>
      <c r="EE639" s="2" t="n">
        <v>74.31</v>
      </c>
      <c r="EF639" s="2" t="n">
        <v>50.82</v>
      </c>
      <c r="EG639" s="2" t="n">
        <v>0</v>
      </c>
      <c r="EH639" s="2" t="n">
        <v>87.83</v>
      </c>
      <c r="EI639" s="2" t="n">
        <v>62.42</v>
      </c>
      <c r="EJ639" s="2" t="n">
        <v>0</v>
      </c>
      <c r="EK639" s="2" t="n">
        <v>95.20999999999999</v>
      </c>
      <c r="EL639" s="2" t="n">
        <v>69.39</v>
      </c>
      <c r="EM639" s="2" t="n">
        <v>0</v>
      </c>
      <c r="EN639" s="2" t="n">
        <v>100</v>
      </c>
      <c r="EO639" s="2" t="n">
        <v>78.69</v>
      </c>
      <c r="EP639" s="2" t="n">
        <v>0</v>
      </c>
      <c r="EQ639" s="2" t="n">
        <v>100</v>
      </c>
      <c r="ER639" s="2" t="n">
        <v>83.61</v>
      </c>
      <c r="ES639" s="2" t="n">
        <v>0</v>
      </c>
      <c r="ET639" s="2" t="n">
        <v>100</v>
      </c>
      <c r="EU639" s="2" t="n">
        <v>89.75</v>
      </c>
      <c r="EV639" s="2" t="n">
        <v>0</v>
      </c>
      <c r="EW639" s="2" t="n">
        <v>100</v>
      </c>
      <c r="EX639" s="2" t="n">
        <v>95.90000000000001</v>
      </c>
      <c r="EY639" s="2" t="n">
        <v>0</v>
      </c>
      <c r="EZ639" s="2" t="n">
        <v>100</v>
      </c>
      <c r="FA639" s="2" t="n">
        <v>100</v>
      </c>
      <c r="FB639" s="2" t="n">
        <v>0</v>
      </c>
      <c r="FC639" s="2" t="n">
        <v>100</v>
      </c>
      <c r="FD639" s="2" t="n">
        <v>100</v>
      </c>
      <c r="FE639" s="2" t="n">
        <v>0</v>
      </c>
      <c r="FF639" s="2" t="n">
        <v>100</v>
      </c>
      <c r="FG639" s="2" t="n">
        <v>100</v>
      </c>
      <c r="FH639" s="2" t="n">
        <v>0</v>
      </c>
      <c r="FI639" s="2" t="n">
        <v>100</v>
      </c>
      <c r="FJ639" s="2" t="n">
        <v>100</v>
      </c>
      <c r="FK639" s="2" t="n">
        <v>0</v>
      </c>
      <c r="FL639" s="2" t="n">
        <v>100</v>
      </c>
      <c r="FM639" s="2" t="n">
        <v>100</v>
      </c>
      <c r="FN639" s="2" t="n">
        <v>0</v>
      </c>
      <c r="FO639" s="2" t="n">
        <v>100</v>
      </c>
      <c r="FP639" s="2" t="n">
        <v>100</v>
      </c>
      <c r="FQ639" s="2" t="n">
        <v>0</v>
      </c>
    </row>
    <row r="640">
      <c r="A640" s="2" t="n">
        <v>4</v>
      </c>
      <c r="B640" s="2" t="inlineStr">
        <is>
          <t>28.01.03.08</t>
        </is>
      </c>
      <c r="C640" s="2" t="inlineStr">
        <is>
          <t>P23 - PIM Porta de Correr Bondoor 2400x1180x35mm - Laca Branco - LISA - HDF 3mm - Cozinha</t>
        </is>
      </c>
      <c r="D640" s="2" t="inlineStr">
        <is>
          <t>05/07/2027</t>
        </is>
      </c>
      <c r="E640" s="2" t="inlineStr">
        <is>
          <t>19/09/2028</t>
        </is>
      </c>
      <c r="F640" s="2" t="n">
        <v>76478.16</v>
      </c>
      <c r="G640" s="2" t="n">
        <v>0</v>
      </c>
      <c r="H640" s="2" t="n">
        <v>76478.16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</v>
      </c>
      <c r="CJ640" s="2" t="n">
        <v>0</v>
      </c>
      <c r="CK640" s="2" t="n">
        <v>0</v>
      </c>
      <c r="CL640" s="2" t="n">
        <v>0</v>
      </c>
      <c r="CM640" s="2" t="n">
        <v>0</v>
      </c>
      <c r="CN640" s="2" t="n">
        <v>0</v>
      </c>
      <c r="CO640" s="2" t="n">
        <v>0</v>
      </c>
      <c r="CP640" s="2" t="n">
        <v>0</v>
      </c>
      <c r="CQ640" s="2" t="n">
        <v>0</v>
      </c>
      <c r="CR640" s="2" t="n">
        <v>0</v>
      </c>
      <c r="CS640" s="2" t="n">
        <v>0</v>
      </c>
      <c r="CT640" s="2" t="n">
        <v>0</v>
      </c>
      <c r="CU640" s="2" t="n">
        <v>0</v>
      </c>
      <c r="CV640" s="2" t="n">
        <v>0</v>
      </c>
      <c r="CW640" s="2" t="n">
        <v>0</v>
      </c>
      <c r="CX640" s="2" t="n">
        <v>0</v>
      </c>
      <c r="CY640" s="2" t="n">
        <v>0</v>
      </c>
      <c r="CZ640" s="2" t="n">
        <v>0</v>
      </c>
      <c r="DA640" s="2" t="n">
        <v>0</v>
      </c>
      <c r="DB640" s="2" t="n">
        <v>0</v>
      </c>
      <c r="DC640" s="2" t="n">
        <v>0</v>
      </c>
      <c r="DD640" s="2" t="n">
        <v>0</v>
      </c>
      <c r="DE640" s="2" t="n">
        <v>0</v>
      </c>
      <c r="DF640" s="2" t="n">
        <v>0</v>
      </c>
      <c r="DG640" s="2" t="n">
        <v>7.79</v>
      </c>
      <c r="DH640" s="2" t="n">
        <v>0</v>
      </c>
      <c r="DI640" s="2" t="n">
        <v>0</v>
      </c>
      <c r="DJ640" s="2" t="n">
        <v>8.609999999999999</v>
      </c>
      <c r="DK640" s="2" t="n">
        <v>4.92</v>
      </c>
      <c r="DL640" s="2" t="n">
        <v>0</v>
      </c>
      <c r="DM640" s="2" t="n">
        <v>19.03</v>
      </c>
      <c r="DN640" s="2" t="n">
        <v>10.83</v>
      </c>
      <c r="DO640" s="2" t="n">
        <v>0</v>
      </c>
      <c r="DP640" s="2" t="n">
        <v>22.48</v>
      </c>
      <c r="DQ640" s="2" t="n">
        <v>10.83</v>
      </c>
      <c r="DR640" s="2" t="n">
        <v>0</v>
      </c>
      <c r="DS640" s="2" t="n">
        <v>28.05</v>
      </c>
      <c r="DT640" s="2" t="n">
        <v>21.91</v>
      </c>
      <c r="DU640" s="2" t="n">
        <v>0</v>
      </c>
      <c r="DV640" s="2" t="n">
        <v>42.92</v>
      </c>
      <c r="DW640" s="2" t="n">
        <v>28.46</v>
      </c>
      <c r="DX640" s="2" t="n">
        <v>0</v>
      </c>
      <c r="DY640" s="2" t="n">
        <v>51.36</v>
      </c>
      <c r="DZ640" s="2" t="n">
        <v>36.48</v>
      </c>
      <c r="EA640" s="2" t="n">
        <v>0</v>
      </c>
      <c r="EB640" s="2" t="n">
        <v>66.52</v>
      </c>
      <c r="EC640" s="2" t="n">
        <v>44.68</v>
      </c>
      <c r="ED640" s="2" t="n">
        <v>0</v>
      </c>
      <c r="EE640" s="2" t="n">
        <v>74.31</v>
      </c>
      <c r="EF640" s="2" t="n">
        <v>50.82</v>
      </c>
      <c r="EG640" s="2" t="n">
        <v>0</v>
      </c>
      <c r="EH640" s="2" t="n">
        <v>87.83</v>
      </c>
      <c r="EI640" s="2" t="n">
        <v>62.42</v>
      </c>
      <c r="EJ640" s="2" t="n">
        <v>0</v>
      </c>
      <c r="EK640" s="2" t="n">
        <v>95.20999999999999</v>
      </c>
      <c r="EL640" s="2" t="n">
        <v>69.39</v>
      </c>
      <c r="EM640" s="2" t="n">
        <v>0</v>
      </c>
      <c r="EN640" s="2" t="n">
        <v>100</v>
      </c>
      <c r="EO640" s="2" t="n">
        <v>78.69</v>
      </c>
      <c r="EP640" s="2" t="n">
        <v>0</v>
      </c>
      <c r="EQ640" s="2" t="n">
        <v>100</v>
      </c>
      <c r="ER640" s="2" t="n">
        <v>83.61</v>
      </c>
      <c r="ES640" s="2" t="n">
        <v>0</v>
      </c>
      <c r="ET640" s="2" t="n">
        <v>100</v>
      </c>
      <c r="EU640" s="2" t="n">
        <v>89.75</v>
      </c>
      <c r="EV640" s="2" t="n">
        <v>0</v>
      </c>
      <c r="EW640" s="2" t="n">
        <v>100</v>
      </c>
      <c r="EX640" s="2" t="n">
        <v>95.90000000000001</v>
      </c>
      <c r="EY640" s="2" t="n">
        <v>0</v>
      </c>
      <c r="EZ640" s="2" t="n">
        <v>100</v>
      </c>
      <c r="FA640" s="2" t="n">
        <v>100</v>
      </c>
      <c r="FB640" s="2" t="n">
        <v>0</v>
      </c>
      <c r="FC640" s="2" t="n">
        <v>100</v>
      </c>
      <c r="FD640" s="2" t="n">
        <v>100</v>
      </c>
      <c r="FE640" s="2" t="n">
        <v>0</v>
      </c>
      <c r="FF640" s="2" t="n">
        <v>100</v>
      </c>
      <c r="FG640" s="2" t="n">
        <v>100</v>
      </c>
      <c r="FH640" s="2" t="n">
        <v>0</v>
      </c>
      <c r="FI640" s="2" t="n">
        <v>100</v>
      </c>
      <c r="FJ640" s="2" t="n">
        <v>100</v>
      </c>
      <c r="FK640" s="2" t="n">
        <v>0</v>
      </c>
      <c r="FL640" s="2" t="n">
        <v>100</v>
      </c>
      <c r="FM640" s="2" t="n">
        <v>100</v>
      </c>
      <c r="FN640" s="2" t="n">
        <v>0</v>
      </c>
      <c r="FO640" s="2" t="n">
        <v>100</v>
      </c>
      <c r="FP640" s="2" t="n">
        <v>100</v>
      </c>
      <c r="FQ640" s="2" t="n">
        <v>0</v>
      </c>
    </row>
    <row r="641">
      <c r="A641" s="2" t="n">
        <v>4</v>
      </c>
      <c r="B641" s="2" t="inlineStr">
        <is>
          <t>28.01.03.09</t>
        </is>
      </c>
      <c r="C641" s="2" t="inlineStr">
        <is>
          <t>P24 - PIM Porta de giro BONDOOR 2400x720x41mm - Laca Branco - LISA / HDF 6mm - Lavabo</t>
        </is>
      </c>
      <c r="D641" s="2" t="inlineStr">
        <is>
          <t>05/07/2027</t>
        </is>
      </c>
      <c r="E641" s="2" t="inlineStr">
        <is>
          <t>19/09/2028</t>
        </is>
      </c>
      <c r="F641" s="2" t="n">
        <v>55997.48</v>
      </c>
      <c r="G641" s="2" t="n">
        <v>0</v>
      </c>
      <c r="H641" s="2" t="n">
        <v>55997.48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0</v>
      </c>
      <c r="CM641" s="2" t="n">
        <v>0</v>
      </c>
      <c r="CN641" s="2" t="n">
        <v>0</v>
      </c>
      <c r="CO641" s="2" t="n">
        <v>0</v>
      </c>
      <c r="CP641" s="2" t="n">
        <v>0</v>
      </c>
      <c r="CQ641" s="2" t="n">
        <v>0</v>
      </c>
      <c r="CR641" s="2" t="n">
        <v>0</v>
      </c>
      <c r="CS641" s="2" t="n">
        <v>0</v>
      </c>
      <c r="CT641" s="2" t="n">
        <v>0</v>
      </c>
      <c r="CU641" s="2" t="n">
        <v>0</v>
      </c>
      <c r="CV641" s="2" t="n">
        <v>0</v>
      </c>
      <c r="CW641" s="2" t="n">
        <v>0</v>
      </c>
      <c r="CX641" s="2" t="n">
        <v>0</v>
      </c>
      <c r="CY641" s="2" t="n">
        <v>0</v>
      </c>
      <c r="CZ641" s="2" t="n">
        <v>0</v>
      </c>
      <c r="DA641" s="2" t="n">
        <v>0</v>
      </c>
      <c r="DB641" s="2" t="n">
        <v>0</v>
      </c>
      <c r="DC641" s="2" t="n">
        <v>0</v>
      </c>
      <c r="DD641" s="2" t="n">
        <v>0</v>
      </c>
      <c r="DE641" s="2" t="n">
        <v>0</v>
      </c>
      <c r="DF641" s="2" t="n">
        <v>0</v>
      </c>
      <c r="DG641" s="2" t="n">
        <v>7.79</v>
      </c>
      <c r="DH641" s="2" t="n">
        <v>0</v>
      </c>
      <c r="DI641" s="2" t="n">
        <v>0</v>
      </c>
      <c r="DJ641" s="2" t="n">
        <v>8.609999999999999</v>
      </c>
      <c r="DK641" s="2" t="n">
        <v>4.92</v>
      </c>
      <c r="DL641" s="2" t="n">
        <v>0</v>
      </c>
      <c r="DM641" s="2" t="n">
        <v>19.03</v>
      </c>
      <c r="DN641" s="2" t="n">
        <v>10.83</v>
      </c>
      <c r="DO641" s="2" t="n">
        <v>0</v>
      </c>
      <c r="DP641" s="2" t="n">
        <v>22.48</v>
      </c>
      <c r="DQ641" s="2" t="n">
        <v>10.83</v>
      </c>
      <c r="DR641" s="2" t="n">
        <v>0</v>
      </c>
      <c r="DS641" s="2" t="n">
        <v>28.05</v>
      </c>
      <c r="DT641" s="2" t="n">
        <v>21.91</v>
      </c>
      <c r="DU641" s="2" t="n">
        <v>0</v>
      </c>
      <c r="DV641" s="2" t="n">
        <v>42.92</v>
      </c>
      <c r="DW641" s="2" t="n">
        <v>28.46</v>
      </c>
      <c r="DX641" s="2" t="n">
        <v>0</v>
      </c>
      <c r="DY641" s="2" t="n">
        <v>51.36</v>
      </c>
      <c r="DZ641" s="2" t="n">
        <v>36.48</v>
      </c>
      <c r="EA641" s="2" t="n">
        <v>0</v>
      </c>
      <c r="EB641" s="2" t="n">
        <v>66.52</v>
      </c>
      <c r="EC641" s="2" t="n">
        <v>44.68</v>
      </c>
      <c r="ED641" s="2" t="n">
        <v>0</v>
      </c>
      <c r="EE641" s="2" t="n">
        <v>74.31</v>
      </c>
      <c r="EF641" s="2" t="n">
        <v>50.82</v>
      </c>
      <c r="EG641" s="2" t="n">
        <v>0</v>
      </c>
      <c r="EH641" s="2" t="n">
        <v>87.83</v>
      </c>
      <c r="EI641" s="2" t="n">
        <v>62.42</v>
      </c>
      <c r="EJ641" s="2" t="n">
        <v>0</v>
      </c>
      <c r="EK641" s="2" t="n">
        <v>95.20999999999999</v>
      </c>
      <c r="EL641" s="2" t="n">
        <v>69.39</v>
      </c>
      <c r="EM641" s="2" t="n">
        <v>0</v>
      </c>
      <c r="EN641" s="2" t="n">
        <v>100</v>
      </c>
      <c r="EO641" s="2" t="n">
        <v>78.69</v>
      </c>
      <c r="EP641" s="2" t="n">
        <v>0</v>
      </c>
      <c r="EQ641" s="2" t="n">
        <v>100</v>
      </c>
      <c r="ER641" s="2" t="n">
        <v>83.61</v>
      </c>
      <c r="ES641" s="2" t="n">
        <v>0</v>
      </c>
      <c r="ET641" s="2" t="n">
        <v>100</v>
      </c>
      <c r="EU641" s="2" t="n">
        <v>89.75</v>
      </c>
      <c r="EV641" s="2" t="n">
        <v>0</v>
      </c>
      <c r="EW641" s="2" t="n">
        <v>100</v>
      </c>
      <c r="EX641" s="2" t="n">
        <v>95.90000000000001</v>
      </c>
      <c r="EY641" s="2" t="n">
        <v>0</v>
      </c>
      <c r="EZ641" s="2" t="n">
        <v>100</v>
      </c>
      <c r="FA641" s="2" t="n">
        <v>100</v>
      </c>
      <c r="FB641" s="2" t="n">
        <v>0</v>
      </c>
      <c r="FC641" s="2" t="n">
        <v>100</v>
      </c>
      <c r="FD641" s="2" t="n">
        <v>100</v>
      </c>
      <c r="FE641" s="2" t="n">
        <v>0</v>
      </c>
      <c r="FF641" s="2" t="n">
        <v>100</v>
      </c>
      <c r="FG641" s="2" t="n">
        <v>100</v>
      </c>
      <c r="FH641" s="2" t="n">
        <v>0</v>
      </c>
      <c r="FI641" s="2" t="n">
        <v>100</v>
      </c>
      <c r="FJ641" s="2" t="n">
        <v>100</v>
      </c>
      <c r="FK641" s="2" t="n">
        <v>0</v>
      </c>
      <c r="FL641" s="2" t="n">
        <v>100</v>
      </c>
      <c r="FM641" s="2" t="n">
        <v>100</v>
      </c>
      <c r="FN641" s="2" t="n">
        <v>0</v>
      </c>
      <c r="FO641" s="2" t="n">
        <v>100</v>
      </c>
      <c r="FP641" s="2" t="n">
        <v>100</v>
      </c>
      <c r="FQ641" s="2" t="n">
        <v>0</v>
      </c>
    </row>
    <row r="642">
      <c r="A642" s="2" t="n">
        <v>4</v>
      </c>
      <c r="B642" s="2" t="inlineStr">
        <is>
          <t>28.01.03.10</t>
        </is>
      </c>
      <c r="C642" s="2" t="inlineStr">
        <is>
          <t>P25 - PIM Porta de giro BONDOOR 2400x820x41mm - Laca Branco - LISA / HDF 6mm - Suites</t>
        </is>
      </c>
      <c r="D642" s="2" t="inlineStr">
        <is>
          <t>05/07/2027</t>
        </is>
      </c>
      <c r="E642" s="2" t="inlineStr">
        <is>
          <t>19/09/2028</t>
        </is>
      </c>
      <c r="F642" s="2" t="n">
        <v>403090.3799999999</v>
      </c>
      <c r="G642" s="2" t="n">
        <v>0</v>
      </c>
      <c r="H642" s="2" t="n">
        <v>403090.3799999999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0</v>
      </c>
      <c r="CM642" s="2" t="n">
        <v>0</v>
      </c>
      <c r="CN642" s="2" t="n">
        <v>0</v>
      </c>
      <c r="CO642" s="2" t="n">
        <v>0</v>
      </c>
      <c r="CP642" s="2" t="n">
        <v>0</v>
      </c>
      <c r="CQ642" s="2" t="n">
        <v>0</v>
      </c>
      <c r="CR642" s="2" t="n">
        <v>0</v>
      </c>
      <c r="CS642" s="2" t="n">
        <v>0</v>
      </c>
      <c r="CT642" s="2" t="n">
        <v>0</v>
      </c>
      <c r="CU642" s="2" t="n">
        <v>0</v>
      </c>
      <c r="CV642" s="2" t="n">
        <v>0</v>
      </c>
      <c r="CW642" s="2" t="n">
        <v>0</v>
      </c>
      <c r="CX642" s="2" t="n">
        <v>0</v>
      </c>
      <c r="CY642" s="2" t="n">
        <v>0</v>
      </c>
      <c r="CZ642" s="2" t="n">
        <v>0</v>
      </c>
      <c r="DA642" s="2" t="n">
        <v>0</v>
      </c>
      <c r="DB642" s="2" t="n">
        <v>0</v>
      </c>
      <c r="DC642" s="2" t="n">
        <v>0</v>
      </c>
      <c r="DD642" s="2" t="n">
        <v>0</v>
      </c>
      <c r="DE642" s="2" t="n">
        <v>0</v>
      </c>
      <c r="DF642" s="2" t="n">
        <v>0</v>
      </c>
      <c r="DG642" s="2" t="n">
        <v>7.79</v>
      </c>
      <c r="DH642" s="2" t="n">
        <v>0</v>
      </c>
      <c r="DI642" s="2" t="n">
        <v>0</v>
      </c>
      <c r="DJ642" s="2" t="n">
        <v>8.609999999999999</v>
      </c>
      <c r="DK642" s="2" t="n">
        <v>4.92</v>
      </c>
      <c r="DL642" s="2" t="n">
        <v>0</v>
      </c>
      <c r="DM642" s="2" t="n">
        <v>19.03</v>
      </c>
      <c r="DN642" s="2" t="n">
        <v>10.83</v>
      </c>
      <c r="DO642" s="2" t="n">
        <v>0</v>
      </c>
      <c r="DP642" s="2" t="n">
        <v>22.48</v>
      </c>
      <c r="DQ642" s="2" t="n">
        <v>10.83</v>
      </c>
      <c r="DR642" s="2" t="n">
        <v>0</v>
      </c>
      <c r="DS642" s="2" t="n">
        <v>28.05</v>
      </c>
      <c r="DT642" s="2" t="n">
        <v>21.91</v>
      </c>
      <c r="DU642" s="2" t="n">
        <v>0</v>
      </c>
      <c r="DV642" s="2" t="n">
        <v>42.92</v>
      </c>
      <c r="DW642" s="2" t="n">
        <v>28.46</v>
      </c>
      <c r="DX642" s="2" t="n">
        <v>0</v>
      </c>
      <c r="DY642" s="2" t="n">
        <v>51.36</v>
      </c>
      <c r="DZ642" s="2" t="n">
        <v>36.48</v>
      </c>
      <c r="EA642" s="2" t="n">
        <v>0</v>
      </c>
      <c r="EB642" s="2" t="n">
        <v>66.52</v>
      </c>
      <c r="EC642" s="2" t="n">
        <v>44.68</v>
      </c>
      <c r="ED642" s="2" t="n">
        <v>0</v>
      </c>
      <c r="EE642" s="2" t="n">
        <v>74.31</v>
      </c>
      <c r="EF642" s="2" t="n">
        <v>50.82</v>
      </c>
      <c r="EG642" s="2" t="n">
        <v>0</v>
      </c>
      <c r="EH642" s="2" t="n">
        <v>87.83</v>
      </c>
      <c r="EI642" s="2" t="n">
        <v>62.42</v>
      </c>
      <c r="EJ642" s="2" t="n">
        <v>0</v>
      </c>
      <c r="EK642" s="2" t="n">
        <v>95.20999999999999</v>
      </c>
      <c r="EL642" s="2" t="n">
        <v>69.39</v>
      </c>
      <c r="EM642" s="2" t="n">
        <v>0</v>
      </c>
      <c r="EN642" s="2" t="n">
        <v>100</v>
      </c>
      <c r="EO642" s="2" t="n">
        <v>78.69</v>
      </c>
      <c r="EP642" s="2" t="n">
        <v>0</v>
      </c>
      <c r="EQ642" s="2" t="n">
        <v>100</v>
      </c>
      <c r="ER642" s="2" t="n">
        <v>83.61</v>
      </c>
      <c r="ES642" s="2" t="n">
        <v>0</v>
      </c>
      <c r="ET642" s="2" t="n">
        <v>100</v>
      </c>
      <c r="EU642" s="2" t="n">
        <v>89.75</v>
      </c>
      <c r="EV642" s="2" t="n">
        <v>0</v>
      </c>
      <c r="EW642" s="2" t="n">
        <v>100</v>
      </c>
      <c r="EX642" s="2" t="n">
        <v>95.90000000000001</v>
      </c>
      <c r="EY642" s="2" t="n">
        <v>0</v>
      </c>
      <c r="EZ642" s="2" t="n">
        <v>100</v>
      </c>
      <c r="FA642" s="2" t="n">
        <v>100</v>
      </c>
      <c r="FB642" s="2" t="n">
        <v>0</v>
      </c>
      <c r="FC642" s="2" t="n">
        <v>100</v>
      </c>
      <c r="FD642" s="2" t="n">
        <v>100</v>
      </c>
      <c r="FE642" s="2" t="n">
        <v>0</v>
      </c>
      <c r="FF642" s="2" t="n">
        <v>100</v>
      </c>
      <c r="FG642" s="2" t="n">
        <v>100</v>
      </c>
      <c r="FH642" s="2" t="n">
        <v>0</v>
      </c>
      <c r="FI642" s="2" t="n">
        <v>100</v>
      </c>
      <c r="FJ642" s="2" t="n">
        <v>100</v>
      </c>
      <c r="FK642" s="2" t="n">
        <v>0</v>
      </c>
      <c r="FL642" s="2" t="n">
        <v>100</v>
      </c>
      <c r="FM642" s="2" t="n">
        <v>100</v>
      </c>
      <c r="FN642" s="2" t="n">
        <v>0</v>
      </c>
      <c r="FO642" s="2" t="n">
        <v>100</v>
      </c>
      <c r="FP642" s="2" t="n">
        <v>100</v>
      </c>
      <c r="FQ642" s="2" t="n">
        <v>0</v>
      </c>
    </row>
    <row r="643">
      <c r="A643" s="2" t="n">
        <v>4</v>
      </c>
      <c r="B643" s="2" t="inlineStr">
        <is>
          <t>28.01.03.11</t>
        </is>
      </c>
      <c r="C643" s="2" t="inlineStr">
        <is>
          <t>P25 - Kit porta pronta em marcenaria  semi - oca cor branca alizar 10cm, 82x210cm - Quatos/estar funcionários</t>
        </is>
      </c>
      <c r="D643" s="2" t="inlineStr">
        <is>
          <t>05/07/2027</t>
        </is>
      </c>
      <c r="E643" s="2" t="inlineStr">
        <is>
          <t>19/09/2028</t>
        </is>
      </c>
      <c r="F643" s="2" t="n">
        <v>67980</v>
      </c>
      <c r="G643" s="2" t="n">
        <v>0</v>
      </c>
      <c r="H643" s="2" t="n">
        <v>67980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0</v>
      </c>
      <c r="CM643" s="2" t="n">
        <v>0</v>
      </c>
      <c r="CN643" s="2" t="n">
        <v>0</v>
      </c>
      <c r="CO643" s="2" t="n">
        <v>0</v>
      </c>
      <c r="CP643" s="2" t="n">
        <v>0</v>
      </c>
      <c r="CQ643" s="2" t="n">
        <v>0</v>
      </c>
      <c r="CR643" s="2" t="n">
        <v>0</v>
      </c>
      <c r="CS643" s="2" t="n">
        <v>0</v>
      </c>
      <c r="CT643" s="2" t="n">
        <v>0</v>
      </c>
      <c r="CU643" s="2" t="n">
        <v>0</v>
      </c>
      <c r="CV643" s="2" t="n">
        <v>0</v>
      </c>
      <c r="CW643" s="2" t="n">
        <v>0</v>
      </c>
      <c r="CX643" s="2" t="n">
        <v>0</v>
      </c>
      <c r="CY643" s="2" t="n">
        <v>0</v>
      </c>
      <c r="CZ643" s="2" t="n">
        <v>0</v>
      </c>
      <c r="DA643" s="2" t="n">
        <v>0</v>
      </c>
      <c r="DB643" s="2" t="n">
        <v>0</v>
      </c>
      <c r="DC643" s="2" t="n">
        <v>0</v>
      </c>
      <c r="DD643" s="2" t="n">
        <v>0</v>
      </c>
      <c r="DE643" s="2" t="n">
        <v>0</v>
      </c>
      <c r="DF643" s="2" t="n">
        <v>0</v>
      </c>
      <c r="DG643" s="2" t="n">
        <v>7.79</v>
      </c>
      <c r="DH643" s="2" t="n">
        <v>0</v>
      </c>
      <c r="DI643" s="2" t="n">
        <v>0</v>
      </c>
      <c r="DJ643" s="2" t="n">
        <v>8.609999999999999</v>
      </c>
      <c r="DK643" s="2" t="n">
        <v>4.92</v>
      </c>
      <c r="DL643" s="2" t="n">
        <v>0</v>
      </c>
      <c r="DM643" s="2" t="n">
        <v>19.03</v>
      </c>
      <c r="DN643" s="2" t="n">
        <v>10.83</v>
      </c>
      <c r="DO643" s="2" t="n">
        <v>0</v>
      </c>
      <c r="DP643" s="2" t="n">
        <v>22.48</v>
      </c>
      <c r="DQ643" s="2" t="n">
        <v>10.83</v>
      </c>
      <c r="DR643" s="2" t="n">
        <v>0</v>
      </c>
      <c r="DS643" s="2" t="n">
        <v>28.05</v>
      </c>
      <c r="DT643" s="2" t="n">
        <v>21.91</v>
      </c>
      <c r="DU643" s="2" t="n">
        <v>0</v>
      </c>
      <c r="DV643" s="2" t="n">
        <v>42.92</v>
      </c>
      <c r="DW643" s="2" t="n">
        <v>28.46</v>
      </c>
      <c r="DX643" s="2" t="n">
        <v>0</v>
      </c>
      <c r="DY643" s="2" t="n">
        <v>51.36</v>
      </c>
      <c r="DZ643" s="2" t="n">
        <v>36.48</v>
      </c>
      <c r="EA643" s="2" t="n">
        <v>0</v>
      </c>
      <c r="EB643" s="2" t="n">
        <v>66.52</v>
      </c>
      <c r="EC643" s="2" t="n">
        <v>44.68</v>
      </c>
      <c r="ED643" s="2" t="n">
        <v>0</v>
      </c>
      <c r="EE643" s="2" t="n">
        <v>74.31</v>
      </c>
      <c r="EF643" s="2" t="n">
        <v>50.82</v>
      </c>
      <c r="EG643" s="2" t="n">
        <v>0</v>
      </c>
      <c r="EH643" s="2" t="n">
        <v>87.83</v>
      </c>
      <c r="EI643" s="2" t="n">
        <v>62.42</v>
      </c>
      <c r="EJ643" s="2" t="n">
        <v>0</v>
      </c>
      <c r="EK643" s="2" t="n">
        <v>95.20999999999999</v>
      </c>
      <c r="EL643" s="2" t="n">
        <v>69.39</v>
      </c>
      <c r="EM643" s="2" t="n">
        <v>0</v>
      </c>
      <c r="EN643" s="2" t="n">
        <v>100</v>
      </c>
      <c r="EO643" s="2" t="n">
        <v>78.69</v>
      </c>
      <c r="EP643" s="2" t="n">
        <v>0</v>
      </c>
      <c r="EQ643" s="2" t="n">
        <v>100</v>
      </c>
      <c r="ER643" s="2" t="n">
        <v>83.61</v>
      </c>
      <c r="ES643" s="2" t="n">
        <v>0</v>
      </c>
      <c r="ET643" s="2" t="n">
        <v>100</v>
      </c>
      <c r="EU643" s="2" t="n">
        <v>89.75</v>
      </c>
      <c r="EV643" s="2" t="n">
        <v>0</v>
      </c>
      <c r="EW643" s="2" t="n">
        <v>100</v>
      </c>
      <c r="EX643" s="2" t="n">
        <v>95.90000000000001</v>
      </c>
      <c r="EY643" s="2" t="n">
        <v>0</v>
      </c>
      <c r="EZ643" s="2" t="n">
        <v>100</v>
      </c>
      <c r="FA643" s="2" t="n">
        <v>100</v>
      </c>
      <c r="FB643" s="2" t="n">
        <v>0</v>
      </c>
      <c r="FC643" s="2" t="n">
        <v>100</v>
      </c>
      <c r="FD643" s="2" t="n">
        <v>100</v>
      </c>
      <c r="FE643" s="2" t="n">
        <v>0</v>
      </c>
      <c r="FF643" s="2" t="n">
        <v>100</v>
      </c>
      <c r="FG643" s="2" t="n">
        <v>100</v>
      </c>
      <c r="FH643" s="2" t="n">
        <v>0</v>
      </c>
      <c r="FI643" s="2" t="n">
        <v>100</v>
      </c>
      <c r="FJ643" s="2" t="n">
        <v>100</v>
      </c>
      <c r="FK643" s="2" t="n">
        <v>0</v>
      </c>
      <c r="FL643" s="2" t="n">
        <v>100</v>
      </c>
      <c r="FM643" s="2" t="n">
        <v>100</v>
      </c>
      <c r="FN643" s="2" t="n">
        <v>0</v>
      </c>
      <c r="FO643" s="2" t="n">
        <v>100</v>
      </c>
      <c r="FP643" s="2" t="n">
        <v>100</v>
      </c>
      <c r="FQ643" s="2" t="n">
        <v>0</v>
      </c>
    </row>
    <row r="644">
      <c r="A644" s="2" t="n">
        <v>4</v>
      </c>
      <c r="B644" s="2" t="inlineStr">
        <is>
          <t>28.01.03.12</t>
        </is>
      </c>
      <c r="C644" s="2" t="inlineStr">
        <is>
          <t>P26 - Kit porta pronta em marcenaria  semi - oca cor branca alizar 10cm, 62x275cm  - Banheiro funcionários</t>
        </is>
      </c>
      <c r="D644" s="2" t="inlineStr">
        <is>
          <t>05/07/2027</t>
        </is>
      </c>
      <c r="E644" s="2" t="inlineStr">
        <is>
          <t>19/09/2028</t>
        </is>
      </c>
      <c r="F644" s="2" t="n">
        <v>22660</v>
      </c>
      <c r="G644" s="2" t="n">
        <v>0</v>
      </c>
      <c r="H644" s="2" t="n">
        <v>22660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0</v>
      </c>
      <c r="CM644" s="2" t="n">
        <v>0</v>
      </c>
      <c r="CN644" s="2" t="n">
        <v>0</v>
      </c>
      <c r="CO644" s="2" t="n">
        <v>0</v>
      </c>
      <c r="CP644" s="2" t="n">
        <v>0</v>
      </c>
      <c r="CQ644" s="2" t="n">
        <v>0</v>
      </c>
      <c r="CR644" s="2" t="n">
        <v>0</v>
      </c>
      <c r="CS644" s="2" t="n">
        <v>0</v>
      </c>
      <c r="CT644" s="2" t="n">
        <v>0</v>
      </c>
      <c r="CU644" s="2" t="n">
        <v>0</v>
      </c>
      <c r="CV644" s="2" t="n">
        <v>0</v>
      </c>
      <c r="CW644" s="2" t="n">
        <v>0</v>
      </c>
      <c r="CX644" s="2" t="n">
        <v>0</v>
      </c>
      <c r="CY644" s="2" t="n">
        <v>0</v>
      </c>
      <c r="CZ644" s="2" t="n">
        <v>0</v>
      </c>
      <c r="DA644" s="2" t="n">
        <v>0</v>
      </c>
      <c r="DB644" s="2" t="n">
        <v>0</v>
      </c>
      <c r="DC644" s="2" t="n">
        <v>0</v>
      </c>
      <c r="DD644" s="2" t="n">
        <v>0</v>
      </c>
      <c r="DE644" s="2" t="n">
        <v>0</v>
      </c>
      <c r="DF644" s="2" t="n">
        <v>0</v>
      </c>
      <c r="DG644" s="2" t="n">
        <v>7.79</v>
      </c>
      <c r="DH644" s="2" t="n">
        <v>0</v>
      </c>
      <c r="DI644" s="2" t="n">
        <v>0</v>
      </c>
      <c r="DJ644" s="2" t="n">
        <v>8.609999999999999</v>
      </c>
      <c r="DK644" s="2" t="n">
        <v>4.92</v>
      </c>
      <c r="DL644" s="2" t="n">
        <v>0</v>
      </c>
      <c r="DM644" s="2" t="n">
        <v>19.03</v>
      </c>
      <c r="DN644" s="2" t="n">
        <v>10.83</v>
      </c>
      <c r="DO644" s="2" t="n">
        <v>0</v>
      </c>
      <c r="DP644" s="2" t="n">
        <v>22.48</v>
      </c>
      <c r="DQ644" s="2" t="n">
        <v>10.83</v>
      </c>
      <c r="DR644" s="2" t="n">
        <v>0</v>
      </c>
      <c r="DS644" s="2" t="n">
        <v>28.05</v>
      </c>
      <c r="DT644" s="2" t="n">
        <v>21.91</v>
      </c>
      <c r="DU644" s="2" t="n">
        <v>0</v>
      </c>
      <c r="DV644" s="2" t="n">
        <v>42.92</v>
      </c>
      <c r="DW644" s="2" t="n">
        <v>28.46</v>
      </c>
      <c r="DX644" s="2" t="n">
        <v>0</v>
      </c>
      <c r="DY644" s="2" t="n">
        <v>51.36</v>
      </c>
      <c r="DZ644" s="2" t="n">
        <v>36.48</v>
      </c>
      <c r="EA644" s="2" t="n">
        <v>0</v>
      </c>
      <c r="EB644" s="2" t="n">
        <v>66.52</v>
      </c>
      <c r="EC644" s="2" t="n">
        <v>44.68</v>
      </c>
      <c r="ED644" s="2" t="n">
        <v>0</v>
      </c>
      <c r="EE644" s="2" t="n">
        <v>74.31</v>
      </c>
      <c r="EF644" s="2" t="n">
        <v>50.82</v>
      </c>
      <c r="EG644" s="2" t="n">
        <v>0</v>
      </c>
      <c r="EH644" s="2" t="n">
        <v>87.83</v>
      </c>
      <c r="EI644" s="2" t="n">
        <v>62.42</v>
      </c>
      <c r="EJ644" s="2" t="n">
        <v>0</v>
      </c>
      <c r="EK644" s="2" t="n">
        <v>95.20999999999999</v>
      </c>
      <c r="EL644" s="2" t="n">
        <v>69.39</v>
      </c>
      <c r="EM644" s="2" t="n">
        <v>0</v>
      </c>
      <c r="EN644" s="2" t="n">
        <v>100</v>
      </c>
      <c r="EO644" s="2" t="n">
        <v>78.69</v>
      </c>
      <c r="EP644" s="2" t="n">
        <v>0</v>
      </c>
      <c r="EQ644" s="2" t="n">
        <v>100</v>
      </c>
      <c r="ER644" s="2" t="n">
        <v>83.61</v>
      </c>
      <c r="ES644" s="2" t="n">
        <v>0</v>
      </c>
      <c r="ET644" s="2" t="n">
        <v>100</v>
      </c>
      <c r="EU644" s="2" t="n">
        <v>89.75</v>
      </c>
      <c r="EV644" s="2" t="n">
        <v>0</v>
      </c>
      <c r="EW644" s="2" t="n">
        <v>100</v>
      </c>
      <c r="EX644" s="2" t="n">
        <v>95.90000000000001</v>
      </c>
      <c r="EY644" s="2" t="n">
        <v>0</v>
      </c>
      <c r="EZ644" s="2" t="n">
        <v>100</v>
      </c>
      <c r="FA644" s="2" t="n">
        <v>100</v>
      </c>
      <c r="FB644" s="2" t="n">
        <v>0</v>
      </c>
      <c r="FC644" s="2" t="n">
        <v>100</v>
      </c>
      <c r="FD644" s="2" t="n">
        <v>100</v>
      </c>
      <c r="FE644" s="2" t="n">
        <v>0</v>
      </c>
      <c r="FF644" s="2" t="n">
        <v>100</v>
      </c>
      <c r="FG644" s="2" t="n">
        <v>100</v>
      </c>
      <c r="FH644" s="2" t="n">
        <v>0</v>
      </c>
      <c r="FI644" s="2" t="n">
        <v>100</v>
      </c>
      <c r="FJ644" s="2" t="n">
        <v>100</v>
      </c>
      <c r="FK644" s="2" t="n">
        <v>0</v>
      </c>
      <c r="FL644" s="2" t="n">
        <v>100</v>
      </c>
      <c r="FM644" s="2" t="n">
        <v>100</v>
      </c>
      <c r="FN644" s="2" t="n">
        <v>0</v>
      </c>
      <c r="FO644" s="2" t="n">
        <v>100</v>
      </c>
      <c r="FP644" s="2" t="n">
        <v>100</v>
      </c>
      <c r="FQ644" s="2" t="n">
        <v>0</v>
      </c>
    </row>
    <row r="645">
      <c r="A645" s="2" t="n">
        <v>4</v>
      </c>
      <c r="B645" s="2" t="inlineStr">
        <is>
          <t>28.01.03.13</t>
        </is>
      </c>
      <c r="C645" s="2" t="inlineStr">
        <is>
          <t>P26 - PIM Porta de giro BONDOOR 2400x820x41mm - Laca Branco - LISA / HDF 6mm - Banheiros suíte 01| 02</t>
        </is>
      </c>
      <c r="D645" s="2" t="inlineStr">
        <is>
          <t>05/07/2027</t>
        </is>
      </c>
      <c r="E645" s="2" t="inlineStr">
        <is>
          <t>19/09/2028</t>
        </is>
      </c>
      <c r="F645" s="2" t="n">
        <v>286416.9</v>
      </c>
      <c r="G645" s="2" t="n">
        <v>0</v>
      </c>
      <c r="H645" s="2" t="n">
        <v>286416.9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0</v>
      </c>
      <c r="CM645" s="2" t="n">
        <v>0</v>
      </c>
      <c r="CN645" s="2" t="n">
        <v>0</v>
      </c>
      <c r="CO645" s="2" t="n">
        <v>0</v>
      </c>
      <c r="CP645" s="2" t="n">
        <v>0</v>
      </c>
      <c r="CQ645" s="2" t="n">
        <v>0</v>
      </c>
      <c r="CR645" s="2" t="n">
        <v>0</v>
      </c>
      <c r="CS645" s="2" t="n">
        <v>0</v>
      </c>
      <c r="CT645" s="2" t="n">
        <v>0</v>
      </c>
      <c r="CU645" s="2" t="n">
        <v>0</v>
      </c>
      <c r="CV645" s="2" t="n">
        <v>0</v>
      </c>
      <c r="CW645" s="2" t="n">
        <v>0</v>
      </c>
      <c r="CX645" s="2" t="n">
        <v>0</v>
      </c>
      <c r="CY645" s="2" t="n">
        <v>0</v>
      </c>
      <c r="CZ645" s="2" t="n">
        <v>0</v>
      </c>
      <c r="DA645" s="2" t="n">
        <v>0</v>
      </c>
      <c r="DB645" s="2" t="n">
        <v>0</v>
      </c>
      <c r="DC645" s="2" t="n">
        <v>0</v>
      </c>
      <c r="DD645" s="2" t="n">
        <v>0</v>
      </c>
      <c r="DE645" s="2" t="n">
        <v>0</v>
      </c>
      <c r="DF645" s="2" t="n">
        <v>0</v>
      </c>
      <c r="DG645" s="2" t="n">
        <v>7.79</v>
      </c>
      <c r="DH645" s="2" t="n">
        <v>0</v>
      </c>
      <c r="DI645" s="2" t="n">
        <v>0</v>
      </c>
      <c r="DJ645" s="2" t="n">
        <v>8.609999999999999</v>
      </c>
      <c r="DK645" s="2" t="n">
        <v>4.92</v>
      </c>
      <c r="DL645" s="2" t="n">
        <v>0</v>
      </c>
      <c r="DM645" s="2" t="n">
        <v>19.03</v>
      </c>
      <c r="DN645" s="2" t="n">
        <v>10.83</v>
      </c>
      <c r="DO645" s="2" t="n">
        <v>0</v>
      </c>
      <c r="DP645" s="2" t="n">
        <v>22.48</v>
      </c>
      <c r="DQ645" s="2" t="n">
        <v>10.83</v>
      </c>
      <c r="DR645" s="2" t="n">
        <v>0</v>
      </c>
      <c r="DS645" s="2" t="n">
        <v>28.05</v>
      </c>
      <c r="DT645" s="2" t="n">
        <v>21.91</v>
      </c>
      <c r="DU645" s="2" t="n">
        <v>0</v>
      </c>
      <c r="DV645" s="2" t="n">
        <v>42.92</v>
      </c>
      <c r="DW645" s="2" t="n">
        <v>28.46</v>
      </c>
      <c r="DX645" s="2" t="n">
        <v>0</v>
      </c>
      <c r="DY645" s="2" t="n">
        <v>51.36</v>
      </c>
      <c r="DZ645" s="2" t="n">
        <v>36.48</v>
      </c>
      <c r="EA645" s="2" t="n">
        <v>0</v>
      </c>
      <c r="EB645" s="2" t="n">
        <v>66.52</v>
      </c>
      <c r="EC645" s="2" t="n">
        <v>44.68</v>
      </c>
      <c r="ED645" s="2" t="n">
        <v>0</v>
      </c>
      <c r="EE645" s="2" t="n">
        <v>74.31</v>
      </c>
      <c r="EF645" s="2" t="n">
        <v>50.82</v>
      </c>
      <c r="EG645" s="2" t="n">
        <v>0</v>
      </c>
      <c r="EH645" s="2" t="n">
        <v>87.83</v>
      </c>
      <c r="EI645" s="2" t="n">
        <v>62.42</v>
      </c>
      <c r="EJ645" s="2" t="n">
        <v>0</v>
      </c>
      <c r="EK645" s="2" t="n">
        <v>95.20999999999999</v>
      </c>
      <c r="EL645" s="2" t="n">
        <v>69.39</v>
      </c>
      <c r="EM645" s="2" t="n">
        <v>0</v>
      </c>
      <c r="EN645" s="2" t="n">
        <v>100</v>
      </c>
      <c r="EO645" s="2" t="n">
        <v>78.69</v>
      </c>
      <c r="EP645" s="2" t="n">
        <v>0</v>
      </c>
      <c r="EQ645" s="2" t="n">
        <v>100</v>
      </c>
      <c r="ER645" s="2" t="n">
        <v>83.61</v>
      </c>
      <c r="ES645" s="2" t="n">
        <v>0</v>
      </c>
      <c r="ET645" s="2" t="n">
        <v>100</v>
      </c>
      <c r="EU645" s="2" t="n">
        <v>89.75</v>
      </c>
      <c r="EV645" s="2" t="n">
        <v>0</v>
      </c>
      <c r="EW645" s="2" t="n">
        <v>100</v>
      </c>
      <c r="EX645" s="2" t="n">
        <v>95.90000000000001</v>
      </c>
      <c r="EY645" s="2" t="n">
        <v>0</v>
      </c>
      <c r="EZ645" s="2" t="n">
        <v>100</v>
      </c>
      <c r="FA645" s="2" t="n">
        <v>100</v>
      </c>
      <c r="FB645" s="2" t="n">
        <v>0</v>
      </c>
      <c r="FC645" s="2" t="n">
        <v>100</v>
      </c>
      <c r="FD645" s="2" t="n">
        <v>100</v>
      </c>
      <c r="FE645" s="2" t="n">
        <v>0</v>
      </c>
      <c r="FF645" s="2" t="n">
        <v>100</v>
      </c>
      <c r="FG645" s="2" t="n">
        <v>100</v>
      </c>
      <c r="FH645" s="2" t="n">
        <v>0</v>
      </c>
      <c r="FI645" s="2" t="n">
        <v>100</v>
      </c>
      <c r="FJ645" s="2" t="n">
        <v>100</v>
      </c>
      <c r="FK645" s="2" t="n">
        <v>0</v>
      </c>
      <c r="FL645" s="2" t="n">
        <v>100</v>
      </c>
      <c r="FM645" s="2" t="n">
        <v>100</v>
      </c>
      <c r="FN645" s="2" t="n">
        <v>0</v>
      </c>
      <c r="FO645" s="2" t="n">
        <v>100</v>
      </c>
      <c r="FP645" s="2" t="n">
        <v>100</v>
      </c>
      <c r="FQ645" s="2" t="n">
        <v>0</v>
      </c>
    </row>
    <row r="646">
      <c r="A646" s="2" t="n">
        <v>4</v>
      </c>
      <c r="B646" s="2" t="inlineStr">
        <is>
          <t>28.01.03.14</t>
        </is>
      </c>
      <c r="C646" s="2" t="inlineStr">
        <is>
          <t>P27 -  PIM Porta de giro BONDOOR 2400x1020x41mm - Laca Branco - LISA / HDF 6mm/ Fechadura eletrônica, 95x260cm - Circulação Seg.</t>
        </is>
      </c>
      <c r="D646" s="2" t="inlineStr">
        <is>
          <t>05/07/2027</t>
        </is>
      </c>
      <c r="E646" s="2" t="inlineStr">
        <is>
          <t>19/09/2028</t>
        </is>
      </c>
      <c r="F646" s="2" t="n">
        <v>121000</v>
      </c>
      <c r="G646" s="2" t="n">
        <v>0</v>
      </c>
      <c r="H646" s="2" t="n">
        <v>121000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0</v>
      </c>
      <c r="CM646" s="2" t="n">
        <v>0</v>
      </c>
      <c r="CN646" s="2" t="n">
        <v>0</v>
      </c>
      <c r="CO646" s="2" t="n">
        <v>0</v>
      </c>
      <c r="CP646" s="2" t="n">
        <v>0</v>
      </c>
      <c r="CQ646" s="2" t="n">
        <v>0</v>
      </c>
      <c r="CR646" s="2" t="n">
        <v>0</v>
      </c>
      <c r="CS646" s="2" t="n">
        <v>0</v>
      </c>
      <c r="CT646" s="2" t="n">
        <v>0</v>
      </c>
      <c r="CU646" s="2" t="n">
        <v>0</v>
      </c>
      <c r="CV646" s="2" t="n">
        <v>0</v>
      </c>
      <c r="CW646" s="2" t="n">
        <v>0</v>
      </c>
      <c r="CX646" s="2" t="n">
        <v>0</v>
      </c>
      <c r="CY646" s="2" t="n">
        <v>0</v>
      </c>
      <c r="CZ646" s="2" t="n">
        <v>0</v>
      </c>
      <c r="DA646" s="2" t="n">
        <v>0</v>
      </c>
      <c r="DB646" s="2" t="n">
        <v>0</v>
      </c>
      <c r="DC646" s="2" t="n">
        <v>0</v>
      </c>
      <c r="DD646" s="2" t="n">
        <v>0</v>
      </c>
      <c r="DE646" s="2" t="n">
        <v>0</v>
      </c>
      <c r="DF646" s="2" t="n">
        <v>0</v>
      </c>
      <c r="DG646" s="2" t="n">
        <v>7.79</v>
      </c>
      <c r="DH646" s="2" t="n">
        <v>0</v>
      </c>
      <c r="DI646" s="2" t="n">
        <v>0</v>
      </c>
      <c r="DJ646" s="2" t="n">
        <v>8.609999999999999</v>
      </c>
      <c r="DK646" s="2" t="n">
        <v>4.92</v>
      </c>
      <c r="DL646" s="2" t="n">
        <v>0</v>
      </c>
      <c r="DM646" s="2" t="n">
        <v>19.03</v>
      </c>
      <c r="DN646" s="2" t="n">
        <v>10.83</v>
      </c>
      <c r="DO646" s="2" t="n">
        <v>0</v>
      </c>
      <c r="DP646" s="2" t="n">
        <v>22.48</v>
      </c>
      <c r="DQ646" s="2" t="n">
        <v>10.83</v>
      </c>
      <c r="DR646" s="2" t="n">
        <v>0</v>
      </c>
      <c r="DS646" s="2" t="n">
        <v>28.05</v>
      </c>
      <c r="DT646" s="2" t="n">
        <v>21.91</v>
      </c>
      <c r="DU646" s="2" t="n">
        <v>0</v>
      </c>
      <c r="DV646" s="2" t="n">
        <v>42.92</v>
      </c>
      <c r="DW646" s="2" t="n">
        <v>28.46</v>
      </c>
      <c r="DX646" s="2" t="n">
        <v>0</v>
      </c>
      <c r="DY646" s="2" t="n">
        <v>51.36</v>
      </c>
      <c r="DZ646" s="2" t="n">
        <v>36.48</v>
      </c>
      <c r="EA646" s="2" t="n">
        <v>0</v>
      </c>
      <c r="EB646" s="2" t="n">
        <v>66.52</v>
      </c>
      <c r="EC646" s="2" t="n">
        <v>44.68</v>
      </c>
      <c r="ED646" s="2" t="n">
        <v>0</v>
      </c>
      <c r="EE646" s="2" t="n">
        <v>74.31</v>
      </c>
      <c r="EF646" s="2" t="n">
        <v>50.82</v>
      </c>
      <c r="EG646" s="2" t="n">
        <v>0</v>
      </c>
      <c r="EH646" s="2" t="n">
        <v>87.83</v>
      </c>
      <c r="EI646" s="2" t="n">
        <v>62.42</v>
      </c>
      <c r="EJ646" s="2" t="n">
        <v>0</v>
      </c>
      <c r="EK646" s="2" t="n">
        <v>95.20999999999999</v>
      </c>
      <c r="EL646" s="2" t="n">
        <v>69.39</v>
      </c>
      <c r="EM646" s="2" t="n">
        <v>0</v>
      </c>
      <c r="EN646" s="2" t="n">
        <v>100</v>
      </c>
      <c r="EO646" s="2" t="n">
        <v>78.69</v>
      </c>
      <c r="EP646" s="2" t="n">
        <v>0</v>
      </c>
      <c r="EQ646" s="2" t="n">
        <v>100</v>
      </c>
      <c r="ER646" s="2" t="n">
        <v>83.61</v>
      </c>
      <c r="ES646" s="2" t="n">
        <v>0</v>
      </c>
      <c r="ET646" s="2" t="n">
        <v>100</v>
      </c>
      <c r="EU646" s="2" t="n">
        <v>89.75</v>
      </c>
      <c r="EV646" s="2" t="n">
        <v>0</v>
      </c>
      <c r="EW646" s="2" t="n">
        <v>100</v>
      </c>
      <c r="EX646" s="2" t="n">
        <v>95.90000000000001</v>
      </c>
      <c r="EY646" s="2" t="n">
        <v>0</v>
      </c>
      <c r="EZ646" s="2" t="n">
        <v>100</v>
      </c>
      <c r="FA646" s="2" t="n">
        <v>100</v>
      </c>
      <c r="FB646" s="2" t="n">
        <v>0</v>
      </c>
      <c r="FC646" s="2" t="n">
        <v>100</v>
      </c>
      <c r="FD646" s="2" t="n">
        <v>100</v>
      </c>
      <c r="FE646" s="2" t="n">
        <v>0</v>
      </c>
      <c r="FF646" s="2" t="n">
        <v>100</v>
      </c>
      <c r="FG646" s="2" t="n">
        <v>100</v>
      </c>
      <c r="FH646" s="2" t="n">
        <v>0</v>
      </c>
      <c r="FI646" s="2" t="n">
        <v>100</v>
      </c>
      <c r="FJ646" s="2" t="n">
        <v>100</v>
      </c>
      <c r="FK646" s="2" t="n">
        <v>0</v>
      </c>
      <c r="FL646" s="2" t="n">
        <v>100</v>
      </c>
      <c r="FM646" s="2" t="n">
        <v>100</v>
      </c>
      <c r="FN646" s="2" t="n">
        <v>0</v>
      </c>
      <c r="FO646" s="2" t="n">
        <v>100</v>
      </c>
      <c r="FP646" s="2" t="n">
        <v>100</v>
      </c>
      <c r="FQ646" s="2" t="n">
        <v>0</v>
      </c>
    </row>
    <row r="647">
      <c r="A647" s="2" t="n">
        <v>4</v>
      </c>
      <c r="B647" s="2" t="inlineStr">
        <is>
          <t>28.01.03.15</t>
        </is>
      </c>
      <c r="C647" s="2" t="inlineStr">
        <is>
          <t>P27 -  PIM Porta de giro BONDOOR 2400x1020x41mm - Laca Branco - LISA / HDF 6mm - Circulação Seg.</t>
        </is>
      </c>
      <c r="D647" s="2" t="inlineStr">
        <is>
          <t>05/07/2027</t>
        </is>
      </c>
      <c r="E647" s="2" t="inlineStr">
        <is>
          <t>19/09/2028</t>
        </is>
      </c>
      <c r="F647" s="2" t="n">
        <v>62845.42000000001</v>
      </c>
      <c r="G647" s="2" t="n">
        <v>0</v>
      </c>
      <c r="H647" s="2" t="n">
        <v>62845.42000000001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0</v>
      </c>
      <c r="CM647" s="2" t="n">
        <v>0</v>
      </c>
      <c r="CN647" s="2" t="n">
        <v>0</v>
      </c>
      <c r="CO647" s="2" t="n">
        <v>0</v>
      </c>
      <c r="CP647" s="2" t="n">
        <v>0</v>
      </c>
      <c r="CQ647" s="2" t="n">
        <v>0</v>
      </c>
      <c r="CR647" s="2" t="n">
        <v>0</v>
      </c>
      <c r="CS647" s="2" t="n">
        <v>0</v>
      </c>
      <c r="CT647" s="2" t="n">
        <v>0</v>
      </c>
      <c r="CU647" s="2" t="n">
        <v>0</v>
      </c>
      <c r="CV647" s="2" t="n">
        <v>0</v>
      </c>
      <c r="CW647" s="2" t="n">
        <v>0</v>
      </c>
      <c r="CX647" s="2" t="n">
        <v>0</v>
      </c>
      <c r="CY647" s="2" t="n">
        <v>0</v>
      </c>
      <c r="CZ647" s="2" t="n">
        <v>0</v>
      </c>
      <c r="DA647" s="2" t="n">
        <v>0</v>
      </c>
      <c r="DB647" s="2" t="n">
        <v>0</v>
      </c>
      <c r="DC647" s="2" t="n">
        <v>0</v>
      </c>
      <c r="DD647" s="2" t="n">
        <v>0</v>
      </c>
      <c r="DE647" s="2" t="n">
        <v>0</v>
      </c>
      <c r="DF647" s="2" t="n">
        <v>0</v>
      </c>
      <c r="DG647" s="2" t="n">
        <v>7.79</v>
      </c>
      <c r="DH647" s="2" t="n">
        <v>0</v>
      </c>
      <c r="DI647" s="2" t="n">
        <v>0</v>
      </c>
      <c r="DJ647" s="2" t="n">
        <v>8.609999999999999</v>
      </c>
      <c r="DK647" s="2" t="n">
        <v>4.92</v>
      </c>
      <c r="DL647" s="2" t="n">
        <v>0</v>
      </c>
      <c r="DM647" s="2" t="n">
        <v>19.03</v>
      </c>
      <c r="DN647" s="2" t="n">
        <v>10.83</v>
      </c>
      <c r="DO647" s="2" t="n">
        <v>0</v>
      </c>
      <c r="DP647" s="2" t="n">
        <v>22.48</v>
      </c>
      <c r="DQ647" s="2" t="n">
        <v>10.83</v>
      </c>
      <c r="DR647" s="2" t="n">
        <v>0</v>
      </c>
      <c r="DS647" s="2" t="n">
        <v>28.05</v>
      </c>
      <c r="DT647" s="2" t="n">
        <v>21.91</v>
      </c>
      <c r="DU647" s="2" t="n">
        <v>0</v>
      </c>
      <c r="DV647" s="2" t="n">
        <v>42.92</v>
      </c>
      <c r="DW647" s="2" t="n">
        <v>28.46</v>
      </c>
      <c r="DX647" s="2" t="n">
        <v>0</v>
      </c>
      <c r="DY647" s="2" t="n">
        <v>51.36</v>
      </c>
      <c r="DZ647" s="2" t="n">
        <v>36.48</v>
      </c>
      <c r="EA647" s="2" t="n">
        <v>0</v>
      </c>
      <c r="EB647" s="2" t="n">
        <v>66.52</v>
      </c>
      <c r="EC647" s="2" t="n">
        <v>44.68</v>
      </c>
      <c r="ED647" s="2" t="n">
        <v>0</v>
      </c>
      <c r="EE647" s="2" t="n">
        <v>74.31</v>
      </c>
      <c r="EF647" s="2" t="n">
        <v>50.82</v>
      </c>
      <c r="EG647" s="2" t="n">
        <v>0</v>
      </c>
      <c r="EH647" s="2" t="n">
        <v>87.83</v>
      </c>
      <c r="EI647" s="2" t="n">
        <v>62.42</v>
      </c>
      <c r="EJ647" s="2" t="n">
        <v>0</v>
      </c>
      <c r="EK647" s="2" t="n">
        <v>95.20999999999999</v>
      </c>
      <c r="EL647" s="2" t="n">
        <v>69.39</v>
      </c>
      <c r="EM647" s="2" t="n">
        <v>0</v>
      </c>
      <c r="EN647" s="2" t="n">
        <v>100</v>
      </c>
      <c r="EO647" s="2" t="n">
        <v>78.69</v>
      </c>
      <c r="EP647" s="2" t="n">
        <v>0</v>
      </c>
      <c r="EQ647" s="2" t="n">
        <v>100</v>
      </c>
      <c r="ER647" s="2" t="n">
        <v>83.61</v>
      </c>
      <c r="ES647" s="2" t="n">
        <v>0</v>
      </c>
      <c r="ET647" s="2" t="n">
        <v>100</v>
      </c>
      <c r="EU647" s="2" t="n">
        <v>89.75</v>
      </c>
      <c r="EV647" s="2" t="n">
        <v>0</v>
      </c>
      <c r="EW647" s="2" t="n">
        <v>100</v>
      </c>
      <c r="EX647" s="2" t="n">
        <v>95.90000000000001</v>
      </c>
      <c r="EY647" s="2" t="n">
        <v>0</v>
      </c>
      <c r="EZ647" s="2" t="n">
        <v>100</v>
      </c>
      <c r="FA647" s="2" t="n">
        <v>100</v>
      </c>
      <c r="FB647" s="2" t="n">
        <v>0</v>
      </c>
      <c r="FC647" s="2" t="n">
        <v>100</v>
      </c>
      <c r="FD647" s="2" t="n">
        <v>100</v>
      </c>
      <c r="FE647" s="2" t="n">
        <v>0</v>
      </c>
      <c r="FF647" s="2" t="n">
        <v>100</v>
      </c>
      <c r="FG647" s="2" t="n">
        <v>100</v>
      </c>
      <c r="FH647" s="2" t="n">
        <v>0</v>
      </c>
      <c r="FI647" s="2" t="n">
        <v>100</v>
      </c>
      <c r="FJ647" s="2" t="n">
        <v>100</v>
      </c>
      <c r="FK647" s="2" t="n">
        <v>0</v>
      </c>
      <c r="FL647" s="2" t="n">
        <v>100</v>
      </c>
      <c r="FM647" s="2" t="n">
        <v>100</v>
      </c>
      <c r="FN647" s="2" t="n">
        <v>0</v>
      </c>
      <c r="FO647" s="2" t="n">
        <v>100</v>
      </c>
      <c r="FP647" s="2" t="n">
        <v>100</v>
      </c>
      <c r="FQ647" s="2" t="n">
        <v>0</v>
      </c>
    </row>
    <row r="648">
      <c r="A648" s="2" t="n">
        <v>4</v>
      </c>
      <c r="B648" s="2" t="inlineStr">
        <is>
          <t>28.01.03.16</t>
        </is>
      </c>
      <c r="C648" s="2" t="inlineStr">
        <is>
          <t>P28 - a PIM Porta de giro BONDOOR 2400x820x41mm - Laca Branco - LISA / HDF 6mm + pivotante, 335x300cm - Circ.| Estar íntimo e rouparia</t>
        </is>
      </c>
      <c r="D648" s="2" t="inlineStr">
        <is>
          <t>05/07/2027</t>
        </is>
      </c>
      <c r="E648" s="2" t="inlineStr">
        <is>
          <t>19/09/2028</t>
        </is>
      </c>
      <c r="F648" s="2" t="n">
        <v>58826.24000000001</v>
      </c>
      <c r="G648" s="2" t="n">
        <v>0</v>
      </c>
      <c r="H648" s="2" t="n">
        <v>58826.24000000001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0</v>
      </c>
      <c r="CM648" s="2" t="n">
        <v>0</v>
      </c>
      <c r="CN648" s="2" t="n">
        <v>0</v>
      </c>
      <c r="CO648" s="2" t="n">
        <v>0</v>
      </c>
      <c r="CP648" s="2" t="n">
        <v>0</v>
      </c>
      <c r="CQ648" s="2" t="n">
        <v>0</v>
      </c>
      <c r="CR648" s="2" t="n">
        <v>0</v>
      </c>
      <c r="CS648" s="2" t="n">
        <v>0</v>
      </c>
      <c r="CT648" s="2" t="n">
        <v>0</v>
      </c>
      <c r="CU648" s="2" t="n">
        <v>0</v>
      </c>
      <c r="CV648" s="2" t="n">
        <v>0</v>
      </c>
      <c r="CW648" s="2" t="n">
        <v>0</v>
      </c>
      <c r="CX648" s="2" t="n">
        <v>0</v>
      </c>
      <c r="CY648" s="2" t="n">
        <v>0</v>
      </c>
      <c r="CZ648" s="2" t="n">
        <v>0</v>
      </c>
      <c r="DA648" s="2" t="n">
        <v>0</v>
      </c>
      <c r="DB648" s="2" t="n">
        <v>0</v>
      </c>
      <c r="DC648" s="2" t="n">
        <v>0</v>
      </c>
      <c r="DD648" s="2" t="n">
        <v>0</v>
      </c>
      <c r="DE648" s="2" t="n">
        <v>0</v>
      </c>
      <c r="DF648" s="2" t="n">
        <v>0</v>
      </c>
      <c r="DG648" s="2" t="n">
        <v>7.79</v>
      </c>
      <c r="DH648" s="2" t="n">
        <v>0</v>
      </c>
      <c r="DI648" s="2" t="n">
        <v>0</v>
      </c>
      <c r="DJ648" s="2" t="n">
        <v>8.609999999999999</v>
      </c>
      <c r="DK648" s="2" t="n">
        <v>4.92</v>
      </c>
      <c r="DL648" s="2" t="n">
        <v>0</v>
      </c>
      <c r="DM648" s="2" t="n">
        <v>19.03</v>
      </c>
      <c r="DN648" s="2" t="n">
        <v>10.83</v>
      </c>
      <c r="DO648" s="2" t="n">
        <v>0</v>
      </c>
      <c r="DP648" s="2" t="n">
        <v>22.48</v>
      </c>
      <c r="DQ648" s="2" t="n">
        <v>10.83</v>
      </c>
      <c r="DR648" s="2" t="n">
        <v>0</v>
      </c>
      <c r="DS648" s="2" t="n">
        <v>28.05</v>
      </c>
      <c r="DT648" s="2" t="n">
        <v>21.91</v>
      </c>
      <c r="DU648" s="2" t="n">
        <v>0</v>
      </c>
      <c r="DV648" s="2" t="n">
        <v>42.92</v>
      </c>
      <c r="DW648" s="2" t="n">
        <v>28.46</v>
      </c>
      <c r="DX648" s="2" t="n">
        <v>0</v>
      </c>
      <c r="DY648" s="2" t="n">
        <v>51.36</v>
      </c>
      <c r="DZ648" s="2" t="n">
        <v>36.48</v>
      </c>
      <c r="EA648" s="2" t="n">
        <v>0</v>
      </c>
      <c r="EB648" s="2" t="n">
        <v>66.52</v>
      </c>
      <c r="EC648" s="2" t="n">
        <v>44.68</v>
      </c>
      <c r="ED648" s="2" t="n">
        <v>0</v>
      </c>
      <c r="EE648" s="2" t="n">
        <v>74.31</v>
      </c>
      <c r="EF648" s="2" t="n">
        <v>50.82</v>
      </c>
      <c r="EG648" s="2" t="n">
        <v>0</v>
      </c>
      <c r="EH648" s="2" t="n">
        <v>87.83</v>
      </c>
      <c r="EI648" s="2" t="n">
        <v>62.42</v>
      </c>
      <c r="EJ648" s="2" t="n">
        <v>0</v>
      </c>
      <c r="EK648" s="2" t="n">
        <v>95.20999999999999</v>
      </c>
      <c r="EL648" s="2" t="n">
        <v>69.39</v>
      </c>
      <c r="EM648" s="2" t="n">
        <v>0</v>
      </c>
      <c r="EN648" s="2" t="n">
        <v>100</v>
      </c>
      <c r="EO648" s="2" t="n">
        <v>78.69</v>
      </c>
      <c r="EP648" s="2" t="n">
        <v>0</v>
      </c>
      <c r="EQ648" s="2" t="n">
        <v>100</v>
      </c>
      <c r="ER648" s="2" t="n">
        <v>83.61</v>
      </c>
      <c r="ES648" s="2" t="n">
        <v>0</v>
      </c>
      <c r="ET648" s="2" t="n">
        <v>100</v>
      </c>
      <c r="EU648" s="2" t="n">
        <v>89.75</v>
      </c>
      <c r="EV648" s="2" t="n">
        <v>0</v>
      </c>
      <c r="EW648" s="2" t="n">
        <v>100</v>
      </c>
      <c r="EX648" s="2" t="n">
        <v>95.90000000000001</v>
      </c>
      <c r="EY648" s="2" t="n">
        <v>0</v>
      </c>
      <c r="EZ648" s="2" t="n">
        <v>100</v>
      </c>
      <c r="FA648" s="2" t="n">
        <v>100</v>
      </c>
      <c r="FB648" s="2" t="n">
        <v>0</v>
      </c>
      <c r="FC648" s="2" t="n">
        <v>100</v>
      </c>
      <c r="FD648" s="2" t="n">
        <v>100</v>
      </c>
      <c r="FE648" s="2" t="n">
        <v>0</v>
      </c>
      <c r="FF648" s="2" t="n">
        <v>100</v>
      </c>
      <c r="FG648" s="2" t="n">
        <v>100</v>
      </c>
      <c r="FH648" s="2" t="n">
        <v>0</v>
      </c>
      <c r="FI648" s="2" t="n">
        <v>100</v>
      </c>
      <c r="FJ648" s="2" t="n">
        <v>100</v>
      </c>
      <c r="FK648" s="2" t="n">
        <v>0</v>
      </c>
      <c r="FL648" s="2" t="n">
        <v>100</v>
      </c>
      <c r="FM648" s="2" t="n">
        <v>100</v>
      </c>
      <c r="FN648" s="2" t="n">
        <v>0</v>
      </c>
      <c r="FO648" s="2" t="n">
        <v>100</v>
      </c>
      <c r="FP648" s="2" t="n">
        <v>100</v>
      </c>
      <c r="FQ648" s="2" t="n">
        <v>0</v>
      </c>
    </row>
    <row r="649">
      <c r="A649" s="2" t="n">
        <v>3</v>
      </c>
      <c r="B649" s="2" t="inlineStr">
        <is>
          <t>28.01.04</t>
        </is>
      </c>
      <c r="C649" s="2" t="inlineStr">
        <is>
          <t>Ferragens</t>
        </is>
      </c>
      <c r="D649" s="2" t="inlineStr">
        <is>
          <t>05/07/2027</t>
        </is>
      </c>
      <c r="E649" s="2" t="inlineStr">
        <is>
          <t>19/09/2028</t>
        </is>
      </c>
      <c r="F649" s="2" t="n">
        <v>218205.06</v>
      </c>
      <c r="G649" s="2" t="n">
        <v>0</v>
      </c>
      <c r="H649" s="2" t="n">
        <v>218205.06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0</v>
      </c>
      <c r="CM649" s="2" t="n">
        <v>0</v>
      </c>
      <c r="CN649" s="2" t="n">
        <v>0</v>
      </c>
      <c r="CO649" s="2" t="n">
        <v>0</v>
      </c>
      <c r="CP649" s="2" t="n">
        <v>0</v>
      </c>
      <c r="CQ649" s="2" t="n">
        <v>0</v>
      </c>
      <c r="CR649" s="2" t="n">
        <v>0</v>
      </c>
      <c r="CS649" s="2" t="n">
        <v>0</v>
      </c>
      <c r="CT649" s="2" t="n">
        <v>0</v>
      </c>
      <c r="CU649" s="2" t="n">
        <v>0</v>
      </c>
      <c r="CV649" s="2" t="n">
        <v>0</v>
      </c>
      <c r="CW649" s="2" t="n">
        <v>0</v>
      </c>
      <c r="CX649" s="2" t="n">
        <v>0</v>
      </c>
      <c r="CY649" s="2" t="n">
        <v>0</v>
      </c>
      <c r="CZ649" s="2" t="n">
        <v>0</v>
      </c>
      <c r="DA649" s="2" t="n">
        <v>0</v>
      </c>
      <c r="DB649" s="2" t="n">
        <v>0</v>
      </c>
      <c r="DC649" s="2" t="n">
        <v>0</v>
      </c>
      <c r="DD649" s="2" t="n">
        <v>0</v>
      </c>
      <c r="DE649" s="2" t="n">
        <v>0</v>
      </c>
      <c r="DF649" s="2" t="n">
        <v>0</v>
      </c>
      <c r="DG649" s="2" t="n">
        <v>7.79</v>
      </c>
      <c r="DH649" s="2" t="n">
        <v>0</v>
      </c>
      <c r="DI649" s="2" t="n">
        <v>0</v>
      </c>
      <c r="DJ649" s="2" t="n">
        <v>8.609999999999999</v>
      </c>
      <c r="DK649" s="2" t="n">
        <v>4.92</v>
      </c>
      <c r="DL649" s="2" t="n">
        <v>0</v>
      </c>
      <c r="DM649" s="2" t="n">
        <v>19.03</v>
      </c>
      <c r="DN649" s="2" t="n">
        <v>10.83</v>
      </c>
      <c r="DO649" s="2" t="n">
        <v>0</v>
      </c>
      <c r="DP649" s="2" t="n">
        <v>22.48</v>
      </c>
      <c r="DQ649" s="2" t="n">
        <v>10.83</v>
      </c>
      <c r="DR649" s="2" t="n">
        <v>0</v>
      </c>
      <c r="DS649" s="2" t="n">
        <v>28.05</v>
      </c>
      <c r="DT649" s="2" t="n">
        <v>21.91</v>
      </c>
      <c r="DU649" s="2" t="n">
        <v>0</v>
      </c>
      <c r="DV649" s="2" t="n">
        <v>42.92</v>
      </c>
      <c r="DW649" s="2" t="n">
        <v>28.46</v>
      </c>
      <c r="DX649" s="2" t="n">
        <v>0</v>
      </c>
      <c r="DY649" s="2" t="n">
        <v>51.36</v>
      </c>
      <c r="DZ649" s="2" t="n">
        <v>36.48</v>
      </c>
      <c r="EA649" s="2" t="n">
        <v>0</v>
      </c>
      <c r="EB649" s="2" t="n">
        <v>66.52</v>
      </c>
      <c r="EC649" s="2" t="n">
        <v>44.68</v>
      </c>
      <c r="ED649" s="2" t="n">
        <v>0</v>
      </c>
      <c r="EE649" s="2" t="n">
        <v>74.31</v>
      </c>
      <c r="EF649" s="2" t="n">
        <v>50.82</v>
      </c>
      <c r="EG649" s="2" t="n">
        <v>0</v>
      </c>
      <c r="EH649" s="2" t="n">
        <v>87.83</v>
      </c>
      <c r="EI649" s="2" t="n">
        <v>62.42</v>
      </c>
      <c r="EJ649" s="2" t="n">
        <v>0</v>
      </c>
      <c r="EK649" s="2" t="n">
        <v>95.20999999999999</v>
      </c>
      <c r="EL649" s="2" t="n">
        <v>69.39</v>
      </c>
      <c r="EM649" s="2" t="n">
        <v>0</v>
      </c>
      <c r="EN649" s="2" t="n">
        <v>100</v>
      </c>
      <c r="EO649" s="2" t="n">
        <v>78.69</v>
      </c>
      <c r="EP649" s="2" t="n">
        <v>0</v>
      </c>
      <c r="EQ649" s="2" t="n">
        <v>100</v>
      </c>
      <c r="ER649" s="2" t="n">
        <v>83.61</v>
      </c>
      <c r="ES649" s="2" t="n">
        <v>0</v>
      </c>
      <c r="ET649" s="2" t="n">
        <v>100</v>
      </c>
      <c r="EU649" s="2" t="n">
        <v>89.75</v>
      </c>
      <c r="EV649" s="2" t="n">
        <v>0</v>
      </c>
      <c r="EW649" s="2" t="n">
        <v>100</v>
      </c>
      <c r="EX649" s="2" t="n">
        <v>95.90000000000001</v>
      </c>
      <c r="EY649" s="2" t="n">
        <v>0</v>
      </c>
      <c r="EZ649" s="2" t="n">
        <v>100</v>
      </c>
      <c r="FA649" s="2" t="n">
        <v>100</v>
      </c>
      <c r="FB649" s="2" t="n">
        <v>0</v>
      </c>
      <c r="FC649" s="2" t="n">
        <v>100</v>
      </c>
      <c r="FD649" s="2" t="n">
        <v>100</v>
      </c>
      <c r="FE649" s="2" t="n">
        <v>0</v>
      </c>
      <c r="FF649" s="2" t="n">
        <v>100</v>
      </c>
      <c r="FG649" s="2" t="n">
        <v>100</v>
      </c>
      <c r="FH649" s="2" t="n">
        <v>0</v>
      </c>
      <c r="FI649" s="2" t="n">
        <v>100</v>
      </c>
      <c r="FJ649" s="2" t="n">
        <v>100</v>
      </c>
      <c r="FK649" s="2" t="n">
        <v>0</v>
      </c>
      <c r="FL649" s="2" t="n">
        <v>100</v>
      </c>
      <c r="FM649" s="2" t="n">
        <v>100</v>
      </c>
      <c r="FN649" s="2" t="n">
        <v>0</v>
      </c>
      <c r="FO649" s="2" t="n">
        <v>100</v>
      </c>
      <c r="FP649" s="2" t="n">
        <v>100</v>
      </c>
      <c r="FQ649" s="2" t="n">
        <v>0</v>
      </c>
    </row>
    <row r="650">
      <c r="A650" s="2" t="n">
        <v>4</v>
      </c>
      <c r="B650" s="2" t="inlineStr">
        <is>
          <t>28.01.04.01</t>
        </is>
      </c>
      <c r="C650" s="2" t="inlineStr">
        <is>
          <t>Dobradiça cromada 3" - Kit com 3 unidades</t>
        </is>
      </c>
      <c r="D650" s="2" t="inlineStr">
        <is>
          <t>05/07/2027</t>
        </is>
      </c>
      <c r="E650" s="2" t="inlineStr">
        <is>
          <t>19/09/2028</t>
        </is>
      </c>
      <c r="F650" s="2" t="n">
        <v>111134.1</v>
      </c>
      <c r="G650" s="2" t="n">
        <v>0</v>
      </c>
      <c r="H650" s="2" t="n">
        <v>111134.1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7.79</v>
      </c>
      <c r="DH650" s="2" t="n">
        <v>0</v>
      </c>
      <c r="DI650" s="2" t="n">
        <v>0</v>
      </c>
      <c r="DJ650" s="2" t="n">
        <v>8.609999999999999</v>
      </c>
      <c r="DK650" s="2" t="n">
        <v>4.92</v>
      </c>
      <c r="DL650" s="2" t="n">
        <v>0</v>
      </c>
      <c r="DM650" s="2" t="n">
        <v>19.03</v>
      </c>
      <c r="DN650" s="2" t="n">
        <v>10.83</v>
      </c>
      <c r="DO650" s="2" t="n">
        <v>0</v>
      </c>
      <c r="DP650" s="2" t="n">
        <v>22.48</v>
      </c>
      <c r="DQ650" s="2" t="n">
        <v>10.83</v>
      </c>
      <c r="DR650" s="2" t="n">
        <v>0</v>
      </c>
      <c r="DS650" s="2" t="n">
        <v>28.05</v>
      </c>
      <c r="DT650" s="2" t="n">
        <v>21.91</v>
      </c>
      <c r="DU650" s="2" t="n">
        <v>0</v>
      </c>
      <c r="DV650" s="2" t="n">
        <v>42.92</v>
      </c>
      <c r="DW650" s="2" t="n">
        <v>28.46</v>
      </c>
      <c r="DX650" s="2" t="n">
        <v>0</v>
      </c>
      <c r="DY650" s="2" t="n">
        <v>51.36</v>
      </c>
      <c r="DZ650" s="2" t="n">
        <v>36.48</v>
      </c>
      <c r="EA650" s="2" t="n">
        <v>0</v>
      </c>
      <c r="EB650" s="2" t="n">
        <v>66.52</v>
      </c>
      <c r="EC650" s="2" t="n">
        <v>44.68</v>
      </c>
      <c r="ED650" s="2" t="n">
        <v>0</v>
      </c>
      <c r="EE650" s="2" t="n">
        <v>74.31</v>
      </c>
      <c r="EF650" s="2" t="n">
        <v>50.82</v>
      </c>
      <c r="EG650" s="2" t="n">
        <v>0</v>
      </c>
      <c r="EH650" s="2" t="n">
        <v>87.83</v>
      </c>
      <c r="EI650" s="2" t="n">
        <v>62.42</v>
      </c>
      <c r="EJ650" s="2" t="n">
        <v>0</v>
      </c>
      <c r="EK650" s="2" t="n">
        <v>95.20999999999999</v>
      </c>
      <c r="EL650" s="2" t="n">
        <v>69.39</v>
      </c>
      <c r="EM650" s="2" t="n">
        <v>0</v>
      </c>
      <c r="EN650" s="2" t="n">
        <v>100</v>
      </c>
      <c r="EO650" s="2" t="n">
        <v>78.69</v>
      </c>
      <c r="EP650" s="2" t="n">
        <v>0</v>
      </c>
      <c r="EQ650" s="2" t="n">
        <v>100</v>
      </c>
      <c r="ER650" s="2" t="n">
        <v>83.61</v>
      </c>
      <c r="ES650" s="2" t="n">
        <v>0</v>
      </c>
      <c r="ET650" s="2" t="n">
        <v>100</v>
      </c>
      <c r="EU650" s="2" t="n">
        <v>89.75</v>
      </c>
      <c r="EV650" s="2" t="n">
        <v>0</v>
      </c>
      <c r="EW650" s="2" t="n">
        <v>100</v>
      </c>
      <c r="EX650" s="2" t="n">
        <v>95.90000000000001</v>
      </c>
      <c r="EY650" s="2" t="n">
        <v>0</v>
      </c>
      <c r="EZ650" s="2" t="n">
        <v>100</v>
      </c>
      <c r="FA650" s="2" t="n">
        <v>100</v>
      </c>
      <c r="FB650" s="2" t="n">
        <v>0</v>
      </c>
      <c r="FC650" s="2" t="n">
        <v>100</v>
      </c>
      <c r="FD650" s="2" t="n">
        <v>100</v>
      </c>
      <c r="FE650" s="2" t="n">
        <v>0</v>
      </c>
      <c r="FF650" s="2" t="n">
        <v>100</v>
      </c>
      <c r="FG650" s="2" t="n">
        <v>100</v>
      </c>
      <c r="FH650" s="2" t="n">
        <v>0</v>
      </c>
      <c r="FI650" s="2" t="n">
        <v>100</v>
      </c>
      <c r="FJ650" s="2" t="n">
        <v>100</v>
      </c>
      <c r="FK650" s="2" t="n">
        <v>0</v>
      </c>
      <c r="FL650" s="2" t="n">
        <v>100</v>
      </c>
      <c r="FM650" s="2" t="n">
        <v>100</v>
      </c>
      <c r="FN650" s="2" t="n">
        <v>0</v>
      </c>
      <c r="FO650" s="2" t="n">
        <v>100</v>
      </c>
      <c r="FP650" s="2" t="n">
        <v>100</v>
      </c>
      <c r="FQ650" s="2" t="n">
        <v>0</v>
      </c>
    </row>
    <row r="651">
      <c r="A651" s="2" t="n">
        <v>4</v>
      </c>
      <c r="B651" s="2" t="inlineStr">
        <is>
          <t>28.01.04.02</t>
        </is>
      </c>
      <c r="C651" s="2" t="inlineStr">
        <is>
          <t>Maçaneta Papaiz MZ440 Squadro acabamento cromado acetinado</t>
        </is>
      </c>
      <c r="D651" s="2" t="inlineStr">
        <is>
          <t>05/07/2027</t>
        </is>
      </c>
      <c r="E651" s="2" t="inlineStr">
        <is>
          <t>19/09/2028</t>
        </is>
      </c>
      <c r="F651" s="2" t="n">
        <v>63466.2</v>
      </c>
      <c r="G651" s="2" t="n">
        <v>0</v>
      </c>
      <c r="H651" s="2" t="n">
        <v>63466.2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7.79</v>
      </c>
      <c r="DH651" s="2" t="n">
        <v>0</v>
      </c>
      <c r="DI651" s="2" t="n">
        <v>0</v>
      </c>
      <c r="DJ651" s="2" t="n">
        <v>8.609999999999999</v>
      </c>
      <c r="DK651" s="2" t="n">
        <v>4.92</v>
      </c>
      <c r="DL651" s="2" t="n">
        <v>0</v>
      </c>
      <c r="DM651" s="2" t="n">
        <v>19.03</v>
      </c>
      <c r="DN651" s="2" t="n">
        <v>10.83</v>
      </c>
      <c r="DO651" s="2" t="n">
        <v>0</v>
      </c>
      <c r="DP651" s="2" t="n">
        <v>22.48</v>
      </c>
      <c r="DQ651" s="2" t="n">
        <v>10.83</v>
      </c>
      <c r="DR651" s="2" t="n">
        <v>0</v>
      </c>
      <c r="DS651" s="2" t="n">
        <v>28.05</v>
      </c>
      <c r="DT651" s="2" t="n">
        <v>21.91</v>
      </c>
      <c r="DU651" s="2" t="n">
        <v>0</v>
      </c>
      <c r="DV651" s="2" t="n">
        <v>42.92</v>
      </c>
      <c r="DW651" s="2" t="n">
        <v>28.46</v>
      </c>
      <c r="DX651" s="2" t="n">
        <v>0</v>
      </c>
      <c r="DY651" s="2" t="n">
        <v>51.36</v>
      </c>
      <c r="DZ651" s="2" t="n">
        <v>36.48</v>
      </c>
      <c r="EA651" s="2" t="n">
        <v>0</v>
      </c>
      <c r="EB651" s="2" t="n">
        <v>66.52</v>
      </c>
      <c r="EC651" s="2" t="n">
        <v>44.68</v>
      </c>
      <c r="ED651" s="2" t="n">
        <v>0</v>
      </c>
      <c r="EE651" s="2" t="n">
        <v>74.31</v>
      </c>
      <c r="EF651" s="2" t="n">
        <v>50.82</v>
      </c>
      <c r="EG651" s="2" t="n">
        <v>0</v>
      </c>
      <c r="EH651" s="2" t="n">
        <v>87.83</v>
      </c>
      <c r="EI651" s="2" t="n">
        <v>62.42</v>
      </c>
      <c r="EJ651" s="2" t="n">
        <v>0</v>
      </c>
      <c r="EK651" s="2" t="n">
        <v>95.20999999999999</v>
      </c>
      <c r="EL651" s="2" t="n">
        <v>69.39</v>
      </c>
      <c r="EM651" s="2" t="n">
        <v>0</v>
      </c>
      <c r="EN651" s="2" t="n">
        <v>100</v>
      </c>
      <c r="EO651" s="2" t="n">
        <v>78.69</v>
      </c>
      <c r="EP651" s="2" t="n">
        <v>0</v>
      </c>
      <c r="EQ651" s="2" t="n">
        <v>100</v>
      </c>
      <c r="ER651" s="2" t="n">
        <v>83.61</v>
      </c>
      <c r="ES651" s="2" t="n">
        <v>0</v>
      </c>
      <c r="ET651" s="2" t="n">
        <v>100</v>
      </c>
      <c r="EU651" s="2" t="n">
        <v>89.75</v>
      </c>
      <c r="EV651" s="2" t="n">
        <v>0</v>
      </c>
      <c r="EW651" s="2" t="n">
        <v>100</v>
      </c>
      <c r="EX651" s="2" t="n">
        <v>95.90000000000001</v>
      </c>
      <c r="EY651" s="2" t="n">
        <v>0</v>
      </c>
      <c r="EZ651" s="2" t="n">
        <v>100</v>
      </c>
      <c r="FA651" s="2" t="n">
        <v>100</v>
      </c>
      <c r="FB651" s="2" t="n">
        <v>0</v>
      </c>
      <c r="FC651" s="2" t="n">
        <v>100</v>
      </c>
      <c r="FD651" s="2" t="n">
        <v>100</v>
      </c>
      <c r="FE651" s="2" t="n">
        <v>0</v>
      </c>
      <c r="FF651" s="2" t="n">
        <v>100</v>
      </c>
      <c r="FG651" s="2" t="n">
        <v>100</v>
      </c>
      <c r="FH651" s="2" t="n">
        <v>0</v>
      </c>
      <c r="FI651" s="2" t="n">
        <v>100</v>
      </c>
      <c r="FJ651" s="2" t="n">
        <v>100</v>
      </c>
      <c r="FK651" s="2" t="n">
        <v>0</v>
      </c>
      <c r="FL651" s="2" t="n">
        <v>100</v>
      </c>
      <c r="FM651" s="2" t="n">
        <v>100</v>
      </c>
      <c r="FN651" s="2" t="n">
        <v>0</v>
      </c>
      <c r="FO651" s="2" t="n">
        <v>100</v>
      </c>
      <c r="FP651" s="2" t="n">
        <v>100</v>
      </c>
      <c r="FQ651" s="2" t="n">
        <v>0</v>
      </c>
    </row>
    <row r="652">
      <c r="A652" s="2" t="n">
        <v>4</v>
      </c>
      <c r="B652" s="2" t="inlineStr">
        <is>
          <t>28.01.04.03</t>
        </is>
      </c>
      <c r="C652" s="2" t="inlineStr">
        <is>
          <t>Fechaduras eletrônicas para portas de entrada (Yale)</t>
        </is>
      </c>
      <c r="D652" s="2" t="inlineStr">
        <is>
          <t>05/07/2027</t>
        </is>
      </c>
      <c r="E652" s="2" t="inlineStr">
        <is>
          <t>19/09/2028</t>
        </is>
      </c>
      <c r="F652" s="2" t="n">
        <v>38916.00000000001</v>
      </c>
      <c r="G652" s="2" t="n">
        <v>0</v>
      </c>
      <c r="H652" s="2" t="n">
        <v>38916.00000000001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0</v>
      </c>
      <c r="CM652" s="2" t="n">
        <v>0</v>
      </c>
      <c r="CN652" s="2" t="n">
        <v>0</v>
      </c>
      <c r="CO652" s="2" t="n">
        <v>0</v>
      </c>
      <c r="CP652" s="2" t="n">
        <v>0</v>
      </c>
      <c r="CQ652" s="2" t="n">
        <v>0</v>
      </c>
      <c r="CR652" s="2" t="n">
        <v>0</v>
      </c>
      <c r="CS652" s="2" t="n">
        <v>0</v>
      </c>
      <c r="CT652" s="2" t="n">
        <v>0</v>
      </c>
      <c r="CU652" s="2" t="n">
        <v>0</v>
      </c>
      <c r="CV652" s="2" t="n">
        <v>0</v>
      </c>
      <c r="CW652" s="2" t="n">
        <v>0</v>
      </c>
      <c r="CX652" s="2" t="n">
        <v>0</v>
      </c>
      <c r="CY652" s="2" t="n">
        <v>0</v>
      </c>
      <c r="CZ652" s="2" t="n">
        <v>0</v>
      </c>
      <c r="DA652" s="2" t="n">
        <v>0</v>
      </c>
      <c r="DB652" s="2" t="n">
        <v>0</v>
      </c>
      <c r="DC652" s="2" t="n">
        <v>0</v>
      </c>
      <c r="DD652" s="2" t="n">
        <v>0</v>
      </c>
      <c r="DE652" s="2" t="n">
        <v>0</v>
      </c>
      <c r="DF652" s="2" t="n">
        <v>0</v>
      </c>
      <c r="DG652" s="2" t="n">
        <v>7.79</v>
      </c>
      <c r="DH652" s="2" t="n">
        <v>0</v>
      </c>
      <c r="DI652" s="2" t="n">
        <v>0</v>
      </c>
      <c r="DJ652" s="2" t="n">
        <v>8.609999999999999</v>
      </c>
      <c r="DK652" s="2" t="n">
        <v>4.92</v>
      </c>
      <c r="DL652" s="2" t="n">
        <v>0</v>
      </c>
      <c r="DM652" s="2" t="n">
        <v>19.03</v>
      </c>
      <c r="DN652" s="2" t="n">
        <v>10.83</v>
      </c>
      <c r="DO652" s="2" t="n">
        <v>0</v>
      </c>
      <c r="DP652" s="2" t="n">
        <v>22.48</v>
      </c>
      <c r="DQ652" s="2" t="n">
        <v>10.83</v>
      </c>
      <c r="DR652" s="2" t="n">
        <v>0</v>
      </c>
      <c r="DS652" s="2" t="n">
        <v>28.05</v>
      </c>
      <c r="DT652" s="2" t="n">
        <v>21.91</v>
      </c>
      <c r="DU652" s="2" t="n">
        <v>0</v>
      </c>
      <c r="DV652" s="2" t="n">
        <v>42.92</v>
      </c>
      <c r="DW652" s="2" t="n">
        <v>28.46</v>
      </c>
      <c r="DX652" s="2" t="n">
        <v>0</v>
      </c>
      <c r="DY652" s="2" t="n">
        <v>51.36</v>
      </c>
      <c r="DZ652" s="2" t="n">
        <v>36.48</v>
      </c>
      <c r="EA652" s="2" t="n">
        <v>0</v>
      </c>
      <c r="EB652" s="2" t="n">
        <v>66.52</v>
      </c>
      <c r="EC652" s="2" t="n">
        <v>44.68</v>
      </c>
      <c r="ED652" s="2" t="n">
        <v>0</v>
      </c>
      <c r="EE652" s="2" t="n">
        <v>74.31</v>
      </c>
      <c r="EF652" s="2" t="n">
        <v>50.82</v>
      </c>
      <c r="EG652" s="2" t="n">
        <v>0</v>
      </c>
      <c r="EH652" s="2" t="n">
        <v>87.83</v>
      </c>
      <c r="EI652" s="2" t="n">
        <v>62.42</v>
      </c>
      <c r="EJ652" s="2" t="n">
        <v>0</v>
      </c>
      <c r="EK652" s="2" t="n">
        <v>95.20999999999999</v>
      </c>
      <c r="EL652" s="2" t="n">
        <v>69.39</v>
      </c>
      <c r="EM652" s="2" t="n">
        <v>0</v>
      </c>
      <c r="EN652" s="2" t="n">
        <v>100</v>
      </c>
      <c r="EO652" s="2" t="n">
        <v>78.69</v>
      </c>
      <c r="EP652" s="2" t="n">
        <v>0</v>
      </c>
      <c r="EQ652" s="2" t="n">
        <v>100</v>
      </c>
      <c r="ER652" s="2" t="n">
        <v>83.61</v>
      </c>
      <c r="ES652" s="2" t="n">
        <v>0</v>
      </c>
      <c r="ET652" s="2" t="n">
        <v>100</v>
      </c>
      <c r="EU652" s="2" t="n">
        <v>89.75</v>
      </c>
      <c r="EV652" s="2" t="n">
        <v>0</v>
      </c>
      <c r="EW652" s="2" t="n">
        <v>100</v>
      </c>
      <c r="EX652" s="2" t="n">
        <v>95.90000000000001</v>
      </c>
      <c r="EY652" s="2" t="n">
        <v>0</v>
      </c>
      <c r="EZ652" s="2" t="n">
        <v>100</v>
      </c>
      <c r="FA652" s="2" t="n">
        <v>100</v>
      </c>
      <c r="FB652" s="2" t="n">
        <v>0</v>
      </c>
      <c r="FC652" s="2" t="n">
        <v>100</v>
      </c>
      <c r="FD652" s="2" t="n">
        <v>100</v>
      </c>
      <c r="FE652" s="2" t="n">
        <v>0</v>
      </c>
      <c r="FF652" s="2" t="n">
        <v>100</v>
      </c>
      <c r="FG652" s="2" t="n">
        <v>100</v>
      </c>
      <c r="FH652" s="2" t="n">
        <v>0</v>
      </c>
      <c r="FI652" s="2" t="n">
        <v>100</v>
      </c>
      <c r="FJ652" s="2" t="n">
        <v>100</v>
      </c>
      <c r="FK652" s="2" t="n">
        <v>0</v>
      </c>
      <c r="FL652" s="2" t="n">
        <v>100</v>
      </c>
      <c r="FM652" s="2" t="n">
        <v>100</v>
      </c>
      <c r="FN652" s="2" t="n">
        <v>0</v>
      </c>
      <c r="FO652" s="2" t="n">
        <v>100</v>
      </c>
      <c r="FP652" s="2" t="n">
        <v>100</v>
      </c>
      <c r="FQ652" s="2" t="n">
        <v>0</v>
      </c>
    </row>
    <row r="653">
      <c r="A653" s="2" t="n">
        <v>4</v>
      </c>
      <c r="B653" s="2" t="inlineStr">
        <is>
          <t>28.01.04.04</t>
        </is>
      </c>
      <c r="C653" s="2" t="inlineStr">
        <is>
          <t>Conjunto de ferragens para porta de correr com montagem por fora da alvenaria</t>
        </is>
      </c>
      <c r="D653" s="2" t="inlineStr">
        <is>
          <t>05/07/2027</t>
        </is>
      </c>
      <c r="E653" s="2" t="inlineStr">
        <is>
          <t>19/09/2028</t>
        </is>
      </c>
      <c r="F653" s="2" t="n">
        <v>4418.76</v>
      </c>
      <c r="G653" s="2" t="n">
        <v>0</v>
      </c>
      <c r="H653" s="2" t="n">
        <v>4418.76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0</v>
      </c>
      <c r="CM653" s="2" t="n">
        <v>0</v>
      </c>
      <c r="CN653" s="2" t="n">
        <v>0</v>
      </c>
      <c r="CO653" s="2" t="n">
        <v>0</v>
      </c>
      <c r="CP653" s="2" t="n">
        <v>0</v>
      </c>
      <c r="CQ653" s="2" t="n">
        <v>0</v>
      </c>
      <c r="CR653" s="2" t="n">
        <v>0</v>
      </c>
      <c r="CS653" s="2" t="n">
        <v>0</v>
      </c>
      <c r="CT653" s="2" t="n">
        <v>0</v>
      </c>
      <c r="CU653" s="2" t="n">
        <v>0</v>
      </c>
      <c r="CV653" s="2" t="n">
        <v>0</v>
      </c>
      <c r="CW653" s="2" t="n">
        <v>0</v>
      </c>
      <c r="CX653" s="2" t="n">
        <v>0</v>
      </c>
      <c r="CY653" s="2" t="n">
        <v>0</v>
      </c>
      <c r="CZ653" s="2" t="n">
        <v>0</v>
      </c>
      <c r="DA653" s="2" t="n">
        <v>0</v>
      </c>
      <c r="DB653" s="2" t="n">
        <v>0</v>
      </c>
      <c r="DC653" s="2" t="n">
        <v>0</v>
      </c>
      <c r="DD653" s="2" t="n">
        <v>0</v>
      </c>
      <c r="DE653" s="2" t="n">
        <v>0</v>
      </c>
      <c r="DF653" s="2" t="n">
        <v>0</v>
      </c>
      <c r="DG653" s="2" t="n">
        <v>7.79</v>
      </c>
      <c r="DH653" s="2" t="n">
        <v>0</v>
      </c>
      <c r="DI653" s="2" t="n">
        <v>0</v>
      </c>
      <c r="DJ653" s="2" t="n">
        <v>8.609999999999999</v>
      </c>
      <c r="DK653" s="2" t="n">
        <v>4.92</v>
      </c>
      <c r="DL653" s="2" t="n">
        <v>0</v>
      </c>
      <c r="DM653" s="2" t="n">
        <v>19.03</v>
      </c>
      <c r="DN653" s="2" t="n">
        <v>10.83</v>
      </c>
      <c r="DO653" s="2" t="n">
        <v>0</v>
      </c>
      <c r="DP653" s="2" t="n">
        <v>22.48</v>
      </c>
      <c r="DQ653" s="2" t="n">
        <v>10.83</v>
      </c>
      <c r="DR653" s="2" t="n">
        <v>0</v>
      </c>
      <c r="DS653" s="2" t="n">
        <v>28.05</v>
      </c>
      <c r="DT653" s="2" t="n">
        <v>21.91</v>
      </c>
      <c r="DU653" s="2" t="n">
        <v>0</v>
      </c>
      <c r="DV653" s="2" t="n">
        <v>42.92</v>
      </c>
      <c r="DW653" s="2" t="n">
        <v>28.46</v>
      </c>
      <c r="DX653" s="2" t="n">
        <v>0</v>
      </c>
      <c r="DY653" s="2" t="n">
        <v>51.36</v>
      </c>
      <c r="DZ653" s="2" t="n">
        <v>36.48</v>
      </c>
      <c r="EA653" s="2" t="n">
        <v>0</v>
      </c>
      <c r="EB653" s="2" t="n">
        <v>66.52</v>
      </c>
      <c r="EC653" s="2" t="n">
        <v>44.68</v>
      </c>
      <c r="ED653" s="2" t="n">
        <v>0</v>
      </c>
      <c r="EE653" s="2" t="n">
        <v>74.31</v>
      </c>
      <c r="EF653" s="2" t="n">
        <v>50.82</v>
      </c>
      <c r="EG653" s="2" t="n">
        <v>0</v>
      </c>
      <c r="EH653" s="2" t="n">
        <v>87.83</v>
      </c>
      <c r="EI653" s="2" t="n">
        <v>62.42</v>
      </c>
      <c r="EJ653" s="2" t="n">
        <v>0</v>
      </c>
      <c r="EK653" s="2" t="n">
        <v>95.20999999999999</v>
      </c>
      <c r="EL653" s="2" t="n">
        <v>69.39</v>
      </c>
      <c r="EM653" s="2" t="n">
        <v>0</v>
      </c>
      <c r="EN653" s="2" t="n">
        <v>100</v>
      </c>
      <c r="EO653" s="2" t="n">
        <v>78.69</v>
      </c>
      <c r="EP653" s="2" t="n">
        <v>0</v>
      </c>
      <c r="EQ653" s="2" t="n">
        <v>100</v>
      </c>
      <c r="ER653" s="2" t="n">
        <v>83.61</v>
      </c>
      <c r="ES653" s="2" t="n">
        <v>0</v>
      </c>
      <c r="ET653" s="2" t="n">
        <v>100</v>
      </c>
      <c r="EU653" s="2" t="n">
        <v>89.75</v>
      </c>
      <c r="EV653" s="2" t="n">
        <v>0</v>
      </c>
      <c r="EW653" s="2" t="n">
        <v>100</v>
      </c>
      <c r="EX653" s="2" t="n">
        <v>95.90000000000001</v>
      </c>
      <c r="EY653" s="2" t="n">
        <v>0</v>
      </c>
      <c r="EZ653" s="2" t="n">
        <v>100</v>
      </c>
      <c r="FA653" s="2" t="n">
        <v>100</v>
      </c>
      <c r="FB653" s="2" t="n">
        <v>0</v>
      </c>
      <c r="FC653" s="2" t="n">
        <v>100</v>
      </c>
      <c r="FD653" s="2" t="n">
        <v>100</v>
      </c>
      <c r="FE653" s="2" t="n">
        <v>0</v>
      </c>
      <c r="FF653" s="2" t="n">
        <v>100</v>
      </c>
      <c r="FG653" s="2" t="n">
        <v>100</v>
      </c>
      <c r="FH653" s="2" t="n">
        <v>0</v>
      </c>
      <c r="FI653" s="2" t="n">
        <v>100</v>
      </c>
      <c r="FJ653" s="2" t="n">
        <v>100</v>
      </c>
      <c r="FK653" s="2" t="n">
        <v>0</v>
      </c>
      <c r="FL653" s="2" t="n">
        <v>100</v>
      </c>
      <c r="FM653" s="2" t="n">
        <v>100</v>
      </c>
      <c r="FN653" s="2" t="n">
        <v>0</v>
      </c>
      <c r="FO653" s="2" t="n">
        <v>100</v>
      </c>
      <c r="FP653" s="2" t="n">
        <v>100</v>
      </c>
      <c r="FQ653" s="2" t="n">
        <v>0</v>
      </c>
    </row>
    <row r="654">
      <c r="A654" s="2" t="n">
        <v>4</v>
      </c>
      <c r="B654" s="2" t="inlineStr">
        <is>
          <t>28.01.04.05</t>
        </is>
      </c>
      <c r="C654" s="2" t="inlineStr">
        <is>
          <t>Cadeado PADO para alçapões</t>
        </is>
      </c>
      <c r="D654" s="2" t="inlineStr">
        <is>
          <t>05/07/2027</t>
        </is>
      </c>
      <c r="E654" s="2" t="inlineStr">
        <is>
          <t>19/09/2028</t>
        </is>
      </c>
      <c r="F654" s="2" t="n">
        <v>270</v>
      </c>
      <c r="G654" s="2" t="n">
        <v>0</v>
      </c>
      <c r="H654" s="2" t="n">
        <v>270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0</v>
      </c>
      <c r="CM654" s="2" t="n">
        <v>0</v>
      </c>
      <c r="CN654" s="2" t="n">
        <v>0</v>
      </c>
      <c r="CO654" s="2" t="n">
        <v>0</v>
      </c>
      <c r="CP654" s="2" t="n">
        <v>0</v>
      </c>
      <c r="CQ654" s="2" t="n">
        <v>0</v>
      </c>
      <c r="CR654" s="2" t="n">
        <v>0</v>
      </c>
      <c r="CS654" s="2" t="n">
        <v>0</v>
      </c>
      <c r="CT654" s="2" t="n">
        <v>0</v>
      </c>
      <c r="CU654" s="2" t="n">
        <v>0</v>
      </c>
      <c r="CV654" s="2" t="n">
        <v>0</v>
      </c>
      <c r="CW654" s="2" t="n">
        <v>0</v>
      </c>
      <c r="CX654" s="2" t="n">
        <v>0</v>
      </c>
      <c r="CY654" s="2" t="n">
        <v>0</v>
      </c>
      <c r="CZ654" s="2" t="n">
        <v>0</v>
      </c>
      <c r="DA654" s="2" t="n">
        <v>0</v>
      </c>
      <c r="DB654" s="2" t="n">
        <v>0</v>
      </c>
      <c r="DC654" s="2" t="n">
        <v>0</v>
      </c>
      <c r="DD654" s="2" t="n">
        <v>0</v>
      </c>
      <c r="DE654" s="2" t="n">
        <v>0</v>
      </c>
      <c r="DF654" s="2" t="n">
        <v>0</v>
      </c>
      <c r="DG654" s="2" t="n">
        <v>7.79</v>
      </c>
      <c r="DH654" s="2" t="n">
        <v>0</v>
      </c>
      <c r="DI654" s="2" t="n">
        <v>0</v>
      </c>
      <c r="DJ654" s="2" t="n">
        <v>8.609999999999999</v>
      </c>
      <c r="DK654" s="2" t="n">
        <v>4.92</v>
      </c>
      <c r="DL654" s="2" t="n">
        <v>0</v>
      </c>
      <c r="DM654" s="2" t="n">
        <v>19.03</v>
      </c>
      <c r="DN654" s="2" t="n">
        <v>10.83</v>
      </c>
      <c r="DO654" s="2" t="n">
        <v>0</v>
      </c>
      <c r="DP654" s="2" t="n">
        <v>22.48</v>
      </c>
      <c r="DQ654" s="2" t="n">
        <v>10.83</v>
      </c>
      <c r="DR654" s="2" t="n">
        <v>0</v>
      </c>
      <c r="DS654" s="2" t="n">
        <v>28.05</v>
      </c>
      <c r="DT654" s="2" t="n">
        <v>21.91</v>
      </c>
      <c r="DU654" s="2" t="n">
        <v>0</v>
      </c>
      <c r="DV654" s="2" t="n">
        <v>42.92</v>
      </c>
      <c r="DW654" s="2" t="n">
        <v>28.46</v>
      </c>
      <c r="DX654" s="2" t="n">
        <v>0</v>
      </c>
      <c r="DY654" s="2" t="n">
        <v>51.36</v>
      </c>
      <c r="DZ654" s="2" t="n">
        <v>36.48</v>
      </c>
      <c r="EA654" s="2" t="n">
        <v>0</v>
      </c>
      <c r="EB654" s="2" t="n">
        <v>66.52</v>
      </c>
      <c r="EC654" s="2" t="n">
        <v>44.68</v>
      </c>
      <c r="ED654" s="2" t="n">
        <v>0</v>
      </c>
      <c r="EE654" s="2" t="n">
        <v>74.31</v>
      </c>
      <c r="EF654" s="2" t="n">
        <v>50.82</v>
      </c>
      <c r="EG654" s="2" t="n">
        <v>0</v>
      </c>
      <c r="EH654" s="2" t="n">
        <v>87.83</v>
      </c>
      <c r="EI654" s="2" t="n">
        <v>62.42</v>
      </c>
      <c r="EJ654" s="2" t="n">
        <v>0</v>
      </c>
      <c r="EK654" s="2" t="n">
        <v>95.20999999999999</v>
      </c>
      <c r="EL654" s="2" t="n">
        <v>69.39</v>
      </c>
      <c r="EM654" s="2" t="n">
        <v>0</v>
      </c>
      <c r="EN654" s="2" t="n">
        <v>100</v>
      </c>
      <c r="EO654" s="2" t="n">
        <v>78.69</v>
      </c>
      <c r="EP654" s="2" t="n">
        <v>0</v>
      </c>
      <c r="EQ654" s="2" t="n">
        <v>100</v>
      </c>
      <c r="ER654" s="2" t="n">
        <v>83.61</v>
      </c>
      <c r="ES654" s="2" t="n">
        <v>0</v>
      </c>
      <c r="ET654" s="2" t="n">
        <v>100</v>
      </c>
      <c r="EU654" s="2" t="n">
        <v>89.75</v>
      </c>
      <c r="EV654" s="2" t="n">
        <v>0</v>
      </c>
      <c r="EW654" s="2" t="n">
        <v>100</v>
      </c>
      <c r="EX654" s="2" t="n">
        <v>95.90000000000001</v>
      </c>
      <c r="EY654" s="2" t="n">
        <v>0</v>
      </c>
      <c r="EZ654" s="2" t="n">
        <v>100</v>
      </c>
      <c r="FA654" s="2" t="n">
        <v>100</v>
      </c>
      <c r="FB654" s="2" t="n">
        <v>0</v>
      </c>
      <c r="FC654" s="2" t="n">
        <v>100</v>
      </c>
      <c r="FD654" s="2" t="n">
        <v>100</v>
      </c>
      <c r="FE654" s="2" t="n">
        <v>0</v>
      </c>
      <c r="FF654" s="2" t="n">
        <v>100</v>
      </c>
      <c r="FG654" s="2" t="n">
        <v>100</v>
      </c>
      <c r="FH654" s="2" t="n">
        <v>0</v>
      </c>
      <c r="FI654" s="2" t="n">
        <v>100</v>
      </c>
      <c r="FJ654" s="2" t="n">
        <v>100</v>
      </c>
      <c r="FK654" s="2" t="n">
        <v>0</v>
      </c>
      <c r="FL654" s="2" t="n">
        <v>100</v>
      </c>
      <c r="FM654" s="2" t="n">
        <v>100</v>
      </c>
      <c r="FN654" s="2" t="n">
        <v>0</v>
      </c>
      <c r="FO654" s="2" t="n">
        <v>100</v>
      </c>
      <c r="FP654" s="2" t="n">
        <v>100</v>
      </c>
      <c r="FQ654" s="2" t="n">
        <v>0</v>
      </c>
    </row>
    <row r="655">
      <c r="A655" s="2" t="n">
        <v>2</v>
      </c>
      <c r="B655" s="2" t="inlineStr">
        <is>
          <t>28.02</t>
        </is>
      </c>
      <c r="C655" s="2" t="inlineStr">
        <is>
          <t>Paineis</t>
        </is>
      </c>
      <c r="D655" s="2" t="inlineStr">
        <is>
          <t>05/07/2027</t>
        </is>
      </c>
      <c r="E655" s="2" t="inlineStr">
        <is>
          <t>19/09/2028</t>
        </is>
      </c>
      <c r="F655" s="2" t="n">
        <v>253630.0224</v>
      </c>
      <c r="G655" s="2" t="n">
        <v>0</v>
      </c>
      <c r="H655" s="2" t="n">
        <v>253630.0224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0</v>
      </c>
      <c r="CM655" s="2" t="n">
        <v>0</v>
      </c>
      <c r="CN655" s="2" t="n">
        <v>0</v>
      </c>
      <c r="CO655" s="2" t="n">
        <v>0</v>
      </c>
      <c r="CP655" s="2" t="n">
        <v>0</v>
      </c>
      <c r="CQ655" s="2" t="n">
        <v>0</v>
      </c>
      <c r="CR655" s="2" t="n">
        <v>0</v>
      </c>
      <c r="CS655" s="2" t="n">
        <v>0</v>
      </c>
      <c r="CT655" s="2" t="n">
        <v>0</v>
      </c>
      <c r="CU655" s="2" t="n">
        <v>0</v>
      </c>
      <c r="CV655" s="2" t="n">
        <v>0</v>
      </c>
      <c r="CW655" s="2" t="n">
        <v>0</v>
      </c>
      <c r="CX655" s="2" t="n">
        <v>0</v>
      </c>
      <c r="CY655" s="2" t="n">
        <v>0</v>
      </c>
      <c r="CZ655" s="2" t="n">
        <v>0</v>
      </c>
      <c r="DA655" s="2" t="n">
        <v>0</v>
      </c>
      <c r="DB655" s="2" t="n">
        <v>0</v>
      </c>
      <c r="DC655" s="2" t="n">
        <v>0</v>
      </c>
      <c r="DD655" s="2" t="n">
        <v>0</v>
      </c>
      <c r="DE655" s="2" t="n">
        <v>0</v>
      </c>
      <c r="DF655" s="2" t="n">
        <v>0</v>
      </c>
      <c r="DG655" s="2" t="n">
        <v>7.79</v>
      </c>
      <c r="DH655" s="2" t="n">
        <v>0</v>
      </c>
      <c r="DI655" s="2" t="n">
        <v>0</v>
      </c>
      <c r="DJ655" s="2" t="n">
        <v>8.609999999999999</v>
      </c>
      <c r="DK655" s="2" t="n">
        <v>4.92</v>
      </c>
      <c r="DL655" s="2" t="n">
        <v>0</v>
      </c>
      <c r="DM655" s="2" t="n">
        <v>19.03</v>
      </c>
      <c r="DN655" s="2" t="n">
        <v>10.83</v>
      </c>
      <c r="DO655" s="2" t="n">
        <v>0</v>
      </c>
      <c r="DP655" s="2" t="n">
        <v>22.48</v>
      </c>
      <c r="DQ655" s="2" t="n">
        <v>10.83</v>
      </c>
      <c r="DR655" s="2" t="n">
        <v>0</v>
      </c>
      <c r="DS655" s="2" t="n">
        <v>28.05</v>
      </c>
      <c r="DT655" s="2" t="n">
        <v>21.91</v>
      </c>
      <c r="DU655" s="2" t="n">
        <v>0</v>
      </c>
      <c r="DV655" s="2" t="n">
        <v>42.92</v>
      </c>
      <c r="DW655" s="2" t="n">
        <v>28.46</v>
      </c>
      <c r="DX655" s="2" t="n">
        <v>0</v>
      </c>
      <c r="DY655" s="2" t="n">
        <v>51.36</v>
      </c>
      <c r="DZ655" s="2" t="n">
        <v>36.48</v>
      </c>
      <c r="EA655" s="2" t="n">
        <v>0</v>
      </c>
      <c r="EB655" s="2" t="n">
        <v>66.52</v>
      </c>
      <c r="EC655" s="2" t="n">
        <v>44.68</v>
      </c>
      <c r="ED655" s="2" t="n">
        <v>0</v>
      </c>
      <c r="EE655" s="2" t="n">
        <v>74.31</v>
      </c>
      <c r="EF655" s="2" t="n">
        <v>50.82</v>
      </c>
      <c r="EG655" s="2" t="n">
        <v>0</v>
      </c>
      <c r="EH655" s="2" t="n">
        <v>87.83</v>
      </c>
      <c r="EI655" s="2" t="n">
        <v>62.42</v>
      </c>
      <c r="EJ655" s="2" t="n">
        <v>0</v>
      </c>
      <c r="EK655" s="2" t="n">
        <v>95.20999999999999</v>
      </c>
      <c r="EL655" s="2" t="n">
        <v>69.39</v>
      </c>
      <c r="EM655" s="2" t="n">
        <v>0</v>
      </c>
      <c r="EN655" s="2" t="n">
        <v>100</v>
      </c>
      <c r="EO655" s="2" t="n">
        <v>78.69</v>
      </c>
      <c r="EP655" s="2" t="n">
        <v>0</v>
      </c>
      <c r="EQ655" s="2" t="n">
        <v>100</v>
      </c>
      <c r="ER655" s="2" t="n">
        <v>83.61</v>
      </c>
      <c r="ES655" s="2" t="n">
        <v>0</v>
      </c>
      <c r="ET655" s="2" t="n">
        <v>100</v>
      </c>
      <c r="EU655" s="2" t="n">
        <v>89.75</v>
      </c>
      <c r="EV655" s="2" t="n">
        <v>0</v>
      </c>
      <c r="EW655" s="2" t="n">
        <v>100</v>
      </c>
      <c r="EX655" s="2" t="n">
        <v>95.90000000000001</v>
      </c>
      <c r="EY655" s="2" t="n">
        <v>0</v>
      </c>
      <c r="EZ655" s="2" t="n">
        <v>100</v>
      </c>
      <c r="FA655" s="2" t="n">
        <v>100</v>
      </c>
      <c r="FB655" s="2" t="n">
        <v>0</v>
      </c>
      <c r="FC655" s="2" t="n">
        <v>100</v>
      </c>
      <c r="FD655" s="2" t="n">
        <v>100</v>
      </c>
      <c r="FE655" s="2" t="n">
        <v>0</v>
      </c>
      <c r="FF655" s="2" t="n">
        <v>100</v>
      </c>
      <c r="FG655" s="2" t="n">
        <v>100</v>
      </c>
      <c r="FH655" s="2" t="n">
        <v>0</v>
      </c>
      <c r="FI655" s="2" t="n">
        <v>100</v>
      </c>
      <c r="FJ655" s="2" t="n">
        <v>100</v>
      </c>
      <c r="FK655" s="2" t="n">
        <v>0</v>
      </c>
      <c r="FL655" s="2" t="n">
        <v>100</v>
      </c>
      <c r="FM655" s="2" t="n">
        <v>100</v>
      </c>
      <c r="FN655" s="2" t="n">
        <v>0</v>
      </c>
      <c r="FO655" s="2" t="n">
        <v>100</v>
      </c>
      <c r="FP655" s="2" t="n">
        <v>100</v>
      </c>
      <c r="FQ655" s="2" t="n">
        <v>0</v>
      </c>
    </row>
    <row r="656">
      <c r="A656" s="2" t="n">
        <v>3</v>
      </c>
      <c r="B656" s="2" t="inlineStr">
        <is>
          <t>28.02.01</t>
        </is>
      </c>
      <c r="C656" s="2" t="inlineStr">
        <is>
          <t>Paines de MDF para fechamento de shafts</t>
        </is>
      </c>
      <c r="D656" s="2" t="inlineStr">
        <is>
          <t>05/07/2027</t>
        </is>
      </c>
      <c r="E656" s="2" t="inlineStr">
        <is>
          <t>19/09/2028</t>
        </is>
      </c>
      <c r="F656" s="2" t="n">
        <v>253630.0224</v>
      </c>
      <c r="G656" s="2" t="n">
        <v>0</v>
      </c>
      <c r="H656" s="2" t="n">
        <v>253630.0224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</v>
      </c>
      <c r="CY656" s="2" t="n">
        <v>0</v>
      </c>
      <c r="CZ656" s="2" t="n">
        <v>0</v>
      </c>
      <c r="DA656" s="2" t="n">
        <v>0</v>
      </c>
      <c r="DB656" s="2" t="n">
        <v>0</v>
      </c>
      <c r="DC656" s="2" t="n">
        <v>0</v>
      </c>
      <c r="DD656" s="2" t="n">
        <v>0</v>
      </c>
      <c r="DE656" s="2" t="n">
        <v>0</v>
      </c>
      <c r="DF656" s="2" t="n">
        <v>0</v>
      </c>
      <c r="DG656" s="2" t="n">
        <v>7.79</v>
      </c>
      <c r="DH656" s="2" t="n">
        <v>0</v>
      </c>
      <c r="DI656" s="2" t="n">
        <v>0</v>
      </c>
      <c r="DJ656" s="2" t="n">
        <v>8.609999999999999</v>
      </c>
      <c r="DK656" s="2" t="n">
        <v>4.92</v>
      </c>
      <c r="DL656" s="2" t="n">
        <v>0</v>
      </c>
      <c r="DM656" s="2" t="n">
        <v>19.03</v>
      </c>
      <c r="DN656" s="2" t="n">
        <v>10.83</v>
      </c>
      <c r="DO656" s="2" t="n">
        <v>0</v>
      </c>
      <c r="DP656" s="2" t="n">
        <v>22.48</v>
      </c>
      <c r="DQ656" s="2" t="n">
        <v>10.83</v>
      </c>
      <c r="DR656" s="2" t="n">
        <v>0</v>
      </c>
      <c r="DS656" s="2" t="n">
        <v>28.05</v>
      </c>
      <c r="DT656" s="2" t="n">
        <v>21.91</v>
      </c>
      <c r="DU656" s="2" t="n">
        <v>0</v>
      </c>
      <c r="DV656" s="2" t="n">
        <v>42.92</v>
      </c>
      <c r="DW656" s="2" t="n">
        <v>28.46</v>
      </c>
      <c r="DX656" s="2" t="n">
        <v>0</v>
      </c>
      <c r="DY656" s="2" t="n">
        <v>51.36</v>
      </c>
      <c r="DZ656" s="2" t="n">
        <v>36.48</v>
      </c>
      <c r="EA656" s="2" t="n">
        <v>0</v>
      </c>
      <c r="EB656" s="2" t="n">
        <v>66.52</v>
      </c>
      <c r="EC656" s="2" t="n">
        <v>44.68</v>
      </c>
      <c r="ED656" s="2" t="n">
        <v>0</v>
      </c>
      <c r="EE656" s="2" t="n">
        <v>74.31</v>
      </c>
      <c r="EF656" s="2" t="n">
        <v>50.82</v>
      </c>
      <c r="EG656" s="2" t="n">
        <v>0</v>
      </c>
      <c r="EH656" s="2" t="n">
        <v>87.83</v>
      </c>
      <c r="EI656" s="2" t="n">
        <v>62.42</v>
      </c>
      <c r="EJ656" s="2" t="n">
        <v>0</v>
      </c>
      <c r="EK656" s="2" t="n">
        <v>95.20999999999999</v>
      </c>
      <c r="EL656" s="2" t="n">
        <v>69.39</v>
      </c>
      <c r="EM656" s="2" t="n">
        <v>0</v>
      </c>
      <c r="EN656" s="2" t="n">
        <v>100</v>
      </c>
      <c r="EO656" s="2" t="n">
        <v>78.69</v>
      </c>
      <c r="EP656" s="2" t="n">
        <v>0</v>
      </c>
      <c r="EQ656" s="2" t="n">
        <v>100</v>
      </c>
      <c r="ER656" s="2" t="n">
        <v>83.61</v>
      </c>
      <c r="ES656" s="2" t="n">
        <v>0</v>
      </c>
      <c r="ET656" s="2" t="n">
        <v>100</v>
      </c>
      <c r="EU656" s="2" t="n">
        <v>89.75</v>
      </c>
      <c r="EV656" s="2" t="n">
        <v>0</v>
      </c>
      <c r="EW656" s="2" t="n">
        <v>100</v>
      </c>
      <c r="EX656" s="2" t="n">
        <v>95.90000000000001</v>
      </c>
      <c r="EY656" s="2" t="n">
        <v>0</v>
      </c>
      <c r="EZ656" s="2" t="n">
        <v>100</v>
      </c>
      <c r="FA656" s="2" t="n">
        <v>100</v>
      </c>
      <c r="FB656" s="2" t="n">
        <v>0</v>
      </c>
      <c r="FC656" s="2" t="n">
        <v>100</v>
      </c>
      <c r="FD656" s="2" t="n">
        <v>100</v>
      </c>
      <c r="FE656" s="2" t="n">
        <v>0</v>
      </c>
      <c r="FF656" s="2" t="n">
        <v>100</v>
      </c>
      <c r="FG656" s="2" t="n">
        <v>100</v>
      </c>
      <c r="FH656" s="2" t="n">
        <v>0</v>
      </c>
      <c r="FI656" s="2" t="n">
        <v>100</v>
      </c>
      <c r="FJ656" s="2" t="n">
        <v>100</v>
      </c>
      <c r="FK656" s="2" t="n">
        <v>0</v>
      </c>
      <c r="FL656" s="2" t="n">
        <v>100</v>
      </c>
      <c r="FM656" s="2" t="n">
        <v>100</v>
      </c>
      <c r="FN656" s="2" t="n">
        <v>0</v>
      </c>
      <c r="FO656" s="2" t="n">
        <v>100</v>
      </c>
      <c r="FP656" s="2" t="n">
        <v>100</v>
      </c>
      <c r="FQ656" s="2" t="n">
        <v>0</v>
      </c>
    </row>
    <row r="657">
      <c r="A657" s="2" t="n">
        <v>1</v>
      </c>
      <c r="B657" s="2" t="inlineStr">
        <is>
          <t>29</t>
        </is>
      </c>
      <c r="C657" s="2" t="inlineStr">
        <is>
          <t>REVESTIMENTOS DE MASSA EM PISOS</t>
        </is>
      </c>
      <c r="D657" s="2" t="inlineStr">
        <is>
          <t>17/06/2026</t>
        </is>
      </c>
      <c r="E657" s="2" t="inlineStr">
        <is>
          <t>13/04/2028</t>
        </is>
      </c>
      <c r="F657" s="2" t="n">
        <v>1122595.497953324</v>
      </c>
      <c r="G657" s="2" t="n">
        <v>0</v>
      </c>
      <c r="H657" s="2" t="n">
        <v>1122595.497953324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0.09</v>
      </c>
      <c r="BX657" s="2" t="n">
        <v>0.09</v>
      </c>
      <c r="BY657" s="2" t="n">
        <v>0</v>
      </c>
      <c r="BZ657" s="2" t="n">
        <v>0.3</v>
      </c>
      <c r="CA657" s="2" t="n">
        <v>0.3</v>
      </c>
      <c r="CB657" s="2" t="n">
        <v>0.32</v>
      </c>
      <c r="CC657" s="2" t="n">
        <v>0.49</v>
      </c>
      <c r="CD657" s="2" t="n">
        <v>0.49</v>
      </c>
      <c r="CE657" s="2" t="n">
        <v>0.49</v>
      </c>
      <c r="CF657" s="2" t="n">
        <v>0.54</v>
      </c>
      <c r="CG657" s="2" t="n">
        <v>0.54</v>
      </c>
      <c r="CH657" s="2" t="n">
        <v>0.53</v>
      </c>
      <c r="CI657" s="2" t="n">
        <v>0.54</v>
      </c>
      <c r="CJ657" s="2" t="n">
        <v>0.8</v>
      </c>
      <c r="CK657" s="2" t="n">
        <v>0.53</v>
      </c>
      <c r="CL657" s="2" t="n">
        <v>0.87</v>
      </c>
      <c r="CM657" s="2" t="n">
        <v>4.44</v>
      </c>
      <c r="CN657" s="2" t="n">
        <v>0.53</v>
      </c>
      <c r="CO657" s="2" t="n">
        <v>3.81</v>
      </c>
      <c r="CP657" s="2" t="n">
        <v>8.41</v>
      </c>
      <c r="CQ657" s="2" t="n">
        <v>0.53</v>
      </c>
      <c r="CR657" s="2" t="n">
        <v>12.04</v>
      </c>
      <c r="CS657" s="2" t="n">
        <v>14.19</v>
      </c>
      <c r="CT657" s="2" t="n">
        <v>0.53</v>
      </c>
      <c r="CU657" s="2" t="n">
        <v>18.56</v>
      </c>
      <c r="CV657" s="2" t="n">
        <v>19.01</v>
      </c>
      <c r="CW657" s="2" t="n">
        <v>0.53</v>
      </c>
      <c r="CX657" s="2" t="n">
        <v>21.45</v>
      </c>
      <c r="CY657" s="2" t="n">
        <v>23.83</v>
      </c>
      <c r="CZ657" s="2" t="n">
        <v>0.53</v>
      </c>
      <c r="DA657" s="2" t="n">
        <v>24.67</v>
      </c>
      <c r="DB657" s="2" t="n">
        <v>25.55</v>
      </c>
      <c r="DC657" s="2" t="n">
        <v>0.53</v>
      </c>
      <c r="DD657" s="2" t="n">
        <v>32.25</v>
      </c>
      <c r="DE657" s="2" t="n">
        <v>36.08</v>
      </c>
      <c r="DF657" s="2" t="n">
        <v>0.53</v>
      </c>
      <c r="DG657" s="2" t="n">
        <v>43.33</v>
      </c>
      <c r="DH657" s="2" t="n">
        <v>45.71</v>
      </c>
      <c r="DI657" s="2" t="n">
        <v>0.53</v>
      </c>
      <c r="DJ657" s="2" t="n">
        <v>53.54</v>
      </c>
      <c r="DK657" s="2" t="n">
        <v>54.71</v>
      </c>
      <c r="DL657" s="2" t="n">
        <v>0.53</v>
      </c>
      <c r="DM657" s="2" t="n">
        <v>63.75</v>
      </c>
      <c r="DN657" s="2" t="n">
        <v>64.39</v>
      </c>
      <c r="DO657" s="2" t="n">
        <v>0.53</v>
      </c>
      <c r="DP657" s="2" t="n">
        <v>68.17</v>
      </c>
      <c r="DQ657" s="2" t="n">
        <v>71.2</v>
      </c>
      <c r="DR657" s="2" t="n">
        <v>0.53</v>
      </c>
      <c r="DS657" s="2" t="n">
        <v>78.04000000000001</v>
      </c>
      <c r="DT657" s="2" t="n">
        <v>80.09999999999999</v>
      </c>
      <c r="DU657" s="2" t="n">
        <v>0.53</v>
      </c>
      <c r="DV657" s="2" t="n">
        <v>86.14</v>
      </c>
      <c r="DW657" s="2" t="n">
        <v>85.94</v>
      </c>
      <c r="DX657" s="2" t="n">
        <v>0.53</v>
      </c>
      <c r="DY657" s="2" t="n">
        <v>90.31999999999999</v>
      </c>
      <c r="DZ657" s="2" t="n">
        <v>88.52</v>
      </c>
      <c r="EA657" s="2" t="n">
        <v>0.53</v>
      </c>
      <c r="EB657" s="2" t="n">
        <v>97.02</v>
      </c>
      <c r="EC657" s="2" t="n">
        <v>93.66</v>
      </c>
      <c r="ED657" s="2" t="n">
        <v>0.53</v>
      </c>
      <c r="EE657" s="2" t="n">
        <v>97.02</v>
      </c>
      <c r="EF657" s="2" t="n">
        <v>99.40000000000001</v>
      </c>
      <c r="EG657" s="2" t="n">
        <v>0.53</v>
      </c>
      <c r="EH657" s="2" t="n">
        <v>97.08</v>
      </c>
      <c r="EI657" s="2" t="n">
        <v>99.45999999999999</v>
      </c>
      <c r="EJ657" s="2" t="n">
        <v>0.53</v>
      </c>
      <c r="EK657" s="2" t="n">
        <v>97.63</v>
      </c>
      <c r="EL657" s="2" t="n">
        <v>100.01</v>
      </c>
      <c r="EM657" s="2" t="n">
        <v>0.53</v>
      </c>
      <c r="EN657" s="2" t="n">
        <v>97.63</v>
      </c>
      <c r="EO657" s="2" t="n">
        <v>100.01</v>
      </c>
      <c r="EP657" s="2" t="n">
        <v>0.53</v>
      </c>
      <c r="EQ657" s="2" t="n">
        <v>97.63</v>
      </c>
      <c r="ER657" s="2" t="n">
        <v>100.01</v>
      </c>
      <c r="ES657" s="2" t="n">
        <v>0.53</v>
      </c>
      <c r="ET657" s="2" t="n">
        <v>97.63</v>
      </c>
      <c r="EU657" s="2" t="n">
        <v>100.01</v>
      </c>
      <c r="EV657" s="2" t="n">
        <v>0.53</v>
      </c>
      <c r="EW657" s="2" t="n">
        <v>97.63</v>
      </c>
      <c r="EX657" s="2" t="n">
        <v>100.01</v>
      </c>
      <c r="EY657" s="2" t="n">
        <v>0.53</v>
      </c>
      <c r="EZ657" s="2" t="n">
        <v>97.63</v>
      </c>
      <c r="FA657" s="2" t="n">
        <v>100.01</v>
      </c>
      <c r="FB657" s="2" t="n">
        <v>0.53</v>
      </c>
      <c r="FC657" s="2" t="n">
        <v>97.63</v>
      </c>
      <c r="FD657" s="2" t="n">
        <v>100.01</v>
      </c>
      <c r="FE657" s="2" t="n">
        <v>0.53</v>
      </c>
      <c r="FF657" s="2" t="n">
        <v>97.63</v>
      </c>
      <c r="FG657" s="2" t="n">
        <v>100.01</v>
      </c>
      <c r="FH657" s="2" t="n">
        <v>0.53</v>
      </c>
      <c r="FI657" s="2" t="n">
        <v>97.63</v>
      </c>
      <c r="FJ657" s="2" t="n">
        <v>100.01</v>
      </c>
      <c r="FK657" s="2" t="n">
        <v>0.53</v>
      </c>
      <c r="FL657" s="2" t="n">
        <v>97.63</v>
      </c>
      <c r="FM657" s="2" t="n">
        <v>100.01</v>
      </c>
      <c r="FN657" s="2" t="n">
        <v>0.53</v>
      </c>
      <c r="FO657" s="2" t="n">
        <v>97.63</v>
      </c>
      <c r="FP657" s="2" t="n">
        <v>100.01</v>
      </c>
      <c r="FQ657" s="2" t="n">
        <v>0.53</v>
      </c>
    </row>
    <row r="658">
      <c r="A658" s="2" t="n">
        <v>2</v>
      </c>
      <c r="B658" s="2" t="inlineStr">
        <is>
          <t>29.01</t>
        </is>
      </c>
      <c r="C658" s="2" t="inlineStr">
        <is>
          <t>Serviços complentares ao piso</t>
        </is>
      </c>
      <c r="D658" s="2" t="inlineStr">
        <is>
          <t>17/06/2026</t>
        </is>
      </c>
      <c r="E658" s="2" t="inlineStr">
        <is>
          <t>13/04/2028</t>
        </is>
      </c>
      <c r="F658" s="2" t="n">
        <v>1040319.286446931</v>
      </c>
      <c r="G658" s="2" t="n">
        <v>0</v>
      </c>
      <c r="H658" s="2" t="n">
        <v>1040319.286446931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0.08</v>
      </c>
      <c r="BX658" s="2" t="n">
        <v>0.08</v>
      </c>
      <c r="BY658" s="2" t="n">
        <v>0</v>
      </c>
      <c r="BZ658" s="2" t="n">
        <v>0.28</v>
      </c>
      <c r="CA658" s="2" t="n">
        <v>0.28</v>
      </c>
      <c r="CB658" s="2" t="n">
        <v>0.3</v>
      </c>
      <c r="CC658" s="2" t="n">
        <v>0.46</v>
      </c>
      <c r="CD658" s="2" t="n">
        <v>0.46</v>
      </c>
      <c r="CE658" s="2" t="n">
        <v>0.46</v>
      </c>
      <c r="CF658" s="2" t="n">
        <v>0.5</v>
      </c>
      <c r="CG658" s="2" t="n">
        <v>0.5</v>
      </c>
      <c r="CH658" s="2" t="n">
        <v>0.49</v>
      </c>
      <c r="CI658" s="2" t="n">
        <v>0.5</v>
      </c>
      <c r="CJ658" s="2" t="n">
        <v>0.67</v>
      </c>
      <c r="CK658" s="2" t="n">
        <v>0.49</v>
      </c>
      <c r="CL658" s="2" t="n">
        <v>0.65</v>
      </c>
      <c r="CM658" s="2" t="n">
        <v>2.98</v>
      </c>
      <c r="CN658" s="2" t="n">
        <v>0.49</v>
      </c>
      <c r="CO658" s="2" t="n">
        <v>2.1</v>
      </c>
      <c r="CP658" s="2" t="n">
        <v>5.09</v>
      </c>
      <c r="CQ658" s="2" t="n">
        <v>0.49</v>
      </c>
      <c r="CR658" s="2" t="n">
        <v>9.75</v>
      </c>
      <c r="CS658" s="2" t="n">
        <v>9.970000000000001</v>
      </c>
      <c r="CT658" s="2" t="n">
        <v>0.49</v>
      </c>
      <c r="CU658" s="2" t="n">
        <v>15.76</v>
      </c>
      <c r="CV658" s="2" t="n">
        <v>15.18</v>
      </c>
      <c r="CW658" s="2" t="n">
        <v>0.49</v>
      </c>
      <c r="CX658" s="2" t="n">
        <v>18.88</v>
      </c>
      <c r="CY658" s="2" t="n">
        <v>20.38</v>
      </c>
      <c r="CZ658" s="2" t="n">
        <v>0.49</v>
      </c>
      <c r="DA658" s="2" t="n">
        <v>22.35</v>
      </c>
      <c r="DB658" s="2" t="n">
        <v>22.23</v>
      </c>
      <c r="DC658" s="2" t="n">
        <v>0.49</v>
      </c>
      <c r="DD658" s="2" t="n">
        <v>30.53</v>
      </c>
      <c r="DE658" s="2" t="n">
        <v>33.6</v>
      </c>
      <c r="DF658" s="2" t="n">
        <v>0.49</v>
      </c>
      <c r="DG658" s="2" t="n">
        <v>42.21</v>
      </c>
      <c r="DH658" s="2" t="n">
        <v>43.71</v>
      </c>
      <c r="DI658" s="2" t="n">
        <v>0.49</v>
      </c>
      <c r="DJ658" s="2" t="n">
        <v>52.64</v>
      </c>
      <c r="DK658" s="2" t="n">
        <v>53.43</v>
      </c>
      <c r="DL658" s="2" t="n">
        <v>0.49</v>
      </c>
      <c r="DM658" s="2" t="n">
        <v>63.06</v>
      </c>
      <c r="DN658" s="2" t="n">
        <v>63.16</v>
      </c>
      <c r="DO658" s="2" t="n">
        <v>0.49</v>
      </c>
      <c r="DP658" s="2" t="n">
        <v>67.77</v>
      </c>
      <c r="DQ658" s="2" t="n">
        <v>69.97</v>
      </c>
      <c r="DR658" s="2" t="n">
        <v>0.49</v>
      </c>
      <c r="DS658" s="2" t="n">
        <v>78.20999999999999</v>
      </c>
      <c r="DT658" s="2" t="n">
        <v>79.36</v>
      </c>
      <c r="DU658" s="2" t="n">
        <v>0.49</v>
      </c>
      <c r="DV658" s="2" t="n">
        <v>86.27</v>
      </c>
      <c r="DW658" s="2" t="n">
        <v>84.98999999999999</v>
      </c>
      <c r="DX658" s="2" t="n">
        <v>0.49</v>
      </c>
      <c r="DY658" s="2" t="n">
        <v>90.78</v>
      </c>
      <c r="DZ658" s="2" t="n">
        <v>87.77</v>
      </c>
      <c r="EA658" s="2" t="n">
        <v>0.49</v>
      </c>
      <c r="EB658" s="2" t="n">
        <v>98.01000000000001</v>
      </c>
      <c r="EC658" s="2" t="n">
        <v>93.31999999999999</v>
      </c>
      <c r="ED658" s="2" t="n">
        <v>0.49</v>
      </c>
      <c r="EE658" s="2" t="n">
        <v>98.01000000000001</v>
      </c>
      <c r="EF658" s="2" t="n">
        <v>99.51000000000001</v>
      </c>
      <c r="EG658" s="2" t="n">
        <v>0.49</v>
      </c>
      <c r="EH658" s="2" t="n">
        <v>98.06</v>
      </c>
      <c r="EI658" s="2" t="n">
        <v>99.56</v>
      </c>
      <c r="EJ658" s="2" t="n">
        <v>0.49</v>
      </c>
      <c r="EK658" s="2" t="n">
        <v>98.51000000000001</v>
      </c>
      <c r="EL658" s="2" t="n">
        <v>100.01</v>
      </c>
      <c r="EM658" s="2" t="n">
        <v>0.49</v>
      </c>
      <c r="EN658" s="2" t="n">
        <v>98.51000000000001</v>
      </c>
      <c r="EO658" s="2" t="n">
        <v>100.01</v>
      </c>
      <c r="EP658" s="2" t="n">
        <v>0.49</v>
      </c>
      <c r="EQ658" s="2" t="n">
        <v>98.51000000000001</v>
      </c>
      <c r="ER658" s="2" t="n">
        <v>100.01</v>
      </c>
      <c r="ES658" s="2" t="n">
        <v>0.49</v>
      </c>
      <c r="ET658" s="2" t="n">
        <v>98.51000000000001</v>
      </c>
      <c r="EU658" s="2" t="n">
        <v>100.01</v>
      </c>
      <c r="EV658" s="2" t="n">
        <v>0.49</v>
      </c>
      <c r="EW658" s="2" t="n">
        <v>98.51000000000001</v>
      </c>
      <c r="EX658" s="2" t="n">
        <v>100.01</v>
      </c>
      <c r="EY658" s="2" t="n">
        <v>0.49</v>
      </c>
      <c r="EZ658" s="2" t="n">
        <v>98.51000000000001</v>
      </c>
      <c r="FA658" s="2" t="n">
        <v>100.01</v>
      </c>
      <c r="FB658" s="2" t="n">
        <v>0.49</v>
      </c>
      <c r="FC658" s="2" t="n">
        <v>98.51000000000001</v>
      </c>
      <c r="FD658" s="2" t="n">
        <v>100.01</v>
      </c>
      <c r="FE658" s="2" t="n">
        <v>0.49</v>
      </c>
      <c r="FF658" s="2" t="n">
        <v>98.51000000000001</v>
      </c>
      <c r="FG658" s="2" t="n">
        <v>100.01</v>
      </c>
      <c r="FH658" s="2" t="n">
        <v>0.49</v>
      </c>
      <c r="FI658" s="2" t="n">
        <v>98.51000000000001</v>
      </c>
      <c r="FJ658" s="2" t="n">
        <v>100.01</v>
      </c>
      <c r="FK658" s="2" t="n">
        <v>0.49</v>
      </c>
      <c r="FL658" s="2" t="n">
        <v>98.51000000000001</v>
      </c>
      <c r="FM658" s="2" t="n">
        <v>100.01</v>
      </c>
      <c r="FN658" s="2" t="n">
        <v>0.49</v>
      </c>
      <c r="FO658" s="2" t="n">
        <v>98.51000000000001</v>
      </c>
      <c r="FP658" s="2" t="n">
        <v>100.01</v>
      </c>
      <c r="FQ658" s="2" t="n">
        <v>0.49</v>
      </c>
    </row>
    <row r="659">
      <c r="A659" s="2" t="n">
        <v>3</v>
      </c>
      <c r="B659" s="2" t="inlineStr">
        <is>
          <t>29.01.01</t>
        </is>
      </c>
      <c r="C659" s="2" t="inlineStr">
        <is>
          <t>Taliscamento de Pisos</t>
        </is>
      </c>
      <c r="D659" s="2" t="inlineStr">
        <is>
          <t>17/06/2026</t>
        </is>
      </c>
      <c r="E659" s="2" t="inlineStr">
        <is>
          <t>13/04/2028</t>
        </is>
      </c>
      <c r="F659" s="2" t="n">
        <v>54850.90856079372</v>
      </c>
      <c r="G659" s="2" t="n">
        <v>0</v>
      </c>
      <c r="H659" s="2" t="n">
        <v>54850.90856079372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0.08</v>
      </c>
      <c r="BX659" s="2" t="n">
        <v>0.08</v>
      </c>
      <c r="BY659" s="2" t="n">
        <v>0</v>
      </c>
      <c r="BZ659" s="2" t="n">
        <v>0.28</v>
      </c>
      <c r="CA659" s="2" t="n">
        <v>0.28</v>
      </c>
      <c r="CB659" s="2" t="n">
        <v>0.3</v>
      </c>
      <c r="CC659" s="2" t="n">
        <v>0.46</v>
      </c>
      <c r="CD659" s="2" t="n">
        <v>0.46</v>
      </c>
      <c r="CE659" s="2" t="n">
        <v>0.46</v>
      </c>
      <c r="CF659" s="2" t="n">
        <v>0.5</v>
      </c>
      <c r="CG659" s="2" t="n">
        <v>0.5</v>
      </c>
      <c r="CH659" s="2" t="n">
        <v>0.49</v>
      </c>
      <c r="CI659" s="2" t="n">
        <v>0.5</v>
      </c>
      <c r="CJ659" s="2" t="n">
        <v>0.67</v>
      </c>
      <c r="CK659" s="2" t="n">
        <v>0.49</v>
      </c>
      <c r="CL659" s="2" t="n">
        <v>0.65</v>
      </c>
      <c r="CM659" s="2" t="n">
        <v>2.98</v>
      </c>
      <c r="CN659" s="2" t="n">
        <v>0.49</v>
      </c>
      <c r="CO659" s="2" t="n">
        <v>2.1</v>
      </c>
      <c r="CP659" s="2" t="n">
        <v>5.09</v>
      </c>
      <c r="CQ659" s="2" t="n">
        <v>0.49</v>
      </c>
      <c r="CR659" s="2" t="n">
        <v>9.75</v>
      </c>
      <c r="CS659" s="2" t="n">
        <v>9.970000000000001</v>
      </c>
      <c r="CT659" s="2" t="n">
        <v>0.49</v>
      </c>
      <c r="CU659" s="2" t="n">
        <v>15.76</v>
      </c>
      <c r="CV659" s="2" t="n">
        <v>15.18</v>
      </c>
      <c r="CW659" s="2" t="n">
        <v>0.49</v>
      </c>
      <c r="CX659" s="2" t="n">
        <v>18.88</v>
      </c>
      <c r="CY659" s="2" t="n">
        <v>20.38</v>
      </c>
      <c r="CZ659" s="2" t="n">
        <v>0.49</v>
      </c>
      <c r="DA659" s="2" t="n">
        <v>22.35</v>
      </c>
      <c r="DB659" s="2" t="n">
        <v>22.23</v>
      </c>
      <c r="DC659" s="2" t="n">
        <v>0.49</v>
      </c>
      <c r="DD659" s="2" t="n">
        <v>30.53</v>
      </c>
      <c r="DE659" s="2" t="n">
        <v>33.6</v>
      </c>
      <c r="DF659" s="2" t="n">
        <v>0.49</v>
      </c>
      <c r="DG659" s="2" t="n">
        <v>42.21</v>
      </c>
      <c r="DH659" s="2" t="n">
        <v>43.71</v>
      </c>
      <c r="DI659" s="2" t="n">
        <v>0.49</v>
      </c>
      <c r="DJ659" s="2" t="n">
        <v>52.64</v>
      </c>
      <c r="DK659" s="2" t="n">
        <v>53.43</v>
      </c>
      <c r="DL659" s="2" t="n">
        <v>0.49</v>
      </c>
      <c r="DM659" s="2" t="n">
        <v>63.06</v>
      </c>
      <c r="DN659" s="2" t="n">
        <v>63.16</v>
      </c>
      <c r="DO659" s="2" t="n">
        <v>0.49</v>
      </c>
      <c r="DP659" s="2" t="n">
        <v>67.77</v>
      </c>
      <c r="DQ659" s="2" t="n">
        <v>69.97</v>
      </c>
      <c r="DR659" s="2" t="n">
        <v>0.49</v>
      </c>
      <c r="DS659" s="2" t="n">
        <v>78.20999999999999</v>
      </c>
      <c r="DT659" s="2" t="n">
        <v>79.36</v>
      </c>
      <c r="DU659" s="2" t="n">
        <v>0.49</v>
      </c>
      <c r="DV659" s="2" t="n">
        <v>86.27</v>
      </c>
      <c r="DW659" s="2" t="n">
        <v>84.98999999999999</v>
      </c>
      <c r="DX659" s="2" t="n">
        <v>0.49</v>
      </c>
      <c r="DY659" s="2" t="n">
        <v>90.78</v>
      </c>
      <c r="DZ659" s="2" t="n">
        <v>87.77</v>
      </c>
      <c r="EA659" s="2" t="n">
        <v>0.49</v>
      </c>
      <c r="EB659" s="2" t="n">
        <v>98.01000000000001</v>
      </c>
      <c r="EC659" s="2" t="n">
        <v>93.31999999999999</v>
      </c>
      <c r="ED659" s="2" t="n">
        <v>0.49</v>
      </c>
      <c r="EE659" s="2" t="n">
        <v>98.01000000000001</v>
      </c>
      <c r="EF659" s="2" t="n">
        <v>99.51000000000001</v>
      </c>
      <c r="EG659" s="2" t="n">
        <v>0.49</v>
      </c>
      <c r="EH659" s="2" t="n">
        <v>98.06</v>
      </c>
      <c r="EI659" s="2" t="n">
        <v>99.56</v>
      </c>
      <c r="EJ659" s="2" t="n">
        <v>0.49</v>
      </c>
      <c r="EK659" s="2" t="n">
        <v>98.51000000000001</v>
      </c>
      <c r="EL659" s="2" t="n">
        <v>100.01</v>
      </c>
      <c r="EM659" s="2" t="n">
        <v>0.49</v>
      </c>
      <c r="EN659" s="2" t="n">
        <v>98.51000000000001</v>
      </c>
      <c r="EO659" s="2" t="n">
        <v>100.01</v>
      </c>
      <c r="EP659" s="2" t="n">
        <v>0.49</v>
      </c>
      <c r="EQ659" s="2" t="n">
        <v>98.51000000000001</v>
      </c>
      <c r="ER659" s="2" t="n">
        <v>100.01</v>
      </c>
      <c r="ES659" s="2" t="n">
        <v>0.49</v>
      </c>
      <c r="ET659" s="2" t="n">
        <v>98.51000000000001</v>
      </c>
      <c r="EU659" s="2" t="n">
        <v>100.01</v>
      </c>
      <c r="EV659" s="2" t="n">
        <v>0.49</v>
      </c>
      <c r="EW659" s="2" t="n">
        <v>98.51000000000001</v>
      </c>
      <c r="EX659" s="2" t="n">
        <v>100.01</v>
      </c>
      <c r="EY659" s="2" t="n">
        <v>0.49</v>
      </c>
      <c r="EZ659" s="2" t="n">
        <v>98.51000000000001</v>
      </c>
      <c r="FA659" s="2" t="n">
        <v>100.01</v>
      </c>
      <c r="FB659" s="2" t="n">
        <v>0.49</v>
      </c>
      <c r="FC659" s="2" t="n">
        <v>98.51000000000001</v>
      </c>
      <c r="FD659" s="2" t="n">
        <v>100.01</v>
      </c>
      <c r="FE659" s="2" t="n">
        <v>0.49</v>
      </c>
      <c r="FF659" s="2" t="n">
        <v>98.51000000000001</v>
      </c>
      <c r="FG659" s="2" t="n">
        <v>100.01</v>
      </c>
      <c r="FH659" s="2" t="n">
        <v>0.49</v>
      </c>
      <c r="FI659" s="2" t="n">
        <v>98.51000000000001</v>
      </c>
      <c r="FJ659" s="2" t="n">
        <v>100.01</v>
      </c>
      <c r="FK659" s="2" t="n">
        <v>0.49</v>
      </c>
      <c r="FL659" s="2" t="n">
        <v>98.51000000000001</v>
      </c>
      <c r="FM659" s="2" t="n">
        <v>100.01</v>
      </c>
      <c r="FN659" s="2" t="n">
        <v>0.49</v>
      </c>
      <c r="FO659" s="2" t="n">
        <v>98.51000000000001</v>
      </c>
      <c r="FP659" s="2" t="n">
        <v>100.01</v>
      </c>
      <c r="FQ659" s="2" t="n">
        <v>0.49</v>
      </c>
    </row>
    <row r="660">
      <c r="A660" s="2" t="n">
        <v>3</v>
      </c>
      <c r="B660" s="2" t="inlineStr">
        <is>
          <t>29.01.02</t>
        </is>
      </c>
      <c r="C660" s="2" t="inlineStr">
        <is>
          <t>Camada de regularização com argamassa de cimento e areia</t>
        </is>
      </c>
      <c r="D660" s="2" t="inlineStr">
        <is>
          <t>17/06/2026</t>
        </is>
      </c>
      <c r="E660" s="2" t="inlineStr">
        <is>
          <t>13/04/2028</t>
        </is>
      </c>
      <c r="F660" s="2" t="n">
        <v>741140.4967367669</v>
      </c>
      <c r="G660" s="2" t="n">
        <v>0</v>
      </c>
      <c r="H660" s="2" t="n">
        <v>741140.4967367669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0.08</v>
      </c>
      <c r="BX660" s="2" t="n">
        <v>0.08</v>
      </c>
      <c r="BY660" s="2" t="n">
        <v>0</v>
      </c>
      <c r="BZ660" s="2" t="n">
        <v>0.28</v>
      </c>
      <c r="CA660" s="2" t="n">
        <v>0.28</v>
      </c>
      <c r="CB660" s="2" t="n">
        <v>0.3</v>
      </c>
      <c r="CC660" s="2" t="n">
        <v>0.46</v>
      </c>
      <c r="CD660" s="2" t="n">
        <v>0.46</v>
      </c>
      <c r="CE660" s="2" t="n">
        <v>0.46</v>
      </c>
      <c r="CF660" s="2" t="n">
        <v>0.5</v>
      </c>
      <c r="CG660" s="2" t="n">
        <v>0.5</v>
      </c>
      <c r="CH660" s="2" t="n">
        <v>0.49</v>
      </c>
      <c r="CI660" s="2" t="n">
        <v>0.5</v>
      </c>
      <c r="CJ660" s="2" t="n">
        <v>0.67</v>
      </c>
      <c r="CK660" s="2" t="n">
        <v>0.49</v>
      </c>
      <c r="CL660" s="2" t="n">
        <v>0.65</v>
      </c>
      <c r="CM660" s="2" t="n">
        <v>2.98</v>
      </c>
      <c r="CN660" s="2" t="n">
        <v>0.49</v>
      </c>
      <c r="CO660" s="2" t="n">
        <v>2.1</v>
      </c>
      <c r="CP660" s="2" t="n">
        <v>5.09</v>
      </c>
      <c r="CQ660" s="2" t="n">
        <v>0.49</v>
      </c>
      <c r="CR660" s="2" t="n">
        <v>9.75</v>
      </c>
      <c r="CS660" s="2" t="n">
        <v>9.970000000000001</v>
      </c>
      <c r="CT660" s="2" t="n">
        <v>0.49</v>
      </c>
      <c r="CU660" s="2" t="n">
        <v>15.76</v>
      </c>
      <c r="CV660" s="2" t="n">
        <v>15.18</v>
      </c>
      <c r="CW660" s="2" t="n">
        <v>0.49</v>
      </c>
      <c r="CX660" s="2" t="n">
        <v>18.88</v>
      </c>
      <c r="CY660" s="2" t="n">
        <v>20.38</v>
      </c>
      <c r="CZ660" s="2" t="n">
        <v>0.49</v>
      </c>
      <c r="DA660" s="2" t="n">
        <v>22.35</v>
      </c>
      <c r="DB660" s="2" t="n">
        <v>22.23</v>
      </c>
      <c r="DC660" s="2" t="n">
        <v>0.49</v>
      </c>
      <c r="DD660" s="2" t="n">
        <v>30.53</v>
      </c>
      <c r="DE660" s="2" t="n">
        <v>33.6</v>
      </c>
      <c r="DF660" s="2" t="n">
        <v>0.49</v>
      </c>
      <c r="DG660" s="2" t="n">
        <v>42.21</v>
      </c>
      <c r="DH660" s="2" t="n">
        <v>43.71</v>
      </c>
      <c r="DI660" s="2" t="n">
        <v>0.49</v>
      </c>
      <c r="DJ660" s="2" t="n">
        <v>52.64</v>
      </c>
      <c r="DK660" s="2" t="n">
        <v>53.43</v>
      </c>
      <c r="DL660" s="2" t="n">
        <v>0.49</v>
      </c>
      <c r="DM660" s="2" t="n">
        <v>63.06</v>
      </c>
      <c r="DN660" s="2" t="n">
        <v>63.16</v>
      </c>
      <c r="DO660" s="2" t="n">
        <v>0.49</v>
      </c>
      <c r="DP660" s="2" t="n">
        <v>67.77</v>
      </c>
      <c r="DQ660" s="2" t="n">
        <v>69.97</v>
      </c>
      <c r="DR660" s="2" t="n">
        <v>0.49</v>
      </c>
      <c r="DS660" s="2" t="n">
        <v>78.20999999999999</v>
      </c>
      <c r="DT660" s="2" t="n">
        <v>79.36</v>
      </c>
      <c r="DU660" s="2" t="n">
        <v>0.49</v>
      </c>
      <c r="DV660" s="2" t="n">
        <v>86.27</v>
      </c>
      <c r="DW660" s="2" t="n">
        <v>84.98999999999999</v>
      </c>
      <c r="DX660" s="2" t="n">
        <v>0.49</v>
      </c>
      <c r="DY660" s="2" t="n">
        <v>90.78</v>
      </c>
      <c r="DZ660" s="2" t="n">
        <v>87.77</v>
      </c>
      <c r="EA660" s="2" t="n">
        <v>0.49</v>
      </c>
      <c r="EB660" s="2" t="n">
        <v>98.01000000000001</v>
      </c>
      <c r="EC660" s="2" t="n">
        <v>93.31999999999999</v>
      </c>
      <c r="ED660" s="2" t="n">
        <v>0.49</v>
      </c>
      <c r="EE660" s="2" t="n">
        <v>98.01000000000001</v>
      </c>
      <c r="EF660" s="2" t="n">
        <v>99.51000000000001</v>
      </c>
      <c r="EG660" s="2" t="n">
        <v>0.49</v>
      </c>
      <c r="EH660" s="2" t="n">
        <v>98.06</v>
      </c>
      <c r="EI660" s="2" t="n">
        <v>99.56</v>
      </c>
      <c r="EJ660" s="2" t="n">
        <v>0.49</v>
      </c>
      <c r="EK660" s="2" t="n">
        <v>98.51000000000001</v>
      </c>
      <c r="EL660" s="2" t="n">
        <v>100.01</v>
      </c>
      <c r="EM660" s="2" t="n">
        <v>0.49</v>
      </c>
      <c r="EN660" s="2" t="n">
        <v>98.51000000000001</v>
      </c>
      <c r="EO660" s="2" t="n">
        <v>100.01</v>
      </c>
      <c r="EP660" s="2" t="n">
        <v>0.49</v>
      </c>
      <c r="EQ660" s="2" t="n">
        <v>98.51000000000001</v>
      </c>
      <c r="ER660" s="2" t="n">
        <v>100.01</v>
      </c>
      <c r="ES660" s="2" t="n">
        <v>0.49</v>
      </c>
      <c r="ET660" s="2" t="n">
        <v>98.51000000000001</v>
      </c>
      <c r="EU660" s="2" t="n">
        <v>100.01</v>
      </c>
      <c r="EV660" s="2" t="n">
        <v>0.49</v>
      </c>
      <c r="EW660" s="2" t="n">
        <v>98.51000000000001</v>
      </c>
      <c r="EX660" s="2" t="n">
        <v>100.01</v>
      </c>
      <c r="EY660" s="2" t="n">
        <v>0.49</v>
      </c>
      <c r="EZ660" s="2" t="n">
        <v>98.51000000000001</v>
      </c>
      <c r="FA660" s="2" t="n">
        <v>100.01</v>
      </c>
      <c r="FB660" s="2" t="n">
        <v>0.49</v>
      </c>
      <c r="FC660" s="2" t="n">
        <v>98.51000000000001</v>
      </c>
      <c r="FD660" s="2" t="n">
        <v>100.01</v>
      </c>
      <c r="FE660" s="2" t="n">
        <v>0.49</v>
      </c>
      <c r="FF660" s="2" t="n">
        <v>98.51000000000001</v>
      </c>
      <c r="FG660" s="2" t="n">
        <v>100.01</v>
      </c>
      <c r="FH660" s="2" t="n">
        <v>0.49</v>
      </c>
      <c r="FI660" s="2" t="n">
        <v>98.51000000000001</v>
      </c>
      <c r="FJ660" s="2" t="n">
        <v>100.01</v>
      </c>
      <c r="FK660" s="2" t="n">
        <v>0.49</v>
      </c>
      <c r="FL660" s="2" t="n">
        <v>98.51000000000001</v>
      </c>
      <c r="FM660" s="2" t="n">
        <v>100.01</v>
      </c>
      <c r="FN660" s="2" t="n">
        <v>0.49</v>
      </c>
      <c r="FO660" s="2" t="n">
        <v>98.51000000000001</v>
      </c>
      <c r="FP660" s="2" t="n">
        <v>100.01</v>
      </c>
      <c r="FQ660" s="2" t="n">
        <v>0.49</v>
      </c>
    </row>
    <row r="661">
      <c r="A661" s="2" t="n">
        <v>3</v>
      </c>
      <c r="B661" s="2" t="inlineStr">
        <is>
          <t>29.01.03</t>
        </is>
      </c>
      <c r="C661" s="2" t="inlineStr">
        <is>
          <t>Camada de regularização com argamassa de cimento e areia  - academia fechamento de viga invertida/laje pré-moldada</t>
        </is>
      </c>
      <c r="D661" s="2" t="inlineStr">
        <is>
          <t>17/06/2026</t>
        </is>
      </c>
      <c r="E661" s="2" t="inlineStr">
        <is>
          <t>13/04/2028</t>
        </is>
      </c>
      <c r="F661" s="2" t="n">
        <v>33381.37500000001</v>
      </c>
      <c r="G661" s="2" t="n">
        <v>0</v>
      </c>
      <c r="H661" s="2" t="n">
        <v>33381.37500000001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0.08</v>
      </c>
      <c r="BX661" s="2" t="n">
        <v>0.08</v>
      </c>
      <c r="BY661" s="2" t="n">
        <v>0</v>
      </c>
      <c r="BZ661" s="2" t="n">
        <v>0.28</v>
      </c>
      <c r="CA661" s="2" t="n">
        <v>0.28</v>
      </c>
      <c r="CB661" s="2" t="n">
        <v>0.3</v>
      </c>
      <c r="CC661" s="2" t="n">
        <v>0.46</v>
      </c>
      <c r="CD661" s="2" t="n">
        <v>0.46</v>
      </c>
      <c r="CE661" s="2" t="n">
        <v>0.46</v>
      </c>
      <c r="CF661" s="2" t="n">
        <v>0.5</v>
      </c>
      <c r="CG661" s="2" t="n">
        <v>0.5</v>
      </c>
      <c r="CH661" s="2" t="n">
        <v>0.49</v>
      </c>
      <c r="CI661" s="2" t="n">
        <v>0.5</v>
      </c>
      <c r="CJ661" s="2" t="n">
        <v>0.67</v>
      </c>
      <c r="CK661" s="2" t="n">
        <v>0.49</v>
      </c>
      <c r="CL661" s="2" t="n">
        <v>0.65</v>
      </c>
      <c r="CM661" s="2" t="n">
        <v>2.98</v>
      </c>
      <c r="CN661" s="2" t="n">
        <v>0.49</v>
      </c>
      <c r="CO661" s="2" t="n">
        <v>2.1</v>
      </c>
      <c r="CP661" s="2" t="n">
        <v>5.09</v>
      </c>
      <c r="CQ661" s="2" t="n">
        <v>0.49</v>
      </c>
      <c r="CR661" s="2" t="n">
        <v>9.75</v>
      </c>
      <c r="CS661" s="2" t="n">
        <v>9.970000000000001</v>
      </c>
      <c r="CT661" s="2" t="n">
        <v>0.49</v>
      </c>
      <c r="CU661" s="2" t="n">
        <v>15.76</v>
      </c>
      <c r="CV661" s="2" t="n">
        <v>15.18</v>
      </c>
      <c r="CW661" s="2" t="n">
        <v>0.49</v>
      </c>
      <c r="CX661" s="2" t="n">
        <v>18.88</v>
      </c>
      <c r="CY661" s="2" t="n">
        <v>20.38</v>
      </c>
      <c r="CZ661" s="2" t="n">
        <v>0.49</v>
      </c>
      <c r="DA661" s="2" t="n">
        <v>22.35</v>
      </c>
      <c r="DB661" s="2" t="n">
        <v>22.23</v>
      </c>
      <c r="DC661" s="2" t="n">
        <v>0.49</v>
      </c>
      <c r="DD661" s="2" t="n">
        <v>30.53</v>
      </c>
      <c r="DE661" s="2" t="n">
        <v>33.6</v>
      </c>
      <c r="DF661" s="2" t="n">
        <v>0.49</v>
      </c>
      <c r="DG661" s="2" t="n">
        <v>42.21</v>
      </c>
      <c r="DH661" s="2" t="n">
        <v>43.71</v>
      </c>
      <c r="DI661" s="2" t="n">
        <v>0.49</v>
      </c>
      <c r="DJ661" s="2" t="n">
        <v>52.64</v>
      </c>
      <c r="DK661" s="2" t="n">
        <v>53.43</v>
      </c>
      <c r="DL661" s="2" t="n">
        <v>0.49</v>
      </c>
      <c r="DM661" s="2" t="n">
        <v>63.06</v>
      </c>
      <c r="DN661" s="2" t="n">
        <v>63.16</v>
      </c>
      <c r="DO661" s="2" t="n">
        <v>0.49</v>
      </c>
      <c r="DP661" s="2" t="n">
        <v>67.77</v>
      </c>
      <c r="DQ661" s="2" t="n">
        <v>69.97</v>
      </c>
      <c r="DR661" s="2" t="n">
        <v>0.49</v>
      </c>
      <c r="DS661" s="2" t="n">
        <v>78.20999999999999</v>
      </c>
      <c r="DT661" s="2" t="n">
        <v>79.36</v>
      </c>
      <c r="DU661" s="2" t="n">
        <v>0.49</v>
      </c>
      <c r="DV661" s="2" t="n">
        <v>86.27</v>
      </c>
      <c r="DW661" s="2" t="n">
        <v>84.98999999999999</v>
      </c>
      <c r="DX661" s="2" t="n">
        <v>0.49</v>
      </c>
      <c r="DY661" s="2" t="n">
        <v>90.78</v>
      </c>
      <c r="DZ661" s="2" t="n">
        <v>87.77</v>
      </c>
      <c r="EA661" s="2" t="n">
        <v>0.49</v>
      </c>
      <c r="EB661" s="2" t="n">
        <v>98.01000000000001</v>
      </c>
      <c r="EC661" s="2" t="n">
        <v>93.31999999999999</v>
      </c>
      <c r="ED661" s="2" t="n">
        <v>0.49</v>
      </c>
      <c r="EE661" s="2" t="n">
        <v>98.01000000000001</v>
      </c>
      <c r="EF661" s="2" t="n">
        <v>99.51000000000001</v>
      </c>
      <c r="EG661" s="2" t="n">
        <v>0.49</v>
      </c>
      <c r="EH661" s="2" t="n">
        <v>98.06</v>
      </c>
      <c r="EI661" s="2" t="n">
        <v>99.56</v>
      </c>
      <c r="EJ661" s="2" t="n">
        <v>0.49</v>
      </c>
      <c r="EK661" s="2" t="n">
        <v>98.51000000000001</v>
      </c>
      <c r="EL661" s="2" t="n">
        <v>100.01</v>
      </c>
      <c r="EM661" s="2" t="n">
        <v>0.49</v>
      </c>
      <c r="EN661" s="2" t="n">
        <v>98.51000000000001</v>
      </c>
      <c r="EO661" s="2" t="n">
        <v>100.01</v>
      </c>
      <c r="EP661" s="2" t="n">
        <v>0.49</v>
      </c>
      <c r="EQ661" s="2" t="n">
        <v>98.51000000000001</v>
      </c>
      <c r="ER661" s="2" t="n">
        <v>100.01</v>
      </c>
      <c r="ES661" s="2" t="n">
        <v>0.49</v>
      </c>
      <c r="ET661" s="2" t="n">
        <v>98.51000000000001</v>
      </c>
      <c r="EU661" s="2" t="n">
        <v>100.01</v>
      </c>
      <c r="EV661" s="2" t="n">
        <v>0.49</v>
      </c>
      <c r="EW661" s="2" t="n">
        <v>98.51000000000001</v>
      </c>
      <c r="EX661" s="2" t="n">
        <v>100.01</v>
      </c>
      <c r="EY661" s="2" t="n">
        <v>0.49</v>
      </c>
      <c r="EZ661" s="2" t="n">
        <v>98.51000000000001</v>
      </c>
      <c r="FA661" s="2" t="n">
        <v>100.01</v>
      </c>
      <c r="FB661" s="2" t="n">
        <v>0.49</v>
      </c>
      <c r="FC661" s="2" t="n">
        <v>98.51000000000001</v>
      </c>
      <c r="FD661" s="2" t="n">
        <v>100.01</v>
      </c>
      <c r="FE661" s="2" t="n">
        <v>0.49</v>
      </c>
      <c r="FF661" s="2" t="n">
        <v>98.51000000000001</v>
      </c>
      <c r="FG661" s="2" t="n">
        <v>100.01</v>
      </c>
      <c r="FH661" s="2" t="n">
        <v>0.49</v>
      </c>
      <c r="FI661" s="2" t="n">
        <v>98.51000000000001</v>
      </c>
      <c r="FJ661" s="2" t="n">
        <v>100.01</v>
      </c>
      <c r="FK661" s="2" t="n">
        <v>0.49</v>
      </c>
      <c r="FL661" s="2" t="n">
        <v>98.51000000000001</v>
      </c>
      <c r="FM661" s="2" t="n">
        <v>100.01</v>
      </c>
      <c r="FN661" s="2" t="n">
        <v>0.49</v>
      </c>
      <c r="FO661" s="2" t="n">
        <v>98.51000000000001</v>
      </c>
      <c r="FP661" s="2" t="n">
        <v>100.01</v>
      </c>
      <c r="FQ661" s="2" t="n">
        <v>0.49</v>
      </c>
    </row>
    <row r="662">
      <c r="A662" s="2" t="n">
        <v>3</v>
      </c>
      <c r="B662" s="2" t="inlineStr">
        <is>
          <t>29.01.04</t>
        </is>
      </c>
      <c r="C662" s="2" t="inlineStr">
        <is>
          <t>Enchimento de sóculos</t>
        </is>
      </c>
      <c r="D662" s="2" t="inlineStr">
        <is>
          <t>17/06/2026</t>
        </is>
      </c>
      <c r="E662" s="2" t="inlineStr">
        <is>
          <t>13/04/2028</t>
        </is>
      </c>
      <c r="F662" s="2" t="n">
        <v>477.1604103549268</v>
      </c>
      <c r="G662" s="2" t="n">
        <v>0</v>
      </c>
      <c r="H662" s="2" t="n">
        <v>477.1604103549268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0.08</v>
      </c>
      <c r="BX662" s="2" t="n">
        <v>0.08</v>
      </c>
      <c r="BY662" s="2" t="n">
        <v>0</v>
      </c>
      <c r="BZ662" s="2" t="n">
        <v>0.28</v>
      </c>
      <c r="CA662" s="2" t="n">
        <v>0.28</v>
      </c>
      <c r="CB662" s="2" t="n">
        <v>0.3</v>
      </c>
      <c r="CC662" s="2" t="n">
        <v>0.46</v>
      </c>
      <c r="CD662" s="2" t="n">
        <v>0.46</v>
      </c>
      <c r="CE662" s="2" t="n">
        <v>0.46</v>
      </c>
      <c r="CF662" s="2" t="n">
        <v>0.5</v>
      </c>
      <c r="CG662" s="2" t="n">
        <v>0.5</v>
      </c>
      <c r="CH662" s="2" t="n">
        <v>0.49</v>
      </c>
      <c r="CI662" s="2" t="n">
        <v>0.5</v>
      </c>
      <c r="CJ662" s="2" t="n">
        <v>0.67</v>
      </c>
      <c r="CK662" s="2" t="n">
        <v>0.49</v>
      </c>
      <c r="CL662" s="2" t="n">
        <v>0.65</v>
      </c>
      <c r="CM662" s="2" t="n">
        <v>2.98</v>
      </c>
      <c r="CN662" s="2" t="n">
        <v>0.49</v>
      </c>
      <c r="CO662" s="2" t="n">
        <v>2.1</v>
      </c>
      <c r="CP662" s="2" t="n">
        <v>5.09</v>
      </c>
      <c r="CQ662" s="2" t="n">
        <v>0.49</v>
      </c>
      <c r="CR662" s="2" t="n">
        <v>9.75</v>
      </c>
      <c r="CS662" s="2" t="n">
        <v>9.970000000000001</v>
      </c>
      <c r="CT662" s="2" t="n">
        <v>0.49</v>
      </c>
      <c r="CU662" s="2" t="n">
        <v>15.76</v>
      </c>
      <c r="CV662" s="2" t="n">
        <v>15.18</v>
      </c>
      <c r="CW662" s="2" t="n">
        <v>0.49</v>
      </c>
      <c r="CX662" s="2" t="n">
        <v>18.88</v>
      </c>
      <c r="CY662" s="2" t="n">
        <v>20.38</v>
      </c>
      <c r="CZ662" s="2" t="n">
        <v>0.49</v>
      </c>
      <c r="DA662" s="2" t="n">
        <v>22.35</v>
      </c>
      <c r="DB662" s="2" t="n">
        <v>22.23</v>
      </c>
      <c r="DC662" s="2" t="n">
        <v>0.49</v>
      </c>
      <c r="DD662" s="2" t="n">
        <v>30.53</v>
      </c>
      <c r="DE662" s="2" t="n">
        <v>33.6</v>
      </c>
      <c r="DF662" s="2" t="n">
        <v>0.49</v>
      </c>
      <c r="DG662" s="2" t="n">
        <v>42.21</v>
      </c>
      <c r="DH662" s="2" t="n">
        <v>43.71</v>
      </c>
      <c r="DI662" s="2" t="n">
        <v>0.49</v>
      </c>
      <c r="DJ662" s="2" t="n">
        <v>52.64</v>
      </c>
      <c r="DK662" s="2" t="n">
        <v>53.43</v>
      </c>
      <c r="DL662" s="2" t="n">
        <v>0.49</v>
      </c>
      <c r="DM662" s="2" t="n">
        <v>63.06</v>
      </c>
      <c r="DN662" s="2" t="n">
        <v>63.16</v>
      </c>
      <c r="DO662" s="2" t="n">
        <v>0.49</v>
      </c>
      <c r="DP662" s="2" t="n">
        <v>67.77</v>
      </c>
      <c r="DQ662" s="2" t="n">
        <v>69.97</v>
      </c>
      <c r="DR662" s="2" t="n">
        <v>0.49</v>
      </c>
      <c r="DS662" s="2" t="n">
        <v>78.20999999999999</v>
      </c>
      <c r="DT662" s="2" t="n">
        <v>79.36</v>
      </c>
      <c r="DU662" s="2" t="n">
        <v>0.49</v>
      </c>
      <c r="DV662" s="2" t="n">
        <v>86.27</v>
      </c>
      <c r="DW662" s="2" t="n">
        <v>84.98999999999999</v>
      </c>
      <c r="DX662" s="2" t="n">
        <v>0.49</v>
      </c>
      <c r="DY662" s="2" t="n">
        <v>90.78</v>
      </c>
      <c r="DZ662" s="2" t="n">
        <v>87.77</v>
      </c>
      <c r="EA662" s="2" t="n">
        <v>0.49</v>
      </c>
      <c r="EB662" s="2" t="n">
        <v>98.01000000000001</v>
      </c>
      <c r="EC662" s="2" t="n">
        <v>93.31999999999999</v>
      </c>
      <c r="ED662" s="2" t="n">
        <v>0.49</v>
      </c>
      <c r="EE662" s="2" t="n">
        <v>98.01000000000001</v>
      </c>
      <c r="EF662" s="2" t="n">
        <v>99.51000000000001</v>
      </c>
      <c r="EG662" s="2" t="n">
        <v>0.49</v>
      </c>
      <c r="EH662" s="2" t="n">
        <v>98.06</v>
      </c>
      <c r="EI662" s="2" t="n">
        <v>99.56</v>
      </c>
      <c r="EJ662" s="2" t="n">
        <v>0.49</v>
      </c>
      <c r="EK662" s="2" t="n">
        <v>98.51000000000001</v>
      </c>
      <c r="EL662" s="2" t="n">
        <v>100.01</v>
      </c>
      <c r="EM662" s="2" t="n">
        <v>0.49</v>
      </c>
      <c r="EN662" s="2" t="n">
        <v>98.51000000000001</v>
      </c>
      <c r="EO662" s="2" t="n">
        <v>100.01</v>
      </c>
      <c r="EP662" s="2" t="n">
        <v>0.49</v>
      </c>
      <c r="EQ662" s="2" t="n">
        <v>98.51000000000001</v>
      </c>
      <c r="ER662" s="2" t="n">
        <v>100.01</v>
      </c>
      <c r="ES662" s="2" t="n">
        <v>0.49</v>
      </c>
      <c r="ET662" s="2" t="n">
        <v>98.51000000000001</v>
      </c>
      <c r="EU662" s="2" t="n">
        <v>100.01</v>
      </c>
      <c r="EV662" s="2" t="n">
        <v>0.49</v>
      </c>
      <c r="EW662" s="2" t="n">
        <v>98.51000000000001</v>
      </c>
      <c r="EX662" s="2" t="n">
        <v>100.01</v>
      </c>
      <c r="EY662" s="2" t="n">
        <v>0.49</v>
      </c>
      <c r="EZ662" s="2" t="n">
        <v>98.51000000000001</v>
      </c>
      <c r="FA662" s="2" t="n">
        <v>100.01</v>
      </c>
      <c r="FB662" s="2" t="n">
        <v>0.49</v>
      </c>
      <c r="FC662" s="2" t="n">
        <v>98.51000000000001</v>
      </c>
      <c r="FD662" s="2" t="n">
        <v>100.01</v>
      </c>
      <c r="FE662" s="2" t="n">
        <v>0.49</v>
      </c>
      <c r="FF662" s="2" t="n">
        <v>98.51000000000001</v>
      </c>
      <c r="FG662" s="2" t="n">
        <v>100.01</v>
      </c>
      <c r="FH662" s="2" t="n">
        <v>0.49</v>
      </c>
      <c r="FI662" s="2" t="n">
        <v>98.51000000000001</v>
      </c>
      <c r="FJ662" s="2" t="n">
        <v>100.01</v>
      </c>
      <c r="FK662" s="2" t="n">
        <v>0.49</v>
      </c>
      <c r="FL662" s="2" t="n">
        <v>98.51000000000001</v>
      </c>
      <c r="FM662" s="2" t="n">
        <v>100.01</v>
      </c>
      <c r="FN662" s="2" t="n">
        <v>0.49</v>
      </c>
      <c r="FO662" s="2" t="n">
        <v>98.51000000000001</v>
      </c>
      <c r="FP662" s="2" t="n">
        <v>100.01</v>
      </c>
      <c r="FQ662" s="2" t="n">
        <v>0.49</v>
      </c>
    </row>
    <row r="663">
      <c r="A663" s="2" t="n">
        <v>3</v>
      </c>
      <c r="B663" s="2" t="inlineStr">
        <is>
          <t>29.01.05</t>
        </is>
      </c>
      <c r="C663" s="2" t="inlineStr">
        <is>
          <t>Proteção de pisos contra tráfego de obra</t>
        </is>
      </c>
      <c r="D663" s="2" t="inlineStr">
        <is>
          <t>17/06/2026</t>
        </is>
      </c>
      <c r="E663" s="2" t="inlineStr">
        <is>
          <t>13/04/2028</t>
        </is>
      </c>
      <c r="F663" s="2" t="n">
        <v>210469.3457390157</v>
      </c>
      <c r="G663" s="2" t="n">
        <v>0</v>
      </c>
      <c r="H663" s="2" t="n">
        <v>210469.3457390157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0.08</v>
      </c>
      <c r="BX663" s="2" t="n">
        <v>0.08</v>
      </c>
      <c r="BY663" s="2" t="n">
        <v>0</v>
      </c>
      <c r="BZ663" s="2" t="n">
        <v>0.28</v>
      </c>
      <c r="CA663" s="2" t="n">
        <v>0.28</v>
      </c>
      <c r="CB663" s="2" t="n">
        <v>0.3</v>
      </c>
      <c r="CC663" s="2" t="n">
        <v>0.46</v>
      </c>
      <c r="CD663" s="2" t="n">
        <v>0.46</v>
      </c>
      <c r="CE663" s="2" t="n">
        <v>0.46</v>
      </c>
      <c r="CF663" s="2" t="n">
        <v>0.5</v>
      </c>
      <c r="CG663" s="2" t="n">
        <v>0.5</v>
      </c>
      <c r="CH663" s="2" t="n">
        <v>0.49</v>
      </c>
      <c r="CI663" s="2" t="n">
        <v>0.5</v>
      </c>
      <c r="CJ663" s="2" t="n">
        <v>0.67</v>
      </c>
      <c r="CK663" s="2" t="n">
        <v>0.49</v>
      </c>
      <c r="CL663" s="2" t="n">
        <v>0.65</v>
      </c>
      <c r="CM663" s="2" t="n">
        <v>2.98</v>
      </c>
      <c r="CN663" s="2" t="n">
        <v>0.49</v>
      </c>
      <c r="CO663" s="2" t="n">
        <v>2.1</v>
      </c>
      <c r="CP663" s="2" t="n">
        <v>5.09</v>
      </c>
      <c r="CQ663" s="2" t="n">
        <v>0.49</v>
      </c>
      <c r="CR663" s="2" t="n">
        <v>9.75</v>
      </c>
      <c r="CS663" s="2" t="n">
        <v>9.970000000000001</v>
      </c>
      <c r="CT663" s="2" t="n">
        <v>0.49</v>
      </c>
      <c r="CU663" s="2" t="n">
        <v>15.76</v>
      </c>
      <c r="CV663" s="2" t="n">
        <v>15.18</v>
      </c>
      <c r="CW663" s="2" t="n">
        <v>0.49</v>
      </c>
      <c r="CX663" s="2" t="n">
        <v>18.88</v>
      </c>
      <c r="CY663" s="2" t="n">
        <v>20.38</v>
      </c>
      <c r="CZ663" s="2" t="n">
        <v>0.49</v>
      </c>
      <c r="DA663" s="2" t="n">
        <v>22.35</v>
      </c>
      <c r="DB663" s="2" t="n">
        <v>22.23</v>
      </c>
      <c r="DC663" s="2" t="n">
        <v>0.49</v>
      </c>
      <c r="DD663" s="2" t="n">
        <v>30.53</v>
      </c>
      <c r="DE663" s="2" t="n">
        <v>33.6</v>
      </c>
      <c r="DF663" s="2" t="n">
        <v>0.49</v>
      </c>
      <c r="DG663" s="2" t="n">
        <v>42.21</v>
      </c>
      <c r="DH663" s="2" t="n">
        <v>43.71</v>
      </c>
      <c r="DI663" s="2" t="n">
        <v>0.49</v>
      </c>
      <c r="DJ663" s="2" t="n">
        <v>52.64</v>
      </c>
      <c r="DK663" s="2" t="n">
        <v>53.43</v>
      </c>
      <c r="DL663" s="2" t="n">
        <v>0.49</v>
      </c>
      <c r="DM663" s="2" t="n">
        <v>63.06</v>
      </c>
      <c r="DN663" s="2" t="n">
        <v>63.16</v>
      </c>
      <c r="DO663" s="2" t="n">
        <v>0.49</v>
      </c>
      <c r="DP663" s="2" t="n">
        <v>67.77</v>
      </c>
      <c r="DQ663" s="2" t="n">
        <v>69.97</v>
      </c>
      <c r="DR663" s="2" t="n">
        <v>0.49</v>
      </c>
      <c r="DS663" s="2" t="n">
        <v>78.20999999999999</v>
      </c>
      <c r="DT663" s="2" t="n">
        <v>79.36</v>
      </c>
      <c r="DU663" s="2" t="n">
        <v>0.49</v>
      </c>
      <c r="DV663" s="2" t="n">
        <v>86.27</v>
      </c>
      <c r="DW663" s="2" t="n">
        <v>84.98999999999999</v>
      </c>
      <c r="DX663" s="2" t="n">
        <v>0.49</v>
      </c>
      <c r="DY663" s="2" t="n">
        <v>90.78</v>
      </c>
      <c r="DZ663" s="2" t="n">
        <v>87.77</v>
      </c>
      <c r="EA663" s="2" t="n">
        <v>0.49</v>
      </c>
      <c r="EB663" s="2" t="n">
        <v>98.01000000000001</v>
      </c>
      <c r="EC663" s="2" t="n">
        <v>93.31999999999999</v>
      </c>
      <c r="ED663" s="2" t="n">
        <v>0.49</v>
      </c>
      <c r="EE663" s="2" t="n">
        <v>98.01000000000001</v>
      </c>
      <c r="EF663" s="2" t="n">
        <v>99.51000000000001</v>
      </c>
      <c r="EG663" s="2" t="n">
        <v>0.49</v>
      </c>
      <c r="EH663" s="2" t="n">
        <v>98.06</v>
      </c>
      <c r="EI663" s="2" t="n">
        <v>99.56</v>
      </c>
      <c r="EJ663" s="2" t="n">
        <v>0.49</v>
      </c>
      <c r="EK663" s="2" t="n">
        <v>98.51000000000001</v>
      </c>
      <c r="EL663" s="2" t="n">
        <v>100.01</v>
      </c>
      <c r="EM663" s="2" t="n">
        <v>0.49</v>
      </c>
      <c r="EN663" s="2" t="n">
        <v>98.51000000000001</v>
      </c>
      <c r="EO663" s="2" t="n">
        <v>100.01</v>
      </c>
      <c r="EP663" s="2" t="n">
        <v>0.49</v>
      </c>
      <c r="EQ663" s="2" t="n">
        <v>98.51000000000001</v>
      </c>
      <c r="ER663" s="2" t="n">
        <v>100.01</v>
      </c>
      <c r="ES663" s="2" t="n">
        <v>0.49</v>
      </c>
      <c r="ET663" s="2" t="n">
        <v>98.51000000000001</v>
      </c>
      <c r="EU663" s="2" t="n">
        <v>100.01</v>
      </c>
      <c r="EV663" s="2" t="n">
        <v>0.49</v>
      </c>
      <c r="EW663" s="2" t="n">
        <v>98.51000000000001</v>
      </c>
      <c r="EX663" s="2" t="n">
        <v>100.01</v>
      </c>
      <c r="EY663" s="2" t="n">
        <v>0.49</v>
      </c>
      <c r="EZ663" s="2" t="n">
        <v>98.51000000000001</v>
      </c>
      <c r="FA663" s="2" t="n">
        <v>100.01</v>
      </c>
      <c r="FB663" s="2" t="n">
        <v>0.49</v>
      </c>
      <c r="FC663" s="2" t="n">
        <v>98.51000000000001</v>
      </c>
      <c r="FD663" s="2" t="n">
        <v>100.01</v>
      </c>
      <c r="FE663" s="2" t="n">
        <v>0.49</v>
      </c>
      <c r="FF663" s="2" t="n">
        <v>98.51000000000001</v>
      </c>
      <c r="FG663" s="2" t="n">
        <v>100.01</v>
      </c>
      <c r="FH663" s="2" t="n">
        <v>0.49</v>
      </c>
      <c r="FI663" s="2" t="n">
        <v>98.51000000000001</v>
      </c>
      <c r="FJ663" s="2" t="n">
        <v>100.01</v>
      </c>
      <c r="FK663" s="2" t="n">
        <v>0.49</v>
      </c>
      <c r="FL663" s="2" t="n">
        <v>98.51000000000001</v>
      </c>
      <c r="FM663" s="2" t="n">
        <v>100.01</v>
      </c>
      <c r="FN663" s="2" t="n">
        <v>0.49</v>
      </c>
      <c r="FO663" s="2" t="n">
        <v>98.51000000000001</v>
      </c>
      <c r="FP663" s="2" t="n">
        <v>100.01</v>
      </c>
      <c r="FQ663" s="2" t="n">
        <v>0.49</v>
      </c>
    </row>
    <row r="664">
      <c r="A664" s="2" t="n">
        <v>2</v>
      </c>
      <c r="B664" s="2" t="inlineStr">
        <is>
          <t>29.02</t>
        </is>
      </c>
      <c r="C664" s="2" t="inlineStr">
        <is>
          <t>Serviços complentares ao piso - externos</t>
        </is>
      </c>
      <c r="D664" s="2" t="inlineStr">
        <is>
          <t>17/06/2026</t>
        </is>
      </c>
      <c r="E664" s="2" t="inlineStr">
        <is>
          <t>13/04/2028</t>
        </is>
      </c>
      <c r="F664" s="2" t="n">
        <v>82276.21150639307</v>
      </c>
      <c r="G664" s="2" t="n">
        <v>0</v>
      </c>
      <c r="H664" s="2" t="n">
        <v>82276.21150639307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0.17</v>
      </c>
      <c r="BX664" s="2" t="n">
        <v>0.17</v>
      </c>
      <c r="BY664" s="2" t="n">
        <v>0</v>
      </c>
      <c r="BZ664" s="2" t="n">
        <v>0.5600000000000001</v>
      </c>
      <c r="CA664" s="2" t="n">
        <v>0.5600000000000001</v>
      </c>
      <c r="CB664" s="2" t="n">
        <v>0.59</v>
      </c>
      <c r="CC664" s="2" t="n">
        <v>0.91</v>
      </c>
      <c r="CD664" s="2" t="n">
        <v>0.91</v>
      </c>
      <c r="CE664" s="2" t="n">
        <v>0.91</v>
      </c>
      <c r="CF664" s="2" t="n">
        <v>1</v>
      </c>
      <c r="CG664" s="2" t="n">
        <v>1</v>
      </c>
      <c r="CH664" s="2" t="n">
        <v>0.98</v>
      </c>
      <c r="CI664" s="2" t="n">
        <v>1</v>
      </c>
      <c r="CJ664" s="2" t="n">
        <v>2.5</v>
      </c>
      <c r="CK664" s="2" t="n">
        <v>0.98</v>
      </c>
      <c r="CL664" s="2" t="n">
        <v>3.7</v>
      </c>
      <c r="CM664" s="2" t="n">
        <v>22.9</v>
      </c>
      <c r="CN664" s="2" t="n">
        <v>0.98</v>
      </c>
      <c r="CO664" s="2" t="n">
        <v>25.38</v>
      </c>
      <c r="CP664" s="2" t="n">
        <v>50.36</v>
      </c>
      <c r="CQ664" s="2" t="n">
        <v>0.98</v>
      </c>
      <c r="CR664" s="2" t="n">
        <v>40.99</v>
      </c>
      <c r="CS664" s="2" t="n">
        <v>67.48999999999999</v>
      </c>
      <c r="CT664" s="2" t="n">
        <v>0.98</v>
      </c>
      <c r="CU664" s="2" t="n">
        <v>53.99</v>
      </c>
      <c r="CV664" s="2" t="n">
        <v>67.48999999999999</v>
      </c>
      <c r="CW664" s="2" t="n">
        <v>0.98</v>
      </c>
      <c r="CX664" s="2" t="n">
        <v>53.99</v>
      </c>
      <c r="CY664" s="2" t="n">
        <v>67.48999999999999</v>
      </c>
      <c r="CZ664" s="2" t="n">
        <v>0.98</v>
      </c>
      <c r="DA664" s="2" t="n">
        <v>53.99</v>
      </c>
      <c r="DB664" s="2" t="n">
        <v>67.48999999999999</v>
      </c>
      <c r="DC664" s="2" t="n">
        <v>0.98</v>
      </c>
      <c r="DD664" s="2" t="n">
        <v>53.99</v>
      </c>
      <c r="DE664" s="2" t="n">
        <v>67.48999999999999</v>
      </c>
      <c r="DF664" s="2" t="n">
        <v>0.98</v>
      </c>
      <c r="DG664" s="2" t="n">
        <v>57.46</v>
      </c>
      <c r="DH664" s="2" t="n">
        <v>70.95999999999999</v>
      </c>
      <c r="DI664" s="2" t="n">
        <v>0.98</v>
      </c>
      <c r="DJ664" s="2" t="n">
        <v>64.95999999999999</v>
      </c>
      <c r="DK664" s="2" t="n">
        <v>70.95999999999999</v>
      </c>
      <c r="DL664" s="2" t="n">
        <v>0.98</v>
      </c>
      <c r="DM664" s="2" t="n">
        <v>72.45999999999999</v>
      </c>
      <c r="DN664" s="2" t="n">
        <v>79.95999999999999</v>
      </c>
      <c r="DO664" s="2" t="n">
        <v>0.98</v>
      </c>
      <c r="DP664" s="2" t="n">
        <v>73.26000000000001</v>
      </c>
      <c r="DQ664" s="2" t="n">
        <v>86.76000000000001</v>
      </c>
      <c r="DR664" s="2" t="n">
        <v>0.98</v>
      </c>
      <c r="DS664" s="2" t="n">
        <v>75.95999999999999</v>
      </c>
      <c r="DT664" s="2" t="n">
        <v>89.45999999999999</v>
      </c>
      <c r="DU664" s="2" t="n">
        <v>0.98</v>
      </c>
      <c r="DV664" s="2" t="n">
        <v>84.45999999999999</v>
      </c>
      <c r="DW664" s="2" t="n">
        <v>97.95999999999999</v>
      </c>
      <c r="DX664" s="2" t="n">
        <v>0.98</v>
      </c>
      <c r="DY664" s="2" t="n">
        <v>84.45999999999999</v>
      </c>
      <c r="DZ664" s="2" t="n">
        <v>97.95999999999999</v>
      </c>
      <c r="EA664" s="2" t="n">
        <v>0.98</v>
      </c>
      <c r="EB664" s="2" t="n">
        <v>84.45999999999999</v>
      </c>
      <c r="EC664" s="2" t="n">
        <v>97.95999999999999</v>
      </c>
      <c r="ED664" s="2" t="n">
        <v>0.98</v>
      </c>
      <c r="EE664" s="2" t="n">
        <v>84.45999999999999</v>
      </c>
      <c r="EF664" s="2" t="n">
        <v>97.95999999999999</v>
      </c>
      <c r="EG664" s="2" t="n">
        <v>0.98</v>
      </c>
      <c r="EH664" s="2" t="n">
        <v>84.66</v>
      </c>
      <c r="EI664" s="2" t="n">
        <v>98.16</v>
      </c>
      <c r="EJ664" s="2" t="n">
        <v>0.98</v>
      </c>
      <c r="EK664" s="2" t="n">
        <v>86.45999999999999</v>
      </c>
      <c r="EL664" s="2" t="n">
        <v>99.95999999999999</v>
      </c>
      <c r="EM664" s="2" t="n">
        <v>0.98</v>
      </c>
      <c r="EN664" s="2" t="n">
        <v>86.45999999999999</v>
      </c>
      <c r="EO664" s="2" t="n">
        <v>99.95999999999999</v>
      </c>
      <c r="EP664" s="2" t="n">
        <v>0.98</v>
      </c>
      <c r="EQ664" s="2" t="n">
        <v>86.45999999999999</v>
      </c>
      <c r="ER664" s="2" t="n">
        <v>99.95999999999999</v>
      </c>
      <c r="ES664" s="2" t="n">
        <v>0.98</v>
      </c>
      <c r="ET664" s="2" t="n">
        <v>86.45999999999999</v>
      </c>
      <c r="EU664" s="2" t="n">
        <v>99.95999999999999</v>
      </c>
      <c r="EV664" s="2" t="n">
        <v>0.98</v>
      </c>
      <c r="EW664" s="2" t="n">
        <v>86.45999999999999</v>
      </c>
      <c r="EX664" s="2" t="n">
        <v>99.95999999999999</v>
      </c>
      <c r="EY664" s="2" t="n">
        <v>0.98</v>
      </c>
      <c r="EZ664" s="2" t="n">
        <v>86.45999999999999</v>
      </c>
      <c r="FA664" s="2" t="n">
        <v>99.95999999999999</v>
      </c>
      <c r="FB664" s="2" t="n">
        <v>0.98</v>
      </c>
      <c r="FC664" s="2" t="n">
        <v>86.45999999999999</v>
      </c>
      <c r="FD664" s="2" t="n">
        <v>99.95999999999999</v>
      </c>
      <c r="FE664" s="2" t="n">
        <v>0.98</v>
      </c>
      <c r="FF664" s="2" t="n">
        <v>86.45999999999999</v>
      </c>
      <c r="FG664" s="2" t="n">
        <v>99.95999999999999</v>
      </c>
      <c r="FH664" s="2" t="n">
        <v>0.98</v>
      </c>
      <c r="FI664" s="2" t="n">
        <v>86.45999999999999</v>
      </c>
      <c r="FJ664" s="2" t="n">
        <v>99.95999999999999</v>
      </c>
      <c r="FK664" s="2" t="n">
        <v>0.98</v>
      </c>
      <c r="FL664" s="2" t="n">
        <v>86.45999999999999</v>
      </c>
      <c r="FM664" s="2" t="n">
        <v>99.95999999999999</v>
      </c>
      <c r="FN664" s="2" t="n">
        <v>0.98</v>
      </c>
      <c r="FO664" s="2" t="n">
        <v>86.45999999999999</v>
      </c>
      <c r="FP664" s="2" t="n">
        <v>99.95999999999999</v>
      </c>
      <c r="FQ664" s="2" t="n">
        <v>0.98</v>
      </c>
    </row>
    <row r="665">
      <c r="A665" s="2" t="n">
        <v>3</v>
      </c>
      <c r="B665" s="2" t="inlineStr">
        <is>
          <t>29.02.01</t>
        </is>
      </c>
      <c r="C665" s="2" t="inlineStr">
        <is>
          <t>Taliscamento de Pisos</t>
        </is>
      </c>
      <c r="D665" s="2" t="inlineStr">
        <is>
          <t>17/06/2026</t>
        </is>
      </c>
      <c r="E665" s="2" t="inlineStr">
        <is>
          <t>13/04/2028</t>
        </is>
      </c>
      <c r="F665" s="2" t="n">
        <v>5669.564927498998</v>
      </c>
      <c r="G665" s="2" t="n">
        <v>0</v>
      </c>
      <c r="H665" s="2" t="n">
        <v>5669.564927498998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0.17</v>
      </c>
      <c r="BX665" s="2" t="n">
        <v>0.17</v>
      </c>
      <c r="BY665" s="2" t="n">
        <v>0</v>
      </c>
      <c r="BZ665" s="2" t="n">
        <v>0.5600000000000001</v>
      </c>
      <c r="CA665" s="2" t="n">
        <v>0.5600000000000001</v>
      </c>
      <c r="CB665" s="2" t="n">
        <v>0.59</v>
      </c>
      <c r="CC665" s="2" t="n">
        <v>0.91</v>
      </c>
      <c r="CD665" s="2" t="n">
        <v>0.91</v>
      </c>
      <c r="CE665" s="2" t="n">
        <v>0.91</v>
      </c>
      <c r="CF665" s="2" t="n">
        <v>1</v>
      </c>
      <c r="CG665" s="2" t="n">
        <v>1</v>
      </c>
      <c r="CH665" s="2" t="n">
        <v>0.98</v>
      </c>
      <c r="CI665" s="2" t="n">
        <v>1</v>
      </c>
      <c r="CJ665" s="2" t="n">
        <v>2.5</v>
      </c>
      <c r="CK665" s="2" t="n">
        <v>0.98</v>
      </c>
      <c r="CL665" s="2" t="n">
        <v>3.7</v>
      </c>
      <c r="CM665" s="2" t="n">
        <v>22.9</v>
      </c>
      <c r="CN665" s="2" t="n">
        <v>0.98</v>
      </c>
      <c r="CO665" s="2" t="n">
        <v>25.38</v>
      </c>
      <c r="CP665" s="2" t="n">
        <v>50.36</v>
      </c>
      <c r="CQ665" s="2" t="n">
        <v>0.98</v>
      </c>
      <c r="CR665" s="2" t="n">
        <v>40.99</v>
      </c>
      <c r="CS665" s="2" t="n">
        <v>67.48999999999999</v>
      </c>
      <c r="CT665" s="2" t="n">
        <v>0.98</v>
      </c>
      <c r="CU665" s="2" t="n">
        <v>53.99</v>
      </c>
      <c r="CV665" s="2" t="n">
        <v>67.48999999999999</v>
      </c>
      <c r="CW665" s="2" t="n">
        <v>0.98</v>
      </c>
      <c r="CX665" s="2" t="n">
        <v>53.99</v>
      </c>
      <c r="CY665" s="2" t="n">
        <v>67.48999999999999</v>
      </c>
      <c r="CZ665" s="2" t="n">
        <v>0.98</v>
      </c>
      <c r="DA665" s="2" t="n">
        <v>53.99</v>
      </c>
      <c r="DB665" s="2" t="n">
        <v>67.48999999999999</v>
      </c>
      <c r="DC665" s="2" t="n">
        <v>0.98</v>
      </c>
      <c r="DD665" s="2" t="n">
        <v>53.99</v>
      </c>
      <c r="DE665" s="2" t="n">
        <v>67.48999999999999</v>
      </c>
      <c r="DF665" s="2" t="n">
        <v>0.98</v>
      </c>
      <c r="DG665" s="2" t="n">
        <v>57.46</v>
      </c>
      <c r="DH665" s="2" t="n">
        <v>70.95999999999999</v>
      </c>
      <c r="DI665" s="2" t="n">
        <v>0.98</v>
      </c>
      <c r="DJ665" s="2" t="n">
        <v>64.95999999999999</v>
      </c>
      <c r="DK665" s="2" t="n">
        <v>70.95999999999999</v>
      </c>
      <c r="DL665" s="2" t="n">
        <v>0.98</v>
      </c>
      <c r="DM665" s="2" t="n">
        <v>72.45999999999999</v>
      </c>
      <c r="DN665" s="2" t="n">
        <v>79.95999999999999</v>
      </c>
      <c r="DO665" s="2" t="n">
        <v>0.98</v>
      </c>
      <c r="DP665" s="2" t="n">
        <v>73.26000000000001</v>
      </c>
      <c r="DQ665" s="2" t="n">
        <v>86.76000000000001</v>
      </c>
      <c r="DR665" s="2" t="n">
        <v>0.98</v>
      </c>
      <c r="DS665" s="2" t="n">
        <v>75.95999999999999</v>
      </c>
      <c r="DT665" s="2" t="n">
        <v>89.45999999999999</v>
      </c>
      <c r="DU665" s="2" t="n">
        <v>0.98</v>
      </c>
      <c r="DV665" s="2" t="n">
        <v>84.45999999999999</v>
      </c>
      <c r="DW665" s="2" t="n">
        <v>97.95999999999999</v>
      </c>
      <c r="DX665" s="2" t="n">
        <v>0.98</v>
      </c>
      <c r="DY665" s="2" t="n">
        <v>84.45999999999999</v>
      </c>
      <c r="DZ665" s="2" t="n">
        <v>97.95999999999999</v>
      </c>
      <c r="EA665" s="2" t="n">
        <v>0.98</v>
      </c>
      <c r="EB665" s="2" t="n">
        <v>84.45999999999999</v>
      </c>
      <c r="EC665" s="2" t="n">
        <v>97.95999999999999</v>
      </c>
      <c r="ED665" s="2" t="n">
        <v>0.98</v>
      </c>
      <c r="EE665" s="2" t="n">
        <v>84.45999999999999</v>
      </c>
      <c r="EF665" s="2" t="n">
        <v>97.95999999999999</v>
      </c>
      <c r="EG665" s="2" t="n">
        <v>0.98</v>
      </c>
      <c r="EH665" s="2" t="n">
        <v>84.66</v>
      </c>
      <c r="EI665" s="2" t="n">
        <v>98.16</v>
      </c>
      <c r="EJ665" s="2" t="n">
        <v>0.98</v>
      </c>
      <c r="EK665" s="2" t="n">
        <v>86.45999999999999</v>
      </c>
      <c r="EL665" s="2" t="n">
        <v>99.95999999999999</v>
      </c>
      <c r="EM665" s="2" t="n">
        <v>0.98</v>
      </c>
      <c r="EN665" s="2" t="n">
        <v>86.45999999999999</v>
      </c>
      <c r="EO665" s="2" t="n">
        <v>99.95999999999999</v>
      </c>
      <c r="EP665" s="2" t="n">
        <v>0.98</v>
      </c>
      <c r="EQ665" s="2" t="n">
        <v>86.45999999999999</v>
      </c>
      <c r="ER665" s="2" t="n">
        <v>99.95999999999999</v>
      </c>
      <c r="ES665" s="2" t="n">
        <v>0.98</v>
      </c>
      <c r="ET665" s="2" t="n">
        <v>86.45999999999999</v>
      </c>
      <c r="EU665" s="2" t="n">
        <v>99.95999999999999</v>
      </c>
      <c r="EV665" s="2" t="n">
        <v>0.98</v>
      </c>
      <c r="EW665" s="2" t="n">
        <v>86.45999999999999</v>
      </c>
      <c r="EX665" s="2" t="n">
        <v>99.95999999999999</v>
      </c>
      <c r="EY665" s="2" t="n">
        <v>0.98</v>
      </c>
      <c r="EZ665" s="2" t="n">
        <v>86.45999999999999</v>
      </c>
      <c r="FA665" s="2" t="n">
        <v>99.95999999999999</v>
      </c>
      <c r="FB665" s="2" t="n">
        <v>0.98</v>
      </c>
      <c r="FC665" s="2" t="n">
        <v>86.45999999999999</v>
      </c>
      <c r="FD665" s="2" t="n">
        <v>99.95999999999999</v>
      </c>
      <c r="FE665" s="2" t="n">
        <v>0.98</v>
      </c>
      <c r="FF665" s="2" t="n">
        <v>86.45999999999999</v>
      </c>
      <c r="FG665" s="2" t="n">
        <v>99.95999999999999</v>
      </c>
      <c r="FH665" s="2" t="n">
        <v>0.98</v>
      </c>
      <c r="FI665" s="2" t="n">
        <v>86.45999999999999</v>
      </c>
      <c r="FJ665" s="2" t="n">
        <v>99.95999999999999</v>
      </c>
      <c r="FK665" s="2" t="n">
        <v>0.98</v>
      </c>
      <c r="FL665" s="2" t="n">
        <v>86.45999999999999</v>
      </c>
      <c r="FM665" s="2" t="n">
        <v>99.95999999999999</v>
      </c>
      <c r="FN665" s="2" t="n">
        <v>0.98</v>
      </c>
      <c r="FO665" s="2" t="n">
        <v>86.45999999999999</v>
      </c>
      <c r="FP665" s="2" t="n">
        <v>99.95999999999999</v>
      </c>
      <c r="FQ665" s="2" t="n">
        <v>0.98</v>
      </c>
    </row>
    <row r="666">
      <c r="A666" s="2" t="n">
        <v>3</v>
      </c>
      <c r="B666" s="2" t="inlineStr">
        <is>
          <t>29.02.02</t>
        </is>
      </c>
      <c r="C666" s="2" t="inlineStr">
        <is>
          <t>Camada de regularização com argamassa de cimento e areia</t>
        </is>
      </c>
      <c r="D666" s="2" t="inlineStr">
        <is>
          <t>17/06/2026</t>
        </is>
      </c>
      <c r="E666" s="2" t="inlineStr">
        <is>
          <t>13/04/2028</t>
        </is>
      </c>
      <c r="F666" s="2" t="n">
        <v>76606.64657889407</v>
      </c>
      <c r="G666" s="2" t="n">
        <v>0</v>
      </c>
      <c r="H666" s="2" t="n">
        <v>76606.64657889407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0.17</v>
      </c>
      <c r="BX666" s="2" t="n">
        <v>0.17</v>
      </c>
      <c r="BY666" s="2" t="n">
        <v>0</v>
      </c>
      <c r="BZ666" s="2" t="n">
        <v>0.5600000000000001</v>
      </c>
      <c r="CA666" s="2" t="n">
        <v>0.5600000000000001</v>
      </c>
      <c r="CB666" s="2" t="n">
        <v>0.59</v>
      </c>
      <c r="CC666" s="2" t="n">
        <v>0.91</v>
      </c>
      <c r="CD666" s="2" t="n">
        <v>0.91</v>
      </c>
      <c r="CE666" s="2" t="n">
        <v>0.91</v>
      </c>
      <c r="CF666" s="2" t="n">
        <v>1</v>
      </c>
      <c r="CG666" s="2" t="n">
        <v>1</v>
      </c>
      <c r="CH666" s="2" t="n">
        <v>0.98</v>
      </c>
      <c r="CI666" s="2" t="n">
        <v>1</v>
      </c>
      <c r="CJ666" s="2" t="n">
        <v>2.5</v>
      </c>
      <c r="CK666" s="2" t="n">
        <v>0.98</v>
      </c>
      <c r="CL666" s="2" t="n">
        <v>3.7</v>
      </c>
      <c r="CM666" s="2" t="n">
        <v>22.9</v>
      </c>
      <c r="CN666" s="2" t="n">
        <v>0.98</v>
      </c>
      <c r="CO666" s="2" t="n">
        <v>25.38</v>
      </c>
      <c r="CP666" s="2" t="n">
        <v>50.36</v>
      </c>
      <c r="CQ666" s="2" t="n">
        <v>0.98</v>
      </c>
      <c r="CR666" s="2" t="n">
        <v>40.99</v>
      </c>
      <c r="CS666" s="2" t="n">
        <v>67.48999999999999</v>
      </c>
      <c r="CT666" s="2" t="n">
        <v>0.98</v>
      </c>
      <c r="CU666" s="2" t="n">
        <v>53.99</v>
      </c>
      <c r="CV666" s="2" t="n">
        <v>67.48999999999999</v>
      </c>
      <c r="CW666" s="2" t="n">
        <v>0.98</v>
      </c>
      <c r="CX666" s="2" t="n">
        <v>53.99</v>
      </c>
      <c r="CY666" s="2" t="n">
        <v>67.48999999999999</v>
      </c>
      <c r="CZ666" s="2" t="n">
        <v>0.98</v>
      </c>
      <c r="DA666" s="2" t="n">
        <v>53.99</v>
      </c>
      <c r="DB666" s="2" t="n">
        <v>67.48999999999999</v>
      </c>
      <c r="DC666" s="2" t="n">
        <v>0.98</v>
      </c>
      <c r="DD666" s="2" t="n">
        <v>53.99</v>
      </c>
      <c r="DE666" s="2" t="n">
        <v>67.48999999999999</v>
      </c>
      <c r="DF666" s="2" t="n">
        <v>0.98</v>
      </c>
      <c r="DG666" s="2" t="n">
        <v>57.46</v>
      </c>
      <c r="DH666" s="2" t="n">
        <v>70.95999999999999</v>
      </c>
      <c r="DI666" s="2" t="n">
        <v>0.98</v>
      </c>
      <c r="DJ666" s="2" t="n">
        <v>64.95999999999999</v>
      </c>
      <c r="DK666" s="2" t="n">
        <v>70.95999999999999</v>
      </c>
      <c r="DL666" s="2" t="n">
        <v>0.98</v>
      </c>
      <c r="DM666" s="2" t="n">
        <v>72.45999999999999</v>
      </c>
      <c r="DN666" s="2" t="n">
        <v>79.95999999999999</v>
      </c>
      <c r="DO666" s="2" t="n">
        <v>0.98</v>
      </c>
      <c r="DP666" s="2" t="n">
        <v>73.26000000000001</v>
      </c>
      <c r="DQ666" s="2" t="n">
        <v>86.76000000000001</v>
      </c>
      <c r="DR666" s="2" t="n">
        <v>0.98</v>
      </c>
      <c r="DS666" s="2" t="n">
        <v>75.95999999999999</v>
      </c>
      <c r="DT666" s="2" t="n">
        <v>89.45999999999999</v>
      </c>
      <c r="DU666" s="2" t="n">
        <v>0.98</v>
      </c>
      <c r="DV666" s="2" t="n">
        <v>84.45999999999999</v>
      </c>
      <c r="DW666" s="2" t="n">
        <v>97.95999999999999</v>
      </c>
      <c r="DX666" s="2" t="n">
        <v>0.98</v>
      </c>
      <c r="DY666" s="2" t="n">
        <v>84.45999999999999</v>
      </c>
      <c r="DZ666" s="2" t="n">
        <v>97.95999999999999</v>
      </c>
      <c r="EA666" s="2" t="n">
        <v>0.98</v>
      </c>
      <c r="EB666" s="2" t="n">
        <v>84.45999999999999</v>
      </c>
      <c r="EC666" s="2" t="n">
        <v>97.95999999999999</v>
      </c>
      <c r="ED666" s="2" t="n">
        <v>0.98</v>
      </c>
      <c r="EE666" s="2" t="n">
        <v>84.45999999999999</v>
      </c>
      <c r="EF666" s="2" t="n">
        <v>97.95999999999999</v>
      </c>
      <c r="EG666" s="2" t="n">
        <v>0.98</v>
      </c>
      <c r="EH666" s="2" t="n">
        <v>84.66</v>
      </c>
      <c r="EI666" s="2" t="n">
        <v>98.16</v>
      </c>
      <c r="EJ666" s="2" t="n">
        <v>0.98</v>
      </c>
      <c r="EK666" s="2" t="n">
        <v>86.45999999999999</v>
      </c>
      <c r="EL666" s="2" t="n">
        <v>99.95999999999999</v>
      </c>
      <c r="EM666" s="2" t="n">
        <v>0.98</v>
      </c>
      <c r="EN666" s="2" t="n">
        <v>86.45999999999999</v>
      </c>
      <c r="EO666" s="2" t="n">
        <v>99.95999999999999</v>
      </c>
      <c r="EP666" s="2" t="n">
        <v>0.98</v>
      </c>
      <c r="EQ666" s="2" t="n">
        <v>86.45999999999999</v>
      </c>
      <c r="ER666" s="2" t="n">
        <v>99.95999999999999</v>
      </c>
      <c r="ES666" s="2" t="n">
        <v>0.98</v>
      </c>
      <c r="ET666" s="2" t="n">
        <v>86.45999999999999</v>
      </c>
      <c r="EU666" s="2" t="n">
        <v>99.95999999999999</v>
      </c>
      <c r="EV666" s="2" t="n">
        <v>0.98</v>
      </c>
      <c r="EW666" s="2" t="n">
        <v>86.45999999999999</v>
      </c>
      <c r="EX666" s="2" t="n">
        <v>99.95999999999999</v>
      </c>
      <c r="EY666" s="2" t="n">
        <v>0.98</v>
      </c>
      <c r="EZ666" s="2" t="n">
        <v>86.45999999999999</v>
      </c>
      <c r="FA666" s="2" t="n">
        <v>99.95999999999999</v>
      </c>
      <c r="FB666" s="2" t="n">
        <v>0.98</v>
      </c>
      <c r="FC666" s="2" t="n">
        <v>86.45999999999999</v>
      </c>
      <c r="FD666" s="2" t="n">
        <v>99.95999999999999</v>
      </c>
      <c r="FE666" s="2" t="n">
        <v>0.98</v>
      </c>
      <c r="FF666" s="2" t="n">
        <v>86.45999999999999</v>
      </c>
      <c r="FG666" s="2" t="n">
        <v>99.95999999999999</v>
      </c>
      <c r="FH666" s="2" t="n">
        <v>0.98</v>
      </c>
      <c r="FI666" s="2" t="n">
        <v>86.45999999999999</v>
      </c>
      <c r="FJ666" s="2" t="n">
        <v>99.95999999999999</v>
      </c>
      <c r="FK666" s="2" t="n">
        <v>0.98</v>
      </c>
      <c r="FL666" s="2" t="n">
        <v>86.45999999999999</v>
      </c>
      <c r="FM666" s="2" t="n">
        <v>99.95999999999999</v>
      </c>
      <c r="FN666" s="2" t="n">
        <v>0.98</v>
      </c>
      <c r="FO666" s="2" t="n">
        <v>86.45999999999999</v>
      </c>
      <c r="FP666" s="2" t="n">
        <v>99.95999999999999</v>
      </c>
      <c r="FQ666" s="2" t="n">
        <v>0.98</v>
      </c>
    </row>
    <row r="667">
      <c r="A667" s="2" t="n">
        <v>1</v>
      </c>
      <c r="B667" s="2" t="inlineStr">
        <is>
          <t>30</t>
        </is>
      </c>
      <c r="C667" s="2" t="inlineStr">
        <is>
          <t>REVESTIMENTOS DE MASSA EM PAREDES</t>
        </is>
      </c>
      <c r="D667" s="2" t="inlineStr">
        <is>
          <t>21/05/2026</t>
        </is>
      </c>
      <c r="E667" s="2" t="inlineStr">
        <is>
          <t>30/03/2028</t>
        </is>
      </c>
      <c r="F667" s="2" t="n">
        <v>2524242.572353824</v>
      </c>
      <c r="G667" s="2" t="n">
        <v>0</v>
      </c>
      <c r="H667" s="2" t="n">
        <v>2524242.572353824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4.93</v>
      </c>
      <c r="BQ667" s="2" t="n">
        <v>0</v>
      </c>
      <c r="BR667" s="2" t="n">
        <v>0</v>
      </c>
      <c r="BS667" s="2" t="n">
        <v>4.93</v>
      </c>
      <c r="BT667" s="2" t="n">
        <v>10.53</v>
      </c>
      <c r="BU667" s="2" t="n">
        <v>0.82</v>
      </c>
      <c r="BV667" s="2" t="n">
        <v>10</v>
      </c>
      <c r="BW667" s="2" t="n">
        <v>10.53</v>
      </c>
      <c r="BX667" s="2" t="n">
        <v>3.28</v>
      </c>
      <c r="BY667" s="2" t="n">
        <v>10</v>
      </c>
      <c r="BZ667" s="2" t="n">
        <v>10.53</v>
      </c>
      <c r="CA667" s="2" t="n">
        <v>5.97</v>
      </c>
      <c r="CB667" s="2" t="n">
        <v>11.69</v>
      </c>
      <c r="CC667" s="2" t="n">
        <v>10.53</v>
      </c>
      <c r="CD667" s="2" t="n">
        <v>8.6</v>
      </c>
      <c r="CE667" s="2" t="n">
        <v>15.06</v>
      </c>
      <c r="CF667" s="2" t="n">
        <v>10.53</v>
      </c>
      <c r="CG667" s="2" t="n">
        <v>12.55</v>
      </c>
      <c r="CH667" s="2" t="n">
        <v>15.34</v>
      </c>
      <c r="CI667" s="2" t="n">
        <v>14.18</v>
      </c>
      <c r="CJ667" s="2" t="n">
        <v>15.86</v>
      </c>
      <c r="CK667" s="2" t="n">
        <v>15.34</v>
      </c>
      <c r="CL667" s="2" t="n">
        <v>23.48</v>
      </c>
      <c r="CM667" s="2" t="n">
        <v>20.13</v>
      </c>
      <c r="CN667" s="2" t="n">
        <v>15.34</v>
      </c>
      <c r="CO667" s="2" t="n">
        <v>28.01</v>
      </c>
      <c r="CP667" s="2" t="n">
        <v>24.1</v>
      </c>
      <c r="CQ667" s="2" t="n">
        <v>15.34</v>
      </c>
      <c r="CR667" s="2" t="n">
        <v>28.71</v>
      </c>
      <c r="CS667" s="2" t="n">
        <v>28.29</v>
      </c>
      <c r="CT667" s="2" t="n">
        <v>15.34</v>
      </c>
      <c r="CU667" s="2" t="n">
        <v>31.85</v>
      </c>
      <c r="CV667" s="2" t="n">
        <v>31.85</v>
      </c>
      <c r="CW667" s="2" t="n">
        <v>15.34</v>
      </c>
      <c r="CX667" s="2" t="n">
        <v>38.13</v>
      </c>
      <c r="CY667" s="2" t="n">
        <v>37.08</v>
      </c>
      <c r="CZ667" s="2" t="n">
        <v>15.34</v>
      </c>
      <c r="DA667" s="2" t="n">
        <v>44.76</v>
      </c>
      <c r="DB667" s="2" t="n">
        <v>44.62</v>
      </c>
      <c r="DC667" s="2" t="n">
        <v>15.34</v>
      </c>
      <c r="DD667" s="2" t="n">
        <v>52.78</v>
      </c>
      <c r="DE667" s="2" t="n">
        <v>51.95</v>
      </c>
      <c r="DF667" s="2" t="n">
        <v>15.34</v>
      </c>
      <c r="DG667" s="2" t="n">
        <v>60.11</v>
      </c>
      <c r="DH667" s="2" t="n">
        <v>60.11</v>
      </c>
      <c r="DI667" s="2" t="n">
        <v>15.34</v>
      </c>
      <c r="DJ667" s="2" t="n">
        <v>64.98999999999999</v>
      </c>
      <c r="DK667" s="2" t="n">
        <v>64.3</v>
      </c>
      <c r="DL667" s="2" t="n">
        <v>15.34</v>
      </c>
      <c r="DM667" s="2" t="n">
        <v>75.81</v>
      </c>
      <c r="DN667" s="2" t="n">
        <v>72.67</v>
      </c>
      <c r="DO667" s="2" t="n">
        <v>15.34</v>
      </c>
      <c r="DP667" s="2" t="n">
        <v>83.14</v>
      </c>
      <c r="DQ667" s="2" t="n">
        <v>77.69</v>
      </c>
      <c r="DR667" s="2" t="n">
        <v>15.34</v>
      </c>
      <c r="DS667" s="2" t="n">
        <v>86.56</v>
      </c>
      <c r="DT667" s="2" t="n">
        <v>81.88</v>
      </c>
      <c r="DU667" s="2" t="n">
        <v>15.34</v>
      </c>
      <c r="DV667" s="2" t="n">
        <v>88.51000000000001</v>
      </c>
      <c r="DW667" s="2" t="n">
        <v>85.79000000000001</v>
      </c>
      <c r="DX667" s="2" t="n">
        <v>15.34</v>
      </c>
      <c r="DY667" s="2" t="n">
        <v>89.8</v>
      </c>
      <c r="DZ667" s="2" t="n">
        <v>87.90000000000001</v>
      </c>
      <c r="EA667" s="2" t="n">
        <v>15.34</v>
      </c>
      <c r="EB667" s="2" t="n">
        <v>91.68000000000001</v>
      </c>
      <c r="EC667" s="2" t="n">
        <v>91.68000000000001</v>
      </c>
      <c r="ED667" s="2" t="n">
        <v>15.34</v>
      </c>
      <c r="EE667" s="2" t="n">
        <v>91.68000000000001</v>
      </c>
      <c r="EF667" s="2" t="n">
        <v>91.68000000000001</v>
      </c>
      <c r="EG667" s="2" t="n">
        <v>15.34</v>
      </c>
      <c r="EH667" s="2" t="n">
        <v>100</v>
      </c>
      <c r="EI667" s="2" t="n">
        <v>100</v>
      </c>
      <c r="EJ667" s="2" t="n">
        <v>15.34</v>
      </c>
      <c r="EK667" s="2" t="n">
        <v>100</v>
      </c>
      <c r="EL667" s="2" t="n">
        <v>100</v>
      </c>
      <c r="EM667" s="2" t="n">
        <v>15.34</v>
      </c>
      <c r="EN667" s="2" t="n">
        <v>100</v>
      </c>
      <c r="EO667" s="2" t="n">
        <v>100</v>
      </c>
      <c r="EP667" s="2" t="n">
        <v>15.34</v>
      </c>
      <c r="EQ667" s="2" t="n">
        <v>100</v>
      </c>
      <c r="ER667" s="2" t="n">
        <v>100</v>
      </c>
      <c r="ES667" s="2" t="n">
        <v>15.34</v>
      </c>
      <c r="ET667" s="2" t="n">
        <v>100</v>
      </c>
      <c r="EU667" s="2" t="n">
        <v>100</v>
      </c>
      <c r="EV667" s="2" t="n">
        <v>15.34</v>
      </c>
      <c r="EW667" s="2" t="n">
        <v>100</v>
      </c>
      <c r="EX667" s="2" t="n">
        <v>100</v>
      </c>
      <c r="EY667" s="2" t="n">
        <v>15.34</v>
      </c>
      <c r="EZ667" s="2" t="n">
        <v>100</v>
      </c>
      <c r="FA667" s="2" t="n">
        <v>100</v>
      </c>
      <c r="FB667" s="2" t="n">
        <v>15.34</v>
      </c>
      <c r="FC667" s="2" t="n">
        <v>100</v>
      </c>
      <c r="FD667" s="2" t="n">
        <v>100</v>
      </c>
      <c r="FE667" s="2" t="n">
        <v>15.34</v>
      </c>
      <c r="FF667" s="2" t="n">
        <v>100</v>
      </c>
      <c r="FG667" s="2" t="n">
        <v>100</v>
      </c>
      <c r="FH667" s="2" t="n">
        <v>15.34</v>
      </c>
      <c r="FI667" s="2" t="n">
        <v>100</v>
      </c>
      <c r="FJ667" s="2" t="n">
        <v>100</v>
      </c>
      <c r="FK667" s="2" t="n">
        <v>15.34</v>
      </c>
      <c r="FL667" s="2" t="n">
        <v>100</v>
      </c>
      <c r="FM667" s="2" t="n">
        <v>100</v>
      </c>
      <c r="FN667" s="2" t="n">
        <v>15.34</v>
      </c>
      <c r="FO667" s="2" t="n">
        <v>100</v>
      </c>
      <c r="FP667" s="2" t="n">
        <v>100</v>
      </c>
      <c r="FQ667" s="2" t="n">
        <v>15.34</v>
      </c>
    </row>
    <row r="668">
      <c r="A668" s="2" t="n">
        <v>2</v>
      </c>
      <c r="B668" s="2" t="inlineStr">
        <is>
          <t>30.01</t>
        </is>
      </c>
      <c r="C668" s="2" t="inlineStr">
        <is>
          <t>Revestimentos internos</t>
        </is>
      </c>
      <c r="D668" s="2" t="inlineStr">
        <is>
          <t>21/05/2026</t>
        </is>
      </c>
      <c r="E668" s="2" t="inlineStr">
        <is>
          <t>30/03/2028</t>
        </is>
      </c>
      <c r="F668" s="2" t="n">
        <v>2524242.572353824</v>
      </c>
      <c r="G668" s="2" t="n">
        <v>0</v>
      </c>
      <c r="H668" s="2" t="n">
        <v>2524242.572353824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4.93</v>
      </c>
      <c r="BQ668" s="2" t="n">
        <v>0</v>
      </c>
      <c r="BR668" s="2" t="n">
        <v>0</v>
      </c>
      <c r="BS668" s="2" t="n">
        <v>4.93</v>
      </c>
      <c r="BT668" s="2" t="n">
        <v>10.53</v>
      </c>
      <c r="BU668" s="2" t="n">
        <v>0.82</v>
      </c>
      <c r="BV668" s="2" t="n">
        <v>10</v>
      </c>
      <c r="BW668" s="2" t="n">
        <v>10.53</v>
      </c>
      <c r="BX668" s="2" t="n">
        <v>3.28</v>
      </c>
      <c r="BY668" s="2" t="n">
        <v>10</v>
      </c>
      <c r="BZ668" s="2" t="n">
        <v>10.53</v>
      </c>
      <c r="CA668" s="2" t="n">
        <v>5.97</v>
      </c>
      <c r="CB668" s="2" t="n">
        <v>11.69</v>
      </c>
      <c r="CC668" s="2" t="n">
        <v>10.53</v>
      </c>
      <c r="CD668" s="2" t="n">
        <v>8.6</v>
      </c>
      <c r="CE668" s="2" t="n">
        <v>15.06</v>
      </c>
      <c r="CF668" s="2" t="n">
        <v>10.53</v>
      </c>
      <c r="CG668" s="2" t="n">
        <v>12.55</v>
      </c>
      <c r="CH668" s="2" t="n">
        <v>15.34</v>
      </c>
      <c r="CI668" s="2" t="n">
        <v>14.18</v>
      </c>
      <c r="CJ668" s="2" t="n">
        <v>15.86</v>
      </c>
      <c r="CK668" s="2" t="n">
        <v>15.34</v>
      </c>
      <c r="CL668" s="2" t="n">
        <v>23.48</v>
      </c>
      <c r="CM668" s="2" t="n">
        <v>20.13</v>
      </c>
      <c r="CN668" s="2" t="n">
        <v>15.34</v>
      </c>
      <c r="CO668" s="2" t="n">
        <v>28.01</v>
      </c>
      <c r="CP668" s="2" t="n">
        <v>24.1</v>
      </c>
      <c r="CQ668" s="2" t="n">
        <v>15.34</v>
      </c>
      <c r="CR668" s="2" t="n">
        <v>28.71</v>
      </c>
      <c r="CS668" s="2" t="n">
        <v>28.29</v>
      </c>
      <c r="CT668" s="2" t="n">
        <v>15.34</v>
      </c>
      <c r="CU668" s="2" t="n">
        <v>31.85</v>
      </c>
      <c r="CV668" s="2" t="n">
        <v>31.85</v>
      </c>
      <c r="CW668" s="2" t="n">
        <v>15.34</v>
      </c>
      <c r="CX668" s="2" t="n">
        <v>38.13</v>
      </c>
      <c r="CY668" s="2" t="n">
        <v>37.08</v>
      </c>
      <c r="CZ668" s="2" t="n">
        <v>15.34</v>
      </c>
      <c r="DA668" s="2" t="n">
        <v>44.76</v>
      </c>
      <c r="DB668" s="2" t="n">
        <v>44.62</v>
      </c>
      <c r="DC668" s="2" t="n">
        <v>15.34</v>
      </c>
      <c r="DD668" s="2" t="n">
        <v>52.78</v>
      </c>
      <c r="DE668" s="2" t="n">
        <v>51.95</v>
      </c>
      <c r="DF668" s="2" t="n">
        <v>15.34</v>
      </c>
      <c r="DG668" s="2" t="n">
        <v>60.11</v>
      </c>
      <c r="DH668" s="2" t="n">
        <v>60.11</v>
      </c>
      <c r="DI668" s="2" t="n">
        <v>15.34</v>
      </c>
      <c r="DJ668" s="2" t="n">
        <v>64.98999999999999</v>
      </c>
      <c r="DK668" s="2" t="n">
        <v>64.3</v>
      </c>
      <c r="DL668" s="2" t="n">
        <v>15.34</v>
      </c>
      <c r="DM668" s="2" t="n">
        <v>75.81</v>
      </c>
      <c r="DN668" s="2" t="n">
        <v>72.67</v>
      </c>
      <c r="DO668" s="2" t="n">
        <v>15.34</v>
      </c>
      <c r="DP668" s="2" t="n">
        <v>83.14</v>
      </c>
      <c r="DQ668" s="2" t="n">
        <v>77.69</v>
      </c>
      <c r="DR668" s="2" t="n">
        <v>15.34</v>
      </c>
      <c r="DS668" s="2" t="n">
        <v>86.56</v>
      </c>
      <c r="DT668" s="2" t="n">
        <v>81.88</v>
      </c>
      <c r="DU668" s="2" t="n">
        <v>15.34</v>
      </c>
      <c r="DV668" s="2" t="n">
        <v>88.51000000000001</v>
      </c>
      <c r="DW668" s="2" t="n">
        <v>85.79000000000001</v>
      </c>
      <c r="DX668" s="2" t="n">
        <v>15.34</v>
      </c>
      <c r="DY668" s="2" t="n">
        <v>89.8</v>
      </c>
      <c r="DZ668" s="2" t="n">
        <v>87.90000000000001</v>
      </c>
      <c r="EA668" s="2" t="n">
        <v>15.34</v>
      </c>
      <c r="EB668" s="2" t="n">
        <v>91.68000000000001</v>
      </c>
      <c r="EC668" s="2" t="n">
        <v>91.68000000000001</v>
      </c>
      <c r="ED668" s="2" t="n">
        <v>15.34</v>
      </c>
      <c r="EE668" s="2" t="n">
        <v>91.68000000000001</v>
      </c>
      <c r="EF668" s="2" t="n">
        <v>91.68000000000001</v>
      </c>
      <c r="EG668" s="2" t="n">
        <v>15.34</v>
      </c>
      <c r="EH668" s="2" t="n">
        <v>100</v>
      </c>
      <c r="EI668" s="2" t="n">
        <v>100</v>
      </c>
      <c r="EJ668" s="2" t="n">
        <v>15.34</v>
      </c>
      <c r="EK668" s="2" t="n">
        <v>100</v>
      </c>
      <c r="EL668" s="2" t="n">
        <v>100</v>
      </c>
      <c r="EM668" s="2" t="n">
        <v>15.34</v>
      </c>
      <c r="EN668" s="2" t="n">
        <v>100</v>
      </c>
      <c r="EO668" s="2" t="n">
        <v>100</v>
      </c>
      <c r="EP668" s="2" t="n">
        <v>15.34</v>
      </c>
      <c r="EQ668" s="2" t="n">
        <v>100</v>
      </c>
      <c r="ER668" s="2" t="n">
        <v>100</v>
      </c>
      <c r="ES668" s="2" t="n">
        <v>15.34</v>
      </c>
      <c r="ET668" s="2" t="n">
        <v>100</v>
      </c>
      <c r="EU668" s="2" t="n">
        <v>100</v>
      </c>
      <c r="EV668" s="2" t="n">
        <v>15.34</v>
      </c>
      <c r="EW668" s="2" t="n">
        <v>100</v>
      </c>
      <c r="EX668" s="2" t="n">
        <v>100</v>
      </c>
      <c r="EY668" s="2" t="n">
        <v>15.34</v>
      </c>
      <c r="EZ668" s="2" t="n">
        <v>100</v>
      </c>
      <c r="FA668" s="2" t="n">
        <v>100</v>
      </c>
      <c r="FB668" s="2" t="n">
        <v>15.34</v>
      </c>
      <c r="FC668" s="2" t="n">
        <v>100</v>
      </c>
      <c r="FD668" s="2" t="n">
        <v>100</v>
      </c>
      <c r="FE668" s="2" t="n">
        <v>15.34</v>
      </c>
      <c r="FF668" s="2" t="n">
        <v>100</v>
      </c>
      <c r="FG668" s="2" t="n">
        <v>100</v>
      </c>
      <c r="FH668" s="2" t="n">
        <v>15.34</v>
      </c>
      <c r="FI668" s="2" t="n">
        <v>100</v>
      </c>
      <c r="FJ668" s="2" t="n">
        <v>100</v>
      </c>
      <c r="FK668" s="2" t="n">
        <v>15.34</v>
      </c>
      <c r="FL668" s="2" t="n">
        <v>100</v>
      </c>
      <c r="FM668" s="2" t="n">
        <v>100</v>
      </c>
      <c r="FN668" s="2" t="n">
        <v>15.34</v>
      </c>
      <c r="FO668" s="2" t="n">
        <v>100</v>
      </c>
      <c r="FP668" s="2" t="n">
        <v>100</v>
      </c>
      <c r="FQ668" s="2" t="n">
        <v>15.34</v>
      </c>
    </row>
    <row r="669">
      <c r="A669" s="2" t="n">
        <v>3</v>
      </c>
      <c r="B669" s="2" t="inlineStr">
        <is>
          <t>30.01.01</t>
        </is>
      </c>
      <c r="C669" s="2" t="inlineStr">
        <is>
          <t>Argamassas</t>
        </is>
      </c>
      <c r="D669" s="2" t="inlineStr">
        <is>
          <t>21/05/2026</t>
        </is>
      </c>
      <c r="E669" s="2" t="inlineStr">
        <is>
          <t>30/03/2028</t>
        </is>
      </c>
      <c r="F669" s="2" t="n">
        <v>2524242.572353824</v>
      </c>
      <c r="G669" s="2" t="n">
        <v>0</v>
      </c>
      <c r="H669" s="2" t="n">
        <v>2524242.572353824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4.93</v>
      </c>
      <c r="BQ669" s="2" t="n">
        <v>0</v>
      </c>
      <c r="BR669" s="2" t="n">
        <v>0</v>
      </c>
      <c r="BS669" s="2" t="n">
        <v>4.93</v>
      </c>
      <c r="BT669" s="2" t="n">
        <v>10.53</v>
      </c>
      <c r="BU669" s="2" t="n">
        <v>0.82</v>
      </c>
      <c r="BV669" s="2" t="n">
        <v>10</v>
      </c>
      <c r="BW669" s="2" t="n">
        <v>10.53</v>
      </c>
      <c r="BX669" s="2" t="n">
        <v>3.28</v>
      </c>
      <c r="BY669" s="2" t="n">
        <v>10</v>
      </c>
      <c r="BZ669" s="2" t="n">
        <v>10.53</v>
      </c>
      <c r="CA669" s="2" t="n">
        <v>5.97</v>
      </c>
      <c r="CB669" s="2" t="n">
        <v>11.69</v>
      </c>
      <c r="CC669" s="2" t="n">
        <v>10.53</v>
      </c>
      <c r="CD669" s="2" t="n">
        <v>8.6</v>
      </c>
      <c r="CE669" s="2" t="n">
        <v>15.06</v>
      </c>
      <c r="CF669" s="2" t="n">
        <v>10.53</v>
      </c>
      <c r="CG669" s="2" t="n">
        <v>12.55</v>
      </c>
      <c r="CH669" s="2" t="n">
        <v>15.34</v>
      </c>
      <c r="CI669" s="2" t="n">
        <v>14.18</v>
      </c>
      <c r="CJ669" s="2" t="n">
        <v>15.86</v>
      </c>
      <c r="CK669" s="2" t="n">
        <v>15.34</v>
      </c>
      <c r="CL669" s="2" t="n">
        <v>23.48</v>
      </c>
      <c r="CM669" s="2" t="n">
        <v>20.13</v>
      </c>
      <c r="CN669" s="2" t="n">
        <v>15.34</v>
      </c>
      <c r="CO669" s="2" t="n">
        <v>28.01</v>
      </c>
      <c r="CP669" s="2" t="n">
        <v>24.1</v>
      </c>
      <c r="CQ669" s="2" t="n">
        <v>15.34</v>
      </c>
      <c r="CR669" s="2" t="n">
        <v>28.71</v>
      </c>
      <c r="CS669" s="2" t="n">
        <v>28.29</v>
      </c>
      <c r="CT669" s="2" t="n">
        <v>15.34</v>
      </c>
      <c r="CU669" s="2" t="n">
        <v>31.85</v>
      </c>
      <c r="CV669" s="2" t="n">
        <v>31.85</v>
      </c>
      <c r="CW669" s="2" t="n">
        <v>15.34</v>
      </c>
      <c r="CX669" s="2" t="n">
        <v>38.13</v>
      </c>
      <c r="CY669" s="2" t="n">
        <v>37.08</v>
      </c>
      <c r="CZ669" s="2" t="n">
        <v>15.34</v>
      </c>
      <c r="DA669" s="2" t="n">
        <v>44.76</v>
      </c>
      <c r="DB669" s="2" t="n">
        <v>44.62</v>
      </c>
      <c r="DC669" s="2" t="n">
        <v>15.34</v>
      </c>
      <c r="DD669" s="2" t="n">
        <v>52.78</v>
      </c>
      <c r="DE669" s="2" t="n">
        <v>51.95</v>
      </c>
      <c r="DF669" s="2" t="n">
        <v>15.34</v>
      </c>
      <c r="DG669" s="2" t="n">
        <v>60.11</v>
      </c>
      <c r="DH669" s="2" t="n">
        <v>60.11</v>
      </c>
      <c r="DI669" s="2" t="n">
        <v>15.34</v>
      </c>
      <c r="DJ669" s="2" t="n">
        <v>64.98999999999999</v>
      </c>
      <c r="DK669" s="2" t="n">
        <v>64.3</v>
      </c>
      <c r="DL669" s="2" t="n">
        <v>15.34</v>
      </c>
      <c r="DM669" s="2" t="n">
        <v>75.81</v>
      </c>
      <c r="DN669" s="2" t="n">
        <v>72.67</v>
      </c>
      <c r="DO669" s="2" t="n">
        <v>15.34</v>
      </c>
      <c r="DP669" s="2" t="n">
        <v>83.14</v>
      </c>
      <c r="DQ669" s="2" t="n">
        <v>77.69</v>
      </c>
      <c r="DR669" s="2" t="n">
        <v>15.34</v>
      </c>
      <c r="DS669" s="2" t="n">
        <v>86.56</v>
      </c>
      <c r="DT669" s="2" t="n">
        <v>81.88</v>
      </c>
      <c r="DU669" s="2" t="n">
        <v>15.34</v>
      </c>
      <c r="DV669" s="2" t="n">
        <v>88.51000000000001</v>
      </c>
      <c r="DW669" s="2" t="n">
        <v>85.79000000000001</v>
      </c>
      <c r="DX669" s="2" t="n">
        <v>15.34</v>
      </c>
      <c r="DY669" s="2" t="n">
        <v>89.8</v>
      </c>
      <c r="DZ669" s="2" t="n">
        <v>87.90000000000001</v>
      </c>
      <c r="EA669" s="2" t="n">
        <v>15.34</v>
      </c>
      <c r="EB669" s="2" t="n">
        <v>91.68000000000001</v>
      </c>
      <c r="EC669" s="2" t="n">
        <v>91.68000000000001</v>
      </c>
      <c r="ED669" s="2" t="n">
        <v>15.34</v>
      </c>
      <c r="EE669" s="2" t="n">
        <v>91.68000000000001</v>
      </c>
      <c r="EF669" s="2" t="n">
        <v>91.68000000000001</v>
      </c>
      <c r="EG669" s="2" t="n">
        <v>15.34</v>
      </c>
      <c r="EH669" s="2" t="n">
        <v>100</v>
      </c>
      <c r="EI669" s="2" t="n">
        <v>100</v>
      </c>
      <c r="EJ669" s="2" t="n">
        <v>15.34</v>
      </c>
      <c r="EK669" s="2" t="n">
        <v>100</v>
      </c>
      <c r="EL669" s="2" t="n">
        <v>100</v>
      </c>
      <c r="EM669" s="2" t="n">
        <v>15.34</v>
      </c>
      <c r="EN669" s="2" t="n">
        <v>100</v>
      </c>
      <c r="EO669" s="2" t="n">
        <v>100</v>
      </c>
      <c r="EP669" s="2" t="n">
        <v>15.34</v>
      </c>
      <c r="EQ669" s="2" t="n">
        <v>100</v>
      </c>
      <c r="ER669" s="2" t="n">
        <v>100</v>
      </c>
      <c r="ES669" s="2" t="n">
        <v>15.34</v>
      </c>
      <c r="ET669" s="2" t="n">
        <v>100</v>
      </c>
      <c r="EU669" s="2" t="n">
        <v>100</v>
      </c>
      <c r="EV669" s="2" t="n">
        <v>15.34</v>
      </c>
      <c r="EW669" s="2" t="n">
        <v>100</v>
      </c>
      <c r="EX669" s="2" t="n">
        <v>100</v>
      </c>
      <c r="EY669" s="2" t="n">
        <v>15.34</v>
      </c>
      <c r="EZ669" s="2" t="n">
        <v>100</v>
      </c>
      <c r="FA669" s="2" t="n">
        <v>100</v>
      </c>
      <c r="FB669" s="2" t="n">
        <v>15.34</v>
      </c>
      <c r="FC669" s="2" t="n">
        <v>100</v>
      </c>
      <c r="FD669" s="2" t="n">
        <v>100</v>
      </c>
      <c r="FE669" s="2" t="n">
        <v>15.34</v>
      </c>
      <c r="FF669" s="2" t="n">
        <v>100</v>
      </c>
      <c r="FG669" s="2" t="n">
        <v>100</v>
      </c>
      <c r="FH669" s="2" t="n">
        <v>15.34</v>
      </c>
      <c r="FI669" s="2" t="n">
        <v>100</v>
      </c>
      <c r="FJ669" s="2" t="n">
        <v>100</v>
      </c>
      <c r="FK669" s="2" t="n">
        <v>15.34</v>
      </c>
      <c r="FL669" s="2" t="n">
        <v>100</v>
      </c>
      <c r="FM669" s="2" t="n">
        <v>100</v>
      </c>
      <c r="FN669" s="2" t="n">
        <v>15.34</v>
      </c>
      <c r="FO669" s="2" t="n">
        <v>100</v>
      </c>
      <c r="FP669" s="2" t="n">
        <v>100</v>
      </c>
      <c r="FQ669" s="2" t="n">
        <v>15.34</v>
      </c>
    </row>
    <row r="670">
      <c r="A670" s="2" t="n">
        <v>4</v>
      </c>
      <c r="B670" s="2" t="inlineStr">
        <is>
          <t>30.01.01.01</t>
        </is>
      </c>
      <c r="C670" s="2" t="inlineStr">
        <is>
          <t>Taliscamento de Parede</t>
        </is>
      </c>
      <c r="D670" s="2" t="inlineStr">
        <is>
          <t>21/05/2026</t>
        </is>
      </c>
      <c r="E670" s="2" t="inlineStr">
        <is>
          <t>30/03/2028</t>
        </is>
      </c>
      <c r="F670" s="2" t="n">
        <v>251807.8902387452</v>
      </c>
      <c r="G670" s="2" t="n">
        <v>0</v>
      </c>
      <c r="H670" s="2" t="n">
        <v>251807.8902387452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4.93</v>
      </c>
      <c r="BQ670" s="2" t="n">
        <v>0</v>
      </c>
      <c r="BR670" s="2" t="n">
        <v>0</v>
      </c>
      <c r="BS670" s="2" t="n">
        <v>4.93</v>
      </c>
      <c r="BT670" s="2" t="n">
        <v>10.53</v>
      </c>
      <c r="BU670" s="2" t="n">
        <v>0.82</v>
      </c>
      <c r="BV670" s="2" t="n">
        <v>10</v>
      </c>
      <c r="BW670" s="2" t="n">
        <v>10.53</v>
      </c>
      <c r="BX670" s="2" t="n">
        <v>3.28</v>
      </c>
      <c r="BY670" s="2" t="n">
        <v>10</v>
      </c>
      <c r="BZ670" s="2" t="n">
        <v>10.53</v>
      </c>
      <c r="CA670" s="2" t="n">
        <v>5.97</v>
      </c>
      <c r="CB670" s="2" t="n">
        <v>11.69</v>
      </c>
      <c r="CC670" s="2" t="n">
        <v>10.53</v>
      </c>
      <c r="CD670" s="2" t="n">
        <v>8.6</v>
      </c>
      <c r="CE670" s="2" t="n">
        <v>15.06</v>
      </c>
      <c r="CF670" s="2" t="n">
        <v>10.53</v>
      </c>
      <c r="CG670" s="2" t="n">
        <v>12.55</v>
      </c>
      <c r="CH670" s="2" t="n">
        <v>15.34</v>
      </c>
      <c r="CI670" s="2" t="n">
        <v>14.18</v>
      </c>
      <c r="CJ670" s="2" t="n">
        <v>15.86</v>
      </c>
      <c r="CK670" s="2" t="n">
        <v>15.34</v>
      </c>
      <c r="CL670" s="2" t="n">
        <v>23.48</v>
      </c>
      <c r="CM670" s="2" t="n">
        <v>20.13</v>
      </c>
      <c r="CN670" s="2" t="n">
        <v>15.34</v>
      </c>
      <c r="CO670" s="2" t="n">
        <v>28.01</v>
      </c>
      <c r="CP670" s="2" t="n">
        <v>24.1</v>
      </c>
      <c r="CQ670" s="2" t="n">
        <v>15.34</v>
      </c>
      <c r="CR670" s="2" t="n">
        <v>28.71</v>
      </c>
      <c r="CS670" s="2" t="n">
        <v>28.29</v>
      </c>
      <c r="CT670" s="2" t="n">
        <v>15.34</v>
      </c>
      <c r="CU670" s="2" t="n">
        <v>31.85</v>
      </c>
      <c r="CV670" s="2" t="n">
        <v>31.85</v>
      </c>
      <c r="CW670" s="2" t="n">
        <v>15.34</v>
      </c>
      <c r="CX670" s="2" t="n">
        <v>38.13</v>
      </c>
      <c r="CY670" s="2" t="n">
        <v>37.08</v>
      </c>
      <c r="CZ670" s="2" t="n">
        <v>15.34</v>
      </c>
      <c r="DA670" s="2" t="n">
        <v>44.76</v>
      </c>
      <c r="DB670" s="2" t="n">
        <v>44.62</v>
      </c>
      <c r="DC670" s="2" t="n">
        <v>15.34</v>
      </c>
      <c r="DD670" s="2" t="n">
        <v>52.78</v>
      </c>
      <c r="DE670" s="2" t="n">
        <v>51.95</v>
      </c>
      <c r="DF670" s="2" t="n">
        <v>15.34</v>
      </c>
      <c r="DG670" s="2" t="n">
        <v>60.11</v>
      </c>
      <c r="DH670" s="2" t="n">
        <v>60.11</v>
      </c>
      <c r="DI670" s="2" t="n">
        <v>15.34</v>
      </c>
      <c r="DJ670" s="2" t="n">
        <v>64.98999999999999</v>
      </c>
      <c r="DK670" s="2" t="n">
        <v>64.3</v>
      </c>
      <c r="DL670" s="2" t="n">
        <v>15.34</v>
      </c>
      <c r="DM670" s="2" t="n">
        <v>75.81</v>
      </c>
      <c r="DN670" s="2" t="n">
        <v>72.67</v>
      </c>
      <c r="DO670" s="2" t="n">
        <v>15.34</v>
      </c>
      <c r="DP670" s="2" t="n">
        <v>83.14</v>
      </c>
      <c r="DQ670" s="2" t="n">
        <v>77.69</v>
      </c>
      <c r="DR670" s="2" t="n">
        <v>15.34</v>
      </c>
      <c r="DS670" s="2" t="n">
        <v>86.56</v>
      </c>
      <c r="DT670" s="2" t="n">
        <v>81.88</v>
      </c>
      <c r="DU670" s="2" t="n">
        <v>15.34</v>
      </c>
      <c r="DV670" s="2" t="n">
        <v>88.51000000000001</v>
      </c>
      <c r="DW670" s="2" t="n">
        <v>85.79000000000001</v>
      </c>
      <c r="DX670" s="2" t="n">
        <v>15.34</v>
      </c>
      <c r="DY670" s="2" t="n">
        <v>89.8</v>
      </c>
      <c r="DZ670" s="2" t="n">
        <v>87.90000000000001</v>
      </c>
      <c r="EA670" s="2" t="n">
        <v>15.34</v>
      </c>
      <c r="EB670" s="2" t="n">
        <v>91.68000000000001</v>
      </c>
      <c r="EC670" s="2" t="n">
        <v>91.68000000000001</v>
      </c>
      <c r="ED670" s="2" t="n">
        <v>15.34</v>
      </c>
      <c r="EE670" s="2" t="n">
        <v>91.68000000000001</v>
      </c>
      <c r="EF670" s="2" t="n">
        <v>91.68000000000001</v>
      </c>
      <c r="EG670" s="2" t="n">
        <v>15.34</v>
      </c>
      <c r="EH670" s="2" t="n">
        <v>100</v>
      </c>
      <c r="EI670" s="2" t="n">
        <v>100</v>
      </c>
      <c r="EJ670" s="2" t="n">
        <v>15.34</v>
      </c>
      <c r="EK670" s="2" t="n">
        <v>100</v>
      </c>
      <c r="EL670" s="2" t="n">
        <v>100</v>
      </c>
      <c r="EM670" s="2" t="n">
        <v>15.34</v>
      </c>
      <c r="EN670" s="2" t="n">
        <v>100</v>
      </c>
      <c r="EO670" s="2" t="n">
        <v>100</v>
      </c>
      <c r="EP670" s="2" t="n">
        <v>15.34</v>
      </c>
      <c r="EQ670" s="2" t="n">
        <v>100</v>
      </c>
      <c r="ER670" s="2" t="n">
        <v>100</v>
      </c>
      <c r="ES670" s="2" t="n">
        <v>15.34</v>
      </c>
      <c r="ET670" s="2" t="n">
        <v>100</v>
      </c>
      <c r="EU670" s="2" t="n">
        <v>100</v>
      </c>
      <c r="EV670" s="2" t="n">
        <v>15.34</v>
      </c>
      <c r="EW670" s="2" t="n">
        <v>100</v>
      </c>
      <c r="EX670" s="2" t="n">
        <v>100</v>
      </c>
      <c r="EY670" s="2" t="n">
        <v>15.34</v>
      </c>
      <c r="EZ670" s="2" t="n">
        <v>100</v>
      </c>
      <c r="FA670" s="2" t="n">
        <v>100</v>
      </c>
      <c r="FB670" s="2" t="n">
        <v>15.34</v>
      </c>
      <c r="FC670" s="2" t="n">
        <v>100</v>
      </c>
      <c r="FD670" s="2" t="n">
        <v>100</v>
      </c>
      <c r="FE670" s="2" t="n">
        <v>15.34</v>
      </c>
      <c r="FF670" s="2" t="n">
        <v>100</v>
      </c>
      <c r="FG670" s="2" t="n">
        <v>100</v>
      </c>
      <c r="FH670" s="2" t="n">
        <v>15.34</v>
      </c>
      <c r="FI670" s="2" t="n">
        <v>100</v>
      </c>
      <c r="FJ670" s="2" t="n">
        <v>100</v>
      </c>
      <c r="FK670" s="2" t="n">
        <v>15.34</v>
      </c>
      <c r="FL670" s="2" t="n">
        <v>100</v>
      </c>
      <c r="FM670" s="2" t="n">
        <v>100</v>
      </c>
      <c r="FN670" s="2" t="n">
        <v>15.34</v>
      </c>
      <c r="FO670" s="2" t="n">
        <v>100</v>
      </c>
      <c r="FP670" s="2" t="n">
        <v>100</v>
      </c>
      <c r="FQ670" s="2" t="n">
        <v>15.34</v>
      </c>
    </row>
    <row r="671">
      <c r="A671" s="2" t="n">
        <v>4</v>
      </c>
      <c r="B671" s="2" t="inlineStr">
        <is>
          <t>30.01.01.02</t>
        </is>
      </c>
      <c r="C671" s="2" t="inlineStr">
        <is>
          <t>Chapisco</t>
        </is>
      </c>
      <c r="D671" s="2" t="inlineStr">
        <is>
          <t>21/05/2026</t>
        </is>
      </c>
      <c r="E671" s="2" t="inlineStr">
        <is>
          <t>30/03/2028</t>
        </is>
      </c>
      <c r="F671" s="2" t="n">
        <v>361507.5156426282</v>
      </c>
      <c r="G671" s="2" t="n">
        <v>0</v>
      </c>
      <c r="H671" s="2" t="n">
        <v>361507.5156426282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4.93</v>
      </c>
      <c r="BQ671" s="2" t="n">
        <v>0</v>
      </c>
      <c r="BR671" s="2" t="n">
        <v>0</v>
      </c>
      <c r="BS671" s="2" t="n">
        <v>4.93</v>
      </c>
      <c r="BT671" s="2" t="n">
        <v>10.53</v>
      </c>
      <c r="BU671" s="2" t="n">
        <v>0.82</v>
      </c>
      <c r="BV671" s="2" t="n">
        <v>10</v>
      </c>
      <c r="BW671" s="2" t="n">
        <v>10.53</v>
      </c>
      <c r="BX671" s="2" t="n">
        <v>3.28</v>
      </c>
      <c r="BY671" s="2" t="n">
        <v>10</v>
      </c>
      <c r="BZ671" s="2" t="n">
        <v>10.53</v>
      </c>
      <c r="CA671" s="2" t="n">
        <v>5.97</v>
      </c>
      <c r="CB671" s="2" t="n">
        <v>11.69</v>
      </c>
      <c r="CC671" s="2" t="n">
        <v>10.53</v>
      </c>
      <c r="CD671" s="2" t="n">
        <v>8.6</v>
      </c>
      <c r="CE671" s="2" t="n">
        <v>15.06</v>
      </c>
      <c r="CF671" s="2" t="n">
        <v>10.53</v>
      </c>
      <c r="CG671" s="2" t="n">
        <v>12.55</v>
      </c>
      <c r="CH671" s="2" t="n">
        <v>15.34</v>
      </c>
      <c r="CI671" s="2" t="n">
        <v>14.18</v>
      </c>
      <c r="CJ671" s="2" t="n">
        <v>15.86</v>
      </c>
      <c r="CK671" s="2" t="n">
        <v>15.34</v>
      </c>
      <c r="CL671" s="2" t="n">
        <v>23.48</v>
      </c>
      <c r="CM671" s="2" t="n">
        <v>20.13</v>
      </c>
      <c r="CN671" s="2" t="n">
        <v>15.34</v>
      </c>
      <c r="CO671" s="2" t="n">
        <v>28.01</v>
      </c>
      <c r="CP671" s="2" t="n">
        <v>24.1</v>
      </c>
      <c r="CQ671" s="2" t="n">
        <v>15.34</v>
      </c>
      <c r="CR671" s="2" t="n">
        <v>28.71</v>
      </c>
      <c r="CS671" s="2" t="n">
        <v>28.29</v>
      </c>
      <c r="CT671" s="2" t="n">
        <v>15.34</v>
      </c>
      <c r="CU671" s="2" t="n">
        <v>31.85</v>
      </c>
      <c r="CV671" s="2" t="n">
        <v>31.85</v>
      </c>
      <c r="CW671" s="2" t="n">
        <v>15.34</v>
      </c>
      <c r="CX671" s="2" t="n">
        <v>38.13</v>
      </c>
      <c r="CY671" s="2" t="n">
        <v>37.08</v>
      </c>
      <c r="CZ671" s="2" t="n">
        <v>15.34</v>
      </c>
      <c r="DA671" s="2" t="n">
        <v>44.76</v>
      </c>
      <c r="DB671" s="2" t="n">
        <v>44.62</v>
      </c>
      <c r="DC671" s="2" t="n">
        <v>15.34</v>
      </c>
      <c r="DD671" s="2" t="n">
        <v>52.78</v>
      </c>
      <c r="DE671" s="2" t="n">
        <v>51.95</v>
      </c>
      <c r="DF671" s="2" t="n">
        <v>15.34</v>
      </c>
      <c r="DG671" s="2" t="n">
        <v>60.11</v>
      </c>
      <c r="DH671" s="2" t="n">
        <v>60.11</v>
      </c>
      <c r="DI671" s="2" t="n">
        <v>15.34</v>
      </c>
      <c r="DJ671" s="2" t="n">
        <v>64.98999999999999</v>
      </c>
      <c r="DK671" s="2" t="n">
        <v>64.3</v>
      </c>
      <c r="DL671" s="2" t="n">
        <v>15.34</v>
      </c>
      <c r="DM671" s="2" t="n">
        <v>75.81</v>
      </c>
      <c r="DN671" s="2" t="n">
        <v>72.67</v>
      </c>
      <c r="DO671" s="2" t="n">
        <v>15.34</v>
      </c>
      <c r="DP671" s="2" t="n">
        <v>83.14</v>
      </c>
      <c r="DQ671" s="2" t="n">
        <v>77.69</v>
      </c>
      <c r="DR671" s="2" t="n">
        <v>15.34</v>
      </c>
      <c r="DS671" s="2" t="n">
        <v>86.56</v>
      </c>
      <c r="DT671" s="2" t="n">
        <v>81.88</v>
      </c>
      <c r="DU671" s="2" t="n">
        <v>15.34</v>
      </c>
      <c r="DV671" s="2" t="n">
        <v>88.51000000000001</v>
      </c>
      <c r="DW671" s="2" t="n">
        <v>85.79000000000001</v>
      </c>
      <c r="DX671" s="2" t="n">
        <v>15.34</v>
      </c>
      <c r="DY671" s="2" t="n">
        <v>89.8</v>
      </c>
      <c r="DZ671" s="2" t="n">
        <v>87.90000000000001</v>
      </c>
      <c r="EA671" s="2" t="n">
        <v>15.34</v>
      </c>
      <c r="EB671" s="2" t="n">
        <v>91.68000000000001</v>
      </c>
      <c r="EC671" s="2" t="n">
        <v>91.68000000000001</v>
      </c>
      <c r="ED671" s="2" t="n">
        <v>15.34</v>
      </c>
      <c r="EE671" s="2" t="n">
        <v>91.68000000000001</v>
      </c>
      <c r="EF671" s="2" t="n">
        <v>91.68000000000001</v>
      </c>
      <c r="EG671" s="2" t="n">
        <v>15.34</v>
      </c>
      <c r="EH671" s="2" t="n">
        <v>100</v>
      </c>
      <c r="EI671" s="2" t="n">
        <v>100</v>
      </c>
      <c r="EJ671" s="2" t="n">
        <v>15.34</v>
      </c>
      <c r="EK671" s="2" t="n">
        <v>100</v>
      </c>
      <c r="EL671" s="2" t="n">
        <v>100</v>
      </c>
      <c r="EM671" s="2" t="n">
        <v>15.34</v>
      </c>
      <c r="EN671" s="2" t="n">
        <v>100</v>
      </c>
      <c r="EO671" s="2" t="n">
        <v>100</v>
      </c>
      <c r="EP671" s="2" t="n">
        <v>15.34</v>
      </c>
      <c r="EQ671" s="2" t="n">
        <v>100</v>
      </c>
      <c r="ER671" s="2" t="n">
        <v>100</v>
      </c>
      <c r="ES671" s="2" t="n">
        <v>15.34</v>
      </c>
      <c r="ET671" s="2" t="n">
        <v>100</v>
      </c>
      <c r="EU671" s="2" t="n">
        <v>100</v>
      </c>
      <c r="EV671" s="2" t="n">
        <v>15.34</v>
      </c>
      <c r="EW671" s="2" t="n">
        <v>100</v>
      </c>
      <c r="EX671" s="2" t="n">
        <v>100</v>
      </c>
      <c r="EY671" s="2" t="n">
        <v>15.34</v>
      </c>
      <c r="EZ671" s="2" t="n">
        <v>100</v>
      </c>
      <c r="FA671" s="2" t="n">
        <v>100</v>
      </c>
      <c r="FB671" s="2" t="n">
        <v>15.34</v>
      </c>
      <c r="FC671" s="2" t="n">
        <v>100</v>
      </c>
      <c r="FD671" s="2" t="n">
        <v>100</v>
      </c>
      <c r="FE671" s="2" t="n">
        <v>15.34</v>
      </c>
      <c r="FF671" s="2" t="n">
        <v>100</v>
      </c>
      <c r="FG671" s="2" t="n">
        <v>100</v>
      </c>
      <c r="FH671" s="2" t="n">
        <v>15.34</v>
      </c>
      <c r="FI671" s="2" t="n">
        <v>100</v>
      </c>
      <c r="FJ671" s="2" t="n">
        <v>100</v>
      </c>
      <c r="FK671" s="2" t="n">
        <v>15.34</v>
      </c>
      <c r="FL671" s="2" t="n">
        <v>100</v>
      </c>
      <c r="FM671" s="2" t="n">
        <v>100</v>
      </c>
      <c r="FN671" s="2" t="n">
        <v>15.34</v>
      </c>
      <c r="FO671" s="2" t="n">
        <v>100</v>
      </c>
      <c r="FP671" s="2" t="n">
        <v>100</v>
      </c>
      <c r="FQ671" s="2" t="n">
        <v>15.34</v>
      </c>
    </row>
    <row r="672">
      <c r="A672" s="2" t="n">
        <v>4</v>
      </c>
      <c r="B672" s="2" t="inlineStr">
        <is>
          <t>30.01.01.03</t>
        </is>
      </c>
      <c r="C672" s="2" t="inlineStr">
        <is>
          <t>Emboço esp. 25mm</t>
        </is>
      </c>
      <c r="D672" s="2" t="inlineStr">
        <is>
          <t>21/05/2026</t>
        </is>
      </c>
      <c r="E672" s="2" t="inlineStr">
        <is>
          <t>30/03/2028</t>
        </is>
      </c>
      <c r="F672" s="2" t="n">
        <v>213581.6390310921</v>
      </c>
      <c r="G672" s="2" t="n">
        <v>0</v>
      </c>
      <c r="H672" s="2" t="n">
        <v>213581.6390310921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4.93</v>
      </c>
      <c r="BQ672" s="2" t="n">
        <v>0</v>
      </c>
      <c r="BR672" s="2" t="n">
        <v>0</v>
      </c>
      <c r="BS672" s="2" t="n">
        <v>4.93</v>
      </c>
      <c r="BT672" s="2" t="n">
        <v>10.53</v>
      </c>
      <c r="BU672" s="2" t="n">
        <v>0.82</v>
      </c>
      <c r="BV672" s="2" t="n">
        <v>10</v>
      </c>
      <c r="BW672" s="2" t="n">
        <v>10.53</v>
      </c>
      <c r="BX672" s="2" t="n">
        <v>3.28</v>
      </c>
      <c r="BY672" s="2" t="n">
        <v>10</v>
      </c>
      <c r="BZ672" s="2" t="n">
        <v>10.53</v>
      </c>
      <c r="CA672" s="2" t="n">
        <v>5.97</v>
      </c>
      <c r="CB672" s="2" t="n">
        <v>11.69</v>
      </c>
      <c r="CC672" s="2" t="n">
        <v>10.53</v>
      </c>
      <c r="CD672" s="2" t="n">
        <v>8.6</v>
      </c>
      <c r="CE672" s="2" t="n">
        <v>15.06</v>
      </c>
      <c r="CF672" s="2" t="n">
        <v>10.53</v>
      </c>
      <c r="CG672" s="2" t="n">
        <v>12.55</v>
      </c>
      <c r="CH672" s="2" t="n">
        <v>15.34</v>
      </c>
      <c r="CI672" s="2" t="n">
        <v>14.18</v>
      </c>
      <c r="CJ672" s="2" t="n">
        <v>15.86</v>
      </c>
      <c r="CK672" s="2" t="n">
        <v>15.34</v>
      </c>
      <c r="CL672" s="2" t="n">
        <v>23.48</v>
      </c>
      <c r="CM672" s="2" t="n">
        <v>20.13</v>
      </c>
      <c r="CN672" s="2" t="n">
        <v>15.34</v>
      </c>
      <c r="CO672" s="2" t="n">
        <v>28.01</v>
      </c>
      <c r="CP672" s="2" t="n">
        <v>24.1</v>
      </c>
      <c r="CQ672" s="2" t="n">
        <v>15.34</v>
      </c>
      <c r="CR672" s="2" t="n">
        <v>28.71</v>
      </c>
      <c r="CS672" s="2" t="n">
        <v>28.29</v>
      </c>
      <c r="CT672" s="2" t="n">
        <v>15.34</v>
      </c>
      <c r="CU672" s="2" t="n">
        <v>31.85</v>
      </c>
      <c r="CV672" s="2" t="n">
        <v>31.85</v>
      </c>
      <c r="CW672" s="2" t="n">
        <v>15.34</v>
      </c>
      <c r="CX672" s="2" t="n">
        <v>38.13</v>
      </c>
      <c r="CY672" s="2" t="n">
        <v>37.08</v>
      </c>
      <c r="CZ672" s="2" t="n">
        <v>15.34</v>
      </c>
      <c r="DA672" s="2" t="n">
        <v>44.76</v>
      </c>
      <c r="DB672" s="2" t="n">
        <v>44.62</v>
      </c>
      <c r="DC672" s="2" t="n">
        <v>15.34</v>
      </c>
      <c r="DD672" s="2" t="n">
        <v>52.78</v>
      </c>
      <c r="DE672" s="2" t="n">
        <v>51.95</v>
      </c>
      <c r="DF672" s="2" t="n">
        <v>15.34</v>
      </c>
      <c r="DG672" s="2" t="n">
        <v>60.11</v>
      </c>
      <c r="DH672" s="2" t="n">
        <v>60.11</v>
      </c>
      <c r="DI672" s="2" t="n">
        <v>15.34</v>
      </c>
      <c r="DJ672" s="2" t="n">
        <v>64.98999999999999</v>
      </c>
      <c r="DK672" s="2" t="n">
        <v>64.3</v>
      </c>
      <c r="DL672" s="2" t="n">
        <v>15.34</v>
      </c>
      <c r="DM672" s="2" t="n">
        <v>75.81</v>
      </c>
      <c r="DN672" s="2" t="n">
        <v>72.67</v>
      </c>
      <c r="DO672" s="2" t="n">
        <v>15.34</v>
      </c>
      <c r="DP672" s="2" t="n">
        <v>83.14</v>
      </c>
      <c r="DQ672" s="2" t="n">
        <v>77.69</v>
      </c>
      <c r="DR672" s="2" t="n">
        <v>15.34</v>
      </c>
      <c r="DS672" s="2" t="n">
        <v>86.56</v>
      </c>
      <c r="DT672" s="2" t="n">
        <v>81.88</v>
      </c>
      <c r="DU672" s="2" t="n">
        <v>15.34</v>
      </c>
      <c r="DV672" s="2" t="n">
        <v>88.51000000000001</v>
      </c>
      <c r="DW672" s="2" t="n">
        <v>85.79000000000001</v>
      </c>
      <c r="DX672" s="2" t="n">
        <v>15.34</v>
      </c>
      <c r="DY672" s="2" t="n">
        <v>89.8</v>
      </c>
      <c r="DZ672" s="2" t="n">
        <v>87.90000000000001</v>
      </c>
      <c r="EA672" s="2" t="n">
        <v>15.34</v>
      </c>
      <c r="EB672" s="2" t="n">
        <v>91.68000000000001</v>
      </c>
      <c r="EC672" s="2" t="n">
        <v>91.68000000000001</v>
      </c>
      <c r="ED672" s="2" t="n">
        <v>15.34</v>
      </c>
      <c r="EE672" s="2" t="n">
        <v>91.68000000000001</v>
      </c>
      <c r="EF672" s="2" t="n">
        <v>91.68000000000001</v>
      </c>
      <c r="EG672" s="2" t="n">
        <v>15.34</v>
      </c>
      <c r="EH672" s="2" t="n">
        <v>100</v>
      </c>
      <c r="EI672" s="2" t="n">
        <v>100</v>
      </c>
      <c r="EJ672" s="2" t="n">
        <v>15.34</v>
      </c>
      <c r="EK672" s="2" t="n">
        <v>100</v>
      </c>
      <c r="EL672" s="2" t="n">
        <v>100</v>
      </c>
      <c r="EM672" s="2" t="n">
        <v>15.34</v>
      </c>
      <c r="EN672" s="2" t="n">
        <v>100</v>
      </c>
      <c r="EO672" s="2" t="n">
        <v>100</v>
      </c>
      <c r="EP672" s="2" t="n">
        <v>15.34</v>
      </c>
      <c r="EQ672" s="2" t="n">
        <v>100</v>
      </c>
      <c r="ER672" s="2" t="n">
        <v>100</v>
      </c>
      <c r="ES672" s="2" t="n">
        <v>15.34</v>
      </c>
      <c r="ET672" s="2" t="n">
        <v>100</v>
      </c>
      <c r="EU672" s="2" t="n">
        <v>100</v>
      </c>
      <c r="EV672" s="2" t="n">
        <v>15.34</v>
      </c>
      <c r="EW672" s="2" t="n">
        <v>100</v>
      </c>
      <c r="EX672" s="2" t="n">
        <v>100</v>
      </c>
      <c r="EY672" s="2" t="n">
        <v>15.34</v>
      </c>
      <c r="EZ672" s="2" t="n">
        <v>100</v>
      </c>
      <c r="FA672" s="2" t="n">
        <v>100</v>
      </c>
      <c r="FB672" s="2" t="n">
        <v>15.34</v>
      </c>
      <c r="FC672" s="2" t="n">
        <v>100</v>
      </c>
      <c r="FD672" s="2" t="n">
        <v>100</v>
      </c>
      <c r="FE672" s="2" t="n">
        <v>15.34</v>
      </c>
      <c r="FF672" s="2" t="n">
        <v>100</v>
      </c>
      <c r="FG672" s="2" t="n">
        <v>100</v>
      </c>
      <c r="FH672" s="2" t="n">
        <v>15.34</v>
      </c>
      <c r="FI672" s="2" t="n">
        <v>100</v>
      </c>
      <c r="FJ672" s="2" t="n">
        <v>100</v>
      </c>
      <c r="FK672" s="2" t="n">
        <v>15.34</v>
      </c>
      <c r="FL672" s="2" t="n">
        <v>100</v>
      </c>
      <c r="FM672" s="2" t="n">
        <v>100</v>
      </c>
      <c r="FN672" s="2" t="n">
        <v>15.34</v>
      </c>
      <c r="FO672" s="2" t="n">
        <v>100</v>
      </c>
      <c r="FP672" s="2" t="n">
        <v>100</v>
      </c>
      <c r="FQ672" s="2" t="n">
        <v>15.34</v>
      </c>
    </row>
    <row r="673">
      <c r="A673" s="2" t="n">
        <v>4</v>
      </c>
      <c r="B673" s="2" t="inlineStr">
        <is>
          <t>30.01.01.04</t>
        </is>
      </c>
      <c r="C673" s="2" t="inlineStr">
        <is>
          <t>Reboco esp. 25mm</t>
        </is>
      </c>
      <c r="D673" s="2" t="inlineStr">
        <is>
          <t>21/05/2026</t>
        </is>
      </c>
      <c r="E673" s="2" t="inlineStr">
        <is>
          <t>30/03/2028</t>
        </is>
      </c>
      <c r="F673" s="2" t="n">
        <v>1549313.294475566</v>
      </c>
      <c r="G673" s="2" t="n">
        <v>0</v>
      </c>
      <c r="H673" s="2" t="n">
        <v>1549313.294475566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4.93</v>
      </c>
      <c r="BQ673" s="2" t="n">
        <v>0</v>
      </c>
      <c r="BR673" s="2" t="n">
        <v>0</v>
      </c>
      <c r="BS673" s="2" t="n">
        <v>4.93</v>
      </c>
      <c r="BT673" s="2" t="n">
        <v>10.53</v>
      </c>
      <c r="BU673" s="2" t="n">
        <v>0.82</v>
      </c>
      <c r="BV673" s="2" t="n">
        <v>10</v>
      </c>
      <c r="BW673" s="2" t="n">
        <v>10.53</v>
      </c>
      <c r="BX673" s="2" t="n">
        <v>3.28</v>
      </c>
      <c r="BY673" s="2" t="n">
        <v>10</v>
      </c>
      <c r="BZ673" s="2" t="n">
        <v>10.53</v>
      </c>
      <c r="CA673" s="2" t="n">
        <v>5.97</v>
      </c>
      <c r="CB673" s="2" t="n">
        <v>11.69</v>
      </c>
      <c r="CC673" s="2" t="n">
        <v>10.53</v>
      </c>
      <c r="CD673" s="2" t="n">
        <v>8.6</v>
      </c>
      <c r="CE673" s="2" t="n">
        <v>15.06</v>
      </c>
      <c r="CF673" s="2" t="n">
        <v>10.53</v>
      </c>
      <c r="CG673" s="2" t="n">
        <v>12.55</v>
      </c>
      <c r="CH673" s="2" t="n">
        <v>15.34</v>
      </c>
      <c r="CI673" s="2" t="n">
        <v>14.18</v>
      </c>
      <c r="CJ673" s="2" t="n">
        <v>15.86</v>
      </c>
      <c r="CK673" s="2" t="n">
        <v>15.34</v>
      </c>
      <c r="CL673" s="2" t="n">
        <v>23.48</v>
      </c>
      <c r="CM673" s="2" t="n">
        <v>20.13</v>
      </c>
      <c r="CN673" s="2" t="n">
        <v>15.34</v>
      </c>
      <c r="CO673" s="2" t="n">
        <v>28.01</v>
      </c>
      <c r="CP673" s="2" t="n">
        <v>24.1</v>
      </c>
      <c r="CQ673" s="2" t="n">
        <v>15.34</v>
      </c>
      <c r="CR673" s="2" t="n">
        <v>28.71</v>
      </c>
      <c r="CS673" s="2" t="n">
        <v>28.29</v>
      </c>
      <c r="CT673" s="2" t="n">
        <v>15.34</v>
      </c>
      <c r="CU673" s="2" t="n">
        <v>31.85</v>
      </c>
      <c r="CV673" s="2" t="n">
        <v>31.85</v>
      </c>
      <c r="CW673" s="2" t="n">
        <v>15.34</v>
      </c>
      <c r="CX673" s="2" t="n">
        <v>38.13</v>
      </c>
      <c r="CY673" s="2" t="n">
        <v>37.08</v>
      </c>
      <c r="CZ673" s="2" t="n">
        <v>15.34</v>
      </c>
      <c r="DA673" s="2" t="n">
        <v>44.76</v>
      </c>
      <c r="DB673" s="2" t="n">
        <v>44.62</v>
      </c>
      <c r="DC673" s="2" t="n">
        <v>15.34</v>
      </c>
      <c r="DD673" s="2" t="n">
        <v>52.78</v>
      </c>
      <c r="DE673" s="2" t="n">
        <v>51.95</v>
      </c>
      <c r="DF673" s="2" t="n">
        <v>15.34</v>
      </c>
      <c r="DG673" s="2" t="n">
        <v>60.11</v>
      </c>
      <c r="DH673" s="2" t="n">
        <v>60.11</v>
      </c>
      <c r="DI673" s="2" t="n">
        <v>15.34</v>
      </c>
      <c r="DJ673" s="2" t="n">
        <v>64.98999999999999</v>
      </c>
      <c r="DK673" s="2" t="n">
        <v>64.3</v>
      </c>
      <c r="DL673" s="2" t="n">
        <v>15.34</v>
      </c>
      <c r="DM673" s="2" t="n">
        <v>75.81</v>
      </c>
      <c r="DN673" s="2" t="n">
        <v>72.67</v>
      </c>
      <c r="DO673" s="2" t="n">
        <v>15.34</v>
      </c>
      <c r="DP673" s="2" t="n">
        <v>83.14</v>
      </c>
      <c r="DQ673" s="2" t="n">
        <v>77.69</v>
      </c>
      <c r="DR673" s="2" t="n">
        <v>15.34</v>
      </c>
      <c r="DS673" s="2" t="n">
        <v>86.56</v>
      </c>
      <c r="DT673" s="2" t="n">
        <v>81.88</v>
      </c>
      <c r="DU673" s="2" t="n">
        <v>15.34</v>
      </c>
      <c r="DV673" s="2" t="n">
        <v>88.51000000000001</v>
      </c>
      <c r="DW673" s="2" t="n">
        <v>85.79000000000001</v>
      </c>
      <c r="DX673" s="2" t="n">
        <v>15.34</v>
      </c>
      <c r="DY673" s="2" t="n">
        <v>89.8</v>
      </c>
      <c r="DZ673" s="2" t="n">
        <v>87.90000000000001</v>
      </c>
      <c r="EA673" s="2" t="n">
        <v>15.34</v>
      </c>
      <c r="EB673" s="2" t="n">
        <v>91.68000000000001</v>
      </c>
      <c r="EC673" s="2" t="n">
        <v>91.68000000000001</v>
      </c>
      <c r="ED673" s="2" t="n">
        <v>15.34</v>
      </c>
      <c r="EE673" s="2" t="n">
        <v>91.68000000000001</v>
      </c>
      <c r="EF673" s="2" t="n">
        <v>91.68000000000001</v>
      </c>
      <c r="EG673" s="2" t="n">
        <v>15.34</v>
      </c>
      <c r="EH673" s="2" t="n">
        <v>100</v>
      </c>
      <c r="EI673" s="2" t="n">
        <v>100</v>
      </c>
      <c r="EJ673" s="2" t="n">
        <v>15.34</v>
      </c>
      <c r="EK673" s="2" t="n">
        <v>100</v>
      </c>
      <c r="EL673" s="2" t="n">
        <v>100</v>
      </c>
      <c r="EM673" s="2" t="n">
        <v>15.34</v>
      </c>
      <c r="EN673" s="2" t="n">
        <v>100</v>
      </c>
      <c r="EO673" s="2" t="n">
        <v>100</v>
      </c>
      <c r="EP673" s="2" t="n">
        <v>15.34</v>
      </c>
      <c r="EQ673" s="2" t="n">
        <v>100</v>
      </c>
      <c r="ER673" s="2" t="n">
        <v>100</v>
      </c>
      <c r="ES673" s="2" t="n">
        <v>15.34</v>
      </c>
      <c r="ET673" s="2" t="n">
        <v>100</v>
      </c>
      <c r="EU673" s="2" t="n">
        <v>100</v>
      </c>
      <c r="EV673" s="2" t="n">
        <v>15.34</v>
      </c>
      <c r="EW673" s="2" t="n">
        <v>100</v>
      </c>
      <c r="EX673" s="2" t="n">
        <v>100</v>
      </c>
      <c r="EY673" s="2" t="n">
        <v>15.34</v>
      </c>
      <c r="EZ673" s="2" t="n">
        <v>100</v>
      </c>
      <c r="FA673" s="2" t="n">
        <v>100</v>
      </c>
      <c r="FB673" s="2" t="n">
        <v>15.34</v>
      </c>
      <c r="FC673" s="2" t="n">
        <v>100</v>
      </c>
      <c r="FD673" s="2" t="n">
        <v>100</v>
      </c>
      <c r="FE673" s="2" t="n">
        <v>15.34</v>
      </c>
      <c r="FF673" s="2" t="n">
        <v>100</v>
      </c>
      <c r="FG673" s="2" t="n">
        <v>100</v>
      </c>
      <c r="FH673" s="2" t="n">
        <v>15.34</v>
      </c>
      <c r="FI673" s="2" t="n">
        <v>100</v>
      </c>
      <c r="FJ673" s="2" t="n">
        <v>100</v>
      </c>
      <c r="FK673" s="2" t="n">
        <v>15.34</v>
      </c>
      <c r="FL673" s="2" t="n">
        <v>100</v>
      </c>
      <c r="FM673" s="2" t="n">
        <v>100</v>
      </c>
      <c r="FN673" s="2" t="n">
        <v>15.34</v>
      </c>
      <c r="FO673" s="2" t="n">
        <v>100</v>
      </c>
      <c r="FP673" s="2" t="n">
        <v>100</v>
      </c>
      <c r="FQ673" s="2" t="n">
        <v>15.34</v>
      </c>
    </row>
    <row r="674">
      <c r="A674" s="2" t="n">
        <v>4</v>
      </c>
      <c r="B674" s="2" t="inlineStr">
        <is>
          <t>30.01.01.05</t>
        </is>
      </c>
      <c r="C674" s="2" t="inlineStr">
        <is>
          <t>Espalas para esquadrias (até 40cm)</t>
        </is>
      </c>
      <c r="D674" s="2" t="inlineStr">
        <is>
          <t>21/05/2026</t>
        </is>
      </c>
      <c r="E674" s="2" t="inlineStr">
        <is>
          <t>30/03/2028</t>
        </is>
      </c>
      <c r="F674" s="2" t="n">
        <v>148032.232965792</v>
      </c>
      <c r="G674" s="2" t="n">
        <v>0</v>
      </c>
      <c r="H674" s="2" t="n">
        <v>148032.232965792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4.93</v>
      </c>
      <c r="BQ674" s="2" t="n">
        <v>0</v>
      </c>
      <c r="BR674" s="2" t="n">
        <v>0</v>
      </c>
      <c r="BS674" s="2" t="n">
        <v>4.93</v>
      </c>
      <c r="BT674" s="2" t="n">
        <v>10.53</v>
      </c>
      <c r="BU674" s="2" t="n">
        <v>0.82</v>
      </c>
      <c r="BV674" s="2" t="n">
        <v>10</v>
      </c>
      <c r="BW674" s="2" t="n">
        <v>10.53</v>
      </c>
      <c r="BX674" s="2" t="n">
        <v>3.28</v>
      </c>
      <c r="BY674" s="2" t="n">
        <v>10</v>
      </c>
      <c r="BZ674" s="2" t="n">
        <v>10.53</v>
      </c>
      <c r="CA674" s="2" t="n">
        <v>5.97</v>
      </c>
      <c r="CB674" s="2" t="n">
        <v>11.69</v>
      </c>
      <c r="CC674" s="2" t="n">
        <v>10.53</v>
      </c>
      <c r="CD674" s="2" t="n">
        <v>8.6</v>
      </c>
      <c r="CE674" s="2" t="n">
        <v>15.06</v>
      </c>
      <c r="CF674" s="2" t="n">
        <v>10.53</v>
      </c>
      <c r="CG674" s="2" t="n">
        <v>12.55</v>
      </c>
      <c r="CH674" s="2" t="n">
        <v>15.34</v>
      </c>
      <c r="CI674" s="2" t="n">
        <v>14.18</v>
      </c>
      <c r="CJ674" s="2" t="n">
        <v>15.86</v>
      </c>
      <c r="CK674" s="2" t="n">
        <v>15.34</v>
      </c>
      <c r="CL674" s="2" t="n">
        <v>23.48</v>
      </c>
      <c r="CM674" s="2" t="n">
        <v>20.13</v>
      </c>
      <c r="CN674" s="2" t="n">
        <v>15.34</v>
      </c>
      <c r="CO674" s="2" t="n">
        <v>28.01</v>
      </c>
      <c r="CP674" s="2" t="n">
        <v>24.1</v>
      </c>
      <c r="CQ674" s="2" t="n">
        <v>15.34</v>
      </c>
      <c r="CR674" s="2" t="n">
        <v>28.71</v>
      </c>
      <c r="CS674" s="2" t="n">
        <v>28.29</v>
      </c>
      <c r="CT674" s="2" t="n">
        <v>15.34</v>
      </c>
      <c r="CU674" s="2" t="n">
        <v>31.85</v>
      </c>
      <c r="CV674" s="2" t="n">
        <v>31.85</v>
      </c>
      <c r="CW674" s="2" t="n">
        <v>15.34</v>
      </c>
      <c r="CX674" s="2" t="n">
        <v>38.13</v>
      </c>
      <c r="CY674" s="2" t="n">
        <v>37.08</v>
      </c>
      <c r="CZ674" s="2" t="n">
        <v>15.34</v>
      </c>
      <c r="DA674" s="2" t="n">
        <v>44.76</v>
      </c>
      <c r="DB674" s="2" t="n">
        <v>44.62</v>
      </c>
      <c r="DC674" s="2" t="n">
        <v>15.34</v>
      </c>
      <c r="DD674" s="2" t="n">
        <v>52.78</v>
      </c>
      <c r="DE674" s="2" t="n">
        <v>51.95</v>
      </c>
      <c r="DF674" s="2" t="n">
        <v>15.34</v>
      </c>
      <c r="DG674" s="2" t="n">
        <v>60.11</v>
      </c>
      <c r="DH674" s="2" t="n">
        <v>60.11</v>
      </c>
      <c r="DI674" s="2" t="n">
        <v>15.34</v>
      </c>
      <c r="DJ674" s="2" t="n">
        <v>64.98999999999999</v>
      </c>
      <c r="DK674" s="2" t="n">
        <v>64.3</v>
      </c>
      <c r="DL674" s="2" t="n">
        <v>15.34</v>
      </c>
      <c r="DM674" s="2" t="n">
        <v>75.81</v>
      </c>
      <c r="DN674" s="2" t="n">
        <v>72.67</v>
      </c>
      <c r="DO674" s="2" t="n">
        <v>15.34</v>
      </c>
      <c r="DP674" s="2" t="n">
        <v>83.14</v>
      </c>
      <c r="DQ674" s="2" t="n">
        <v>77.69</v>
      </c>
      <c r="DR674" s="2" t="n">
        <v>15.34</v>
      </c>
      <c r="DS674" s="2" t="n">
        <v>86.56</v>
      </c>
      <c r="DT674" s="2" t="n">
        <v>81.88</v>
      </c>
      <c r="DU674" s="2" t="n">
        <v>15.34</v>
      </c>
      <c r="DV674" s="2" t="n">
        <v>88.51000000000001</v>
      </c>
      <c r="DW674" s="2" t="n">
        <v>85.79000000000001</v>
      </c>
      <c r="DX674" s="2" t="n">
        <v>15.34</v>
      </c>
      <c r="DY674" s="2" t="n">
        <v>89.8</v>
      </c>
      <c r="DZ674" s="2" t="n">
        <v>87.90000000000001</v>
      </c>
      <c r="EA674" s="2" t="n">
        <v>15.34</v>
      </c>
      <c r="EB674" s="2" t="n">
        <v>91.68000000000001</v>
      </c>
      <c r="EC674" s="2" t="n">
        <v>91.68000000000001</v>
      </c>
      <c r="ED674" s="2" t="n">
        <v>15.34</v>
      </c>
      <c r="EE674" s="2" t="n">
        <v>91.68000000000001</v>
      </c>
      <c r="EF674" s="2" t="n">
        <v>91.68000000000001</v>
      </c>
      <c r="EG674" s="2" t="n">
        <v>15.34</v>
      </c>
      <c r="EH674" s="2" t="n">
        <v>100</v>
      </c>
      <c r="EI674" s="2" t="n">
        <v>100</v>
      </c>
      <c r="EJ674" s="2" t="n">
        <v>15.34</v>
      </c>
      <c r="EK674" s="2" t="n">
        <v>100</v>
      </c>
      <c r="EL674" s="2" t="n">
        <v>100</v>
      </c>
      <c r="EM674" s="2" t="n">
        <v>15.34</v>
      </c>
      <c r="EN674" s="2" t="n">
        <v>100</v>
      </c>
      <c r="EO674" s="2" t="n">
        <v>100</v>
      </c>
      <c r="EP674" s="2" t="n">
        <v>15.34</v>
      </c>
      <c r="EQ674" s="2" t="n">
        <v>100</v>
      </c>
      <c r="ER674" s="2" t="n">
        <v>100</v>
      </c>
      <c r="ES674" s="2" t="n">
        <v>15.34</v>
      </c>
      <c r="ET674" s="2" t="n">
        <v>100</v>
      </c>
      <c r="EU674" s="2" t="n">
        <v>100</v>
      </c>
      <c r="EV674" s="2" t="n">
        <v>15.34</v>
      </c>
      <c r="EW674" s="2" t="n">
        <v>100</v>
      </c>
      <c r="EX674" s="2" t="n">
        <v>100</v>
      </c>
      <c r="EY674" s="2" t="n">
        <v>15.34</v>
      </c>
      <c r="EZ674" s="2" t="n">
        <v>100</v>
      </c>
      <c r="FA674" s="2" t="n">
        <v>100</v>
      </c>
      <c r="FB674" s="2" t="n">
        <v>15.34</v>
      </c>
      <c r="FC674" s="2" t="n">
        <v>100</v>
      </c>
      <c r="FD674" s="2" t="n">
        <v>100</v>
      </c>
      <c r="FE674" s="2" t="n">
        <v>15.34</v>
      </c>
      <c r="FF674" s="2" t="n">
        <v>100</v>
      </c>
      <c r="FG674" s="2" t="n">
        <v>100</v>
      </c>
      <c r="FH674" s="2" t="n">
        <v>15.34</v>
      </c>
      <c r="FI674" s="2" t="n">
        <v>100</v>
      </c>
      <c r="FJ674" s="2" t="n">
        <v>100</v>
      </c>
      <c r="FK674" s="2" t="n">
        <v>15.34</v>
      </c>
      <c r="FL674" s="2" t="n">
        <v>100</v>
      </c>
      <c r="FM674" s="2" t="n">
        <v>100</v>
      </c>
      <c r="FN674" s="2" t="n">
        <v>15.34</v>
      </c>
      <c r="FO674" s="2" t="n">
        <v>100</v>
      </c>
      <c r="FP674" s="2" t="n">
        <v>100</v>
      </c>
      <c r="FQ674" s="2" t="n">
        <v>15.34</v>
      </c>
    </row>
    <row r="675">
      <c r="A675" s="2" t="n">
        <v>1</v>
      </c>
      <c r="B675" s="2" t="inlineStr">
        <is>
          <t>31</t>
        </is>
      </c>
      <c r="C675" s="2" t="inlineStr">
        <is>
          <t>REVESTIMENTOS DE ACABAMENTO</t>
        </is>
      </c>
      <c r="D675" s="2" t="inlineStr">
        <is>
          <t>21/05/2026</t>
        </is>
      </c>
      <c r="E675" s="2" t="inlineStr">
        <is>
          <t>03/10/2028</t>
        </is>
      </c>
      <c r="F675" s="2" t="n">
        <v>17569932.68878451</v>
      </c>
      <c r="G675" s="2" t="n">
        <v>0</v>
      </c>
      <c r="H675" s="2" t="n">
        <v>17569932.68878451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0.01</v>
      </c>
      <c r="CF675" s="2" t="n">
        <v>0</v>
      </c>
      <c r="CG675" s="2" t="n">
        <v>0</v>
      </c>
      <c r="CH675" s="2" t="n">
        <v>0.01</v>
      </c>
      <c r="CI675" s="2" t="n">
        <v>0.01</v>
      </c>
      <c r="CJ675" s="2" t="n">
        <v>0.01</v>
      </c>
      <c r="CK675" s="2" t="n">
        <v>0.01</v>
      </c>
      <c r="CL675" s="2" t="n">
        <v>0.02</v>
      </c>
      <c r="CM675" s="2" t="n">
        <v>0.02</v>
      </c>
      <c r="CN675" s="2" t="n">
        <v>0.01</v>
      </c>
      <c r="CO675" s="2" t="n">
        <v>0.02</v>
      </c>
      <c r="CP675" s="2" t="n">
        <v>0.02</v>
      </c>
      <c r="CQ675" s="2" t="n">
        <v>0.01</v>
      </c>
      <c r="CR675" s="2" t="n">
        <v>0.11</v>
      </c>
      <c r="CS675" s="2" t="n">
        <v>0.17</v>
      </c>
      <c r="CT675" s="2" t="n">
        <v>0.01</v>
      </c>
      <c r="CU675" s="2" t="n">
        <v>4.47</v>
      </c>
      <c r="CV675" s="2" t="n">
        <v>3.05</v>
      </c>
      <c r="CW675" s="2" t="n">
        <v>0.01</v>
      </c>
      <c r="CX675" s="2" t="n">
        <v>10.57</v>
      </c>
      <c r="CY675" s="2" t="n">
        <v>8.140000000000001</v>
      </c>
      <c r="CZ675" s="2" t="n">
        <v>0.01</v>
      </c>
      <c r="DA675" s="2" t="n">
        <v>16.81</v>
      </c>
      <c r="DB675" s="2" t="n">
        <v>15.71</v>
      </c>
      <c r="DC675" s="2" t="n">
        <v>0.01</v>
      </c>
      <c r="DD675" s="2" t="n">
        <v>20.19</v>
      </c>
      <c r="DE675" s="2" t="n">
        <v>17.9</v>
      </c>
      <c r="DF675" s="2" t="n">
        <v>0.01</v>
      </c>
      <c r="DG675" s="2" t="n">
        <v>26.36</v>
      </c>
      <c r="DH675" s="2" t="n">
        <v>23.74</v>
      </c>
      <c r="DI675" s="2" t="n">
        <v>0.01</v>
      </c>
      <c r="DJ675" s="2" t="n">
        <v>34.99</v>
      </c>
      <c r="DK675" s="2" t="n">
        <v>34.52</v>
      </c>
      <c r="DL675" s="2" t="n">
        <v>0.01</v>
      </c>
      <c r="DM675" s="2" t="n">
        <v>47.1</v>
      </c>
      <c r="DN675" s="2" t="n">
        <v>42.9</v>
      </c>
      <c r="DO675" s="2" t="n">
        <v>0.01</v>
      </c>
      <c r="DP675" s="2" t="n">
        <v>55.34</v>
      </c>
      <c r="DQ675" s="2" t="n">
        <v>54.28</v>
      </c>
      <c r="DR675" s="2" t="n">
        <v>0.01</v>
      </c>
      <c r="DS675" s="2" t="n">
        <v>60.82</v>
      </c>
      <c r="DT675" s="2" t="n">
        <v>60.18</v>
      </c>
      <c r="DU675" s="2" t="n">
        <v>0.01</v>
      </c>
      <c r="DV675" s="2" t="n">
        <v>70.27</v>
      </c>
      <c r="DW675" s="2" t="n">
        <v>68.06999999999999</v>
      </c>
      <c r="DX675" s="2" t="n">
        <v>0.01</v>
      </c>
      <c r="DY675" s="2" t="n">
        <v>78.43000000000001</v>
      </c>
      <c r="DZ675" s="2" t="n">
        <v>73.73999999999999</v>
      </c>
      <c r="EA675" s="2" t="n">
        <v>0.01</v>
      </c>
      <c r="EB675" s="2" t="n">
        <v>87.84</v>
      </c>
      <c r="EC675" s="2" t="n">
        <v>80.69</v>
      </c>
      <c r="ED675" s="2" t="n">
        <v>0.01</v>
      </c>
      <c r="EE675" s="2" t="n">
        <v>93.88</v>
      </c>
      <c r="EF675" s="2" t="n">
        <v>87.08</v>
      </c>
      <c r="EG675" s="2" t="n">
        <v>0.01</v>
      </c>
      <c r="EH675" s="2" t="n">
        <v>95.73</v>
      </c>
      <c r="EI675" s="2" t="n">
        <v>92.01000000000001</v>
      </c>
      <c r="EJ675" s="2" t="n">
        <v>0.01</v>
      </c>
      <c r="EK675" s="2" t="n">
        <v>99.7</v>
      </c>
      <c r="EL675" s="2" t="n">
        <v>95.81999999999999</v>
      </c>
      <c r="EM675" s="2" t="n">
        <v>0.01</v>
      </c>
      <c r="EN675" s="2" t="n">
        <v>100</v>
      </c>
      <c r="EO675" s="2" t="n">
        <v>96.70999999999999</v>
      </c>
      <c r="EP675" s="2" t="n">
        <v>0.01</v>
      </c>
      <c r="EQ675" s="2" t="n">
        <v>100</v>
      </c>
      <c r="ER675" s="2" t="n">
        <v>97.83</v>
      </c>
      <c r="ES675" s="2" t="n">
        <v>0.01</v>
      </c>
      <c r="ET675" s="2" t="n">
        <v>100</v>
      </c>
      <c r="EU675" s="2" t="n">
        <v>98.63</v>
      </c>
      <c r="EV675" s="2" t="n">
        <v>0.01</v>
      </c>
      <c r="EW675" s="2" t="n">
        <v>100</v>
      </c>
      <c r="EX675" s="2" t="n">
        <v>99.67</v>
      </c>
      <c r="EY675" s="2" t="n">
        <v>0.01</v>
      </c>
      <c r="EZ675" s="2" t="n">
        <v>100</v>
      </c>
      <c r="FA675" s="2" t="n">
        <v>99.98999999999999</v>
      </c>
      <c r="FB675" s="2" t="n">
        <v>0.01</v>
      </c>
      <c r="FC675" s="2" t="n">
        <v>100</v>
      </c>
      <c r="FD675" s="2" t="n">
        <v>100</v>
      </c>
      <c r="FE675" s="2" t="n">
        <v>0.01</v>
      </c>
      <c r="FF675" s="2" t="n">
        <v>100</v>
      </c>
      <c r="FG675" s="2" t="n">
        <v>100</v>
      </c>
      <c r="FH675" s="2" t="n">
        <v>0.01</v>
      </c>
      <c r="FI675" s="2" t="n">
        <v>100</v>
      </c>
      <c r="FJ675" s="2" t="n">
        <v>100</v>
      </c>
      <c r="FK675" s="2" t="n">
        <v>0.01</v>
      </c>
      <c r="FL675" s="2" t="n">
        <v>100</v>
      </c>
      <c r="FM675" s="2" t="n">
        <v>100</v>
      </c>
      <c r="FN675" s="2" t="n">
        <v>0.01</v>
      </c>
      <c r="FO675" s="2" t="n">
        <v>100</v>
      </c>
      <c r="FP675" s="2" t="n">
        <v>100</v>
      </c>
      <c r="FQ675" s="2" t="n">
        <v>0.01</v>
      </c>
    </row>
    <row r="676">
      <c r="A676" s="2" t="n">
        <v>2</v>
      </c>
      <c r="B676" s="2" t="inlineStr">
        <is>
          <t>31.01</t>
        </is>
      </c>
      <c r="C676" s="2" t="inlineStr">
        <is>
          <t>Pisos internos</t>
        </is>
      </c>
      <c r="D676" s="2" t="inlineStr">
        <is>
          <t>11/01/2027</t>
        </is>
      </c>
      <c r="E676" s="2" t="inlineStr">
        <is>
          <t>04/09/2028</t>
        </is>
      </c>
      <c r="F676" s="2" t="n">
        <v>9184752.82990898</v>
      </c>
      <c r="G676" s="2" t="n">
        <v>0</v>
      </c>
      <c r="H676" s="2" t="n">
        <v>9184752.82990898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0.13</v>
      </c>
      <c r="CS676" s="2" t="n">
        <v>0.21</v>
      </c>
      <c r="CT676" s="2" t="n">
        <v>0</v>
      </c>
      <c r="CU676" s="2" t="n">
        <v>3.25</v>
      </c>
      <c r="CV676" s="2" t="n">
        <v>2.74</v>
      </c>
      <c r="CW676" s="2" t="n">
        <v>0</v>
      </c>
      <c r="CX676" s="2" t="n">
        <v>8.800000000000001</v>
      </c>
      <c r="CY676" s="2" t="n">
        <v>6.21</v>
      </c>
      <c r="CZ676" s="2" t="n">
        <v>0</v>
      </c>
      <c r="DA676" s="2" t="n">
        <v>13.81</v>
      </c>
      <c r="DB676" s="2" t="n">
        <v>12.56</v>
      </c>
      <c r="DC676" s="2" t="n">
        <v>0</v>
      </c>
      <c r="DD676" s="2" t="n">
        <v>18.06</v>
      </c>
      <c r="DE676" s="2" t="n">
        <v>15.35</v>
      </c>
      <c r="DF676" s="2" t="n">
        <v>0</v>
      </c>
      <c r="DG676" s="2" t="n">
        <v>23.04</v>
      </c>
      <c r="DH676" s="2" t="n">
        <v>19.24</v>
      </c>
      <c r="DI676" s="2" t="n">
        <v>0</v>
      </c>
      <c r="DJ676" s="2" t="n">
        <v>32.94</v>
      </c>
      <c r="DK676" s="2" t="n">
        <v>31.69</v>
      </c>
      <c r="DL676" s="2" t="n">
        <v>0</v>
      </c>
      <c r="DM676" s="2" t="n">
        <v>45.02</v>
      </c>
      <c r="DN676" s="2" t="n">
        <v>39.8</v>
      </c>
      <c r="DO676" s="2" t="n">
        <v>0</v>
      </c>
      <c r="DP676" s="2" t="n">
        <v>54.47</v>
      </c>
      <c r="DQ676" s="2" t="n">
        <v>53.28</v>
      </c>
      <c r="DR676" s="2" t="n">
        <v>0</v>
      </c>
      <c r="DS676" s="2" t="n">
        <v>60.66</v>
      </c>
      <c r="DT676" s="2" t="n">
        <v>59.53</v>
      </c>
      <c r="DU676" s="2" t="n">
        <v>0</v>
      </c>
      <c r="DV676" s="2" t="n">
        <v>69.88</v>
      </c>
      <c r="DW676" s="2" t="n">
        <v>66.93000000000001</v>
      </c>
      <c r="DX676" s="2" t="n">
        <v>0</v>
      </c>
      <c r="DY676" s="2" t="n">
        <v>79.14</v>
      </c>
      <c r="DZ676" s="2" t="n">
        <v>72.67</v>
      </c>
      <c r="EA676" s="2" t="n">
        <v>0</v>
      </c>
      <c r="EB676" s="2" t="n">
        <v>87.66</v>
      </c>
      <c r="EC676" s="2" t="n">
        <v>78.23999999999999</v>
      </c>
      <c r="ED676" s="2" t="n">
        <v>0</v>
      </c>
      <c r="EE676" s="2" t="n">
        <v>93.41</v>
      </c>
      <c r="EF676" s="2" t="n">
        <v>84.31999999999999</v>
      </c>
      <c r="EG676" s="2" t="n">
        <v>0</v>
      </c>
      <c r="EH676" s="2" t="n">
        <v>96.48</v>
      </c>
      <c r="EI676" s="2" t="n">
        <v>90.23999999999999</v>
      </c>
      <c r="EJ676" s="2" t="n">
        <v>0</v>
      </c>
      <c r="EK676" s="2" t="n">
        <v>99.68000000000001</v>
      </c>
      <c r="EL676" s="2" t="n">
        <v>93.04000000000001</v>
      </c>
      <c r="EM676" s="2" t="n">
        <v>0</v>
      </c>
      <c r="EN676" s="2" t="n">
        <v>100</v>
      </c>
      <c r="EO676" s="2" t="n">
        <v>94.54000000000001</v>
      </c>
      <c r="EP676" s="2" t="n">
        <v>0</v>
      </c>
      <c r="EQ676" s="2" t="n">
        <v>100</v>
      </c>
      <c r="ER676" s="2" t="n">
        <v>96.48</v>
      </c>
      <c r="ES676" s="2" t="n">
        <v>0</v>
      </c>
      <c r="ET676" s="2" t="n">
        <v>100</v>
      </c>
      <c r="EU676" s="2" t="n">
        <v>97.79000000000001</v>
      </c>
      <c r="EV676" s="2" t="n">
        <v>0</v>
      </c>
      <c r="EW676" s="2" t="n">
        <v>100</v>
      </c>
      <c r="EX676" s="2" t="n">
        <v>99.59999999999999</v>
      </c>
      <c r="EY676" s="2" t="n">
        <v>0</v>
      </c>
      <c r="EZ676" s="2" t="n">
        <v>100</v>
      </c>
      <c r="FA676" s="2" t="n">
        <v>100</v>
      </c>
      <c r="FB676" s="2" t="n">
        <v>0</v>
      </c>
      <c r="FC676" s="2" t="n">
        <v>100</v>
      </c>
      <c r="FD676" s="2" t="n">
        <v>100</v>
      </c>
      <c r="FE676" s="2" t="n">
        <v>0</v>
      </c>
      <c r="FF676" s="2" t="n">
        <v>100</v>
      </c>
      <c r="FG676" s="2" t="n">
        <v>100</v>
      </c>
      <c r="FH676" s="2" t="n">
        <v>0</v>
      </c>
      <c r="FI676" s="2" t="n">
        <v>100</v>
      </c>
      <c r="FJ676" s="2" t="n">
        <v>100</v>
      </c>
      <c r="FK676" s="2" t="n">
        <v>0</v>
      </c>
      <c r="FL676" s="2" t="n">
        <v>100</v>
      </c>
      <c r="FM676" s="2" t="n">
        <v>100</v>
      </c>
      <c r="FN676" s="2" t="n">
        <v>0</v>
      </c>
      <c r="FO676" s="2" t="n">
        <v>100</v>
      </c>
      <c r="FP676" s="2" t="n">
        <v>100</v>
      </c>
      <c r="FQ676" s="2" t="n">
        <v>0</v>
      </c>
    </row>
    <row r="677">
      <c r="A677" s="2" t="n">
        <v>3</v>
      </c>
      <c r="B677" s="2" t="inlineStr">
        <is>
          <t>31.01.01</t>
        </is>
      </c>
      <c r="C677" s="2" t="inlineStr">
        <is>
          <t>Porcelanato</t>
        </is>
      </c>
      <c r="D677" s="2" t="inlineStr">
        <is>
          <t>11/01/2027</t>
        </is>
      </c>
      <c r="E677" s="2" t="inlineStr">
        <is>
          <t>24/02/2027</t>
        </is>
      </c>
      <c r="F677" s="2" t="n">
        <v>42624.329358073</v>
      </c>
      <c r="G677" s="2" t="n">
        <v>0</v>
      </c>
      <c r="H677" s="2" t="n">
        <v>42624.329358073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27.27</v>
      </c>
      <c r="CS677" s="2" t="n">
        <v>45.45</v>
      </c>
      <c r="CT677" s="2" t="n">
        <v>0</v>
      </c>
      <c r="CU677" s="2" t="n">
        <v>87.88</v>
      </c>
      <c r="CV677" s="2" t="n">
        <v>100</v>
      </c>
      <c r="CW677" s="2" t="n">
        <v>0</v>
      </c>
      <c r="CX677" s="2" t="n">
        <v>100</v>
      </c>
      <c r="CY677" s="2" t="n">
        <v>100</v>
      </c>
      <c r="CZ677" s="2" t="n">
        <v>0</v>
      </c>
      <c r="DA677" s="2" t="n">
        <v>100</v>
      </c>
      <c r="DB677" s="2" t="n">
        <v>100</v>
      </c>
      <c r="DC677" s="2" t="n">
        <v>0</v>
      </c>
      <c r="DD677" s="2" t="n">
        <v>100</v>
      </c>
      <c r="DE677" s="2" t="n">
        <v>100</v>
      </c>
      <c r="DF677" s="2" t="n">
        <v>0</v>
      </c>
      <c r="DG677" s="2" t="n">
        <v>100</v>
      </c>
      <c r="DH677" s="2" t="n">
        <v>100</v>
      </c>
      <c r="DI677" s="2" t="n">
        <v>0</v>
      </c>
      <c r="DJ677" s="2" t="n">
        <v>100</v>
      </c>
      <c r="DK677" s="2" t="n">
        <v>100</v>
      </c>
      <c r="DL677" s="2" t="n">
        <v>0</v>
      </c>
      <c r="DM677" s="2" t="n">
        <v>100</v>
      </c>
      <c r="DN677" s="2" t="n">
        <v>100</v>
      </c>
      <c r="DO677" s="2" t="n">
        <v>0</v>
      </c>
      <c r="DP677" s="2" t="n">
        <v>100</v>
      </c>
      <c r="DQ677" s="2" t="n">
        <v>100</v>
      </c>
      <c r="DR677" s="2" t="n">
        <v>0</v>
      </c>
      <c r="DS677" s="2" t="n">
        <v>100</v>
      </c>
      <c r="DT677" s="2" t="n">
        <v>100</v>
      </c>
      <c r="DU677" s="2" t="n">
        <v>0</v>
      </c>
      <c r="DV677" s="2" t="n">
        <v>100</v>
      </c>
      <c r="DW677" s="2" t="n">
        <v>100</v>
      </c>
      <c r="DX677" s="2" t="n">
        <v>0</v>
      </c>
      <c r="DY677" s="2" t="n">
        <v>100</v>
      </c>
      <c r="DZ677" s="2" t="n">
        <v>100</v>
      </c>
      <c r="EA677" s="2" t="n">
        <v>0</v>
      </c>
      <c r="EB677" s="2" t="n">
        <v>100</v>
      </c>
      <c r="EC677" s="2" t="n">
        <v>100</v>
      </c>
      <c r="ED677" s="2" t="n">
        <v>0</v>
      </c>
      <c r="EE677" s="2" t="n">
        <v>100</v>
      </c>
      <c r="EF677" s="2" t="n">
        <v>100</v>
      </c>
      <c r="EG677" s="2" t="n">
        <v>0</v>
      </c>
      <c r="EH677" s="2" t="n">
        <v>100</v>
      </c>
      <c r="EI677" s="2" t="n">
        <v>100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  <c r="ET677" s="2" t="n">
        <v>100</v>
      </c>
      <c r="EU677" s="2" t="n">
        <v>100</v>
      </c>
      <c r="EV677" s="2" t="n">
        <v>0</v>
      </c>
      <c r="EW677" s="2" t="n">
        <v>100</v>
      </c>
      <c r="EX677" s="2" t="n">
        <v>100</v>
      </c>
      <c r="EY677" s="2" t="n">
        <v>0</v>
      </c>
      <c r="EZ677" s="2" t="n">
        <v>100</v>
      </c>
      <c r="FA677" s="2" t="n">
        <v>100</v>
      </c>
      <c r="FB677" s="2" t="n">
        <v>0</v>
      </c>
      <c r="FC677" s="2" t="n">
        <v>100</v>
      </c>
      <c r="FD677" s="2" t="n">
        <v>100</v>
      </c>
      <c r="FE677" s="2" t="n">
        <v>0</v>
      </c>
      <c r="FF677" s="2" t="n">
        <v>100</v>
      </c>
      <c r="FG677" s="2" t="n">
        <v>100</v>
      </c>
      <c r="FH677" s="2" t="n">
        <v>0</v>
      </c>
      <c r="FI677" s="2" t="n">
        <v>100</v>
      </c>
      <c r="FJ677" s="2" t="n">
        <v>100</v>
      </c>
      <c r="FK677" s="2" t="n">
        <v>0</v>
      </c>
      <c r="FL677" s="2" t="n">
        <v>100</v>
      </c>
      <c r="FM677" s="2" t="n">
        <v>100</v>
      </c>
      <c r="FN677" s="2" t="n">
        <v>0</v>
      </c>
      <c r="FO677" s="2" t="n">
        <v>100</v>
      </c>
      <c r="FP677" s="2" t="n">
        <v>100</v>
      </c>
      <c r="FQ677" s="2" t="n">
        <v>0</v>
      </c>
    </row>
    <row r="678">
      <c r="A678" s="2" t="n">
        <v>4</v>
      </c>
      <c r="B678" s="2" t="inlineStr">
        <is>
          <t>31.01.01.01</t>
        </is>
      </c>
      <c r="C678" s="2" t="inlineStr">
        <is>
          <t>Piso Porcelanato off white 60x60cm, espessura 1cm, com acabamento acetinado. Paginação conforme detalhamento. Ref.: Khali Off White AC; Linha Khali; Eliane assentado com argamassa colante em pó ACIII</t>
        </is>
      </c>
      <c r="D678" s="2" t="inlineStr">
        <is>
          <t>11/01/2027</t>
        </is>
      </c>
      <c r="E678" s="2" t="inlineStr">
        <is>
          <t>24/02/2027</t>
        </is>
      </c>
      <c r="F678" s="2" t="n">
        <v>37242.4643089457</v>
      </c>
      <c r="G678" s="2" t="n">
        <v>0</v>
      </c>
      <c r="H678" s="2" t="n">
        <v>37242.4643089457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27.27</v>
      </c>
      <c r="CS678" s="2" t="n">
        <v>45.45</v>
      </c>
      <c r="CT678" s="2" t="n">
        <v>0</v>
      </c>
      <c r="CU678" s="2" t="n">
        <v>87.88</v>
      </c>
      <c r="CV678" s="2" t="n">
        <v>100</v>
      </c>
      <c r="CW678" s="2" t="n">
        <v>0</v>
      </c>
      <c r="CX678" s="2" t="n">
        <v>100</v>
      </c>
      <c r="CY678" s="2" t="n">
        <v>100</v>
      </c>
      <c r="CZ678" s="2" t="n">
        <v>0</v>
      </c>
      <c r="DA678" s="2" t="n">
        <v>100</v>
      </c>
      <c r="DB678" s="2" t="n">
        <v>100</v>
      </c>
      <c r="DC678" s="2" t="n">
        <v>0</v>
      </c>
      <c r="DD678" s="2" t="n">
        <v>100</v>
      </c>
      <c r="DE678" s="2" t="n">
        <v>100</v>
      </c>
      <c r="DF678" s="2" t="n">
        <v>0</v>
      </c>
      <c r="DG678" s="2" t="n">
        <v>100</v>
      </c>
      <c r="DH678" s="2" t="n">
        <v>100</v>
      </c>
      <c r="DI678" s="2" t="n">
        <v>0</v>
      </c>
      <c r="DJ678" s="2" t="n">
        <v>100</v>
      </c>
      <c r="DK678" s="2" t="n">
        <v>100</v>
      </c>
      <c r="DL678" s="2" t="n">
        <v>0</v>
      </c>
      <c r="DM678" s="2" t="n">
        <v>100</v>
      </c>
      <c r="DN678" s="2" t="n">
        <v>100</v>
      </c>
      <c r="DO678" s="2" t="n">
        <v>0</v>
      </c>
      <c r="DP678" s="2" t="n">
        <v>100</v>
      </c>
      <c r="DQ678" s="2" t="n">
        <v>100</v>
      </c>
      <c r="DR678" s="2" t="n">
        <v>0</v>
      </c>
      <c r="DS678" s="2" t="n">
        <v>100</v>
      </c>
      <c r="DT678" s="2" t="n">
        <v>100</v>
      </c>
      <c r="DU678" s="2" t="n">
        <v>0</v>
      </c>
      <c r="DV678" s="2" t="n">
        <v>100</v>
      </c>
      <c r="DW678" s="2" t="n">
        <v>100</v>
      </c>
      <c r="DX678" s="2" t="n">
        <v>0</v>
      </c>
      <c r="DY678" s="2" t="n">
        <v>100</v>
      </c>
      <c r="DZ678" s="2" t="n">
        <v>100</v>
      </c>
      <c r="EA678" s="2" t="n">
        <v>0</v>
      </c>
      <c r="EB678" s="2" t="n">
        <v>100</v>
      </c>
      <c r="EC678" s="2" t="n">
        <v>100</v>
      </c>
      <c r="ED678" s="2" t="n">
        <v>0</v>
      </c>
      <c r="EE678" s="2" t="n">
        <v>100</v>
      </c>
      <c r="EF678" s="2" t="n">
        <v>100</v>
      </c>
      <c r="EG678" s="2" t="n">
        <v>0</v>
      </c>
      <c r="EH678" s="2" t="n">
        <v>100</v>
      </c>
      <c r="EI678" s="2" t="n">
        <v>100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  <c r="ET678" s="2" t="n">
        <v>100</v>
      </c>
      <c r="EU678" s="2" t="n">
        <v>100</v>
      </c>
      <c r="EV678" s="2" t="n">
        <v>0</v>
      </c>
      <c r="EW678" s="2" t="n">
        <v>100</v>
      </c>
      <c r="EX678" s="2" t="n">
        <v>100</v>
      </c>
      <c r="EY678" s="2" t="n">
        <v>0</v>
      </c>
      <c r="EZ678" s="2" t="n">
        <v>100</v>
      </c>
      <c r="FA678" s="2" t="n">
        <v>100</v>
      </c>
      <c r="FB678" s="2" t="n">
        <v>0</v>
      </c>
      <c r="FC678" s="2" t="n">
        <v>100</v>
      </c>
      <c r="FD678" s="2" t="n">
        <v>100</v>
      </c>
      <c r="FE678" s="2" t="n">
        <v>0</v>
      </c>
      <c r="FF678" s="2" t="n">
        <v>100</v>
      </c>
      <c r="FG678" s="2" t="n">
        <v>100</v>
      </c>
      <c r="FH678" s="2" t="n">
        <v>0</v>
      </c>
      <c r="FI678" s="2" t="n">
        <v>100</v>
      </c>
      <c r="FJ678" s="2" t="n">
        <v>100</v>
      </c>
      <c r="FK678" s="2" t="n">
        <v>0</v>
      </c>
      <c r="FL678" s="2" t="n">
        <v>100</v>
      </c>
      <c r="FM678" s="2" t="n">
        <v>100</v>
      </c>
      <c r="FN678" s="2" t="n">
        <v>0</v>
      </c>
      <c r="FO678" s="2" t="n">
        <v>100</v>
      </c>
      <c r="FP678" s="2" t="n">
        <v>100</v>
      </c>
      <c r="FQ678" s="2" t="n">
        <v>0</v>
      </c>
    </row>
    <row r="679">
      <c r="A679" s="2" t="n">
        <v>4</v>
      </c>
      <c r="B679" s="2" t="inlineStr">
        <is>
          <t>31.01.01.02</t>
        </is>
      </c>
      <c r="C679" s="2" t="inlineStr">
        <is>
          <t>Piso Porcelanato padrão cimentício 120x120cm, espessura 1cm, com acabamento fosco (antiderrapante). Ref.:   CITTA SGR HARD; cód. 61588; Portinari, assentado com argamassa colante em pó ACIII</t>
        </is>
      </c>
      <c r="D679" s="2" t="inlineStr">
        <is>
          <t>11/01/2027</t>
        </is>
      </c>
      <c r="E679" s="2" t="inlineStr">
        <is>
          <t>24/02/2027</t>
        </is>
      </c>
      <c r="F679" s="2" t="n">
        <v>5381.865049127298</v>
      </c>
      <c r="G679" s="2" t="n">
        <v>0</v>
      </c>
      <c r="H679" s="2" t="n">
        <v>5381.865049127298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27.27</v>
      </c>
      <c r="CS679" s="2" t="n">
        <v>45.45</v>
      </c>
      <c r="CT679" s="2" t="n">
        <v>0</v>
      </c>
      <c r="CU679" s="2" t="n">
        <v>87.88</v>
      </c>
      <c r="CV679" s="2" t="n">
        <v>100</v>
      </c>
      <c r="CW679" s="2" t="n">
        <v>0</v>
      </c>
      <c r="CX679" s="2" t="n">
        <v>100</v>
      </c>
      <c r="CY679" s="2" t="n">
        <v>100</v>
      </c>
      <c r="CZ679" s="2" t="n">
        <v>0</v>
      </c>
      <c r="DA679" s="2" t="n">
        <v>100</v>
      </c>
      <c r="DB679" s="2" t="n">
        <v>100</v>
      </c>
      <c r="DC679" s="2" t="n">
        <v>0</v>
      </c>
      <c r="DD679" s="2" t="n">
        <v>100</v>
      </c>
      <c r="DE679" s="2" t="n">
        <v>100</v>
      </c>
      <c r="DF679" s="2" t="n">
        <v>0</v>
      </c>
      <c r="DG679" s="2" t="n">
        <v>100</v>
      </c>
      <c r="DH679" s="2" t="n">
        <v>100</v>
      </c>
      <c r="DI679" s="2" t="n">
        <v>0</v>
      </c>
      <c r="DJ679" s="2" t="n">
        <v>100</v>
      </c>
      <c r="DK679" s="2" t="n">
        <v>100</v>
      </c>
      <c r="DL679" s="2" t="n">
        <v>0</v>
      </c>
      <c r="DM679" s="2" t="n">
        <v>100</v>
      </c>
      <c r="DN679" s="2" t="n">
        <v>100</v>
      </c>
      <c r="DO679" s="2" t="n">
        <v>0</v>
      </c>
      <c r="DP679" s="2" t="n">
        <v>100</v>
      </c>
      <c r="DQ679" s="2" t="n">
        <v>100</v>
      </c>
      <c r="DR679" s="2" t="n">
        <v>0</v>
      </c>
      <c r="DS679" s="2" t="n">
        <v>100</v>
      </c>
      <c r="DT679" s="2" t="n">
        <v>100</v>
      </c>
      <c r="DU679" s="2" t="n">
        <v>0</v>
      </c>
      <c r="DV679" s="2" t="n">
        <v>100</v>
      </c>
      <c r="DW679" s="2" t="n">
        <v>100</v>
      </c>
      <c r="DX679" s="2" t="n">
        <v>0</v>
      </c>
      <c r="DY679" s="2" t="n">
        <v>100</v>
      </c>
      <c r="DZ679" s="2" t="n">
        <v>100</v>
      </c>
      <c r="EA679" s="2" t="n">
        <v>0</v>
      </c>
      <c r="EB679" s="2" t="n">
        <v>100</v>
      </c>
      <c r="EC679" s="2" t="n">
        <v>100</v>
      </c>
      <c r="ED679" s="2" t="n">
        <v>0</v>
      </c>
      <c r="EE679" s="2" t="n">
        <v>100</v>
      </c>
      <c r="EF679" s="2" t="n">
        <v>100</v>
      </c>
      <c r="EG679" s="2" t="n">
        <v>0</v>
      </c>
      <c r="EH679" s="2" t="n">
        <v>100</v>
      </c>
      <c r="EI679" s="2" t="n">
        <v>100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  <c r="ET679" s="2" t="n">
        <v>100</v>
      </c>
      <c r="EU679" s="2" t="n">
        <v>100</v>
      </c>
      <c r="EV679" s="2" t="n">
        <v>0</v>
      </c>
      <c r="EW679" s="2" t="n">
        <v>100</v>
      </c>
      <c r="EX679" s="2" t="n">
        <v>100</v>
      </c>
      <c r="EY679" s="2" t="n">
        <v>0</v>
      </c>
      <c r="EZ679" s="2" t="n">
        <v>100</v>
      </c>
      <c r="FA679" s="2" t="n">
        <v>100</v>
      </c>
      <c r="FB679" s="2" t="n">
        <v>0</v>
      </c>
      <c r="FC679" s="2" t="n">
        <v>100</v>
      </c>
      <c r="FD679" s="2" t="n">
        <v>100</v>
      </c>
      <c r="FE679" s="2" t="n">
        <v>0</v>
      </c>
      <c r="FF679" s="2" t="n">
        <v>100</v>
      </c>
      <c r="FG679" s="2" t="n">
        <v>100</v>
      </c>
      <c r="FH679" s="2" t="n">
        <v>0</v>
      </c>
      <c r="FI679" s="2" t="n">
        <v>100</v>
      </c>
      <c r="FJ679" s="2" t="n">
        <v>100</v>
      </c>
      <c r="FK679" s="2" t="n">
        <v>0</v>
      </c>
      <c r="FL679" s="2" t="n">
        <v>100</v>
      </c>
      <c r="FM679" s="2" t="n">
        <v>100</v>
      </c>
      <c r="FN679" s="2" t="n">
        <v>0</v>
      </c>
      <c r="FO679" s="2" t="n">
        <v>100</v>
      </c>
      <c r="FP679" s="2" t="n">
        <v>100</v>
      </c>
      <c r="FQ679" s="2" t="n">
        <v>0</v>
      </c>
    </row>
    <row r="680">
      <c r="A680" s="2" t="n">
        <v>3</v>
      </c>
      <c r="B680" s="2" t="inlineStr">
        <is>
          <t>31.01.02</t>
        </is>
      </c>
      <c r="C680" s="2" t="inlineStr">
        <is>
          <t>Emborrachados</t>
        </is>
      </c>
      <c r="D680" s="2" t="inlineStr">
        <is>
          <t>26/10/2027</t>
        </is>
      </c>
      <c r="E680" s="2" t="inlineStr">
        <is>
          <t>09/11/2027</t>
        </is>
      </c>
      <c r="F680" s="2" t="n">
        <v>60084.00000000001</v>
      </c>
      <c r="G680" s="2" t="n">
        <v>0</v>
      </c>
      <c r="H680" s="2" t="n">
        <v>60084.00000000001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0</v>
      </c>
      <c r="DT680" s="2" t="n">
        <v>40</v>
      </c>
      <c r="DU680" s="2" t="n">
        <v>0</v>
      </c>
      <c r="DV680" s="2" t="n">
        <v>100</v>
      </c>
      <c r="DW680" s="2" t="n">
        <v>100</v>
      </c>
      <c r="DX680" s="2" t="n">
        <v>0</v>
      </c>
      <c r="DY680" s="2" t="n">
        <v>100</v>
      </c>
      <c r="DZ680" s="2" t="n">
        <v>100</v>
      </c>
      <c r="EA680" s="2" t="n">
        <v>0</v>
      </c>
      <c r="EB680" s="2" t="n">
        <v>100</v>
      </c>
      <c r="EC680" s="2" t="n">
        <v>100</v>
      </c>
      <c r="ED680" s="2" t="n">
        <v>0</v>
      </c>
      <c r="EE680" s="2" t="n">
        <v>100</v>
      </c>
      <c r="EF680" s="2" t="n">
        <v>100</v>
      </c>
      <c r="EG680" s="2" t="n">
        <v>0</v>
      </c>
      <c r="EH680" s="2" t="n">
        <v>100</v>
      </c>
      <c r="EI680" s="2" t="n">
        <v>100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  <c r="ET680" s="2" t="n">
        <v>100</v>
      </c>
      <c r="EU680" s="2" t="n">
        <v>100</v>
      </c>
      <c r="EV680" s="2" t="n">
        <v>0</v>
      </c>
      <c r="EW680" s="2" t="n">
        <v>100</v>
      </c>
      <c r="EX680" s="2" t="n">
        <v>100</v>
      </c>
      <c r="EY680" s="2" t="n">
        <v>0</v>
      </c>
      <c r="EZ680" s="2" t="n">
        <v>100</v>
      </c>
      <c r="FA680" s="2" t="n">
        <v>100</v>
      </c>
      <c r="FB680" s="2" t="n">
        <v>0</v>
      </c>
      <c r="FC680" s="2" t="n">
        <v>100</v>
      </c>
      <c r="FD680" s="2" t="n">
        <v>100</v>
      </c>
      <c r="FE680" s="2" t="n">
        <v>0</v>
      </c>
      <c r="FF680" s="2" t="n">
        <v>100</v>
      </c>
      <c r="FG680" s="2" t="n">
        <v>100</v>
      </c>
      <c r="FH680" s="2" t="n">
        <v>0</v>
      </c>
      <c r="FI680" s="2" t="n">
        <v>100</v>
      </c>
      <c r="FJ680" s="2" t="n">
        <v>100</v>
      </c>
      <c r="FK680" s="2" t="n">
        <v>0</v>
      </c>
      <c r="FL680" s="2" t="n">
        <v>100</v>
      </c>
      <c r="FM680" s="2" t="n">
        <v>100</v>
      </c>
      <c r="FN680" s="2" t="n">
        <v>0</v>
      </c>
      <c r="FO680" s="2" t="n">
        <v>100</v>
      </c>
      <c r="FP680" s="2" t="n">
        <v>100</v>
      </c>
      <c r="FQ680" s="2" t="n">
        <v>0</v>
      </c>
    </row>
    <row r="681">
      <c r="A681" s="2" t="n">
        <v>4</v>
      </c>
      <c r="B681" s="2" t="inlineStr">
        <is>
          <t>31.01.02.01</t>
        </is>
      </c>
      <c r="C681" s="2" t="inlineStr">
        <is>
          <t>INT - Piso emborrachado isolante e antiderrapante, acabamernto preto, placas 100x100cm. Espessura: 8mm. Paginação conforme detalhamento. Ref.: Rubberkap ou similar</t>
        </is>
      </c>
      <c r="D681" s="2" t="inlineStr">
        <is>
          <t>26/10/2027</t>
        </is>
      </c>
      <c r="E681" s="2" t="inlineStr">
        <is>
          <t>09/11/2027</t>
        </is>
      </c>
      <c r="F681" s="2" t="n">
        <v>60084.00000000001</v>
      </c>
      <c r="G681" s="2" t="n">
        <v>0</v>
      </c>
      <c r="H681" s="2" t="n">
        <v>60084.00000000001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0</v>
      </c>
      <c r="DL681" s="2" t="n">
        <v>0</v>
      </c>
      <c r="DM681" s="2" t="n">
        <v>0</v>
      </c>
      <c r="DN681" s="2" t="n">
        <v>0</v>
      </c>
      <c r="DO681" s="2" t="n">
        <v>0</v>
      </c>
      <c r="DP681" s="2" t="n">
        <v>0</v>
      </c>
      <c r="DQ681" s="2" t="n">
        <v>0</v>
      </c>
      <c r="DR681" s="2" t="n">
        <v>0</v>
      </c>
      <c r="DS681" s="2" t="n">
        <v>0</v>
      </c>
      <c r="DT681" s="2" t="n">
        <v>40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  <c r="ET681" s="2" t="n">
        <v>100</v>
      </c>
      <c r="EU681" s="2" t="n">
        <v>100</v>
      </c>
      <c r="EV681" s="2" t="n">
        <v>0</v>
      </c>
      <c r="EW681" s="2" t="n">
        <v>100</v>
      </c>
      <c r="EX681" s="2" t="n">
        <v>100</v>
      </c>
      <c r="EY681" s="2" t="n">
        <v>0</v>
      </c>
      <c r="EZ681" s="2" t="n">
        <v>100</v>
      </c>
      <c r="FA681" s="2" t="n">
        <v>100</v>
      </c>
      <c r="FB681" s="2" t="n">
        <v>0</v>
      </c>
      <c r="FC681" s="2" t="n">
        <v>100</v>
      </c>
      <c r="FD681" s="2" t="n">
        <v>100</v>
      </c>
      <c r="FE681" s="2" t="n">
        <v>0</v>
      </c>
      <c r="FF681" s="2" t="n">
        <v>100</v>
      </c>
      <c r="FG681" s="2" t="n">
        <v>100</v>
      </c>
      <c r="FH681" s="2" t="n">
        <v>0</v>
      </c>
      <c r="FI681" s="2" t="n">
        <v>100</v>
      </c>
      <c r="FJ681" s="2" t="n">
        <v>100</v>
      </c>
      <c r="FK681" s="2" t="n">
        <v>0</v>
      </c>
      <c r="FL681" s="2" t="n">
        <v>100</v>
      </c>
      <c r="FM681" s="2" t="n">
        <v>100</v>
      </c>
      <c r="FN681" s="2" t="n">
        <v>0</v>
      </c>
      <c r="FO681" s="2" t="n">
        <v>100</v>
      </c>
      <c r="FP681" s="2" t="n">
        <v>100</v>
      </c>
      <c r="FQ681" s="2" t="n">
        <v>0</v>
      </c>
    </row>
    <row r="682">
      <c r="A682" s="2" t="n">
        <v>3</v>
      </c>
      <c r="B682" s="2" t="inlineStr">
        <is>
          <t>31.01.03</t>
        </is>
      </c>
      <c r="C682" s="2" t="inlineStr">
        <is>
          <t>Pedras</t>
        </is>
      </c>
      <c r="D682" s="2" t="inlineStr">
        <is>
          <t>17/02/2027</t>
        </is>
      </c>
      <c r="E682" s="2" t="inlineStr">
        <is>
          <t>02/05/2028</t>
        </is>
      </c>
      <c r="F682" s="2" t="n">
        <v>6521110.201325408</v>
      </c>
      <c r="G682" s="2" t="n">
        <v>0</v>
      </c>
      <c r="H682" s="2" t="n">
        <v>6521110.201325408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4</v>
      </c>
      <c r="CV682" s="2" t="n">
        <v>3.2</v>
      </c>
      <c r="CW682" s="2" t="n">
        <v>0</v>
      </c>
      <c r="CX682" s="2" t="n">
        <v>11.75</v>
      </c>
      <c r="CY682" s="2" t="n">
        <v>8.09</v>
      </c>
      <c r="CZ682" s="2" t="n">
        <v>0</v>
      </c>
      <c r="DA682" s="2" t="n">
        <v>18.79</v>
      </c>
      <c r="DB682" s="2" t="n">
        <v>17.04</v>
      </c>
      <c r="DC682" s="2" t="n">
        <v>0</v>
      </c>
      <c r="DD682" s="2" t="n">
        <v>24.07</v>
      </c>
      <c r="DE682" s="2" t="n">
        <v>20.96</v>
      </c>
      <c r="DF682" s="2" t="n">
        <v>0</v>
      </c>
      <c r="DG682" s="2" t="n">
        <v>28.68</v>
      </c>
      <c r="DH682" s="2" t="n">
        <v>25.44</v>
      </c>
      <c r="DI682" s="2" t="n">
        <v>0</v>
      </c>
      <c r="DJ682" s="2" t="n">
        <v>40.6</v>
      </c>
      <c r="DK682" s="2" t="n">
        <v>40.69</v>
      </c>
      <c r="DL682" s="2" t="n">
        <v>0</v>
      </c>
      <c r="DM682" s="2" t="n">
        <v>53.72</v>
      </c>
      <c r="DN682" s="2" t="n">
        <v>49.49</v>
      </c>
      <c r="DO682" s="2" t="n">
        <v>0</v>
      </c>
      <c r="DP682" s="2" t="n">
        <v>63.94</v>
      </c>
      <c r="DQ682" s="2" t="n">
        <v>65.72</v>
      </c>
      <c r="DR682" s="2" t="n">
        <v>0</v>
      </c>
      <c r="DS682" s="2" t="n">
        <v>69.72</v>
      </c>
      <c r="DT682" s="2" t="n">
        <v>69.72</v>
      </c>
      <c r="DU682" s="2" t="n">
        <v>0</v>
      </c>
      <c r="DV682" s="2" t="n">
        <v>76.39</v>
      </c>
      <c r="DW682" s="2" t="n">
        <v>76.92</v>
      </c>
      <c r="DX682" s="2" t="n">
        <v>0</v>
      </c>
      <c r="DY682" s="2" t="n">
        <v>85.72</v>
      </c>
      <c r="DZ682" s="2" t="n">
        <v>83.72</v>
      </c>
      <c r="EA682" s="2" t="n">
        <v>0</v>
      </c>
      <c r="EB682" s="2" t="n">
        <v>93.72</v>
      </c>
      <c r="EC682" s="2" t="n">
        <v>89.72</v>
      </c>
      <c r="ED682" s="2" t="n">
        <v>0</v>
      </c>
      <c r="EE682" s="2" t="n">
        <v>97.72</v>
      </c>
      <c r="EF682" s="2" t="n">
        <v>94.52</v>
      </c>
      <c r="EG682" s="2" t="n">
        <v>0</v>
      </c>
      <c r="EH682" s="2" t="n">
        <v>97.72</v>
      </c>
      <c r="EI682" s="2" t="n">
        <v>97.72</v>
      </c>
      <c r="EJ682" s="2" t="n">
        <v>0</v>
      </c>
      <c r="EK682" s="2" t="n">
        <v>99.54000000000001</v>
      </c>
      <c r="EL682" s="2" t="n">
        <v>99.54000000000001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  <c r="ET682" s="2" t="n">
        <v>100</v>
      </c>
      <c r="EU682" s="2" t="n">
        <v>100</v>
      </c>
      <c r="EV682" s="2" t="n">
        <v>0</v>
      </c>
      <c r="EW682" s="2" t="n">
        <v>100</v>
      </c>
      <c r="EX682" s="2" t="n">
        <v>100</v>
      </c>
      <c r="EY682" s="2" t="n">
        <v>0</v>
      </c>
      <c r="EZ682" s="2" t="n">
        <v>100</v>
      </c>
      <c r="FA682" s="2" t="n">
        <v>100</v>
      </c>
      <c r="FB682" s="2" t="n">
        <v>0</v>
      </c>
      <c r="FC682" s="2" t="n">
        <v>100</v>
      </c>
      <c r="FD682" s="2" t="n">
        <v>100</v>
      </c>
      <c r="FE682" s="2" t="n">
        <v>0</v>
      </c>
      <c r="FF682" s="2" t="n">
        <v>100</v>
      </c>
      <c r="FG682" s="2" t="n">
        <v>100</v>
      </c>
      <c r="FH682" s="2" t="n">
        <v>0</v>
      </c>
      <c r="FI682" s="2" t="n">
        <v>100</v>
      </c>
      <c r="FJ682" s="2" t="n">
        <v>100</v>
      </c>
      <c r="FK682" s="2" t="n">
        <v>0</v>
      </c>
      <c r="FL682" s="2" t="n">
        <v>100</v>
      </c>
      <c r="FM682" s="2" t="n">
        <v>100</v>
      </c>
      <c r="FN682" s="2" t="n">
        <v>0</v>
      </c>
      <c r="FO682" s="2" t="n">
        <v>100</v>
      </c>
      <c r="FP682" s="2" t="n">
        <v>100</v>
      </c>
      <c r="FQ682" s="2" t="n">
        <v>0</v>
      </c>
    </row>
    <row r="683">
      <c r="A683" s="2" t="n">
        <v>4</v>
      </c>
      <c r="B683" s="2" t="inlineStr">
        <is>
          <t>31.01.03.01</t>
        </is>
      </c>
      <c r="C683" s="2" t="inlineStr">
        <is>
          <t>Piso de granito branco siena escovado, assentado com argamassa colante em pó ACIII</t>
        </is>
      </c>
      <c r="D683" s="2" t="inlineStr">
        <is>
          <t>17/02/2027</t>
        </is>
      </c>
      <c r="E683" s="2" t="inlineStr">
        <is>
          <t>02/05/2028</t>
        </is>
      </c>
      <c r="F683" s="2" t="n">
        <v>1791286.655138132</v>
      </c>
      <c r="G683" s="2" t="n">
        <v>0</v>
      </c>
      <c r="H683" s="2" t="n">
        <v>1791286.655138132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4</v>
      </c>
      <c r="CV683" s="2" t="n">
        <v>3.2</v>
      </c>
      <c r="CW683" s="2" t="n">
        <v>0</v>
      </c>
      <c r="CX683" s="2" t="n">
        <v>11.75</v>
      </c>
      <c r="CY683" s="2" t="n">
        <v>8.09</v>
      </c>
      <c r="CZ683" s="2" t="n">
        <v>0</v>
      </c>
      <c r="DA683" s="2" t="n">
        <v>18.79</v>
      </c>
      <c r="DB683" s="2" t="n">
        <v>17.04</v>
      </c>
      <c r="DC683" s="2" t="n">
        <v>0</v>
      </c>
      <c r="DD683" s="2" t="n">
        <v>24.07</v>
      </c>
      <c r="DE683" s="2" t="n">
        <v>20.96</v>
      </c>
      <c r="DF683" s="2" t="n">
        <v>0</v>
      </c>
      <c r="DG683" s="2" t="n">
        <v>28.68</v>
      </c>
      <c r="DH683" s="2" t="n">
        <v>25.44</v>
      </c>
      <c r="DI683" s="2" t="n">
        <v>0</v>
      </c>
      <c r="DJ683" s="2" t="n">
        <v>40.6</v>
      </c>
      <c r="DK683" s="2" t="n">
        <v>40.69</v>
      </c>
      <c r="DL683" s="2" t="n">
        <v>0</v>
      </c>
      <c r="DM683" s="2" t="n">
        <v>53.72</v>
      </c>
      <c r="DN683" s="2" t="n">
        <v>49.49</v>
      </c>
      <c r="DO683" s="2" t="n">
        <v>0</v>
      </c>
      <c r="DP683" s="2" t="n">
        <v>63.94</v>
      </c>
      <c r="DQ683" s="2" t="n">
        <v>65.72</v>
      </c>
      <c r="DR683" s="2" t="n">
        <v>0</v>
      </c>
      <c r="DS683" s="2" t="n">
        <v>69.72</v>
      </c>
      <c r="DT683" s="2" t="n">
        <v>69.72</v>
      </c>
      <c r="DU683" s="2" t="n">
        <v>0</v>
      </c>
      <c r="DV683" s="2" t="n">
        <v>76.39</v>
      </c>
      <c r="DW683" s="2" t="n">
        <v>76.92</v>
      </c>
      <c r="DX683" s="2" t="n">
        <v>0</v>
      </c>
      <c r="DY683" s="2" t="n">
        <v>85.72</v>
      </c>
      <c r="DZ683" s="2" t="n">
        <v>83.72</v>
      </c>
      <c r="EA683" s="2" t="n">
        <v>0</v>
      </c>
      <c r="EB683" s="2" t="n">
        <v>93.72</v>
      </c>
      <c r="EC683" s="2" t="n">
        <v>89.72</v>
      </c>
      <c r="ED683" s="2" t="n">
        <v>0</v>
      </c>
      <c r="EE683" s="2" t="n">
        <v>97.72</v>
      </c>
      <c r="EF683" s="2" t="n">
        <v>94.52</v>
      </c>
      <c r="EG683" s="2" t="n">
        <v>0</v>
      </c>
      <c r="EH683" s="2" t="n">
        <v>97.72</v>
      </c>
      <c r="EI683" s="2" t="n">
        <v>97.72</v>
      </c>
      <c r="EJ683" s="2" t="n">
        <v>0</v>
      </c>
      <c r="EK683" s="2" t="n">
        <v>99.54000000000001</v>
      </c>
      <c r="EL683" s="2" t="n">
        <v>99.54000000000001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  <c r="ET683" s="2" t="n">
        <v>100</v>
      </c>
      <c r="EU683" s="2" t="n">
        <v>100</v>
      </c>
      <c r="EV683" s="2" t="n">
        <v>0</v>
      </c>
      <c r="EW683" s="2" t="n">
        <v>100</v>
      </c>
      <c r="EX683" s="2" t="n">
        <v>100</v>
      </c>
      <c r="EY683" s="2" t="n">
        <v>0</v>
      </c>
      <c r="EZ683" s="2" t="n">
        <v>100</v>
      </c>
      <c r="FA683" s="2" t="n">
        <v>100</v>
      </c>
      <c r="FB683" s="2" t="n">
        <v>0</v>
      </c>
      <c r="FC683" s="2" t="n">
        <v>100</v>
      </c>
      <c r="FD683" s="2" t="n">
        <v>100</v>
      </c>
      <c r="FE683" s="2" t="n">
        <v>0</v>
      </c>
      <c r="FF683" s="2" t="n">
        <v>100</v>
      </c>
      <c r="FG683" s="2" t="n">
        <v>100</v>
      </c>
      <c r="FH683" s="2" t="n">
        <v>0</v>
      </c>
      <c r="FI683" s="2" t="n">
        <v>100</v>
      </c>
      <c r="FJ683" s="2" t="n">
        <v>100</v>
      </c>
      <c r="FK683" s="2" t="n">
        <v>0</v>
      </c>
      <c r="FL683" s="2" t="n">
        <v>100</v>
      </c>
      <c r="FM683" s="2" t="n">
        <v>100</v>
      </c>
      <c r="FN683" s="2" t="n">
        <v>0</v>
      </c>
      <c r="FO683" s="2" t="n">
        <v>100</v>
      </c>
      <c r="FP683" s="2" t="n">
        <v>100</v>
      </c>
      <c r="FQ683" s="2" t="n">
        <v>0</v>
      </c>
    </row>
    <row r="684">
      <c r="A684" s="2" t="n">
        <v>4</v>
      </c>
      <c r="B684" s="2" t="inlineStr">
        <is>
          <t>31.01.03.02</t>
        </is>
      </c>
      <c r="C684" s="2" t="inlineStr">
        <is>
          <t>Piso de mármore travertino romado bruto 90x135cm, assentado com argamassa colante em pó ACIII</t>
        </is>
      </c>
      <c r="D684" s="2" t="inlineStr">
        <is>
          <t>17/02/2027</t>
        </is>
      </c>
      <c r="E684" s="2" t="inlineStr">
        <is>
          <t>02/05/2028</t>
        </is>
      </c>
      <c r="F684" s="2" t="n">
        <v>2633601.059771391</v>
      </c>
      <c r="G684" s="2" t="n">
        <v>0</v>
      </c>
      <c r="H684" s="2" t="n">
        <v>2633601.059771391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4</v>
      </c>
      <c r="CV684" s="2" t="n">
        <v>3.2</v>
      </c>
      <c r="CW684" s="2" t="n">
        <v>0</v>
      </c>
      <c r="CX684" s="2" t="n">
        <v>11.75</v>
      </c>
      <c r="CY684" s="2" t="n">
        <v>8.09</v>
      </c>
      <c r="CZ684" s="2" t="n">
        <v>0</v>
      </c>
      <c r="DA684" s="2" t="n">
        <v>18.79</v>
      </c>
      <c r="DB684" s="2" t="n">
        <v>17.04</v>
      </c>
      <c r="DC684" s="2" t="n">
        <v>0</v>
      </c>
      <c r="DD684" s="2" t="n">
        <v>24.07</v>
      </c>
      <c r="DE684" s="2" t="n">
        <v>20.96</v>
      </c>
      <c r="DF684" s="2" t="n">
        <v>0</v>
      </c>
      <c r="DG684" s="2" t="n">
        <v>28.68</v>
      </c>
      <c r="DH684" s="2" t="n">
        <v>25.44</v>
      </c>
      <c r="DI684" s="2" t="n">
        <v>0</v>
      </c>
      <c r="DJ684" s="2" t="n">
        <v>40.6</v>
      </c>
      <c r="DK684" s="2" t="n">
        <v>40.69</v>
      </c>
      <c r="DL684" s="2" t="n">
        <v>0</v>
      </c>
      <c r="DM684" s="2" t="n">
        <v>53.72</v>
      </c>
      <c r="DN684" s="2" t="n">
        <v>49.49</v>
      </c>
      <c r="DO684" s="2" t="n">
        <v>0</v>
      </c>
      <c r="DP684" s="2" t="n">
        <v>63.94</v>
      </c>
      <c r="DQ684" s="2" t="n">
        <v>65.72</v>
      </c>
      <c r="DR684" s="2" t="n">
        <v>0</v>
      </c>
      <c r="DS684" s="2" t="n">
        <v>69.72</v>
      </c>
      <c r="DT684" s="2" t="n">
        <v>69.72</v>
      </c>
      <c r="DU684" s="2" t="n">
        <v>0</v>
      </c>
      <c r="DV684" s="2" t="n">
        <v>76.39</v>
      </c>
      <c r="DW684" s="2" t="n">
        <v>76.92</v>
      </c>
      <c r="DX684" s="2" t="n">
        <v>0</v>
      </c>
      <c r="DY684" s="2" t="n">
        <v>85.72</v>
      </c>
      <c r="DZ684" s="2" t="n">
        <v>83.72</v>
      </c>
      <c r="EA684" s="2" t="n">
        <v>0</v>
      </c>
      <c r="EB684" s="2" t="n">
        <v>93.72</v>
      </c>
      <c r="EC684" s="2" t="n">
        <v>89.72</v>
      </c>
      <c r="ED684" s="2" t="n">
        <v>0</v>
      </c>
      <c r="EE684" s="2" t="n">
        <v>97.72</v>
      </c>
      <c r="EF684" s="2" t="n">
        <v>94.52</v>
      </c>
      <c r="EG684" s="2" t="n">
        <v>0</v>
      </c>
      <c r="EH684" s="2" t="n">
        <v>97.72</v>
      </c>
      <c r="EI684" s="2" t="n">
        <v>97.72</v>
      </c>
      <c r="EJ684" s="2" t="n">
        <v>0</v>
      </c>
      <c r="EK684" s="2" t="n">
        <v>99.54000000000001</v>
      </c>
      <c r="EL684" s="2" t="n">
        <v>99.54000000000001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  <c r="ET684" s="2" t="n">
        <v>100</v>
      </c>
      <c r="EU684" s="2" t="n">
        <v>100</v>
      </c>
      <c r="EV684" s="2" t="n">
        <v>0</v>
      </c>
      <c r="EW684" s="2" t="n">
        <v>100</v>
      </c>
      <c r="EX684" s="2" t="n">
        <v>100</v>
      </c>
      <c r="EY684" s="2" t="n">
        <v>0</v>
      </c>
      <c r="EZ684" s="2" t="n">
        <v>100</v>
      </c>
      <c r="FA684" s="2" t="n">
        <v>100</v>
      </c>
      <c r="FB684" s="2" t="n">
        <v>0</v>
      </c>
      <c r="FC684" s="2" t="n">
        <v>100</v>
      </c>
      <c r="FD684" s="2" t="n">
        <v>100</v>
      </c>
      <c r="FE684" s="2" t="n">
        <v>0</v>
      </c>
      <c r="FF684" s="2" t="n">
        <v>100</v>
      </c>
      <c r="FG684" s="2" t="n">
        <v>100</v>
      </c>
      <c r="FH684" s="2" t="n">
        <v>0</v>
      </c>
      <c r="FI684" s="2" t="n">
        <v>100</v>
      </c>
      <c r="FJ684" s="2" t="n">
        <v>100</v>
      </c>
      <c r="FK684" s="2" t="n">
        <v>0</v>
      </c>
      <c r="FL684" s="2" t="n">
        <v>100</v>
      </c>
      <c r="FM684" s="2" t="n">
        <v>100</v>
      </c>
      <c r="FN684" s="2" t="n">
        <v>0</v>
      </c>
      <c r="FO684" s="2" t="n">
        <v>100</v>
      </c>
      <c r="FP684" s="2" t="n">
        <v>100</v>
      </c>
      <c r="FQ684" s="2" t="n">
        <v>0</v>
      </c>
    </row>
    <row r="685">
      <c r="A685" s="2" t="n">
        <v>4</v>
      </c>
      <c r="B685" s="2" t="inlineStr">
        <is>
          <t>31.01.03.03</t>
        </is>
      </c>
      <c r="C685" s="2" t="inlineStr">
        <is>
          <t>Piso de mármore travertino romado resinado (conforme melhor aproveitamento da chapa), assentado com argamassa colante em pó ACIII</t>
        </is>
      </c>
      <c r="D685" s="2" t="inlineStr">
        <is>
          <t>17/02/2027</t>
        </is>
      </c>
      <c r="E685" s="2" t="inlineStr">
        <is>
          <t>02/05/2028</t>
        </is>
      </c>
      <c r="F685" s="2" t="n">
        <v>674229.6385</v>
      </c>
      <c r="G685" s="2" t="n">
        <v>0</v>
      </c>
      <c r="H685" s="2" t="n">
        <v>674229.6385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4</v>
      </c>
      <c r="CV685" s="2" t="n">
        <v>3.2</v>
      </c>
      <c r="CW685" s="2" t="n">
        <v>0</v>
      </c>
      <c r="CX685" s="2" t="n">
        <v>11.75</v>
      </c>
      <c r="CY685" s="2" t="n">
        <v>8.09</v>
      </c>
      <c r="CZ685" s="2" t="n">
        <v>0</v>
      </c>
      <c r="DA685" s="2" t="n">
        <v>18.79</v>
      </c>
      <c r="DB685" s="2" t="n">
        <v>17.04</v>
      </c>
      <c r="DC685" s="2" t="n">
        <v>0</v>
      </c>
      <c r="DD685" s="2" t="n">
        <v>24.07</v>
      </c>
      <c r="DE685" s="2" t="n">
        <v>20.96</v>
      </c>
      <c r="DF685" s="2" t="n">
        <v>0</v>
      </c>
      <c r="DG685" s="2" t="n">
        <v>28.68</v>
      </c>
      <c r="DH685" s="2" t="n">
        <v>25.44</v>
      </c>
      <c r="DI685" s="2" t="n">
        <v>0</v>
      </c>
      <c r="DJ685" s="2" t="n">
        <v>40.6</v>
      </c>
      <c r="DK685" s="2" t="n">
        <v>40.69</v>
      </c>
      <c r="DL685" s="2" t="n">
        <v>0</v>
      </c>
      <c r="DM685" s="2" t="n">
        <v>53.72</v>
      </c>
      <c r="DN685" s="2" t="n">
        <v>49.49</v>
      </c>
      <c r="DO685" s="2" t="n">
        <v>0</v>
      </c>
      <c r="DP685" s="2" t="n">
        <v>63.94</v>
      </c>
      <c r="DQ685" s="2" t="n">
        <v>65.72</v>
      </c>
      <c r="DR685" s="2" t="n">
        <v>0</v>
      </c>
      <c r="DS685" s="2" t="n">
        <v>69.72</v>
      </c>
      <c r="DT685" s="2" t="n">
        <v>69.72</v>
      </c>
      <c r="DU685" s="2" t="n">
        <v>0</v>
      </c>
      <c r="DV685" s="2" t="n">
        <v>76.39</v>
      </c>
      <c r="DW685" s="2" t="n">
        <v>76.92</v>
      </c>
      <c r="DX685" s="2" t="n">
        <v>0</v>
      </c>
      <c r="DY685" s="2" t="n">
        <v>85.72</v>
      </c>
      <c r="DZ685" s="2" t="n">
        <v>83.72</v>
      </c>
      <c r="EA685" s="2" t="n">
        <v>0</v>
      </c>
      <c r="EB685" s="2" t="n">
        <v>93.72</v>
      </c>
      <c r="EC685" s="2" t="n">
        <v>89.72</v>
      </c>
      <c r="ED685" s="2" t="n">
        <v>0</v>
      </c>
      <c r="EE685" s="2" t="n">
        <v>97.72</v>
      </c>
      <c r="EF685" s="2" t="n">
        <v>94.52</v>
      </c>
      <c r="EG685" s="2" t="n">
        <v>0</v>
      </c>
      <c r="EH685" s="2" t="n">
        <v>97.72</v>
      </c>
      <c r="EI685" s="2" t="n">
        <v>97.72</v>
      </c>
      <c r="EJ685" s="2" t="n">
        <v>0</v>
      </c>
      <c r="EK685" s="2" t="n">
        <v>99.54000000000001</v>
      </c>
      <c r="EL685" s="2" t="n">
        <v>99.54000000000001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  <c r="ET685" s="2" t="n">
        <v>100</v>
      </c>
      <c r="EU685" s="2" t="n">
        <v>100</v>
      </c>
      <c r="EV685" s="2" t="n">
        <v>0</v>
      </c>
      <c r="EW685" s="2" t="n">
        <v>100</v>
      </c>
      <c r="EX685" s="2" t="n">
        <v>100</v>
      </c>
      <c r="EY685" s="2" t="n">
        <v>0</v>
      </c>
      <c r="EZ685" s="2" t="n">
        <v>100</v>
      </c>
      <c r="FA685" s="2" t="n">
        <v>100</v>
      </c>
      <c r="FB685" s="2" t="n">
        <v>0</v>
      </c>
      <c r="FC685" s="2" t="n">
        <v>100</v>
      </c>
      <c r="FD685" s="2" t="n">
        <v>100</v>
      </c>
      <c r="FE685" s="2" t="n">
        <v>0</v>
      </c>
      <c r="FF685" s="2" t="n">
        <v>100</v>
      </c>
      <c r="FG685" s="2" t="n">
        <v>100</v>
      </c>
      <c r="FH685" s="2" t="n">
        <v>0</v>
      </c>
      <c r="FI685" s="2" t="n">
        <v>100</v>
      </c>
      <c r="FJ685" s="2" t="n">
        <v>100</v>
      </c>
      <c r="FK685" s="2" t="n">
        <v>0</v>
      </c>
      <c r="FL685" s="2" t="n">
        <v>100</v>
      </c>
      <c r="FM685" s="2" t="n">
        <v>100</v>
      </c>
      <c r="FN685" s="2" t="n">
        <v>0</v>
      </c>
      <c r="FO685" s="2" t="n">
        <v>100</v>
      </c>
      <c r="FP685" s="2" t="n">
        <v>100</v>
      </c>
      <c r="FQ685" s="2" t="n">
        <v>0</v>
      </c>
    </row>
    <row r="686">
      <c r="A686" s="2" t="n">
        <v>4</v>
      </c>
      <c r="B686" s="2" t="inlineStr">
        <is>
          <t>31.01.03.04</t>
        </is>
      </c>
      <c r="C686" s="2" t="inlineStr">
        <is>
          <t>INT - Piso de granito santa rosa, acabamento serrado, espessura: 2cm, assentado com argamassa colante em pó ACIII</t>
        </is>
      </c>
      <c r="D686" s="2" t="inlineStr">
        <is>
          <t>17/02/2027</t>
        </is>
      </c>
      <c r="E686" s="2" t="inlineStr">
        <is>
          <t>02/05/2028</t>
        </is>
      </c>
      <c r="F686" s="2" t="n">
        <v>266560.5460846747</v>
      </c>
      <c r="G686" s="2" t="n">
        <v>0</v>
      </c>
      <c r="H686" s="2" t="n">
        <v>266560.5460846747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4</v>
      </c>
      <c r="CV686" s="2" t="n">
        <v>3.2</v>
      </c>
      <c r="CW686" s="2" t="n">
        <v>0</v>
      </c>
      <c r="CX686" s="2" t="n">
        <v>11.75</v>
      </c>
      <c r="CY686" s="2" t="n">
        <v>8.09</v>
      </c>
      <c r="CZ686" s="2" t="n">
        <v>0</v>
      </c>
      <c r="DA686" s="2" t="n">
        <v>18.79</v>
      </c>
      <c r="DB686" s="2" t="n">
        <v>17.04</v>
      </c>
      <c r="DC686" s="2" t="n">
        <v>0</v>
      </c>
      <c r="DD686" s="2" t="n">
        <v>24.07</v>
      </c>
      <c r="DE686" s="2" t="n">
        <v>20.96</v>
      </c>
      <c r="DF686" s="2" t="n">
        <v>0</v>
      </c>
      <c r="DG686" s="2" t="n">
        <v>28.68</v>
      </c>
      <c r="DH686" s="2" t="n">
        <v>25.44</v>
      </c>
      <c r="DI686" s="2" t="n">
        <v>0</v>
      </c>
      <c r="DJ686" s="2" t="n">
        <v>40.6</v>
      </c>
      <c r="DK686" s="2" t="n">
        <v>40.69</v>
      </c>
      <c r="DL686" s="2" t="n">
        <v>0</v>
      </c>
      <c r="DM686" s="2" t="n">
        <v>53.72</v>
      </c>
      <c r="DN686" s="2" t="n">
        <v>49.49</v>
      </c>
      <c r="DO686" s="2" t="n">
        <v>0</v>
      </c>
      <c r="DP686" s="2" t="n">
        <v>63.94</v>
      </c>
      <c r="DQ686" s="2" t="n">
        <v>65.72</v>
      </c>
      <c r="DR686" s="2" t="n">
        <v>0</v>
      </c>
      <c r="DS686" s="2" t="n">
        <v>69.72</v>
      </c>
      <c r="DT686" s="2" t="n">
        <v>69.72</v>
      </c>
      <c r="DU686" s="2" t="n">
        <v>0</v>
      </c>
      <c r="DV686" s="2" t="n">
        <v>76.39</v>
      </c>
      <c r="DW686" s="2" t="n">
        <v>76.92</v>
      </c>
      <c r="DX686" s="2" t="n">
        <v>0</v>
      </c>
      <c r="DY686" s="2" t="n">
        <v>85.72</v>
      </c>
      <c r="DZ686" s="2" t="n">
        <v>83.72</v>
      </c>
      <c r="EA686" s="2" t="n">
        <v>0</v>
      </c>
      <c r="EB686" s="2" t="n">
        <v>93.72</v>
      </c>
      <c r="EC686" s="2" t="n">
        <v>89.72</v>
      </c>
      <c r="ED686" s="2" t="n">
        <v>0</v>
      </c>
      <c r="EE686" s="2" t="n">
        <v>97.72</v>
      </c>
      <c r="EF686" s="2" t="n">
        <v>94.52</v>
      </c>
      <c r="EG686" s="2" t="n">
        <v>0</v>
      </c>
      <c r="EH686" s="2" t="n">
        <v>97.72</v>
      </c>
      <c r="EI686" s="2" t="n">
        <v>97.72</v>
      </c>
      <c r="EJ686" s="2" t="n">
        <v>0</v>
      </c>
      <c r="EK686" s="2" t="n">
        <v>99.54000000000001</v>
      </c>
      <c r="EL686" s="2" t="n">
        <v>99.54000000000001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  <c r="ET686" s="2" t="n">
        <v>100</v>
      </c>
      <c r="EU686" s="2" t="n">
        <v>100</v>
      </c>
      <c r="EV686" s="2" t="n">
        <v>0</v>
      </c>
      <c r="EW686" s="2" t="n">
        <v>100</v>
      </c>
      <c r="EX686" s="2" t="n">
        <v>100</v>
      </c>
      <c r="EY686" s="2" t="n">
        <v>0</v>
      </c>
      <c r="EZ686" s="2" t="n">
        <v>100</v>
      </c>
      <c r="FA686" s="2" t="n">
        <v>100</v>
      </c>
      <c r="FB686" s="2" t="n">
        <v>0</v>
      </c>
      <c r="FC686" s="2" t="n">
        <v>100</v>
      </c>
      <c r="FD686" s="2" t="n">
        <v>100</v>
      </c>
      <c r="FE686" s="2" t="n">
        <v>0</v>
      </c>
      <c r="FF686" s="2" t="n">
        <v>100</v>
      </c>
      <c r="FG686" s="2" t="n">
        <v>100</v>
      </c>
      <c r="FH686" s="2" t="n">
        <v>0</v>
      </c>
      <c r="FI686" s="2" t="n">
        <v>100</v>
      </c>
      <c r="FJ686" s="2" t="n">
        <v>100</v>
      </c>
      <c r="FK686" s="2" t="n">
        <v>0</v>
      </c>
      <c r="FL686" s="2" t="n">
        <v>100</v>
      </c>
      <c r="FM686" s="2" t="n">
        <v>100</v>
      </c>
      <c r="FN686" s="2" t="n">
        <v>0</v>
      </c>
      <c r="FO686" s="2" t="n">
        <v>100</v>
      </c>
      <c r="FP686" s="2" t="n">
        <v>100</v>
      </c>
      <c r="FQ686" s="2" t="n">
        <v>0</v>
      </c>
    </row>
    <row r="687">
      <c r="A687" s="2" t="n">
        <v>4</v>
      </c>
      <c r="B687" s="2" t="inlineStr">
        <is>
          <t>31.01.03.05</t>
        </is>
      </c>
      <c r="C687" s="2" t="inlineStr">
        <is>
          <t>INT -Piso terrazo donata branco - 192x96, espessura: 2,5cm, assentado com argamassa colante em pó ACIII</t>
        </is>
      </c>
      <c r="D687" s="2" t="inlineStr">
        <is>
          <t>17/02/2027</t>
        </is>
      </c>
      <c r="E687" s="2" t="inlineStr">
        <is>
          <t>02/05/2028</t>
        </is>
      </c>
      <c r="F687" s="2" t="n">
        <v>365827</v>
      </c>
      <c r="G687" s="2" t="n">
        <v>0</v>
      </c>
      <c r="H687" s="2" t="n">
        <v>365827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4</v>
      </c>
      <c r="CV687" s="2" t="n">
        <v>3.2</v>
      </c>
      <c r="CW687" s="2" t="n">
        <v>0</v>
      </c>
      <c r="CX687" s="2" t="n">
        <v>11.75</v>
      </c>
      <c r="CY687" s="2" t="n">
        <v>8.09</v>
      </c>
      <c r="CZ687" s="2" t="n">
        <v>0</v>
      </c>
      <c r="DA687" s="2" t="n">
        <v>18.79</v>
      </c>
      <c r="DB687" s="2" t="n">
        <v>17.04</v>
      </c>
      <c r="DC687" s="2" t="n">
        <v>0</v>
      </c>
      <c r="DD687" s="2" t="n">
        <v>24.07</v>
      </c>
      <c r="DE687" s="2" t="n">
        <v>20.96</v>
      </c>
      <c r="DF687" s="2" t="n">
        <v>0</v>
      </c>
      <c r="DG687" s="2" t="n">
        <v>28.68</v>
      </c>
      <c r="DH687" s="2" t="n">
        <v>25.44</v>
      </c>
      <c r="DI687" s="2" t="n">
        <v>0</v>
      </c>
      <c r="DJ687" s="2" t="n">
        <v>40.6</v>
      </c>
      <c r="DK687" s="2" t="n">
        <v>40.69</v>
      </c>
      <c r="DL687" s="2" t="n">
        <v>0</v>
      </c>
      <c r="DM687" s="2" t="n">
        <v>53.72</v>
      </c>
      <c r="DN687" s="2" t="n">
        <v>49.49</v>
      </c>
      <c r="DO687" s="2" t="n">
        <v>0</v>
      </c>
      <c r="DP687" s="2" t="n">
        <v>63.94</v>
      </c>
      <c r="DQ687" s="2" t="n">
        <v>65.72</v>
      </c>
      <c r="DR687" s="2" t="n">
        <v>0</v>
      </c>
      <c r="DS687" s="2" t="n">
        <v>69.72</v>
      </c>
      <c r="DT687" s="2" t="n">
        <v>69.72</v>
      </c>
      <c r="DU687" s="2" t="n">
        <v>0</v>
      </c>
      <c r="DV687" s="2" t="n">
        <v>76.39</v>
      </c>
      <c r="DW687" s="2" t="n">
        <v>76.92</v>
      </c>
      <c r="DX687" s="2" t="n">
        <v>0</v>
      </c>
      <c r="DY687" s="2" t="n">
        <v>85.72</v>
      </c>
      <c r="DZ687" s="2" t="n">
        <v>83.72</v>
      </c>
      <c r="EA687" s="2" t="n">
        <v>0</v>
      </c>
      <c r="EB687" s="2" t="n">
        <v>93.72</v>
      </c>
      <c r="EC687" s="2" t="n">
        <v>89.72</v>
      </c>
      <c r="ED687" s="2" t="n">
        <v>0</v>
      </c>
      <c r="EE687" s="2" t="n">
        <v>97.72</v>
      </c>
      <c r="EF687" s="2" t="n">
        <v>94.52</v>
      </c>
      <c r="EG687" s="2" t="n">
        <v>0</v>
      </c>
      <c r="EH687" s="2" t="n">
        <v>97.72</v>
      </c>
      <c r="EI687" s="2" t="n">
        <v>97.72</v>
      </c>
      <c r="EJ687" s="2" t="n">
        <v>0</v>
      </c>
      <c r="EK687" s="2" t="n">
        <v>99.54000000000001</v>
      </c>
      <c r="EL687" s="2" t="n">
        <v>99.54000000000001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  <c r="ET687" s="2" t="n">
        <v>100</v>
      </c>
      <c r="EU687" s="2" t="n">
        <v>100</v>
      </c>
      <c r="EV687" s="2" t="n">
        <v>0</v>
      </c>
      <c r="EW687" s="2" t="n">
        <v>100</v>
      </c>
      <c r="EX687" s="2" t="n">
        <v>100</v>
      </c>
      <c r="EY687" s="2" t="n">
        <v>0</v>
      </c>
      <c r="EZ687" s="2" t="n">
        <v>100</v>
      </c>
      <c r="FA687" s="2" t="n">
        <v>100</v>
      </c>
      <c r="FB687" s="2" t="n">
        <v>0</v>
      </c>
      <c r="FC687" s="2" t="n">
        <v>100</v>
      </c>
      <c r="FD687" s="2" t="n">
        <v>100</v>
      </c>
      <c r="FE687" s="2" t="n">
        <v>0</v>
      </c>
      <c r="FF687" s="2" t="n">
        <v>100</v>
      </c>
      <c r="FG687" s="2" t="n">
        <v>100</v>
      </c>
      <c r="FH687" s="2" t="n">
        <v>0</v>
      </c>
      <c r="FI687" s="2" t="n">
        <v>100</v>
      </c>
      <c r="FJ687" s="2" t="n">
        <v>100</v>
      </c>
      <c r="FK687" s="2" t="n">
        <v>0</v>
      </c>
      <c r="FL687" s="2" t="n">
        <v>100</v>
      </c>
      <c r="FM687" s="2" t="n">
        <v>100</v>
      </c>
      <c r="FN687" s="2" t="n">
        <v>0</v>
      </c>
      <c r="FO687" s="2" t="n">
        <v>100</v>
      </c>
      <c r="FP687" s="2" t="n">
        <v>100</v>
      </c>
      <c r="FQ687" s="2" t="n">
        <v>0</v>
      </c>
    </row>
    <row r="688">
      <c r="A688" s="2" t="n">
        <v>4</v>
      </c>
      <c r="B688" s="2" t="inlineStr">
        <is>
          <t>31.01.03.06</t>
        </is>
      </c>
      <c r="C688" s="2" t="inlineStr">
        <is>
          <t>INT - Piso de mármore branco selecionado, lote a ser aprovado. Espessura: 2cm, assentado com argamassa colante em pó ACIII</t>
        </is>
      </c>
      <c r="D688" s="2" t="inlineStr">
        <is>
          <t>17/02/2027</t>
        </is>
      </c>
      <c r="E688" s="2" t="inlineStr">
        <is>
          <t>02/05/2028</t>
        </is>
      </c>
      <c r="F688" s="2" t="n">
        <v>196000.312188143</v>
      </c>
      <c r="G688" s="2" t="n">
        <v>0</v>
      </c>
      <c r="H688" s="2" t="n">
        <v>196000.312188143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</v>
      </c>
      <c r="CJ688" s="2" t="n">
        <v>0</v>
      </c>
      <c r="CK688" s="2" t="n">
        <v>0</v>
      </c>
      <c r="CL688" s="2" t="n">
        <v>0</v>
      </c>
      <c r="CM688" s="2" t="n">
        <v>0</v>
      </c>
      <c r="CN688" s="2" t="n">
        <v>0</v>
      </c>
      <c r="CO688" s="2" t="n">
        <v>0</v>
      </c>
      <c r="CP688" s="2" t="n">
        <v>0</v>
      </c>
      <c r="CQ688" s="2" t="n">
        <v>0</v>
      </c>
      <c r="CR688" s="2" t="n">
        <v>0</v>
      </c>
      <c r="CS688" s="2" t="n">
        <v>0</v>
      </c>
      <c r="CT688" s="2" t="n">
        <v>0</v>
      </c>
      <c r="CU688" s="2" t="n">
        <v>4</v>
      </c>
      <c r="CV688" s="2" t="n">
        <v>3.2</v>
      </c>
      <c r="CW688" s="2" t="n">
        <v>0</v>
      </c>
      <c r="CX688" s="2" t="n">
        <v>11.75</v>
      </c>
      <c r="CY688" s="2" t="n">
        <v>8.09</v>
      </c>
      <c r="CZ688" s="2" t="n">
        <v>0</v>
      </c>
      <c r="DA688" s="2" t="n">
        <v>18.79</v>
      </c>
      <c r="DB688" s="2" t="n">
        <v>17.04</v>
      </c>
      <c r="DC688" s="2" t="n">
        <v>0</v>
      </c>
      <c r="DD688" s="2" t="n">
        <v>24.07</v>
      </c>
      <c r="DE688" s="2" t="n">
        <v>20.96</v>
      </c>
      <c r="DF688" s="2" t="n">
        <v>0</v>
      </c>
      <c r="DG688" s="2" t="n">
        <v>28.68</v>
      </c>
      <c r="DH688" s="2" t="n">
        <v>25.44</v>
      </c>
      <c r="DI688" s="2" t="n">
        <v>0</v>
      </c>
      <c r="DJ688" s="2" t="n">
        <v>40.6</v>
      </c>
      <c r="DK688" s="2" t="n">
        <v>40.69</v>
      </c>
      <c r="DL688" s="2" t="n">
        <v>0</v>
      </c>
      <c r="DM688" s="2" t="n">
        <v>53.72</v>
      </c>
      <c r="DN688" s="2" t="n">
        <v>49.49</v>
      </c>
      <c r="DO688" s="2" t="n">
        <v>0</v>
      </c>
      <c r="DP688" s="2" t="n">
        <v>63.94</v>
      </c>
      <c r="DQ688" s="2" t="n">
        <v>65.72</v>
      </c>
      <c r="DR688" s="2" t="n">
        <v>0</v>
      </c>
      <c r="DS688" s="2" t="n">
        <v>69.72</v>
      </c>
      <c r="DT688" s="2" t="n">
        <v>69.72</v>
      </c>
      <c r="DU688" s="2" t="n">
        <v>0</v>
      </c>
      <c r="DV688" s="2" t="n">
        <v>76.39</v>
      </c>
      <c r="DW688" s="2" t="n">
        <v>76.92</v>
      </c>
      <c r="DX688" s="2" t="n">
        <v>0</v>
      </c>
      <c r="DY688" s="2" t="n">
        <v>85.72</v>
      </c>
      <c r="DZ688" s="2" t="n">
        <v>83.72</v>
      </c>
      <c r="EA688" s="2" t="n">
        <v>0</v>
      </c>
      <c r="EB688" s="2" t="n">
        <v>93.72</v>
      </c>
      <c r="EC688" s="2" t="n">
        <v>89.72</v>
      </c>
      <c r="ED688" s="2" t="n">
        <v>0</v>
      </c>
      <c r="EE688" s="2" t="n">
        <v>97.72</v>
      </c>
      <c r="EF688" s="2" t="n">
        <v>94.52</v>
      </c>
      <c r="EG688" s="2" t="n">
        <v>0</v>
      </c>
      <c r="EH688" s="2" t="n">
        <v>97.72</v>
      </c>
      <c r="EI688" s="2" t="n">
        <v>97.72</v>
      </c>
      <c r="EJ688" s="2" t="n">
        <v>0</v>
      </c>
      <c r="EK688" s="2" t="n">
        <v>99.54000000000001</v>
      </c>
      <c r="EL688" s="2" t="n">
        <v>99.54000000000001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  <c r="ET688" s="2" t="n">
        <v>100</v>
      </c>
      <c r="EU688" s="2" t="n">
        <v>100</v>
      </c>
      <c r="EV688" s="2" t="n">
        <v>0</v>
      </c>
      <c r="EW688" s="2" t="n">
        <v>100</v>
      </c>
      <c r="EX688" s="2" t="n">
        <v>100</v>
      </c>
      <c r="EY688" s="2" t="n">
        <v>0</v>
      </c>
      <c r="EZ688" s="2" t="n">
        <v>100</v>
      </c>
      <c r="FA688" s="2" t="n">
        <v>100</v>
      </c>
      <c r="FB688" s="2" t="n">
        <v>0</v>
      </c>
      <c r="FC688" s="2" t="n">
        <v>100</v>
      </c>
      <c r="FD688" s="2" t="n">
        <v>100</v>
      </c>
      <c r="FE688" s="2" t="n">
        <v>0</v>
      </c>
      <c r="FF688" s="2" t="n">
        <v>100</v>
      </c>
      <c r="FG688" s="2" t="n">
        <v>100</v>
      </c>
      <c r="FH688" s="2" t="n">
        <v>0</v>
      </c>
      <c r="FI688" s="2" t="n">
        <v>100</v>
      </c>
      <c r="FJ688" s="2" t="n">
        <v>100</v>
      </c>
      <c r="FK688" s="2" t="n">
        <v>0</v>
      </c>
      <c r="FL688" s="2" t="n">
        <v>100</v>
      </c>
      <c r="FM688" s="2" t="n">
        <v>100</v>
      </c>
      <c r="FN688" s="2" t="n">
        <v>0</v>
      </c>
      <c r="FO688" s="2" t="n">
        <v>100</v>
      </c>
      <c r="FP688" s="2" t="n">
        <v>100</v>
      </c>
      <c r="FQ688" s="2" t="n">
        <v>0</v>
      </c>
    </row>
    <row r="689">
      <c r="A689" s="2" t="n">
        <v>4</v>
      </c>
      <c r="B689" s="2" t="inlineStr">
        <is>
          <t>31.01.03.07</t>
        </is>
      </c>
      <c r="C689" s="2" t="inlineStr">
        <is>
          <t>INT - Piso em pedra natural Basaltina, esp.: 2cm, dimensão e paginação conforme detalhamento, assentado com argamassa de cimento e areia</t>
        </is>
      </c>
      <c r="D689" s="2" t="inlineStr">
        <is>
          <t>17/02/2027</t>
        </is>
      </c>
      <c r="E689" s="2" t="inlineStr">
        <is>
          <t>02/05/2028</t>
        </is>
      </c>
      <c r="F689" s="2" t="n">
        <v>519380.1896430671</v>
      </c>
      <c r="G689" s="2" t="n">
        <v>0</v>
      </c>
      <c r="H689" s="2" t="n">
        <v>519380.1896430671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</v>
      </c>
      <c r="CJ689" s="2" t="n">
        <v>0</v>
      </c>
      <c r="CK689" s="2" t="n">
        <v>0</v>
      </c>
      <c r="CL689" s="2" t="n">
        <v>0</v>
      </c>
      <c r="CM689" s="2" t="n">
        <v>0</v>
      </c>
      <c r="CN689" s="2" t="n">
        <v>0</v>
      </c>
      <c r="CO689" s="2" t="n">
        <v>0</v>
      </c>
      <c r="CP689" s="2" t="n">
        <v>0</v>
      </c>
      <c r="CQ689" s="2" t="n">
        <v>0</v>
      </c>
      <c r="CR689" s="2" t="n">
        <v>0</v>
      </c>
      <c r="CS689" s="2" t="n">
        <v>0</v>
      </c>
      <c r="CT689" s="2" t="n">
        <v>0</v>
      </c>
      <c r="CU689" s="2" t="n">
        <v>4</v>
      </c>
      <c r="CV689" s="2" t="n">
        <v>3.2</v>
      </c>
      <c r="CW689" s="2" t="n">
        <v>0</v>
      </c>
      <c r="CX689" s="2" t="n">
        <v>11.75</v>
      </c>
      <c r="CY689" s="2" t="n">
        <v>8.09</v>
      </c>
      <c r="CZ689" s="2" t="n">
        <v>0</v>
      </c>
      <c r="DA689" s="2" t="n">
        <v>18.79</v>
      </c>
      <c r="DB689" s="2" t="n">
        <v>17.04</v>
      </c>
      <c r="DC689" s="2" t="n">
        <v>0</v>
      </c>
      <c r="DD689" s="2" t="n">
        <v>24.07</v>
      </c>
      <c r="DE689" s="2" t="n">
        <v>20.96</v>
      </c>
      <c r="DF689" s="2" t="n">
        <v>0</v>
      </c>
      <c r="DG689" s="2" t="n">
        <v>28.68</v>
      </c>
      <c r="DH689" s="2" t="n">
        <v>25.44</v>
      </c>
      <c r="DI689" s="2" t="n">
        <v>0</v>
      </c>
      <c r="DJ689" s="2" t="n">
        <v>40.6</v>
      </c>
      <c r="DK689" s="2" t="n">
        <v>40.69</v>
      </c>
      <c r="DL689" s="2" t="n">
        <v>0</v>
      </c>
      <c r="DM689" s="2" t="n">
        <v>53.72</v>
      </c>
      <c r="DN689" s="2" t="n">
        <v>49.49</v>
      </c>
      <c r="DO689" s="2" t="n">
        <v>0</v>
      </c>
      <c r="DP689" s="2" t="n">
        <v>63.94</v>
      </c>
      <c r="DQ689" s="2" t="n">
        <v>65.72</v>
      </c>
      <c r="DR689" s="2" t="n">
        <v>0</v>
      </c>
      <c r="DS689" s="2" t="n">
        <v>69.72</v>
      </c>
      <c r="DT689" s="2" t="n">
        <v>69.72</v>
      </c>
      <c r="DU689" s="2" t="n">
        <v>0</v>
      </c>
      <c r="DV689" s="2" t="n">
        <v>76.39</v>
      </c>
      <c r="DW689" s="2" t="n">
        <v>76.92</v>
      </c>
      <c r="DX689" s="2" t="n">
        <v>0</v>
      </c>
      <c r="DY689" s="2" t="n">
        <v>85.72</v>
      </c>
      <c r="DZ689" s="2" t="n">
        <v>83.72</v>
      </c>
      <c r="EA689" s="2" t="n">
        <v>0</v>
      </c>
      <c r="EB689" s="2" t="n">
        <v>93.72</v>
      </c>
      <c r="EC689" s="2" t="n">
        <v>89.72</v>
      </c>
      <c r="ED689" s="2" t="n">
        <v>0</v>
      </c>
      <c r="EE689" s="2" t="n">
        <v>97.72</v>
      </c>
      <c r="EF689" s="2" t="n">
        <v>94.52</v>
      </c>
      <c r="EG689" s="2" t="n">
        <v>0</v>
      </c>
      <c r="EH689" s="2" t="n">
        <v>97.72</v>
      </c>
      <c r="EI689" s="2" t="n">
        <v>97.72</v>
      </c>
      <c r="EJ689" s="2" t="n">
        <v>0</v>
      </c>
      <c r="EK689" s="2" t="n">
        <v>99.54000000000001</v>
      </c>
      <c r="EL689" s="2" t="n">
        <v>99.54000000000001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  <c r="ET689" s="2" t="n">
        <v>100</v>
      </c>
      <c r="EU689" s="2" t="n">
        <v>100</v>
      </c>
      <c r="EV689" s="2" t="n">
        <v>0</v>
      </c>
      <c r="EW689" s="2" t="n">
        <v>100</v>
      </c>
      <c r="EX689" s="2" t="n">
        <v>100</v>
      </c>
      <c r="EY689" s="2" t="n">
        <v>0</v>
      </c>
      <c r="EZ689" s="2" t="n">
        <v>100</v>
      </c>
      <c r="FA689" s="2" t="n">
        <v>100</v>
      </c>
      <c r="FB689" s="2" t="n">
        <v>0</v>
      </c>
      <c r="FC689" s="2" t="n">
        <v>100</v>
      </c>
      <c r="FD689" s="2" t="n">
        <v>100</v>
      </c>
      <c r="FE689" s="2" t="n">
        <v>0</v>
      </c>
      <c r="FF689" s="2" t="n">
        <v>100</v>
      </c>
      <c r="FG689" s="2" t="n">
        <v>100</v>
      </c>
      <c r="FH689" s="2" t="n">
        <v>0</v>
      </c>
      <c r="FI689" s="2" t="n">
        <v>100</v>
      </c>
      <c r="FJ689" s="2" t="n">
        <v>100</v>
      </c>
      <c r="FK689" s="2" t="n">
        <v>0</v>
      </c>
      <c r="FL689" s="2" t="n">
        <v>100</v>
      </c>
      <c r="FM689" s="2" t="n">
        <v>100</v>
      </c>
      <c r="FN689" s="2" t="n">
        <v>0</v>
      </c>
      <c r="FO689" s="2" t="n">
        <v>100</v>
      </c>
      <c r="FP689" s="2" t="n">
        <v>100</v>
      </c>
      <c r="FQ689" s="2" t="n">
        <v>0</v>
      </c>
    </row>
    <row r="690">
      <c r="A690" s="2" t="n">
        <v>4</v>
      </c>
      <c r="B690" s="2" t="inlineStr">
        <is>
          <t>31.01.03.08</t>
        </is>
      </c>
      <c r="C690" s="2" t="inlineStr">
        <is>
          <t>Tratamento de polimento e impermeabilização das pedras nos piso de área comum</t>
        </is>
      </c>
      <c r="D690" s="2" t="inlineStr">
        <is>
          <t>17/02/2027</t>
        </is>
      </c>
      <c r="E690" s="2" t="inlineStr">
        <is>
          <t>02/05/2028</t>
        </is>
      </c>
      <c r="F690" s="2" t="n">
        <v>74224.79999999999</v>
      </c>
      <c r="G690" s="2" t="n">
        <v>0</v>
      </c>
      <c r="H690" s="2" t="n">
        <v>74224.79999999999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</v>
      </c>
      <c r="CJ690" s="2" t="n">
        <v>0</v>
      </c>
      <c r="CK690" s="2" t="n">
        <v>0</v>
      </c>
      <c r="CL690" s="2" t="n">
        <v>0</v>
      </c>
      <c r="CM690" s="2" t="n">
        <v>0</v>
      </c>
      <c r="CN690" s="2" t="n">
        <v>0</v>
      </c>
      <c r="CO690" s="2" t="n">
        <v>0</v>
      </c>
      <c r="CP690" s="2" t="n">
        <v>0</v>
      </c>
      <c r="CQ690" s="2" t="n">
        <v>0</v>
      </c>
      <c r="CR690" s="2" t="n">
        <v>0</v>
      </c>
      <c r="CS690" s="2" t="n">
        <v>0</v>
      </c>
      <c r="CT690" s="2" t="n">
        <v>0</v>
      </c>
      <c r="CU690" s="2" t="n">
        <v>4</v>
      </c>
      <c r="CV690" s="2" t="n">
        <v>3.2</v>
      </c>
      <c r="CW690" s="2" t="n">
        <v>0</v>
      </c>
      <c r="CX690" s="2" t="n">
        <v>11.75</v>
      </c>
      <c r="CY690" s="2" t="n">
        <v>8.09</v>
      </c>
      <c r="CZ690" s="2" t="n">
        <v>0</v>
      </c>
      <c r="DA690" s="2" t="n">
        <v>18.79</v>
      </c>
      <c r="DB690" s="2" t="n">
        <v>17.04</v>
      </c>
      <c r="DC690" s="2" t="n">
        <v>0</v>
      </c>
      <c r="DD690" s="2" t="n">
        <v>24.07</v>
      </c>
      <c r="DE690" s="2" t="n">
        <v>20.96</v>
      </c>
      <c r="DF690" s="2" t="n">
        <v>0</v>
      </c>
      <c r="DG690" s="2" t="n">
        <v>28.68</v>
      </c>
      <c r="DH690" s="2" t="n">
        <v>25.44</v>
      </c>
      <c r="DI690" s="2" t="n">
        <v>0</v>
      </c>
      <c r="DJ690" s="2" t="n">
        <v>40.6</v>
      </c>
      <c r="DK690" s="2" t="n">
        <v>40.69</v>
      </c>
      <c r="DL690" s="2" t="n">
        <v>0</v>
      </c>
      <c r="DM690" s="2" t="n">
        <v>53.72</v>
      </c>
      <c r="DN690" s="2" t="n">
        <v>49.49</v>
      </c>
      <c r="DO690" s="2" t="n">
        <v>0</v>
      </c>
      <c r="DP690" s="2" t="n">
        <v>63.94</v>
      </c>
      <c r="DQ690" s="2" t="n">
        <v>65.72</v>
      </c>
      <c r="DR690" s="2" t="n">
        <v>0</v>
      </c>
      <c r="DS690" s="2" t="n">
        <v>69.72</v>
      </c>
      <c r="DT690" s="2" t="n">
        <v>69.72</v>
      </c>
      <c r="DU690" s="2" t="n">
        <v>0</v>
      </c>
      <c r="DV690" s="2" t="n">
        <v>76.39</v>
      </c>
      <c r="DW690" s="2" t="n">
        <v>76.92</v>
      </c>
      <c r="DX690" s="2" t="n">
        <v>0</v>
      </c>
      <c r="DY690" s="2" t="n">
        <v>85.72</v>
      </c>
      <c r="DZ690" s="2" t="n">
        <v>83.72</v>
      </c>
      <c r="EA690" s="2" t="n">
        <v>0</v>
      </c>
      <c r="EB690" s="2" t="n">
        <v>93.72</v>
      </c>
      <c r="EC690" s="2" t="n">
        <v>89.72</v>
      </c>
      <c r="ED690" s="2" t="n">
        <v>0</v>
      </c>
      <c r="EE690" s="2" t="n">
        <v>97.72</v>
      </c>
      <c r="EF690" s="2" t="n">
        <v>94.52</v>
      </c>
      <c r="EG690" s="2" t="n">
        <v>0</v>
      </c>
      <c r="EH690" s="2" t="n">
        <v>97.72</v>
      </c>
      <c r="EI690" s="2" t="n">
        <v>97.72</v>
      </c>
      <c r="EJ690" s="2" t="n">
        <v>0</v>
      </c>
      <c r="EK690" s="2" t="n">
        <v>99.54000000000001</v>
      </c>
      <c r="EL690" s="2" t="n">
        <v>99.54000000000001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  <c r="ET690" s="2" t="n">
        <v>100</v>
      </c>
      <c r="EU690" s="2" t="n">
        <v>100</v>
      </c>
      <c r="EV690" s="2" t="n">
        <v>0</v>
      </c>
      <c r="EW690" s="2" t="n">
        <v>100</v>
      </c>
      <c r="EX690" s="2" t="n">
        <v>100</v>
      </c>
      <c r="EY690" s="2" t="n">
        <v>0</v>
      </c>
      <c r="EZ690" s="2" t="n">
        <v>100</v>
      </c>
      <c r="FA690" s="2" t="n">
        <v>100</v>
      </c>
      <c r="FB690" s="2" t="n">
        <v>0</v>
      </c>
      <c r="FC690" s="2" t="n">
        <v>100</v>
      </c>
      <c r="FD690" s="2" t="n">
        <v>100</v>
      </c>
      <c r="FE690" s="2" t="n">
        <v>0</v>
      </c>
      <c r="FF690" s="2" t="n">
        <v>100</v>
      </c>
      <c r="FG690" s="2" t="n">
        <v>100</v>
      </c>
      <c r="FH690" s="2" t="n">
        <v>0</v>
      </c>
      <c r="FI690" s="2" t="n">
        <v>100</v>
      </c>
      <c r="FJ690" s="2" t="n">
        <v>100</v>
      </c>
      <c r="FK690" s="2" t="n">
        <v>0</v>
      </c>
      <c r="FL690" s="2" t="n">
        <v>100</v>
      </c>
      <c r="FM690" s="2" t="n">
        <v>100</v>
      </c>
      <c r="FN690" s="2" t="n">
        <v>0</v>
      </c>
      <c r="FO690" s="2" t="n">
        <v>100</v>
      </c>
      <c r="FP690" s="2" t="n">
        <v>100</v>
      </c>
      <c r="FQ690" s="2" t="n">
        <v>0</v>
      </c>
    </row>
    <row r="691">
      <c r="A691" s="2" t="n">
        <v>3</v>
      </c>
      <c r="B691" s="2" t="inlineStr">
        <is>
          <t>31.01.04</t>
        </is>
      </c>
      <c r="C691" s="2" t="inlineStr">
        <is>
          <t>Pisos de Madeira</t>
        </is>
      </c>
      <c r="D691" s="2" t="inlineStr">
        <is>
          <t>21/06/2027</t>
        </is>
      </c>
      <c r="E691" s="2" t="inlineStr">
        <is>
          <t>04/09/2028</t>
        </is>
      </c>
      <c r="F691" s="2" t="n">
        <v>2248638.6576</v>
      </c>
      <c r="G691" s="2" t="n">
        <v>0</v>
      </c>
      <c r="H691" s="2" t="n">
        <v>2248638.6576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</v>
      </c>
      <c r="CJ691" s="2" t="n">
        <v>0</v>
      </c>
      <c r="CK691" s="2" t="n">
        <v>0</v>
      </c>
      <c r="CL691" s="2" t="n">
        <v>0</v>
      </c>
      <c r="CM691" s="2" t="n">
        <v>0</v>
      </c>
      <c r="CN691" s="2" t="n">
        <v>0</v>
      </c>
      <c r="CO691" s="2" t="n">
        <v>0</v>
      </c>
      <c r="CP691" s="2" t="n">
        <v>0</v>
      </c>
      <c r="CQ691" s="2" t="n">
        <v>0</v>
      </c>
      <c r="CR691" s="2" t="n">
        <v>0</v>
      </c>
      <c r="CS691" s="2" t="n">
        <v>0</v>
      </c>
      <c r="CT691" s="2" t="n">
        <v>0</v>
      </c>
      <c r="CU691" s="2" t="n">
        <v>0</v>
      </c>
      <c r="CV691" s="2" t="n">
        <v>0</v>
      </c>
      <c r="CW691" s="2" t="n">
        <v>0</v>
      </c>
      <c r="CX691" s="2" t="n">
        <v>0</v>
      </c>
      <c r="CY691" s="2" t="n">
        <v>0</v>
      </c>
      <c r="CZ691" s="2" t="n">
        <v>0</v>
      </c>
      <c r="DA691" s="2" t="n">
        <v>0</v>
      </c>
      <c r="DB691" s="2" t="n">
        <v>0</v>
      </c>
      <c r="DC691" s="2" t="n">
        <v>0</v>
      </c>
      <c r="DD691" s="2" t="n">
        <v>2.08</v>
      </c>
      <c r="DE691" s="2" t="n">
        <v>0</v>
      </c>
      <c r="DF691" s="2" t="n">
        <v>0</v>
      </c>
      <c r="DG691" s="2" t="n">
        <v>9.039999999999999</v>
      </c>
      <c r="DH691" s="2" t="n">
        <v>2.89</v>
      </c>
      <c r="DI691" s="2" t="n">
        <v>0</v>
      </c>
      <c r="DJ691" s="2" t="n">
        <v>13.65</v>
      </c>
      <c r="DK691" s="2" t="n">
        <v>9.039999999999999</v>
      </c>
      <c r="DL691" s="2" t="n">
        <v>0</v>
      </c>
      <c r="DM691" s="2" t="n">
        <v>18.07</v>
      </c>
      <c r="DN691" s="2" t="n">
        <v>9.039999999999999</v>
      </c>
      <c r="DO691" s="2" t="n">
        <v>0</v>
      </c>
      <c r="DP691" s="2" t="n">
        <v>23.68</v>
      </c>
      <c r="DQ691" s="2" t="n">
        <v>13.66</v>
      </c>
      <c r="DR691" s="2" t="n">
        <v>0</v>
      </c>
      <c r="DS691" s="2" t="n">
        <v>30.46</v>
      </c>
      <c r="DT691" s="2" t="n">
        <v>24.77</v>
      </c>
      <c r="DU691" s="2" t="n">
        <v>0</v>
      </c>
      <c r="DV691" s="2" t="n">
        <v>46.14</v>
      </c>
      <c r="DW691" s="2" t="n">
        <v>32.54</v>
      </c>
      <c r="DX691" s="2" t="n">
        <v>0</v>
      </c>
      <c r="DY691" s="2" t="n">
        <v>56.89</v>
      </c>
      <c r="DZ691" s="2" t="n">
        <v>36.25</v>
      </c>
      <c r="EA691" s="2" t="n">
        <v>0</v>
      </c>
      <c r="EB691" s="2" t="n">
        <v>68.45999999999999</v>
      </c>
      <c r="EC691" s="2" t="n">
        <v>41.58</v>
      </c>
      <c r="ED691" s="2" t="n">
        <v>0</v>
      </c>
      <c r="EE691" s="2" t="n">
        <v>79.76000000000001</v>
      </c>
      <c r="EF691" s="2" t="n">
        <v>51.88</v>
      </c>
      <c r="EG691" s="2" t="n">
        <v>0</v>
      </c>
      <c r="EH691" s="2" t="n">
        <v>92.23</v>
      </c>
      <c r="EI691" s="2" t="n">
        <v>66.73999999999999</v>
      </c>
      <c r="EJ691" s="2" t="n">
        <v>0</v>
      </c>
      <c r="EK691" s="2" t="n">
        <v>100</v>
      </c>
      <c r="EL691" s="2" t="n">
        <v>72.89</v>
      </c>
      <c r="EM691" s="2" t="n">
        <v>0</v>
      </c>
      <c r="EN691" s="2" t="n">
        <v>100</v>
      </c>
      <c r="EO691" s="2" t="n">
        <v>77.68000000000001</v>
      </c>
      <c r="EP691" s="2" t="n">
        <v>0</v>
      </c>
      <c r="EQ691" s="2" t="n">
        <v>100</v>
      </c>
      <c r="ER691" s="2" t="n">
        <v>85.63</v>
      </c>
      <c r="ES691" s="2" t="n">
        <v>0</v>
      </c>
      <c r="ET691" s="2" t="n">
        <v>100</v>
      </c>
      <c r="EU691" s="2" t="n">
        <v>90.95999999999999</v>
      </c>
      <c r="EV691" s="2" t="n">
        <v>0</v>
      </c>
      <c r="EW691" s="2" t="n">
        <v>100</v>
      </c>
      <c r="EX691" s="2" t="n">
        <v>98.37</v>
      </c>
      <c r="EY691" s="2" t="n">
        <v>0</v>
      </c>
      <c r="EZ691" s="2" t="n">
        <v>100</v>
      </c>
      <c r="FA691" s="2" t="n">
        <v>100</v>
      </c>
      <c r="FB691" s="2" t="n">
        <v>0</v>
      </c>
      <c r="FC691" s="2" t="n">
        <v>100</v>
      </c>
      <c r="FD691" s="2" t="n">
        <v>100</v>
      </c>
      <c r="FE691" s="2" t="n">
        <v>0</v>
      </c>
      <c r="FF691" s="2" t="n">
        <v>100</v>
      </c>
      <c r="FG691" s="2" t="n">
        <v>100</v>
      </c>
      <c r="FH691" s="2" t="n">
        <v>0</v>
      </c>
      <c r="FI691" s="2" t="n">
        <v>100</v>
      </c>
      <c r="FJ691" s="2" t="n">
        <v>100</v>
      </c>
      <c r="FK691" s="2" t="n">
        <v>0</v>
      </c>
      <c r="FL691" s="2" t="n">
        <v>100</v>
      </c>
      <c r="FM691" s="2" t="n">
        <v>100</v>
      </c>
      <c r="FN691" s="2" t="n">
        <v>0</v>
      </c>
      <c r="FO691" s="2" t="n">
        <v>100</v>
      </c>
      <c r="FP691" s="2" t="n">
        <v>100</v>
      </c>
      <c r="FQ691" s="2" t="n">
        <v>0</v>
      </c>
    </row>
    <row r="692">
      <c r="A692" s="2" t="n">
        <v>4</v>
      </c>
      <c r="B692" s="2" t="inlineStr">
        <is>
          <t>31.01.04.01</t>
        </is>
      </c>
      <c r="C692" s="2" t="inlineStr">
        <is>
          <t>INT - Piso tipo deck de madeira Cedro</t>
        </is>
      </c>
      <c r="D692" s="2" t="inlineStr">
        <is>
          <t>21/06/2027</t>
        </is>
      </c>
      <c r="E692" s="2" t="inlineStr">
        <is>
          <t>04/09/2028</t>
        </is>
      </c>
      <c r="F692" s="2" t="n">
        <v>25263.75</v>
      </c>
      <c r="G692" s="2" t="n">
        <v>0</v>
      </c>
      <c r="H692" s="2" t="n">
        <v>25263.75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</v>
      </c>
      <c r="CJ692" s="2" t="n">
        <v>0</v>
      </c>
      <c r="CK692" s="2" t="n">
        <v>0</v>
      </c>
      <c r="CL692" s="2" t="n">
        <v>0</v>
      </c>
      <c r="CM692" s="2" t="n">
        <v>0</v>
      </c>
      <c r="CN692" s="2" t="n">
        <v>0</v>
      </c>
      <c r="CO692" s="2" t="n">
        <v>0</v>
      </c>
      <c r="CP692" s="2" t="n">
        <v>0</v>
      </c>
      <c r="CQ692" s="2" t="n">
        <v>0</v>
      </c>
      <c r="CR692" s="2" t="n">
        <v>0</v>
      </c>
      <c r="CS692" s="2" t="n">
        <v>0</v>
      </c>
      <c r="CT692" s="2" t="n">
        <v>0</v>
      </c>
      <c r="CU692" s="2" t="n">
        <v>0</v>
      </c>
      <c r="CV692" s="2" t="n">
        <v>0</v>
      </c>
      <c r="CW692" s="2" t="n">
        <v>0</v>
      </c>
      <c r="CX692" s="2" t="n">
        <v>0</v>
      </c>
      <c r="CY692" s="2" t="n">
        <v>0</v>
      </c>
      <c r="CZ692" s="2" t="n">
        <v>0</v>
      </c>
      <c r="DA692" s="2" t="n">
        <v>0</v>
      </c>
      <c r="DB692" s="2" t="n">
        <v>0</v>
      </c>
      <c r="DC692" s="2" t="n">
        <v>0</v>
      </c>
      <c r="DD692" s="2" t="n">
        <v>2.08</v>
      </c>
      <c r="DE692" s="2" t="n">
        <v>0</v>
      </c>
      <c r="DF692" s="2" t="n">
        <v>0</v>
      </c>
      <c r="DG692" s="2" t="n">
        <v>9.039999999999999</v>
      </c>
      <c r="DH692" s="2" t="n">
        <v>2.89</v>
      </c>
      <c r="DI692" s="2" t="n">
        <v>0</v>
      </c>
      <c r="DJ692" s="2" t="n">
        <v>13.65</v>
      </c>
      <c r="DK692" s="2" t="n">
        <v>9.039999999999999</v>
      </c>
      <c r="DL692" s="2" t="n">
        <v>0</v>
      </c>
      <c r="DM692" s="2" t="n">
        <v>18.07</v>
      </c>
      <c r="DN692" s="2" t="n">
        <v>9.039999999999999</v>
      </c>
      <c r="DO692" s="2" t="n">
        <v>0</v>
      </c>
      <c r="DP692" s="2" t="n">
        <v>23.68</v>
      </c>
      <c r="DQ692" s="2" t="n">
        <v>13.66</v>
      </c>
      <c r="DR692" s="2" t="n">
        <v>0</v>
      </c>
      <c r="DS692" s="2" t="n">
        <v>30.46</v>
      </c>
      <c r="DT692" s="2" t="n">
        <v>24.77</v>
      </c>
      <c r="DU692" s="2" t="n">
        <v>0</v>
      </c>
      <c r="DV692" s="2" t="n">
        <v>46.14</v>
      </c>
      <c r="DW692" s="2" t="n">
        <v>32.54</v>
      </c>
      <c r="DX692" s="2" t="n">
        <v>0</v>
      </c>
      <c r="DY692" s="2" t="n">
        <v>56.89</v>
      </c>
      <c r="DZ692" s="2" t="n">
        <v>36.25</v>
      </c>
      <c r="EA692" s="2" t="n">
        <v>0</v>
      </c>
      <c r="EB692" s="2" t="n">
        <v>68.45999999999999</v>
      </c>
      <c r="EC692" s="2" t="n">
        <v>41.58</v>
      </c>
      <c r="ED692" s="2" t="n">
        <v>0</v>
      </c>
      <c r="EE692" s="2" t="n">
        <v>79.76000000000001</v>
      </c>
      <c r="EF692" s="2" t="n">
        <v>51.88</v>
      </c>
      <c r="EG692" s="2" t="n">
        <v>0</v>
      </c>
      <c r="EH692" s="2" t="n">
        <v>92.23</v>
      </c>
      <c r="EI692" s="2" t="n">
        <v>66.73999999999999</v>
      </c>
      <c r="EJ692" s="2" t="n">
        <v>0</v>
      </c>
      <c r="EK692" s="2" t="n">
        <v>100</v>
      </c>
      <c r="EL692" s="2" t="n">
        <v>72.89</v>
      </c>
      <c r="EM692" s="2" t="n">
        <v>0</v>
      </c>
      <c r="EN692" s="2" t="n">
        <v>100</v>
      </c>
      <c r="EO692" s="2" t="n">
        <v>77.68000000000001</v>
      </c>
      <c r="EP692" s="2" t="n">
        <v>0</v>
      </c>
      <c r="EQ692" s="2" t="n">
        <v>100</v>
      </c>
      <c r="ER692" s="2" t="n">
        <v>85.63</v>
      </c>
      <c r="ES692" s="2" t="n">
        <v>0</v>
      </c>
      <c r="ET692" s="2" t="n">
        <v>100</v>
      </c>
      <c r="EU692" s="2" t="n">
        <v>90.95999999999999</v>
      </c>
      <c r="EV692" s="2" t="n">
        <v>0</v>
      </c>
      <c r="EW692" s="2" t="n">
        <v>100</v>
      </c>
      <c r="EX692" s="2" t="n">
        <v>98.37</v>
      </c>
      <c r="EY692" s="2" t="n">
        <v>0</v>
      </c>
      <c r="EZ692" s="2" t="n">
        <v>100</v>
      </c>
      <c r="FA692" s="2" t="n">
        <v>100</v>
      </c>
      <c r="FB692" s="2" t="n">
        <v>0</v>
      </c>
      <c r="FC692" s="2" t="n">
        <v>100</v>
      </c>
      <c r="FD692" s="2" t="n">
        <v>100</v>
      </c>
      <c r="FE692" s="2" t="n">
        <v>0</v>
      </c>
      <c r="FF692" s="2" t="n">
        <v>100</v>
      </c>
      <c r="FG692" s="2" t="n">
        <v>100</v>
      </c>
      <c r="FH692" s="2" t="n">
        <v>0</v>
      </c>
      <c r="FI692" s="2" t="n">
        <v>100</v>
      </c>
      <c r="FJ692" s="2" t="n">
        <v>100</v>
      </c>
      <c r="FK692" s="2" t="n">
        <v>0</v>
      </c>
      <c r="FL692" s="2" t="n">
        <v>100</v>
      </c>
      <c r="FM692" s="2" t="n">
        <v>100</v>
      </c>
      <c r="FN692" s="2" t="n">
        <v>0</v>
      </c>
      <c r="FO692" s="2" t="n">
        <v>100</v>
      </c>
      <c r="FP692" s="2" t="n">
        <v>100</v>
      </c>
      <c r="FQ692" s="2" t="n">
        <v>0</v>
      </c>
    </row>
    <row r="693">
      <c r="A693" s="2" t="n">
        <v>4</v>
      </c>
      <c r="B693" s="2" t="inlineStr">
        <is>
          <t>31.01.04.02</t>
        </is>
      </c>
      <c r="C693" s="2" t="inlineStr">
        <is>
          <t>Piso de madeira Indusparquet sólido em taco cumarú</t>
        </is>
      </c>
      <c r="D693" s="2" t="inlineStr">
        <is>
          <t>21/06/2027</t>
        </is>
      </c>
      <c r="E693" s="2" t="inlineStr">
        <is>
          <t>04/09/2028</t>
        </is>
      </c>
      <c r="F693" s="2" t="n">
        <v>2223374.9076</v>
      </c>
      <c r="G693" s="2" t="n">
        <v>0</v>
      </c>
      <c r="H693" s="2" t="n">
        <v>2223374.9076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</v>
      </c>
      <c r="CJ693" s="2" t="n">
        <v>0</v>
      </c>
      <c r="CK693" s="2" t="n">
        <v>0</v>
      </c>
      <c r="CL693" s="2" t="n">
        <v>0</v>
      </c>
      <c r="CM693" s="2" t="n">
        <v>0</v>
      </c>
      <c r="CN693" s="2" t="n">
        <v>0</v>
      </c>
      <c r="CO693" s="2" t="n">
        <v>0</v>
      </c>
      <c r="CP693" s="2" t="n">
        <v>0</v>
      </c>
      <c r="CQ693" s="2" t="n">
        <v>0</v>
      </c>
      <c r="CR693" s="2" t="n">
        <v>0</v>
      </c>
      <c r="CS693" s="2" t="n">
        <v>0</v>
      </c>
      <c r="CT693" s="2" t="n">
        <v>0</v>
      </c>
      <c r="CU693" s="2" t="n">
        <v>0</v>
      </c>
      <c r="CV693" s="2" t="n">
        <v>0</v>
      </c>
      <c r="CW693" s="2" t="n">
        <v>0</v>
      </c>
      <c r="CX693" s="2" t="n">
        <v>0</v>
      </c>
      <c r="CY693" s="2" t="n">
        <v>0</v>
      </c>
      <c r="CZ693" s="2" t="n">
        <v>0</v>
      </c>
      <c r="DA693" s="2" t="n">
        <v>0</v>
      </c>
      <c r="DB693" s="2" t="n">
        <v>0</v>
      </c>
      <c r="DC693" s="2" t="n">
        <v>0</v>
      </c>
      <c r="DD693" s="2" t="n">
        <v>2.08</v>
      </c>
      <c r="DE693" s="2" t="n">
        <v>0</v>
      </c>
      <c r="DF693" s="2" t="n">
        <v>0</v>
      </c>
      <c r="DG693" s="2" t="n">
        <v>9.039999999999999</v>
      </c>
      <c r="DH693" s="2" t="n">
        <v>2.89</v>
      </c>
      <c r="DI693" s="2" t="n">
        <v>0</v>
      </c>
      <c r="DJ693" s="2" t="n">
        <v>13.65</v>
      </c>
      <c r="DK693" s="2" t="n">
        <v>9.039999999999999</v>
      </c>
      <c r="DL693" s="2" t="n">
        <v>0</v>
      </c>
      <c r="DM693" s="2" t="n">
        <v>18.07</v>
      </c>
      <c r="DN693" s="2" t="n">
        <v>9.039999999999999</v>
      </c>
      <c r="DO693" s="2" t="n">
        <v>0</v>
      </c>
      <c r="DP693" s="2" t="n">
        <v>23.68</v>
      </c>
      <c r="DQ693" s="2" t="n">
        <v>13.66</v>
      </c>
      <c r="DR693" s="2" t="n">
        <v>0</v>
      </c>
      <c r="DS693" s="2" t="n">
        <v>30.46</v>
      </c>
      <c r="DT693" s="2" t="n">
        <v>24.77</v>
      </c>
      <c r="DU693" s="2" t="n">
        <v>0</v>
      </c>
      <c r="DV693" s="2" t="n">
        <v>46.14</v>
      </c>
      <c r="DW693" s="2" t="n">
        <v>32.54</v>
      </c>
      <c r="DX693" s="2" t="n">
        <v>0</v>
      </c>
      <c r="DY693" s="2" t="n">
        <v>56.89</v>
      </c>
      <c r="DZ693" s="2" t="n">
        <v>36.25</v>
      </c>
      <c r="EA693" s="2" t="n">
        <v>0</v>
      </c>
      <c r="EB693" s="2" t="n">
        <v>68.45999999999999</v>
      </c>
      <c r="EC693" s="2" t="n">
        <v>41.58</v>
      </c>
      <c r="ED693" s="2" t="n">
        <v>0</v>
      </c>
      <c r="EE693" s="2" t="n">
        <v>79.76000000000001</v>
      </c>
      <c r="EF693" s="2" t="n">
        <v>51.88</v>
      </c>
      <c r="EG693" s="2" t="n">
        <v>0</v>
      </c>
      <c r="EH693" s="2" t="n">
        <v>92.23</v>
      </c>
      <c r="EI693" s="2" t="n">
        <v>66.73999999999999</v>
      </c>
      <c r="EJ693" s="2" t="n">
        <v>0</v>
      </c>
      <c r="EK693" s="2" t="n">
        <v>100</v>
      </c>
      <c r="EL693" s="2" t="n">
        <v>72.89</v>
      </c>
      <c r="EM693" s="2" t="n">
        <v>0</v>
      </c>
      <c r="EN693" s="2" t="n">
        <v>100</v>
      </c>
      <c r="EO693" s="2" t="n">
        <v>77.68000000000001</v>
      </c>
      <c r="EP693" s="2" t="n">
        <v>0</v>
      </c>
      <c r="EQ693" s="2" t="n">
        <v>100</v>
      </c>
      <c r="ER693" s="2" t="n">
        <v>85.63</v>
      </c>
      <c r="ES693" s="2" t="n">
        <v>0</v>
      </c>
      <c r="ET693" s="2" t="n">
        <v>100</v>
      </c>
      <c r="EU693" s="2" t="n">
        <v>90.95999999999999</v>
      </c>
      <c r="EV693" s="2" t="n">
        <v>0</v>
      </c>
      <c r="EW693" s="2" t="n">
        <v>100</v>
      </c>
      <c r="EX693" s="2" t="n">
        <v>98.37</v>
      </c>
      <c r="EY693" s="2" t="n">
        <v>0</v>
      </c>
      <c r="EZ693" s="2" t="n">
        <v>100</v>
      </c>
      <c r="FA693" s="2" t="n">
        <v>100</v>
      </c>
      <c r="FB693" s="2" t="n">
        <v>0</v>
      </c>
      <c r="FC693" s="2" t="n">
        <v>100</v>
      </c>
      <c r="FD693" s="2" t="n">
        <v>100</v>
      </c>
      <c r="FE693" s="2" t="n">
        <v>0</v>
      </c>
      <c r="FF693" s="2" t="n">
        <v>100</v>
      </c>
      <c r="FG693" s="2" t="n">
        <v>100</v>
      </c>
      <c r="FH693" s="2" t="n">
        <v>0</v>
      </c>
      <c r="FI693" s="2" t="n">
        <v>100</v>
      </c>
      <c r="FJ693" s="2" t="n">
        <v>100</v>
      </c>
      <c r="FK693" s="2" t="n">
        <v>0</v>
      </c>
      <c r="FL693" s="2" t="n">
        <v>100</v>
      </c>
      <c r="FM693" s="2" t="n">
        <v>100</v>
      </c>
      <c r="FN693" s="2" t="n">
        <v>0</v>
      </c>
      <c r="FO693" s="2" t="n">
        <v>100</v>
      </c>
      <c r="FP693" s="2" t="n">
        <v>100</v>
      </c>
      <c r="FQ693" s="2" t="n">
        <v>0</v>
      </c>
    </row>
    <row r="694">
      <c r="A694" s="2" t="n">
        <v>3</v>
      </c>
      <c r="B694" s="2" t="inlineStr">
        <is>
          <t>31.01.05</t>
        </is>
      </c>
      <c r="C694" s="2" t="inlineStr">
        <is>
          <t>Sintéticos e Vinílicos</t>
        </is>
      </c>
      <c r="D694" s="2" t="inlineStr">
        <is>
          <t>02/08/2027</t>
        </is>
      </c>
      <c r="E694" s="2" t="inlineStr">
        <is>
          <t>13/08/2027</t>
        </is>
      </c>
      <c r="F694" s="2" t="n">
        <v>83969.64900000002</v>
      </c>
      <c r="G694" s="2" t="n">
        <v>0</v>
      </c>
      <c r="H694" s="2" t="n">
        <v>83969.64900000002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</v>
      </c>
      <c r="CJ694" s="2" t="n">
        <v>0</v>
      </c>
      <c r="CK694" s="2" t="n">
        <v>0</v>
      </c>
      <c r="CL694" s="2" t="n">
        <v>0</v>
      </c>
      <c r="CM694" s="2" t="n">
        <v>0</v>
      </c>
      <c r="CN694" s="2" t="n">
        <v>0</v>
      </c>
      <c r="CO694" s="2" t="n">
        <v>0</v>
      </c>
      <c r="CP694" s="2" t="n">
        <v>0</v>
      </c>
      <c r="CQ694" s="2" t="n">
        <v>0</v>
      </c>
      <c r="CR694" s="2" t="n">
        <v>0</v>
      </c>
      <c r="CS694" s="2" t="n">
        <v>0</v>
      </c>
      <c r="CT694" s="2" t="n">
        <v>0</v>
      </c>
      <c r="CU694" s="2" t="n">
        <v>0</v>
      </c>
      <c r="CV694" s="2" t="n">
        <v>0</v>
      </c>
      <c r="CW694" s="2" t="n">
        <v>0</v>
      </c>
      <c r="CX694" s="2" t="n">
        <v>0</v>
      </c>
      <c r="CY694" s="2" t="n">
        <v>0</v>
      </c>
      <c r="CZ694" s="2" t="n">
        <v>0</v>
      </c>
      <c r="DA694" s="2" t="n">
        <v>0</v>
      </c>
      <c r="DB694" s="2" t="n">
        <v>0</v>
      </c>
      <c r="DC694" s="2" t="n">
        <v>0</v>
      </c>
      <c r="DD694" s="2" t="n">
        <v>0</v>
      </c>
      <c r="DE694" s="2" t="n">
        <v>0</v>
      </c>
      <c r="DF694" s="2" t="n">
        <v>0</v>
      </c>
      <c r="DG694" s="2" t="n">
        <v>0</v>
      </c>
      <c r="DH694" s="2" t="n">
        <v>0</v>
      </c>
      <c r="DI694" s="2" t="n">
        <v>0</v>
      </c>
      <c r="DJ694" s="2" t="n">
        <v>20</v>
      </c>
      <c r="DK694" s="2" t="n">
        <v>0</v>
      </c>
      <c r="DL694" s="2" t="n">
        <v>0</v>
      </c>
      <c r="DM694" s="2" t="n">
        <v>100</v>
      </c>
      <c r="DN694" s="2" t="n">
        <v>100</v>
      </c>
      <c r="DO694" s="2" t="n">
        <v>0</v>
      </c>
      <c r="DP694" s="2" t="n">
        <v>100</v>
      </c>
      <c r="DQ694" s="2" t="n">
        <v>100</v>
      </c>
      <c r="DR694" s="2" t="n">
        <v>0</v>
      </c>
      <c r="DS694" s="2" t="n">
        <v>100</v>
      </c>
      <c r="DT694" s="2" t="n">
        <v>100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  <c r="ET694" s="2" t="n">
        <v>100</v>
      </c>
      <c r="EU694" s="2" t="n">
        <v>100</v>
      </c>
      <c r="EV694" s="2" t="n">
        <v>0</v>
      </c>
      <c r="EW694" s="2" t="n">
        <v>100</v>
      </c>
      <c r="EX694" s="2" t="n">
        <v>100</v>
      </c>
      <c r="EY694" s="2" t="n">
        <v>0</v>
      </c>
      <c r="EZ694" s="2" t="n">
        <v>100</v>
      </c>
      <c r="FA694" s="2" t="n">
        <v>100</v>
      </c>
      <c r="FB694" s="2" t="n">
        <v>0</v>
      </c>
      <c r="FC694" s="2" t="n">
        <v>100</v>
      </c>
      <c r="FD694" s="2" t="n">
        <v>100</v>
      </c>
      <c r="FE694" s="2" t="n">
        <v>0</v>
      </c>
      <c r="FF694" s="2" t="n">
        <v>100</v>
      </c>
      <c r="FG694" s="2" t="n">
        <v>100</v>
      </c>
      <c r="FH694" s="2" t="n">
        <v>0</v>
      </c>
      <c r="FI694" s="2" t="n">
        <v>100</v>
      </c>
      <c r="FJ694" s="2" t="n">
        <v>100</v>
      </c>
      <c r="FK694" s="2" t="n">
        <v>0</v>
      </c>
      <c r="FL694" s="2" t="n">
        <v>100</v>
      </c>
      <c r="FM694" s="2" t="n">
        <v>100</v>
      </c>
      <c r="FN694" s="2" t="n">
        <v>0</v>
      </c>
      <c r="FO694" s="2" t="n">
        <v>100</v>
      </c>
      <c r="FP694" s="2" t="n">
        <v>100</v>
      </c>
      <c r="FQ694" s="2" t="n">
        <v>0</v>
      </c>
    </row>
    <row r="695">
      <c r="A695" s="2" t="n">
        <v>4</v>
      </c>
      <c r="B695" s="2" t="inlineStr">
        <is>
          <t>31.01.05.01</t>
        </is>
      </c>
      <c r="C695" s="2" t="inlineStr">
        <is>
          <t>Piso vinílico Durafloor madeirado linha Urban padrão Austin</t>
        </is>
      </c>
      <c r="D695" s="2" t="inlineStr">
        <is>
          <t>02/08/2027</t>
        </is>
      </c>
      <c r="E695" s="2" t="inlineStr">
        <is>
          <t>13/08/2027</t>
        </is>
      </c>
      <c r="F695" s="2" t="n">
        <v>75257.20400000001</v>
      </c>
      <c r="G695" s="2" t="n">
        <v>0</v>
      </c>
      <c r="H695" s="2" t="n">
        <v>75257.20400000001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</v>
      </c>
      <c r="CJ695" s="2" t="n">
        <v>0</v>
      </c>
      <c r="CK695" s="2" t="n">
        <v>0</v>
      </c>
      <c r="CL695" s="2" t="n">
        <v>0</v>
      </c>
      <c r="CM695" s="2" t="n">
        <v>0</v>
      </c>
      <c r="CN695" s="2" t="n">
        <v>0</v>
      </c>
      <c r="CO695" s="2" t="n">
        <v>0</v>
      </c>
      <c r="CP695" s="2" t="n">
        <v>0</v>
      </c>
      <c r="CQ695" s="2" t="n">
        <v>0</v>
      </c>
      <c r="CR695" s="2" t="n">
        <v>0</v>
      </c>
      <c r="CS695" s="2" t="n">
        <v>0</v>
      </c>
      <c r="CT695" s="2" t="n">
        <v>0</v>
      </c>
      <c r="CU695" s="2" t="n">
        <v>0</v>
      </c>
      <c r="CV695" s="2" t="n">
        <v>0</v>
      </c>
      <c r="CW695" s="2" t="n">
        <v>0</v>
      </c>
      <c r="CX695" s="2" t="n">
        <v>0</v>
      </c>
      <c r="CY695" s="2" t="n">
        <v>0</v>
      </c>
      <c r="CZ695" s="2" t="n">
        <v>0</v>
      </c>
      <c r="DA695" s="2" t="n">
        <v>0</v>
      </c>
      <c r="DB695" s="2" t="n">
        <v>0</v>
      </c>
      <c r="DC695" s="2" t="n">
        <v>0</v>
      </c>
      <c r="DD695" s="2" t="n">
        <v>0</v>
      </c>
      <c r="DE695" s="2" t="n">
        <v>0</v>
      </c>
      <c r="DF695" s="2" t="n">
        <v>0</v>
      </c>
      <c r="DG695" s="2" t="n">
        <v>0</v>
      </c>
      <c r="DH695" s="2" t="n">
        <v>0</v>
      </c>
      <c r="DI695" s="2" t="n">
        <v>0</v>
      </c>
      <c r="DJ695" s="2" t="n">
        <v>20</v>
      </c>
      <c r="DK695" s="2" t="n">
        <v>0</v>
      </c>
      <c r="DL695" s="2" t="n">
        <v>0</v>
      </c>
      <c r="DM695" s="2" t="n">
        <v>100</v>
      </c>
      <c r="DN695" s="2" t="n">
        <v>100</v>
      </c>
      <c r="DO695" s="2" t="n">
        <v>0</v>
      </c>
      <c r="DP695" s="2" t="n">
        <v>100</v>
      </c>
      <c r="DQ695" s="2" t="n">
        <v>100</v>
      </c>
      <c r="DR695" s="2" t="n">
        <v>0</v>
      </c>
      <c r="DS695" s="2" t="n">
        <v>100</v>
      </c>
      <c r="DT695" s="2" t="n">
        <v>100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  <c r="ET695" s="2" t="n">
        <v>100</v>
      </c>
      <c r="EU695" s="2" t="n">
        <v>100</v>
      </c>
      <c r="EV695" s="2" t="n">
        <v>0</v>
      </c>
      <c r="EW695" s="2" t="n">
        <v>100</v>
      </c>
      <c r="EX695" s="2" t="n">
        <v>100</v>
      </c>
      <c r="EY695" s="2" t="n">
        <v>0</v>
      </c>
      <c r="EZ695" s="2" t="n">
        <v>100</v>
      </c>
      <c r="FA695" s="2" t="n">
        <v>100</v>
      </c>
      <c r="FB695" s="2" t="n">
        <v>0</v>
      </c>
      <c r="FC695" s="2" t="n">
        <v>100</v>
      </c>
      <c r="FD695" s="2" t="n">
        <v>100</v>
      </c>
      <c r="FE695" s="2" t="n">
        <v>0</v>
      </c>
      <c r="FF695" s="2" t="n">
        <v>100</v>
      </c>
      <c r="FG695" s="2" t="n">
        <v>100</v>
      </c>
      <c r="FH695" s="2" t="n">
        <v>0</v>
      </c>
      <c r="FI695" s="2" t="n">
        <v>100</v>
      </c>
      <c r="FJ695" s="2" t="n">
        <v>100</v>
      </c>
      <c r="FK695" s="2" t="n">
        <v>0</v>
      </c>
      <c r="FL695" s="2" t="n">
        <v>100</v>
      </c>
      <c r="FM695" s="2" t="n">
        <v>100</v>
      </c>
      <c r="FN695" s="2" t="n">
        <v>0</v>
      </c>
      <c r="FO695" s="2" t="n">
        <v>100</v>
      </c>
      <c r="FP695" s="2" t="n">
        <v>100</v>
      </c>
      <c r="FQ695" s="2" t="n">
        <v>0</v>
      </c>
    </row>
    <row r="696">
      <c r="A696" s="2" t="n">
        <v>4</v>
      </c>
      <c r="B696" s="2" t="inlineStr">
        <is>
          <t>31.01.05.02</t>
        </is>
      </c>
      <c r="C696" s="2" t="inlineStr">
        <is>
          <t>INT - Piso vinílico em manta, 2x20m, linha Polysafe Verona PUR, acabamento Rock Salt - cód: LRV-43</t>
        </is>
      </c>
      <c r="D696" s="2" t="inlineStr">
        <is>
          <t>02/08/2027</t>
        </is>
      </c>
      <c r="E696" s="2" t="inlineStr">
        <is>
          <t>13/08/2027</t>
        </is>
      </c>
      <c r="F696" s="2" t="n">
        <v>8712.445000000002</v>
      </c>
      <c r="G696" s="2" t="n">
        <v>0</v>
      </c>
      <c r="H696" s="2" t="n">
        <v>8712.445000000002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</v>
      </c>
      <c r="CJ696" s="2" t="n">
        <v>0</v>
      </c>
      <c r="CK696" s="2" t="n">
        <v>0</v>
      </c>
      <c r="CL696" s="2" t="n">
        <v>0</v>
      </c>
      <c r="CM696" s="2" t="n">
        <v>0</v>
      </c>
      <c r="CN696" s="2" t="n">
        <v>0</v>
      </c>
      <c r="CO696" s="2" t="n">
        <v>0</v>
      </c>
      <c r="CP696" s="2" t="n">
        <v>0</v>
      </c>
      <c r="CQ696" s="2" t="n">
        <v>0</v>
      </c>
      <c r="CR696" s="2" t="n">
        <v>0</v>
      </c>
      <c r="CS696" s="2" t="n">
        <v>0</v>
      </c>
      <c r="CT696" s="2" t="n">
        <v>0</v>
      </c>
      <c r="CU696" s="2" t="n">
        <v>0</v>
      </c>
      <c r="CV696" s="2" t="n">
        <v>0</v>
      </c>
      <c r="CW696" s="2" t="n">
        <v>0</v>
      </c>
      <c r="CX696" s="2" t="n">
        <v>0</v>
      </c>
      <c r="CY696" s="2" t="n">
        <v>0</v>
      </c>
      <c r="CZ696" s="2" t="n">
        <v>0</v>
      </c>
      <c r="DA696" s="2" t="n">
        <v>0</v>
      </c>
      <c r="DB696" s="2" t="n">
        <v>0</v>
      </c>
      <c r="DC696" s="2" t="n">
        <v>0</v>
      </c>
      <c r="DD696" s="2" t="n">
        <v>0</v>
      </c>
      <c r="DE696" s="2" t="n">
        <v>0</v>
      </c>
      <c r="DF696" s="2" t="n">
        <v>0</v>
      </c>
      <c r="DG696" s="2" t="n">
        <v>0</v>
      </c>
      <c r="DH696" s="2" t="n">
        <v>0</v>
      </c>
      <c r="DI696" s="2" t="n">
        <v>0</v>
      </c>
      <c r="DJ696" s="2" t="n">
        <v>20</v>
      </c>
      <c r="DK696" s="2" t="n">
        <v>0</v>
      </c>
      <c r="DL696" s="2" t="n">
        <v>0</v>
      </c>
      <c r="DM696" s="2" t="n">
        <v>100</v>
      </c>
      <c r="DN696" s="2" t="n">
        <v>100</v>
      </c>
      <c r="DO696" s="2" t="n">
        <v>0</v>
      </c>
      <c r="DP696" s="2" t="n">
        <v>100</v>
      </c>
      <c r="DQ696" s="2" t="n">
        <v>100</v>
      </c>
      <c r="DR696" s="2" t="n">
        <v>0</v>
      </c>
      <c r="DS696" s="2" t="n">
        <v>100</v>
      </c>
      <c r="DT696" s="2" t="n">
        <v>100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  <c r="ET696" s="2" t="n">
        <v>100</v>
      </c>
      <c r="EU696" s="2" t="n">
        <v>100</v>
      </c>
      <c r="EV696" s="2" t="n">
        <v>0</v>
      </c>
      <c r="EW696" s="2" t="n">
        <v>100</v>
      </c>
      <c r="EX696" s="2" t="n">
        <v>100</v>
      </c>
      <c r="EY696" s="2" t="n">
        <v>0</v>
      </c>
      <c r="EZ696" s="2" t="n">
        <v>100</v>
      </c>
      <c r="FA696" s="2" t="n">
        <v>100</v>
      </c>
      <c r="FB696" s="2" t="n">
        <v>0</v>
      </c>
      <c r="FC696" s="2" t="n">
        <v>100</v>
      </c>
      <c r="FD696" s="2" t="n">
        <v>100</v>
      </c>
      <c r="FE696" s="2" t="n">
        <v>0</v>
      </c>
      <c r="FF696" s="2" t="n">
        <v>100</v>
      </c>
      <c r="FG696" s="2" t="n">
        <v>100</v>
      </c>
      <c r="FH696" s="2" t="n">
        <v>0</v>
      </c>
      <c r="FI696" s="2" t="n">
        <v>100</v>
      </c>
      <c r="FJ696" s="2" t="n">
        <v>100</v>
      </c>
      <c r="FK696" s="2" t="n">
        <v>0</v>
      </c>
      <c r="FL696" s="2" t="n">
        <v>100</v>
      </c>
      <c r="FM696" s="2" t="n">
        <v>100</v>
      </c>
      <c r="FN696" s="2" t="n">
        <v>0</v>
      </c>
      <c r="FO696" s="2" t="n">
        <v>100</v>
      </c>
      <c r="FP696" s="2" t="n">
        <v>100</v>
      </c>
      <c r="FQ696" s="2" t="n">
        <v>0</v>
      </c>
    </row>
    <row r="697">
      <c r="A697" s="2" t="n">
        <v>3</v>
      </c>
      <c r="B697" s="2" t="inlineStr">
        <is>
          <t>31.01.06</t>
        </is>
      </c>
      <c r="C697" s="2" t="inlineStr">
        <is>
          <t>Concreto e/ou cimentados</t>
        </is>
      </c>
      <c r="D697" s="2" t="inlineStr">
        <is>
          <t>28/07/2027</t>
        </is>
      </c>
      <c r="E697" s="2" t="inlineStr">
        <is>
          <t>18/10/2027</t>
        </is>
      </c>
      <c r="F697" s="2" t="n">
        <v>213201.6692953244</v>
      </c>
      <c r="G697" s="2" t="n">
        <v>0</v>
      </c>
      <c r="H697" s="2" t="n">
        <v>213201.6692953244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</v>
      </c>
      <c r="CJ697" s="2" t="n">
        <v>0</v>
      </c>
      <c r="CK697" s="2" t="n">
        <v>0</v>
      </c>
      <c r="CL697" s="2" t="n">
        <v>0</v>
      </c>
      <c r="CM697" s="2" t="n">
        <v>0</v>
      </c>
      <c r="CN697" s="2" t="n">
        <v>0</v>
      </c>
      <c r="CO697" s="2" t="n">
        <v>0</v>
      </c>
      <c r="CP697" s="2" t="n">
        <v>0</v>
      </c>
      <c r="CQ697" s="2" t="n">
        <v>0</v>
      </c>
      <c r="CR697" s="2" t="n">
        <v>0</v>
      </c>
      <c r="CS697" s="2" t="n">
        <v>0</v>
      </c>
      <c r="CT697" s="2" t="n">
        <v>0</v>
      </c>
      <c r="CU697" s="2" t="n">
        <v>0</v>
      </c>
      <c r="CV697" s="2" t="n">
        <v>0</v>
      </c>
      <c r="CW697" s="2" t="n">
        <v>0</v>
      </c>
      <c r="CX697" s="2" t="n">
        <v>0</v>
      </c>
      <c r="CY697" s="2" t="n">
        <v>0</v>
      </c>
      <c r="CZ697" s="2" t="n">
        <v>0</v>
      </c>
      <c r="DA697" s="2" t="n">
        <v>0</v>
      </c>
      <c r="DB697" s="2" t="n">
        <v>0</v>
      </c>
      <c r="DC697" s="2" t="n">
        <v>0</v>
      </c>
      <c r="DD697" s="2" t="n">
        <v>0</v>
      </c>
      <c r="DE697" s="2" t="n">
        <v>0</v>
      </c>
      <c r="DF697" s="2" t="n">
        <v>0</v>
      </c>
      <c r="DG697" s="2" t="n">
        <v>0</v>
      </c>
      <c r="DH697" s="2" t="n">
        <v>0</v>
      </c>
      <c r="DI697" s="2" t="n">
        <v>0</v>
      </c>
      <c r="DJ697" s="2" t="n">
        <v>5.56</v>
      </c>
      <c r="DK697" s="2" t="n">
        <v>5.56</v>
      </c>
      <c r="DL697" s="2" t="n">
        <v>0</v>
      </c>
      <c r="DM697" s="2" t="n">
        <v>46.3</v>
      </c>
      <c r="DN697" s="2" t="n">
        <v>46.3</v>
      </c>
      <c r="DO697" s="2" t="n">
        <v>0</v>
      </c>
      <c r="DP697" s="2" t="n">
        <v>81.67</v>
      </c>
      <c r="DQ697" s="2" t="n">
        <v>81.67</v>
      </c>
      <c r="DR697" s="2" t="n">
        <v>0</v>
      </c>
      <c r="DS697" s="2" t="n">
        <v>100</v>
      </c>
      <c r="DT697" s="2" t="n">
        <v>100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  <c r="ET697" s="2" t="n">
        <v>100</v>
      </c>
      <c r="EU697" s="2" t="n">
        <v>100</v>
      </c>
      <c r="EV697" s="2" t="n">
        <v>0</v>
      </c>
      <c r="EW697" s="2" t="n">
        <v>100</v>
      </c>
      <c r="EX697" s="2" t="n">
        <v>100</v>
      </c>
      <c r="EY697" s="2" t="n">
        <v>0</v>
      </c>
      <c r="EZ697" s="2" t="n">
        <v>100</v>
      </c>
      <c r="FA697" s="2" t="n">
        <v>100</v>
      </c>
      <c r="FB697" s="2" t="n">
        <v>0</v>
      </c>
      <c r="FC697" s="2" t="n">
        <v>100</v>
      </c>
      <c r="FD697" s="2" t="n">
        <v>100</v>
      </c>
      <c r="FE697" s="2" t="n">
        <v>0</v>
      </c>
      <c r="FF697" s="2" t="n">
        <v>100</v>
      </c>
      <c r="FG697" s="2" t="n">
        <v>100</v>
      </c>
      <c r="FH697" s="2" t="n">
        <v>0</v>
      </c>
      <c r="FI697" s="2" t="n">
        <v>100</v>
      </c>
      <c r="FJ697" s="2" t="n">
        <v>100</v>
      </c>
      <c r="FK697" s="2" t="n">
        <v>0</v>
      </c>
      <c r="FL697" s="2" t="n">
        <v>100</v>
      </c>
      <c r="FM697" s="2" t="n">
        <v>100</v>
      </c>
      <c r="FN697" s="2" t="n">
        <v>0</v>
      </c>
      <c r="FO697" s="2" t="n">
        <v>100</v>
      </c>
      <c r="FP697" s="2" t="n">
        <v>100</v>
      </c>
      <c r="FQ697" s="2" t="n">
        <v>0</v>
      </c>
    </row>
    <row r="698">
      <c r="A698" s="2" t="n">
        <v>4</v>
      </c>
      <c r="B698" s="2" t="inlineStr">
        <is>
          <t>31.01.06.01</t>
        </is>
      </c>
      <c r="C698" s="2" t="inlineStr">
        <is>
          <t>Piso em concreto mecanizado com acabamento polido/lapidado - Garagem</t>
        </is>
      </c>
      <c r="D698" s="2" t="inlineStr">
        <is>
          <t>28/07/2027</t>
        </is>
      </c>
      <c r="E698" s="2" t="inlineStr">
        <is>
          <t>18/10/2027</t>
        </is>
      </c>
      <c r="F698" s="2" t="n">
        <v>114738.078</v>
      </c>
      <c r="G698" s="2" t="n">
        <v>0</v>
      </c>
      <c r="H698" s="2" t="n">
        <v>114738.078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</v>
      </c>
      <c r="CJ698" s="2" t="n">
        <v>0</v>
      </c>
      <c r="CK698" s="2" t="n">
        <v>0</v>
      </c>
      <c r="CL698" s="2" t="n">
        <v>0</v>
      </c>
      <c r="CM698" s="2" t="n">
        <v>0</v>
      </c>
      <c r="CN698" s="2" t="n">
        <v>0</v>
      </c>
      <c r="CO698" s="2" t="n">
        <v>0</v>
      </c>
      <c r="CP698" s="2" t="n">
        <v>0</v>
      </c>
      <c r="CQ698" s="2" t="n">
        <v>0</v>
      </c>
      <c r="CR698" s="2" t="n">
        <v>0</v>
      </c>
      <c r="CS698" s="2" t="n">
        <v>0</v>
      </c>
      <c r="CT698" s="2" t="n">
        <v>0</v>
      </c>
      <c r="CU698" s="2" t="n">
        <v>0</v>
      </c>
      <c r="CV698" s="2" t="n">
        <v>0</v>
      </c>
      <c r="CW698" s="2" t="n">
        <v>0</v>
      </c>
      <c r="CX698" s="2" t="n">
        <v>0</v>
      </c>
      <c r="CY698" s="2" t="n">
        <v>0</v>
      </c>
      <c r="CZ698" s="2" t="n">
        <v>0</v>
      </c>
      <c r="DA698" s="2" t="n">
        <v>0</v>
      </c>
      <c r="DB698" s="2" t="n">
        <v>0</v>
      </c>
      <c r="DC698" s="2" t="n">
        <v>0</v>
      </c>
      <c r="DD698" s="2" t="n">
        <v>0</v>
      </c>
      <c r="DE698" s="2" t="n">
        <v>0</v>
      </c>
      <c r="DF698" s="2" t="n">
        <v>0</v>
      </c>
      <c r="DG698" s="2" t="n">
        <v>0</v>
      </c>
      <c r="DH698" s="2" t="n">
        <v>0</v>
      </c>
      <c r="DI698" s="2" t="n">
        <v>0</v>
      </c>
      <c r="DJ698" s="2" t="n">
        <v>5.56</v>
      </c>
      <c r="DK698" s="2" t="n">
        <v>5.56</v>
      </c>
      <c r="DL698" s="2" t="n">
        <v>0</v>
      </c>
      <c r="DM698" s="2" t="n">
        <v>46.3</v>
      </c>
      <c r="DN698" s="2" t="n">
        <v>46.3</v>
      </c>
      <c r="DO698" s="2" t="n">
        <v>0</v>
      </c>
      <c r="DP698" s="2" t="n">
        <v>81.67</v>
      </c>
      <c r="DQ698" s="2" t="n">
        <v>81.67</v>
      </c>
      <c r="DR698" s="2" t="n">
        <v>0</v>
      </c>
      <c r="DS698" s="2" t="n">
        <v>100</v>
      </c>
      <c r="DT698" s="2" t="n">
        <v>100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  <c r="ET698" s="2" t="n">
        <v>100</v>
      </c>
      <c r="EU698" s="2" t="n">
        <v>100</v>
      </c>
      <c r="EV698" s="2" t="n">
        <v>0</v>
      </c>
      <c r="EW698" s="2" t="n">
        <v>100</v>
      </c>
      <c r="EX698" s="2" t="n">
        <v>100</v>
      </c>
      <c r="EY698" s="2" t="n">
        <v>0</v>
      </c>
      <c r="EZ698" s="2" t="n">
        <v>100</v>
      </c>
      <c r="FA698" s="2" t="n">
        <v>100</v>
      </c>
      <c r="FB698" s="2" t="n">
        <v>0</v>
      </c>
      <c r="FC698" s="2" t="n">
        <v>100</v>
      </c>
      <c r="FD698" s="2" t="n">
        <v>100</v>
      </c>
      <c r="FE698" s="2" t="n">
        <v>0</v>
      </c>
      <c r="FF698" s="2" t="n">
        <v>100</v>
      </c>
      <c r="FG698" s="2" t="n">
        <v>100</v>
      </c>
      <c r="FH698" s="2" t="n">
        <v>0</v>
      </c>
      <c r="FI698" s="2" t="n">
        <v>100</v>
      </c>
      <c r="FJ698" s="2" t="n">
        <v>100</v>
      </c>
      <c r="FK698" s="2" t="n">
        <v>0</v>
      </c>
      <c r="FL698" s="2" t="n">
        <v>100</v>
      </c>
      <c r="FM698" s="2" t="n">
        <v>100</v>
      </c>
      <c r="FN698" s="2" t="n">
        <v>0</v>
      </c>
      <c r="FO698" s="2" t="n">
        <v>100</v>
      </c>
      <c r="FP698" s="2" t="n">
        <v>100</v>
      </c>
      <c r="FQ698" s="2" t="n">
        <v>0</v>
      </c>
    </row>
    <row r="699">
      <c r="A699" s="2" t="n">
        <v>4</v>
      </c>
      <c r="B699" s="2" t="inlineStr">
        <is>
          <t>31.01.06.02</t>
        </is>
      </c>
      <c r="C699" s="2" t="inlineStr">
        <is>
          <t>Piso em concreto mecanizado acabamento polido sem camada de regularização. Juntas serradas sem preenchimento - panos amplos</t>
        </is>
      </c>
      <c r="D699" s="2" t="inlineStr">
        <is>
          <t>28/07/2027</t>
        </is>
      </c>
      <c r="E699" s="2" t="inlineStr">
        <is>
          <t>18/10/2027</t>
        </is>
      </c>
      <c r="F699" s="2" t="n">
        <v>23757.36255820433</v>
      </c>
      <c r="G699" s="2" t="n">
        <v>0</v>
      </c>
      <c r="H699" s="2" t="n">
        <v>23757.36255820433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</v>
      </c>
      <c r="CJ699" s="2" t="n">
        <v>0</v>
      </c>
      <c r="CK699" s="2" t="n">
        <v>0</v>
      </c>
      <c r="CL699" s="2" t="n">
        <v>0</v>
      </c>
      <c r="CM699" s="2" t="n">
        <v>0</v>
      </c>
      <c r="CN699" s="2" t="n">
        <v>0</v>
      </c>
      <c r="CO699" s="2" t="n">
        <v>0</v>
      </c>
      <c r="CP699" s="2" t="n">
        <v>0</v>
      </c>
      <c r="CQ699" s="2" t="n">
        <v>0</v>
      </c>
      <c r="CR699" s="2" t="n">
        <v>0</v>
      </c>
      <c r="CS699" s="2" t="n">
        <v>0</v>
      </c>
      <c r="CT699" s="2" t="n">
        <v>0</v>
      </c>
      <c r="CU699" s="2" t="n">
        <v>0</v>
      </c>
      <c r="CV699" s="2" t="n">
        <v>0</v>
      </c>
      <c r="CW699" s="2" t="n">
        <v>0</v>
      </c>
      <c r="CX699" s="2" t="n">
        <v>0</v>
      </c>
      <c r="CY699" s="2" t="n">
        <v>0</v>
      </c>
      <c r="CZ699" s="2" t="n">
        <v>0</v>
      </c>
      <c r="DA699" s="2" t="n">
        <v>0</v>
      </c>
      <c r="DB699" s="2" t="n">
        <v>0</v>
      </c>
      <c r="DC699" s="2" t="n">
        <v>0</v>
      </c>
      <c r="DD699" s="2" t="n">
        <v>0</v>
      </c>
      <c r="DE699" s="2" t="n">
        <v>0</v>
      </c>
      <c r="DF699" s="2" t="n">
        <v>0</v>
      </c>
      <c r="DG699" s="2" t="n">
        <v>0</v>
      </c>
      <c r="DH699" s="2" t="n">
        <v>0</v>
      </c>
      <c r="DI699" s="2" t="n">
        <v>0</v>
      </c>
      <c r="DJ699" s="2" t="n">
        <v>5.56</v>
      </c>
      <c r="DK699" s="2" t="n">
        <v>5.56</v>
      </c>
      <c r="DL699" s="2" t="n">
        <v>0</v>
      </c>
      <c r="DM699" s="2" t="n">
        <v>46.3</v>
      </c>
      <c r="DN699" s="2" t="n">
        <v>46.3</v>
      </c>
      <c r="DO699" s="2" t="n">
        <v>0</v>
      </c>
      <c r="DP699" s="2" t="n">
        <v>81.67</v>
      </c>
      <c r="DQ699" s="2" t="n">
        <v>81.67</v>
      </c>
      <c r="DR699" s="2" t="n">
        <v>0</v>
      </c>
      <c r="DS699" s="2" t="n">
        <v>100</v>
      </c>
      <c r="DT699" s="2" t="n">
        <v>100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  <c r="ET699" s="2" t="n">
        <v>100</v>
      </c>
      <c r="EU699" s="2" t="n">
        <v>100</v>
      </c>
      <c r="EV699" s="2" t="n">
        <v>0</v>
      </c>
      <c r="EW699" s="2" t="n">
        <v>100</v>
      </c>
      <c r="EX699" s="2" t="n">
        <v>100</v>
      </c>
      <c r="EY699" s="2" t="n">
        <v>0</v>
      </c>
      <c r="EZ699" s="2" t="n">
        <v>100</v>
      </c>
      <c r="FA699" s="2" t="n">
        <v>100</v>
      </c>
      <c r="FB699" s="2" t="n">
        <v>0</v>
      </c>
      <c r="FC699" s="2" t="n">
        <v>100</v>
      </c>
      <c r="FD699" s="2" t="n">
        <v>100</v>
      </c>
      <c r="FE699" s="2" t="n">
        <v>0</v>
      </c>
      <c r="FF699" s="2" t="n">
        <v>100</v>
      </c>
      <c r="FG699" s="2" t="n">
        <v>100</v>
      </c>
      <c r="FH699" s="2" t="n">
        <v>0</v>
      </c>
      <c r="FI699" s="2" t="n">
        <v>100</v>
      </c>
      <c r="FJ699" s="2" t="n">
        <v>100</v>
      </c>
      <c r="FK699" s="2" t="n">
        <v>0</v>
      </c>
      <c r="FL699" s="2" t="n">
        <v>100</v>
      </c>
      <c r="FM699" s="2" t="n">
        <v>100</v>
      </c>
      <c r="FN699" s="2" t="n">
        <v>0</v>
      </c>
      <c r="FO699" s="2" t="n">
        <v>100</v>
      </c>
      <c r="FP699" s="2" t="n">
        <v>100</v>
      </c>
      <c r="FQ699" s="2" t="n">
        <v>0</v>
      </c>
    </row>
    <row r="700">
      <c r="A700" s="2" t="n">
        <v>4</v>
      </c>
      <c r="B700" s="2" t="inlineStr">
        <is>
          <t>31.01.06.03</t>
        </is>
      </c>
      <c r="C700" s="2" t="inlineStr">
        <is>
          <t>Piso cimentado queimado - escadarias</t>
        </is>
      </c>
      <c r="D700" s="2" t="inlineStr">
        <is>
          <t>28/07/2027</t>
        </is>
      </c>
      <c r="E700" s="2" t="inlineStr">
        <is>
          <t>18/10/2027</t>
        </is>
      </c>
      <c r="F700" s="2" t="n">
        <v>74706.22873712012</v>
      </c>
      <c r="G700" s="2" t="n">
        <v>0</v>
      </c>
      <c r="H700" s="2" t="n">
        <v>74706.22873712012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</v>
      </c>
      <c r="CJ700" s="2" t="n">
        <v>0</v>
      </c>
      <c r="CK700" s="2" t="n">
        <v>0</v>
      </c>
      <c r="CL700" s="2" t="n">
        <v>0</v>
      </c>
      <c r="CM700" s="2" t="n">
        <v>0</v>
      </c>
      <c r="CN700" s="2" t="n">
        <v>0</v>
      </c>
      <c r="CO700" s="2" t="n">
        <v>0</v>
      </c>
      <c r="CP700" s="2" t="n">
        <v>0</v>
      </c>
      <c r="CQ700" s="2" t="n">
        <v>0</v>
      </c>
      <c r="CR700" s="2" t="n">
        <v>0</v>
      </c>
      <c r="CS700" s="2" t="n">
        <v>0</v>
      </c>
      <c r="CT700" s="2" t="n">
        <v>0</v>
      </c>
      <c r="CU700" s="2" t="n">
        <v>0</v>
      </c>
      <c r="CV700" s="2" t="n">
        <v>0</v>
      </c>
      <c r="CW700" s="2" t="n">
        <v>0</v>
      </c>
      <c r="CX700" s="2" t="n">
        <v>0</v>
      </c>
      <c r="CY700" s="2" t="n">
        <v>0</v>
      </c>
      <c r="CZ700" s="2" t="n">
        <v>0</v>
      </c>
      <c r="DA700" s="2" t="n">
        <v>0</v>
      </c>
      <c r="DB700" s="2" t="n">
        <v>0</v>
      </c>
      <c r="DC700" s="2" t="n">
        <v>0</v>
      </c>
      <c r="DD700" s="2" t="n">
        <v>0</v>
      </c>
      <c r="DE700" s="2" t="n">
        <v>0</v>
      </c>
      <c r="DF700" s="2" t="n">
        <v>0</v>
      </c>
      <c r="DG700" s="2" t="n">
        <v>0</v>
      </c>
      <c r="DH700" s="2" t="n">
        <v>0</v>
      </c>
      <c r="DI700" s="2" t="n">
        <v>0</v>
      </c>
      <c r="DJ700" s="2" t="n">
        <v>5.56</v>
      </c>
      <c r="DK700" s="2" t="n">
        <v>5.56</v>
      </c>
      <c r="DL700" s="2" t="n">
        <v>0</v>
      </c>
      <c r="DM700" s="2" t="n">
        <v>46.3</v>
      </c>
      <c r="DN700" s="2" t="n">
        <v>46.3</v>
      </c>
      <c r="DO700" s="2" t="n">
        <v>0</v>
      </c>
      <c r="DP700" s="2" t="n">
        <v>81.67</v>
      </c>
      <c r="DQ700" s="2" t="n">
        <v>81.67</v>
      </c>
      <c r="DR700" s="2" t="n">
        <v>0</v>
      </c>
      <c r="DS700" s="2" t="n">
        <v>100</v>
      </c>
      <c r="DT700" s="2" t="n">
        <v>100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  <c r="ET700" s="2" t="n">
        <v>100</v>
      </c>
      <c r="EU700" s="2" t="n">
        <v>100</v>
      </c>
      <c r="EV700" s="2" t="n">
        <v>0</v>
      </c>
      <c r="EW700" s="2" t="n">
        <v>100</v>
      </c>
      <c r="EX700" s="2" t="n">
        <v>100</v>
      </c>
      <c r="EY700" s="2" t="n">
        <v>0</v>
      </c>
      <c r="EZ700" s="2" t="n">
        <v>100</v>
      </c>
      <c r="FA700" s="2" t="n">
        <v>100</v>
      </c>
      <c r="FB700" s="2" t="n">
        <v>0</v>
      </c>
      <c r="FC700" s="2" t="n">
        <v>100</v>
      </c>
      <c r="FD700" s="2" t="n">
        <v>100</v>
      </c>
      <c r="FE700" s="2" t="n">
        <v>0</v>
      </c>
      <c r="FF700" s="2" t="n">
        <v>100</v>
      </c>
      <c r="FG700" s="2" t="n">
        <v>100</v>
      </c>
      <c r="FH700" s="2" t="n">
        <v>0</v>
      </c>
      <c r="FI700" s="2" t="n">
        <v>100</v>
      </c>
      <c r="FJ700" s="2" t="n">
        <v>100</v>
      </c>
      <c r="FK700" s="2" t="n">
        <v>0</v>
      </c>
      <c r="FL700" s="2" t="n">
        <v>100</v>
      </c>
      <c r="FM700" s="2" t="n">
        <v>100</v>
      </c>
      <c r="FN700" s="2" t="n">
        <v>0</v>
      </c>
      <c r="FO700" s="2" t="n">
        <v>100</v>
      </c>
      <c r="FP700" s="2" t="n">
        <v>100</v>
      </c>
      <c r="FQ700" s="2" t="n">
        <v>0</v>
      </c>
    </row>
    <row r="701">
      <c r="A701" s="2" t="n">
        <v>3</v>
      </c>
      <c r="B701" s="2" t="inlineStr">
        <is>
          <t>31.01.07</t>
        </is>
      </c>
      <c r="C701" s="2" t="inlineStr">
        <is>
          <t>Pisos Especiais</t>
        </is>
      </c>
      <c r="D701" s="2" t="inlineStr">
        <is>
          <t>02/02/2028</t>
        </is>
      </c>
      <c r="E701" s="2" t="inlineStr">
        <is>
          <t>02/03/2028</t>
        </is>
      </c>
      <c r="F701" s="2" t="n">
        <v>15124.32333017534</v>
      </c>
      <c r="G701" s="2" t="n">
        <v>0</v>
      </c>
      <c r="H701" s="2" t="n">
        <v>15124.32333017534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</v>
      </c>
      <c r="CJ701" s="2" t="n">
        <v>0</v>
      </c>
      <c r="CK701" s="2" t="n">
        <v>0</v>
      </c>
      <c r="CL701" s="2" t="n">
        <v>0</v>
      </c>
      <c r="CM701" s="2" t="n">
        <v>0</v>
      </c>
      <c r="CN701" s="2" t="n">
        <v>0</v>
      </c>
      <c r="CO701" s="2" t="n">
        <v>0</v>
      </c>
      <c r="CP701" s="2" t="n">
        <v>0</v>
      </c>
      <c r="CQ701" s="2" t="n">
        <v>0</v>
      </c>
      <c r="CR701" s="2" t="n">
        <v>0</v>
      </c>
      <c r="CS701" s="2" t="n">
        <v>0</v>
      </c>
      <c r="CT701" s="2" t="n">
        <v>0</v>
      </c>
      <c r="CU701" s="2" t="n">
        <v>0</v>
      </c>
      <c r="CV701" s="2" t="n">
        <v>0</v>
      </c>
      <c r="CW701" s="2" t="n">
        <v>0</v>
      </c>
      <c r="CX701" s="2" t="n">
        <v>0</v>
      </c>
      <c r="CY701" s="2" t="n">
        <v>0</v>
      </c>
      <c r="CZ701" s="2" t="n">
        <v>0</v>
      </c>
      <c r="DA701" s="2" t="n">
        <v>0</v>
      </c>
      <c r="DB701" s="2" t="n">
        <v>0</v>
      </c>
      <c r="DC701" s="2" t="n">
        <v>0</v>
      </c>
      <c r="DD701" s="2" t="n">
        <v>0</v>
      </c>
      <c r="DE701" s="2" t="n">
        <v>0</v>
      </c>
      <c r="DF701" s="2" t="n">
        <v>0</v>
      </c>
      <c r="DG701" s="2" t="n">
        <v>0</v>
      </c>
      <c r="DH701" s="2" t="n">
        <v>0</v>
      </c>
      <c r="DI701" s="2" t="n">
        <v>0</v>
      </c>
      <c r="DJ701" s="2" t="n">
        <v>0</v>
      </c>
      <c r="DK701" s="2" t="n">
        <v>0</v>
      </c>
      <c r="DL701" s="2" t="n">
        <v>0</v>
      </c>
      <c r="DM701" s="2" t="n">
        <v>0</v>
      </c>
      <c r="DN701" s="2" t="n">
        <v>0</v>
      </c>
      <c r="DO701" s="2" t="n">
        <v>0</v>
      </c>
      <c r="DP701" s="2" t="n">
        <v>0</v>
      </c>
      <c r="DQ701" s="2" t="n">
        <v>0</v>
      </c>
      <c r="DR701" s="2" t="n">
        <v>0</v>
      </c>
      <c r="DS701" s="2" t="n">
        <v>0</v>
      </c>
      <c r="DT701" s="2" t="n">
        <v>0</v>
      </c>
      <c r="DU701" s="2" t="n">
        <v>0</v>
      </c>
      <c r="DV701" s="2" t="n">
        <v>0</v>
      </c>
      <c r="DW701" s="2" t="n">
        <v>0</v>
      </c>
      <c r="DX701" s="2" t="n">
        <v>0</v>
      </c>
      <c r="DY701" s="2" t="n">
        <v>0</v>
      </c>
      <c r="DZ701" s="2" t="n">
        <v>0</v>
      </c>
      <c r="EA701" s="2" t="n">
        <v>0</v>
      </c>
      <c r="EB701" s="2" t="n">
        <v>0</v>
      </c>
      <c r="EC701" s="2" t="n">
        <v>0</v>
      </c>
      <c r="ED701" s="2" t="n">
        <v>0</v>
      </c>
      <c r="EE701" s="2" t="n">
        <v>90.91</v>
      </c>
      <c r="EF701" s="2" t="n">
        <v>90.91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  <c r="ET701" s="2" t="n">
        <v>100</v>
      </c>
      <c r="EU701" s="2" t="n">
        <v>100</v>
      </c>
      <c r="EV701" s="2" t="n">
        <v>0</v>
      </c>
      <c r="EW701" s="2" t="n">
        <v>100</v>
      </c>
      <c r="EX701" s="2" t="n">
        <v>100</v>
      </c>
      <c r="EY701" s="2" t="n">
        <v>0</v>
      </c>
      <c r="EZ701" s="2" t="n">
        <v>100</v>
      </c>
      <c r="FA701" s="2" t="n">
        <v>100</v>
      </c>
      <c r="FB701" s="2" t="n">
        <v>0</v>
      </c>
      <c r="FC701" s="2" t="n">
        <v>100</v>
      </c>
      <c r="FD701" s="2" t="n">
        <v>100</v>
      </c>
      <c r="FE701" s="2" t="n">
        <v>0</v>
      </c>
      <c r="FF701" s="2" t="n">
        <v>100</v>
      </c>
      <c r="FG701" s="2" t="n">
        <v>100</v>
      </c>
      <c r="FH701" s="2" t="n">
        <v>0</v>
      </c>
      <c r="FI701" s="2" t="n">
        <v>100</v>
      </c>
      <c r="FJ701" s="2" t="n">
        <v>100</v>
      </c>
      <c r="FK701" s="2" t="n">
        <v>0</v>
      </c>
      <c r="FL701" s="2" t="n">
        <v>100</v>
      </c>
      <c r="FM701" s="2" t="n">
        <v>100</v>
      </c>
      <c r="FN701" s="2" t="n">
        <v>0</v>
      </c>
      <c r="FO701" s="2" t="n">
        <v>100</v>
      </c>
      <c r="FP701" s="2" t="n">
        <v>100</v>
      </c>
      <c r="FQ701" s="2" t="n">
        <v>0</v>
      </c>
    </row>
    <row r="702">
      <c r="A702" s="2" t="n">
        <v>4</v>
      </c>
      <c r="B702" s="2" t="inlineStr">
        <is>
          <t>31.01.07.01</t>
        </is>
      </c>
      <c r="C702" s="2" t="inlineStr">
        <is>
          <t>INT - Piso em ladrilho hidráulico antiderrapante cinza. Tom Ref.: Concreto</t>
        </is>
      </c>
      <c r="D702" s="2" t="inlineStr">
        <is>
          <t>02/02/2028</t>
        </is>
      </c>
      <c r="E702" s="2" t="inlineStr">
        <is>
          <t>02/03/2028</t>
        </is>
      </c>
      <c r="F702" s="2" t="n">
        <v>15124.32333017534</v>
      </c>
      <c r="G702" s="2" t="n">
        <v>0</v>
      </c>
      <c r="H702" s="2" t="n">
        <v>15124.32333017534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</v>
      </c>
      <c r="CJ702" s="2" t="n">
        <v>0</v>
      </c>
      <c r="CK702" s="2" t="n">
        <v>0</v>
      </c>
      <c r="CL702" s="2" t="n">
        <v>0</v>
      </c>
      <c r="CM702" s="2" t="n">
        <v>0</v>
      </c>
      <c r="CN702" s="2" t="n">
        <v>0</v>
      </c>
      <c r="CO702" s="2" t="n">
        <v>0</v>
      </c>
      <c r="CP702" s="2" t="n">
        <v>0</v>
      </c>
      <c r="CQ702" s="2" t="n">
        <v>0</v>
      </c>
      <c r="CR702" s="2" t="n">
        <v>0</v>
      </c>
      <c r="CS702" s="2" t="n">
        <v>0</v>
      </c>
      <c r="CT702" s="2" t="n">
        <v>0</v>
      </c>
      <c r="CU702" s="2" t="n">
        <v>0</v>
      </c>
      <c r="CV702" s="2" t="n">
        <v>0</v>
      </c>
      <c r="CW702" s="2" t="n">
        <v>0</v>
      </c>
      <c r="CX702" s="2" t="n">
        <v>0</v>
      </c>
      <c r="CY702" s="2" t="n">
        <v>0</v>
      </c>
      <c r="CZ702" s="2" t="n">
        <v>0</v>
      </c>
      <c r="DA702" s="2" t="n">
        <v>0</v>
      </c>
      <c r="DB702" s="2" t="n">
        <v>0</v>
      </c>
      <c r="DC702" s="2" t="n">
        <v>0</v>
      </c>
      <c r="DD702" s="2" t="n">
        <v>0</v>
      </c>
      <c r="DE702" s="2" t="n">
        <v>0</v>
      </c>
      <c r="DF702" s="2" t="n">
        <v>0</v>
      </c>
      <c r="DG702" s="2" t="n">
        <v>0</v>
      </c>
      <c r="DH702" s="2" t="n">
        <v>0</v>
      </c>
      <c r="DI702" s="2" t="n">
        <v>0</v>
      </c>
      <c r="DJ702" s="2" t="n">
        <v>0</v>
      </c>
      <c r="DK702" s="2" t="n">
        <v>0</v>
      </c>
      <c r="DL702" s="2" t="n">
        <v>0</v>
      </c>
      <c r="DM702" s="2" t="n">
        <v>0</v>
      </c>
      <c r="DN702" s="2" t="n">
        <v>0</v>
      </c>
      <c r="DO702" s="2" t="n">
        <v>0</v>
      </c>
      <c r="DP702" s="2" t="n">
        <v>0</v>
      </c>
      <c r="DQ702" s="2" t="n">
        <v>0</v>
      </c>
      <c r="DR702" s="2" t="n">
        <v>0</v>
      </c>
      <c r="DS702" s="2" t="n">
        <v>0</v>
      </c>
      <c r="DT702" s="2" t="n">
        <v>0</v>
      </c>
      <c r="DU702" s="2" t="n">
        <v>0</v>
      </c>
      <c r="DV702" s="2" t="n">
        <v>0</v>
      </c>
      <c r="DW702" s="2" t="n">
        <v>0</v>
      </c>
      <c r="DX702" s="2" t="n">
        <v>0</v>
      </c>
      <c r="DY702" s="2" t="n">
        <v>0</v>
      </c>
      <c r="DZ702" s="2" t="n">
        <v>0</v>
      </c>
      <c r="EA702" s="2" t="n">
        <v>0</v>
      </c>
      <c r="EB702" s="2" t="n">
        <v>0</v>
      </c>
      <c r="EC702" s="2" t="n">
        <v>0</v>
      </c>
      <c r="ED702" s="2" t="n">
        <v>0</v>
      </c>
      <c r="EE702" s="2" t="n">
        <v>90.91</v>
      </c>
      <c r="EF702" s="2" t="n">
        <v>90.91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  <c r="ET702" s="2" t="n">
        <v>100</v>
      </c>
      <c r="EU702" s="2" t="n">
        <v>100</v>
      </c>
      <c r="EV702" s="2" t="n">
        <v>0</v>
      </c>
      <c r="EW702" s="2" t="n">
        <v>100</v>
      </c>
      <c r="EX702" s="2" t="n">
        <v>100</v>
      </c>
      <c r="EY702" s="2" t="n">
        <v>0</v>
      </c>
      <c r="EZ702" s="2" t="n">
        <v>100</v>
      </c>
      <c r="FA702" s="2" t="n">
        <v>100</v>
      </c>
      <c r="FB702" s="2" t="n">
        <v>0</v>
      </c>
      <c r="FC702" s="2" t="n">
        <v>100</v>
      </c>
      <c r="FD702" s="2" t="n">
        <v>100</v>
      </c>
      <c r="FE702" s="2" t="n">
        <v>0</v>
      </c>
      <c r="FF702" s="2" t="n">
        <v>100</v>
      </c>
      <c r="FG702" s="2" t="n">
        <v>100</v>
      </c>
      <c r="FH702" s="2" t="n">
        <v>0</v>
      </c>
      <c r="FI702" s="2" t="n">
        <v>100</v>
      </c>
      <c r="FJ702" s="2" t="n">
        <v>100</v>
      </c>
      <c r="FK702" s="2" t="n">
        <v>0</v>
      </c>
      <c r="FL702" s="2" t="n">
        <v>100</v>
      </c>
      <c r="FM702" s="2" t="n">
        <v>100</v>
      </c>
      <c r="FN702" s="2" t="n">
        <v>0</v>
      </c>
      <c r="FO702" s="2" t="n">
        <v>100</v>
      </c>
      <c r="FP702" s="2" t="n">
        <v>100</v>
      </c>
      <c r="FQ702" s="2" t="n">
        <v>0</v>
      </c>
    </row>
    <row r="703">
      <c r="A703" s="2" t="n">
        <v>2</v>
      </c>
      <c r="B703" s="2" t="inlineStr">
        <is>
          <t>31.02</t>
        </is>
      </c>
      <c r="C703" s="2" t="inlineStr">
        <is>
          <t>Rodapés internos</t>
        </is>
      </c>
      <c r="D703" s="2" t="inlineStr">
        <is>
          <t>17/02/2027</t>
        </is>
      </c>
      <c r="E703" s="2" t="inlineStr">
        <is>
          <t>03/10/2028</t>
        </is>
      </c>
      <c r="F703" s="2" t="n">
        <v>799972.5578428408</v>
      </c>
      <c r="G703" s="2" t="n">
        <v>0</v>
      </c>
      <c r="H703" s="2" t="n">
        <v>799972.5578428408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</v>
      </c>
      <c r="CJ703" s="2" t="n">
        <v>0</v>
      </c>
      <c r="CK703" s="2" t="n">
        <v>0</v>
      </c>
      <c r="CL703" s="2" t="n">
        <v>0</v>
      </c>
      <c r="CM703" s="2" t="n">
        <v>0</v>
      </c>
      <c r="CN703" s="2" t="n">
        <v>0</v>
      </c>
      <c r="CO703" s="2" t="n">
        <v>0</v>
      </c>
      <c r="CP703" s="2" t="n">
        <v>0</v>
      </c>
      <c r="CQ703" s="2" t="n">
        <v>0</v>
      </c>
      <c r="CR703" s="2" t="n">
        <v>0</v>
      </c>
      <c r="CS703" s="2" t="n">
        <v>0</v>
      </c>
      <c r="CT703" s="2" t="n">
        <v>0</v>
      </c>
      <c r="CU703" s="2" t="n">
        <v>2.45</v>
      </c>
      <c r="CV703" s="2" t="n">
        <v>1.96</v>
      </c>
      <c r="CW703" s="2" t="n">
        <v>0</v>
      </c>
      <c r="CX703" s="2" t="n">
        <v>7.18</v>
      </c>
      <c r="CY703" s="2" t="n">
        <v>4.95</v>
      </c>
      <c r="CZ703" s="2" t="n">
        <v>0</v>
      </c>
      <c r="DA703" s="2" t="n">
        <v>11.49</v>
      </c>
      <c r="DB703" s="2" t="n">
        <v>10.42</v>
      </c>
      <c r="DC703" s="2" t="n">
        <v>0</v>
      </c>
      <c r="DD703" s="2" t="n">
        <v>14.72</v>
      </c>
      <c r="DE703" s="2" t="n">
        <v>12.82</v>
      </c>
      <c r="DF703" s="2" t="n">
        <v>0</v>
      </c>
      <c r="DG703" s="2" t="n">
        <v>18.96</v>
      </c>
      <c r="DH703" s="2" t="n">
        <v>15.56</v>
      </c>
      <c r="DI703" s="2" t="n">
        <v>0</v>
      </c>
      <c r="DJ703" s="2" t="n">
        <v>27.98</v>
      </c>
      <c r="DK703" s="2" t="n">
        <v>26.46</v>
      </c>
      <c r="DL703" s="2" t="n">
        <v>0</v>
      </c>
      <c r="DM703" s="2" t="n">
        <v>38.45</v>
      </c>
      <c r="DN703" s="2" t="n">
        <v>33.62</v>
      </c>
      <c r="DO703" s="2" t="n">
        <v>0</v>
      </c>
      <c r="DP703" s="2" t="n">
        <v>46.41</v>
      </c>
      <c r="DQ703" s="2" t="n">
        <v>44.35</v>
      </c>
      <c r="DR703" s="2" t="n">
        <v>0</v>
      </c>
      <c r="DS703" s="2" t="n">
        <v>52.27</v>
      </c>
      <c r="DT703" s="2" t="n">
        <v>48.67</v>
      </c>
      <c r="DU703" s="2" t="n">
        <v>0</v>
      </c>
      <c r="DV703" s="2" t="n">
        <v>61.8</v>
      </c>
      <c r="DW703" s="2" t="n">
        <v>58.11</v>
      </c>
      <c r="DX703" s="2" t="n">
        <v>0</v>
      </c>
      <c r="DY703" s="2" t="n">
        <v>70.73999999999999</v>
      </c>
      <c r="DZ703" s="2" t="n">
        <v>64.52</v>
      </c>
      <c r="EA703" s="2" t="n">
        <v>0</v>
      </c>
      <c r="EB703" s="2" t="n">
        <v>81.27</v>
      </c>
      <c r="EC703" s="2" t="n">
        <v>71.38</v>
      </c>
      <c r="ED703" s="2" t="n">
        <v>0</v>
      </c>
      <c r="EE703" s="2" t="n">
        <v>87.87</v>
      </c>
      <c r="EF703" s="2" t="n">
        <v>76.42</v>
      </c>
      <c r="EG703" s="2" t="n">
        <v>0</v>
      </c>
      <c r="EH703" s="2" t="n">
        <v>93.26000000000001</v>
      </c>
      <c r="EI703" s="2" t="n">
        <v>83.26000000000001</v>
      </c>
      <c r="EJ703" s="2" t="n">
        <v>0</v>
      </c>
      <c r="EK703" s="2" t="n">
        <v>97.2</v>
      </c>
      <c r="EL703" s="2" t="n">
        <v>88.06999999999999</v>
      </c>
      <c r="EM703" s="2" t="n">
        <v>0</v>
      </c>
      <c r="EN703" s="2" t="n">
        <v>100</v>
      </c>
      <c r="EO703" s="2" t="n">
        <v>90.55</v>
      </c>
      <c r="EP703" s="2" t="n">
        <v>0</v>
      </c>
      <c r="EQ703" s="2" t="n">
        <v>100</v>
      </c>
      <c r="ER703" s="2" t="n">
        <v>92.76000000000001</v>
      </c>
      <c r="ES703" s="2" t="n">
        <v>0</v>
      </c>
      <c r="ET703" s="2" t="n">
        <v>100</v>
      </c>
      <c r="EU703" s="2" t="n">
        <v>95.28</v>
      </c>
      <c r="EV703" s="2" t="n">
        <v>0</v>
      </c>
      <c r="EW703" s="2" t="n">
        <v>100</v>
      </c>
      <c r="EX703" s="2" t="n">
        <v>97.31999999999999</v>
      </c>
      <c r="EY703" s="2" t="n">
        <v>0</v>
      </c>
      <c r="EZ703" s="2" t="n">
        <v>100</v>
      </c>
      <c r="FA703" s="2" t="n">
        <v>99.69</v>
      </c>
      <c r="FB703" s="2" t="n">
        <v>0</v>
      </c>
      <c r="FC703" s="2" t="n">
        <v>100</v>
      </c>
      <c r="FD703" s="2" t="n">
        <v>100</v>
      </c>
      <c r="FE703" s="2" t="n">
        <v>0</v>
      </c>
      <c r="FF703" s="2" t="n">
        <v>100</v>
      </c>
      <c r="FG703" s="2" t="n">
        <v>100</v>
      </c>
      <c r="FH703" s="2" t="n">
        <v>0</v>
      </c>
      <c r="FI703" s="2" t="n">
        <v>100</v>
      </c>
      <c r="FJ703" s="2" t="n">
        <v>100</v>
      </c>
      <c r="FK703" s="2" t="n">
        <v>0</v>
      </c>
      <c r="FL703" s="2" t="n">
        <v>100</v>
      </c>
      <c r="FM703" s="2" t="n">
        <v>100</v>
      </c>
      <c r="FN703" s="2" t="n">
        <v>0</v>
      </c>
      <c r="FO703" s="2" t="n">
        <v>100</v>
      </c>
      <c r="FP703" s="2" t="n">
        <v>100</v>
      </c>
      <c r="FQ703" s="2" t="n">
        <v>0</v>
      </c>
    </row>
    <row r="704">
      <c r="A704" s="2" t="n">
        <v>3</v>
      </c>
      <c r="B704" s="2" t="inlineStr">
        <is>
          <t>31.02.01</t>
        </is>
      </c>
      <c r="C704" s="2" t="inlineStr">
        <is>
          <t>Porcelanato</t>
        </is>
      </c>
      <c r="D704" s="2" t="inlineStr">
        <is>
          <t>29/10/2027</t>
        </is>
      </c>
      <c r="E704" s="2" t="inlineStr">
        <is>
          <t>10/11/2027</t>
        </is>
      </c>
      <c r="F704" s="2" t="n">
        <v>7365.267317938842</v>
      </c>
      <c r="G704" s="2" t="n">
        <v>0</v>
      </c>
      <c r="H704" s="2" t="n">
        <v>7365.267317938842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</v>
      </c>
      <c r="CJ704" s="2" t="n">
        <v>0</v>
      </c>
      <c r="CK704" s="2" t="n">
        <v>0</v>
      </c>
      <c r="CL704" s="2" t="n">
        <v>0</v>
      </c>
      <c r="CM704" s="2" t="n">
        <v>0</v>
      </c>
      <c r="CN704" s="2" t="n">
        <v>0</v>
      </c>
      <c r="CO704" s="2" t="n">
        <v>0</v>
      </c>
      <c r="CP704" s="2" t="n">
        <v>0</v>
      </c>
      <c r="CQ704" s="2" t="n">
        <v>0</v>
      </c>
      <c r="CR704" s="2" t="n">
        <v>0</v>
      </c>
      <c r="CS704" s="2" t="n">
        <v>0</v>
      </c>
      <c r="CT704" s="2" t="n">
        <v>0</v>
      </c>
      <c r="CU704" s="2" t="n">
        <v>0</v>
      </c>
      <c r="CV704" s="2" t="n">
        <v>0</v>
      </c>
      <c r="CW704" s="2" t="n">
        <v>0</v>
      </c>
      <c r="CX704" s="2" t="n">
        <v>0</v>
      </c>
      <c r="CY704" s="2" t="n">
        <v>0</v>
      </c>
      <c r="CZ704" s="2" t="n">
        <v>0</v>
      </c>
      <c r="DA704" s="2" t="n">
        <v>0</v>
      </c>
      <c r="DB704" s="2" t="n">
        <v>0</v>
      </c>
      <c r="DC704" s="2" t="n">
        <v>0</v>
      </c>
      <c r="DD704" s="2" t="n">
        <v>0</v>
      </c>
      <c r="DE704" s="2" t="n">
        <v>0</v>
      </c>
      <c r="DF704" s="2" t="n">
        <v>0</v>
      </c>
      <c r="DG704" s="2" t="n">
        <v>0</v>
      </c>
      <c r="DH704" s="2" t="n">
        <v>0</v>
      </c>
      <c r="DI704" s="2" t="n">
        <v>0</v>
      </c>
      <c r="DJ704" s="2" t="n">
        <v>0</v>
      </c>
      <c r="DK704" s="2" t="n">
        <v>0</v>
      </c>
      <c r="DL704" s="2" t="n">
        <v>0</v>
      </c>
      <c r="DM704" s="2" t="n">
        <v>0</v>
      </c>
      <c r="DN704" s="2" t="n">
        <v>0</v>
      </c>
      <c r="DO704" s="2" t="n">
        <v>0</v>
      </c>
      <c r="DP704" s="2" t="n">
        <v>0</v>
      </c>
      <c r="DQ704" s="2" t="n">
        <v>0</v>
      </c>
      <c r="DR704" s="2" t="n">
        <v>0</v>
      </c>
      <c r="DS704" s="2" t="n">
        <v>12.5</v>
      </c>
      <c r="DT704" s="2" t="n">
        <v>12.5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  <c r="ET704" s="2" t="n">
        <v>100</v>
      </c>
      <c r="EU704" s="2" t="n">
        <v>100</v>
      </c>
      <c r="EV704" s="2" t="n">
        <v>0</v>
      </c>
      <c r="EW704" s="2" t="n">
        <v>100</v>
      </c>
      <c r="EX704" s="2" t="n">
        <v>100</v>
      </c>
      <c r="EY704" s="2" t="n">
        <v>0</v>
      </c>
      <c r="EZ704" s="2" t="n">
        <v>100</v>
      </c>
      <c r="FA704" s="2" t="n">
        <v>100</v>
      </c>
      <c r="FB704" s="2" t="n">
        <v>0</v>
      </c>
      <c r="FC704" s="2" t="n">
        <v>100</v>
      </c>
      <c r="FD704" s="2" t="n">
        <v>100</v>
      </c>
      <c r="FE704" s="2" t="n">
        <v>0</v>
      </c>
      <c r="FF704" s="2" t="n">
        <v>100</v>
      </c>
      <c r="FG704" s="2" t="n">
        <v>100</v>
      </c>
      <c r="FH704" s="2" t="n">
        <v>0</v>
      </c>
      <c r="FI704" s="2" t="n">
        <v>100</v>
      </c>
      <c r="FJ704" s="2" t="n">
        <v>100</v>
      </c>
      <c r="FK704" s="2" t="n">
        <v>0</v>
      </c>
      <c r="FL704" s="2" t="n">
        <v>100</v>
      </c>
      <c r="FM704" s="2" t="n">
        <v>100</v>
      </c>
      <c r="FN704" s="2" t="n">
        <v>0</v>
      </c>
      <c r="FO704" s="2" t="n">
        <v>100</v>
      </c>
      <c r="FP704" s="2" t="n">
        <v>100</v>
      </c>
      <c r="FQ704" s="2" t="n">
        <v>0</v>
      </c>
    </row>
    <row r="705">
      <c r="A705" s="2" t="n">
        <v>4</v>
      </c>
      <c r="B705" s="2" t="inlineStr">
        <is>
          <t>31.02.01.01</t>
        </is>
      </c>
      <c r="C705" s="2" t="inlineStr">
        <is>
          <t>Rodapé para Piso Porcelanato off white 60x60cm, espessura 1cm, com acabamento acetinado. Paginação e altura conforme detalhamento. Ref.: Khali Off White AC; Linha Khali; Eliane, h=10cm, assentado com argamassa colante em pó ACIII</t>
        </is>
      </c>
      <c r="D705" s="2" t="inlineStr">
        <is>
          <t>29/10/2027</t>
        </is>
      </c>
      <c r="E705" s="2" t="inlineStr">
        <is>
          <t>10/11/2027</t>
        </is>
      </c>
      <c r="F705" s="2" t="n">
        <v>7365.267317938842</v>
      </c>
      <c r="G705" s="2" t="n">
        <v>0</v>
      </c>
      <c r="H705" s="2" t="n">
        <v>7365.267317938842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</v>
      </c>
      <c r="CJ705" s="2" t="n">
        <v>0</v>
      </c>
      <c r="CK705" s="2" t="n">
        <v>0</v>
      </c>
      <c r="CL705" s="2" t="n">
        <v>0</v>
      </c>
      <c r="CM705" s="2" t="n">
        <v>0</v>
      </c>
      <c r="CN705" s="2" t="n">
        <v>0</v>
      </c>
      <c r="CO705" s="2" t="n">
        <v>0</v>
      </c>
      <c r="CP705" s="2" t="n">
        <v>0</v>
      </c>
      <c r="CQ705" s="2" t="n">
        <v>0</v>
      </c>
      <c r="CR705" s="2" t="n">
        <v>0</v>
      </c>
      <c r="CS705" s="2" t="n">
        <v>0</v>
      </c>
      <c r="CT705" s="2" t="n">
        <v>0</v>
      </c>
      <c r="CU705" s="2" t="n">
        <v>0</v>
      </c>
      <c r="CV705" s="2" t="n">
        <v>0</v>
      </c>
      <c r="CW705" s="2" t="n">
        <v>0</v>
      </c>
      <c r="CX705" s="2" t="n">
        <v>0</v>
      </c>
      <c r="CY705" s="2" t="n">
        <v>0</v>
      </c>
      <c r="CZ705" s="2" t="n">
        <v>0</v>
      </c>
      <c r="DA705" s="2" t="n">
        <v>0</v>
      </c>
      <c r="DB705" s="2" t="n">
        <v>0</v>
      </c>
      <c r="DC705" s="2" t="n">
        <v>0</v>
      </c>
      <c r="DD705" s="2" t="n">
        <v>0</v>
      </c>
      <c r="DE705" s="2" t="n">
        <v>0</v>
      </c>
      <c r="DF705" s="2" t="n">
        <v>0</v>
      </c>
      <c r="DG705" s="2" t="n">
        <v>0</v>
      </c>
      <c r="DH705" s="2" t="n">
        <v>0</v>
      </c>
      <c r="DI705" s="2" t="n">
        <v>0</v>
      </c>
      <c r="DJ705" s="2" t="n">
        <v>0</v>
      </c>
      <c r="DK705" s="2" t="n">
        <v>0</v>
      </c>
      <c r="DL705" s="2" t="n">
        <v>0</v>
      </c>
      <c r="DM705" s="2" t="n">
        <v>0</v>
      </c>
      <c r="DN705" s="2" t="n">
        <v>0</v>
      </c>
      <c r="DO705" s="2" t="n">
        <v>0</v>
      </c>
      <c r="DP705" s="2" t="n">
        <v>0</v>
      </c>
      <c r="DQ705" s="2" t="n">
        <v>0</v>
      </c>
      <c r="DR705" s="2" t="n">
        <v>0</v>
      </c>
      <c r="DS705" s="2" t="n">
        <v>12.5</v>
      </c>
      <c r="DT705" s="2" t="n">
        <v>12.5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  <c r="ET705" s="2" t="n">
        <v>100</v>
      </c>
      <c r="EU705" s="2" t="n">
        <v>100</v>
      </c>
      <c r="EV705" s="2" t="n">
        <v>0</v>
      </c>
      <c r="EW705" s="2" t="n">
        <v>100</v>
      </c>
      <c r="EX705" s="2" t="n">
        <v>100</v>
      </c>
      <c r="EY705" s="2" t="n">
        <v>0</v>
      </c>
      <c r="EZ705" s="2" t="n">
        <v>100</v>
      </c>
      <c r="FA705" s="2" t="n">
        <v>100</v>
      </c>
      <c r="FB705" s="2" t="n">
        <v>0</v>
      </c>
      <c r="FC705" s="2" t="n">
        <v>100</v>
      </c>
      <c r="FD705" s="2" t="n">
        <v>100</v>
      </c>
      <c r="FE705" s="2" t="n">
        <v>0</v>
      </c>
      <c r="FF705" s="2" t="n">
        <v>100</v>
      </c>
      <c r="FG705" s="2" t="n">
        <v>100</v>
      </c>
      <c r="FH705" s="2" t="n">
        <v>0</v>
      </c>
      <c r="FI705" s="2" t="n">
        <v>100</v>
      </c>
      <c r="FJ705" s="2" t="n">
        <v>100</v>
      </c>
      <c r="FK705" s="2" t="n">
        <v>0</v>
      </c>
      <c r="FL705" s="2" t="n">
        <v>100</v>
      </c>
      <c r="FM705" s="2" t="n">
        <v>100</v>
      </c>
      <c r="FN705" s="2" t="n">
        <v>0</v>
      </c>
      <c r="FO705" s="2" t="n">
        <v>100</v>
      </c>
      <c r="FP705" s="2" t="n">
        <v>100</v>
      </c>
      <c r="FQ705" s="2" t="n">
        <v>0</v>
      </c>
    </row>
    <row r="706">
      <c r="A706" s="2" t="n">
        <v>3</v>
      </c>
      <c r="B706" s="2" t="inlineStr">
        <is>
          <t>31.02.02</t>
        </is>
      </c>
      <c r="C706" s="2" t="inlineStr">
        <is>
          <t>Pedras</t>
        </is>
      </c>
      <c r="D706" s="2" t="inlineStr">
        <is>
          <t>17/02/2027</t>
        </is>
      </c>
      <c r="E706" s="2" t="inlineStr">
        <is>
          <t>02/05/2028</t>
        </is>
      </c>
      <c r="F706" s="2" t="n">
        <v>492473.9122613556</v>
      </c>
      <c r="G706" s="2" t="n">
        <v>0</v>
      </c>
      <c r="H706" s="2" t="n">
        <v>492473.9122613556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0</v>
      </c>
      <c r="CM706" s="2" t="n">
        <v>0</v>
      </c>
      <c r="CN706" s="2" t="n">
        <v>0</v>
      </c>
      <c r="CO706" s="2" t="n">
        <v>0</v>
      </c>
      <c r="CP706" s="2" t="n">
        <v>0</v>
      </c>
      <c r="CQ706" s="2" t="n">
        <v>0</v>
      </c>
      <c r="CR706" s="2" t="n">
        <v>0</v>
      </c>
      <c r="CS706" s="2" t="n">
        <v>0</v>
      </c>
      <c r="CT706" s="2" t="n">
        <v>0</v>
      </c>
      <c r="CU706" s="2" t="n">
        <v>3.97</v>
      </c>
      <c r="CV706" s="2" t="n">
        <v>3.18</v>
      </c>
      <c r="CW706" s="2" t="n">
        <v>0</v>
      </c>
      <c r="CX706" s="2" t="n">
        <v>11.67</v>
      </c>
      <c r="CY706" s="2" t="n">
        <v>8.029999999999999</v>
      </c>
      <c r="CZ706" s="2" t="n">
        <v>0</v>
      </c>
      <c r="DA706" s="2" t="n">
        <v>18.67</v>
      </c>
      <c r="DB706" s="2" t="n">
        <v>16.93</v>
      </c>
      <c r="DC706" s="2" t="n">
        <v>0</v>
      </c>
      <c r="DD706" s="2" t="n">
        <v>23.91</v>
      </c>
      <c r="DE706" s="2" t="n">
        <v>20.82</v>
      </c>
      <c r="DF706" s="2" t="n">
        <v>0</v>
      </c>
      <c r="DG706" s="2" t="n">
        <v>28.49</v>
      </c>
      <c r="DH706" s="2" t="n">
        <v>25.27</v>
      </c>
      <c r="DI706" s="2" t="n">
        <v>0</v>
      </c>
      <c r="DJ706" s="2" t="n">
        <v>40.33</v>
      </c>
      <c r="DK706" s="2" t="n">
        <v>40.42</v>
      </c>
      <c r="DL706" s="2" t="n">
        <v>0</v>
      </c>
      <c r="DM706" s="2" t="n">
        <v>53.36</v>
      </c>
      <c r="DN706" s="2" t="n">
        <v>49.16</v>
      </c>
      <c r="DO706" s="2" t="n">
        <v>0</v>
      </c>
      <c r="DP706" s="2" t="n">
        <v>63.52</v>
      </c>
      <c r="DQ706" s="2" t="n">
        <v>65.28</v>
      </c>
      <c r="DR706" s="2" t="n">
        <v>0</v>
      </c>
      <c r="DS706" s="2" t="n">
        <v>69.26000000000001</v>
      </c>
      <c r="DT706" s="2" t="n">
        <v>69.26000000000001</v>
      </c>
      <c r="DU706" s="2" t="n">
        <v>0</v>
      </c>
      <c r="DV706" s="2" t="n">
        <v>75.88</v>
      </c>
      <c r="DW706" s="2" t="n">
        <v>76.41</v>
      </c>
      <c r="DX706" s="2" t="n">
        <v>0</v>
      </c>
      <c r="DY706" s="2" t="n">
        <v>85.15000000000001</v>
      </c>
      <c r="DZ706" s="2" t="n">
        <v>83.17</v>
      </c>
      <c r="EA706" s="2" t="n">
        <v>0</v>
      </c>
      <c r="EB706" s="2" t="n">
        <v>93.09999999999999</v>
      </c>
      <c r="EC706" s="2" t="n">
        <v>89.13</v>
      </c>
      <c r="ED706" s="2" t="n">
        <v>0</v>
      </c>
      <c r="EE706" s="2" t="n">
        <v>97.68000000000001</v>
      </c>
      <c r="EF706" s="2" t="n">
        <v>94.5</v>
      </c>
      <c r="EG706" s="2" t="n">
        <v>0</v>
      </c>
      <c r="EH706" s="2" t="n">
        <v>97.73999999999999</v>
      </c>
      <c r="EI706" s="2" t="n">
        <v>97.73999999999999</v>
      </c>
      <c r="EJ706" s="2" t="n">
        <v>0</v>
      </c>
      <c r="EK706" s="2" t="n">
        <v>99.55</v>
      </c>
      <c r="EL706" s="2" t="n">
        <v>99.55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  <c r="ET706" s="2" t="n">
        <v>100</v>
      </c>
      <c r="EU706" s="2" t="n">
        <v>100</v>
      </c>
      <c r="EV706" s="2" t="n">
        <v>0</v>
      </c>
      <c r="EW706" s="2" t="n">
        <v>100</v>
      </c>
      <c r="EX706" s="2" t="n">
        <v>100</v>
      </c>
      <c r="EY706" s="2" t="n">
        <v>0</v>
      </c>
      <c r="EZ706" s="2" t="n">
        <v>100</v>
      </c>
      <c r="FA706" s="2" t="n">
        <v>100</v>
      </c>
      <c r="FB706" s="2" t="n">
        <v>0</v>
      </c>
      <c r="FC706" s="2" t="n">
        <v>100</v>
      </c>
      <c r="FD706" s="2" t="n">
        <v>100</v>
      </c>
      <c r="FE706" s="2" t="n">
        <v>0</v>
      </c>
      <c r="FF706" s="2" t="n">
        <v>100</v>
      </c>
      <c r="FG706" s="2" t="n">
        <v>100</v>
      </c>
      <c r="FH706" s="2" t="n">
        <v>0</v>
      </c>
      <c r="FI706" s="2" t="n">
        <v>100</v>
      </c>
      <c r="FJ706" s="2" t="n">
        <v>100</v>
      </c>
      <c r="FK706" s="2" t="n">
        <v>0</v>
      </c>
      <c r="FL706" s="2" t="n">
        <v>100</v>
      </c>
      <c r="FM706" s="2" t="n">
        <v>100</v>
      </c>
      <c r="FN706" s="2" t="n">
        <v>0</v>
      </c>
      <c r="FO706" s="2" t="n">
        <v>100</v>
      </c>
      <c r="FP706" s="2" t="n">
        <v>100</v>
      </c>
      <c r="FQ706" s="2" t="n">
        <v>0</v>
      </c>
    </row>
    <row r="707">
      <c r="A707" s="2" t="n">
        <v>4</v>
      </c>
      <c r="B707" s="2" t="inlineStr">
        <is>
          <t>31.02.02.01</t>
        </is>
      </c>
      <c r="C707" s="2" t="inlineStr">
        <is>
          <t>Rodapé de sobrepor para Piso de granito branco siena escovado, h=40cm, assentado com argamassa colante em pó ACIII</t>
        </is>
      </c>
      <c r="D707" s="2" t="inlineStr">
        <is>
          <t>17/02/2027</t>
        </is>
      </c>
      <c r="E707" s="2" t="inlineStr">
        <is>
          <t>02/05/2028</t>
        </is>
      </c>
      <c r="F707" s="2" t="n">
        <v>227502.0775194011</v>
      </c>
      <c r="G707" s="2" t="n">
        <v>0</v>
      </c>
      <c r="H707" s="2" t="n">
        <v>227502.0775194011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0</v>
      </c>
      <c r="CM707" s="2" t="n">
        <v>0</v>
      </c>
      <c r="CN707" s="2" t="n">
        <v>0</v>
      </c>
      <c r="CO707" s="2" t="n">
        <v>0</v>
      </c>
      <c r="CP707" s="2" t="n">
        <v>0</v>
      </c>
      <c r="CQ707" s="2" t="n">
        <v>0</v>
      </c>
      <c r="CR707" s="2" t="n">
        <v>0</v>
      </c>
      <c r="CS707" s="2" t="n">
        <v>0</v>
      </c>
      <c r="CT707" s="2" t="n">
        <v>0</v>
      </c>
      <c r="CU707" s="2" t="n">
        <v>3.97</v>
      </c>
      <c r="CV707" s="2" t="n">
        <v>3.18</v>
      </c>
      <c r="CW707" s="2" t="n">
        <v>0</v>
      </c>
      <c r="CX707" s="2" t="n">
        <v>11.67</v>
      </c>
      <c r="CY707" s="2" t="n">
        <v>8.029999999999999</v>
      </c>
      <c r="CZ707" s="2" t="n">
        <v>0</v>
      </c>
      <c r="DA707" s="2" t="n">
        <v>18.67</v>
      </c>
      <c r="DB707" s="2" t="n">
        <v>16.93</v>
      </c>
      <c r="DC707" s="2" t="n">
        <v>0</v>
      </c>
      <c r="DD707" s="2" t="n">
        <v>23.91</v>
      </c>
      <c r="DE707" s="2" t="n">
        <v>20.82</v>
      </c>
      <c r="DF707" s="2" t="n">
        <v>0</v>
      </c>
      <c r="DG707" s="2" t="n">
        <v>28.49</v>
      </c>
      <c r="DH707" s="2" t="n">
        <v>25.27</v>
      </c>
      <c r="DI707" s="2" t="n">
        <v>0</v>
      </c>
      <c r="DJ707" s="2" t="n">
        <v>40.33</v>
      </c>
      <c r="DK707" s="2" t="n">
        <v>40.42</v>
      </c>
      <c r="DL707" s="2" t="n">
        <v>0</v>
      </c>
      <c r="DM707" s="2" t="n">
        <v>53.36</v>
      </c>
      <c r="DN707" s="2" t="n">
        <v>49.16</v>
      </c>
      <c r="DO707" s="2" t="n">
        <v>0</v>
      </c>
      <c r="DP707" s="2" t="n">
        <v>63.52</v>
      </c>
      <c r="DQ707" s="2" t="n">
        <v>65.28</v>
      </c>
      <c r="DR707" s="2" t="n">
        <v>0</v>
      </c>
      <c r="DS707" s="2" t="n">
        <v>69.26000000000001</v>
      </c>
      <c r="DT707" s="2" t="n">
        <v>69.26000000000001</v>
      </c>
      <c r="DU707" s="2" t="n">
        <v>0</v>
      </c>
      <c r="DV707" s="2" t="n">
        <v>75.88</v>
      </c>
      <c r="DW707" s="2" t="n">
        <v>76.41</v>
      </c>
      <c r="DX707" s="2" t="n">
        <v>0</v>
      </c>
      <c r="DY707" s="2" t="n">
        <v>85.15000000000001</v>
      </c>
      <c r="DZ707" s="2" t="n">
        <v>83.17</v>
      </c>
      <c r="EA707" s="2" t="n">
        <v>0</v>
      </c>
      <c r="EB707" s="2" t="n">
        <v>93.09999999999999</v>
      </c>
      <c r="EC707" s="2" t="n">
        <v>89.13</v>
      </c>
      <c r="ED707" s="2" t="n">
        <v>0</v>
      </c>
      <c r="EE707" s="2" t="n">
        <v>97.68000000000001</v>
      </c>
      <c r="EF707" s="2" t="n">
        <v>94.5</v>
      </c>
      <c r="EG707" s="2" t="n">
        <v>0</v>
      </c>
      <c r="EH707" s="2" t="n">
        <v>97.73999999999999</v>
      </c>
      <c r="EI707" s="2" t="n">
        <v>97.73999999999999</v>
      </c>
      <c r="EJ707" s="2" t="n">
        <v>0</v>
      </c>
      <c r="EK707" s="2" t="n">
        <v>99.55</v>
      </c>
      <c r="EL707" s="2" t="n">
        <v>99.55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  <c r="ET707" s="2" t="n">
        <v>100</v>
      </c>
      <c r="EU707" s="2" t="n">
        <v>100</v>
      </c>
      <c r="EV707" s="2" t="n">
        <v>0</v>
      </c>
      <c r="EW707" s="2" t="n">
        <v>100</v>
      </c>
      <c r="EX707" s="2" t="n">
        <v>100</v>
      </c>
      <c r="EY707" s="2" t="n">
        <v>0</v>
      </c>
      <c r="EZ707" s="2" t="n">
        <v>100</v>
      </c>
      <c r="FA707" s="2" t="n">
        <v>100</v>
      </c>
      <c r="FB707" s="2" t="n">
        <v>0</v>
      </c>
      <c r="FC707" s="2" t="n">
        <v>100</v>
      </c>
      <c r="FD707" s="2" t="n">
        <v>100</v>
      </c>
      <c r="FE707" s="2" t="n">
        <v>0</v>
      </c>
      <c r="FF707" s="2" t="n">
        <v>100</v>
      </c>
      <c r="FG707" s="2" t="n">
        <v>100</v>
      </c>
      <c r="FH707" s="2" t="n">
        <v>0</v>
      </c>
      <c r="FI707" s="2" t="n">
        <v>100</v>
      </c>
      <c r="FJ707" s="2" t="n">
        <v>100</v>
      </c>
      <c r="FK707" s="2" t="n">
        <v>0</v>
      </c>
      <c r="FL707" s="2" t="n">
        <v>100</v>
      </c>
      <c r="FM707" s="2" t="n">
        <v>100</v>
      </c>
      <c r="FN707" s="2" t="n">
        <v>0</v>
      </c>
      <c r="FO707" s="2" t="n">
        <v>100</v>
      </c>
      <c r="FP707" s="2" t="n">
        <v>100</v>
      </c>
      <c r="FQ707" s="2" t="n">
        <v>0</v>
      </c>
    </row>
    <row r="708">
      <c r="A708" s="2" t="n">
        <v>4</v>
      </c>
      <c r="B708" s="2" t="inlineStr">
        <is>
          <t>31.02.02.02</t>
        </is>
      </c>
      <c r="C708" s="2" t="inlineStr">
        <is>
          <t>Rodapé para Piso de granito santa rosa 1, h=40cm, assentado com argamassa colante em pó ACIII</t>
        </is>
      </c>
      <c r="D708" s="2" t="inlineStr">
        <is>
          <t>17/02/2027</t>
        </is>
      </c>
      <c r="E708" s="2" t="inlineStr">
        <is>
          <t>02/05/2028</t>
        </is>
      </c>
      <c r="F708" s="2" t="n">
        <v>35377.29763498513</v>
      </c>
      <c r="G708" s="2" t="n">
        <v>0</v>
      </c>
      <c r="H708" s="2" t="n">
        <v>35377.29763498513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0</v>
      </c>
      <c r="CM708" s="2" t="n">
        <v>0</v>
      </c>
      <c r="CN708" s="2" t="n">
        <v>0</v>
      </c>
      <c r="CO708" s="2" t="n">
        <v>0</v>
      </c>
      <c r="CP708" s="2" t="n">
        <v>0</v>
      </c>
      <c r="CQ708" s="2" t="n">
        <v>0</v>
      </c>
      <c r="CR708" s="2" t="n">
        <v>0</v>
      </c>
      <c r="CS708" s="2" t="n">
        <v>0</v>
      </c>
      <c r="CT708" s="2" t="n">
        <v>0</v>
      </c>
      <c r="CU708" s="2" t="n">
        <v>3.97</v>
      </c>
      <c r="CV708" s="2" t="n">
        <v>3.18</v>
      </c>
      <c r="CW708" s="2" t="n">
        <v>0</v>
      </c>
      <c r="CX708" s="2" t="n">
        <v>11.67</v>
      </c>
      <c r="CY708" s="2" t="n">
        <v>8.029999999999999</v>
      </c>
      <c r="CZ708" s="2" t="n">
        <v>0</v>
      </c>
      <c r="DA708" s="2" t="n">
        <v>18.67</v>
      </c>
      <c r="DB708" s="2" t="n">
        <v>16.93</v>
      </c>
      <c r="DC708" s="2" t="n">
        <v>0</v>
      </c>
      <c r="DD708" s="2" t="n">
        <v>23.91</v>
      </c>
      <c r="DE708" s="2" t="n">
        <v>20.82</v>
      </c>
      <c r="DF708" s="2" t="n">
        <v>0</v>
      </c>
      <c r="DG708" s="2" t="n">
        <v>28.49</v>
      </c>
      <c r="DH708" s="2" t="n">
        <v>25.27</v>
      </c>
      <c r="DI708" s="2" t="n">
        <v>0</v>
      </c>
      <c r="DJ708" s="2" t="n">
        <v>40.33</v>
      </c>
      <c r="DK708" s="2" t="n">
        <v>40.42</v>
      </c>
      <c r="DL708" s="2" t="n">
        <v>0</v>
      </c>
      <c r="DM708" s="2" t="n">
        <v>53.36</v>
      </c>
      <c r="DN708" s="2" t="n">
        <v>49.16</v>
      </c>
      <c r="DO708" s="2" t="n">
        <v>0</v>
      </c>
      <c r="DP708" s="2" t="n">
        <v>63.52</v>
      </c>
      <c r="DQ708" s="2" t="n">
        <v>65.28</v>
      </c>
      <c r="DR708" s="2" t="n">
        <v>0</v>
      </c>
      <c r="DS708" s="2" t="n">
        <v>69.26000000000001</v>
      </c>
      <c r="DT708" s="2" t="n">
        <v>69.26000000000001</v>
      </c>
      <c r="DU708" s="2" t="n">
        <v>0</v>
      </c>
      <c r="DV708" s="2" t="n">
        <v>75.88</v>
      </c>
      <c r="DW708" s="2" t="n">
        <v>76.41</v>
      </c>
      <c r="DX708" s="2" t="n">
        <v>0</v>
      </c>
      <c r="DY708" s="2" t="n">
        <v>85.15000000000001</v>
      </c>
      <c r="DZ708" s="2" t="n">
        <v>83.17</v>
      </c>
      <c r="EA708" s="2" t="n">
        <v>0</v>
      </c>
      <c r="EB708" s="2" t="n">
        <v>93.09999999999999</v>
      </c>
      <c r="EC708" s="2" t="n">
        <v>89.13</v>
      </c>
      <c r="ED708" s="2" t="n">
        <v>0</v>
      </c>
      <c r="EE708" s="2" t="n">
        <v>97.68000000000001</v>
      </c>
      <c r="EF708" s="2" t="n">
        <v>94.5</v>
      </c>
      <c r="EG708" s="2" t="n">
        <v>0</v>
      </c>
      <c r="EH708" s="2" t="n">
        <v>97.73999999999999</v>
      </c>
      <c r="EI708" s="2" t="n">
        <v>97.73999999999999</v>
      </c>
      <c r="EJ708" s="2" t="n">
        <v>0</v>
      </c>
      <c r="EK708" s="2" t="n">
        <v>99.55</v>
      </c>
      <c r="EL708" s="2" t="n">
        <v>99.55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  <c r="ET708" s="2" t="n">
        <v>100</v>
      </c>
      <c r="EU708" s="2" t="n">
        <v>100</v>
      </c>
      <c r="EV708" s="2" t="n">
        <v>0</v>
      </c>
      <c r="EW708" s="2" t="n">
        <v>100</v>
      </c>
      <c r="EX708" s="2" t="n">
        <v>100</v>
      </c>
      <c r="EY708" s="2" t="n">
        <v>0</v>
      </c>
      <c r="EZ708" s="2" t="n">
        <v>100</v>
      </c>
      <c r="FA708" s="2" t="n">
        <v>100</v>
      </c>
      <c r="FB708" s="2" t="n">
        <v>0</v>
      </c>
      <c r="FC708" s="2" t="n">
        <v>100</v>
      </c>
      <c r="FD708" s="2" t="n">
        <v>100</v>
      </c>
      <c r="FE708" s="2" t="n">
        <v>0</v>
      </c>
      <c r="FF708" s="2" t="n">
        <v>100</v>
      </c>
      <c r="FG708" s="2" t="n">
        <v>100</v>
      </c>
      <c r="FH708" s="2" t="n">
        <v>0</v>
      </c>
      <c r="FI708" s="2" t="n">
        <v>100</v>
      </c>
      <c r="FJ708" s="2" t="n">
        <v>100</v>
      </c>
      <c r="FK708" s="2" t="n">
        <v>0</v>
      </c>
      <c r="FL708" s="2" t="n">
        <v>100</v>
      </c>
      <c r="FM708" s="2" t="n">
        <v>100</v>
      </c>
      <c r="FN708" s="2" t="n">
        <v>0</v>
      </c>
      <c r="FO708" s="2" t="n">
        <v>100</v>
      </c>
      <c r="FP708" s="2" t="n">
        <v>100</v>
      </c>
      <c r="FQ708" s="2" t="n">
        <v>0</v>
      </c>
    </row>
    <row r="709">
      <c r="A709" s="2" t="n">
        <v>4</v>
      </c>
      <c r="B709" s="2" t="inlineStr">
        <is>
          <t>31.02.02.03</t>
        </is>
      </c>
      <c r="C709" s="2" t="inlineStr">
        <is>
          <t>Rodapé de sobrepor para Piso de mármore travertino Romano bruto, h=40cm, assentado com argamassa colante em pó ACIII</t>
        </is>
      </c>
      <c r="D709" s="2" t="inlineStr">
        <is>
          <t>17/02/2027</t>
        </is>
      </c>
      <c r="E709" s="2" t="inlineStr">
        <is>
          <t>02/05/2028</t>
        </is>
      </c>
      <c r="F709" s="2" t="n">
        <v>229594.5371069693</v>
      </c>
      <c r="G709" s="2" t="n">
        <v>0</v>
      </c>
      <c r="H709" s="2" t="n">
        <v>229594.5371069693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0</v>
      </c>
      <c r="CM709" s="2" t="n">
        <v>0</v>
      </c>
      <c r="CN709" s="2" t="n">
        <v>0</v>
      </c>
      <c r="CO709" s="2" t="n">
        <v>0</v>
      </c>
      <c r="CP709" s="2" t="n">
        <v>0</v>
      </c>
      <c r="CQ709" s="2" t="n">
        <v>0</v>
      </c>
      <c r="CR709" s="2" t="n">
        <v>0</v>
      </c>
      <c r="CS709" s="2" t="n">
        <v>0</v>
      </c>
      <c r="CT709" s="2" t="n">
        <v>0</v>
      </c>
      <c r="CU709" s="2" t="n">
        <v>3.97</v>
      </c>
      <c r="CV709" s="2" t="n">
        <v>3.18</v>
      </c>
      <c r="CW709" s="2" t="n">
        <v>0</v>
      </c>
      <c r="CX709" s="2" t="n">
        <v>11.67</v>
      </c>
      <c r="CY709" s="2" t="n">
        <v>8.029999999999999</v>
      </c>
      <c r="CZ709" s="2" t="n">
        <v>0</v>
      </c>
      <c r="DA709" s="2" t="n">
        <v>18.67</v>
      </c>
      <c r="DB709" s="2" t="n">
        <v>16.93</v>
      </c>
      <c r="DC709" s="2" t="n">
        <v>0</v>
      </c>
      <c r="DD709" s="2" t="n">
        <v>23.91</v>
      </c>
      <c r="DE709" s="2" t="n">
        <v>20.82</v>
      </c>
      <c r="DF709" s="2" t="n">
        <v>0</v>
      </c>
      <c r="DG709" s="2" t="n">
        <v>28.49</v>
      </c>
      <c r="DH709" s="2" t="n">
        <v>25.27</v>
      </c>
      <c r="DI709" s="2" t="n">
        <v>0</v>
      </c>
      <c r="DJ709" s="2" t="n">
        <v>40.33</v>
      </c>
      <c r="DK709" s="2" t="n">
        <v>40.42</v>
      </c>
      <c r="DL709" s="2" t="n">
        <v>0</v>
      </c>
      <c r="DM709" s="2" t="n">
        <v>53.36</v>
      </c>
      <c r="DN709" s="2" t="n">
        <v>49.16</v>
      </c>
      <c r="DO709" s="2" t="n">
        <v>0</v>
      </c>
      <c r="DP709" s="2" t="n">
        <v>63.52</v>
      </c>
      <c r="DQ709" s="2" t="n">
        <v>65.28</v>
      </c>
      <c r="DR709" s="2" t="n">
        <v>0</v>
      </c>
      <c r="DS709" s="2" t="n">
        <v>69.26000000000001</v>
      </c>
      <c r="DT709" s="2" t="n">
        <v>69.26000000000001</v>
      </c>
      <c r="DU709" s="2" t="n">
        <v>0</v>
      </c>
      <c r="DV709" s="2" t="n">
        <v>75.88</v>
      </c>
      <c r="DW709" s="2" t="n">
        <v>76.41</v>
      </c>
      <c r="DX709" s="2" t="n">
        <v>0</v>
      </c>
      <c r="DY709" s="2" t="n">
        <v>85.15000000000001</v>
      </c>
      <c r="DZ709" s="2" t="n">
        <v>83.17</v>
      </c>
      <c r="EA709" s="2" t="n">
        <v>0</v>
      </c>
      <c r="EB709" s="2" t="n">
        <v>93.09999999999999</v>
      </c>
      <c r="EC709" s="2" t="n">
        <v>89.13</v>
      </c>
      <c r="ED709" s="2" t="n">
        <v>0</v>
      </c>
      <c r="EE709" s="2" t="n">
        <v>97.68000000000001</v>
      </c>
      <c r="EF709" s="2" t="n">
        <v>94.5</v>
      </c>
      <c r="EG709" s="2" t="n">
        <v>0</v>
      </c>
      <c r="EH709" s="2" t="n">
        <v>97.73999999999999</v>
      </c>
      <c r="EI709" s="2" t="n">
        <v>97.73999999999999</v>
      </c>
      <c r="EJ709" s="2" t="n">
        <v>0</v>
      </c>
      <c r="EK709" s="2" t="n">
        <v>99.55</v>
      </c>
      <c r="EL709" s="2" t="n">
        <v>99.55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  <c r="ET709" s="2" t="n">
        <v>100</v>
      </c>
      <c r="EU709" s="2" t="n">
        <v>100</v>
      </c>
      <c r="EV709" s="2" t="n">
        <v>0</v>
      </c>
      <c r="EW709" s="2" t="n">
        <v>100</v>
      </c>
      <c r="EX709" s="2" t="n">
        <v>100</v>
      </c>
      <c r="EY709" s="2" t="n">
        <v>0</v>
      </c>
      <c r="EZ709" s="2" t="n">
        <v>100</v>
      </c>
      <c r="FA709" s="2" t="n">
        <v>100</v>
      </c>
      <c r="FB709" s="2" t="n">
        <v>0</v>
      </c>
      <c r="FC709" s="2" t="n">
        <v>100</v>
      </c>
      <c r="FD709" s="2" t="n">
        <v>100</v>
      </c>
      <c r="FE709" s="2" t="n">
        <v>0</v>
      </c>
      <c r="FF709" s="2" t="n">
        <v>100</v>
      </c>
      <c r="FG709" s="2" t="n">
        <v>100</v>
      </c>
      <c r="FH709" s="2" t="n">
        <v>0</v>
      </c>
      <c r="FI709" s="2" t="n">
        <v>100</v>
      </c>
      <c r="FJ709" s="2" t="n">
        <v>100</v>
      </c>
      <c r="FK709" s="2" t="n">
        <v>0</v>
      </c>
      <c r="FL709" s="2" t="n">
        <v>100</v>
      </c>
      <c r="FM709" s="2" t="n">
        <v>100</v>
      </c>
      <c r="FN709" s="2" t="n">
        <v>0</v>
      </c>
      <c r="FO709" s="2" t="n">
        <v>100</v>
      </c>
      <c r="FP709" s="2" t="n">
        <v>100</v>
      </c>
      <c r="FQ709" s="2" t="n">
        <v>0</v>
      </c>
    </row>
    <row r="710">
      <c r="A710" s="2" t="n">
        <v>3</v>
      </c>
      <c r="B710" s="2" t="inlineStr">
        <is>
          <t>31.02.03</t>
        </is>
      </c>
      <c r="C710" s="2" t="inlineStr">
        <is>
          <t>Pisos de Madeira</t>
        </is>
      </c>
      <c r="D710" s="2" t="inlineStr">
        <is>
          <t>19/07/2027</t>
        </is>
      </c>
      <c r="E710" s="2" t="inlineStr">
        <is>
          <t>03/10/2028</t>
        </is>
      </c>
      <c r="F710" s="2" t="n">
        <v>239010.1188691033</v>
      </c>
      <c r="G710" s="2" t="n">
        <v>0</v>
      </c>
      <c r="H710" s="2" t="n">
        <v>239010.1188691033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0</v>
      </c>
      <c r="CM710" s="2" t="n">
        <v>0</v>
      </c>
      <c r="CN710" s="2" t="n">
        <v>0</v>
      </c>
      <c r="CO710" s="2" t="n">
        <v>0</v>
      </c>
      <c r="CP710" s="2" t="n">
        <v>0</v>
      </c>
      <c r="CQ710" s="2" t="n">
        <v>0</v>
      </c>
      <c r="CR710" s="2" t="n">
        <v>0</v>
      </c>
      <c r="CS710" s="2" t="n">
        <v>0</v>
      </c>
      <c r="CT710" s="2" t="n">
        <v>0</v>
      </c>
      <c r="CU710" s="2" t="n">
        <v>0</v>
      </c>
      <c r="CV710" s="2" t="n">
        <v>0</v>
      </c>
      <c r="CW710" s="2" t="n">
        <v>0</v>
      </c>
      <c r="CX710" s="2" t="n">
        <v>0</v>
      </c>
      <c r="CY710" s="2" t="n">
        <v>0</v>
      </c>
      <c r="CZ710" s="2" t="n">
        <v>0</v>
      </c>
      <c r="DA710" s="2" t="n">
        <v>0</v>
      </c>
      <c r="DB710" s="2" t="n">
        <v>0</v>
      </c>
      <c r="DC710" s="2" t="n">
        <v>0</v>
      </c>
      <c r="DD710" s="2" t="n">
        <v>0</v>
      </c>
      <c r="DE710" s="2" t="n">
        <v>0</v>
      </c>
      <c r="DF710" s="2" t="n">
        <v>0</v>
      </c>
      <c r="DG710" s="2" t="n">
        <v>3.78</v>
      </c>
      <c r="DH710" s="2" t="n">
        <v>0</v>
      </c>
      <c r="DI710" s="2" t="n">
        <v>0</v>
      </c>
      <c r="DJ710" s="2" t="n">
        <v>8.390000000000001</v>
      </c>
      <c r="DK710" s="2" t="n">
        <v>4.2</v>
      </c>
      <c r="DL710" s="2" t="n">
        <v>0</v>
      </c>
      <c r="DM710" s="2" t="n">
        <v>14.93</v>
      </c>
      <c r="DN710" s="2" t="n">
        <v>8.93</v>
      </c>
      <c r="DO710" s="2" t="n">
        <v>0</v>
      </c>
      <c r="DP710" s="2" t="n">
        <v>19.48</v>
      </c>
      <c r="DQ710" s="2" t="n">
        <v>11.09</v>
      </c>
      <c r="DR710" s="2" t="n">
        <v>0</v>
      </c>
      <c r="DS710" s="2" t="n">
        <v>25.37</v>
      </c>
      <c r="DT710" s="2" t="n">
        <v>15.79</v>
      </c>
      <c r="DU710" s="2" t="n">
        <v>0</v>
      </c>
      <c r="DV710" s="2" t="n">
        <v>37.77</v>
      </c>
      <c r="DW710" s="2" t="n">
        <v>27.04</v>
      </c>
      <c r="DX710" s="2" t="n">
        <v>0</v>
      </c>
      <c r="DY710" s="2" t="n">
        <v>46.38</v>
      </c>
      <c r="DZ710" s="2" t="n">
        <v>33.06</v>
      </c>
      <c r="EA710" s="2" t="n">
        <v>0</v>
      </c>
      <c r="EB710" s="2" t="n">
        <v>61.39</v>
      </c>
      <c r="EC710" s="2" t="n">
        <v>41.55</v>
      </c>
      <c r="ED710" s="2" t="n">
        <v>0</v>
      </c>
      <c r="EE710" s="2" t="n">
        <v>71.47</v>
      </c>
      <c r="EF710" s="2" t="n">
        <v>46.16</v>
      </c>
      <c r="EG710" s="2" t="n">
        <v>0</v>
      </c>
      <c r="EH710" s="2" t="n">
        <v>85.73</v>
      </c>
      <c r="EI710" s="2" t="n">
        <v>59.08</v>
      </c>
      <c r="EJ710" s="2" t="n">
        <v>0</v>
      </c>
      <c r="EK710" s="2" t="n">
        <v>93.29000000000001</v>
      </c>
      <c r="EL710" s="2" t="n">
        <v>68.95</v>
      </c>
      <c r="EM710" s="2" t="n">
        <v>0</v>
      </c>
      <c r="EN710" s="2" t="n">
        <v>100</v>
      </c>
      <c r="EO710" s="2" t="n">
        <v>74.81999999999999</v>
      </c>
      <c r="EP710" s="2" t="n">
        <v>0</v>
      </c>
      <c r="EQ710" s="2" t="n">
        <v>100</v>
      </c>
      <c r="ER710" s="2" t="n">
        <v>80.7</v>
      </c>
      <c r="ES710" s="2" t="n">
        <v>0</v>
      </c>
      <c r="ET710" s="2" t="n">
        <v>100</v>
      </c>
      <c r="EU710" s="2" t="n">
        <v>87.41</v>
      </c>
      <c r="EV710" s="2" t="n">
        <v>0</v>
      </c>
      <c r="EW710" s="2" t="n">
        <v>100</v>
      </c>
      <c r="EX710" s="2" t="n">
        <v>92.87</v>
      </c>
      <c r="EY710" s="2" t="n">
        <v>0</v>
      </c>
      <c r="EZ710" s="2" t="n">
        <v>100</v>
      </c>
      <c r="FA710" s="2" t="n">
        <v>99.16</v>
      </c>
      <c r="FB710" s="2" t="n">
        <v>0</v>
      </c>
      <c r="FC710" s="2" t="n">
        <v>100</v>
      </c>
      <c r="FD710" s="2" t="n">
        <v>100</v>
      </c>
      <c r="FE710" s="2" t="n">
        <v>0</v>
      </c>
      <c r="FF710" s="2" t="n">
        <v>100</v>
      </c>
      <c r="FG710" s="2" t="n">
        <v>100</v>
      </c>
      <c r="FH710" s="2" t="n">
        <v>0</v>
      </c>
      <c r="FI710" s="2" t="n">
        <v>100</v>
      </c>
      <c r="FJ710" s="2" t="n">
        <v>100</v>
      </c>
      <c r="FK710" s="2" t="n">
        <v>0</v>
      </c>
      <c r="FL710" s="2" t="n">
        <v>100</v>
      </c>
      <c r="FM710" s="2" t="n">
        <v>100</v>
      </c>
      <c r="FN710" s="2" t="n">
        <v>0</v>
      </c>
      <c r="FO710" s="2" t="n">
        <v>100</v>
      </c>
      <c r="FP710" s="2" t="n">
        <v>100</v>
      </c>
      <c r="FQ710" s="2" t="n">
        <v>0</v>
      </c>
    </row>
    <row r="711">
      <c r="A711" s="2" t="n">
        <v>4</v>
      </c>
      <c r="B711" s="2" t="inlineStr">
        <is>
          <t>31.02.03.01</t>
        </is>
      </c>
      <c r="C711" s="2" t="inlineStr">
        <is>
          <t>Rodapé de madeira Indusparquet sólido cumarú H=10cm</t>
        </is>
      </c>
      <c r="D711" s="2" t="inlineStr">
        <is>
          <t>19/07/2027</t>
        </is>
      </c>
      <c r="E711" s="2" t="inlineStr">
        <is>
          <t>03/10/2028</t>
        </is>
      </c>
      <c r="F711" s="2" t="n">
        <v>239010.1188691033</v>
      </c>
      <c r="G711" s="2" t="n">
        <v>0</v>
      </c>
      <c r="H711" s="2" t="n">
        <v>239010.1188691033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0</v>
      </c>
      <c r="CM711" s="2" t="n">
        <v>0</v>
      </c>
      <c r="CN711" s="2" t="n">
        <v>0</v>
      </c>
      <c r="CO711" s="2" t="n">
        <v>0</v>
      </c>
      <c r="CP711" s="2" t="n">
        <v>0</v>
      </c>
      <c r="CQ711" s="2" t="n">
        <v>0</v>
      </c>
      <c r="CR711" s="2" t="n">
        <v>0</v>
      </c>
      <c r="CS711" s="2" t="n">
        <v>0</v>
      </c>
      <c r="CT711" s="2" t="n">
        <v>0</v>
      </c>
      <c r="CU711" s="2" t="n">
        <v>0</v>
      </c>
      <c r="CV711" s="2" t="n">
        <v>0</v>
      </c>
      <c r="CW711" s="2" t="n">
        <v>0</v>
      </c>
      <c r="CX711" s="2" t="n">
        <v>0</v>
      </c>
      <c r="CY711" s="2" t="n">
        <v>0</v>
      </c>
      <c r="CZ711" s="2" t="n">
        <v>0</v>
      </c>
      <c r="DA711" s="2" t="n">
        <v>0</v>
      </c>
      <c r="DB711" s="2" t="n">
        <v>0</v>
      </c>
      <c r="DC711" s="2" t="n">
        <v>0</v>
      </c>
      <c r="DD711" s="2" t="n">
        <v>0</v>
      </c>
      <c r="DE711" s="2" t="n">
        <v>0</v>
      </c>
      <c r="DF711" s="2" t="n">
        <v>0</v>
      </c>
      <c r="DG711" s="2" t="n">
        <v>3.78</v>
      </c>
      <c r="DH711" s="2" t="n">
        <v>0</v>
      </c>
      <c r="DI711" s="2" t="n">
        <v>0</v>
      </c>
      <c r="DJ711" s="2" t="n">
        <v>8.390000000000001</v>
      </c>
      <c r="DK711" s="2" t="n">
        <v>4.2</v>
      </c>
      <c r="DL711" s="2" t="n">
        <v>0</v>
      </c>
      <c r="DM711" s="2" t="n">
        <v>14.93</v>
      </c>
      <c r="DN711" s="2" t="n">
        <v>8.93</v>
      </c>
      <c r="DO711" s="2" t="n">
        <v>0</v>
      </c>
      <c r="DP711" s="2" t="n">
        <v>19.48</v>
      </c>
      <c r="DQ711" s="2" t="n">
        <v>11.09</v>
      </c>
      <c r="DR711" s="2" t="n">
        <v>0</v>
      </c>
      <c r="DS711" s="2" t="n">
        <v>25.37</v>
      </c>
      <c r="DT711" s="2" t="n">
        <v>15.79</v>
      </c>
      <c r="DU711" s="2" t="n">
        <v>0</v>
      </c>
      <c r="DV711" s="2" t="n">
        <v>37.77</v>
      </c>
      <c r="DW711" s="2" t="n">
        <v>27.04</v>
      </c>
      <c r="DX711" s="2" t="n">
        <v>0</v>
      </c>
      <c r="DY711" s="2" t="n">
        <v>46.38</v>
      </c>
      <c r="DZ711" s="2" t="n">
        <v>33.06</v>
      </c>
      <c r="EA711" s="2" t="n">
        <v>0</v>
      </c>
      <c r="EB711" s="2" t="n">
        <v>61.39</v>
      </c>
      <c r="EC711" s="2" t="n">
        <v>41.55</v>
      </c>
      <c r="ED711" s="2" t="n">
        <v>0</v>
      </c>
      <c r="EE711" s="2" t="n">
        <v>71.47</v>
      </c>
      <c r="EF711" s="2" t="n">
        <v>46.16</v>
      </c>
      <c r="EG711" s="2" t="n">
        <v>0</v>
      </c>
      <c r="EH711" s="2" t="n">
        <v>85.73</v>
      </c>
      <c r="EI711" s="2" t="n">
        <v>59.08</v>
      </c>
      <c r="EJ711" s="2" t="n">
        <v>0</v>
      </c>
      <c r="EK711" s="2" t="n">
        <v>93.29000000000001</v>
      </c>
      <c r="EL711" s="2" t="n">
        <v>68.95</v>
      </c>
      <c r="EM711" s="2" t="n">
        <v>0</v>
      </c>
      <c r="EN711" s="2" t="n">
        <v>100</v>
      </c>
      <c r="EO711" s="2" t="n">
        <v>74.81999999999999</v>
      </c>
      <c r="EP711" s="2" t="n">
        <v>0</v>
      </c>
      <c r="EQ711" s="2" t="n">
        <v>100</v>
      </c>
      <c r="ER711" s="2" t="n">
        <v>80.7</v>
      </c>
      <c r="ES711" s="2" t="n">
        <v>0</v>
      </c>
      <c r="ET711" s="2" t="n">
        <v>100</v>
      </c>
      <c r="EU711" s="2" t="n">
        <v>87.41</v>
      </c>
      <c r="EV711" s="2" t="n">
        <v>0</v>
      </c>
      <c r="EW711" s="2" t="n">
        <v>100</v>
      </c>
      <c r="EX711" s="2" t="n">
        <v>92.87</v>
      </c>
      <c r="EY711" s="2" t="n">
        <v>0</v>
      </c>
      <c r="EZ711" s="2" t="n">
        <v>100</v>
      </c>
      <c r="FA711" s="2" t="n">
        <v>99.16</v>
      </c>
      <c r="FB711" s="2" t="n">
        <v>0</v>
      </c>
      <c r="FC711" s="2" t="n">
        <v>100</v>
      </c>
      <c r="FD711" s="2" t="n">
        <v>100</v>
      </c>
      <c r="FE711" s="2" t="n">
        <v>0</v>
      </c>
      <c r="FF711" s="2" t="n">
        <v>100</v>
      </c>
      <c r="FG711" s="2" t="n">
        <v>100</v>
      </c>
      <c r="FH711" s="2" t="n">
        <v>0</v>
      </c>
      <c r="FI711" s="2" t="n">
        <v>100</v>
      </c>
      <c r="FJ711" s="2" t="n">
        <v>100</v>
      </c>
      <c r="FK711" s="2" t="n">
        <v>0</v>
      </c>
      <c r="FL711" s="2" t="n">
        <v>100</v>
      </c>
      <c r="FM711" s="2" t="n">
        <v>100</v>
      </c>
      <c r="FN711" s="2" t="n">
        <v>0</v>
      </c>
      <c r="FO711" s="2" t="n">
        <v>100</v>
      </c>
      <c r="FP711" s="2" t="n">
        <v>100</v>
      </c>
      <c r="FQ711" s="2" t="n">
        <v>0</v>
      </c>
    </row>
    <row r="712">
      <c r="A712" s="2" t="n">
        <v>3</v>
      </c>
      <c r="B712" s="2" t="inlineStr">
        <is>
          <t>31.02.04</t>
        </is>
      </c>
      <c r="C712" s="2" t="inlineStr">
        <is>
          <t>Sintéticos e Vinílicos</t>
        </is>
      </c>
      <c r="D712" s="2" t="inlineStr">
        <is>
          <t>19/07/2027</t>
        </is>
      </c>
      <c r="E712" s="2" t="inlineStr">
        <is>
          <t>03/10/2028</t>
        </is>
      </c>
      <c r="F712" s="2" t="n">
        <v>36769.17860000001</v>
      </c>
      <c r="G712" s="2" t="n">
        <v>0</v>
      </c>
      <c r="H712" s="2" t="n">
        <v>36769.17860000001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0</v>
      </c>
      <c r="CM712" s="2" t="n">
        <v>0</v>
      </c>
      <c r="CN712" s="2" t="n">
        <v>0</v>
      </c>
      <c r="CO712" s="2" t="n">
        <v>0</v>
      </c>
      <c r="CP712" s="2" t="n">
        <v>0</v>
      </c>
      <c r="CQ712" s="2" t="n">
        <v>0</v>
      </c>
      <c r="CR712" s="2" t="n">
        <v>0</v>
      </c>
      <c r="CS712" s="2" t="n">
        <v>0</v>
      </c>
      <c r="CT712" s="2" t="n">
        <v>0</v>
      </c>
      <c r="CU712" s="2" t="n">
        <v>0</v>
      </c>
      <c r="CV712" s="2" t="n">
        <v>0</v>
      </c>
      <c r="CW712" s="2" t="n">
        <v>0</v>
      </c>
      <c r="CX712" s="2" t="n">
        <v>0</v>
      </c>
      <c r="CY712" s="2" t="n">
        <v>0</v>
      </c>
      <c r="CZ712" s="2" t="n">
        <v>0</v>
      </c>
      <c r="DA712" s="2" t="n">
        <v>0</v>
      </c>
      <c r="DB712" s="2" t="n">
        <v>0</v>
      </c>
      <c r="DC712" s="2" t="n">
        <v>0</v>
      </c>
      <c r="DD712" s="2" t="n">
        <v>0</v>
      </c>
      <c r="DE712" s="2" t="n">
        <v>0</v>
      </c>
      <c r="DF712" s="2" t="n">
        <v>0</v>
      </c>
      <c r="DG712" s="2" t="n">
        <v>3.78</v>
      </c>
      <c r="DH712" s="2" t="n">
        <v>0</v>
      </c>
      <c r="DI712" s="2" t="n">
        <v>0</v>
      </c>
      <c r="DJ712" s="2" t="n">
        <v>8.390000000000001</v>
      </c>
      <c r="DK712" s="2" t="n">
        <v>4.2</v>
      </c>
      <c r="DL712" s="2" t="n">
        <v>0</v>
      </c>
      <c r="DM712" s="2" t="n">
        <v>14.93</v>
      </c>
      <c r="DN712" s="2" t="n">
        <v>8.93</v>
      </c>
      <c r="DO712" s="2" t="n">
        <v>0</v>
      </c>
      <c r="DP712" s="2" t="n">
        <v>19.48</v>
      </c>
      <c r="DQ712" s="2" t="n">
        <v>11.09</v>
      </c>
      <c r="DR712" s="2" t="n">
        <v>0</v>
      </c>
      <c r="DS712" s="2" t="n">
        <v>25.37</v>
      </c>
      <c r="DT712" s="2" t="n">
        <v>15.79</v>
      </c>
      <c r="DU712" s="2" t="n">
        <v>0</v>
      </c>
      <c r="DV712" s="2" t="n">
        <v>37.77</v>
      </c>
      <c r="DW712" s="2" t="n">
        <v>27.04</v>
      </c>
      <c r="DX712" s="2" t="n">
        <v>0</v>
      </c>
      <c r="DY712" s="2" t="n">
        <v>46.38</v>
      </c>
      <c r="DZ712" s="2" t="n">
        <v>33.06</v>
      </c>
      <c r="EA712" s="2" t="n">
        <v>0</v>
      </c>
      <c r="EB712" s="2" t="n">
        <v>61.39</v>
      </c>
      <c r="EC712" s="2" t="n">
        <v>41.55</v>
      </c>
      <c r="ED712" s="2" t="n">
        <v>0</v>
      </c>
      <c r="EE712" s="2" t="n">
        <v>71.47</v>
      </c>
      <c r="EF712" s="2" t="n">
        <v>46.16</v>
      </c>
      <c r="EG712" s="2" t="n">
        <v>0</v>
      </c>
      <c r="EH712" s="2" t="n">
        <v>85.73</v>
      </c>
      <c r="EI712" s="2" t="n">
        <v>59.08</v>
      </c>
      <c r="EJ712" s="2" t="n">
        <v>0</v>
      </c>
      <c r="EK712" s="2" t="n">
        <v>93.29000000000001</v>
      </c>
      <c r="EL712" s="2" t="n">
        <v>68.95</v>
      </c>
      <c r="EM712" s="2" t="n">
        <v>0</v>
      </c>
      <c r="EN712" s="2" t="n">
        <v>100</v>
      </c>
      <c r="EO712" s="2" t="n">
        <v>74.81999999999999</v>
      </c>
      <c r="EP712" s="2" t="n">
        <v>0</v>
      </c>
      <c r="EQ712" s="2" t="n">
        <v>100</v>
      </c>
      <c r="ER712" s="2" t="n">
        <v>80.7</v>
      </c>
      <c r="ES712" s="2" t="n">
        <v>0</v>
      </c>
      <c r="ET712" s="2" t="n">
        <v>100</v>
      </c>
      <c r="EU712" s="2" t="n">
        <v>87.41</v>
      </c>
      <c r="EV712" s="2" t="n">
        <v>0</v>
      </c>
      <c r="EW712" s="2" t="n">
        <v>100</v>
      </c>
      <c r="EX712" s="2" t="n">
        <v>92.87</v>
      </c>
      <c r="EY712" s="2" t="n">
        <v>0</v>
      </c>
      <c r="EZ712" s="2" t="n">
        <v>100</v>
      </c>
      <c r="FA712" s="2" t="n">
        <v>99.16</v>
      </c>
      <c r="FB712" s="2" t="n">
        <v>0</v>
      </c>
      <c r="FC712" s="2" t="n">
        <v>100</v>
      </c>
      <c r="FD712" s="2" t="n">
        <v>100</v>
      </c>
      <c r="FE712" s="2" t="n">
        <v>0</v>
      </c>
      <c r="FF712" s="2" t="n">
        <v>100</v>
      </c>
      <c r="FG712" s="2" t="n">
        <v>100</v>
      </c>
      <c r="FH712" s="2" t="n">
        <v>0</v>
      </c>
      <c r="FI712" s="2" t="n">
        <v>100</v>
      </c>
      <c r="FJ712" s="2" t="n">
        <v>100</v>
      </c>
      <c r="FK712" s="2" t="n">
        <v>0</v>
      </c>
      <c r="FL712" s="2" t="n">
        <v>100</v>
      </c>
      <c r="FM712" s="2" t="n">
        <v>100</v>
      </c>
      <c r="FN712" s="2" t="n">
        <v>0</v>
      </c>
      <c r="FO712" s="2" t="n">
        <v>100</v>
      </c>
      <c r="FP712" s="2" t="n">
        <v>100</v>
      </c>
      <c r="FQ712" s="2" t="n">
        <v>0</v>
      </c>
    </row>
    <row r="713">
      <c r="A713" s="2" t="n">
        <v>4</v>
      </c>
      <c r="B713" s="2" t="inlineStr">
        <is>
          <t>31.02.04.01</t>
        </is>
      </c>
      <c r="C713" s="2" t="inlineStr">
        <is>
          <t>Rodapé Durafloor Easy Y-01 120</t>
        </is>
      </c>
      <c r="D713" s="2" t="inlineStr">
        <is>
          <t>19/07/2027</t>
        </is>
      </c>
      <c r="E713" s="2" t="inlineStr">
        <is>
          <t>03/10/2028</t>
        </is>
      </c>
      <c r="F713" s="2" t="n">
        <v>36769.17860000001</v>
      </c>
      <c r="G713" s="2" t="n">
        <v>0</v>
      </c>
      <c r="H713" s="2" t="n">
        <v>36769.17860000001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0</v>
      </c>
      <c r="CM713" s="2" t="n">
        <v>0</v>
      </c>
      <c r="CN713" s="2" t="n">
        <v>0</v>
      </c>
      <c r="CO713" s="2" t="n">
        <v>0</v>
      </c>
      <c r="CP713" s="2" t="n">
        <v>0</v>
      </c>
      <c r="CQ713" s="2" t="n">
        <v>0</v>
      </c>
      <c r="CR713" s="2" t="n">
        <v>0</v>
      </c>
      <c r="CS713" s="2" t="n">
        <v>0</v>
      </c>
      <c r="CT713" s="2" t="n">
        <v>0</v>
      </c>
      <c r="CU713" s="2" t="n">
        <v>0</v>
      </c>
      <c r="CV713" s="2" t="n">
        <v>0</v>
      </c>
      <c r="CW713" s="2" t="n">
        <v>0</v>
      </c>
      <c r="CX713" s="2" t="n">
        <v>0</v>
      </c>
      <c r="CY713" s="2" t="n">
        <v>0</v>
      </c>
      <c r="CZ713" s="2" t="n">
        <v>0</v>
      </c>
      <c r="DA713" s="2" t="n">
        <v>0</v>
      </c>
      <c r="DB713" s="2" t="n">
        <v>0</v>
      </c>
      <c r="DC713" s="2" t="n">
        <v>0</v>
      </c>
      <c r="DD713" s="2" t="n">
        <v>0</v>
      </c>
      <c r="DE713" s="2" t="n">
        <v>0</v>
      </c>
      <c r="DF713" s="2" t="n">
        <v>0</v>
      </c>
      <c r="DG713" s="2" t="n">
        <v>3.78</v>
      </c>
      <c r="DH713" s="2" t="n">
        <v>0</v>
      </c>
      <c r="DI713" s="2" t="n">
        <v>0</v>
      </c>
      <c r="DJ713" s="2" t="n">
        <v>8.390000000000001</v>
      </c>
      <c r="DK713" s="2" t="n">
        <v>4.2</v>
      </c>
      <c r="DL713" s="2" t="n">
        <v>0</v>
      </c>
      <c r="DM713" s="2" t="n">
        <v>14.93</v>
      </c>
      <c r="DN713" s="2" t="n">
        <v>8.93</v>
      </c>
      <c r="DO713" s="2" t="n">
        <v>0</v>
      </c>
      <c r="DP713" s="2" t="n">
        <v>19.48</v>
      </c>
      <c r="DQ713" s="2" t="n">
        <v>11.09</v>
      </c>
      <c r="DR713" s="2" t="n">
        <v>0</v>
      </c>
      <c r="DS713" s="2" t="n">
        <v>25.37</v>
      </c>
      <c r="DT713" s="2" t="n">
        <v>15.79</v>
      </c>
      <c r="DU713" s="2" t="n">
        <v>0</v>
      </c>
      <c r="DV713" s="2" t="n">
        <v>37.77</v>
      </c>
      <c r="DW713" s="2" t="n">
        <v>27.04</v>
      </c>
      <c r="DX713" s="2" t="n">
        <v>0</v>
      </c>
      <c r="DY713" s="2" t="n">
        <v>46.38</v>
      </c>
      <c r="DZ713" s="2" t="n">
        <v>33.06</v>
      </c>
      <c r="EA713" s="2" t="n">
        <v>0</v>
      </c>
      <c r="EB713" s="2" t="n">
        <v>61.39</v>
      </c>
      <c r="EC713" s="2" t="n">
        <v>41.55</v>
      </c>
      <c r="ED713" s="2" t="n">
        <v>0</v>
      </c>
      <c r="EE713" s="2" t="n">
        <v>71.47</v>
      </c>
      <c r="EF713" s="2" t="n">
        <v>46.16</v>
      </c>
      <c r="EG713" s="2" t="n">
        <v>0</v>
      </c>
      <c r="EH713" s="2" t="n">
        <v>85.73</v>
      </c>
      <c r="EI713" s="2" t="n">
        <v>59.08</v>
      </c>
      <c r="EJ713" s="2" t="n">
        <v>0</v>
      </c>
      <c r="EK713" s="2" t="n">
        <v>93.29000000000001</v>
      </c>
      <c r="EL713" s="2" t="n">
        <v>68.95</v>
      </c>
      <c r="EM713" s="2" t="n">
        <v>0</v>
      </c>
      <c r="EN713" s="2" t="n">
        <v>100</v>
      </c>
      <c r="EO713" s="2" t="n">
        <v>74.81999999999999</v>
      </c>
      <c r="EP713" s="2" t="n">
        <v>0</v>
      </c>
      <c r="EQ713" s="2" t="n">
        <v>100</v>
      </c>
      <c r="ER713" s="2" t="n">
        <v>80.7</v>
      </c>
      <c r="ES713" s="2" t="n">
        <v>0</v>
      </c>
      <c r="ET713" s="2" t="n">
        <v>100</v>
      </c>
      <c r="EU713" s="2" t="n">
        <v>87.41</v>
      </c>
      <c r="EV713" s="2" t="n">
        <v>0</v>
      </c>
      <c r="EW713" s="2" t="n">
        <v>100</v>
      </c>
      <c r="EX713" s="2" t="n">
        <v>92.87</v>
      </c>
      <c r="EY713" s="2" t="n">
        <v>0</v>
      </c>
      <c r="EZ713" s="2" t="n">
        <v>100</v>
      </c>
      <c r="FA713" s="2" t="n">
        <v>99.16</v>
      </c>
      <c r="FB713" s="2" t="n">
        <v>0</v>
      </c>
      <c r="FC713" s="2" t="n">
        <v>100</v>
      </c>
      <c r="FD713" s="2" t="n">
        <v>100</v>
      </c>
      <c r="FE713" s="2" t="n">
        <v>0</v>
      </c>
      <c r="FF713" s="2" t="n">
        <v>100</v>
      </c>
      <c r="FG713" s="2" t="n">
        <v>100</v>
      </c>
      <c r="FH713" s="2" t="n">
        <v>0</v>
      </c>
      <c r="FI713" s="2" t="n">
        <v>100</v>
      </c>
      <c r="FJ713" s="2" t="n">
        <v>100</v>
      </c>
      <c r="FK713" s="2" t="n">
        <v>0</v>
      </c>
      <c r="FL713" s="2" t="n">
        <v>100</v>
      </c>
      <c r="FM713" s="2" t="n">
        <v>100</v>
      </c>
      <c r="FN713" s="2" t="n">
        <v>0</v>
      </c>
      <c r="FO713" s="2" t="n">
        <v>100</v>
      </c>
      <c r="FP713" s="2" t="n">
        <v>100</v>
      </c>
      <c r="FQ713" s="2" t="n">
        <v>0</v>
      </c>
    </row>
    <row r="714">
      <c r="A714" s="2" t="n">
        <v>3</v>
      </c>
      <c r="B714" s="2" t="inlineStr">
        <is>
          <t>31.02.05</t>
        </is>
      </c>
      <c r="C714" s="2" t="inlineStr">
        <is>
          <t>Rodapé metálico</t>
        </is>
      </c>
      <c r="D714" s="2" t="inlineStr">
        <is>
          <t>19/07/2027</t>
        </is>
      </c>
      <c r="E714" s="2" t="inlineStr">
        <is>
          <t>03/10/2028</t>
        </is>
      </c>
      <c r="F714" s="2" t="n">
        <v>24354.08079444315</v>
      </c>
      <c r="G714" s="2" t="n">
        <v>0</v>
      </c>
      <c r="H714" s="2" t="n">
        <v>24354.08079444315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0</v>
      </c>
      <c r="CM714" s="2" t="n">
        <v>0</v>
      </c>
      <c r="CN714" s="2" t="n">
        <v>0</v>
      </c>
      <c r="CO714" s="2" t="n">
        <v>0</v>
      </c>
      <c r="CP714" s="2" t="n">
        <v>0</v>
      </c>
      <c r="CQ714" s="2" t="n">
        <v>0</v>
      </c>
      <c r="CR714" s="2" t="n">
        <v>0</v>
      </c>
      <c r="CS714" s="2" t="n">
        <v>0</v>
      </c>
      <c r="CT714" s="2" t="n">
        <v>0</v>
      </c>
      <c r="CU714" s="2" t="n">
        <v>0</v>
      </c>
      <c r="CV714" s="2" t="n">
        <v>0</v>
      </c>
      <c r="CW714" s="2" t="n">
        <v>0</v>
      </c>
      <c r="CX714" s="2" t="n">
        <v>0</v>
      </c>
      <c r="CY714" s="2" t="n">
        <v>0</v>
      </c>
      <c r="CZ714" s="2" t="n">
        <v>0</v>
      </c>
      <c r="DA714" s="2" t="n">
        <v>0</v>
      </c>
      <c r="DB714" s="2" t="n">
        <v>0</v>
      </c>
      <c r="DC714" s="2" t="n">
        <v>0</v>
      </c>
      <c r="DD714" s="2" t="n">
        <v>0</v>
      </c>
      <c r="DE714" s="2" t="n">
        <v>0</v>
      </c>
      <c r="DF714" s="2" t="n">
        <v>0</v>
      </c>
      <c r="DG714" s="2" t="n">
        <v>3.78</v>
      </c>
      <c r="DH714" s="2" t="n">
        <v>0</v>
      </c>
      <c r="DI714" s="2" t="n">
        <v>0</v>
      </c>
      <c r="DJ714" s="2" t="n">
        <v>8.390000000000001</v>
      </c>
      <c r="DK714" s="2" t="n">
        <v>4.2</v>
      </c>
      <c r="DL714" s="2" t="n">
        <v>0</v>
      </c>
      <c r="DM714" s="2" t="n">
        <v>14.93</v>
      </c>
      <c r="DN714" s="2" t="n">
        <v>8.93</v>
      </c>
      <c r="DO714" s="2" t="n">
        <v>0</v>
      </c>
      <c r="DP714" s="2" t="n">
        <v>19.48</v>
      </c>
      <c r="DQ714" s="2" t="n">
        <v>11.09</v>
      </c>
      <c r="DR714" s="2" t="n">
        <v>0</v>
      </c>
      <c r="DS714" s="2" t="n">
        <v>25.37</v>
      </c>
      <c r="DT714" s="2" t="n">
        <v>15.79</v>
      </c>
      <c r="DU714" s="2" t="n">
        <v>0</v>
      </c>
      <c r="DV714" s="2" t="n">
        <v>37.77</v>
      </c>
      <c r="DW714" s="2" t="n">
        <v>27.04</v>
      </c>
      <c r="DX714" s="2" t="n">
        <v>0</v>
      </c>
      <c r="DY714" s="2" t="n">
        <v>46.38</v>
      </c>
      <c r="DZ714" s="2" t="n">
        <v>33.06</v>
      </c>
      <c r="EA714" s="2" t="n">
        <v>0</v>
      </c>
      <c r="EB714" s="2" t="n">
        <v>61.39</v>
      </c>
      <c r="EC714" s="2" t="n">
        <v>41.55</v>
      </c>
      <c r="ED714" s="2" t="n">
        <v>0</v>
      </c>
      <c r="EE714" s="2" t="n">
        <v>71.47</v>
      </c>
      <c r="EF714" s="2" t="n">
        <v>46.16</v>
      </c>
      <c r="EG714" s="2" t="n">
        <v>0</v>
      </c>
      <c r="EH714" s="2" t="n">
        <v>85.73</v>
      </c>
      <c r="EI714" s="2" t="n">
        <v>59.08</v>
      </c>
      <c r="EJ714" s="2" t="n">
        <v>0</v>
      </c>
      <c r="EK714" s="2" t="n">
        <v>93.29000000000001</v>
      </c>
      <c r="EL714" s="2" t="n">
        <v>68.95</v>
      </c>
      <c r="EM714" s="2" t="n">
        <v>0</v>
      </c>
      <c r="EN714" s="2" t="n">
        <v>100</v>
      </c>
      <c r="EO714" s="2" t="n">
        <v>74.81999999999999</v>
      </c>
      <c r="EP714" s="2" t="n">
        <v>0</v>
      </c>
      <c r="EQ714" s="2" t="n">
        <v>100</v>
      </c>
      <c r="ER714" s="2" t="n">
        <v>80.7</v>
      </c>
      <c r="ES714" s="2" t="n">
        <v>0</v>
      </c>
      <c r="ET714" s="2" t="n">
        <v>100</v>
      </c>
      <c r="EU714" s="2" t="n">
        <v>87.41</v>
      </c>
      <c r="EV714" s="2" t="n">
        <v>0</v>
      </c>
      <c r="EW714" s="2" t="n">
        <v>100</v>
      </c>
      <c r="EX714" s="2" t="n">
        <v>92.87</v>
      </c>
      <c r="EY714" s="2" t="n">
        <v>0</v>
      </c>
      <c r="EZ714" s="2" t="n">
        <v>100</v>
      </c>
      <c r="FA714" s="2" t="n">
        <v>99.16</v>
      </c>
      <c r="FB714" s="2" t="n">
        <v>0</v>
      </c>
      <c r="FC714" s="2" t="n">
        <v>100</v>
      </c>
      <c r="FD714" s="2" t="n">
        <v>100</v>
      </c>
      <c r="FE714" s="2" t="n">
        <v>0</v>
      </c>
      <c r="FF714" s="2" t="n">
        <v>100</v>
      </c>
      <c r="FG714" s="2" t="n">
        <v>100</v>
      </c>
      <c r="FH714" s="2" t="n">
        <v>0</v>
      </c>
      <c r="FI714" s="2" t="n">
        <v>100</v>
      </c>
      <c r="FJ714" s="2" t="n">
        <v>100</v>
      </c>
      <c r="FK714" s="2" t="n">
        <v>0</v>
      </c>
      <c r="FL714" s="2" t="n">
        <v>100</v>
      </c>
      <c r="FM714" s="2" t="n">
        <v>100</v>
      </c>
      <c r="FN714" s="2" t="n">
        <v>0</v>
      </c>
      <c r="FO714" s="2" t="n">
        <v>100</v>
      </c>
      <c r="FP714" s="2" t="n">
        <v>100</v>
      </c>
      <c r="FQ714" s="2" t="n">
        <v>0</v>
      </c>
    </row>
    <row r="715">
      <c r="A715" s="2" t="n">
        <v>4</v>
      </c>
      <c r="B715" s="2" t="inlineStr">
        <is>
          <t>31.02.05.01</t>
        </is>
      </c>
      <c r="C715" s="2" t="inlineStr">
        <is>
          <t>INT - Rodapé de embutir em alvenaria em cantoneira metálica 50x15mm em alumínio anodizado pintado no tom da parede</t>
        </is>
      </c>
      <c r="D715" s="2" t="inlineStr">
        <is>
          <t>19/07/2027</t>
        </is>
      </c>
      <c r="E715" s="2" t="inlineStr">
        <is>
          <t>03/10/2028</t>
        </is>
      </c>
      <c r="F715" s="2" t="n">
        <v>24354.08079444315</v>
      </c>
      <c r="G715" s="2" t="n">
        <v>0</v>
      </c>
      <c r="H715" s="2" t="n">
        <v>24354.08079444315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0</v>
      </c>
      <c r="CM715" s="2" t="n">
        <v>0</v>
      </c>
      <c r="CN715" s="2" t="n">
        <v>0</v>
      </c>
      <c r="CO715" s="2" t="n">
        <v>0</v>
      </c>
      <c r="CP715" s="2" t="n">
        <v>0</v>
      </c>
      <c r="CQ715" s="2" t="n">
        <v>0</v>
      </c>
      <c r="CR715" s="2" t="n">
        <v>0</v>
      </c>
      <c r="CS715" s="2" t="n">
        <v>0</v>
      </c>
      <c r="CT715" s="2" t="n">
        <v>0</v>
      </c>
      <c r="CU715" s="2" t="n">
        <v>0</v>
      </c>
      <c r="CV715" s="2" t="n">
        <v>0</v>
      </c>
      <c r="CW715" s="2" t="n">
        <v>0</v>
      </c>
      <c r="CX715" s="2" t="n">
        <v>0</v>
      </c>
      <c r="CY715" s="2" t="n">
        <v>0</v>
      </c>
      <c r="CZ715" s="2" t="n">
        <v>0</v>
      </c>
      <c r="DA715" s="2" t="n">
        <v>0</v>
      </c>
      <c r="DB715" s="2" t="n">
        <v>0</v>
      </c>
      <c r="DC715" s="2" t="n">
        <v>0</v>
      </c>
      <c r="DD715" s="2" t="n">
        <v>0</v>
      </c>
      <c r="DE715" s="2" t="n">
        <v>0</v>
      </c>
      <c r="DF715" s="2" t="n">
        <v>0</v>
      </c>
      <c r="DG715" s="2" t="n">
        <v>3.78</v>
      </c>
      <c r="DH715" s="2" t="n">
        <v>0</v>
      </c>
      <c r="DI715" s="2" t="n">
        <v>0</v>
      </c>
      <c r="DJ715" s="2" t="n">
        <v>8.390000000000001</v>
      </c>
      <c r="DK715" s="2" t="n">
        <v>4.2</v>
      </c>
      <c r="DL715" s="2" t="n">
        <v>0</v>
      </c>
      <c r="DM715" s="2" t="n">
        <v>14.93</v>
      </c>
      <c r="DN715" s="2" t="n">
        <v>8.93</v>
      </c>
      <c r="DO715" s="2" t="n">
        <v>0</v>
      </c>
      <c r="DP715" s="2" t="n">
        <v>19.48</v>
      </c>
      <c r="DQ715" s="2" t="n">
        <v>11.09</v>
      </c>
      <c r="DR715" s="2" t="n">
        <v>0</v>
      </c>
      <c r="DS715" s="2" t="n">
        <v>25.37</v>
      </c>
      <c r="DT715" s="2" t="n">
        <v>15.79</v>
      </c>
      <c r="DU715" s="2" t="n">
        <v>0</v>
      </c>
      <c r="DV715" s="2" t="n">
        <v>37.77</v>
      </c>
      <c r="DW715" s="2" t="n">
        <v>27.04</v>
      </c>
      <c r="DX715" s="2" t="n">
        <v>0</v>
      </c>
      <c r="DY715" s="2" t="n">
        <v>46.38</v>
      </c>
      <c r="DZ715" s="2" t="n">
        <v>33.06</v>
      </c>
      <c r="EA715" s="2" t="n">
        <v>0</v>
      </c>
      <c r="EB715" s="2" t="n">
        <v>61.39</v>
      </c>
      <c r="EC715" s="2" t="n">
        <v>41.55</v>
      </c>
      <c r="ED715" s="2" t="n">
        <v>0</v>
      </c>
      <c r="EE715" s="2" t="n">
        <v>71.47</v>
      </c>
      <c r="EF715" s="2" t="n">
        <v>46.16</v>
      </c>
      <c r="EG715" s="2" t="n">
        <v>0</v>
      </c>
      <c r="EH715" s="2" t="n">
        <v>85.73</v>
      </c>
      <c r="EI715" s="2" t="n">
        <v>59.08</v>
      </c>
      <c r="EJ715" s="2" t="n">
        <v>0</v>
      </c>
      <c r="EK715" s="2" t="n">
        <v>93.29000000000001</v>
      </c>
      <c r="EL715" s="2" t="n">
        <v>68.95</v>
      </c>
      <c r="EM715" s="2" t="n">
        <v>0</v>
      </c>
      <c r="EN715" s="2" t="n">
        <v>100</v>
      </c>
      <c r="EO715" s="2" t="n">
        <v>74.81999999999999</v>
      </c>
      <c r="EP715" s="2" t="n">
        <v>0</v>
      </c>
      <c r="EQ715" s="2" t="n">
        <v>100</v>
      </c>
      <c r="ER715" s="2" t="n">
        <v>80.7</v>
      </c>
      <c r="ES715" s="2" t="n">
        <v>0</v>
      </c>
      <c r="ET715" s="2" t="n">
        <v>100</v>
      </c>
      <c r="EU715" s="2" t="n">
        <v>87.41</v>
      </c>
      <c r="EV715" s="2" t="n">
        <v>0</v>
      </c>
      <c r="EW715" s="2" t="n">
        <v>100</v>
      </c>
      <c r="EX715" s="2" t="n">
        <v>92.87</v>
      </c>
      <c r="EY715" s="2" t="n">
        <v>0</v>
      </c>
      <c r="EZ715" s="2" t="n">
        <v>100</v>
      </c>
      <c r="FA715" s="2" t="n">
        <v>99.16</v>
      </c>
      <c r="FB715" s="2" t="n">
        <v>0</v>
      </c>
      <c r="FC715" s="2" t="n">
        <v>100</v>
      </c>
      <c r="FD715" s="2" t="n">
        <v>100</v>
      </c>
      <c r="FE715" s="2" t="n">
        <v>0</v>
      </c>
      <c r="FF715" s="2" t="n">
        <v>100</v>
      </c>
      <c r="FG715" s="2" t="n">
        <v>100</v>
      </c>
      <c r="FH715" s="2" t="n">
        <v>0</v>
      </c>
      <c r="FI715" s="2" t="n">
        <v>100</v>
      </c>
      <c r="FJ715" s="2" t="n">
        <v>100</v>
      </c>
      <c r="FK715" s="2" t="n">
        <v>0</v>
      </c>
      <c r="FL715" s="2" t="n">
        <v>100</v>
      </c>
      <c r="FM715" s="2" t="n">
        <v>100</v>
      </c>
      <c r="FN715" s="2" t="n">
        <v>0</v>
      </c>
      <c r="FO715" s="2" t="n">
        <v>100</v>
      </c>
      <c r="FP715" s="2" t="n">
        <v>100</v>
      </c>
      <c r="FQ715" s="2" t="n">
        <v>0</v>
      </c>
    </row>
    <row r="716">
      <c r="A716" s="2" t="n">
        <v>2</v>
      </c>
      <c r="B716" s="2" t="inlineStr">
        <is>
          <t>31.03</t>
        </is>
      </c>
      <c r="C716" s="2" t="inlineStr">
        <is>
          <t>Pisos externos</t>
        </is>
      </c>
      <c r="D716" s="2" t="inlineStr">
        <is>
          <t>24/11/2027</t>
        </is>
      </c>
      <c r="E716" s="2" t="inlineStr">
        <is>
          <t>18/02/2028</t>
        </is>
      </c>
      <c r="F716" s="2" t="n">
        <v>677493.7061285479</v>
      </c>
      <c r="G716" s="2" t="n">
        <v>0</v>
      </c>
      <c r="H716" s="2" t="n">
        <v>677493.7061285479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0</v>
      </c>
      <c r="CM716" s="2" t="n">
        <v>0</v>
      </c>
      <c r="CN716" s="2" t="n">
        <v>0</v>
      </c>
      <c r="CO716" s="2" t="n">
        <v>0</v>
      </c>
      <c r="CP716" s="2" t="n">
        <v>0</v>
      </c>
      <c r="CQ716" s="2" t="n">
        <v>0</v>
      </c>
      <c r="CR716" s="2" t="n">
        <v>0</v>
      </c>
      <c r="CS716" s="2" t="n">
        <v>0</v>
      </c>
      <c r="CT716" s="2" t="n">
        <v>0</v>
      </c>
      <c r="CU716" s="2" t="n">
        <v>0</v>
      </c>
      <c r="CV716" s="2" t="n">
        <v>0</v>
      </c>
      <c r="CW716" s="2" t="n">
        <v>0</v>
      </c>
      <c r="CX716" s="2" t="n">
        <v>0</v>
      </c>
      <c r="CY716" s="2" t="n">
        <v>0</v>
      </c>
      <c r="CZ716" s="2" t="n">
        <v>0</v>
      </c>
      <c r="DA716" s="2" t="n">
        <v>0</v>
      </c>
      <c r="DB716" s="2" t="n">
        <v>0</v>
      </c>
      <c r="DC716" s="2" t="n">
        <v>0</v>
      </c>
      <c r="DD716" s="2" t="n">
        <v>0</v>
      </c>
      <c r="DE716" s="2" t="n">
        <v>0</v>
      </c>
      <c r="DF716" s="2" t="n">
        <v>0</v>
      </c>
      <c r="DG716" s="2" t="n">
        <v>0</v>
      </c>
      <c r="DH716" s="2" t="n">
        <v>0</v>
      </c>
      <c r="DI716" s="2" t="n">
        <v>0</v>
      </c>
      <c r="DJ716" s="2" t="n">
        <v>0</v>
      </c>
      <c r="DK716" s="2" t="n">
        <v>0</v>
      </c>
      <c r="DL716" s="2" t="n">
        <v>0</v>
      </c>
      <c r="DM716" s="2" t="n">
        <v>0</v>
      </c>
      <c r="DN716" s="2" t="n">
        <v>0</v>
      </c>
      <c r="DO716" s="2" t="n">
        <v>0</v>
      </c>
      <c r="DP716" s="2" t="n">
        <v>0</v>
      </c>
      <c r="DQ716" s="2" t="n">
        <v>0</v>
      </c>
      <c r="DR716" s="2" t="n">
        <v>0</v>
      </c>
      <c r="DS716" s="2" t="n">
        <v>0</v>
      </c>
      <c r="DT716" s="2" t="n">
        <v>0</v>
      </c>
      <c r="DU716" s="2" t="n">
        <v>0</v>
      </c>
      <c r="DV716" s="2" t="n">
        <v>9.43</v>
      </c>
      <c r="DW716" s="2" t="n">
        <v>9.43</v>
      </c>
      <c r="DX716" s="2" t="n">
        <v>0</v>
      </c>
      <c r="DY716" s="2" t="n">
        <v>33.96</v>
      </c>
      <c r="DZ716" s="2" t="n">
        <v>33.96</v>
      </c>
      <c r="EA716" s="2" t="n">
        <v>0</v>
      </c>
      <c r="EB716" s="2" t="n">
        <v>73.58</v>
      </c>
      <c r="EC716" s="2" t="n">
        <v>73.58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  <c r="ET716" s="2" t="n">
        <v>100</v>
      </c>
      <c r="EU716" s="2" t="n">
        <v>100</v>
      </c>
      <c r="EV716" s="2" t="n">
        <v>0</v>
      </c>
      <c r="EW716" s="2" t="n">
        <v>100</v>
      </c>
      <c r="EX716" s="2" t="n">
        <v>100</v>
      </c>
      <c r="EY716" s="2" t="n">
        <v>0</v>
      </c>
      <c r="EZ716" s="2" t="n">
        <v>100</v>
      </c>
      <c r="FA716" s="2" t="n">
        <v>100</v>
      </c>
      <c r="FB716" s="2" t="n">
        <v>0</v>
      </c>
      <c r="FC716" s="2" t="n">
        <v>100</v>
      </c>
      <c r="FD716" s="2" t="n">
        <v>100</v>
      </c>
      <c r="FE716" s="2" t="n">
        <v>0</v>
      </c>
      <c r="FF716" s="2" t="n">
        <v>100</v>
      </c>
      <c r="FG716" s="2" t="n">
        <v>100</v>
      </c>
      <c r="FH716" s="2" t="n">
        <v>0</v>
      </c>
      <c r="FI716" s="2" t="n">
        <v>100</v>
      </c>
      <c r="FJ716" s="2" t="n">
        <v>100</v>
      </c>
      <c r="FK716" s="2" t="n">
        <v>0</v>
      </c>
      <c r="FL716" s="2" t="n">
        <v>100</v>
      </c>
      <c r="FM716" s="2" t="n">
        <v>100</v>
      </c>
      <c r="FN716" s="2" t="n">
        <v>0</v>
      </c>
      <c r="FO716" s="2" t="n">
        <v>100</v>
      </c>
      <c r="FP716" s="2" t="n">
        <v>100</v>
      </c>
      <c r="FQ716" s="2" t="n">
        <v>0</v>
      </c>
    </row>
    <row r="717">
      <c r="A717" s="2" t="n">
        <v>3</v>
      </c>
      <c r="B717" s="2" t="inlineStr">
        <is>
          <t>31.03.01</t>
        </is>
      </c>
      <c r="C717" s="2" t="inlineStr">
        <is>
          <t>Pedras</t>
        </is>
      </c>
      <c r="D717" s="2" t="inlineStr">
        <is>
          <t>24/11/2027</t>
        </is>
      </c>
      <c r="E717" s="2" t="inlineStr">
        <is>
          <t>18/02/2028</t>
        </is>
      </c>
      <c r="F717" s="2" t="n">
        <v>444265.1665212425</v>
      </c>
      <c r="G717" s="2" t="n">
        <v>0</v>
      </c>
      <c r="H717" s="2" t="n">
        <v>444265.1665212425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0</v>
      </c>
      <c r="CM717" s="2" t="n">
        <v>0</v>
      </c>
      <c r="CN717" s="2" t="n">
        <v>0</v>
      </c>
      <c r="CO717" s="2" t="n">
        <v>0</v>
      </c>
      <c r="CP717" s="2" t="n">
        <v>0</v>
      </c>
      <c r="CQ717" s="2" t="n">
        <v>0</v>
      </c>
      <c r="CR717" s="2" t="n">
        <v>0</v>
      </c>
      <c r="CS717" s="2" t="n">
        <v>0</v>
      </c>
      <c r="CT717" s="2" t="n">
        <v>0</v>
      </c>
      <c r="CU717" s="2" t="n">
        <v>0</v>
      </c>
      <c r="CV717" s="2" t="n">
        <v>0</v>
      </c>
      <c r="CW717" s="2" t="n">
        <v>0</v>
      </c>
      <c r="CX717" s="2" t="n">
        <v>0</v>
      </c>
      <c r="CY717" s="2" t="n">
        <v>0</v>
      </c>
      <c r="CZ717" s="2" t="n">
        <v>0</v>
      </c>
      <c r="DA717" s="2" t="n">
        <v>0</v>
      </c>
      <c r="DB717" s="2" t="n">
        <v>0</v>
      </c>
      <c r="DC717" s="2" t="n">
        <v>0</v>
      </c>
      <c r="DD717" s="2" t="n">
        <v>0</v>
      </c>
      <c r="DE717" s="2" t="n">
        <v>0</v>
      </c>
      <c r="DF717" s="2" t="n">
        <v>0</v>
      </c>
      <c r="DG717" s="2" t="n">
        <v>0</v>
      </c>
      <c r="DH717" s="2" t="n">
        <v>0</v>
      </c>
      <c r="DI717" s="2" t="n">
        <v>0</v>
      </c>
      <c r="DJ717" s="2" t="n">
        <v>0</v>
      </c>
      <c r="DK717" s="2" t="n">
        <v>0</v>
      </c>
      <c r="DL717" s="2" t="n">
        <v>0</v>
      </c>
      <c r="DM717" s="2" t="n">
        <v>0</v>
      </c>
      <c r="DN717" s="2" t="n">
        <v>0</v>
      </c>
      <c r="DO717" s="2" t="n">
        <v>0</v>
      </c>
      <c r="DP717" s="2" t="n">
        <v>0</v>
      </c>
      <c r="DQ717" s="2" t="n">
        <v>0</v>
      </c>
      <c r="DR717" s="2" t="n">
        <v>0</v>
      </c>
      <c r="DS717" s="2" t="n">
        <v>0</v>
      </c>
      <c r="DT717" s="2" t="n">
        <v>0</v>
      </c>
      <c r="DU717" s="2" t="n">
        <v>0</v>
      </c>
      <c r="DV717" s="2" t="n">
        <v>9.43</v>
      </c>
      <c r="DW717" s="2" t="n">
        <v>9.43</v>
      </c>
      <c r="DX717" s="2" t="n">
        <v>0</v>
      </c>
      <c r="DY717" s="2" t="n">
        <v>33.96</v>
      </c>
      <c r="DZ717" s="2" t="n">
        <v>33.96</v>
      </c>
      <c r="EA717" s="2" t="n">
        <v>0</v>
      </c>
      <c r="EB717" s="2" t="n">
        <v>73.58</v>
      </c>
      <c r="EC717" s="2" t="n">
        <v>73.58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  <c r="ET717" s="2" t="n">
        <v>100</v>
      </c>
      <c r="EU717" s="2" t="n">
        <v>100</v>
      </c>
      <c r="EV717" s="2" t="n">
        <v>0</v>
      </c>
      <c r="EW717" s="2" t="n">
        <v>100</v>
      </c>
      <c r="EX717" s="2" t="n">
        <v>100</v>
      </c>
      <c r="EY717" s="2" t="n">
        <v>0</v>
      </c>
      <c r="EZ717" s="2" t="n">
        <v>100</v>
      </c>
      <c r="FA717" s="2" t="n">
        <v>100</v>
      </c>
      <c r="FB717" s="2" t="n">
        <v>0</v>
      </c>
      <c r="FC717" s="2" t="n">
        <v>100</v>
      </c>
      <c r="FD717" s="2" t="n">
        <v>100</v>
      </c>
      <c r="FE717" s="2" t="n">
        <v>0</v>
      </c>
      <c r="FF717" s="2" t="n">
        <v>100</v>
      </c>
      <c r="FG717" s="2" t="n">
        <v>100</v>
      </c>
      <c r="FH717" s="2" t="n">
        <v>0</v>
      </c>
      <c r="FI717" s="2" t="n">
        <v>100</v>
      </c>
      <c r="FJ717" s="2" t="n">
        <v>100</v>
      </c>
      <c r="FK717" s="2" t="n">
        <v>0</v>
      </c>
      <c r="FL717" s="2" t="n">
        <v>100</v>
      </c>
      <c r="FM717" s="2" t="n">
        <v>100</v>
      </c>
      <c r="FN717" s="2" t="n">
        <v>0</v>
      </c>
      <c r="FO717" s="2" t="n">
        <v>100</v>
      </c>
      <c r="FP717" s="2" t="n">
        <v>100</v>
      </c>
      <c r="FQ717" s="2" t="n">
        <v>0</v>
      </c>
    </row>
    <row r="718">
      <c r="A718" s="2" t="n">
        <v>4</v>
      </c>
      <c r="B718" s="2" t="inlineStr">
        <is>
          <t>31.03.01.01</t>
        </is>
      </c>
      <c r="C718" s="2" t="inlineStr">
        <is>
          <t>Piso de granito santa rosa serrado. Paginação conforme detalhamento. Amostra a ser aprovada pela GPA&amp;A.</t>
        </is>
      </c>
      <c r="D718" s="2" t="inlineStr">
        <is>
          <t>24/11/2027</t>
        </is>
      </c>
      <c r="E718" s="2" t="inlineStr">
        <is>
          <t>18/02/2028</t>
        </is>
      </c>
      <c r="F718" s="2" t="n">
        <v>389071.4079321473</v>
      </c>
      <c r="G718" s="2" t="n">
        <v>0</v>
      </c>
      <c r="H718" s="2" t="n">
        <v>389071.4079321473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0</v>
      </c>
      <c r="CM718" s="2" t="n">
        <v>0</v>
      </c>
      <c r="CN718" s="2" t="n">
        <v>0</v>
      </c>
      <c r="CO718" s="2" t="n">
        <v>0</v>
      </c>
      <c r="CP718" s="2" t="n">
        <v>0</v>
      </c>
      <c r="CQ718" s="2" t="n">
        <v>0</v>
      </c>
      <c r="CR718" s="2" t="n">
        <v>0</v>
      </c>
      <c r="CS718" s="2" t="n">
        <v>0</v>
      </c>
      <c r="CT718" s="2" t="n">
        <v>0</v>
      </c>
      <c r="CU718" s="2" t="n">
        <v>0</v>
      </c>
      <c r="CV718" s="2" t="n">
        <v>0</v>
      </c>
      <c r="CW718" s="2" t="n">
        <v>0</v>
      </c>
      <c r="CX718" s="2" t="n">
        <v>0</v>
      </c>
      <c r="CY718" s="2" t="n">
        <v>0</v>
      </c>
      <c r="CZ718" s="2" t="n">
        <v>0</v>
      </c>
      <c r="DA718" s="2" t="n">
        <v>0</v>
      </c>
      <c r="DB718" s="2" t="n">
        <v>0</v>
      </c>
      <c r="DC718" s="2" t="n">
        <v>0</v>
      </c>
      <c r="DD718" s="2" t="n">
        <v>0</v>
      </c>
      <c r="DE718" s="2" t="n">
        <v>0</v>
      </c>
      <c r="DF718" s="2" t="n">
        <v>0</v>
      </c>
      <c r="DG718" s="2" t="n">
        <v>0</v>
      </c>
      <c r="DH718" s="2" t="n">
        <v>0</v>
      </c>
      <c r="DI718" s="2" t="n">
        <v>0</v>
      </c>
      <c r="DJ718" s="2" t="n">
        <v>0</v>
      </c>
      <c r="DK718" s="2" t="n">
        <v>0</v>
      </c>
      <c r="DL718" s="2" t="n">
        <v>0</v>
      </c>
      <c r="DM718" s="2" t="n">
        <v>0</v>
      </c>
      <c r="DN718" s="2" t="n">
        <v>0</v>
      </c>
      <c r="DO718" s="2" t="n">
        <v>0</v>
      </c>
      <c r="DP718" s="2" t="n">
        <v>0</v>
      </c>
      <c r="DQ718" s="2" t="n">
        <v>0</v>
      </c>
      <c r="DR718" s="2" t="n">
        <v>0</v>
      </c>
      <c r="DS718" s="2" t="n">
        <v>0</v>
      </c>
      <c r="DT718" s="2" t="n">
        <v>0</v>
      </c>
      <c r="DU718" s="2" t="n">
        <v>0</v>
      </c>
      <c r="DV718" s="2" t="n">
        <v>9.43</v>
      </c>
      <c r="DW718" s="2" t="n">
        <v>9.43</v>
      </c>
      <c r="DX718" s="2" t="n">
        <v>0</v>
      </c>
      <c r="DY718" s="2" t="n">
        <v>33.96</v>
      </c>
      <c r="DZ718" s="2" t="n">
        <v>33.96</v>
      </c>
      <c r="EA718" s="2" t="n">
        <v>0</v>
      </c>
      <c r="EB718" s="2" t="n">
        <v>73.58</v>
      </c>
      <c r="EC718" s="2" t="n">
        <v>73.58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  <c r="ET718" s="2" t="n">
        <v>100</v>
      </c>
      <c r="EU718" s="2" t="n">
        <v>100</v>
      </c>
      <c r="EV718" s="2" t="n">
        <v>0</v>
      </c>
      <c r="EW718" s="2" t="n">
        <v>100</v>
      </c>
      <c r="EX718" s="2" t="n">
        <v>100</v>
      </c>
      <c r="EY718" s="2" t="n">
        <v>0</v>
      </c>
      <c r="EZ718" s="2" t="n">
        <v>100</v>
      </c>
      <c r="FA718" s="2" t="n">
        <v>100</v>
      </c>
      <c r="FB718" s="2" t="n">
        <v>0</v>
      </c>
      <c r="FC718" s="2" t="n">
        <v>100</v>
      </c>
      <c r="FD718" s="2" t="n">
        <v>100</v>
      </c>
      <c r="FE718" s="2" t="n">
        <v>0</v>
      </c>
      <c r="FF718" s="2" t="n">
        <v>100</v>
      </c>
      <c r="FG718" s="2" t="n">
        <v>100</v>
      </c>
      <c r="FH718" s="2" t="n">
        <v>0</v>
      </c>
      <c r="FI718" s="2" t="n">
        <v>100</v>
      </c>
      <c r="FJ718" s="2" t="n">
        <v>100</v>
      </c>
      <c r="FK718" s="2" t="n">
        <v>0</v>
      </c>
      <c r="FL718" s="2" t="n">
        <v>100</v>
      </c>
      <c r="FM718" s="2" t="n">
        <v>100</v>
      </c>
      <c r="FN718" s="2" t="n">
        <v>0</v>
      </c>
      <c r="FO718" s="2" t="n">
        <v>100</v>
      </c>
      <c r="FP718" s="2" t="n">
        <v>100</v>
      </c>
      <c r="FQ718" s="2" t="n">
        <v>0</v>
      </c>
    </row>
    <row r="719">
      <c r="A719" s="2" t="n">
        <v>4</v>
      </c>
      <c r="B719" s="2" t="inlineStr">
        <is>
          <t>31.03.01.02</t>
        </is>
      </c>
      <c r="C719" s="2" t="inlineStr">
        <is>
          <t>Sistema de Piso elevado</t>
        </is>
      </c>
      <c r="D719" s="2" t="inlineStr">
        <is>
          <t>24/11/2027</t>
        </is>
      </c>
      <c r="E719" s="2" t="inlineStr">
        <is>
          <t>18/02/2028</t>
        </is>
      </c>
      <c r="F719" s="2" t="n">
        <v>33604.4475</v>
      </c>
      <c r="G719" s="2" t="n">
        <v>0</v>
      </c>
      <c r="H719" s="2" t="n">
        <v>33604.4475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0</v>
      </c>
      <c r="CM719" s="2" t="n">
        <v>0</v>
      </c>
      <c r="CN719" s="2" t="n">
        <v>0</v>
      </c>
      <c r="CO719" s="2" t="n">
        <v>0</v>
      </c>
      <c r="CP719" s="2" t="n">
        <v>0</v>
      </c>
      <c r="CQ719" s="2" t="n">
        <v>0</v>
      </c>
      <c r="CR719" s="2" t="n">
        <v>0</v>
      </c>
      <c r="CS719" s="2" t="n">
        <v>0</v>
      </c>
      <c r="CT719" s="2" t="n">
        <v>0</v>
      </c>
      <c r="CU719" s="2" t="n">
        <v>0</v>
      </c>
      <c r="CV719" s="2" t="n">
        <v>0</v>
      </c>
      <c r="CW719" s="2" t="n">
        <v>0</v>
      </c>
      <c r="CX719" s="2" t="n">
        <v>0</v>
      </c>
      <c r="CY719" s="2" t="n">
        <v>0</v>
      </c>
      <c r="CZ719" s="2" t="n">
        <v>0</v>
      </c>
      <c r="DA719" s="2" t="n">
        <v>0</v>
      </c>
      <c r="DB719" s="2" t="n">
        <v>0</v>
      </c>
      <c r="DC719" s="2" t="n">
        <v>0</v>
      </c>
      <c r="DD719" s="2" t="n">
        <v>0</v>
      </c>
      <c r="DE719" s="2" t="n">
        <v>0</v>
      </c>
      <c r="DF719" s="2" t="n">
        <v>0</v>
      </c>
      <c r="DG719" s="2" t="n">
        <v>0</v>
      </c>
      <c r="DH719" s="2" t="n">
        <v>0</v>
      </c>
      <c r="DI719" s="2" t="n">
        <v>0</v>
      </c>
      <c r="DJ719" s="2" t="n">
        <v>0</v>
      </c>
      <c r="DK719" s="2" t="n">
        <v>0</v>
      </c>
      <c r="DL719" s="2" t="n">
        <v>0</v>
      </c>
      <c r="DM719" s="2" t="n">
        <v>0</v>
      </c>
      <c r="DN719" s="2" t="n">
        <v>0</v>
      </c>
      <c r="DO719" s="2" t="n">
        <v>0</v>
      </c>
      <c r="DP719" s="2" t="n">
        <v>0</v>
      </c>
      <c r="DQ719" s="2" t="n">
        <v>0</v>
      </c>
      <c r="DR719" s="2" t="n">
        <v>0</v>
      </c>
      <c r="DS719" s="2" t="n">
        <v>0</v>
      </c>
      <c r="DT719" s="2" t="n">
        <v>0</v>
      </c>
      <c r="DU719" s="2" t="n">
        <v>0</v>
      </c>
      <c r="DV719" s="2" t="n">
        <v>9.43</v>
      </c>
      <c r="DW719" s="2" t="n">
        <v>9.43</v>
      </c>
      <c r="DX719" s="2" t="n">
        <v>0</v>
      </c>
      <c r="DY719" s="2" t="n">
        <v>33.96</v>
      </c>
      <c r="DZ719" s="2" t="n">
        <v>33.96</v>
      </c>
      <c r="EA719" s="2" t="n">
        <v>0</v>
      </c>
      <c r="EB719" s="2" t="n">
        <v>73.58</v>
      </c>
      <c r="EC719" s="2" t="n">
        <v>73.58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  <c r="ET719" s="2" t="n">
        <v>100</v>
      </c>
      <c r="EU719" s="2" t="n">
        <v>100</v>
      </c>
      <c r="EV719" s="2" t="n">
        <v>0</v>
      </c>
      <c r="EW719" s="2" t="n">
        <v>100</v>
      </c>
      <c r="EX719" s="2" t="n">
        <v>100</v>
      </c>
      <c r="EY719" s="2" t="n">
        <v>0</v>
      </c>
      <c r="EZ719" s="2" t="n">
        <v>100</v>
      </c>
      <c r="FA719" s="2" t="n">
        <v>100</v>
      </c>
      <c r="FB719" s="2" t="n">
        <v>0</v>
      </c>
      <c r="FC719" s="2" t="n">
        <v>100</v>
      </c>
      <c r="FD719" s="2" t="n">
        <v>100</v>
      </c>
      <c r="FE719" s="2" t="n">
        <v>0</v>
      </c>
      <c r="FF719" s="2" t="n">
        <v>100</v>
      </c>
      <c r="FG719" s="2" t="n">
        <v>100</v>
      </c>
      <c r="FH719" s="2" t="n">
        <v>0</v>
      </c>
      <c r="FI719" s="2" t="n">
        <v>100</v>
      </c>
      <c r="FJ719" s="2" t="n">
        <v>100</v>
      </c>
      <c r="FK719" s="2" t="n">
        <v>0</v>
      </c>
      <c r="FL719" s="2" t="n">
        <v>100</v>
      </c>
      <c r="FM719" s="2" t="n">
        <v>100</v>
      </c>
      <c r="FN719" s="2" t="n">
        <v>0</v>
      </c>
      <c r="FO719" s="2" t="n">
        <v>100</v>
      </c>
      <c r="FP719" s="2" t="n">
        <v>100</v>
      </c>
      <c r="FQ719" s="2" t="n">
        <v>0</v>
      </c>
    </row>
    <row r="720">
      <c r="A720" s="2" t="n">
        <v>4</v>
      </c>
      <c r="B720" s="2" t="inlineStr">
        <is>
          <t>31.03.01.03</t>
        </is>
      </c>
      <c r="C720" s="2" t="inlineStr">
        <is>
          <t>PSG - Pedras irregulares sobre jardim</t>
        </is>
      </c>
      <c r="D720" s="2" t="inlineStr">
        <is>
          <t>24/11/2027</t>
        </is>
      </c>
      <c r="E720" s="2" t="inlineStr">
        <is>
          <t>18/02/2028</t>
        </is>
      </c>
      <c r="F720" s="2" t="n">
        <v>21589.31108909516</v>
      </c>
      <c r="G720" s="2" t="n">
        <v>0</v>
      </c>
      <c r="H720" s="2" t="n">
        <v>21589.31108909516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0</v>
      </c>
      <c r="CM720" s="2" t="n">
        <v>0</v>
      </c>
      <c r="CN720" s="2" t="n">
        <v>0</v>
      </c>
      <c r="CO720" s="2" t="n">
        <v>0</v>
      </c>
      <c r="CP720" s="2" t="n">
        <v>0</v>
      </c>
      <c r="CQ720" s="2" t="n">
        <v>0</v>
      </c>
      <c r="CR720" s="2" t="n">
        <v>0</v>
      </c>
      <c r="CS720" s="2" t="n">
        <v>0</v>
      </c>
      <c r="CT720" s="2" t="n">
        <v>0</v>
      </c>
      <c r="CU720" s="2" t="n">
        <v>0</v>
      </c>
      <c r="CV720" s="2" t="n">
        <v>0</v>
      </c>
      <c r="CW720" s="2" t="n">
        <v>0</v>
      </c>
      <c r="CX720" s="2" t="n">
        <v>0</v>
      </c>
      <c r="CY720" s="2" t="n">
        <v>0</v>
      </c>
      <c r="CZ720" s="2" t="n">
        <v>0</v>
      </c>
      <c r="DA720" s="2" t="n">
        <v>0</v>
      </c>
      <c r="DB720" s="2" t="n">
        <v>0</v>
      </c>
      <c r="DC720" s="2" t="n">
        <v>0</v>
      </c>
      <c r="DD720" s="2" t="n">
        <v>0</v>
      </c>
      <c r="DE720" s="2" t="n">
        <v>0</v>
      </c>
      <c r="DF720" s="2" t="n">
        <v>0</v>
      </c>
      <c r="DG720" s="2" t="n">
        <v>0</v>
      </c>
      <c r="DH720" s="2" t="n">
        <v>0</v>
      </c>
      <c r="DI720" s="2" t="n">
        <v>0</v>
      </c>
      <c r="DJ720" s="2" t="n">
        <v>0</v>
      </c>
      <c r="DK720" s="2" t="n">
        <v>0</v>
      </c>
      <c r="DL720" s="2" t="n">
        <v>0</v>
      </c>
      <c r="DM720" s="2" t="n">
        <v>0</v>
      </c>
      <c r="DN720" s="2" t="n">
        <v>0</v>
      </c>
      <c r="DO720" s="2" t="n">
        <v>0</v>
      </c>
      <c r="DP720" s="2" t="n">
        <v>0</v>
      </c>
      <c r="DQ720" s="2" t="n">
        <v>0</v>
      </c>
      <c r="DR720" s="2" t="n">
        <v>0</v>
      </c>
      <c r="DS720" s="2" t="n">
        <v>0</v>
      </c>
      <c r="DT720" s="2" t="n">
        <v>0</v>
      </c>
      <c r="DU720" s="2" t="n">
        <v>0</v>
      </c>
      <c r="DV720" s="2" t="n">
        <v>9.43</v>
      </c>
      <c r="DW720" s="2" t="n">
        <v>9.43</v>
      </c>
      <c r="DX720" s="2" t="n">
        <v>0</v>
      </c>
      <c r="DY720" s="2" t="n">
        <v>33.96</v>
      </c>
      <c r="DZ720" s="2" t="n">
        <v>33.96</v>
      </c>
      <c r="EA720" s="2" t="n">
        <v>0</v>
      </c>
      <c r="EB720" s="2" t="n">
        <v>73.58</v>
      </c>
      <c r="EC720" s="2" t="n">
        <v>73.58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  <c r="ET720" s="2" t="n">
        <v>100</v>
      </c>
      <c r="EU720" s="2" t="n">
        <v>100</v>
      </c>
      <c r="EV720" s="2" t="n">
        <v>0</v>
      </c>
      <c r="EW720" s="2" t="n">
        <v>100</v>
      </c>
      <c r="EX720" s="2" t="n">
        <v>100</v>
      </c>
      <c r="EY720" s="2" t="n">
        <v>0</v>
      </c>
      <c r="EZ720" s="2" t="n">
        <v>100</v>
      </c>
      <c r="FA720" s="2" t="n">
        <v>100</v>
      </c>
      <c r="FB720" s="2" t="n">
        <v>0</v>
      </c>
      <c r="FC720" s="2" t="n">
        <v>100</v>
      </c>
      <c r="FD720" s="2" t="n">
        <v>100</v>
      </c>
      <c r="FE720" s="2" t="n">
        <v>0</v>
      </c>
      <c r="FF720" s="2" t="n">
        <v>100</v>
      </c>
      <c r="FG720" s="2" t="n">
        <v>100</v>
      </c>
      <c r="FH720" s="2" t="n">
        <v>0</v>
      </c>
      <c r="FI720" s="2" t="n">
        <v>100</v>
      </c>
      <c r="FJ720" s="2" t="n">
        <v>100</v>
      </c>
      <c r="FK720" s="2" t="n">
        <v>0</v>
      </c>
      <c r="FL720" s="2" t="n">
        <v>100</v>
      </c>
      <c r="FM720" s="2" t="n">
        <v>100</v>
      </c>
      <c r="FN720" s="2" t="n">
        <v>0</v>
      </c>
      <c r="FO720" s="2" t="n">
        <v>100</v>
      </c>
      <c r="FP720" s="2" t="n">
        <v>100</v>
      </c>
      <c r="FQ720" s="2" t="n">
        <v>0</v>
      </c>
    </row>
    <row r="721">
      <c r="A721" s="2" t="n">
        <v>3</v>
      </c>
      <c r="B721" s="2" t="inlineStr">
        <is>
          <t>31.03.02</t>
        </is>
      </c>
      <c r="C721" s="2" t="inlineStr">
        <is>
          <t>Pisos de Madeira</t>
        </is>
      </c>
      <c r="D721" s="2" t="inlineStr">
        <is>
          <t>24/11/2027</t>
        </is>
      </c>
      <c r="E721" s="2" t="inlineStr">
        <is>
          <t>18/02/2028</t>
        </is>
      </c>
      <c r="F721" s="2" t="n">
        <v>91482.2111</v>
      </c>
      <c r="G721" s="2" t="n">
        <v>0</v>
      </c>
      <c r="H721" s="2" t="n">
        <v>91482.2111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0</v>
      </c>
      <c r="CM721" s="2" t="n">
        <v>0</v>
      </c>
      <c r="CN721" s="2" t="n">
        <v>0</v>
      </c>
      <c r="CO721" s="2" t="n">
        <v>0</v>
      </c>
      <c r="CP721" s="2" t="n">
        <v>0</v>
      </c>
      <c r="CQ721" s="2" t="n">
        <v>0</v>
      </c>
      <c r="CR721" s="2" t="n">
        <v>0</v>
      </c>
      <c r="CS721" s="2" t="n">
        <v>0</v>
      </c>
      <c r="CT721" s="2" t="n">
        <v>0</v>
      </c>
      <c r="CU721" s="2" t="n">
        <v>0</v>
      </c>
      <c r="CV721" s="2" t="n">
        <v>0</v>
      </c>
      <c r="CW721" s="2" t="n">
        <v>0</v>
      </c>
      <c r="CX721" s="2" t="n">
        <v>0</v>
      </c>
      <c r="CY721" s="2" t="n">
        <v>0</v>
      </c>
      <c r="CZ721" s="2" t="n">
        <v>0</v>
      </c>
      <c r="DA721" s="2" t="n">
        <v>0</v>
      </c>
      <c r="DB721" s="2" t="n">
        <v>0</v>
      </c>
      <c r="DC721" s="2" t="n">
        <v>0</v>
      </c>
      <c r="DD721" s="2" t="n">
        <v>0</v>
      </c>
      <c r="DE721" s="2" t="n">
        <v>0</v>
      </c>
      <c r="DF721" s="2" t="n">
        <v>0</v>
      </c>
      <c r="DG721" s="2" t="n">
        <v>0</v>
      </c>
      <c r="DH721" s="2" t="n">
        <v>0</v>
      </c>
      <c r="DI721" s="2" t="n">
        <v>0</v>
      </c>
      <c r="DJ721" s="2" t="n">
        <v>0</v>
      </c>
      <c r="DK721" s="2" t="n">
        <v>0</v>
      </c>
      <c r="DL721" s="2" t="n">
        <v>0</v>
      </c>
      <c r="DM721" s="2" t="n">
        <v>0</v>
      </c>
      <c r="DN721" s="2" t="n">
        <v>0</v>
      </c>
      <c r="DO721" s="2" t="n">
        <v>0</v>
      </c>
      <c r="DP721" s="2" t="n">
        <v>0</v>
      </c>
      <c r="DQ721" s="2" t="n">
        <v>0</v>
      </c>
      <c r="DR721" s="2" t="n">
        <v>0</v>
      </c>
      <c r="DS721" s="2" t="n">
        <v>0</v>
      </c>
      <c r="DT721" s="2" t="n">
        <v>0</v>
      </c>
      <c r="DU721" s="2" t="n">
        <v>0</v>
      </c>
      <c r="DV721" s="2" t="n">
        <v>9.43</v>
      </c>
      <c r="DW721" s="2" t="n">
        <v>9.43</v>
      </c>
      <c r="DX721" s="2" t="n">
        <v>0</v>
      </c>
      <c r="DY721" s="2" t="n">
        <v>33.96</v>
      </c>
      <c r="DZ721" s="2" t="n">
        <v>33.96</v>
      </c>
      <c r="EA721" s="2" t="n">
        <v>0</v>
      </c>
      <c r="EB721" s="2" t="n">
        <v>73.58</v>
      </c>
      <c r="EC721" s="2" t="n">
        <v>73.58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  <c r="ET721" s="2" t="n">
        <v>100</v>
      </c>
      <c r="EU721" s="2" t="n">
        <v>100</v>
      </c>
      <c r="EV721" s="2" t="n">
        <v>0</v>
      </c>
      <c r="EW721" s="2" t="n">
        <v>100</v>
      </c>
      <c r="EX721" s="2" t="n">
        <v>100</v>
      </c>
      <c r="EY721" s="2" t="n">
        <v>0</v>
      </c>
      <c r="EZ721" s="2" t="n">
        <v>100</v>
      </c>
      <c r="FA721" s="2" t="n">
        <v>100</v>
      </c>
      <c r="FB721" s="2" t="n">
        <v>0</v>
      </c>
      <c r="FC721" s="2" t="n">
        <v>100</v>
      </c>
      <c r="FD721" s="2" t="n">
        <v>100</v>
      </c>
      <c r="FE721" s="2" t="n">
        <v>0</v>
      </c>
      <c r="FF721" s="2" t="n">
        <v>100</v>
      </c>
      <c r="FG721" s="2" t="n">
        <v>100</v>
      </c>
      <c r="FH721" s="2" t="n">
        <v>0</v>
      </c>
      <c r="FI721" s="2" t="n">
        <v>100</v>
      </c>
      <c r="FJ721" s="2" t="n">
        <v>100</v>
      </c>
      <c r="FK721" s="2" t="n">
        <v>0</v>
      </c>
      <c r="FL721" s="2" t="n">
        <v>100</v>
      </c>
      <c r="FM721" s="2" t="n">
        <v>100</v>
      </c>
      <c r="FN721" s="2" t="n">
        <v>0</v>
      </c>
      <c r="FO721" s="2" t="n">
        <v>100</v>
      </c>
      <c r="FP721" s="2" t="n">
        <v>100</v>
      </c>
      <c r="FQ721" s="2" t="n">
        <v>0</v>
      </c>
    </row>
    <row r="722">
      <c r="A722" s="2" t="n">
        <v>4</v>
      </c>
      <c r="B722" s="2" t="inlineStr">
        <is>
          <t>31.03.02.01</t>
        </is>
      </c>
      <c r="C722" s="2" t="inlineStr">
        <is>
          <t>Deck em Cumaru com tecnica de carbonização Shugi Ban, reguas 20mmx100mmx2000m-acima. Ref.:Madeira Carbonizada.</t>
        </is>
      </c>
      <c r="D722" s="2" t="inlineStr">
        <is>
          <t>24/11/2027</t>
        </is>
      </c>
      <c r="E722" s="2" t="inlineStr">
        <is>
          <t>18/02/2028</t>
        </is>
      </c>
      <c r="F722" s="2" t="n">
        <v>62572.2111</v>
      </c>
      <c r="G722" s="2" t="n">
        <v>0</v>
      </c>
      <c r="H722" s="2" t="n">
        <v>62572.2111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0</v>
      </c>
      <c r="CM722" s="2" t="n">
        <v>0</v>
      </c>
      <c r="CN722" s="2" t="n">
        <v>0</v>
      </c>
      <c r="CO722" s="2" t="n">
        <v>0</v>
      </c>
      <c r="CP722" s="2" t="n">
        <v>0</v>
      </c>
      <c r="CQ722" s="2" t="n">
        <v>0</v>
      </c>
      <c r="CR722" s="2" t="n">
        <v>0</v>
      </c>
      <c r="CS722" s="2" t="n">
        <v>0</v>
      </c>
      <c r="CT722" s="2" t="n">
        <v>0</v>
      </c>
      <c r="CU722" s="2" t="n">
        <v>0</v>
      </c>
      <c r="CV722" s="2" t="n">
        <v>0</v>
      </c>
      <c r="CW722" s="2" t="n">
        <v>0</v>
      </c>
      <c r="CX722" s="2" t="n">
        <v>0</v>
      </c>
      <c r="CY722" s="2" t="n">
        <v>0</v>
      </c>
      <c r="CZ722" s="2" t="n">
        <v>0</v>
      </c>
      <c r="DA722" s="2" t="n">
        <v>0</v>
      </c>
      <c r="DB722" s="2" t="n">
        <v>0</v>
      </c>
      <c r="DC722" s="2" t="n">
        <v>0</v>
      </c>
      <c r="DD722" s="2" t="n">
        <v>0</v>
      </c>
      <c r="DE722" s="2" t="n">
        <v>0</v>
      </c>
      <c r="DF722" s="2" t="n">
        <v>0</v>
      </c>
      <c r="DG722" s="2" t="n">
        <v>0</v>
      </c>
      <c r="DH722" s="2" t="n">
        <v>0</v>
      </c>
      <c r="DI722" s="2" t="n">
        <v>0</v>
      </c>
      <c r="DJ722" s="2" t="n">
        <v>0</v>
      </c>
      <c r="DK722" s="2" t="n">
        <v>0</v>
      </c>
      <c r="DL722" s="2" t="n">
        <v>0</v>
      </c>
      <c r="DM722" s="2" t="n">
        <v>0</v>
      </c>
      <c r="DN722" s="2" t="n">
        <v>0</v>
      </c>
      <c r="DO722" s="2" t="n">
        <v>0</v>
      </c>
      <c r="DP722" s="2" t="n">
        <v>0</v>
      </c>
      <c r="DQ722" s="2" t="n">
        <v>0</v>
      </c>
      <c r="DR722" s="2" t="n">
        <v>0</v>
      </c>
      <c r="DS722" s="2" t="n">
        <v>0</v>
      </c>
      <c r="DT722" s="2" t="n">
        <v>0</v>
      </c>
      <c r="DU722" s="2" t="n">
        <v>0</v>
      </c>
      <c r="DV722" s="2" t="n">
        <v>9.43</v>
      </c>
      <c r="DW722" s="2" t="n">
        <v>9.43</v>
      </c>
      <c r="DX722" s="2" t="n">
        <v>0</v>
      </c>
      <c r="DY722" s="2" t="n">
        <v>33.96</v>
      </c>
      <c r="DZ722" s="2" t="n">
        <v>33.96</v>
      </c>
      <c r="EA722" s="2" t="n">
        <v>0</v>
      </c>
      <c r="EB722" s="2" t="n">
        <v>73.58</v>
      </c>
      <c r="EC722" s="2" t="n">
        <v>73.58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  <c r="ET722" s="2" t="n">
        <v>100</v>
      </c>
      <c r="EU722" s="2" t="n">
        <v>100</v>
      </c>
      <c r="EV722" s="2" t="n">
        <v>0</v>
      </c>
      <c r="EW722" s="2" t="n">
        <v>100</v>
      </c>
      <c r="EX722" s="2" t="n">
        <v>100</v>
      </c>
      <c r="EY722" s="2" t="n">
        <v>0</v>
      </c>
      <c r="EZ722" s="2" t="n">
        <v>100</v>
      </c>
      <c r="FA722" s="2" t="n">
        <v>100</v>
      </c>
      <c r="FB722" s="2" t="n">
        <v>0</v>
      </c>
      <c r="FC722" s="2" t="n">
        <v>100</v>
      </c>
      <c r="FD722" s="2" t="n">
        <v>100</v>
      </c>
      <c r="FE722" s="2" t="n">
        <v>0</v>
      </c>
      <c r="FF722" s="2" t="n">
        <v>100</v>
      </c>
      <c r="FG722" s="2" t="n">
        <v>100</v>
      </c>
      <c r="FH722" s="2" t="n">
        <v>0</v>
      </c>
      <c r="FI722" s="2" t="n">
        <v>100</v>
      </c>
      <c r="FJ722" s="2" t="n">
        <v>100</v>
      </c>
      <c r="FK722" s="2" t="n">
        <v>0</v>
      </c>
      <c r="FL722" s="2" t="n">
        <v>100</v>
      </c>
      <c r="FM722" s="2" t="n">
        <v>100</v>
      </c>
      <c r="FN722" s="2" t="n">
        <v>0</v>
      </c>
      <c r="FO722" s="2" t="n">
        <v>100</v>
      </c>
      <c r="FP722" s="2" t="n">
        <v>100</v>
      </c>
      <c r="FQ722" s="2" t="n">
        <v>0</v>
      </c>
    </row>
    <row r="723">
      <c r="A723" s="2" t="n">
        <v>4</v>
      </c>
      <c r="B723" s="2" t="inlineStr">
        <is>
          <t>31.03.02.02</t>
        </is>
      </c>
      <c r="C723" s="2" t="inlineStr">
        <is>
          <t>Deck em Tauari Teak encaixe macho e femea, acabamento com cavilha, reguas 20mmx100mmx2000m-acima. Ref.: Indusparquet.</t>
        </is>
      </c>
      <c r="D723" s="2" t="inlineStr">
        <is>
          <t>24/11/2027</t>
        </is>
      </c>
      <c r="E723" s="2" t="inlineStr">
        <is>
          <t>18/02/2028</t>
        </is>
      </c>
      <c r="F723" s="2" t="n">
        <v>28910</v>
      </c>
      <c r="G723" s="2" t="n">
        <v>0</v>
      </c>
      <c r="H723" s="2" t="n">
        <v>28910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0</v>
      </c>
      <c r="CM723" s="2" t="n">
        <v>0</v>
      </c>
      <c r="CN723" s="2" t="n">
        <v>0</v>
      </c>
      <c r="CO723" s="2" t="n">
        <v>0</v>
      </c>
      <c r="CP723" s="2" t="n">
        <v>0</v>
      </c>
      <c r="CQ723" s="2" t="n">
        <v>0</v>
      </c>
      <c r="CR723" s="2" t="n">
        <v>0</v>
      </c>
      <c r="CS723" s="2" t="n">
        <v>0</v>
      </c>
      <c r="CT723" s="2" t="n">
        <v>0</v>
      </c>
      <c r="CU723" s="2" t="n">
        <v>0</v>
      </c>
      <c r="CV723" s="2" t="n">
        <v>0</v>
      </c>
      <c r="CW723" s="2" t="n">
        <v>0</v>
      </c>
      <c r="CX723" s="2" t="n">
        <v>0</v>
      </c>
      <c r="CY723" s="2" t="n">
        <v>0</v>
      </c>
      <c r="CZ723" s="2" t="n">
        <v>0</v>
      </c>
      <c r="DA723" s="2" t="n">
        <v>0</v>
      </c>
      <c r="DB723" s="2" t="n">
        <v>0</v>
      </c>
      <c r="DC723" s="2" t="n">
        <v>0</v>
      </c>
      <c r="DD723" s="2" t="n">
        <v>0</v>
      </c>
      <c r="DE723" s="2" t="n">
        <v>0</v>
      </c>
      <c r="DF723" s="2" t="n">
        <v>0</v>
      </c>
      <c r="DG723" s="2" t="n">
        <v>0</v>
      </c>
      <c r="DH723" s="2" t="n">
        <v>0</v>
      </c>
      <c r="DI723" s="2" t="n">
        <v>0</v>
      </c>
      <c r="DJ723" s="2" t="n">
        <v>0</v>
      </c>
      <c r="DK723" s="2" t="n">
        <v>0</v>
      </c>
      <c r="DL723" s="2" t="n">
        <v>0</v>
      </c>
      <c r="DM723" s="2" t="n">
        <v>0</v>
      </c>
      <c r="DN723" s="2" t="n">
        <v>0</v>
      </c>
      <c r="DO723" s="2" t="n">
        <v>0</v>
      </c>
      <c r="DP723" s="2" t="n">
        <v>0</v>
      </c>
      <c r="DQ723" s="2" t="n">
        <v>0</v>
      </c>
      <c r="DR723" s="2" t="n">
        <v>0</v>
      </c>
      <c r="DS723" s="2" t="n">
        <v>0</v>
      </c>
      <c r="DT723" s="2" t="n">
        <v>0</v>
      </c>
      <c r="DU723" s="2" t="n">
        <v>0</v>
      </c>
      <c r="DV723" s="2" t="n">
        <v>9.43</v>
      </c>
      <c r="DW723" s="2" t="n">
        <v>9.43</v>
      </c>
      <c r="DX723" s="2" t="n">
        <v>0</v>
      </c>
      <c r="DY723" s="2" t="n">
        <v>33.96</v>
      </c>
      <c r="DZ723" s="2" t="n">
        <v>33.96</v>
      </c>
      <c r="EA723" s="2" t="n">
        <v>0</v>
      </c>
      <c r="EB723" s="2" t="n">
        <v>73.58</v>
      </c>
      <c r="EC723" s="2" t="n">
        <v>73.58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  <c r="ET723" s="2" t="n">
        <v>100</v>
      </c>
      <c r="EU723" s="2" t="n">
        <v>100</v>
      </c>
      <c r="EV723" s="2" t="n">
        <v>0</v>
      </c>
      <c r="EW723" s="2" t="n">
        <v>100</v>
      </c>
      <c r="EX723" s="2" t="n">
        <v>100</v>
      </c>
      <c r="EY723" s="2" t="n">
        <v>0</v>
      </c>
      <c r="EZ723" s="2" t="n">
        <v>100</v>
      </c>
      <c r="FA723" s="2" t="n">
        <v>100</v>
      </c>
      <c r="FB723" s="2" t="n">
        <v>0</v>
      </c>
      <c r="FC723" s="2" t="n">
        <v>100</v>
      </c>
      <c r="FD723" s="2" t="n">
        <v>100</v>
      </c>
      <c r="FE723" s="2" t="n">
        <v>0</v>
      </c>
      <c r="FF723" s="2" t="n">
        <v>100</v>
      </c>
      <c r="FG723" s="2" t="n">
        <v>100</v>
      </c>
      <c r="FH723" s="2" t="n">
        <v>0</v>
      </c>
      <c r="FI723" s="2" t="n">
        <v>100</v>
      </c>
      <c r="FJ723" s="2" t="n">
        <v>100</v>
      </c>
      <c r="FK723" s="2" t="n">
        <v>0</v>
      </c>
      <c r="FL723" s="2" t="n">
        <v>100</v>
      </c>
      <c r="FM723" s="2" t="n">
        <v>100</v>
      </c>
      <c r="FN723" s="2" t="n">
        <v>0</v>
      </c>
      <c r="FO723" s="2" t="n">
        <v>100</v>
      </c>
      <c r="FP723" s="2" t="n">
        <v>100</v>
      </c>
      <c r="FQ723" s="2" t="n">
        <v>0</v>
      </c>
    </row>
    <row r="724">
      <c r="A724" s="2" t="n">
        <v>3</v>
      </c>
      <c r="B724" s="2" t="inlineStr">
        <is>
          <t>31.03.03</t>
        </is>
      </c>
      <c r="C724" s="2" t="inlineStr">
        <is>
          <t>Passeios</t>
        </is>
      </c>
      <c r="D724" s="2" t="inlineStr">
        <is>
          <t>24/11/2027</t>
        </is>
      </c>
      <c r="E724" s="2" t="inlineStr">
        <is>
          <t>18/02/2028</t>
        </is>
      </c>
      <c r="F724" s="2" t="n">
        <v>141746.3285073055</v>
      </c>
      <c r="G724" s="2" t="n">
        <v>0</v>
      </c>
      <c r="H724" s="2" t="n">
        <v>141746.3285073055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0</v>
      </c>
      <c r="CM724" s="2" t="n">
        <v>0</v>
      </c>
      <c r="CN724" s="2" t="n">
        <v>0</v>
      </c>
      <c r="CO724" s="2" t="n">
        <v>0</v>
      </c>
      <c r="CP724" s="2" t="n">
        <v>0</v>
      </c>
      <c r="CQ724" s="2" t="n">
        <v>0</v>
      </c>
      <c r="CR724" s="2" t="n">
        <v>0</v>
      </c>
      <c r="CS724" s="2" t="n">
        <v>0</v>
      </c>
      <c r="CT724" s="2" t="n">
        <v>0</v>
      </c>
      <c r="CU724" s="2" t="n">
        <v>0</v>
      </c>
      <c r="CV724" s="2" t="n">
        <v>0</v>
      </c>
      <c r="CW724" s="2" t="n">
        <v>0</v>
      </c>
      <c r="CX724" s="2" t="n">
        <v>0</v>
      </c>
      <c r="CY724" s="2" t="n">
        <v>0</v>
      </c>
      <c r="CZ724" s="2" t="n">
        <v>0</v>
      </c>
      <c r="DA724" s="2" t="n">
        <v>0</v>
      </c>
      <c r="DB724" s="2" t="n">
        <v>0</v>
      </c>
      <c r="DC724" s="2" t="n">
        <v>0</v>
      </c>
      <c r="DD724" s="2" t="n">
        <v>0</v>
      </c>
      <c r="DE724" s="2" t="n">
        <v>0</v>
      </c>
      <c r="DF724" s="2" t="n">
        <v>0</v>
      </c>
      <c r="DG724" s="2" t="n">
        <v>0</v>
      </c>
      <c r="DH724" s="2" t="n">
        <v>0</v>
      </c>
      <c r="DI724" s="2" t="n">
        <v>0</v>
      </c>
      <c r="DJ724" s="2" t="n">
        <v>0</v>
      </c>
      <c r="DK724" s="2" t="n">
        <v>0</v>
      </c>
      <c r="DL724" s="2" t="n">
        <v>0</v>
      </c>
      <c r="DM724" s="2" t="n">
        <v>0</v>
      </c>
      <c r="DN724" s="2" t="n">
        <v>0</v>
      </c>
      <c r="DO724" s="2" t="n">
        <v>0</v>
      </c>
      <c r="DP724" s="2" t="n">
        <v>0</v>
      </c>
      <c r="DQ724" s="2" t="n">
        <v>0</v>
      </c>
      <c r="DR724" s="2" t="n">
        <v>0</v>
      </c>
      <c r="DS724" s="2" t="n">
        <v>0</v>
      </c>
      <c r="DT724" s="2" t="n">
        <v>0</v>
      </c>
      <c r="DU724" s="2" t="n">
        <v>0</v>
      </c>
      <c r="DV724" s="2" t="n">
        <v>9.43</v>
      </c>
      <c r="DW724" s="2" t="n">
        <v>9.43</v>
      </c>
      <c r="DX724" s="2" t="n">
        <v>0</v>
      </c>
      <c r="DY724" s="2" t="n">
        <v>33.96</v>
      </c>
      <c r="DZ724" s="2" t="n">
        <v>33.96</v>
      </c>
      <c r="EA724" s="2" t="n">
        <v>0</v>
      </c>
      <c r="EB724" s="2" t="n">
        <v>73.58</v>
      </c>
      <c r="EC724" s="2" t="n">
        <v>73.58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  <c r="ET724" s="2" t="n">
        <v>100</v>
      </c>
      <c r="EU724" s="2" t="n">
        <v>100</v>
      </c>
      <c r="EV724" s="2" t="n">
        <v>0</v>
      </c>
      <c r="EW724" s="2" t="n">
        <v>100</v>
      </c>
      <c r="EX724" s="2" t="n">
        <v>100</v>
      </c>
      <c r="EY724" s="2" t="n">
        <v>0</v>
      </c>
      <c r="EZ724" s="2" t="n">
        <v>100</v>
      </c>
      <c r="FA724" s="2" t="n">
        <v>100</v>
      </c>
      <c r="FB724" s="2" t="n">
        <v>0</v>
      </c>
      <c r="FC724" s="2" t="n">
        <v>100</v>
      </c>
      <c r="FD724" s="2" t="n">
        <v>100</v>
      </c>
      <c r="FE724" s="2" t="n">
        <v>0</v>
      </c>
      <c r="FF724" s="2" t="n">
        <v>100</v>
      </c>
      <c r="FG724" s="2" t="n">
        <v>100</v>
      </c>
      <c r="FH724" s="2" t="n">
        <v>0</v>
      </c>
      <c r="FI724" s="2" t="n">
        <v>100</v>
      </c>
      <c r="FJ724" s="2" t="n">
        <v>100</v>
      </c>
      <c r="FK724" s="2" t="n">
        <v>0</v>
      </c>
      <c r="FL724" s="2" t="n">
        <v>100</v>
      </c>
      <c r="FM724" s="2" t="n">
        <v>100</v>
      </c>
      <c r="FN724" s="2" t="n">
        <v>0</v>
      </c>
      <c r="FO724" s="2" t="n">
        <v>100</v>
      </c>
      <c r="FP724" s="2" t="n">
        <v>100</v>
      </c>
      <c r="FQ724" s="2" t="n">
        <v>0</v>
      </c>
    </row>
    <row r="725">
      <c r="A725" s="2" t="n">
        <v>4</v>
      </c>
      <c r="B725" s="2" t="inlineStr">
        <is>
          <t>31.03.03.01</t>
        </is>
      </c>
      <c r="C725" s="2" t="inlineStr">
        <is>
          <t>Calçada de concreto magro esp. 10cm + cimentado esp. 3cm</t>
        </is>
      </c>
      <c r="D725" s="2" t="inlineStr">
        <is>
          <t>24/11/2027</t>
        </is>
      </c>
      <c r="E725" s="2" t="inlineStr">
        <is>
          <t>18/02/2028</t>
        </is>
      </c>
      <c r="F725" s="2" t="n">
        <v>33120.43257333231</v>
      </c>
      <c r="G725" s="2" t="n">
        <v>0</v>
      </c>
      <c r="H725" s="2" t="n">
        <v>33120.43257333231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0</v>
      </c>
      <c r="CM725" s="2" t="n">
        <v>0</v>
      </c>
      <c r="CN725" s="2" t="n">
        <v>0</v>
      </c>
      <c r="CO725" s="2" t="n">
        <v>0</v>
      </c>
      <c r="CP725" s="2" t="n">
        <v>0</v>
      </c>
      <c r="CQ725" s="2" t="n">
        <v>0</v>
      </c>
      <c r="CR725" s="2" t="n">
        <v>0</v>
      </c>
      <c r="CS725" s="2" t="n">
        <v>0</v>
      </c>
      <c r="CT725" s="2" t="n">
        <v>0</v>
      </c>
      <c r="CU725" s="2" t="n">
        <v>0</v>
      </c>
      <c r="CV725" s="2" t="n">
        <v>0</v>
      </c>
      <c r="CW725" s="2" t="n">
        <v>0</v>
      </c>
      <c r="CX725" s="2" t="n">
        <v>0</v>
      </c>
      <c r="CY725" s="2" t="n">
        <v>0</v>
      </c>
      <c r="CZ725" s="2" t="n">
        <v>0</v>
      </c>
      <c r="DA725" s="2" t="n">
        <v>0</v>
      </c>
      <c r="DB725" s="2" t="n">
        <v>0</v>
      </c>
      <c r="DC725" s="2" t="n">
        <v>0</v>
      </c>
      <c r="DD725" s="2" t="n">
        <v>0</v>
      </c>
      <c r="DE725" s="2" t="n">
        <v>0</v>
      </c>
      <c r="DF725" s="2" t="n">
        <v>0</v>
      </c>
      <c r="DG725" s="2" t="n">
        <v>0</v>
      </c>
      <c r="DH725" s="2" t="n">
        <v>0</v>
      </c>
      <c r="DI725" s="2" t="n">
        <v>0</v>
      </c>
      <c r="DJ725" s="2" t="n">
        <v>0</v>
      </c>
      <c r="DK725" s="2" t="n">
        <v>0</v>
      </c>
      <c r="DL725" s="2" t="n">
        <v>0</v>
      </c>
      <c r="DM725" s="2" t="n">
        <v>0</v>
      </c>
      <c r="DN725" s="2" t="n">
        <v>0</v>
      </c>
      <c r="DO725" s="2" t="n">
        <v>0</v>
      </c>
      <c r="DP725" s="2" t="n">
        <v>0</v>
      </c>
      <c r="DQ725" s="2" t="n">
        <v>0</v>
      </c>
      <c r="DR725" s="2" t="n">
        <v>0</v>
      </c>
      <c r="DS725" s="2" t="n">
        <v>0</v>
      </c>
      <c r="DT725" s="2" t="n">
        <v>0</v>
      </c>
      <c r="DU725" s="2" t="n">
        <v>0</v>
      </c>
      <c r="DV725" s="2" t="n">
        <v>9.43</v>
      </c>
      <c r="DW725" s="2" t="n">
        <v>9.43</v>
      </c>
      <c r="DX725" s="2" t="n">
        <v>0</v>
      </c>
      <c r="DY725" s="2" t="n">
        <v>33.96</v>
      </c>
      <c r="DZ725" s="2" t="n">
        <v>33.96</v>
      </c>
      <c r="EA725" s="2" t="n">
        <v>0</v>
      </c>
      <c r="EB725" s="2" t="n">
        <v>73.58</v>
      </c>
      <c r="EC725" s="2" t="n">
        <v>73.58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  <c r="ET725" s="2" t="n">
        <v>100</v>
      </c>
      <c r="EU725" s="2" t="n">
        <v>100</v>
      </c>
      <c r="EV725" s="2" t="n">
        <v>0</v>
      </c>
      <c r="EW725" s="2" t="n">
        <v>100</v>
      </c>
      <c r="EX725" s="2" t="n">
        <v>100</v>
      </c>
      <c r="EY725" s="2" t="n">
        <v>0</v>
      </c>
      <c r="EZ725" s="2" t="n">
        <v>100</v>
      </c>
      <c r="FA725" s="2" t="n">
        <v>100</v>
      </c>
      <c r="FB725" s="2" t="n">
        <v>0</v>
      </c>
      <c r="FC725" s="2" t="n">
        <v>100</v>
      </c>
      <c r="FD725" s="2" t="n">
        <v>100</v>
      </c>
      <c r="FE725" s="2" t="n">
        <v>0</v>
      </c>
      <c r="FF725" s="2" t="n">
        <v>100</v>
      </c>
      <c r="FG725" s="2" t="n">
        <v>100</v>
      </c>
      <c r="FH725" s="2" t="n">
        <v>0</v>
      </c>
      <c r="FI725" s="2" t="n">
        <v>100</v>
      </c>
      <c r="FJ725" s="2" t="n">
        <v>100</v>
      </c>
      <c r="FK725" s="2" t="n">
        <v>0</v>
      </c>
      <c r="FL725" s="2" t="n">
        <v>100</v>
      </c>
      <c r="FM725" s="2" t="n">
        <v>100</v>
      </c>
      <c r="FN725" s="2" t="n">
        <v>0</v>
      </c>
      <c r="FO725" s="2" t="n">
        <v>100</v>
      </c>
      <c r="FP725" s="2" t="n">
        <v>100</v>
      </c>
      <c r="FQ725" s="2" t="n">
        <v>0</v>
      </c>
    </row>
    <row r="726">
      <c r="A726" s="2" t="n">
        <v>4</v>
      </c>
      <c r="B726" s="2" t="inlineStr">
        <is>
          <t>31.03.03.02</t>
        </is>
      </c>
      <c r="C726" s="2" t="inlineStr">
        <is>
          <t>Meio Fio</t>
        </is>
      </c>
      <c r="D726" s="2" t="inlineStr">
        <is>
          <t>24/11/2027</t>
        </is>
      </c>
      <c r="E726" s="2" t="inlineStr">
        <is>
          <t>18/02/2028</t>
        </is>
      </c>
      <c r="F726" s="2" t="n">
        <v>5777.595678077257</v>
      </c>
      <c r="G726" s="2" t="n">
        <v>0</v>
      </c>
      <c r="H726" s="2" t="n">
        <v>5777.595678077257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0</v>
      </c>
      <c r="CM726" s="2" t="n">
        <v>0</v>
      </c>
      <c r="CN726" s="2" t="n">
        <v>0</v>
      </c>
      <c r="CO726" s="2" t="n">
        <v>0</v>
      </c>
      <c r="CP726" s="2" t="n">
        <v>0</v>
      </c>
      <c r="CQ726" s="2" t="n">
        <v>0</v>
      </c>
      <c r="CR726" s="2" t="n">
        <v>0</v>
      </c>
      <c r="CS726" s="2" t="n">
        <v>0</v>
      </c>
      <c r="CT726" s="2" t="n">
        <v>0</v>
      </c>
      <c r="CU726" s="2" t="n">
        <v>0</v>
      </c>
      <c r="CV726" s="2" t="n">
        <v>0</v>
      </c>
      <c r="CW726" s="2" t="n">
        <v>0</v>
      </c>
      <c r="CX726" s="2" t="n">
        <v>0</v>
      </c>
      <c r="CY726" s="2" t="n">
        <v>0</v>
      </c>
      <c r="CZ726" s="2" t="n">
        <v>0</v>
      </c>
      <c r="DA726" s="2" t="n">
        <v>0</v>
      </c>
      <c r="DB726" s="2" t="n">
        <v>0</v>
      </c>
      <c r="DC726" s="2" t="n">
        <v>0</v>
      </c>
      <c r="DD726" s="2" t="n">
        <v>0</v>
      </c>
      <c r="DE726" s="2" t="n">
        <v>0</v>
      </c>
      <c r="DF726" s="2" t="n">
        <v>0</v>
      </c>
      <c r="DG726" s="2" t="n">
        <v>0</v>
      </c>
      <c r="DH726" s="2" t="n">
        <v>0</v>
      </c>
      <c r="DI726" s="2" t="n">
        <v>0</v>
      </c>
      <c r="DJ726" s="2" t="n">
        <v>0</v>
      </c>
      <c r="DK726" s="2" t="n">
        <v>0</v>
      </c>
      <c r="DL726" s="2" t="n">
        <v>0</v>
      </c>
      <c r="DM726" s="2" t="n">
        <v>0</v>
      </c>
      <c r="DN726" s="2" t="n">
        <v>0</v>
      </c>
      <c r="DO726" s="2" t="n">
        <v>0</v>
      </c>
      <c r="DP726" s="2" t="n">
        <v>0</v>
      </c>
      <c r="DQ726" s="2" t="n">
        <v>0</v>
      </c>
      <c r="DR726" s="2" t="n">
        <v>0</v>
      </c>
      <c r="DS726" s="2" t="n">
        <v>0</v>
      </c>
      <c r="DT726" s="2" t="n">
        <v>0</v>
      </c>
      <c r="DU726" s="2" t="n">
        <v>0</v>
      </c>
      <c r="DV726" s="2" t="n">
        <v>9.43</v>
      </c>
      <c r="DW726" s="2" t="n">
        <v>9.43</v>
      </c>
      <c r="DX726" s="2" t="n">
        <v>0</v>
      </c>
      <c r="DY726" s="2" t="n">
        <v>33.96</v>
      </c>
      <c r="DZ726" s="2" t="n">
        <v>33.96</v>
      </c>
      <c r="EA726" s="2" t="n">
        <v>0</v>
      </c>
      <c r="EB726" s="2" t="n">
        <v>73.58</v>
      </c>
      <c r="EC726" s="2" t="n">
        <v>73.58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  <c r="ET726" s="2" t="n">
        <v>100</v>
      </c>
      <c r="EU726" s="2" t="n">
        <v>100</v>
      </c>
      <c r="EV726" s="2" t="n">
        <v>0</v>
      </c>
      <c r="EW726" s="2" t="n">
        <v>100</v>
      </c>
      <c r="EX726" s="2" t="n">
        <v>100</v>
      </c>
      <c r="EY726" s="2" t="n">
        <v>0</v>
      </c>
      <c r="EZ726" s="2" t="n">
        <v>100</v>
      </c>
      <c r="FA726" s="2" t="n">
        <v>100</v>
      </c>
      <c r="FB726" s="2" t="n">
        <v>0</v>
      </c>
      <c r="FC726" s="2" t="n">
        <v>100</v>
      </c>
      <c r="FD726" s="2" t="n">
        <v>100</v>
      </c>
      <c r="FE726" s="2" t="n">
        <v>0</v>
      </c>
      <c r="FF726" s="2" t="n">
        <v>100</v>
      </c>
      <c r="FG726" s="2" t="n">
        <v>100</v>
      </c>
      <c r="FH726" s="2" t="n">
        <v>0</v>
      </c>
      <c r="FI726" s="2" t="n">
        <v>100</v>
      </c>
      <c r="FJ726" s="2" t="n">
        <v>100</v>
      </c>
      <c r="FK726" s="2" t="n">
        <v>0</v>
      </c>
      <c r="FL726" s="2" t="n">
        <v>100</v>
      </c>
      <c r="FM726" s="2" t="n">
        <v>100</v>
      </c>
      <c r="FN726" s="2" t="n">
        <v>0</v>
      </c>
      <c r="FO726" s="2" t="n">
        <v>100</v>
      </c>
      <c r="FP726" s="2" t="n">
        <v>100</v>
      </c>
      <c r="FQ726" s="2" t="n">
        <v>0</v>
      </c>
    </row>
    <row r="727">
      <c r="A727" s="2" t="n">
        <v>4</v>
      </c>
      <c r="B727" s="2" t="inlineStr">
        <is>
          <t>31.03.03.03</t>
        </is>
      </c>
      <c r="C727" s="2" t="inlineStr">
        <is>
          <t>Rebaixo no meio-fio</t>
        </is>
      </c>
      <c r="D727" s="2" t="inlineStr">
        <is>
          <t>24/11/2027</t>
        </is>
      </c>
      <c r="E727" s="2" t="inlineStr">
        <is>
          <t>18/02/2028</t>
        </is>
      </c>
      <c r="F727" s="2" t="n">
        <v>371.497761716619</v>
      </c>
      <c r="G727" s="2" t="n">
        <v>0</v>
      </c>
      <c r="H727" s="2" t="n">
        <v>371.497761716619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0</v>
      </c>
      <c r="CM727" s="2" t="n">
        <v>0</v>
      </c>
      <c r="CN727" s="2" t="n">
        <v>0</v>
      </c>
      <c r="CO727" s="2" t="n">
        <v>0</v>
      </c>
      <c r="CP727" s="2" t="n">
        <v>0</v>
      </c>
      <c r="CQ727" s="2" t="n">
        <v>0</v>
      </c>
      <c r="CR727" s="2" t="n">
        <v>0</v>
      </c>
      <c r="CS727" s="2" t="n">
        <v>0</v>
      </c>
      <c r="CT727" s="2" t="n">
        <v>0</v>
      </c>
      <c r="CU727" s="2" t="n">
        <v>0</v>
      </c>
      <c r="CV727" s="2" t="n">
        <v>0</v>
      </c>
      <c r="CW727" s="2" t="n">
        <v>0</v>
      </c>
      <c r="CX727" s="2" t="n">
        <v>0</v>
      </c>
      <c r="CY727" s="2" t="n">
        <v>0</v>
      </c>
      <c r="CZ727" s="2" t="n">
        <v>0</v>
      </c>
      <c r="DA727" s="2" t="n">
        <v>0</v>
      </c>
      <c r="DB727" s="2" t="n">
        <v>0</v>
      </c>
      <c r="DC727" s="2" t="n">
        <v>0</v>
      </c>
      <c r="DD727" s="2" t="n">
        <v>0</v>
      </c>
      <c r="DE727" s="2" t="n">
        <v>0</v>
      </c>
      <c r="DF727" s="2" t="n">
        <v>0</v>
      </c>
      <c r="DG727" s="2" t="n">
        <v>0</v>
      </c>
      <c r="DH727" s="2" t="n">
        <v>0</v>
      </c>
      <c r="DI727" s="2" t="n">
        <v>0</v>
      </c>
      <c r="DJ727" s="2" t="n">
        <v>0</v>
      </c>
      <c r="DK727" s="2" t="n">
        <v>0</v>
      </c>
      <c r="DL727" s="2" t="n">
        <v>0</v>
      </c>
      <c r="DM727" s="2" t="n">
        <v>0</v>
      </c>
      <c r="DN727" s="2" t="n">
        <v>0</v>
      </c>
      <c r="DO727" s="2" t="n">
        <v>0</v>
      </c>
      <c r="DP727" s="2" t="n">
        <v>0</v>
      </c>
      <c r="DQ727" s="2" t="n">
        <v>0</v>
      </c>
      <c r="DR727" s="2" t="n">
        <v>0</v>
      </c>
      <c r="DS727" s="2" t="n">
        <v>0</v>
      </c>
      <c r="DT727" s="2" t="n">
        <v>0</v>
      </c>
      <c r="DU727" s="2" t="n">
        <v>0</v>
      </c>
      <c r="DV727" s="2" t="n">
        <v>9.43</v>
      </c>
      <c r="DW727" s="2" t="n">
        <v>9.43</v>
      </c>
      <c r="DX727" s="2" t="n">
        <v>0</v>
      </c>
      <c r="DY727" s="2" t="n">
        <v>33.96</v>
      </c>
      <c r="DZ727" s="2" t="n">
        <v>33.96</v>
      </c>
      <c r="EA727" s="2" t="n">
        <v>0</v>
      </c>
      <c r="EB727" s="2" t="n">
        <v>73.58</v>
      </c>
      <c r="EC727" s="2" t="n">
        <v>73.58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  <c r="ET727" s="2" t="n">
        <v>100</v>
      </c>
      <c r="EU727" s="2" t="n">
        <v>100</v>
      </c>
      <c r="EV727" s="2" t="n">
        <v>0</v>
      </c>
      <c r="EW727" s="2" t="n">
        <v>100</v>
      </c>
      <c r="EX727" s="2" t="n">
        <v>100</v>
      </c>
      <c r="EY727" s="2" t="n">
        <v>0</v>
      </c>
      <c r="EZ727" s="2" t="n">
        <v>100</v>
      </c>
      <c r="FA727" s="2" t="n">
        <v>100</v>
      </c>
      <c r="FB727" s="2" t="n">
        <v>0</v>
      </c>
      <c r="FC727" s="2" t="n">
        <v>100</v>
      </c>
      <c r="FD727" s="2" t="n">
        <v>100</v>
      </c>
      <c r="FE727" s="2" t="n">
        <v>0</v>
      </c>
      <c r="FF727" s="2" t="n">
        <v>100</v>
      </c>
      <c r="FG727" s="2" t="n">
        <v>100</v>
      </c>
      <c r="FH727" s="2" t="n">
        <v>0</v>
      </c>
      <c r="FI727" s="2" t="n">
        <v>100</v>
      </c>
      <c r="FJ727" s="2" t="n">
        <v>100</v>
      </c>
      <c r="FK727" s="2" t="n">
        <v>0</v>
      </c>
      <c r="FL727" s="2" t="n">
        <v>100</v>
      </c>
      <c r="FM727" s="2" t="n">
        <v>100</v>
      </c>
      <c r="FN727" s="2" t="n">
        <v>0</v>
      </c>
      <c r="FO727" s="2" t="n">
        <v>100</v>
      </c>
      <c r="FP727" s="2" t="n">
        <v>100</v>
      </c>
      <c r="FQ727" s="2" t="n">
        <v>0</v>
      </c>
    </row>
    <row r="728">
      <c r="A728" s="2" t="n">
        <v>4</v>
      </c>
      <c r="B728" s="2" t="inlineStr">
        <is>
          <t>31.03.03.04</t>
        </is>
      </c>
      <c r="C728" s="2" t="inlineStr">
        <is>
          <t>Sarjeta</t>
        </is>
      </c>
      <c r="D728" s="2" t="inlineStr">
        <is>
          <t>24/11/2027</t>
        </is>
      </c>
      <c r="E728" s="2" t="inlineStr">
        <is>
          <t>18/02/2028</t>
        </is>
      </c>
      <c r="F728" s="2" t="n">
        <v>4982.01214129442</v>
      </c>
      <c r="G728" s="2" t="n">
        <v>0</v>
      </c>
      <c r="H728" s="2" t="n">
        <v>4982.01214129442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0</v>
      </c>
      <c r="CM728" s="2" t="n">
        <v>0</v>
      </c>
      <c r="CN728" s="2" t="n">
        <v>0</v>
      </c>
      <c r="CO728" s="2" t="n">
        <v>0</v>
      </c>
      <c r="CP728" s="2" t="n">
        <v>0</v>
      </c>
      <c r="CQ728" s="2" t="n">
        <v>0</v>
      </c>
      <c r="CR728" s="2" t="n">
        <v>0</v>
      </c>
      <c r="CS728" s="2" t="n">
        <v>0</v>
      </c>
      <c r="CT728" s="2" t="n">
        <v>0</v>
      </c>
      <c r="CU728" s="2" t="n">
        <v>0</v>
      </c>
      <c r="CV728" s="2" t="n">
        <v>0</v>
      </c>
      <c r="CW728" s="2" t="n">
        <v>0</v>
      </c>
      <c r="CX728" s="2" t="n">
        <v>0</v>
      </c>
      <c r="CY728" s="2" t="n">
        <v>0</v>
      </c>
      <c r="CZ728" s="2" t="n">
        <v>0</v>
      </c>
      <c r="DA728" s="2" t="n">
        <v>0</v>
      </c>
      <c r="DB728" s="2" t="n">
        <v>0</v>
      </c>
      <c r="DC728" s="2" t="n">
        <v>0</v>
      </c>
      <c r="DD728" s="2" t="n">
        <v>0</v>
      </c>
      <c r="DE728" s="2" t="n">
        <v>0</v>
      </c>
      <c r="DF728" s="2" t="n">
        <v>0</v>
      </c>
      <c r="DG728" s="2" t="n">
        <v>0</v>
      </c>
      <c r="DH728" s="2" t="n">
        <v>0</v>
      </c>
      <c r="DI728" s="2" t="n">
        <v>0</v>
      </c>
      <c r="DJ728" s="2" t="n">
        <v>0</v>
      </c>
      <c r="DK728" s="2" t="n">
        <v>0</v>
      </c>
      <c r="DL728" s="2" t="n">
        <v>0</v>
      </c>
      <c r="DM728" s="2" t="n">
        <v>0</v>
      </c>
      <c r="DN728" s="2" t="n">
        <v>0</v>
      </c>
      <c r="DO728" s="2" t="n">
        <v>0</v>
      </c>
      <c r="DP728" s="2" t="n">
        <v>0</v>
      </c>
      <c r="DQ728" s="2" t="n">
        <v>0</v>
      </c>
      <c r="DR728" s="2" t="n">
        <v>0</v>
      </c>
      <c r="DS728" s="2" t="n">
        <v>0</v>
      </c>
      <c r="DT728" s="2" t="n">
        <v>0</v>
      </c>
      <c r="DU728" s="2" t="n">
        <v>0</v>
      </c>
      <c r="DV728" s="2" t="n">
        <v>9.43</v>
      </c>
      <c r="DW728" s="2" t="n">
        <v>9.43</v>
      </c>
      <c r="DX728" s="2" t="n">
        <v>0</v>
      </c>
      <c r="DY728" s="2" t="n">
        <v>33.96</v>
      </c>
      <c r="DZ728" s="2" t="n">
        <v>33.96</v>
      </c>
      <c r="EA728" s="2" t="n">
        <v>0</v>
      </c>
      <c r="EB728" s="2" t="n">
        <v>73.58</v>
      </c>
      <c r="EC728" s="2" t="n">
        <v>73.58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  <c r="ET728" s="2" t="n">
        <v>100</v>
      </c>
      <c r="EU728" s="2" t="n">
        <v>100</v>
      </c>
      <c r="EV728" s="2" t="n">
        <v>0</v>
      </c>
      <c r="EW728" s="2" t="n">
        <v>100</v>
      </c>
      <c r="EX728" s="2" t="n">
        <v>100</v>
      </c>
      <c r="EY728" s="2" t="n">
        <v>0</v>
      </c>
      <c r="EZ728" s="2" t="n">
        <v>100</v>
      </c>
      <c r="FA728" s="2" t="n">
        <v>100</v>
      </c>
      <c r="FB728" s="2" t="n">
        <v>0</v>
      </c>
      <c r="FC728" s="2" t="n">
        <v>100</v>
      </c>
      <c r="FD728" s="2" t="n">
        <v>100</v>
      </c>
      <c r="FE728" s="2" t="n">
        <v>0</v>
      </c>
      <c r="FF728" s="2" t="n">
        <v>100</v>
      </c>
      <c r="FG728" s="2" t="n">
        <v>100</v>
      </c>
      <c r="FH728" s="2" t="n">
        <v>0</v>
      </c>
      <c r="FI728" s="2" t="n">
        <v>100</v>
      </c>
      <c r="FJ728" s="2" t="n">
        <v>100</v>
      </c>
      <c r="FK728" s="2" t="n">
        <v>0</v>
      </c>
      <c r="FL728" s="2" t="n">
        <v>100</v>
      </c>
      <c r="FM728" s="2" t="n">
        <v>100</v>
      </c>
      <c r="FN728" s="2" t="n">
        <v>0</v>
      </c>
      <c r="FO728" s="2" t="n">
        <v>100</v>
      </c>
      <c r="FP728" s="2" t="n">
        <v>100</v>
      </c>
      <c r="FQ728" s="2" t="n">
        <v>0</v>
      </c>
    </row>
    <row r="729">
      <c r="A729" s="2" t="n">
        <v>4</v>
      </c>
      <c r="B729" s="2" t="inlineStr">
        <is>
          <t>31.03.03.05</t>
        </is>
      </c>
      <c r="C729" s="2" t="inlineStr">
        <is>
          <t>Piso de granito santa rosa serrado. Paginação conforme detalhamento. Amostra a ser aprovada pela GPA&amp;A.</t>
        </is>
      </c>
      <c r="D729" s="2" t="inlineStr">
        <is>
          <t>24/11/2027</t>
        </is>
      </c>
      <c r="E729" s="2" t="inlineStr">
        <is>
          <t>18/02/2028</t>
        </is>
      </c>
      <c r="F729" s="2" t="n">
        <v>92292.00813875819</v>
      </c>
      <c r="G729" s="2" t="n">
        <v>0</v>
      </c>
      <c r="H729" s="2" t="n">
        <v>92292.00813875819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0</v>
      </c>
      <c r="CM729" s="2" t="n">
        <v>0</v>
      </c>
      <c r="CN729" s="2" t="n">
        <v>0</v>
      </c>
      <c r="CO729" s="2" t="n">
        <v>0</v>
      </c>
      <c r="CP729" s="2" t="n">
        <v>0</v>
      </c>
      <c r="CQ729" s="2" t="n">
        <v>0</v>
      </c>
      <c r="CR729" s="2" t="n">
        <v>0</v>
      </c>
      <c r="CS729" s="2" t="n">
        <v>0</v>
      </c>
      <c r="CT729" s="2" t="n">
        <v>0</v>
      </c>
      <c r="CU729" s="2" t="n">
        <v>0</v>
      </c>
      <c r="CV729" s="2" t="n">
        <v>0</v>
      </c>
      <c r="CW729" s="2" t="n">
        <v>0</v>
      </c>
      <c r="CX729" s="2" t="n">
        <v>0</v>
      </c>
      <c r="CY729" s="2" t="n">
        <v>0</v>
      </c>
      <c r="CZ729" s="2" t="n">
        <v>0</v>
      </c>
      <c r="DA729" s="2" t="n">
        <v>0</v>
      </c>
      <c r="DB729" s="2" t="n">
        <v>0</v>
      </c>
      <c r="DC729" s="2" t="n">
        <v>0</v>
      </c>
      <c r="DD729" s="2" t="n">
        <v>0</v>
      </c>
      <c r="DE729" s="2" t="n">
        <v>0</v>
      </c>
      <c r="DF729" s="2" t="n">
        <v>0</v>
      </c>
      <c r="DG729" s="2" t="n">
        <v>0</v>
      </c>
      <c r="DH729" s="2" t="n">
        <v>0</v>
      </c>
      <c r="DI729" s="2" t="n">
        <v>0</v>
      </c>
      <c r="DJ729" s="2" t="n">
        <v>0</v>
      </c>
      <c r="DK729" s="2" t="n">
        <v>0</v>
      </c>
      <c r="DL729" s="2" t="n">
        <v>0</v>
      </c>
      <c r="DM729" s="2" t="n">
        <v>0</v>
      </c>
      <c r="DN729" s="2" t="n">
        <v>0</v>
      </c>
      <c r="DO729" s="2" t="n">
        <v>0</v>
      </c>
      <c r="DP729" s="2" t="n">
        <v>0</v>
      </c>
      <c r="DQ729" s="2" t="n">
        <v>0</v>
      </c>
      <c r="DR729" s="2" t="n">
        <v>0</v>
      </c>
      <c r="DS729" s="2" t="n">
        <v>0</v>
      </c>
      <c r="DT729" s="2" t="n">
        <v>0</v>
      </c>
      <c r="DU729" s="2" t="n">
        <v>0</v>
      </c>
      <c r="DV729" s="2" t="n">
        <v>9.43</v>
      </c>
      <c r="DW729" s="2" t="n">
        <v>9.43</v>
      </c>
      <c r="DX729" s="2" t="n">
        <v>0</v>
      </c>
      <c r="DY729" s="2" t="n">
        <v>33.96</v>
      </c>
      <c r="DZ729" s="2" t="n">
        <v>33.96</v>
      </c>
      <c r="EA729" s="2" t="n">
        <v>0</v>
      </c>
      <c r="EB729" s="2" t="n">
        <v>73.58</v>
      </c>
      <c r="EC729" s="2" t="n">
        <v>73.58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  <c r="ET729" s="2" t="n">
        <v>100</v>
      </c>
      <c r="EU729" s="2" t="n">
        <v>100</v>
      </c>
      <c r="EV729" s="2" t="n">
        <v>0</v>
      </c>
      <c r="EW729" s="2" t="n">
        <v>100</v>
      </c>
      <c r="EX729" s="2" t="n">
        <v>100</v>
      </c>
      <c r="EY729" s="2" t="n">
        <v>0</v>
      </c>
      <c r="EZ729" s="2" t="n">
        <v>100</v>
      </c>
      <c r="FA729" s="2" t="n">
        <v>100</v>
      </c>
      <c r="FB729" s="2" t="n">
        <v>0</v>
      </c>
      <c r="FC729" s="2" t="n">
        <v>100</v>
      </c>
      <c r="FD729" s="2" t="n">
        <v>100</v>
      </c>
      <c r="FE729" s="2" t="n">
        <v>0</v>
      </c>
      <c r="FF729" s="2" t="n">
        <v>100</v>
      </c>
      <c r="FG729" s="2" t="n">
        <v>100</v>
      </c>
      <c r="FH729" s="2" t="n">
        <v>0</v>
      </c>
      <c r="FI729" s="2" t="n">
        <v>100</v>
      </c>
      <c r="FJ729" s="2" t="n">
        <v>100</v>
      </c>
      <c r="FK729" s="2" t="n">
        <v>0</v>
      </c>
      <c r="FL729" s="2" t="n">
        <v>100</v>
      </c>
      <c r="FM729" s="2" t="n">
        <v>100</v>
      </c>
      <c r="FN729" s="2" t="n">
        <v>0</v>
      </c>
      <c r="FO729" s="2" t="n">
        <v>100</v>
      </c>
      <c r="FP729" s="2" t="n">
        <v>100</v>
      </c>
      <c r="FQ729" s="2" t="n">
        <v>0</v>
      </c>
    </row>
    <row r="730">
      <c r="A730" s="2" t="n">
        <v>4</v>
      </c>
      <c r="B730" s="2" t="inlineStr">
        <is>
          <t>31.03.03.06</t>
        </is>
      </c>
      <c r="C730" s="2" t="inlineStr">
        <is>
          <t>Piso tatil para Portadores de necessidades especiais</t>
        </is>
      </c>
      <c r="D730" s="2" t="inlineStr">
        <is>
          <t>24/11/2027</t>
        </is>
      </c>
      <c r="E730" s="2" t="inlineStr">
        <is>
          <t>18/02/2028</t>
        </is>
      </c>
      <c r="F730" s="2" t="n">
        <v>5202.782214126696</v>
      </c>
      <c r="G730" s="2" t="n">
        <v>0</v>
      </c>
      <c r="H730" s="2" t="n">
        <v>5202.782214126696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0</v>
      </c>
      <c r="CM730" s="2" t="n">
        <v>0</v>
      </c>
      <c r="CN730" s="2" t="n">
        <v>0</v>
      </c>
      <c r="CO730" s="2" t="n">
        <v>0</v>
      </c>
      <c r="CP730" s="2" t="n">
        <v>0</v>
      </c>
      <c r="CQ730" s="2" t="n">
        <v>0</v>
      </c>
      <c r="CR730" s="2" t="n">
        <v>0</v>
      </c>
      <c r="CS730" s="2" t="n">
        <v>0</v>
      </c>
      <c r="CT730" s="2" t="n">
        <v>0</v>
      </c>
      <c r="CU730" s="2" t="n">
        <v>0</v>
      </c>
      <c r="CV730" s="2" t="n">
        <v>0</v>
      </c>
      <c r="CW730" s="2" t="n">
        <v>0</v>
      </c>
      <c r="CX730" s="2" t="n">
        <v>0</v>
      </c>
      <c r="CY730" s="2" t="n">
        <v>0</v>
      </c>
      <c r="CZ730" s="2" t="n">
        <v>0</v>
      </c>
      <c r="DA730" s="2" t="n">
        <v>0</v>
      </c>
      <c r="DB730" s="2" t="n">
        <v>0</v>
      </c>
      <c r="DC730" s="2" t="n">
        <v>0</v>
      </c>
      <c r="DD730" s="2" t="n">
        <v>0</v>
      </c>
      <c r="DE730" s="2" t="n">
        <v>0</v>
      </c>
      <c r="DF730" s="2" t="n">
        <v>0</v>
      </c>
      <c r="DG730" s="2" t="n">
        <v>0</v>
      </c>
      <c r="DH730" s="2" t="n">
        <v>0</v>
      </c>
      <c r="DI730" s="2" t="n">
        <v>0</v>
      </c>
      <c r="DJ730" s="2" t="n">
        <v>0</v>
      </c>
      <c r="DK730" s="2" t="n">
        <v>0</v>
      </c>
      <c r="DL730" s="2" t="n">
        <v>0</v>
      </c>
      <c r="DM730" s="2" t="n">
        <v>0</v>
      </c>
      <c r="DN730" s="2" t="n">
        <v>0</v>
      </c>
      <c r="DO730" s="2" t="n">
        <v>0</v>
      </c>
      <c r="DP730" s="2" t="n">
        <v>0</v>
      </c>
      <c r="DQ730" s="2" t="n">
        <v>0</v>
      </c>
      <c r="DR730" s="2" t="n">
        <v>0</v>
      </c>
      <c r="DS730" s="2" t="n">
        <v>0</v>
      </c>
      <c r="DT730" s="2" t="n">
        <v>0</v>
      </c>
      <c r="DU730" s="2" t="n">
        <v>0</v>
      </c>
      <c r="DV730" s="2" t="n">
        <v>9.43</v>
      </c>
      <c r="DW730" s="2" t="n">
        <v>9.43</v>
      </c>
      <c r="DX730" s="2" t="n">
        <v>0</v>
      </c>
      <c r="DY730" s="2" t="n">
        <v>33.96</v>
      </c>
      <c r="DZ730" s="2" t="n">
        <v>33.96</v>
      </c>
      <c r="EA730" s="2" t="n">
        <v>0</v>
      </c>
      <c r="EB730" s="2" t="n">
        <v>73.58</v>
      </c>
      <c r="EC730" s="2" t="n">
        <v>73.58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  <c r="ET730" s="2" t="n">
        <v>100</v>
      </c>
      <c r="EU730" s="2" t="n">
        <v>100</v>
      </c>
      <c r="EV730" s="2" t="n">
        <v>0</v>
      </c>
      <c r="EW730" s="2" t="n">
        <v>100</v>
      </c>
      <c r="EX730" s="2" t="n">
        <v>100</v>
      </c>
      <c r="EY730" s="2" t="n">
        <v>0</v>
      </c>
      <c r="EZ730" s="2" t="n">
        <v>100</v>
      </c>
      <c r="FA730" s="2" t="n">
        <v>100</v>
      </c>
      <c r="FB730" s="2" t="n">
        <v>0</v>
      </c>
      <c r="FC730" s="2" t="n">
        <v>100</v>
      </c>
      <c r="FD730" s="2" t="n">
        <v>100</v>
      </c>
      <c r="FE730" s="2" t="n">
        <v>0</v>
      </c>
      <c r="FF730" s="2" t="n">
        <v>100</v>
      </c>
      <c r="FG730" s="2" t="n">
        <v>100</v>
      </c>
      <c r="FH730" s="2" t="n">
        <v>0</v>
      </c>
      <c r="FI730" s="2" t="n">
        <v>100</v>
      </c>
      <c r="FJ730" s="2" t="n">
        <v>100</v>
      </c>
      <c r="FK730" s="2" t="n">
        <v>0</v>
      </c>
      <c r="FL730" s="2" t="n">
        <v>100</v>
      </c>
      <c r="FM730" s="2" t="n">
        <v>100</v>
      </c>
      <c r="FN730" s="2" t="n">
        <v>0</v>
      </c>
      <c r="FO730" s="2" t="n">
        <v>100</v>
      </c>
      <c r="FP730" s="2" t="n">
        <v>100</v>
      </c>
      <c r="FQ730" s="2" t="n">
        <v>0</v>
      </c>
    </row>
    <row r="731">
      <c r="A731" s="2" t="n">
        <v>2</v>
      </c>
      <c r="B731" s="2" t="inlineStr">
        <is>
          <t>31.04</t>
        </is>
      </c>
      <c r="C731" s="2" t="inlineStr">
        <is>
          <t>Rodapés externos</t>
        </is>
      </c>
      <c r="D731" s="2" t="inlineStr">
        <is>
          <t>24/11/2027</t>
        </is>
      </c>
      <c r="E731" s="2" t="inlineStr">
        <is>
          <t>18/02/2028</t>
        </is>
      </c>
      <c r="F731" s="2" t="n">
        <v>15253.212</v>
      </c>
      <c r="G731" s="2" t="n">
        <v>0</v>
      </c>
      <c r="H731" s="2" t="n">
        <v>15253.212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0</v>
      </c>
      <c r="CM731" s="2" t="n">
        <v>0</v>
      </c>
      <c r="CN731" s="2" t="n">
        <v>0</v>
      </c>
      <c r="CO731" s="2" t="n">
        <v>0</v>
      </c>
      <c r="CP731" s="2" t="n">
        <v>0</v>
      </c>
      <c r="CQ731" s="2" t="n">
        <v>0</v>
      </c>
      <c r="CR731" s="2" t="n">
        <v>0</v>
      </c>
      <c r="CS731" s="2" t="n">
        <v>0</v>
      </c>
      <c r="CT731" s="2" t="n">
        <v>0</v>
      </c>
      <c r="CU731" s="2" t="n">
        <v>0</v>
      </c>
      <c r="CV731" s="2" t="n">
        <v>0</v>
      </c>
      <c r="CW731" s="2" t="n">
        <v>0</v>
      </c>
      <c r="CX731" s="2" t="n">
        <v>0</v>
      </c>
      <c r="CY731" s="2" t="n">
        <v>0</v>
      </c>
      <c r="CZ731" s="2" t="n">
        <v>0</v>
      </c>
      <c r="DA731" s="2" t="n">
        <v>0</v>
      </c>
      <c r="DB731" s="2" t="n">
        <v>0</v>
      </c>
      <c r="DC731" s="2" t="n">
        <v>0</v>
      </c>
      <c r="DD731" s="2" t="n">
        <v>0</v>
      </c>
      <c r="DE731" s="2" t="n">
        <v>0</v>
      </c>
      <c r="DF731" s="2" t="n">
        <v>0</v>
      </c>
      <c r="DG731" s="2" t="n">
        <v>0</v>
      </c>
      <c r="DH731" s="2" t="n">
        <v>0</v>
      </c>
      <c r="DI731" s="2" t="n">
        <v>0</v>
      </c>
      <c r="DJ731" s="2" t="n">
        <v>0</v>
      </c>
      <c r="DK731" s="2" t="n">
        <v>0</v>
      </c>
      <c r="DL731" s="2" t="n">
        <v>0</v>
      </c>
      <c r="DM731" s="2" t="n">
        <v>0</v>
      </c>
      <c r="DN731" s="2" t="n">
        <v>0</v>
      </c>
      <c r="DO731" s="2" t="n">
        <v>0</v>
      </c>
      <c r="DP731" s="2" t="n">
        <v>0</v>
      </c>
      <c r="DQ731" s="2" t="n">
        <v>0</v>
      </c>
      <c r="DR731" s="2" t="n">
        <v>0</v>
      </c>
      <c r="DS731" s="2" t="n">
        <v>0</v>
      </c>
      <c r="DT731" s="2" t="n">
        <v>0</v>
      </c>
      <c r="DU731" s="2" t="n">
        <v>0</v>
      </c>
      <c r="DV731" s="2" t="n">
        <v>9.43</v>
      </c>
      <c r="DW731" s="2" t="n">
        <v>9.43</v>
      </c>
      <c r="DX731" s="2" t="n">
        <v>0</v>
      </c>
      <c r="DY731" s="2" t="n">
        <v>33.96</v>
      </c>
      <c r="DZ731" s="2" t="n">
        <v>33.96</v>
      </c>
      <c r="EA731" s="2" t="n">
        <v>0</v>
      </c>
      <c r="EB731" s="2" t="n">
        <v>73.58</v>
      </c>
      <c r="EC731" s="2" t="n">
        <v>73.58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  <c r="ET731" s="2" t="n">
        <v>100</v>
      </c>
      <c r="EU731" s="2" t="n">
        <v>100</v>
      </c>
      <c r="EV731" s="2" t="n">
        <v>0</v>
      </c>
      <c r="EW731" s="2" t="n">
        <v>100</v>
      </c>
      <c r="EX731" s="2" t="n">
        <v>100</v>
      </c>
      <c r="EY731" s="2" t="n">
        <v>0</v>
      </c>
      <c r="EZ731" s="2" t="n">
        <v>100</v>
      </c>
      <c r="FA731" s="2" t="n">
        <v>100</v>
      </c>
      <c r="FB731" s="2" t="n">
        <v>0</v>
      </c>
      <c r="FC731" s="2" t="n">
        <v>100</v>
      </c>
      <c r="FD731" s="2" t="n">
        <v>100</v>
      </c>
      <c r="FE731" s="2" t="n">
        <v>0</v>
      </c>
      <c r="FF731" s="2" t="n">
        <v>100</v>
      </c>
      <c r="FG731" s="2" t="n">
        <v>100</v>
      </c>
      <c r="FH731" s="2" t="n">
        <v>0</v>
      </c>
      <c r="FI731" s="2" t="n">
        <v>100</v>
      </c>
      <c r="FJ731" s="2" t="n">
        <v>100</v>
      </c>
      <c r="FK731" s="2" t="n">
        <v>0</v>
      </c>
      <c r="FL731" s="2" t="n">
        <v>100</v>
      </c>
      <c r="FM731" s="2" t="n">
        <v>100</v>
      </c>
      <c r="FN731" s="2" t="n">
        <v>0</v>
      </c>
      <c r="FO731" s="2" t="n">
        <v>100</v>
      </c>
      <c r="FP731" s="2" t="n">
        <v>100</v>
      </c>
      <c r="FQ731" s="2" t="n">
        <v>0</v>
      </c>
    </row>
    <row r="732">
      <c r="A732" s="2" t="n">
        <v>3</v>
      </c>
      <c r="B732" s="2" t="inlineStr">
        <is>
          <t>31.04.01</t>
        </is>
      </c>
      <c r="C732" s="2" t="inlineStr">
        <is>
          <t>Metálicos</t>
        </is>
      </c>
      <c r="D732" s="2" t="inlineStr">
        <is>
          <t>24/11/2027</t>
        </is>
      </c>
      <c r="E732" s="2" t="inlineStr">
        <is>
          <t>18/02/2028</t>
        </is>
      </c>
      <c r="F732" s="2" t="n">
        <v>15253.212</v>
      </c>
      <c r="G732" s="2" t="n">
        <v>0</v>
      </c>
      <c r="H732" s="2" t="n">
        <v>15253.212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0</v>
      </c>
      <c r="CM732" s="2" t="n">
        <v>0</v>
      </c>
      <c r="CN732" s="2" t="n">
        <v>0</v>
      </c>
      <c r="CO732" s="2" t="n">
        <v>0</v>
      </c>
      <c r="CP732" s="2" t="n">
        <v>0</v>
      </c>
      <c r="CQ732" s="2" t="n">
        <v>0</v>
      </c>
      <c r="CR732" s="2" t="n">
        <v>0</v>
      </c>
      <c r="CS732" s="2" t="n">
        <v>0</v>
      </c>
      <c r="CT732" s="2" t="n">
        <v>0</v>
      </c>
      <c r="CU732" s="2" t="n">
        <v>0</v>
      </c>
      <c r="CV732" s="2" t="n">
        <v>0</v>
      </c>
      <c r="CW732" s="2" t="n">
        <v>0</v>
      </c>
      <c r="CX732" s="2" t="n">
        <v>0</v>
      </c>
      <c r="CY732" s="2" t="n">
        <v>0</v>
      </c>
      <c r="CZ732" s="2" t="n">
        <v>0</v>
      </c>
      <c r="DA732" s="2" t="n">
        <v>0</v>
      </c>
      <c r="DB732" s="2" t="n">
        <v>0</v>
      </c>
      <c r="DC732" s="2" t="n">
        <v>0</v>
      </c>
      <c r="DD732" s="2" t="n">
        <v>0</v>
      </c>
      <c r="DE732" s="2" t="n">
        <v>0</v>
      </c>
      <c r="DF732" s="2" t="n">
        <v>0</v>
      </c>
      <c r="DG732" s="2" t="n">
        <v>0</v>
      </c>
      <c r="DH732" s="2" t="n">
        <v>0</v>
      </c>
      <c r="DI732" s="2" t="n">
        <v>0</v>
      </c>
      <c r="DJ732" s="2" t="n">
        <v>0</v>
      </c>
      <c r="DK732" s="2" t="n">
        <v>0</v>
      </c>
      <c r="DL732" s="2" t="n">
        <v>0</v>
      </c>
      <c r="DM732" s="2" t="n">
        <v>0</v>
      </c>
      <c r="DN732" s="2" t="n">
        <v>0</v>
      </c>
      <c r="DO732" s="2" t="n">
        <v>0</v>
      </c>
      <c r="DP732" s="2" t="n">
        <v>0</v>
      </c>
      <c r="DQ732" s="2" t="n">
        <v>0</v>
      </c>
      <c r="DR732" s="2" t="n">
        <v>0</v>
      </c>
      <c r="DS732" s="2" t="n">
        <v>0</v>
      </c>
      <c r="DT732" s="2" t="n">
        <v>0</v>
      </c>
      <c r="DU732" s="2" t="n">
        <v>0</v>
      </c>
      <c r="DV732" s="2" t="n">
        <v>9.43</v>
      </c>
      <c r="DW732" s="2" t="n">
        <v>9.43</v>
      </c>
      <c r="DX732" s="2" t="n">
        <v>0</v>
      </c>
      <c r="DY732" s="2" t="n">
        <v>33.96</v>
      </c>
      <c r="DZ732" s="2" t="n">
        <v>33.96</v>
      </c>
      <c r="EA732" s="2" t="n">
        <v>0</v>
      </c>
      <c r="EB732" s="2" t="n">
        <v>73.58</v>
      </c>
      <c r="EC732" s="2" t="n">
        <v>73.58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  <c r="ET732" s="2" t="n">
        <v>100</v>
      </c>
      <c r="EU732" s="2" t="n">
        <v>100</v>
      </c>
      <c r="EV732" s="2" t="n">
        <v>0</v>
      </c>
      <c r="EW732" s="2" t="n">
        <v>100</v>
      </c>
      <c r="EX732" s="2" t="n">
        <v>100</v>
      </c>
      <c r="EY732" s="2" t="n">
        <v>0</v>
      </c>
      <c r="EZ732" s="2" t="n">
        <v>100</v>
      </c>
      <c r="FA732" s="2" t="n">
        <v>100</v>
      </c>
      <c r="FB732" s="2" t="n">
        <v>0</v>
      </c>
      <c r="FC732" s="2" t="n">
        <v>100</v>
      </c>
      <c r="FD732" s="2" t="n">
        <v>100</v>
      </c>
      <c r="FE732" s="2" t="n">
        <v>0</v>
      </c>
      <c r="FF732" s="2" t="n">
        <v>100</v>
      </c>
      <c r="FG732" s="2" t="n">
        <v>100</v>
      </c>
      <c r="FH732" s="2" t="n">
        <v>0</v>
      </c>
      <c r="FI732" s="2" t="n">
        <v>100</v>
      </c>
      <c r="FJ732" s="2" t="n">
        <v>100</v>
      </c>
      <c r="FK732" s="2" t="n">
        <v>0</v>
      </c>
      <c r="FL732" s="2" t="n">
        <v>100</v>
      </c>
      <c r="FM732" s="2" t="n">
        <v>100</v>
      </c>
      <c r="FN732" s="2" t="n">
        <v>0</v>
      </c>
      <c r="FO732" s="2" t="n">
        <v>100</v>
      </c>
      <c r="FP732" s="2" t="n">
        <v>100</v>
      </c>
      <c r="FQ732" s="2" t="n">
        <v>0</v>
      </c>
    </row>
    <row r="733">
      <c r="A733" s="2" t="n">
        <v>4</v>
      </c>
      <c r="B733" s="2" t="inlineStr">
        <is>
          <t>31.04.01.01</t>
        </is>
      </c>
      <c r="C733" s="2" t="inlineStr">
        <is>
          <t>Rodapé em perfil ''L'' de alumínio, 100x200mm, H=200cm, com acabamento em pintura acrílica fosca preta. Tom Ref.: Terra Fértil; Suvinil.</t>
        </is>
      </c>
      <c r="D733" s="2" t="inlineStr">
        <is>
          <t>24/11/2027</t>
        </is>
      </c>
      <c r="E733" s="2" t="inlineStr">
        <is>
          <t>18/02/2028</t>
        </is>
      </c>
      <c r="F733" s="2" t="n">
        <v>15253.212</v>
      </c>
      <c r="G733" s="2" t="n">
        <v>0</v>
      </c>
      <c r="H733" s="2" t="n">
        <v>15253.212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0</v>
      </c>
      <c r="CM733" s="2" t="n">
        <v>0</v>
      </c>
      <c r="CN733" s="2" t="n">
        <v>0</v>
      </c>
      <c r="CO733" s="2" t="n">
        <v>0</v>
      </c>
      <c r="CP733" s="2" t="n">
        <v>0</v>
      </c>
      <c r="CQ733" s="2" t="n">
        <v>0</v>
      </c>
      <c r="CR733" s="2" t="n">
        <v>0</v>
      </c>
      <c r="CS733" s="2" t="n">
        <v>0</v>
      </c>
      <c r="CT733" s="2" t="n">
        <v>0</v>
      </c>
      <c r="CU733" s="2" t="n">
        <v>0</v>
      </c>
      <c r="CV733" s="2" t="n">
        <v>0</v>
      </c>
      <c r="CW733" s="2" t="n">
        <v>0</v>
      </c>
      <c r="CX733" s="2" t="n">
        <v>0</v>
      </c>
      <c r="CY733" s="2" t="n">
        <v>0</v>
      </c>
      <c r="CZ733" s="2" t="n">
        <v>0</v>
      </c>
      <c r="DA733" s="2" t="n">
        <v>0</v>
      </c>
      <c r="DB733" s="2" t="n">
        <v>0</v>
      </c>
      <c r="DC733" s="2" t="n">
        <v>0</v>
      </c>
      <c r="DD733" s="2" t="n">
        <v>0</v>
      </c>
      <c r="DE733" s="2" t="n">
        <v>0</v>
      </c>
      <c r="DF733" s="2" t="n">
        <v>0</v>
      </c>
      <c r="DG733" s="2" t="n">
        <v>0</v>
      </c>
      <c r="DH733" s="2" t="n">
        <v>0</v>
      </c>
      <c r="DI733" s="2" t="n">
        <v>0</v>
      </c>
      <c r="DJ733" s="2" t="n">
        <v>0</v>
      </c>
      <c r="DK733" s="2" t="n">
        <v>0</v>
      </c>
      <c r="DL733" s="2" t="n">
        <v>0</v>
      </c>
      <c r="DM733" s="2" t="n">
        <v>0</v>
      </c>
      <c r="DN733" s="2" t="n">
        <v>0</v>
      </c>
      <c r="DO733" s="2" t="n">
        <v>0</v>
      </c>
      <c r="DP733" s="2" t="n">
        <v>0</v>
      </c>
      <c r="DQ733" s="2" t="n">
        <v>0</v>
      </c>
      <c r="DR733" s="2" t="n">
        <v>0</v>
      </c>
      <c r="DS733" s="2" t="n">
        <v>0</v>
      </c>
      <c r="DT733" s="2" t="n">
        <v>0</v>
      </c>
      <c r="DU733" s="2" t="n">
        <v>0</v>
      </c>
      <c r="DV733" s="2" t="n">
        <v>9.43</v>
      </c>
      <c r="DW733" s="2" t="n">
        <v>9.43</v>
      </c>
      <c r="DX733" s="2" t="n">
        <v>0</v>
      </c>
      <c r="DY733" s="2" t="n">
        <v>33.96</v>
      </c>
      <c r="DZ733" s="2" t="n">
        <v>33.96</v>
      </c>
      <c r="EA733" s="2" t="n">
        <v>0</v>
      </c>
      <c r="EB733" s="2" t="n">
        <v>73.58</v>
      </c>
      <c r="EC733" s="2" t="n">
        <v>73.58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  <c r="ET733" s="2" t="n">
        <v>100</v>
      </c>
      <c r="EU733" s="2" t="n">
        <v>100</v>
      </c>
      <c r="EV733" s="2" t="n">
        <v>0</v>
      </c>
      <c r="EW733" s="2" t="n">
        <v>100</v>
      </c>
      <c r="EX733" s="2" t="n">
        <v>100</v>
      </c>
      <c r="EY733" s="2" t="n">
        <v>0</v>
      </c>
      <c r="EZ733" s="2" t="n">
        <v>100</v>
      </c>
      <c r="FA733" s="2" t="n">
        <v>100</v>
      </c>
      <c r="FB733" s="2" t="n">
        <v>0</v>
      </c>
      <c r="FC733" s="2" t="n">
        <v>100</v>
      </c>
      <c r="FD733" s="2" t="n">
        <v>100</v>
      </c>
      <c r="FE733" s="2" t="n">
        <v>0</v>
      </c>
      <c r="FF733" s="2" t="n">
        <v>100</v>
      </c>
      <c r="FG733" s="2" t="n">
        <v>100</v>
      </c>
      <c r="FH733" s="2" t="n">
        <v>0</v>
      </c>
      <c r="FI733" s="2" t="n">
        <v>100</v>
      </c>
      <c r="FJ733" s="2" t="n">
        <v>100</v>
      </c>
      <c r="FK733" s="2" t="n">
        <v>0</v>
      </c>
      <c r="FL733" s="2" t="n">
        <v>100</v>
      </c>
      <c r="FM733" s="2" t="n">
        <v>100</v>
      </c>
      <c r="FN733" s="2" t="n">
        <v>0</v>
      </c>
      <c r="FO733" s="2" t="n">
        <v>100</v>
      </c>
      <c r="FP733" s="2" t="n">
        <v>100</v>
      </c>
      <c r="FQ733" s="2" t="n">
        <v>0</v>
      </c>
    </row>
    <row r="734">
      <c r="A734" s="2" t="n">
        <v>2</v>
      </c>
      <c r="B734" s="2" t="inlineStr">
        <is>
          <t>31.05</t>
        </is>
      </c>
      <c r="C734" s="2" t="inlineStr">
        <is>
          <t>Paredes</t>
        </is>
      </c>
      <c r="D734" s="2" t="inlineStr">
        <is>
          <t>21/05/2026</t>
        </is>
      </c>
      <c r="E734" s="2" t="inlineStr">
        <is>
          <t>24/04/2028</t>
        </is>
      </c>
      <c r="F734" s="2" t="n">
        <v>3049384.863957018</v>
      </c>
      <c r="G734" s="2" t="n">
        <v>0</v>
      </c>
      <c r="H734" s="2" t="n">
        <v>3049384.863957018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0.01</v>
      </c>
      <c r="BU734" s="2" t="n">
        <v>0</v>
      </c>
      <c r="BV734" s="2" t="n">
        <v>0.01</v>
      </c>
      <c r="BW734" s="2" t="n">
        <v>0.01</v>
      </c>
      <c r="BX734" s="2" t="n">
        <v>0</v>
      </c>
      <c r="BY734" s="2" t="n">
        <v>0.01</v>
      </c>
      <c r="BZ734" s="2" t="n">
        <v>0.01</v>
      </c>
      <c r="CA734" s="2" t="n">
        <v>0.01</v>
      </c>
      <c r="CB734" s="2" t="n">
        <v>0.02</v>
      </c>
      <c r="CC734" s="2" t="n">
        <v>0.02</v>
      </c>
      <c r="CD734" s="2" t="n">
        <v>0.01</v>
      </c>
      <c r="CE734" s="2" t="n">
        <v>0.03</v>
      </c>
      <c r="CF734" s="2" t="n">
        <v>0.03</v>
      </c>
      <c r="CG734" s="2" t="n">
        <v>0.02</v>
      </c>
      <c r="CH734" s="2" t="n">
        <v>0.03</v>
      </c>
      <c r="CI734" s="2" t="n">
        <v>0.06</v>
      </c>
      <c r="CJ734" s="2" t="n">
        <v>0.06</v>
      </c>
      <c r="CK734" s="2" t="n">
        <v>0.03</v>
      </c>
      <c r="CL734" s="2" t="n">
        <v>0.11</v>
      </c>
      <c r="CM734" s="2" t="n">
        <v>0.1</v>
      </c>
      <c r="CN734" s="2" t="n">
        <v>0.03</v>
      </c>
      <c r="CO734" s="2" t="n">
        <v>0.14</v>
      </c>
      <c r="CP734" s="2" t="n">
        <v>0.12</v>
      </c>
      <c r="CQ734" s="2" t="n">
        <v>0.03</v>
      </c>
      <c r="CR734" s="2" t="n">
        <v>0.15</v>
      </c>
      <c r="CS734" s="2" t="n">
        <v>0.15</v>
      </c>
      <c r="CT734" s="2" t="n">
        <v>0.03</v>
      </c>
      <c r="CU734" s="2" t="n">
        <v>9.460000000000001</v>
      </c>
      <c r="CV734" s="2" t="n">
        <v>5.55</v>
      </c>
      <c r="CW734" s="2" t="n">
        <v>0.03</v>
      </c>
      <c r="CX734" s="2" t="n">
        <v>16.62</v>
      </c>
      <c r="CY734" s="2" t="n">
        <v>13.99</v>
      </c>
      <c r="CZ734" s="2" t="n">
        <v>0.03</v>
      </c>
      <c r="DA734" s="2" t="n">
        <v>18.8</v>
      </c>
      <c r="DB734" s="2" t="n">
        <v>18.8</v>
      </c>
      <c r="DC734" s="2" t="n">
        <v>0.03</v>
      </c>
      <c r="DD734" s="2" t="n">
        <v>22.5</v>
      </c>
      <c r="DE734" s="2" t="n">
        <v>19.74</v>
      </c>
      <c r="DF734" s="2" t="n">
        <v>0.03</v>
      </c>
      <c r="DG734" s="2" t="n">
        <v>33.25</v>
      </c>
      <c r="DH734" s="2" t="n">
        <v>33.25</v>
      </c>
      <c r="DI734" s="2" t="n">
        <v>0.03</v>
      </c>
      <c r="DJ734" s="2" t="n">
        <v>41.02</v>
      </c>
      <c r="DK734" s="2" t="n">
        <v>42.44</v>
      </c>
      <c r="DL734" s="2" t="n">
        <v>0.03</v>
      </c>
      <c r="DM734" s="2" t="n">
        <v>56.67</v>
      </c>
      <c r="DN734" s="2" t="n">
        <v>53.11</v>
      </c>
      <c r="DO734" s="2" t="n">
        <v>0.03</v>
      </c>
      <c r="DP734" s="2" t="n">
        <v>63.63</v>
      </c>
      <c r="DQ734" s="2" t="n">
        <v>63.97</v>
      </c>
      <c r="DR734" s="2" t="n">
        <v>0.03</v>
      </c>
      <c r="DS734" s="2" t="n">
        <v>69.02</v>
      </c>
      <c r="DT734" s="2" t="n">
        <v>69.56</v>
      </c>
      <c r="DU734" s="2" t="n">
        <v>0.03</v>
      </c>
      <c r="DV734" s="2" t="n">
        <v>80.43000000000001</v>
      </c>
      <c r="DW734" s="2" t="n">
        <v>79.11</v>
      </c>
      <c r="DX734" s="2" t="n">
        <v>0.03</v>
      </c>
      <c r="DY734" s="2" t="n">
        <v>85.31999999999999</v>
      </c>
      <c r="DZ734" s="2" t="n">
        <v>82.06</v>
      </c>
      <c r="EA734" s="2" t="n">
        <v>0.03</v>
      </c>
      <c r="EB734" s="2" t="n">
        <v>93.06</v>
      </c>
      <c r="EC734" s="2" t="n">
        <v>87.93000000000001</v>
      </c>
      <c r="ED734" s="2" t="n">
        <v>0.03</v>
      </c>
      <c r="EE734" s="2" t="n">
        <v>96.81999999999999</v>
      </c>
      <c r="EF734" s="2" t="n">
        <v>93.06</v>
      </c>
      <c r="EG734" s="2" t="n">
        <v>0.03</v>
      </c>
      <c r="EH734" s="2" t="n">
        <v>96.83</v>
      </c>
      <c r="EI734" s="2" t="n">
        <v>96.83</v>
      </c>
      <c r="EJ734" s="2" t="n">
        <v>0.03</v>
      </c>
      <c r="EK734" s="2" t="n">
        <v>100</v>
      </c>
      <c r="EL734" s="2" t="n">
        <v>100</v>
      </c>
      <c r="EM734" s="2" t="n">
        <v>0.03</v>
      </c>
      <c r="EN734" s="2" t="n">
        <v>100</v>
      </c>
      <c r="EO734" s="2" t="n">
        <v>100</v>
      </c>
      <c r="EP734" s="2" t="n">
        <v>0.03</v>
      </c>
      <c r="EQ734" s="2" t="n">
        <v>100</v>
      </c>
      <c r="ER734" s="2" t="n">
        <v>100</v>
      </c>
      <c r="ES734" s="2" t="n">
        <v>0.03</v>
      </c>
      <c r="ET734" s="2" t="n">
        <v>100</v>
      </c>
      <c r="EU734" s="2" t="n">
        <v>100</v>
      </c>
      <c r="EV734" s="2" t="n">
        <v>0.03</v>
      </c>
      <c r="EW734" s="2" t="n">
        <v>100</v>
      </c>
      <c r="EX734" s="2" t="n">
        <v>100</v>
      </c>
      <c r="EY734" s="2" t="n">
        <v>0.03</v>
      </c>
      <c r="EZ734" s="2" t="n">
        <v>100</v>
      </c>
      <c r="FA734" s="2" t="n">
        <v>100</v>
      </c>
      <c r="FB734" s="2" t="n">
        <v>0.03</v>
      </c>
      <c r="FC734" s="2" t="n">
        <v>100</v>
      </c>
      <c r="FD734" s="2" t="n">
        <v>100</v>
      </c>
      <c r="FE734" s="2" t="n">
        <v>0.03</v>
      </c>
      <c r="FF734" s="2" t="n">
        <v>100</v>
      </c>
      <c r="FG734" s="2" t="n">
        <v>100</v>
      </c>
      <c r="FH734" s="2" t="n">
        <v>0.03</v>
      </c>
      <c r="FI734" s="2" t="n">
        <v>100</v>
      </c>
      <c r="FJ734" s="2" t="n">
        <v>100</v>
      </c>
      <c r="FK734" s="2" t="n">
        <v>0.03</v>
      </c>
      <c r="FL734" s="2" t="n">
        <v>100</v>
      </c>
      <c r="FM734" s="2" t="n">
        <v>100</v>
      </c>
      <c r="FN734" s="2" t="n">
        <v>0.03</v>
      </c>
      <c r="FO734" s="2" t="n">
        <v>100</v>
      </c>
      <c r="FP734" s="2" t="n">
        <v>100</v>
      </c>
      <c r="FQ734" s="2" t="n">
        <v>0.03</v>
      </c>
    </row>
    <row r="735">
      <c r="A735" s="2" t="n">
        <v>3</v>
      </c>
      <c r="B735" s="2" t="inlineStr">
        <is>
          <t>31.05.01</t>
        </is>
      </c>
      <c r="C735" s="2" t="inlineStr">
        <is>
          <t>Revestimentos cerâmicos</t>
        </is>
      </c>
      <c r="D735" s="2" t="inlineStr">
        <is>
          <t>03/02/2027</t>
        </is>
      </c>
      <c r="E735" s="2" t="inlineStr">
        <is>
          <t>17/03/2028</t>
        </is>
      </c>
      <c r="F735" s="2" t="n">
        <v>69478.82947923722</v>
      </c>
      <c r="G735" s="2" t="n">
        <v>0</v>
      </c>
      <c r="H735" s="2" t="n">
        <v>69478.82947923722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0</v>
      </c>
      <c r="CM735" s="2" t="n">
        <v>0</v>
      </c>
      <c r="CN735" s="2" t="n">
        <v>0</v>
      </c>
      <c r="CO735" s="2" t="n">
        <v>0</v>
      </c>
      <c r="CP735" s="2" t="n">
        <v>0</v>
      </c>
      <c r="CQ735" s="2" t="n">
        <v>0</v>
      </c>
      <c r="CR735" s="2" t="n">
        <v>0</v>
      </c>
      <c r="CS735" s="2" t="n">
        <v>0</v>
      </c>
      <c r="CT735" s="2" t="n">
        <v>0</v>
      </c>
      <c r="CU735" s="2" t="n">
        <v>8.58</v>
      </c>
      <c r="CV735" s="2" t="n">
        <v>4.29</v>
      </c>
      <c r="CW735" s="2" t="n">
        <v>0</v>
      </c>
      <c r="CX735" s="2" t="n">
        <v>14.77</v>
      </c>
      <c r="CY735" s="2" t="n">
        <v>11.58</v>
      </c>
      <c r="CZ735" s="2" t="n">
        <v>0</v>
      </c>
      <c r="DA735" s="2" t="n">
        <v>17.16</v>
      </c>
      <c r="DB735" s="2" t="n">
        <v>17.16</v>
      </c>
      <c r="DC735" s="2" t="n">
        <v>0</v>
      </c>
      <c r="DD735" s="2" t="n">
        <v>21.45</v>
      </c>
      <c r="DE735" s="2" t="n">
        <v>17.16</v>
      </c>
      <c r="DF735" s="2" t="n">
        <v>0</v>
      </c>
      <c r="DG735" s="2" t="n">
        <v>30.59</v>
      </c>
      <c r="DH735" s="2" t="n">
        <v>30.59</v>
      </c>
      <c r="DI735" s="2" t="n">
        <v>0</v>
      </c>
      <c r="DJ735" s="2" t="n">
        <v>39.64</v>
      </c>
      <c r="DK735" s="2" t="n">
        <v>41.31</v>
      </c>
      <c r="DL735" s="2" t="n">
        <v>0</v>
      </c>
      <c r="DM735" s="2" t="n">
        <v>52.51</v>
      </c>
      <c r="DN735" s="2" t="n">
        <v>53.75</v>
      </c>
      <c r="DO735" s="2" t="n">
        <v>0</v>
      </c>
      <c r="DP735" s="2" t="n">
        <v>60.61</v>
      </c>
      <c r="DQ735" s="2" t="n">
        <v>61.04</v>
      </c>
      <c r="DR735" s="2" t="n">
        <v>0</v>
      </c>
      <c r="DS735" s="2" t="n">
        <v>66.81</v>
      </c>
      <c r="DT735" s="2" t="n">
        <v>67.47</v>
      </c>
      <c r="DU735" s="2" t="n">
        <v>0</v>
      </c>
      <c r="DV735" s="2" t="n">
        <v>80.15000000000001</v>
      </c>
      <c r="DW735" s="2" t="n">
        <v>78.63</v>
      </c>
      <c r="DX735" s="2" t="n">
        <v>0</v>
      </c>
      <c r="DY735" s="2" t="n">
        <v>85.87</v>
      </c>
      <c r="DZ735" s="2" t="n">
        <v>82.06</v>
      </c>
      <c r="EA735" s="2" t="n">
        <v>0</v>
      </c>
      <c r="EB735" s="2" t="n">
        <v>94.93000000000001</v>
      </c>
      <c r="EC735" s="2" t="n">
        <v>88.92</v>
      </c>
      <c r="ED735" s="2" t="n">
        <v>0</v>
      </c>
      <c r="EE735" s="2" t="n">
        <v>100</v>
      </c>
      <c r="EF735" s="2" t="n">
        <v>94.93000000000001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  <c r="ET735" s="2" t="n">
        <v>100</v>
      </c>
      <c r="EU735" s="2" t="n">
        <v>100</v>
      </c>
      <c r="EV735" s="2" t="n">
        <v>0</v>
      </c>
      <c r="EW735" s="2" t="n">
        <v>100</v>
      </c>
      <c r="EX735" s="2" t="n">
        <v>100</v>
      </c>
      <c r="EY735" s="2" t="n">
        <v>0</v>
      </c>
      <c r="EZ735" s="2" t="n">
        <v>100</v>
      </c>
      <c r="FA735" s="2" t="n">
        <v>100</v>
      </c>
      <c r="FB735" s="2" t="n">
        <v>0</v>
      </c>
      <c r="FC735" s="2" t="n">
        <v>100</v>
      </c>
      <c r="FD735" s="2" t="n">
        <v>100</v>
      </c>
      <c r="FE735" s="2" t="n">
        <v>0</v>
      </c>
      <c r="FF735" s="2" t="n">
        <v>100</v>
      </c>
      <c r="FG735" s="2" t="n">
        <v>100</v>
      </c>
      <c r="FH735" s="2" t="n">
        <v>0</v>
      </c>
      <c r="FI735" s="2" t="n">
        <v>100</v>
      </c>
      <c r="FJ735" s="2" t="n">
        <v>100</v>
      </c>
      <c r="FK735" s="2" t="n">
        <v>0</v>
      </c>
      <c r="FL735" s="2" t="n">
        <v>100</v>
      </c>
      <c r="FM735" s="2" t="n">
        <v>100</v>
      </c>
      <c r="FN735" s="2" t="n">
        <v>0</v>
      </c>
      <c r="FO735" s="2" t="n">
        <v>100</v>
      </c>
      <c r="FP735" s="2" t="n">
        <v>100</v>
      </c>
      <c r="FQ735" s="2" t="n">
        <v>0</v>
      </c>
    </row>
    <row r="736">
      <c r="A736" s="2" t="n">
        <v>4</v>
      </c>
      <c r="B736" s="2" t="inlineStr">
        <is>
          <t>31.05.01.01</t>
        </is>
      </c>
      <c r="C736" s="2" t="inlineStr">
        <is>
          <t>Revestimento cerâmico Forma branco AC retif. 32,5x59cm, Eliane, assentado com argamassa colante em pó ACIII</t>
        </is>
      </c>
      <c r="D736" s="2" t="inlineStr">
        <is>
          <t>03/02/2027</t>
        </is>
      </c>
      <c r="E736" s="2" t="inlineStr">
        <is>
          <t>17/03/2028</t>
        </is>
      </c>
      <c r="F736" s="2" t="n">
        <v>47655.49163517114</v>
      </c>
      <c r="G736" s="2" t="n">
        <v>0</v>
      </c>
      <c r="H736" s="2" t="n">
        <v>47655.49163517114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0</v>
      </c>
      <c r="CM736" s="2" t="n">
        <v>0</v>
      </c>
      <c r="CN736" s="2" t="n">
        <v>0</v>
      </c>
      <c r="CO736" s="2" t="n">
        <v>0</v>
      </c>
      <c r="CP736" s="2" t="n">
        <v>0</v>
      </c>
      <c r="CQ736" s="2" t="n">
        <v>0</v>
      </c>
      <c r="CR736" s="2" t="n">
        <v>0</v>
      </c>
      <c r="CS736" s="2" t="n">
        <v>0</v>
      </c>
      <c r="CT736" s="2" t="n">
        <v>0</v>
      </c>
      <c r="CU736" s="2" t="n">
        <v>8.58</v>
      </c>
      <c r="CV736" s="2" t="n">
        <v>4.29</v>
      </c>
      <c r="CW736" s="2" t="n">
        <v>0</v>
      </c>
      <c r="CX736" s="2" t="n">
        <v>14.77</v>
      </c>
      <c r="CY736" s="2" t="n">
        <v>11.58</v>
      </c>
      <c r="CZ736" s="2" t="n">
        <v>0</v>
      </c>
      <c r="DA736" s="2" t="n">
        <v>17.16</v>
      </c>
      <c r="DB736" s="2" t="n">
        <v>17.16</v>
      </c>
      <c r="DC736" s="2" t="n">
        <v>0</v>
      </c>
      <c r="DD736" s="2" t="n">
        <v>21.45</v>
      </c>
      <c r="DE736" s="2" t="n">
        <v>17.16</v>
      </c>
      <c r="DF736" s="2" t="n">
        <v>0</v>
      </c>
      <c r="DG736" s="2" t="n">
        <v>30.59</v>
      </c>
      <c r="DH736" s="2" t="n">
        <v>30.59</v>
      </c>
      <c r="DI736" s="2" t="n">
        <v>0</v>
      </c>
      <c r="DJ736" s="2" t="n">
        <v>39.64</v>
      </c>
      <c r="DK736" s="2" t="n">
        <v>41.31</v>
      </c>
      <c r="DL736" s="2" t="n">
        <v>0</v>
      </c>
      <c r="DM736" s="2" t="n">
        <v>52.51</v>
      </c>
      <c r="DN736" s="2" t="n">
        <v>53.75</v>
      </c>
      <c r="DO736" s="2" t="n">
        <v>0</v>
      </c>
      <c r="DP736" s="2" t="n">
        <v>60.61</v>
      </c>
      <c r="DQ736" s="2" t="n">
        <v>61.04</v>
      </c>
      <c r="DR736" s="2" t="n">
        <v>0</v>
      </c>
      <c r="DS736" s="2" t="n">
        <v>66.81</v>
      </c>
      <c r="DT736" s="2" t="n">
        <v>67.47</v>
      </c>
      <c r="DU736" s="2" t="n">
        <v>0</v>
      </c>
      <c r="DV736" s="2" t="n">
        <v>80.15000000000001</v>
      </c>
      <c r="DW736" s="2" t="n">
        <v>78.63</v>
      </c>
      <c r="DX736" s="2" t="n">
        <v>0</v>
      </c>
      <c r="DY736" s="2" t="n">
        <v>85.87</v>
      </c>
      <c r="DZ736" s="2" t="n">
        <v>82.06</v>
      </c>
      <c r="EA736" s="2" t="n">
        <v>0</v>
      </c>
      <c r="EB736" s="2" t="n">
        <v>94.93000000000001</v>
      </c>
      <c r="EC736" s="2" t="n">
        <v>88.92</v>
      </c>
      <c r="ED736" s="2" t="n">
        <v>0</v>
      </c>
      <c r="EE736" s="2" t="n">
        <v>100</v>
      </c>
      <c r="EF736" s="2" t="n">
        <v>94.93000000000001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  <c r="ET736" s="2" t="n">
        <v>100</v>
      </c>
      <c r="EU736" s="2" t="n">
        <v>100</v>
      </c>
      <c r="EV736" s="2" t="n">
        <v>0</v>
      </c>
      <c r="EW736" s="2" t="n">
        <v>100</v>
      </c>
      <c r="EX736" s="2" t="n">
        <v>100</v>
      </c>
      <c r="EY736" s="2" t="n">
        <v>0</v>
      </c>
      <c r="EZ736" s="2" t="n">
        <v>100</v>
      </c>
      <c r="FA736" s="2" t="n">
        <v>100</v>
      </c>
      <c r="FB736" s="2" t="n">
        <v>0</v>
      </c>
      <c r="FC736" s="2" t="n">
        <v>100</v>
      </c>
      <c r="FD736" s="2" t="n">
        <v>100</v>
      </c>
      <c r="FE736" s="2" t="n">
        <v>0</v>
      </c>
      <c r="FF736" s="2" t="n">
        <v>100</v>
      </c>
      <c r="FG736" s="2" t="n">
        <v>100</v>
      </c>
      <c r="FH736" s="2" t="n">
        <v>0</v>
      </c>
      <c r="FI736" s="2" t="n">
        <v>100</v>
      </c>
      <c r="FJ736" s="2" t="n">
        <v>100</v>
      </c>
      <c r="FK736" s="2" t="n">
        <v>0</v>
      </c>
      <c r="FL736" s="2" t="n">
        <v>100</v>
      </c>
      <c r="FM736" s="2" t="n">
        <v>100</v>
      </c>
      <c r="FN736" s="2" t="n">
        <v>0</v>
      </c>
      <c r="FO736" s="2" t="n">
        <v>100</v>
      </c>
      <c r="FP736" s="2" t="n">
        <v>100</v>
      </c>
      <c r="FQ736" s="2" t="n">
        <v>0</v>
      </c>
    </row>
    <row r="737">
      <c r="A737" s="2" t="n">
        <v>4</v>
      </c>
      <c r="B737" s="2" t="inlineStr">
        <is>
          <t>31.05.01.02</t>
        </is>
      </c>
      <c r="C737" s="2" t="inlineStr">
        <is>
          <t>INT - Revestimento em moisaico degradê Bisazza, 20x20cm, assentado com argamassa colante em pó ACIII</t>
        </is>
      </c>
      <c r="D737" s="2" t="inlineStr">
        <is>
          <t>03/02/2027</t>
        </is>
      </c>
      <c r="E737" s="2" t="inlineStr">
        <is>
          <t>17/03/2028</t>
        </is>
      </c>
      <c r="F737" s="2" t="n">
        <v>10961.37503609374</v>
      </c>
      <c r="G737" s="2" t="n">
        <v>0</v>
      </c>
      <c r="H737" s="2" t="n">
        <v>10961.37503609374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0</v>
      </c>
      <c r="CM737" s="2" t="n">
        <v>0</v>
      </c>
      <c r="CN737" s="2" t="n">
        <v>0</v>
      </c>
      <c r="CO737" s="2" t="n">
        <v>0</v>
      </c>
      <c r="CP737" s="2" t="n">
        <v>0</v>
      </c>
      <c r="CQ737" s="2" t="n">
        <v>0</v>
      </c>
      <c r="CR737" s="2" t="n">
        <v>0</v>
      </c>
      <c r="CS737" s="2" t="n">
        <v>0</v>
      </c>
      <c r="CT737" s="2" t="n">
        <v>0</v>
      </c>
      <c r="CU737" s="2" t="n">
        <v>8.58</v>
      </c>
      <c r="CV737" s="2" t="n">
        <v>4.29</v>
      </c>
      <c r="CW737" s="2" t="n">
        <v>0</v>
      </c>
      <c r="CX737" s="2" t="n">
        <v>14.77</v>
      </c>
      <c r="CY737" s="2" t="n">
        <v>11.58</v>
      </c>
      <c r="CZ737" s="2" t="n">
        <v>0</v>
      </c>
      <c r="DA737" s="2" t="n">
        <v>17.16</v>
      </c>
      <c r="DB737" s="2" t="n">
        <v>17.16</v>
      </c>
      <c r="DC737" s="2" t="n">
        <v>0</v>
      </c>
      <c r="DD737" s="2" t="n">
        <v>21.45</v>
      </c>
      <c r="DE737" s="2" t="n">
        <v>17.16</v>
      </c>
      <c r="DF737" s="2" t="n">
        <v>0</v>
      </c>
      <c r="DG737" s="2" t="n">
        <v>30.59</v>
      </c>
      <c r="DH737" s="2" t="n">
        <v>30.59</v>
      </c>
      <c r="DI737" s="2" t="n">
        <v>0</v>
      </c>
      <c r="DJ737" s="2" t="n">
        <v>39.64</v>
      </c>
      <c r="DK737" s="2" t="n">
        <v>41.31</v>
      </c>
      <c r="DL737" s="2" t="n">
        <v>0</v>
      </c>
      <c r="DM737" s="2" t="n">
        <v>52.51</v>
      </c>
      <c r="DN737" s="2" t="n">
        <v>53.75</v>
      </c>
      <c r="DO737" s="2" t="n">
        <v>0</v>
      </c>
      <c r="DP737" s="2" t="n">
        <v>60.61</v>
      </c>
      <c r="DQ737" s="2" t="n">
        <v>61.04</v>
      </c>
      <c r="DR737" s="2" t="n">
        <v>0</v>
      </c>
      <c r="DS737" s="2" t="n">
        <v>66.81</v>
      </c>
      <c r="DT737" s="2" t="n">
        <v>67.47</v>
      </c>
      <c r="DU737" s="2" t="n">
        <v>0</v>
      </c>
      <c r="DV737" s="2" t="n">
        <v>80.15000000000001</v>
      </c>
      <c r="DW737" s="2" t="n">
        <v>78.63</v>
      </c>
      <c r="DX737" s="2" t="n">
        <v>0</v>
      </c>
      <c r="DY737" s="2" t="n">
        <v>85.87</v>
      </c>
      <c r="DZ737" s="2" t="n">
        <v>82.06</v>
      </c>
      <c r="EA737" s="2" t="n">
        <v>0</v>
      </c>
      <c r="EB737" s="2" t="n">
        <v>94.93000000000001</v>
      </c>
      <c r="EC737" s="2" t="n">
        <v>88.92</v>
      </c>
      <c r="ED737" s="2" t="n">
        <v>0</v>
      </c>
      <c r="EE737" s="2" t="n">
        <v>100</v>
      </c>
      <c r="EF737" s="2" t="n">
        <v>94.93000000000001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  <c r="ET737" s="2" t="n">
        <v>100</v>
      </c>
      <c r="EU737" s="2" t="n">
        <v>100</v>
      </c>
      <c r="EV737" s="2" t="n">
        <v>0</v>
      </c>
      <c r="EW737" s="2" t="n">
        <v>100</v>
      </c>
      <c r="EX737" s="2" t="n">
        <v>100</v>
      </c>
      <c r="EY737" s="2" t="n">
        <v>0</v>
      </c>
      <c r="EZ737" s="2" t="n">
        <v>100</v>
      </c>
      <c r="FA737" s="2" t="n">
        <v>100</v>
      </c>
      <c r="FB737" s="2" t="n">
        <v>0</v>
      </c>
      <c r="FC737" s="2" t="n">
        <v>100</v>
      </c>
      <c r="FD737" s="2" t="n">
        <v>100</v>
      </c>
      <c r="FE737" s="2" t="n">
        <v>0</v>
      </c>
      <c r="FF737" s="2" t="n">
        <v>100</v>
      </c>
      <c r="FG737" s="2" t="n">
        <v>100</v>
      </c>
      <c r="FH737" s="2" t="n">
        <v>0</v>
      </c>
      <c r="FI737" s="2" t="n">
        <v>100</v>
      </c>
      <c r="FJ737" s="2" t="n">
        <v>100</v>
      </c>
      <c r="FK737" s="2" t="n">
        <v>0</v>
      </c>
      <c r="FL737" s="2" t="n">
        <v>100</v>
      </c>
      <c r="FM737" s="2" t="n">
        <v>100</v>
      </c>
      <c r="FN737" s="2" t="n">
        <v>0</v>
      </c>
      <c r="FO737" s="2" t="n">
        <v>100</v>
      </c>
      <c r="FP737" s="2" t="n">
        <v>100</v>
      </c>
      <c r="FQ737" s="2" t="n">
        <v>0</v>
      </c>
    </row>
    <row r="738">
      <c r="A738" s="2" t="n">
        <v>4</v>
      </c>
      <c r="B738" s="2" t="inlineStr">
        <is>
          <t>31.05.01.03</t>
        </is>
      </c>
      <c r="C738" s="2" t="inlineStr">
        <is>
          <t>INT - Revestimento em moisaico Bisazza, 20x20cm, assentado com argamassa colante em pó ACIII</t>
        </is>
      </c>
      <c r="D738" s="2" t="inlineStr">
        <is>
          <t>03/02/2027</t>
        </is>
      </c>
      <c r="E738" s="2" t="inlineStr">
        <is>
          <t>17/03/2028</t>
        </is>
      </c>
      <c r="F738" s="2" t="n">
        <v>10861.96280797233</v>
      </c>
      <c r="G738" s="2" t="n">
        <v>0</v>
      </c>
      <c r="H738" s="2" t="n">
        <v>10861.96280797233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0</v>
      </c>
      <c r="CM738" s="2" t="n">
        <v>0</v>
      </c>
      <c r="CN738" s="2" t="n">
        <v>0</v>
      </c>
      <c r="CO738" s="2" t="n">
        <v>0</v>
      </c>
      <c r="CP738" s="2" t="n">
        <v>0</v>
      </c>
      <c r="CQ738" s="2" t="n">
        <v>0</v>
      </c>
      <c r="CR738" s="2" t="n">
        <v>0</v>
      </c>
      <c r="CS738" s="2" t="n">
        <v>0</v>
      </c>
      <c r="CT738" s="2" t="n">
        <v>0</v>
      </c>
      <c r="CU738" s="2" t="n">
        <v>8.58</v>
      </c>
      <c r="CV738" s="2" t="n">
        <v>4.29</v>
      </c>
      <c r="CW738" s="2" t="n">
        <v>0</v>
      </c>
      <c r="CX738" s="2" t="n">
        <v>14.77</v>
      </c>
      <c r="CY738" s="2" t="n">
        <v>11.58</v>
      </c>
      <c r="CZ738" s="2" t="n">
        <v>0</v>
      </c>
      <c r="DA738" s="2" t="n">
        <v>17.16</v>
      </c>
      <c r="DB738" s="2" t="n">
        <v>17.16</v>
      </c>
      <c r="DC738" s="2" t="n">
        <v>0</v>
      </c>
      <c r="DD738" s="2" t="n">
        <v>21.45</v>
      </c>
      <c r="DE738" s="2" t="n">
        <v>17.16</v>
      </c>
      <c r="DF738" s="2" t="n">
        <v>0</v>
      </c>
      <c r="DG738" s="2" t="n">
        <v>30.59</v>
      </c>
      <c r="DH738" s="2" t="n">
        <v>30.59</v>
      </c>
      <c r="DI738" s="2" t="n">
        <v>0</v>
      </c>
      <c r="DJ738" s="2" t="n">
        <v>39.64</v>
      </c>
      <c r="DK738" s="2" t="n">
        <v>41.31</v>
      </c>
      <c r="DL738" s="2" t="n">
        <v>0</v>
      </c>
      <c r="DM738" s="2" t="n">
        <v>52.51</v>
      </c>
      <c r="DN738" s="2" t="n">
        <v>53.75</v>
      </c>
      <c r="DO738" s="2" t="n">
        <v>0</v>
      </c>
      <c r="DP738" s="2" t="n">
        <v>60.61</v>
      </c>
      <c r="DQ738" s="2" t="n">
        <v>61.04</v>
      </c>
      <c r="DR738" s="2" t="n">
        <v>0</v>
      </c>
      <c r="DS738" s="2" t="n">
        <v>66.81</v>
      </c>
      <c r="DT738" s="2" t="n">
        <v>67.47</v>
      </c>
      <c r="DU738" s="2" t="n">
        <v>0</v>
      </c>
      <c r="DV738" s="2" t="n">
        <v>80.15000000000001</v>
      </c>
      <c r="DW738" s="2" t="n">
        <v>78.63</v>
      </c>
      <c r="DX738" s="2" t="n">
        <v>0</v>
      </c>
      <c r="DY738" s="2" t="n">
        <v>85.87</v>
      </c>
      <c r="DZ738" s="2" t="n">
        <v>82.06</v>
      </c>
      <c r="EA738" s="2" t="n">
        <v>0</v>
      </c>
      <c r="EB738" s="2" t="n">
        <v>94.93000000000001</v>
      </c>
      <c r="EC738" s="2" t="n">
        <v>88.92</v>
      </c>
      <c r="ED738" s="2" t="n">
        <v>0</v>
      </c>
      <c r="EE738" s="2" t="n">
        <v>100</v>
      </c>
      <c r="EF738" s="2" t="n">
        <v>94.93000000000001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  <c r="ET738" s="2" t="n">
        <v>100</v>
      </c>
      <c r="EU738" s="2" t="n">
        <v>100</v>
      </c>
      <c r="EV738" s="2" t="n">
        <v>0</v>
      </c>
      <c r="EW738" s="2" t="n">
        <v>100</v>
      </c>
      <c r="EX738" s="2" t="n">
        <v>100</v>
      </c>
      <c r="EY738" s="2" t="n">
        <v>0</v>
      </c>
      <c r="EZ738" s="2" t="n">
        <v>100</v>
      </c>
      <c r="FA738" s="2" t="n">
        <v>100</v>
      </c>
      <c r="FB738" s="2" t="n">
        <v>0</v>
      </c>
      <c r="FC738" s="2" t="n">
        <v>100</v>
      </c>
      <c r="FD738" s="2" t="n">
        <v>100</v>
      </c>
      <c r="FE738" s="2" t="n">
        <v>0</v>
      </c>
      <c r="FF738" s="2" t="n">
        <v>100</v>
      </c>
      <c r="FG738" s="2" t="n">
        <v>100</v>
      </c>
      <c r="FH738" s="2" t="n">
        <v>0</v>
      </c>
      <c r="FI738" s="2" t="n">
        <v>100</v>
      </c>
      <c r="FJ738" s="2" t="n">
        <v>100</v>
      </c>
      <c r="FK738" s="2" t="n">
        <v>0</v>
      </c>
      <c r="FL738" s="2" t="n">
        <v>100</v>
      </c>
      <c r="FM738" s="2" t="n">
        <v>100</v>
      </c>
      <c r="FN738" s="2" t="n">
        <v>0</v>
      </c>
      <c r="FO738" s="2" t="n">
        <v>100</v>
      </c>
      <c r="FP738" s="2" t="n">
        <v>100</v>
      </c>
      <c r="FQ738" s="2" t="n">
        <v>0</v>
      </c>
    </row>
    <row r="739">
      <c r="A739" s="2" t="n">
        <v>3</v>
      </c>
      <c r="B739" s="2" t="inlineStr">
        <is>
          <t>31.05.02</t>
        </is>
      </c>
      <c r="C739" s="2" t="inlineStr">
        <is>
          <t>Porcelanatos</t>
        </is>
      </c>
      <c r="D739" s="2" t="inlineStr">
        <is>
          <t>12/02/2027</t>
        </is>
      </c>
      <c r="E739" s="2" t="inlineStr">
        <is>
          <t>28/10/2027</t>
        </is>
      </c>
      <c r="F739" s="2" t="n">
        <v>35316.5161350069</v>
      </c>
      <c r="G739" s="2" t="n">
        <v>0</v>
      </c>
      <c r="H739" s="2" t="n">
        <v>35316.5161350069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0</v>
      </c>
      <c r="CM739" s="2" t="n">
        <v>0</v>
      </c>
      <c r="CN739" s="2" t="n">
        <v>0</v>
      </c>
      <c r="CO739" s="2" t="n">
        <v>0</v>
      </c>
      <c r="CP739" s="2" t="n">
        <v>0</v>
      </c>
      <c r="CQ739" s="2" t="n">
        <v>0</v>
      </c>
      <c r="CR739" s="2" t="n">
        <v>0</v>
      </c>
      <c r="CS739" s="2" t="n">
        <v>0</v>
      </c>
      <c r="CT739" s="2" t="n">
        <v>0</v>
      </c>
      <c r="CU739" s="2" t="n">
        <v>7.25</v>
      </c>
      <c r="CV739" s="2" t="n">
        <v>10.68</v>
      </c>
      <c r="CW739" s="2" t="n">
        <v>0</v>
      </c>
      <c r="CX739" s="2" t="n">
        <v>53.18</v>
      </c>
      <c r="CY739" s="2" t="n">
        <v>62.27</v>
      </c>
      <c r="CZ739" s="2" t="n">
        <v>0</v>
      </c>
      <c r="DA739" s="2" t="n">
        <v>62.27</v>
      </c>
      <c r="DB739" s="2" t="n">
        <v>62.27</v>
      </c>
      <c r="DC739" s="2" t="n">
        <v>0</v>
      </c>
      <c r="DD739" s="2" t="n">
        <v>62.27</v>
      </c>
      <c r="DE739" s="2" t="n">
        <v>65.38</v>
      </c>
      <c r="DF739" s="2" t="n">
        <v>0</v>
      </c>
      <c r="DG739" s="2" t="n">
        <v>73.65000000000001</v>
      </c>
      <c r="DH739" s="2" t="n">
        <v>73.65000000000001</v>
      </c>
      <c r="DI739" s="2" t="n">
        <v>0</v>
      </c>
      <c r="DJ739" s="2" t="n">
        <v>73.65000000000001</v>
      </c>
      <c r="DK739" s="2" t="n">
        <v>73.65000000000001</v>
      </c>
      <c r="DL739" s="2" t="n">
        <v>0</v>
      </c>
      <c r="DM739" s="2" t="n">
        <v>93.79000000000001</v>
      </c>
      <c r="DN739" s="2" t="n">
        <v>73.65000000000001</v>
      </c>
      <c r="DO739" s="2" t="n">
        <v>0</v>
      </c>
      <c r="DP739" s="2" t="n">
        <v>93.79000000000001</v>
      </c>
      <c r="DQ739" s="2" t="n">
        <v>93.79000000000001</v>
      </c>
      <c r="DR739" s="2" t="n">
        <v>0</v>
      </c>
      <c r="DS739" s="2" t="n">
        <v>100</v>
      </c>
      <c r="DT739" s="2" t="n">
        <v>100</v>
      </c>
      <c r="DU739" s="2" t="n">
        <v>0</v>
      </c>
      <c r="DV739" s="2" t="n">
        <v>100</v>
      </c>
      <c r="DW739" s="2" t="n">
        <v>100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  <c r="ET739" s="2" t="n">
        <v>100</v>
      </c>
      <c r="EU739" s="2" t="n">
        <v>100</v>
      </c>
      <c r="EV739" s="2" t="n">
        <v>0</v>
      </c>
      <c r="EW739" s="2" t="n">
        <v>100</v>
      </c>
      <c r="EX739" s="2" t="n">
        <v>100</v>
      </c>
      <c r="EY739" s="2" t="n">
        <v>0</v>
      </c>
      <c r="EZ739" s="2" t="n">
        <v>100</v>
      </c>
      <c r="FA739" s="2" t="n">
        <v>100</v>
      </c>
      <c r="FB739" s="2" t="n">
        <v>0</v>
      </c>
      <c r="FC739" s="2" t="n">
        <v>100</v>
      </c>
      <c r="FD739" s="2" t="n">
        <v>100</v>
      </c>
      <c r="FE739" s="2" t="n">
        <v>0</v>
      </c>
      <c r="FF739" s="2" t="n">
        <v>100</v>
      </c>
      <c r="FG739" s="2" t="n">
        <v>100</v>
      </c>
      <c r="FH739" s="2" t="n">
        <v>0</v>
      </c>
      <c r="FI739" s="2" t="n">
        <v>100</v>
      </c>
      <c r="FJ739" s="2" t="n">
        <v>100</v>
      </c>
      <c r="FK739" s="2" t="n">
        <v>0</v>
      </c>
      <c r="FL739" s="2" t="n">
        <v>100</v>
      </c>
      <c r="FM739" s="2" t="n">
        <v>100</v>
      </c>
      <c r="FN739" s="2" t="n">
        <v>0</v>
      </c>
      <c r="FO739" s="2" t="n">
        <v>100</v>
      </c>
      <c r="FP739" s="2" t="n">
        <v>100</v>
      </c>
      <c r="FQ739" s="2" t="n">
        <v>0</v>
      </c>
    </row>
    <row r="740">
      <c r="A740" s="2" t="n">
        <v>4</v>
      </c>
      <c r="B740" s="2" t="inlineStr">
        <is>
          <t>31.05.02.01</t>
        </is>
      </c>
      <c r="C740" s="2" t="inlineStr">
        <is>
          <t>Revestimento meia parede com porcelanato padrão cimentício 120x120cm, espessura 1cm, com acabamento fosco (antiderrapante). Ref.:   CITTA SGR HARD; cód. 61588; Portinari,  assentado com argamassa colante em pó ACIII</t>
        </is>
      </c>
      <c r="D740" s="2" t="inlineStr">
        <is>
          <t>12/02/2027</t>
        </is>
      </c>
      <c r="E740" s="2" t="inlineStr">
        <is>
          <t>28/10/2027</t>
        </is>
      </c>
      <c r="F740" s="2" t="n">
        <v>4048.813467626713</v>
      </c>
      <c r="G740" s="2" t="n">
        <v>0</v>
      </c>
      <c r="H740" s="2" t="n">
        <v>4048.813467626713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0</v>
      </c>
      <c r="CM740" s="2" t="n">
        <v>0</v>
      </c>
      <c r="CN740" s="2" t="n">
        <v>0</v>
      </c>
      <c r="CO740" s="2" t="n">
        <v>0</v>
      </c>
      <c r="CP740" s="2" t="n">
        <v>0</v>
      </c>
      <c r="CQ740" s="2" t="n">
        <v>0</v>
      </c>
      <c r="CR740" s="2" t="n">
        <v>0</v>
      </c>
      <c r="CS740" s="2" t="n">
        <v>0</v>
      </c>
      <c r="CT740" s="2" t="n">
        <v>0</v>
      </c>
      <c r="CU740" s="2" t="n">
        <v>7.25</v>
      </c>
      <c r="CV740" s="2" t="n">
        <v>10.68</v>
      </c>
      <c r="CW740" s="2" t="n">
        <v>0</v>
      </c>
      <c r="CX740" s="2" t="n">
        <v>53.18</v>
      </c>
      <c r="CY740" s="2" t="n">
        <v>62.27</v>
      </c>
      <c r="CZ740" s="2" t="n">
        <v>0</v>
      </c>
      <c r="DA740" s="2" t="n">
        <v>62.27</v>
      </c>
      <c r="DB740" s="2" t="n">
        <v>62.27</v>
      </c>
      <c r="DC740" s="2" t="n">
        <v>0</v>
      </c>
      <c r="DD740" s="2" t="n">
        <v>62.27</v>
      </c>
      <c r="DE740" s="2" t="n">
        <v>65.38</v>
      </c>
      <c r="DF740" s="2" t="n">
        <v>0</v>
      </c>
      <c r="DG740" s="2" t="n">
        <v>73.65000000000001</v>
      </c>
      <c r="DH740" s="2" t="n">
        <v>73.65000000000001</v>
      </c>
      <c r="DI740" s="2" t="n">
        <v>0</v>
      </c>
      <c r="DJ740" s="2" t="n">
        <v>73.65000000000001</v>
      </c>
      <c r="DK740" s="2" t="n">
        <v>73.65000000000001</v>
      </c>
      <c r="DL740" s="2" t="n">
        <v>0</v>
      </c>
      <c r="DM740" s="2" t="n">
        <v>93.79000000000001</v>
      </c>
      <c r="DN740" s="2" t="n">
        <v>73.65000000000001</v>
      </c>
      <c r="DO740" s="2" t="n">
        <v>0</v>
      </c>
      <c r="DP740" s="2" t="n">
        <v>93.79000000000001</v>
      </c>
      <c r="DQ740" s="2" t="n">
        <v>93.79000000000001</v>
      </c>
      <c r="DR740" s="2" t="n">
        <v>0</v>
      </c>
      <c r="DS740" s="2" t="n">
        <v>100</v>
      </c>
      <c r="DT740" s="2" t="n">
        <v>100</v>
      </c>
      <c r="DU740" s="2" t="n">
        <v>0</v>
      </c>
      <c r="DV740" s="2" t="n">
        <v>100</v>
      </c>
      <c r="DW740" s="2" t="n">
        <v>100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  <c r="ET740" s="2" t="n">
        <v>100</v>
      </c>
      <c r="EU740" s="2" t="n">
        <v>100</v>
      </c>
      <c r="EV740" s="2" t="n">
        <v>0</v>
      </c>
      <c r="EW740" s="2" t="n">
        <v>100</v>
      </c>
      <c r="EX740" s="2" t="n">
        <v>100</v>
      </c>
      <c r="EY740" s="2" t="n">
        <v>0</v>
      </c>
      <c r="EZ740" s="2" t="n">
        <v>100</v>
      </c>
      <c r="FA740" s="2" t="n">
        <v>100</v>
      </c>
      <c r="FB740" s="2" t="n">
        <v>0</v>
      </c>
      <c r="FC740" s="2" t="n">
        <v>100</v>
      </c>
      <c r="FD740" s="2" t="n">
        <v>100</v>
      </c>
      <c r="FE740" s="2" t="n">
        <v>0</v>
      </c>
      <c r="FF740" s="2" t="n">
        <v>100</v>
      </c>
      <c r="FG740" s="2" t="n">
        <v>100</v>
      </c>
      <c r="FH740" s="2" t="n">
        <v>0</v>
      </c>
      <c r="FI740" s="2" t="n">
        <v>100</v>
      </c>
      <c r="FJ740" s="2" t="n">
        <v>100</v>
      </c>
      <c r="FK740" s="2" t="n">
        <v>0</v>
      </c>
      <c r="FL740" s="2" t="n">
        <v>100</v>
      </c>
      <c r="FM740" s="2" t="n">
        <v>100</v>
      </c>
      <c r="FN740" s="2" t="n">
        <v>0</v>
      </c>
      <c r="FO740" s="2" t="n">
        <v>100</v>
      </c>
      <c r="FP740" s="2" t="n">
        <v>100</v>
      </c>
      <c r="FQ740" s="2" t="n">
        <v>0</v>
      </c>
    </row>
    <row r="741">
      <c r="A741" s="2" t="n">
        <v>4</v>
      </c>
      <c r="B741" s="2" t="inlineStr">
        <is>
          <t>31.05.02.02</t>
        </is>
      </c>
      <c r="C741" s="2" t="inlineStr">
        <is>
          <t>Revestimento Porcelanato off white 60x60cm, espessura 1cm, com acabamento acetinado. H=180cm. Paginação conforme detalhamento. Ref.: Khali Off White AC; Linha Khali; Eliane,  assentado com argamassa colante em pó ACIII</t>
        </is>
      </c>
      <c r="D741" s="2" t="inlineStr">
        <is>
          <t>12/02/2027</t>
        </is>
      </c>
      <c r="E741" s="2" t="inlineStr">
        <is>
          <t>28/10/2027</t>
        </is>
      </c>
      <c r="F741" s="2" t="n">
        <v>31267.70266738018</v>
      </c>
      <c r="G741" s="2" t="n">
        <v>0</v>
      </c>
      <c r="H741" s="2" t="n">
        <v>31267.70266738018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0</v>
      </c>
      <c r="CM741" s="2" t="n">
        <v>0</v>
      </c>
      <c r="CN741" s="2" t="n">
        <v>0</v>
      </c>
      <c r="CO741" s="2" t="n">
        <v>0</v>
      </c>
      <c r="CP741" s="2" t="n">
        <v>0</v>
      </c>
      <c r="CQ741" s="2" t="n">
        <v>0</v>
      </c>
      <c r="CR741" s="2" t="n">
        <v>0</v>
      </c>
      <c r="CS741" s="2" t="n">
        <v>0</v>
      </c>
      <c r="CT741" s="2" t="n">
        <v>0</v>
      </c>
      <c r="CU741" s="2" t="n">
        <v>7.25</v>
      </c>
      <c r="CV741" s="2" t="n">
        <v>10.68</v>
      </c>
      <c r="CW741" s="2" t="n">
        <v>0</v>
      </c>
      <c r="CX741" s="2" t="n">
        <v>53.18</v>
      </c>
      <c r="CY741" s="2" t="n">
        <v>62.27</v>
      </c>
      <c r="CZ741" s="2" t="n">
        <v>0</v>
      </c>
      <c r="DA741" s="2" t="n">
        <v>62.27</v>
      </c>
      <c r="DB741" s="2" t="n">
        <v>62.27</v>
      </c>
      <c r="DC741" s="2" t="n">
        <v>0</v>
      </c>
      <c r="DD741" s="2" t="n">
        <v>62.27</v>
      </c>
      <c r="DE741" s="2" t="n">
        <v>65.38</v>
      </c>
      <c r="DF741" s="2" t="n">
        <v>0</v>
      </c>
      <c r="DG741" s="2" t="n">
        <v>73.65000000000001</v>
      </c>
      <c r="DH741" s="2" t="n">
        <v>73.65000000000001</v>
      </c>
      <c r="DI741" s="2" t="n">
        <v>0</v>
      </c>
      <c r="DJ741" s="2" t="n">
        <v>73.65000000000001</v>
      </c>
      <c r="DK741" s="2" t="n">
        <v>73.65000000000001</v>
      </c>
      <c r="DL741" s="2" t="n">
        <v>0</v>
      </c>
      <c r="DM741" s="2" t="n">
        <v>93.79000000000001</v>
      </c>
      <c r="DN741" s="2" t="n">
        <v>73.65000000000001</v>
      </c>
      <c r="DO741" s="2" t="n">
        <v>0</v>
      </c>
      <c r="DP741" s="2" t="n">
        <v>93.79000000000001</v>
      </c>
      <c r="DQ741" s="2" t="n">
        <v>93.79000000000001</v>
      </c>
      <c r="DR741" s="2" t="n">
        <v>0</v>
      </c>
      <c r="DS741" s="2" t="n">
        <v>100</v>
      </c>
      <c r="DT741" s="2" t="n">
        <v>100</v>
      </c>
      <c r="DU741" s="2" t="n">
        <v>0</v>
      </c>
      <c r="DV741" s="2" t="n">
        <v>100</v>
      </c>
      <c r="DW741" s="2" t="n">
        <v>100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  <c r="ET741" s="2" t="n">
        <v>100</v>
      </c>
      <c r="EU741" s="2" t="n">
        <v>100</v>
      </c>
      <c r="EV741" s="2" t="n">
        <v>0</v>
      </c>
      <c r="EW741" s="2" t="n">
        <v>100</v>
      </c>
      <c r="EX741" s="2" t="n">
        <v>100</v>
      </c>
      <c r="EY741" s="2" t="n">
        <v>0</v>
      </c>
      <c r="EZ741" s="2" t="n">
        <v>100</v>
      </c>
      <c r="FA741" s="2" t="n">
        <v>100</v>
      </c>
      <c r="FB741" s="2" t="n">
        <v>0</v>
      </c>
      <c r="FC741" s="2" t="n">
        <v>100</v>
      </c>
      <c r="FD741" s="2" t="n">
        <v>100</v>
      </c>
      <c r="FE741" s="2" t="n">
        <v>0</v>
      </c>
      <c r="FF741" s="2" t="n">
        <v>100</v>
      </c>
      <c r="FG741" s="2" t="n">
        <v>100</v>
      </c>
      <c r="FH741" s="2" t="n">
        <v>0</v>
      </c>
      <c r="FI741" s="2" t="n">
        <v>100</v>
      </c>
      <c r="FJ741" s="2" t="n">
        <v>100</v>
      </c>
      <c r="FK741" s="2" t="n">
        <v>0</v>
      </c>
      <c r="FL741" s="2" t="n">
        <v>100</v>
      </c>
      <c r="FM741" s="2" t="n">
        <v>100</v>
      </c>
      <c r="FN741" s="2" t="n">
        <v>0</v>
      </c>
      <c r="FO741" s="2" t="n">
        <v>100</v>
      </c>
      <c r="FP741" s="2" t="n">
        <v>100</v>
      </c>
      <c r="FQ741" s="2" t="n">
        <v>0</v>
      </c>
    </row>
    <row r="742">
      <c r="A742" s="2" t="n">
        <v>3</v>
      </c>
      <c r="B742" s="2" t="inlineStr">
        <is>
          <t>31.05.03</t>
        </is>
      </c>
      <c r="C742" s="2" t="inlineStr">
        <is>
          <t>Revestimento com pedras</t>
        </is>
      </c>
      <c r="D742" s="2" t="inlineStr">
        <is>
          <t>03/02/2027</t>
        </is>
      </c>
      <c r="E742" s="2" t="inlineStr">
        <is>
          <t>24/04/2028</t>
        </is>
      </c>
      <c r="F742" s="2" t="n">
        <v>2620490.645077389</v>
      </c>
      <c r="G742" s="2" t="n">
        <v>0</v>
      </c>
      <c r="H742" s="2" t="n">
        <v>2620490.645077389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0</v>
      </c>
      <c r="CM742" s="2" t="n">
        <v>0</v>
      </c>
      <c r="CN742" s="2" t="n">
        <v>0</v>
      </c>
      <c r="CO742" s="2" t="n">
        <v>0</v>
      </c>
      <c r="CP742" s="2" t="n">
        <v>0</v>
      </c>
      <c r="CQ742" s="2" t="n">
        <v>0</v>
      </c>
      <c r="CR742" s="2" t="n">
        <v>0</v>
      </c>
      <c r="CS742" s="2" t="n">
        <v>0</v>
      </c>
      <c r="CT742" s="2" t="n">
        <v>0</v>
      </c>
      <c r="CU742" s="2" t="n">
        <v>9.59</v>
      </c>
      <c r="CV742" s="2" t="n">
        <v>5.55</v>
      </c>
      <c r="CW742" s="2" t="n">
        <v>0</v>
      </c>
      <c r="CX742" s="2" t="n">
        <v>16.45</v>
      </c>
      <c r="CY742" s="2" t="n">
        <v>13.69</v>
      </c>
      <c r="CZ742" s="2" t="n">
        <v>0</v>
      </c>
      <c r="DA742" s="2" t="n">
        <v>18.51</v>
      </c>
      <c r="DB742" s="2" t="n">
        <v>18.51</v>
      </c>
      <c r="DC742" s="2" t="n">
        <v>0</v>
      </c>
      <c r="DD742" s="2" t="n">
        <v>22.22</v>
      </c>
      <c r="DE742" s="2" t="n">
        <v>19.52</v>
      </c>
      <c r="DF742" s="2" t="n">
        <v>0</v>
      </c>
      <c r="DG742" s="2" t="n">
        <v>33.32</v>
      </c>
      <c r="DH742" s="2" t="n">
        <v>33.32</v>
      </c>
      <c r="DI742" s="2" t="n">
        <v>0</v>
      </c>
      <c r="DJ742" s="2" t="n">
        <v>41.14</v>
      </c>
      <c r="DK742" s="2" t="n">
        <v>42.58</v>
      </c>
      <c r="DL742" s="2" t="n">
        <v>0</v>
      </c>
      <c r="DM742" s="2" t="n">
        <v>55.96</v>
      </c>
      <c r="DN742" s="2" t="n">
        <v>53.33</v>
      </c>
      <c r="DO742" s="2" t="n">
        <v>0</v>
      </c>
      <c r="DP742" s="2" t="n">
        <v>62.96</v>
      </c>
      <c r="DQ742" s="2" t="n">
        <v>63.33</v>
      </c>
      <c r="DR742" s="2" t="n">
        <v>0</v>
      </c>
      <c r="DS742" s="2" t="n">
        <v>68.31</v>
      </c>
      <c r="DT742" s="2" t="n">
        <v>68.89</v>
      </c>
      <c r="DU742" s="2" t="n">
        <v>0</v>
      </c>
      <c r="DV742" s="2" t="n">
        <v>79.84</v>
      </c>
      <c r="DW742" s="2" t="n">
        <v>78.52</v>
      </c>
      <c r="DX742" s="2" t="n">
        <v>0</v>
      </c>
      <c r="DY742" s="2" t="n">
        <v>84.78</v>
      </c>
      <c r="DZ742" s="2" t="n">
        <v>81.48999999999999</v>
      </c>
      <c r="EA742" s="2" t="n">
        <v>0</v>
      </c>
      <c r="EB742" s="2" t="n">
        <v>92.59999999999999</v>
      </c>
      <c r="EC742" s="2" t="n">
        <v>87.41</v>
      </c>
      <c r="ED742" s="2" t="n">
        <v>0</v>
      </c>
      <c r="EE742" s="2" t="n">
        <v>96.31</v>
      </c>
      <c r="EF742" s="2" t="n">
        <v>92.59999999999999</v>
      </c>
      <c r="EG742" s="2" t="n">
        <v>0</v>
      </c>
      <c r="EH742" s="2" t="n">
        <v>96.31</v>
      </c>
      <c r="EI742" s="2" t="n">
        <v>96.31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  <c r="ET742" s="2" t="n">
        <v>100</v>
      </c>
      <c r="EU742" s="2" t="n">
        <v>100</v>
      </c>
      <c r="EV742" s="2" t="n">
        <v>0</v>
      </c>
      <c r="EW742" s="2" t="n">
        <v>100</v>
      </c>
      <c r="EX742" s="2" t="n">
        <v>100</v>
      </c>
      <c r="EY742" s="2" t="n">
        <v>0</v>
      </c>
      <c r="EZ742" s="2" t="n">
        <v>100</v>
      </c>
      <c r="FA742" s="2" t="n">
        <v>100</v>
      </c>
      <c r="FB742" s="2" t="n">
        <v>0</v>
      </c>
      <c r="FC742" s="2" t="n">
        <v>100</v>
      </c>
      <c r="FD742" s="2" t="n">
        <v>100</v>
      </c>
      <c r="FE742" s="2" t="n">
        <v>0</v>
      </c>
      <c r="FF742" s="2" t="n">
        <v>100</v>
      </c>
      <c r="FG742" s="2" t="n">
        <v>100</v>
      </c>
      <c r="FH742" s="2" t="n">
        <v>0</v>
      </c>
      <c r="FI742" s="2" t="n">
        <v>100</v>
      </c>
      <c r="FJ742" s="2" t="n">
        <v>100</v>
      </c>
      <c r="FK742" s="2" t="n">
        <v>0</v>
      </c>
      <c r="FL742" s="2" t="n">
        <v>100</v>
      </c>
      <c r="FM742" s="2" t="n">
        <v>100</v>
      </c>
      <c r="FN742" s="2" t="n">
        <v>0</v>
      </c>
      <c r="FO742" s="2" t="n">
        <v>100</v>
      </c>
      <c r="FP742" s="2" t="n">
        <v>100</v>
      </c>
      <c r="FQ742" s="2" t="n">
        <v>0</v>
      </c>
    </row>
    <row r="743">
      <c r="A743" s="2" t="n">
        <v>4</v>
      </c>
      <c r="B743" s="2" t="inlineStr">
        <is>
          <t>31.05.03.01</t>
        </is>
      </c>
      <c r="C743" s="2" t="inlineStr">
        <is>
          <t>INT - Revestimento em mármore branco frisado selecionado, lote a ser aprovado. Espessura:2cm,  assentado com argamassa colante em pó ACIII</t>
        </is>
      </c>
      <c r="D743" s="2" t="inlineStr">
        <is>
          <t>03/02/2027</t>
        </is>
      </c>
      <c r="E743" s="2" t="inlineStr">
        <is>
          <t>24/04/2028</t>
        </is>
      </c>
      <c r="F743" s="2" t="n">
        <v>25841.45692520386</v>
      </c>
      <c r="G743" s="2" t="n">
        <v>0</v>
      </c>
      <c r="H743" s="2" t="n">
        <v>25841.45692520386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0</v>
      </c>
      <c r="CM743" s="2" t="n">
        <v>0</v>
      </c>
      <c r="CN743" s="2" t="n">
        <v>0</v>
      </c>
      <c r="CO743" s="2" t="n">
        <v>0</v>
      </c>
      <c r="CP743" s="2" t="n">
        <v>0</v>
      </c>
      <c r="CQ743" s="2" t="n">
        <v>0</v>
      </c>
      <c r="CR743" s="2" t="n">
        <v>0</v>
      </c>
      <c r="CS743" s="2" t="n">
        <v>0</v>
      </c>
      <c r="CT743" s="2" t="n">
        <v>0</v>
      </c>
      <c r="CU743" s="2" t="n">
        <v>9.09</v>
      </c>
      <c r="CV743" s="2" t="n">
        <v>5.05</v>
      </c>
      <c r="CW743" s="2" t="n">
        <v>0</v>
      </c>
      <c r="CX743" s="2" t="n">
        <v>15.62</v>
      </c>
      <c r="CY743" s="2" t="n">
        <v>12.77</v>
      </c>
      <c r="CZ743" s="2" t="n">
        <v>0</v>
      </c>
      <c r="DA743" s="2" t="n">
        <v>17.74</v>
      </c>
      <c r="DB743" s="2" t="n">
        <v>17.74</v>
      </c>
      <c r="DC743" s="2" t="n">
        <v>0</v>
      </c>
      <c r="DD743" s="2" t="n">
        <v>21.56</v>
      </c>
      <c r="DE743" s="2" t="n">
        <v>18.36</v>
      </c>
      <c r="DF743" s="2" t="n">
        <v>0</v>
      </c>
      <c r="DG743" s="2" t="n">
        <v>31.97</v>
      </c>
      <c r="DH743" s="2" t="n">
        <v>31.97</v>
      </c>
      <c r="DI743" s="2" t="n">
        <v>0</v>
      </c>
      <c r="DJ743" s="2" t="n">
        <v>40.04</v>
      </c>
      <c r="DK743" s="2" t="n">
        <v>41.52</v>
      </c>
      <c r="DL743" s="2" t="n">
        <v>0</v>
      </c>
      <c r="DM743" s="2" t="n">
        <v>55.53</v>
      </c>
      <c r="DN743" s="2" t="n">
        <v>52.6</v>
      </c>
      <c r="DO743" s="2" t="n">
        <v>0</v>
      </c>
      <c r="DP743" s="2" t="n">
        <v>62.75</v>
      </c>
      <c r="DQ743" s="2" t="n">
        <v>63.13</v>
      </c>
      <c r="DR743" s="2" t="n">
        <v>0</v>
      </c>
      <c r="DS743" s="2" t="n">
        <v>68.27</v>
      </c>
      <c r="DT743" s="2" t="n">
        <v>68.86</v>
      </c>
      <c r="DU743" s="2" t="n">
        <v>0</v>
      </c>
      <c r="DV743" s="2" t="n">
        <v>80.15000000000001</v>
      </c>
      <c r="DW743" s="2" t="n">
        <v>78.79000000000001</v>
      </c>
      <c r="DX743" s="2" t="n">
        <v>0</v>
      </c>
      <c r="DY743" s="2" t="n">
        <v>85.23999999999999</v>
      </c>
      <c r="DZ743" s="2" t="n">
        <v>81.84999999999999</v>
      </c>
      <c r="EA743" s="2" t="n">
        <v>0</v>
      </c>
      <c r="EB743" s="2" t="n">
        <v>93.31</v>
      </c>
      <c r="EC743" s="2" t="n">
        <v>87.95999999999999</v>
      </c>
      <c r="ED743" s="2" t="n">
        <v>0</v>
      </c>
      <c r="EE743" s="2" t="n">
        <v>97.83</v>
      </c>
      <c r="EF743" s="2" t="n">
        <v>93.31</v>
      </c>
      <c r="EG743" s="2" t="n">
        <v>0</v>
      </c>
      <c r="EH743" s="2" t="n">
        <v>97.83</v>
      </c>
      <c r="EI743" s="2" t="n">
        <v>97.83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  <c r="ET743" s="2" t="n">
        <v>100</v>
      </c>
      <c r="EU743" s="2" t="n">
        <v>100</v>
      </c>
      <c r="EV743" s="2" t="n">
        <v>0</v>
      </c>
      <c r="EW743" s="2" t="n">
        <v>100</v>
      </c>
      <c r="EX743" s="2" t="n">
        <v>100</v>
      </c>
      <c r="EY743" s="2" t="n">
        <v>0</v>
      </c>
      <c r="EZ743" s="2" t="n">
        <v>100</v>
      </c>
      <c r="FA743" s="2" t="n">
        <v>100</v>
      </c>
      <c r="FB743" s="2" t="n">
        <v>0</v>
      </c>
      <c r="FC743" s="2" t="n">
        <v>100</v>
      </c>
      <c r="FD743" s="2" t="n">
        <v>100</v>
      </c>
      <c r="FE743" s="2" t="n">
        <v>0</v>
      </c>
      <c r="FF743" s="2" t="n">
        <v>100</v>
      </c>
      <c r="FG743" s="2" t="n">
        <v>100</v>
      </c>
      <c r="FH743" s="2" t="n">
        <v>0</v>
      </c>
      <c r="FI743" s="2" t="n">
        <v>100</v>
      </c>
      <c r="FJ743" s="2" t="n">
        <v>100</v>
      </c>
      <c r="FK743" s="2" t="n">
        <v>0</v>
      </c>
      <c r="FL743" s="2" t="n">
        <v>100</v>
      </c>
      <c r="FM743" s="2" t="n">
        <v>100</v>
      </c>
      <c r="FN743" s="2" t="n">
        <v>0</v>
      </c>
      <c r="FO743" s="2" t="n">
        <v>100</v>
      </c>
      <c r="FP743" s="2" t="n">
        <v>100</v>
      </c>
      <c r="FQ743" s="2" t="n">
        <v>0</v>
      </c>
    </row>
    <row r="744">
      <c r="A744" s="2" t="n">
        <v>4</v>
      </c>
      <c r="B744" s="2" t="inlineStr">
        <is>
          <t>31.05.03.02</t>
        </is>
      </c>
      <c r="C744" s="2" t="inlineStr">
        <is>
          <t>INT - Revestimento em mármore branco selecionado, lote a ser aprovado. Espessura:2cm,  assentado com argamassa colante em pó ACIII</t>
        </is>
      </c>
      <c r="D744" s="2" t="inlineStr">
        <is>
          <t>03/02/2027</t>
        </is>
      </c>
      <c r="E744" s="2" t="inlineStr">
        <is>
          <t>24/04/2028</t>
        </is>
      </c>
      <c r="F744" s="2" t="n">
        <v>347906.8716378085</v>
      </c>
      <c r="G744" s="2" t="n">
        <v>0</v>
      </c>
      <c r="H744" s="2" t="n">
        <v>347906.8716378085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0</v>
      </c>
      <c r="CM744" s="2" t="n">
        <v>0</v>
      </c>
      <c r="CN744" s="2" t="n">
        <v>0</v>
      </c>
      <c r="CO744" s="2" t="n">
        <v>0</v>
      </c>
      <c r="CP744" s="2" t="n">
        <v>0</v>
      </c>
      <c r="CQ744" s="2" t="n">
        <v>0</v>
      </c>
      <c r="CR744" s="2" t="n">
        <v>0</v>
      </c>
      <c r="CS744" s="2" t="n">
        <v>0</v>
      </c>
      <c r="CT744" s="2" t="n">
        <v>0</v>
      </c>
      <c r="CU744" s="2" t="n">
        <v>9.6</v>
      </c>
      <c r="CV744" s="2" t="n">
        <v>5.56</v>
      </c>
      <c r="CW744" s="2" t="n">
        <v>0</v>
      </c>
      <c r="CX744" s="2" t="n">
        <v>16.46</v>
      </c>
      <c r="CY744" s="2" t="n">
        <v>13.7</v>
      </c>
      <c r="CZ744" s="2" t="n">
        <v>0</v>
      </c>
      <c r="DA744" s="2" t="n">
        <v>18.52</v>
      </c>
      <c r="DB744" s="2" t="n">
        <v>18.52</v>
      </c>
      <c r="DC744" s="2" t="n">
        <v>0</v>
      </c>
      <c r="DD744" s="2" t="n">
        <v>22.22</v>
      </c>
      <c r="DE744" s="2" t="n">
        <v>19.53</v>
      </c>
      <c r="DF744" s="2" t="n">
        <v>0</v>
      </c>
      <c r="DG744" s="2" t="n">
        <v>33.33</v>
      </c>
      <c r="DH744" s="2" t="n">
        <v>33.33</v>
      </c>
      <c r="DI744" s="2" t="n">
        <v>0</v>
      </c>
      <c r="DJ744" s="2" t="n">
        <v>41.15</v>
      </c>
      <c r="DK744" s="2" t="n">
        <v>42.59</v>
      </c>
      <c r="DL744" s="2" t="n">
        <v>0</v>
      </c>
      <c r="DM744" s="2" t="n">
        <v>55.97</v>
      </c>
      <c r="DN744" s="2" t="n">
        <v>53.33</v>
      </c>
      <c r="DO744" s="2" t="n">
        <v>0</v>
      </c>
      <c r="DP744" s="2" t="n">
        <v>62.96</v>
      </c>
      <c r="DQ744" s="2" t="n">
        <v>63.33</v>
      </c>
      <c r="DR744" s="2" t="n">
        <v>0</v>
      </c>
      <c r="DS744" s="2" t="n">
        <v>68.31</v>
      </c>
      <c r="DT744" s="2" t="n">
        <v>68.89</v>
      </c>
      <c r="DU744" s="2" t="n">
        <v>0</v>
      </c>
      <c r="DV744" s="2" t="n">
        <v>79.84</v>
      </c>
      <c r="DW744" s="2" t="n">
        <v>78.52</v>
      </c>
      <c r="DX744" s="2" t="n">
        <v>0</v>
      </c>
      <c r="DY744" s="2" t="n">
        <v>84.77</v>
      </c>
      <c r="DZ744" s="2" t="n">
        <v>81.48</v>
      </c>
      <c r="EA744" s="2" t="n">
        <v>0</v>
      </c>
      <c r="EB744" s="2" t="n">
        <v>92.59</v>
      </c>
      <c r="EC744" s="2" t="n">
        <v>87.41</v>
      </c>
      <c r="ED744" s="2" t="n">
        <v>0</v>
      </c>
      <c r="EE744" s="2" t="n">
        <v>96.3</v>
      </c>
      <c r="EF744" s="2" t="n">
        <v>92.59</v>
      </c>
      <c r="EG744" s="2" t="n">
        <v>0</v>
      </c>
      <c r="EH744" s="2" t="n">
        <v>96.3</v>
      </c>
      <c r="EI744" s="2" t="n">
        <v>96.3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  <c r="ET744" s="2" t="n">
        <v>100</v>
      </c>
      <c r="EU744" s="2" t="n">
        <v>100</v>
      </c>
      <c r="EV744" s="2" t="n">
        <v>0</v>
      </c>
      <c r="EW744" s="2" t="n">
        <v>100</v>
      </c>
      <c r="EX744" s="2" t="n">
        <v>100</v>
      </c>
      <c r="EY744" s="2" t="n">
        <v>0</v>
      </c>
      <c r="EZ744" s="2" t="n">
        <v>100</v>
      </c>
      <c r="FA744" s="2" t="n">
        <v>100</v>
      </c>
      <c r="FB744" s="2" t="n">
        <v>0</v>
      </c>
      <c r="FC744" s="2" t="n">
        <v>100</v>
      </c>
      <c r="FD744" s="2" t="n">
        <v>100</v>
      </c>
      <c r="FE744" s="2" t="n">
        <v>0</v>
      </c>
      <c r="FF744" s="2" t="n">
        <v>100</v>
      </c>
      <c r="FG744" s="2" t="n">
        <v>100</v>
      </c>
      <c r="FH744" s="2" t="n">
        <v>0</v>
      </c>
      <c r="FI744" s="2" t="n">
        <v>100</v>
      </c>
      <c r="FJ744" s="2" t="n">
        <v>100</v>
      </c>
      <c r="FK744" s="2" t="n">
        <v>0</v>
      </c>
      <c r="FL744" s="2" t="n">
        <v>100</v>
      </c>
      <c r="FM744" s="2" t="n">
        <v>100</v>
      </c>
      <c r="FN744" s="2" t="n">
        <v>0</v>
      </c>
      <c r="FO744" s="2" t="n">
        <v>100</v>
      </c>
      <c r="FP744" s="2" t="n">
        <v>100</v>
      </c>
      <c r="FQ744" s="2" t="n">
        <v>0</v>
      </c>
    </row>
    <row r="745">
      <c r="A745" s="2" t="n">
        <v>4</v>
      </c>
      <c r="B745" s="2" t="inlineStr">
        <is>
          <t>31.05.03.03</t>
        </is>
      </c>
      <c r="C745" s="2" t="inlineStr">
        <is>
          <t>INT - Revestimento de granito santa rosa acabamento serrado, espessura 2cm, assentado com argamassa colante em pó ACIII</t>
        </is>
      </c>
      <c r="D745" s="2" t="inlineStr">
        <is>
          <t>03/02/2027</t>
        </is>
      </c>
      <c r="E745" s="2" t="inlineStr">
        <is>
          <t>24/04/2028</t>
        </is>
      </c>
      <c r="F745" s="2" t="n">
        <v>62143.09351676892</v>
      </c>
      <c r="G745" s="2" t="n">
        <v>0</v>
      </c>
      <c r="H745" s="2" t="n">
        <v>62143.09351676892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0</v>
      </c>
      <c r="CM745" s="2" t="n">
        <v>0</v>
      </c>
      <c r="CN745" s="2" t="n">
        <v>0</v>
      </c>
      <c r="CO745" s="2" t="n">
        <v>0</v>
      </c>
      <c r="CP745" s="2" t="n">
        <v>0</v>
      </c>
      <c r="CQ745" s="2" t="n">
        <v>0</v>
      </c>
      <c r="CR745" s="2" t="n">
        <v>0</v>
      </c>
      <c r="CS745" s="2" t="n">
        <v>0</v>
      </c>
      <c r="CT745" s="2" t="n">
        <v>0</v>
      </c>
      <c r="CU745" s="2" t="n">
        <v>9.6</v>
      </c>
      <c r="CV745" s="2" t="n">
        <v>5.56</v>
      </c>
      <c r="CW745" s="2" t="n">
        <v>0</v>
      </c>
      <c r="CX745" s="2" t="n">
        <v>16.46</v>
      </c>
      <c r="CY745" s="2" t="n">
        <v>13.7</v>
      </c>
      <c r="CZ745" s="2" t="n">
        <v>0</v>
      </c>
      <c r="DA745" s="2" t="n">
        <v>18.52</v>
      </c>
      <c r="DB745" s="2" t="n">
        <v>18.52</v>
      </c>
      <c r="DC745" s="2" t="n">
        <v>0</v>
      </c>
      <c r="DD745" s="2" t="n">
        <v>22.22</v>
      </c>
      <c r="DE745" s="2" t="n">
        <v>19.53</v>
      </c>
      <c r="DF745" s="2" t="n">
        <v>0</v>
      </c>
      <c r="DG745" s="2" t="n">
        <v>33.33</v>
      </c>
      <c r="DH745" s="2" t="n">
        <v>33.33</v>
      </c>
      <c r="DI745" s="2" t="n">
        <v>0</v>
      </c>
      <c r="DJ745" s="2" t="n">
        <v>41.15</v>
      </c>
      <c r="DK745" s="2" t="n">
        <v>42.59</v>
      </c>
      <c r="DL745" s="2" t="n">
        <v>0</v>
      </c>
      <c r="DM745" s="2" t="n">
        <v>55.97</v>
      </c>
      <c r="DN745" s="2" t="n">
        <v>53.33</v>
      </c>
      <c r="DO745" s="2" t="n">
        <v>0</v>
      </c>
      <c r="DP745" s="2" t="n">
        <v>62.96</v>
      </c>
      <c r="DQ745" s="2" t="n">
        <v>63.33</v>
      </c>
      <c r="DR745" s="2" t="n">
        <v>0</v>
      </c>
      <c r="DS745" s="2" t="n">
        <v>68.31</v>
      </c>
      <c r="DT745" s="2" t="n">
        <v>68.89</v>
      </c>
      <c r="DU745" s="2" t="n">
        <v>0</v>
      </c>
      <c r="DV745" s="2" t="n">
        <v>79.84</v>
      </c>
      <c r="DW745" s="2" t="n">
        <v>78.52</v>
      </c>
      <c r="DX745" s="2" t="n">
        <v>0</v>
      </c>
      <c r="DY745" s="2" t="n">
        <v>84.77</v>
      </c>
      <c r="DZ745" s="2" t="n">
        <v>81.48</v>
      </c>
      <c r="EA745" s="2" t="n">
        <v>0</v>
      </c>
      <c r="EB745" s="2" t="n">
        <v>92.59</v>
      </c>
      <c r="EC745" s="2" t="n">
        <v>87.41</v>
      </c>
      <c r="ED745" s="2" t="n">
        <v>0</v>
      </c>
      <c r="EE745" s="2" t="n">
        <v>96.3</v>
      </c>
      <c r="EF745" s="2" t="n">
        <v>92.59</v>
      </c>
      <c r="EG745" s="2" t="n">
        <v>0</v>
      </c>
      <c r="EH745" s="2" t="n">
        <v>96.3</v>
      </c>
      <c r="EI745" s="2" t="n">
        <v>96.3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  <c r="ET745" s="2" t="n">
        <v>100</v>
      </c>
      <c r="EU745" s="2" t="n">
        <v>100</v>
      </c>
      <c r="EV745" s="2" t="n">
        <v>0</v>
      </c>
      <c r="EW745" s="2" t="n">
        <v>100</v>
      </c>
      <c r="EX745" s="2" t="n">
        <v>100</v>
      </c>
      <c r="EY745" s="2" t="n">
        <v>0</v>
      </c>
      <c r="EZ745" s="2" t="n">
        <v>100</v>
      </c>
      <c r="FA745" s="2" t="n">
        <v>100</v>
      </c>
      <c r="FB745" s="2" t="n">
        <v>0</v>
      </c>
      <c r="FC745" s="2" t="n">
        <v>100</v>
      </c>
      <c r="FD745" s="2" t="n">
        <v>100</v>
      </c>
      <c r="FE745" s="2" t="n">
        <v>0</v>
      </c>
      <c r="FF745" s="2" t="n">
        <v>100</v>
      </c>
      <c r="FG745" s="2" t="n">
        <v>100</v>
      </c>
      <c r="FH745" s="2" t="n">
        <v>0</v>
      </c>
      <c r="FI745" s="2" t="n">
        <v>100</v>
      </c>
      <c r="FJ745" s="2" t="n">
        <v>100</v>
      </c>
      <c r="FK745" s="2" t="n">
        <v>0</v>
      </c>
      <c r="FL745" s="2" t="n">
        <v>100</v>
      </c>
      <c r="FM745" s="2" t="n">
        <v>100</v>
      </c>
      <c r="FN745" s="2" t="n">
        <v>0</v>
      </c>
      <c r="FO745" s="2" t="n">
        <v>100</v>
      </c>
      <c r="FP745" s="2" t="n">
        <v>100</v>
      </c>
      <c r="FQ745" s="2" t="n">
        <v>0</v>
      </c>
    </row>
    <row r="746">
      <c r="A746" s="2" t="n">
        <v>4</v>
      </c>
      <c r="B746" s="2" t="inlineStr">
        <is>
          <t>31.05.03.04</t>
        </is>
      </c>
      <c r="C746" s="2" t="inlineStr">
        <is>
          <t>INT - Revestimento de mármore Dedalus, acabamento escovado, espessura 2cm, assentado com argamassa colante em pó ACIII</t>
        </is>
      </c>
      <c r="D746" s="2" t="inlineStr">
        <is>
          <t>03/02/2027</t>
        </is>
      </c>
      <c r="E746" s="2" t="inlineStr">
        <is>
          <t>24/04/2028</t>
        </is>
      </c>
      <c r="F746" s="2" t="n">
        <v>51260.44575737597</v>
      </c>
      <c r="G746" s="2" t="n">
        <v>0</v>
      </c>
      <c r="H746" s="2" t="n">
        <v>51260.44575737597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0</v>
      </c>
      <c r="CM746" s="2" t="n">
        <v>0</v>
      </c>
      <c r="CN746" s="2" t="n">
        <v>0</v>
      </c>
      <c r="CO746" s="2" t="n">
        <v>0</v>
      </c>
      <c r="CP746" s="2" t="n">
        <v>0</v>
      </c>
      <c r="CQ746" s="2" t="n">
        <v>0</v>
      </c>
      <c r="CR746" s="2" t="n">
        <v>0</v>
      </c>
      <c r="CS746" s="2" t="n">
        <v>0</v>
      </c>
      <c r="CT746" s="2" t="n">
        <v>0</v>
      </c>
      <c r="CU746" s="2" t="n">
        <v>9.6</v>
      </c>
      <c r="CV746" s="2" t="n">
        <v>5.56</v>
      </c>
      <c r="CW746" s="2" t="n">
        <v>0</v>
      </c>
      <c r="CX746" s="2" t="n">
        <v>16.46</v>
      </c>
      <c r="CY746" s="2" t="n">
        <v>13.7</v>
      </c>
      <c r="CZ746" s="2" t="n">
        <v>0</v>
      </c>
      <c r="DA746" s="2" t="n">
        <v>18.52</v>
      </c>
      <c r="DB746" s="2" t="n">
        <v>18.52</v>
      </c>
      <c r="DC746" s="2" t="n">
        <v>0</v>
      </c>
      <c r="DD746" s="2" t="n">
        <v>22.22</v>
      </c>
      <c r="DE746" s="2" t="n">
        <v>19.53</v>
      </c>
      <c r="DF746" s="2" t="n">
        <v>0</v>
      </c>
      <c r="DG746" s="2" t="n">
        <v>33.33</v>
      </c>
      <c r="DH746" s="2" t="n">
        <v>33.33</v>
      </c>
      <c r="DI746" s="2" t="n">
        <v>0</v>
      </c>
      <c r="DJ746" s="2" t="n">
        <v>41.15</v>
      </c>
      <c r="DK746" s="2" t="n">
        <v>42.59</v>
      </c>
      <c r="DL746" s="2" t="n">
        <v>0</v>
      </c>
      <c r="DM746" s="2" t="n">
        <v>55.97</v>
      </c>
      <c r="DN746" s="2" t="n">
        <v>53.33</v>
      </c>
      <c r="DO746" s="2" t="n">
        <v>0</v>
      </c>
      <c r="DP746" s="2" t="n">
        <v>62.96</v>
      </c>
      <c r="DQ746" s="2" t="n">
        <v>63.33</v>
      </c>
      <c r="DR746" s="2" t="n">
        <v>0</v>
      </c>
      <c r="DS746" s="2" t="n">
        <v>68.31</v>
      </c>
      <c r="DT746" s="2" t="n">
        <v>68.89</v>
      </c>
      <c r="DU746" s="2" t="n">
        <v>0</v>
      </c>
      <c r="DV746" s="2" t="n">
        <v>79.84</v>
      </c>
      <c r="DW746" s="2" t="n">
        <v>78.52</v>
      </c>
      <c r="DX746" s="2" t="n">
        <v>0</v>
      </c>
      <c r="DY746" s="2" t="n">
        <v>84.77</v>
      </c>
      <c r="DZ746" s="2" t="n">
        <v>81.48</v>
      </c>
      <c r="EA746" s="2" t="n">
        <v>0</v>
      </c>
      <c r="EB746" s="2" t="n">
        <v>92.59</v>
      </c>
      <c r="EC746" s="2" t="n">
        <v>87.41</v>
      </c>
      <c r="ED746" s="2" t="n">
        <v>0</v>
      </c>
      <c r="EE746" s="2" t="n">
        <v>96.3</v>
      </c>
      <c r="EF746" s="2" t="n">
        <v>92.59</v>
      </c>
      <c r="EG746" s="2" t="n">
        <v>0</v>
      </c>
      <c r="EH746" s="2" t="n">
        <v>96.3</v>
      </c>
      <c r="EI746" s="2" t="n">
        <v>96.3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  <c r="ET746" s="2" t="n">
        <v>100</v>
      </c>
      <c r="EU746" s="2" t="n">
        <v>100</v>
      </c>
      <c r="EV746" s="2" t="n">
        <v>0</v>
      </c>
      <c r="EW746" s="2" t="n">
        <v>100</v>
      </c>
      <c r="EX746" s="2" t="n">
        <v>100</v>
      </c>
      <c r="EY746" s="2" t="n">
        <v>0</v>
      </c>
      <c r="EZ746" s="2" t="n">
        <v>100</v>
      </c>
      <c r="FA746" s="2" t="n">
        <v>100</v>
      </c>
      <c r="FB746" s="2" t="n">
        <v>0</v>
      </c>
      <c r="FC746" s="2" t="n">
        <v>100</v>
      </c>
      <c r="FD746" s="2" t="n">
        <v>100</v>
      </c>
      <c r="FE746" s="2" t="n">
        <v>0</v>
      </c>
      <c r="FF746" s="2" t="n">
        <v>100</v>
      </c>
      <c r="FG746" s="2" t="n">
        <v>100</v>
      </c>
      <c r="FH746" s="2" t="n">
        <v>0</v>
      </c>
      <c r="FI746" s="2" t="n">
        <v>100</v>
      </c>
      <c r="FJ746" s="2" t="n">
        <v>100</v>
      </c>
      <c r="FK746" s="2" t="n">
        <v>0</v>
      </c>
      <c r="FL746" s="2" t="n">
        <v>100</v>
      </c>
      <c r="FM746" s="2" t="n">
        <v>100</v>
      </c>
      <c r="FN746" s="2" t="n">
        <v>0</v>
      </c>
      <c r="FO746" s="2" t="n">
        <v>100</v>
      </c>
      <c r="FP746" s="2" t="n">
        <v>100</v>
      </c>
      <c r="FQ746" s="2" t="n">
        <v>0</v>
      </c>
    </row>
    <row r="747">
      <c r="A747" s="2" t="n">
        <v>4</v>
      </c>
      <c r="B747" s="2" t="inlineStr">
        <is>
          <t>31.05.03.05</t>
        </is>
      </c>
      <c r="C747" s="2" t="inlineStr">
        <is>
          <t>INT - Revestimento em terrazo donata branco - 192x96, espessura: 2,5cm</t>
        </is>
      </c>
      <c r="D747" s="2" t="inlineStr">
        <is>
          <t>03/02/2027</t>
        </is>
      </c>
      <c r="E747" s="2" t="inlineStr">
        <is>
          <t>24/04/2028</t>
        </is>
      </c>
      <c r="F747" s="2" t="n">
        <v>64042</v>
      </c>
      <c r="G747" s="2" t="n">
        <v>0</v>
      </c>
      <c r="H747" s="2" t="n">
        <v>64042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0</v>
      </c>
      <c r="CM747" s="2" t="n">
        <v>0</v>
      </c>
      <c r="CN747" s="2" t="n">
        <v>0</v>
      </c>
      <c r="CO747" s="2" t="n">
        <v>0</v>
      </c>
      <c r="CP747" s="2" t="n">
        <v>0</v>
      </c>
      <c r="CQ747" s="2" t="n">
        <v>0</v>
      </c>
      <c r="CR747" s="2" t="n">
        <v>0</v>
      </c>
      <c r="CS747" s="2" t="n">
        <v>0</v>
      </c>
      <c r="CT747" s="2" t="n">
        <v>0</v>
      </c>
      <c r="CU747" s="2" t="n">
        <v>9.6</v>
      </c>
      <c r="CV747" s="2" t="n">
        <v>5.56</v>
      </c>
      <c r="CW747" s="2" t="n">
        <v>0</v>
      </c>
      <c r="CX747" s="2" t="n">
        <v>16.46</v>
      </c>
      <c r="CY747" s="2" t="n">
        <v>13.7</v>
      </c>
      <c r="CZ747" s="2" t="n">
        <v>0</v>
      </c>
      <c r="DA747" s="2" t="n">
        <v>18.52</v>
      </c>
      <c r="DB747" s="2" t="n">
        <v>18.52</v>
      </c>
      <c r="DC747" s="2" t="n">
        <v>0</v>
      </c>
      <c r="DD747" s="2" t="n">
        <v>22.22</v>
      </c>
      <c r="DE747" s="2" t="n">
        <v>19.53</v>
      </c>
      <c r="DF747" s="2" t="n">
        <v>0</v>
      </c>
      <c r="DG747" s="2" t="n">
        <v>33.33</v>
      </c>
      <c r="DH747" s="2" t="n">
        <v>33.33</v>
      </c>
      <c r="DI747" s="2" t="n">
        <v>0</v>
      </c>
      <c r="DJ747" s="2" t="n">
        <v>41.15</v>
      </c>
      <c r="DK747" s="2" t="n">
        <v>42.59</v>
      </c>
      <c r="DL747" s="2" t="n">
        <v>0</v>
      </c>
      <c r="DM747" s="2" t="n">
        <v>55.97</v>
      </c>
      <c r="DN747" s="2" t="n">
        <v>53.33</v>
      </c>
      <c r="DO747" s="2" t="n">
        <v>0</v>
      </c>
      <c r="DP747" s="2" t="n">
        <v>62.96</v>
      </c>
      <c r="DQ747" s="2" t="n">
        <v>63.33</v>
      </c>
      <c r="DR747" s="2" t="n">
        <v>0</v>
      </c>
      <c r="DS747" s="2" t="n">
        <v>68.31</v>
      </c>
      <c r="DT747" s="2" t="n">
        <v>68.89</v>
      </c>
      <c r="DU747" s="2" t="n">
        <v>0</v>
      </c>
      <c r="DV747" s="2" t="n">
        <v>79.84</v>
      </c>
      <c r="DW747" s="2" t="n">
        <v>78.52</v>
      </c>
      <c r="DX747" s="2" t="n">
        <v>0</v>
      </c>
      <c r="DY747" s="2" t="n">
        <v>84.77</v>
      </c>
      <c r="DZ747" s="2" t="n">
        <v>81.48</v>
      </c>
      <c r="EA747" s="2" t="n">
        <v>0</v>
      </c>
      <c r="EB747" s="2" t="n">
        <v>92.59</v>
      </c>
      <c r="EC747" s="2" t="n">
        <v>87.41</v>
      </c>
      <c r="ED747" s="2" t="n">
        <v>0</v>
      </c>
      <c r="EE747" s="2" t="n">
        <v>96.3</v>
      </c>
      <c r="EF747" s="2" t="n">
        <v>92.59</v>
      </c>
      <c r="EG747" s="2" t="n">
        <v>0</v>
      </c>
      <c r="EH747" s="2" t="n">
        <v>96.3</v>
      </c>
      <c r="EI747" s="2" t="n">
        <v>96.3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  <c r="ET747" s="2" t="n">
        <v>100</v>
      </c>
      <c r="EU747" s="2" t="n">
        <v>100</v>
      </c>
      <c r="EV747" s="2" t="n">
        <v>0</v>
      </c>
      <c r="EW747" s="2" t="n">
        <v>100</v>
      </c>
      <c r="EX747" s="2" t="n">
        <v>100</v>
      </c>
      <c r="EY747" s="2" t="n">
        <v>0</v>
      </c>
      <c r="EZ747" s="2" t="n">
        <v>100</v>
      </c>
      <c r="FA747" s="2" t="n">
        <v>100</v>
      </c>
      <c r="FB747" s="2" t="n">
        <v>0</v>
      </c>
      <c r="FC747" s="2" t="n">
        <v>100</v>
      </c>
      <c r="FD747" s="2" t="n">
        <v>100</v>
      </c>
      <c r="FE747" s="2" t="n">
        <v>0</v>
      </c>
      <c r="FF747" s="2" t="n">
        <v>100</v>
      </c>
      <c r="FG747" s="2" t="n">
        <v>100</v>
      </c>
      <c r="FH747" s="2" t="n">
        <v>0</v>
      </c>
      <c r="FI747" s="2" t="n">
        <v>100</v>
      </c>
      <c r="FJ747" s="2" t="n">
        <v>100</v>
      </c>
      <c r="FK747" s="2" t="n">
        <v>0</v>
      </c>
      <c r="FL747" s="2" t="n">
        <v>100</v>
      </c>
      <c r="FM747" s="2" t="n">
        <v>100</v>
      </c>
      <c r="FN747" s="2" t="n">
        <v>0</v>
      </c>
      <c r="FO747" s="2" t="n">
        <v>100</v>
      </c>
      <c r="FP747" s="2" t="n">
        <v>100</v>
      </c>
      <c r="FQ747" s="2" t="n">
        <v>0</v>
      </c>
    </row>
    <row r="748">
      <c r="A748" s="2" t="n">
        <v>4</v>
      </c>
      <c r="B748" s="2" t="inlineStr">
        <is>
          <t>31.05.03.06</t>
        </is>
      </c>
      <c r="C748" s="2" t="inlineStr">
        <is>
          <t>INT - Revestimento em pedra natural, Basaltina, assentado com argamassa de cimento e areia</t>
        </is>
      </c>
      <c r="D748" s="2" t="inlineStr">
        <is>
          <t>03/02/2027</t>
        </is>
      </c>
      <c r="E748" s="2" t="inlineStr">
        <is>
          <t>24/04/2028</t>
        </is>
      </c>
      <c r="F748" s="2" t="n">
        <v>75964.60190058855</v>
      </c>
      <c r="G748" s="2" t="n">
        <v>0</v>
      </c>
      <c r="H748" s="2" t="n">
        <v>75964.60190058855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0</v>
      </c>
      <c r="CM748" s="2" t="n">
        <v>0</v>
      </c>
      <c r="CN748" s="2" t="n">
        <v>0</v>
      </c>
      <c r="CO748" s="2" t="n">
        <v>0</v>
      </c>
      <c r="CP748" s="2" t="n">
        <v>0</v>
      </c>
      <c r="CQ748" s="2" t="n">
        <v>0</v>
      </c>
      <c r="CR748" s="2" t="n">
        <v>0</v>
      </c>
      <c r="CS748" s="2" t="n">
        <v>0</v>
      </c>
      <c r="CT748" s="2" t="n">
        <v>0</v>
      </c>
      <c r="CU748" s="2" t="n">
        <v>9.6</v>
      </c>
      <c r="CV748" s="2" t="n">
        <v>5.56</v>
      </c>
      <c r="CW748" s="2" t="n">
        <v>0</v>
      </c>
      <c r="CX748" s="2" t="n">
        <v>16.46</v>
      </c>
      <c r="CY748" s="2" t="n">
        <v>13.7</v>
      </c>
      <c r="CZ748" s="2" t="n">
        <v>0</v>
      </c>
      <c r="DA748" s="2" t="n">
        <v>18.52</v>
      </c>
      <c r="DB748" s="2" t="n">
        <v>18.52</v>
      </c>
      <c r="DC748" s="2" t="n">
        <v>0</v>
      </c>
      <c r="DD748" s="2" t="n">
        <v>22.22</v>
      </c>
      <c r="DE748" s="2" t="n">
        <v>19.53</v>
      </c>
      <c r="DF748" s="2" t="n">
        <v>0</v>
      </c>
      <c r="DG748" s="2" t="n">
        <v>33.33</v>
      </c>
      <c r="DH748" s="2" t="n">
        <v>33.33</v>
      </c>
      <c r="DI748" s="2" t="n">
        <v>0</v>
      </c>
      <c r="DJ748" s="2" t="n">
        <v>41.15</v>
      </c>
      <c r="DK748" s="2" t="n">
        <v>42.59</v>
      </c>
      <c r="DL748" s="2" t="n">
        <v>0</v>
      </c>
      <c r="DM748" s="2" t="n">
        <v>55.97</v>
      </c>
      <c r="DN748" s="2" t="n">
        <v>53.33</v>
      </c>
      <c r="DO748" s="2" t="n">
        <v>0</v>
      </c>
      <c r="DP748" s="2" t="n">
        <v>62.96</v>
      </c>
      <c r="DQ748" s="2" t="n">
        <v>63.33</v>
      </c>
      <c r="DR748" s="2" t="n">
        <v>0</v>
      </c>
      <c r="DS748" s="2" t="n">
        <v>68.31</v>
      </c>
      <c r="DT748" s="2" t="n">
        <v>68.89</v>
      </c>
      <c r="DU748" s="2" t="n">
        <v>0</v>
      </c>
      <c r="DV748" s="2" t="n">
        <v>79.84</v>
      </c>
      <c r="DW748" s="2" t="n">
        <v>78.52</v>
      </c>
      <c r="DX748" s="2" t="n">
        <v>0</v>
      </c>
      <c r="DY748" s="2" t="n">
        <v>84.77</v>
      </c>
      <c r="DZ748" s="2" t="n">
        <v>81.48</v>
      </c>
      <c r="EA748" s="2" t="n">
        <v>0</v>
      </c>
      <c r="EB748" s="2" t="n">
        <v>92.59</v>
      </c>
      <c r="EC748" s="2" t="n">
        <v>87.41</v>
      </c>
      <c r="ED748" s="2" t="n">
        <v>0</v>
      </c>
      <c r="EE748" s="2" t="n">
        <v>96.3</v>
      </c>
      <c r="EF748" s="2" t="n">
        <v>92.59</v>
      </c>
      <c r="EG748" s="2" t="n">
        <v>0</v>
      </c>
      <c r="EH748" s="2" t="n">
        <v>96.3</v>
      </c>
      <c r="EI748" s="2" t="n">
        <v>96.3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  <c r="ET748" s="2" t="n">
        <v>100</v>
      </c>
      <c r="EU748" s="2" t="n">
        <v>100</v>
      </c>
      <c r="EV748" s="2" t="n">
        <v>0</v>
      </c>
      <c r="EW748" s="2" t="n">
        <v>100</v>
      </c>
      <c r="EX748" s="2" t="n">
        <v>100</v>
      </c>
      <c r="EY748" s="2" t="n">
        <v>0</v>
      </c>
      <c r="EZ748" s="2" t="n">
        <v>100</v>
      </c>
      <c r="FA748" s="2" t="n">
        <v>100</v>
      </c>
      <c r="FB748" s="2" t="n">
        <v>0</v>
      </c>
      <c r="FC748" s="2" t="n">
        <v>100</v>
      </c>
      <c r="FD748" s="2" t="n">
        <v>100</v>
      </c>
      <c r="FE748" s="2" t="n">
        <v>0</v>
      </c>
      <c r="FF748" s="2" t="n">
        <v>100</v>
      </c>
      <c r="FG748" s="2" t="n">
        <v>100</v>
      </c>
      <c r="FH748" s="2" t="n">
        <v>0</v>
      </c>
      <c r="FI748" s="2" t="n">
        <v>100</v>
      </c>
      <c r="FJ748" s="2" t="n">
        <v>100</v>
      </c>
      <c r="FK748" s="2" t="n">
        <v>0</v>
      </c>
      <c r="FL748" s="2" t="n">
        <v>100</v>
      </c>
      <c r="FM748" s="2" t="n">
        <v>100</v>
      </c>
      <c r="FN748" s="2" t="n">
        <v>0</v>
      </c>
      <c r="FO748" s="2" t="n">
        <v>100</v>
      </c>
      <c r="FP748" s="2" t="n">
        <v>100</v>
      </c>
      <c r="FQ748" s="2" t="n">
        <v>0</v>
      </c>
    </row>
    <row r="749">
      <c r="A749" s="2" t="n">
        <v>4</v>
      </c>
      <c r="B749" s="2" t="inlineStr">
        <is>
          <t>31.05.03.07</t>
        </is>
      </c>
      <c r="C749" s="2" t="inlineStr">
        <is>
          <t>INT - Revestimento em Basaltina frisada, assentado com argamassa de cimento e areia</t>
        </is>
      </c>
      <c r="D749" s="2" t="inlineStr">
        <is>
          <t>03/02/2027</t>
        </is>
      </c>
      <c r="E749" s="2" t="inlineStr">
        <is>
          <t>24/04/2028</t>
        </is>
      </c>
      <c r="F749" s="2" t="n">
        <v>108033.9417708667</v>
      </c>
      <c r="G749" s="2" t="n">
        <v>0</v>
      </c>
      <c r="H749" s="2" t="n">
        <v>108033.9417708667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0</v>
      </c>
      <c r="CM749" s="2" t="n">
        <v>0</v>
      </c>
      <c r="CN749" s="2" t="n">
        <v>0</v>
      </c>
      <c r="CO749" s="2" t="n">
        <v>0</v>
      </c>
      <c r="CP749" s="2" t="n">
        <v>0</v>
      </c>
      <c r="CQ749" s="2" t="n">
        <v>0</v>
      </c>
      <c r="CR749" s="2" t="n">
        <v>0</v>
      </c>
      <c r="CS749" s="2" t="n">
        <v>0</v>
      </c>
      <c r="CT749" s="2" t="n">
        <v>0</v>
      </c>
      <c r="CU749" s="2" t="n">
        <v>9.6</v>
      </c>
      <c r="CV749" s="2" t="n">
        <v>5.56</v>
      </c>
      <c r="CW749" s="2" t="n">
        <v>0</v>
      </c>
      <c r="CX749" s="2" t="n">
        <v>16.46</v>
      </c>
      <c r="CY749" s="2" t="n">
        <v>13.7</v>
      </c>
      <c r="CZ749" s="2" t="n">
        <v>0</v>
      </c>
      <c r="DA749" s="2" t="n">
        <v>18.52</v>
      </c>
      <c r="DB749" s="2" t="n">
        <v>18.52</v>
      </c>
      <c r="DC749" s="2" t="n">
        <v>0</v>
      </c>
      <c r="DD749" s="2" t="n">
        <v>22.22</v>
      </c>
      <c r="DE749" s="2" t="n">
        <v>19.53</v>
      </c>
      <c r="DF749" s="2" t="n">
        <v>0</v>
      </c>
      <c r="DG749" s="2" t="n">
        <v>33.33</v>
      </c>
      <c r="DH749" s="2" t="n">
        <v>33.33</v>
      </c>
      <c r="DI749" s="2" t="n">
        <v>0</v>
      </c>
      <c r="DJ749" s="2" t="n">
        <v>41.15</v>
      </c>
      <c r="DK749" s="2" t="n">
        <v>42.59</v>
      </c>
      <c r="DL749" s="2" t="n">
        <v>0</v>
      </c>
      <c r="DM749" s="2" t="n">
        <v>55.97</v>
      </c>
      <c r="DN749" s="2" t="n">
        <v>53.33</v>
      </c>
      <c r="DO749" s="2" t="n">
        <v>0</v>
      </c>
      <c r="DP749" s="2" t="n">
        <v>62.96</v>
      </c>
      <c r="DQ749" s="2" t="n">
        <v>63.33</v>
      </c>
      <c r="DR749" s="2" t="n">
        <v>0</v>
      </c>
      <c r="DS749" s="2" t="n">
        <v>68.31</v>
      </c>
      <c r="DT749" s="2" t="n">
        <v>68.89</v>
      </c>
      <c r="DU749" s="2" t="n">
        <v>0</v>
      </c>
      <c r="DV749" s="2" t="n">
        <v>79.84</v>
      </c>
      <c r="DW749" s="2" t="n">
        <v>78.52</v>
      </c>
      <c r="DX749" s="2" t="n">
        <v>0</v>
      </c>
      <c r="DY749" s="2" t="n">
        <v>84.77</v>
      </c>
      <c r="DZ749" s="2" t="n">
        <v>81.48</v>
      </c>
      <c r="EA749" s="2" t="n">
        <v>0</v>
      </c>
      <c r="EB749" s="2" t="n">
        <v>92.59</v>
      </c>
      <c r="EC749" s="2" t="n">
        <v>87.41</v>
      </c>
      <c r="ED749" s="2" t="n">
        <v>0</v>
      </c>
      <c r="EE749" s="2" t="n">
        <v>96.3</v>
      </c>
      <c r="EF749" s="2" t="n">
        <v>92.59</v>
      </c>
      <c r="EG749" s="2" t="n">
        <v>0</v>
      </c>
      <c r="EH749" s="2" t="n">
        <v>96.3</v>
      </c>
      <c r="EI749" s="2" t="n">
        <v>96.3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  <c r="ET749" s="2" t="n">
        <v>100</v>
      </c>
      <c r="EU749" s="2" t="n">
        <v>100</v>
      </c>
      <c r="EV749" s="2" t="n">
        <v>0</v>
      </c>
      <c r="EW749" s="2" t="n">
        <v>100</v>
      </c>
      <c r="EX749" s="2" t="n">
        <v>100</v>
      </c>
      <c r="EY749" s="2" t="n">
        <v>0</v>
      </c>
      <c r="EZ749" s="2" t="n">
        <v>100</v>
      </c>
      <c r="FA749" s="2" t="n">
        <v>100</v>
      </c>
      <c r="FB749" s="2" t="n">
        <v>0</v>
      </c>
      <c r="FC749" s="2" t="n">
        <v>100</v>
      </c>
      <c r="FD749" s="2" t="n">
        <v>100</v>
      </c>
      <c r="FE749" s="2" t="n">
        <v>0</v>
      </c>
      <c r="FF749" s="2" t="n">
        <v>100</v>
      </c>
      <c r="FG749" s="2" t="n">
        <v>100</v>
      </c>
      <c r="FH749" s="2" t="n">
        <v>0</v>
      </c>
      <c r="FI749" s="2" t="n">
        <v>100</v>
      </c>
      <c r="FJ749" s="2" t="n">
        <v>100</v>
      </c>
      <c r="FK749" s="2" t="n">
        <v>0</v>
      </c>
      <c r="FL749" s="2" t="n">
        <v>100</v>
      </c>
      <c r="FM749" s="2" t="n">
        <v>100</v>
      </c>
      <c r="FN749" s="2" t="n">
        <v>0</v>
      </c>
      <c r="FO749" s="2" t="n">
        <v>100</v>
      </c>
      <c r="FP749" s="2" t="n">
        <v>100</v>
      </c>
      <c r="FQ749" s="2" t="n">
        <v>0</v>
      </c>
    </row>
    <row r="750">
      <c r="A750" s="2" t="n">
        <v>4</v>
      </c>
      <c r="B750" s="2" t="inlineStr">
        <is>
          <t>31.05.03.08</t>
        </is>
      </c>
      <c r="C750" s="2" t="inlineStr">
        <is>
          <t>Revestimento de mármore travertino romano resinado, assentado com argamassa colante em pó ACIII</t>
        </is>
      </c>
      <c r="D750" s="2" t="inlineStr">
        <is>
          <t>03/02/2027</t>
        </is>
      </c>
      <c r="E750" s="2" t="inlineStr">
        <is>
          <t>24/04/2028</t>
        </is>
      </c>
      <c r="F750" s="2" t="n">
        <v>1885298.233568776</v>
      </c>
      <c r="G750" s="2" t="n">
        <v>0</v>
      </c>
      <c r="H750" s="2" t="n">
        <v>1885298.233568776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0</v>
      </c>
      <c r="CM750" s="2" t="n">
        <v>0</v>
      </c>
      <c r="CN750" s="2" t="n">
        <v>0</v>
      </c>
      <c r="CO750" s="2" t="n">
        <v>0</v>
      </c>
      <c r="CP750" s="2" t="n">
        <v>0</v>
      </c>
      <c r="CQ750" s="2" t="n">
        <v>0</v>
      </c>
      <c r="CR750" s="2" t="n">
        <v>0</v>
      </c>
      <c r="CS750" s="2" t="n">
        <v>0</v>
      </c>
      <c r="CT750" s="2" t="n">
        <v>0</v>
      </c>
      <c r="CU750" s="2" t="n">
        <v>9.6</v>
      </c>
      <c r="CV750" s="2" t="n">
        <v>5.56</v>
      </c>
      <c r="CW750" s="2" t="n">
        <v>0</v>
      </c>
      <c r="CX750" s="2" t="n">
        <v>16.46</v>
      </c>
      <c r="CY750" s="2" t="n">
        <v>13.7</v>
      </c>
      <c r="CZ750" s="2" t="n">
        <v>0</v>
      </c>
      <c r="DA750" s="2" t="n">
        <v>18.52</v>
      </c>
      <c r="DB750" s="2" t="n">
        <v>18.52</v>
      </c>
      <c r="DC750" s="2" t="n">
        <v>0</v>
      </c>
      <c r="DD750" s="2" t="n">
        <v>22.22</v>
      </c>
      <c r="DE750" s="2" t="n">
        <v>19.53</v>
      </c>
      <c r="DF750" s="2" t="n">
        <v>0</v>
      </c>
      <c r="DG750" s="2" t="n">
        <v>33.33</v>
      </c>
      <c r="DH750" s="2" t="n">
        <v>33.33</v>
      </c>
      <c r="DI750" s="2" t="n">
        <v>0</v>
      </c>
      <c r="DJ750" s="2" t="n">
        <v>41.15</v>
      </c>
      <c r="DK750" s="2" t="n">
        <v>42.59</v>
      </c>
      <c r="DL750" s="2" t="n">
        <v>0</v>
      </c>
      <c r="DM750" s="2" t="n">
        <v>55.97</v>
      </c>
      <c r="DN750" s="2" t="n">
        <v>53.33</v>
      </c>
      <c r="DO750" s="2" t="n">
        <v>0</v>
      </c>
      <c r="DP750" s="2" t="n">
        <v>62.96</v>
      </c>
      <c r="DQ750" s="2" t="n">
        <v>63.33</v>
      </c>
      <c r="DR750" s="2" t="n">
        <v>0</v>
      </c>
      <c r="DS750" s="2" t="n">
        <v>68.31</v>
      </c>
      <c r="DT750" s="2" t="n">
        <v>68.89</v>
      </c>
      <c r="DU750" s="2" t="n">
        <v>0</v>
      </c>
      <c r="DV750" s="2" t="n">
        <v>79.84</v>
      </c>
      <c r="DW750" s="2" t="n">
        <v>78.52</v>
      </c>
      <c r="DX750" s="2" t="n">
        <v>0</v>
      </c>
      <c r="DY750" s="2" t="n">
        <v>84.77</v>
      </c>
      <c r="DZ750" s="2" t="n">
        <v>81.48</v>
      </c>
      <c r="EA750" s="2" t="n">
        <v>0</v>
      </c>
      <c r="EB750" s="2" t="n">
        <v>92.59</v>
      </c>
      <c r="EC750" s="2" t="n">
        <v>87.41</v>
      </c>
      <c r="ED750" s="2" t="n">
        <v>0</v>
      </c>
      <c r="EE750" s="2" t="n">
        <v>96.3</v>
      </c>
      <c r="EF750" s="2" t="n">
        <v>92.59</v>
      </c>
      <c r="EG750" s="2" t="n">
        <v>0</v>
      </c>
      <c r="EH750" s="2" t="n">
        <v>96.3</v>
      </c>
      <c r="EI750" s="2" t="n">
        <v>96.3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  <c r="ET750" s="2" t="n">
        <v>100</v>
      </c>
      <c r="EU750" s="2" t="n">
        <v>100</v>
      </c>
      <c r="EV750" s="2" t="n">
        <v>0</v>
      </c>
      <c r="EW750" s="2" t="n">
        <v>100</v>
      </c>
      <c r="EX750" s="2" t="n">
        <v>100</v>
      </c>
      <c r="EY750" s="2" t="n">
        <v>0</v>
      </c>
      <c r="EZ750" s="2" t="n">
        <v>100</v>
      </c>
      <c r="FA750" s="2" t="n">
        <v>100</v>
      </c>
      <c r="FB750" s="2" t="n">
        <v>0</v>
      </c>
      <c r="FC750" s="2" t="n">
        <v>100</v>
      </c>
      <c r="FD750" s="2" t="n">
        <v>100</v>
      </c>
      <c r="FE750" s="2" t="n">
        <v>0</v>
      </c>
      <c r="FF750" s="2" t="n">
        <v>100</v>
      </c>
      <c r="FG750" s="2" t="n">
        <v>100</v>
      </c>
      <c r="FH750" s="2" t="n">
        <v>0</v>
      </c>
      <c r="FI750" s="2" t="n">
        <v>100</v>
      </c>
      <c r="FJ750" s="2" t="n">
        <v>100</v>
      </c>
      <c r="FK750" s="2" t="n">
        <v>0</v>
      </c>
      <c r="FL750" s="2" t="n">
        <v>100</v>
      </c>
      <c r="FM750" s="2" t="n">
        <v>100</v>
      </c>
      <c r="FN750" s="2" t="n">
        <v>0</v>
      </c>
      <c r="FO750" s="2" t="n">
        <v>100</v>
      </c>
      <c r="FP750" s="2" t="n">
        <v>100</v>
      </c>
      <c r="FQ750" s="2" t="n">
        <v>0</v>
      </c>
    </row>
    <row r="751">
      <c r="A751" s="2" t="n">
        <v>3</v>
      </c>
      <c r="B751" s="2" t="inlineStr">
        <is>
          <t>31.05.04</t>
        </is>
      </c>
      <c r="C751" s="2" t="inlineStr">
        <is>
          <t>Laminados</t>
        </is>
      </c>
      <c r="D751" s="2" t="inlineStr">
        <is>
          <t>21/05/2026</t>
        </is>
      </c>
      <c r="E751" s="2" t="inlineStr">
        <is>
          <t>30/03/2028</t>
        </is>
      </c>
      <c r="F751" s="2" t="n">
        <v>287589.0015599999</v>
      </c>
      <c r="G751" s="2" t="n">
        <v>0</v>
      </c>
      <c r="H751" s="2" t="n">
        <v>287589.0015599999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0.05</v>
      </c>
      <c r="BQ751" s="2" t="n">
        <v>0</v>
      </c>
      <c r="BR751" s="2" t="n">
        <v>0</v>
      </c>
      <c r="BS751" s="2" t="n">
        <v>0.05</v>
      </c>
      <c r="BT751" s="2" t="n">
        <v>0.11</v>
      </c>
      <c r="BU751" s="2" t="n">
        <v>0.01</v>
      </c>
      <c r="BV751" s="2" t="n">
        <v>0.11</v>
      </c>
      <c r="BW751" s="2" t="n">
        <v>0.11</v>
      </c>
      <c r="BX751" s="2" t="n">
        <v>0.03</v>
      </c>
      <c r="BY751" s="2" t="n">
        <v>0.11</v>
      </c>
      <c r="BZ751" s="2" t="n">
        <v>0.11</v>
      </c>
      <c r="CA751" s="2" t="n">
        <v>0.06</v>
      </c>
      <c r="CB751" s="2" t="n">
        <v>0.18</v>
      </c>
      <c r="CC751" s="2" t="n">
        <v>0.18</v>
      </c>
      <c r="CD751" s="2" t="n">
        <v>0.1</v>
      </c>
      <c r="CE751" s="2" t="n">
        <v>0.34</v>
      </c>
      <c r="CF751" s="2" t="n">
        <v>0.28</v>
      </c>
      <c r="CG751" s="2" t="n">
        <v>0.22</v>
      </c>
      <c r="CH751" s="2" t="n">
        <v>0.36</v>
      </c>
      <c r="CI751" s="2" t="n">
        <v>0.64</v>
      </c>
      <c r="CJ751" s="2" t="n">
        <v>0.65</v>
      </c>
      <c r="CK751" s="2" t="n">
        <v>0.36</v>
      </c>
      <c r="CL751" s="2" t="n">
        <v>1.19</v>
      </c>
      <c r="CM751" s="2" t="n">
        <v>1.01</v>
      </c>
      <c r="CN751" s="2" t="n">
        <v>0.36</v>
      </c>
      <c r="CO751" s="2" t="n">
        <v>1.46</v>
      </c>
      <c r="CP751" s="2" t="n">
        <v>1.24</v>
      </c>
      <c r="CQ751" s="2" t="n">
        <v>0.36</v>
      </c>
      <c r="CR751" s="2" t="n">
        <v>1.5</v>
      </c>
      <c r="CS751" s="2" t="n">
        <v>1.48</v>
      </c>
      <c r="CT751" s="2" t="n">
        <v>0.36</v>
      </c>
      <c r="CU751" s="2" t="n">
        <v>9.800000000000001</v>
      </c>
      <c r="CV751" s="2" t="n">
        <v>5.74</v>
      </c>
      <c r="CW751" s="2" t="n">
        <v>0.36</v>
      </c>
      <c r="CX751" s="2" t="n">
        <v>16.04</v>
      </c>
      <c r="CY751" s="2" t="n">
        <v>12.95</v>
      </c>
      <c r="CZ751" s="2" t="n">
        <v>0.36</v>
      </c>
      <c r="DA751" s="2" t="n">
        <v>18.67</v>
      </c>
      <c r="DB751" s="2" t="n">
        <v>18.66</v>
      </c>
      <c r="DC751" s="2" t="n">
        <v>0.36</v>
      </c>
      <c r="DD751" s="2" t="n">
        <v>23.18</v>
      </c>
      <c r="DE751" s="2" t="n">
        <v>19.07</v>
      </c>
      <c r="DF751" s="2" t="n">
        <v>0.36</v>
      </c>
      <c r="DG751" s="2" t="n">
        <v>32.3</v>
      </c>
      <c r="DH751" s="2" t="n">
        <v>32.3</v>
      </c>
      <c r="DI751" s="2" t="n">
        <v>0.36</v>
      </c>
      <c r="DJ751" s="2" t="n">
        <v>41.28</v>
      </c>
      <c r="DK751" s="2" t="n">
        <v>42.82</v>
      </c>
      <c r="DL751" s="2" t="n">
        <v>0.36</v>
      </c>
      <c r="DM751" s="2" t="n">
        <v>54.07</v>
      </c>
      <c r="DN751" s="2" t="n">
        <v>55.06</v>
      </c>
      <c r="DO751" s="2" t="n">
        <v>0.36</v>
      </c>
      <c r="DP751" s="2" t="n">
        <v>62.15</v>
      </c>
      <c r="DQ751" s="2" t="n">
        <v>62.25</v>
      </c>
      <c r="DR751" s="2" t="n">
        <v>0.36</v>
      </c>
      <c r="DS751" s="2" t="n">
        <v>68.26000000000001</v>
      </c>
      <c r="DT751" s="2" t="n">
        <v>68.58</v>
      </c>
      <c r="DU751" s="2" t="n">
        <v>0.36</v>
      </c>
      <c r="DV751" s="2" t="n">
        <v>81.01000000000001</v>
      </c>
      <c r="DW751" s="2" t="n">
        <v>79.38</v>
      </c>
      <c r="DX751" s="2" t="n">
        <v>0.36</v>
      </c>
      <c r="DY751" s="2" t="n">
        <v>86.45999999999999</v>
      </c>
      <c r="DZ751" s="2" t="n">
        <v>82.8</v>
      </c>
      <c r="EA751" s="2" t="n">
        <v>0.36</v>
      </c>
      <c r="EB751" s="2" t="n">
        <v>95.09999999999999</v>
      </c>
      <c r="EC751" s="2" t="n">
        <v>89.41</v>
      </c>
      <c r="ED751" s="2" t="n">
        <v>0.36</v>
      </c>
      <c r="EE751" s="2" t="n">
        <v>99.90000000000001</v>
      </c>
      <c r="EF751" s="2" t="n">
        <v>95.09999999999999</v>
      </c>
      <c r="EG751" s="2" t="n">
        <v>0.36</v>
      </c>
      <c r="EH751" s="2" t="n">
        <v>100</v>
      </c>
      <c r="EI751" s="2" t="n">
        <v>100</v>
      </c>
      <c r="EJ751" s="2" t="n">
        <v>0.36</v>
      </c>
      <c r="EK751" s="2" t="n">
        <v>100</v>
      </c>
      <c r="EL751" s="2" t="n">
        <v>100</v>
      </c>
      <c r="EM751" s="2" t="n">
        <v>0.36</v>
      </c>
      <c r="EN751" s="2" t="n">
        <v>100</v>
      </c>
      <c r="EO751" s="2" t="n">
        <v>100</v>
      </c>
      <c r="EP751" s="2" t="n">
        <v>0.36</v>
      </c>
      <c r="EQ751" s="2" t="n">
        <v>100</v>
      </c>
      <c r="ER751" s="2" t="n">
        <v>100</v>
      </c>
      <c r="ES751" s="2" t="n">
        <v>0.36</v>
      </c>
      <c r="ET751" s="2" t="n">
        <v>100</v>
      </c>
      <c r="EU751" s="2" t="n">
        <v>100</v>
      </c>
      <c r="EV751" s="2" t="n">
        <v>0.36</v>
      </c>
      <c r="EW751" s="2" t="n">
        <v>100</v>
      </c>
      <c r="EX751" s="2" t="n">
        <v>100</v>
      </c>
      <c r="EY751" s="2" t="n">
        <v>0.36</v>
      </c>
      <c r="EZ751" s="2" t="n">
        <v>100</v>
      </c>
      <c r="FA751" s="2" t="n">
        <v>100</v>
      </c>
      <c r="FB751" s="2" t="n">
        <v>0.36</v>
      </c>
      <c r="FC751" s="2" t="n">
        <v>100</v>
      </c>
      <c r="FD751" s="2" t="n">
        <v>100</v>
      </c>
      <c r="FE751" s="2" t="n">
        <v>0.36</v>
      </c>
      <c r="FF751" s="2" t="n">
        <v>100</v>
      </c>
      <c r="FG751" s="2" t="n">
        <v>100</v>
      </c>
      <c r="FH751" s="2" t="n">
        <v>0.36</v>
      </c>
      <c r="FI751" s="2" t="n">
        <v>100</v>
      </c>
      <c r="FJ751" s="2" t="n">
        <v>100</v>
      </c>
      <c r="FK751" s="2" t="n">
        <v>0.36</v>
      </c>
      <c r="FL751" s="2" t="n">
        <v>100</v>
      </c>
      <c r="FM751" s="2" t="n">
        <v>100</v>
      </c>
      <c r="FN751" s="2" t="n">
        <v>0.36</v>
      </c>
      <c r="FO751" s="2" t="n">
        <v>100</v>
      </c>
      <c r="FP751" s="2" t="n">
        <v>100</v>
      </c>
      <c r="FQ751" s="2" t="n">
        <v>0.36</v>
      </c>
    </row>
    <row r="752">
      <c r="A752" s="2" t="n">
        <v>4</v>
      </c>
      <c r="B752" s="2" t="inlineStr">
        <is>
          <t>31.05.04.01</t>
        </is>
      </c>
      <c r="C752" s="2" t="inlineStr">
        <is>
          <t>(Reboco) Revestimento em laminado melamínico cor branco</t>
        </is>
      </c>
      <c r="D752" s="2" t="inlineStr">
        <is>
          <t>03/02/2027</t>
        </is>
      </c>
      <c r="E752" s="2" t="inlineStr">
        <is>
          <t>17/03/2028</t>
        </is>
      </c>
      <c r="F752" s="2" t="n">
        <v>272265.09156</v>
      </c>
      <c r="G752" s="2" t="n">
        <v>0</v>
      </c>
      <c r="H752" s="2" t="n">
        <v>272265.09156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0</v>
      </c>
      <c r="CM752" s="2" t="n">
        <v>0</v>
      </c>
      <c r="CN752" s="2" t="n">
        <v>0</v>
      </c>
      <c r="CO752" s="2" t="n">
        <v>0</v>
      </c>
      <c r="CP752" s="2" t="n">
        <v>0</v>
      </c>
      <c r="CQ752" s="2" t="n">
        <v>0</v>
      </c>
      <c r="CR752" s="2" t="n">
        <v>0</v>
      </c>
      <c r="CS752" s="2" t="n">
        <v>0</v>
      </c>
      <c r="CT752" s="2" t="n">
        <v>0</v>
      </c>
      <c r="CU752" s="2" t="n">
        <v>8.58</v>
      </c>
      <c r="CV752" s="2" t="n">
        <v>4.29</v>
      </c>
      <c r="CW752" s="2" t="n">
        <v>0</v>
      </c>
      <c r="CX752" s="2" t="n">
        <v>14.77</v>
      </c>
      <c r="CY752" s="2" t="n">
        <v>11.58</v>
      </c>
      <c r="CZ752" s="2" t="n">
        <v>0</v>
      </c>
      <c r="DA752" s="2" t="n">
        <v>17.16</v>
      </c>
      <c r="DB752" s="2" t="n">
        <v>17.16</v>
      </c>
      <c r="DC752" s="2" t="n">
        <v>0</v>
      </c>
      <c r="DD752" s="2" t="n">
        <v>21.45</v>
      </c>
      <c r="DE752" s="2" t="n">
        <v>17.16</v>
      </c>
      <c r="DF752" s="2" t="n">
        <v>0</v>
      </c>
      <c r="DG752" s="2" t="n">
        <v>30.59</v>
      </c>
      <c r="DH752" s="2" t="n">
        <v>30.59</v>
      </c>
      <c r="DI752" s="2" t="n">
        <v>0</v>
      </c>
      <c r="DJ752" s="2" t="n">
        <v>39.64</v>
      </c>
      <c r="DK752" s="2" t="n">
        <v>41.31</v>
      </c>
      <c r="DL752" s="2" t="n">
        <v>0</v>
      </c>
      <c r="DM752" s="2" t="n">
        <v>52.51</v>
      </c>
      <c r="DN752" s="2" t="n">
        <v>53.75</v>
      </c>
      <c r="DO752" s="2" t="n">
        <v>0</v>
      </c>
      <c r="DP752" s="2" t="n">
        <v>60.61</v>
      </c>
      <c r="DQ752" s="2" t="n">
        <v>61.04</v>
      </c>
      <c r="DR752" s="2" t="n">
        <v>0</v>
      </c>
      <c r="DS752" s="2" t="n">
        <v>66.81</v>
      </c>
      <c r="DT752" s="2" t="n">
        <v>67.47</v>
      </c>
      <c r="DU752" s="2" t="n">
        <v>0</v>
      </c>
      <c r="DV752" s="2" t="n">
        <v>80.15000000000001</v>
      </c>
      <c r="DW752" s="2" t="n">
        <v>78.63</v>
      </c>
      <c r="DX752" s="2" t="n">
        <v>0</v>
      </c>
      <c r="DY752" s="2" t="n">
        <v>85.87</v>
      </c>
      <c r="DZ752" s="2" t="n">
        <v>82.06</v>
      </c>
      <c r="EA752" s="2" t="n">
        <v>0</v>
      </c>
      <c r="EB752" s="2" t="n">
        <v>94.93000000000001</v>
      </c>
      <c r="EC752" s="2" t="n">
        <v>88.92</v>
      </c>
      <c r="ED752" s="2" t="n">
        <v>0</v>
      </c>
      <c r="EE752" s="2" t="n">
        <v>100</v>
      </c>
      <c r="EF752" s="2" t="n">
        <v>94.93000000000001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  <c r="ET752" s="2" t="n">
        <v>100</v>
      </c>
      <c r="EU752" s="2" t="n">
        <v>100</v>
      </c>
      <c r="EV752" s="2" t="n">
        <v>0</v>
      </c>
      <c r="EW752" s="2" t="n">
        <v>100</v>
      </c>
      <c r="EX752" s="2" t="n">
        <v>100</v>
      </c>
      <c r="EY752" s="2" t="n">
        <v>0</v>
      </c>
      <c r="EZ752" s="2" t="n">
        <v>100</v>
      </c>
      <c r="FA752" s="2" t="n">
        <v>100</v>
      </c>
      <c r="FB752" s="2" t="n">
        <v>0</v>
      </c>
      <c r="FC752" s="2" t="n">
        <v>100</v>
      </c>
      <c r="FD752" s="2" t="n">
        <v>100</v>
      </c>
      <c r="FE752" s="2" t="n">
        <v>0</v>
      </c>
      <c r="FF752" s="2" t="n">
        <v>100</v>
      </c>
      <c r="FG752" s="2" t="n">
        <v>100</v>
      </c>
      <c r="FH752" s="2" t="n">
        <v>0</v>
      </c>
      <c r="FI752" s="2" t="n">
        <v>100</v>
      </c>
      <c r="FJ752" s="2" t="n">
        <v>100</v>
      </c>
      <c r="FK752" s="2" t="n">
        <v>0</v>
      </c>
      <c r="FL752" s="2" t="n">
        <v>100</v>
      </c>
      <c r="FM752" s="2" t="n">
        <v>100</v>
      </c>
      <c r="FN752" s="2" t="n">
        <v>0</v>
      </c>
      <c r="FO752" s="2" t="n">
        <v>100</v>
      </c>
      <c r="FP752" s="2" t="n">
        <v>100</v>
      </c>
      <c r="FQ752" s="2" t="n">
        <v>0</v>
      </c>
    </row>
    <row r="753">
      <c r="A753" s="2" t="n">
        <v>4</v>
      </c>
      <c r="B753" s="2" t="inlineStr">
        <is>
          <t>31.05.04.02</t>
        </is>
      </c>
      <c r="C753" s="2" t="inlineStr">
        <is>
          <t>(Reboco) Revestimento em fórmica cor Almond L112, acabamento mate. Ref.: Formica</t>
        </is>
      </c>
      <c r="D753" s="2" t="inlineStr">
        <is>
          <t>21/05/2026</t>
        </is>
      </c>
      <c r="E753" s="2" t="inlineStr">
        <is>
          <t>30/03/2028</t>
        </is>
      </c>
      <c r="F753" s="2" t="n">
        <v>15323.91</v>
      </c>
      <c r="G753" s="2" t="n">
        <v>0</v>
      </c>
      <c r="H753" s="2" t="n">
        <v>15323.91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0.98</v>
      </c>
      <c r="BQ753" s="2" t="n">
        <v>0</v>
      </c>
      <c r="BR753" s="2" t="n">
        <v>0</v>
      </c>
      <c r="BS753" s="2" t="n">
        <v>0.98</v>
      </c>
      <c r="BT753" s="2" t="n">
        <v>2.09</v>
      </c>
      <c r="BU753" s="2" t="n">
        <v>0.16</v>
      </c>
      <c r="BV753" s="2" t="n">
        <v>1.99</v>
      </c>
      <c r="BW753" s="2" t="n">
        <v>2.09</v>
      </c>
      <c r="BX753" s="2" t="n">
        <v>0.65</v>
      </c>
      <c r="BY753" s="2" t="n">
        <v>1.99</v>
      </c>
      <c r="BZ753" s="2" t="n">
        <v>2.09</v>
      </c>
      <c r="CA753" s="2" t="n">
        <v>1.19</v>
      </c>
      <c r="CB753" s="2" t="n">
        <v>3.46</v>
      </c>
      <c r="CC753" s="2" t="n">
        <v>3.44</v>
      </c>
      <c r="CD753" s="2" t="n">
        <v>1.83</v>
      </c>
      <c r="CE753" s="2" t="n">
        <v>6.42</v>
      </c>
      <c r="CF753" s="2" t="n">
        <v>5.28</v>
      </c>
      <c r="CG753" s="2" t="n">
        <v>4.07</v>
      </c>
      <c r="CH753" s="2" t="n">
        <v>6.66</v>
      </c>
      <c r="CI753" s="2" t="n">
        <v>11.94</v>
      </c>
      <c r="CJ753" s="2" t="n">
        <v>12.26</v>
      </c>
      <c r="CK753" s="2" t="n">
        <v>6.66</v>
      </c>
      <c r="CL753" s="2" t="n">
        <v>22.32</v>
      </c>
      <c r="CM753" s="2" t="n">
        <v>18.91</v>
      </c>
      <c r="CN753" s="2" t="n">
        <v>6.66</v>
      </c>
      <c r="CO753" s="2" t="n">
        <v>27.45</v>
      </c>
      <c r="CP753" s="2" t="n">
        <v>23.33</v>
      </c>
      <c r="CQ753" s="2" t="n">
        <v>6.66</v>
      </c>
      <c r="CR753" s="2" t="n">
        <v>28.18</v>
      </c>
      <c r="CS753" s="2" t="n">
        <v>27.74</v>
      </c>
      <c r="CT753" s="2" t="n">
        <v>6.66</v>
      </c>
      <c r="CU753" s="2" t="n">
        <v>31.49</v>
      </c>
      <c r="CV753" s="2" t="n">
        <v>31.49</v>
      </c>
      <c r="CW753" s="2" t="n">
        <v>6.66</v>
      </c>
      <c r="CX753" s="2" t="n">
        <v>38.54</v>
      </c>
      <c r="CY753" s="2" t="n">
        <v>37.22</v>
      </c>
      <c r="CZ753" s="2" t="n">
        <v>6.66</v>
      </c>
      <c r="DA753" s="2" t="n">
        <v>45.52</v>
      </c>
      <c r="DB753" s="2" t="n">
        <v>45.38</v>
      </c>
      <c r="DC753" s="2" t="n">
        <v>6.66</v>
      </c>
      <c r="DD753" s="2" t="n">
        <v>53.98</v>
      </c>
      <c r="DE753" s="2" t="n">
        <v>53.1</v>
      </c>
      <c r="DF753" s="2" t="n">
        <v>6.66</v>
      </c>
      <c r="DG753" s="2" t="n">
        <v>62.75</v>
      </c>
      <c r="DH753" s="2" t="n">
        <v>62.75</v>
      </c>
      <c r="DI753" s="2" t="n">
        <v>6.66</v>
      </c>
      <c r="DJ753" s="2" t="n">
        <v>70.34</v>
      </c>
      <c r="DK753" s="2" t="n">
        <v>69.59999999999999</v>
      </c>
      <c r="DL753" s="2" t="n">
        <v>6.66</v>
      </c>
      <c r="DM753" s="2" t="n">
        <v>81.73</v>
      </c>
      <c r="DN753" s="2" t="n">
        <v>78.42</v>
      </c>
      <c r="DO753" s="2" t="n">
        <v>6.66</v>
      </c>
      <c r="DP753" s="2" t="n">
        <v>89.45</v>
      </c>
      <c r="DQ753" s="2" t="n">
        <v>83.72</v>
      </c>
      <c r="DR753" s="2" t="n">
        <v>6.66</v>
      </c>
      <c r="DS753" s="2" t="n">
        <v>94.14</v>
      </c>
      <c r="DT753" s="2" t="n">
        <v>88.13</v>
      </c>
      <c r="DU753" s="2" t="n">
        <v>6.66</v>
      </c>
      <c r="DV753" s="2" t="n">
        <v>96.26000000000001</v>
      </c>
      <c r="DW753" s="2" t="n">
        <v>92.7</v>
      </c>
      <c r="DX753" s="2" t="n">
        <v>6.66</v>
      </c>
      <c r="DY753" s="2" t="n">
        <v>97.02</v>
      </c>
      <c r="DZ753" s="2" t="n">
        <v>95.91</v>
      </c>
      <c r="EA753" s="2" t="n">
        <v>6.66</v>
      </c>
      <c r="EB753" s="2" t="n">
        <v>98.12</v>
      </c>
      <c r="EC753" s="2" t="n">
        <v>98.12</v>
      </c>
      <c r="ED753" s="2" t="n">
        <v>6.66</v>
      </c>
      <c r="EE753" s="2" t="n">
        <v>98.12</v>
      </c>
      <c r="EF753" s="2" t="n">
        <v>98.12</v>
      </c>
      <c r="EG753" s="2" t="n">
        <v>6.66</v>
      </c>
      <c r="EH753" s="2" t="n">
        <v>100</v>
      </c>
      <c r="EI753" s="2" t="n">
        <v>100</v>
      </c>
      <c r="EJ753" s="2" t="n">
        <v>6.66</v>
      </c>
      <c r="EK753" s="2" t="n">
        <v>100</v>
      </c>
      <c r="EL753" s="2" t="n">
        <v>100</v>
      </c>
      <c r="EM753" s="2" t="n">
        <v>6.66</v>
      </c>
      <c r="EN753" s="2" t="n">
        <v>100</v>
      </c>
      <c r="EO753" s="2" t="n">
        <v>100</v>
      </c>
      <c r="EP753" s="2" t="n">
        <v>6.66</v>
      </c>
      <c r="EQ753" s="2" t="n">
        <v>100</v>
      </c>
      <c r="ER753" s="2" t="n">
        <v>100</v>
      </c>
      <c r="ES753" s="2" t="n">
        <v>6.66</v>
      </c>
      <c r="ET753" s="2" t="n">
        <v>100</v>
      </c>
      <c r="EU753" s="2" t="n">
        <v>100</v>
      </c>
      <c r="EV753" s="2" t="n">
        <v>6.66</v>
      </c>
      <c r="EW753" s="2" t="n">
        <v>100</v>
      </c>
      <c r="EX753" s="2" t="n">
        <v>100</v>
      </c>
      <c r="EY753" s="2" t="n">
        <v>6.66</v>
      </c>
      <c r="EZ753" s="2" t="n">
        <v>100</v>
      </c>
      <c r="FA753" s="2" t="n">
        <v>100</v>
      </c>
      <c r="FB753" s="2" t="n">
        <v>6.66</v>
      </c>
      <c r="FC753" s="2" t="n">
        <v>100</v>
      </c>
      <c r="FD753" s="2" t="n">
        <v>100</v>
      </c>
      <c r="FE753" s="2" t="n">
        <v>6.66</v>
      </c>
      <c r="FF753" s="2" t="n">
        <v>100</v>
      </c>
      <c r="FG753" s="2" t="n">
        <v>100</v>
      </c>
      <c r="FH753" s="2" t="n">
        <v>6.66</v>
      </c>
      <c r="FI753" s="2" t="n">
        <v>100</v>
      </c>
      <c r="FJ753" s="2" t="n">
        <v>100</v>
      </c>
      <c r="FK753" s="2" t="n">
        <v>6.66</v>
      </c>
      <c r="FL753" s="2" t="n">
        <v>100</v>
      </c>
      <c r="FM753" s="2" t="n">
        <v>100</v>
      </c>
      <c r="FN753" s="2" t="n">
        <v>6.66</v>
      </c>
      <c r="FO753" s="2" t="n">
        <v>100</v>
      </c>
      <c r="FP753" s="2" t="n">
        <v>100</v>
      </c>
      <c r="FQ753" s="2" t="n">
        <v>6.66</v>
      </c>
    </row>
    <row r="754">
      <c r="A754" s="2" t="n">
        <v>3</v>
      </c>
      <c r="B754" s="2" t="inlineStr">
        <is>
          <t>31.05.05</t>
        </is>
      </c>
      <c r="C754" s="2" t="inlineStr">
        <is>
          <t>Papel de parede</t>
        </is>
      </c>
      <c r="D754" s="2" t="inlineStr">
        <is>
          <t>21/01/2027</t>
        </is>
      </c>
      <c r="E754" s="2" t="inlineStr">
        <is>
          <t>17/09/2027</t>
        </is>
      </c>
      <c r="F754" s="2" t="n">
        <v>1087.163305587524</v>
      </c>
      <c r="G754" s="2" t="n">
        <v>0</v>
      </c>
      <c r="H754" s="2" t="n">
        <v>1087.163305587524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0</v>
      </c>
      <c r="CM754" s="2" t="n">
        <v>0</v>
      </c>
      <c r="CN754" s="2" t="n">
        <v>0</v>
      </c>
      <c r="CO754" s="2" t="n">
        <v>0</v>
      </c>
      <c r="CP754" s="2" t="n">
        <v>0</v>
      </c>
      <c r="CQ754" s="2" t="n">
        <v>0</v>
      </c>
      <c r="CR754" s="2" t="n">
        <v>11.36</v>
      </c>
      <c r="CS754" s="2" t="n">
        <v>15.91</v>
      </c>
      <c r="CT754" s="2" t="n">
        <v>0</v>
      </c>
      <c r="CU754" s="2" t="n">
        <v>50</v>
      </c>
      <c r="CV754" s="2" t="n">
        <v>50</v>
      </c>
      <c r="CW754" s="2" t="n">
        <v>0</v>
      </c>
      <c r="CX754" s="2" t="n">
        <v>50</v>
      </c>
      <c r="CY754" s="2" t="n">
        <v>50</v>
      </c>
      <c r="CZ754" s="2" t="n">
        <v>0</v>
      </c>
      <c r="DA754" s="2" t="n">
        <v>50</v>
      </c>
      <c r="DB754" s="2" t="n">
        <v>50</v>
      </c>
      <c r="DC754" s="2" t="n">
        <v>0</v>
      </c>
      <c r="DD754" s="2" t="n">
        <v>50</v>
      </c>
      <c r="DE754" s="2" t="n">
        <v>50</v>
      </c>
      <c r="DF754" s="2" t="n">
        <v>0</v>
      </c>
      <c r="DG754" s="2" t="n">
        <v>50</v>
      </c>
      <c r="DH754" s="2" t="n">
        <v>50</v>
      </c>
      <c r="DI754" s="2" t="n">
        <v>0</v>
      </c>
      <c r="DJ754" s="2" t="n">
        <v>50</v>
      </c>
      <c r="DK754" s="2" t="n">
        <v>50</v>
      </c>
      <c r="DL754" s="2" t="n">
        <v>0</v>
      </c>
      <c r="DM754" s="2" t="n">
        <v>100</v>
      </c>
      <c r="DN754" s="2" t="n">
        <v>50</v>
      </c>
      <c r="DO754" s="2" t="n">
        <v>0</v>
      </c>
      <c r="DP754" s="2" t="n">
        <v>100</v>
      </c>
      <c r="DQ754" s="2" t="n">
        <v>100</v>
      </c>
      <c r="DR754" s="2" t="n">
        <v>0</v>
      </c>
      <c r="DS754" s="2" t="n">
        <v>100</v>
      </c>
      <c r="DT754" s="2" t="n">
        <v>100</v>
      </c>
      <c r="DU754" s="2" t="n">
        <v>0</v>
      </c>
      <c r="DV754" s="2" t="n">
        <v>100</v>
      </c>
      <c r="DW754" s="2" t="n">
        <v>100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  <c r="ET754" s="2" t="n">
        <v>100</v>
      </c>
      <c r="EU754" s="2" t="n">
        <v>100</v>
      </c>
      <c r="EV754" s="2" t="n">
        <v>0</v>
      </c>
      <c r="EW754" s="2" t="n">
        <v>100</v>
      </c>
      <c r="EX754" s="2" t="n">
        <v>100</v>
      </c>
      <c r="EY754" s="2" t="n">
        <v>0</v>
      </c>
      <c r="EZ754" s="2" t="n">
        <v>100</v>
      </c>
      <c r="FA754" s="2" t="n">
        <v>100</v>
      </c>
      <c r="FB754" s="2" t="n">
        <v>0</v>
      </c>
      <c r="FC754" s="2" t="n">
        <v>100</v>
      </c>
      <c r="FD754" s="2" t="n">
        <v>100</v>
      </c>
      <c r="FE754" s="2" t="n">
        <v>0</v>
      </c>
      <c r="FF754" s="2" t="n">
        <v>100</v>
      </c>
      <c r="FG754" s="2" t="n">
        <v>100</v>
      </c>
      <c r="FH754" s="2" t="n">
        <v>0</v>
      </c>
      <c r="FI754" s="2" t="n">
        <v>100</v>
      </c>
      <c r="FJ754" s="2" t="n">
        <v>100</v>
      </c>
      <c r="FK754" s="2" t="n">
        <v>0</v>
      </c>
      <c r="FL754" s="2" t="n">
        <v>100</v>
      </c>
      <c r="FM754" s="2" t="n">
        <v>100</v>
      </c>
      <c r="FN754" s="2" t="n">
        <v>0</v>
      </c>
      <c r="FO754" s="2" t="n">
        <v>100</v>
      </c>
      <c r="FP754" s="2" t="n">
        <v>100</v>
      </c>
      <c r="FQ754" s="2" t="n">
        <v>0</v>
      </c>
    </row>
    <row r="755">
      <c r="A755" s="2" t="n">
        <v>4</v>
      </c>
      <c r="B755" s="2" t="inlineStr">
        <is>
          <t>31.05.05.01</t>
        </is>
      </c>
      <c r="C755" s="2" t="inlineStr">
        <is>
          <t>Emassamento acrílico (1 demão + retoques) 1a demão</t>
        </is>
      </c>
      <c r="D755" s="2" t="inlineStr">
        <is>
          <t>21/01/2027</t>
        </is>
      </c>
      <c r="E755" s="2" t="inlineStr">
        <is>
          <t>17/09/2027</t>
        </is>
      </c>
      <c r="F755" s="2" t="n">
        <v>274.666452793762</v>
      </c>
      <c r="G755" s="2" t="n">
        <v>0</v>
      </c>
      <c r="H755" s="2" t="n">
        <v>274.666452793762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0</v>
      </c>
      <c r="CM755" s="2" t="n">
        <v>0</v>
      </c>
      <c r="CN755" s="2" t="n">
        <v>0</v>
      </c>
      <c r="CO755" s="2" t="n">
        <v>0</v>
      </c>
      <c r="CP755" s="2" t="n">
        <v>0</v>
      </c>
      <c r="CQ755" s="2" t="n">
        <v>0</v>
      </c>
      <c r="CR755" s="2" t="n">
        <v>11.36</v>
      </c>
      <c r="CS755" s="2" t="n">
        <v>15.91</v>
      </c>
      <c r="CT755" s="2" t="n">
        <v>0</v>
      </c>
      <c r="CU755" s="2" t="n">
        <v>50</v>
      </c>
      <c r="CV755" s="2" t="n">
        <v>50</v>
      </c>
      <c r="CW755" s="2" t="n">
        <v>0</v>
      </c>
      <c r="CX755" s="2" t="n">
        <v>50</v>
      </c>
      <c r="CY755" s="2" t="n">
        <v>50</v>
      </c>
      <c r="CZ755" s="2" t="n">
        <v>0</v>
      </c>
      <c r="DA755" s="2" t="n">
        <v>50</v>
      </c>
      <c r="DB755" s="2" t="n">
        <v>50</v>
      </c>
      <c r="DC755" s="2" t="n">
        <v>0</v>
      </c>
      <c r="DD755" s="2" t="n">
        <v>50</v>
      </c>
      <c r="DE755" s="2" t="n">
        <v>50</v>
      </c>
      <c r="DF755" s="2" t="n">
        <v>0</v>
      </c>
      <c r="DG755" s="2" t="n">
        <v>50</v>
      </c>
      <c r="DH755" s="2" t="n">
        <v>50</v>
      </c>
      <c r="DI755" s="2" t="n">
        <v>0</v>
      </c>
      <c r="DJ755" s="2" t="n">
        <v>50</v>
      </c>
      <c r="DK755" s="2" t="n">
        <v>50</v>
      </c>
      <c r="DL755" s="2" t="n">
        <v>0</v>
      </c>
      <c r="DM755" s="2" t="n">
        <v>100</v>
      </c>
      <c r="DN755" s="2" t="n">
        <v>50</v>
      </c>
      <c r="DO755" s="2" t="n">
        <v>0</v>
      </c>
      <c r="DP755" s="2" t="n">
        <v>100</v>
      </c>
      <c r="DQ755" s="2" t="n">
        <v>100</v>
      </c>
      <c r="DR755" s="2" t="n">
        <v>0</v>
      </c>
      <c r="DS755" s="2" t="n">
        <v>100</v>
      </c>
      <c r="DT755" s="2" t="n">
        <v>100</v>
      </c>
      <c r="DU755" s="2" t="n">
        <v>0</v>
      </c>
      <c r="DV755" s="2" t="n">
        <v>100</v>
      </c>
      <c r="DW755" s="2" t="n">
        <v>100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  <c r="ET755" s="2" t="n">
        <v>100</v>
      </c>
      <c r="EU755" s="2" t="n">
        <v>100</v>
      </c>
      <c r="EV755" s="2" t="n">
        <v>0</v>
      </c>
      <c r="EW755" s="2" t="n">
        <v>100</v>
      </c>
      <c r="EX755" s="2" t="n">
        <v>100</v>
      </c>
      <c r="EY755" s="2" t="n">
        <v>0</v>
      </c>
      <c r="EZ755" s="2" t="n">
        <v>100</v>
      </c>
      <c r="FA755" s="2" t="n">
        <v>100</v>
      </c>
      <c r="FB755" s="2" t="n">
        <v>0</v>
      </c>
      <c r="FC755" s="2" t="n">
        <v>100</v>
      </c>
      <c r="FD755" s="2" t="n">
        <v>100</v>
      </c>
      <c r="FE755" s="2" t="n">
        <v>0</v>
      </c>
      <c r="FF755" s="2" t="n">
        <v>100</v>
      </c>
      <c r="FG755" s="2" t="n">
        <v>100</v>
      </c>
      <c r="FH755" s="2" t="n">
        <v>0</v>
      </c>
      <c r="FI755" s="2" t="n">
        <v>100</v>
      </c>
      <c r="FJ755" s="2" t="n">
        <v>100</v>
      </c>
      <c r="FK755" s="2" t="n">
        <v>0</v>
      </c>
      <c r="FL755" s="2" t="n">
        <v>100</v>
      </c>
      <c r="FM755" s="2" t="n">
        <v>100</v>
      </c>
      <c r="FN755" s="2" t="n">
        <v>0</v>
      </c>
      <c r="FO755" s="2" t="n">
        <v>100</v>
      </c>
      <c r="FP755" s="2" t="n">
        <v>100</v>
      </c>
      <c r="FQ755" s="2" t="n">
        <v>0</v>
      </c>
    </row>
    <row r="756">
      <c r="A756" s="2" t="n">
        <v>4</v>
      </c>
      <c r="B756" s="2" t="inlineStr">
        <is>
          <t>31.05.05.02</t>
        </is>
      </c>
      <c r="C756" s="2" t="inlineStr">
        <is>
          <t>Emassamento acrílico (1 demão + retoques) 2a demão</t>
        </is>
      </c>
      <c r="D756" s="2" t="inlineStr">
        <is>
          <t>21/01/2027</t>
        </is>
      </c>
      <c r="E756" s="2" t="inlineStr">
        <is>
          <t>17/09/2027</t>
        </is>
      </c>
      <c r="F756" s="2" t="n">
        <v>274.666452793762</v>
      </c>
      <c r="G756" s="2" t="n">
        <v>0</v>
      </c>
      <c r="H756" s="2" t="n">
        <v>274.666452793762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0</v>
      </c>
      <c r="CM756" s="2" t="n">
        <v>0</v>
      </c>
      <c r="CN756" s="2" t="n">
        <v>0</v>
      </c>
      <c r="CO756" s="2" t="n">
        <v>0</v>
      </c>
      <c r="CP756" s="2" t="n">
        <v>0</v>
      </c>
      <c r="CQ756" s="2" t="n">
        <v>0</v>
      </c>
      <c r="CR756" s="2" t="n">
        <v>11.36</v>
      </c>
      <c r="CS756" s="2" t="n">
        <v>15.91</v>
      </c>
      <c r="CT756" s="2" t="n">
        <v>0</v>
      </c>
      <c r="CU756" s="2" t="n">
        <v>50</v>
      </c>
      <c r="CV756" s="2" t="n">
        <v>50</v>
      </c>
      <c r="CW756" s="2" t="n">
        <v>0</v>
      </c>
      <c r="CX756" s="2" t="n">
        <v>50</v>
      </c>
      <c r="CY756" s="2" t="n">
        <v>50</v>
      </c>
      <c r="CZ756" s="2" t="n">
        <v>0</v>
      </c>
      <c r="DA756" s="2" t="n">
        <v>50</v>
      </c>
      <c r="DB756" s="2" t="n">
        <v>50</v>
      </c>
      <c r="DC756" s="2" t="n">
        <v>0</v>
      </c>
      <c r="DD756" s="2" t="n">
        <v>50</v>
      </c>
      <c r="DE756" s="2" t="n">
        <v>50</v>
      </c>
      <c r="DF756" s="2" t="n">
        <v>0</v>
      </c>
      <c r="DG756" s="2" t="n">
        <v>50</v>
      </c>
      <c r="DH756" s="2" t="n">
        <v>50</v>
      </c>
      <c r="DI756" s="2" t="n">
        <v>0</v>
      </c>
      <c r="DJ756" s="2" t="n">
        <v>50</v>
      </c>
      <c r="DK756" s="2" t="n">
        <v>50</v>
      </c>
      <c r="DL756" s="2" t="n">
        <v>0</v>
      </c>
      <c r="DM756" s="2" t="n">
        <v>100</v>
      </c>
      <c r="DN756" s="2" t="n">
        <v>50</v>
      </c>
      <c r="DO756" s="2" t="n">
        <v>0</v>
      </c>
      <c r="DP756" s="2" t="n">
        <v>100</v>
      </c>
      <c r="DQ756" s="2" t="n">
        <v>100</v>
      </c>
      <c r="DR756" s="2" t="n">
        <v>0</v>
      </c>
      <c r="DS756" s="2" t="n">
        <v>100</v>
      </c>
      <c r="DT756" s="2" t="n">
        <v>100</v>
      </c>
      <c r="DU756" s="2" t="n">
        <v>0</v>
      </c>
      <c r="DV756" s="2" t="n">
        <v>100</v>
      </c>
      <c r="DW756" s="2" t="n">
        <v>100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  <c r="ET756" s="2" t="n">
        <v>100</v>
      </c>
      <c r="EU756" s="2" t="n">
        <v>100</v>
      </c>
      <c r="EV756" s="2" t="n">
        <v>0</v>
      </c>
      <c r="EW756" s="2" t="n">
        <v>100</v>
      </c>
      <c r="EX756" s="2" t="n">
        <v>100</v>
      </c>
      <c r="EY756" s="2" t="n">
        <v>0</v>
      </c>
      <c r="EZ756" s="2" t="n">
        <v>100</v>
      </c>
      <c r="FA756" s="2" t="n">
        <v>100</v>
      </c>
      <c r="FB756" s="2" t="n">
        <v>0</v>
      </c>
      <c r="FC756" s="2" t="n">
        <v>100</v>
      </c>
      <c r="FD756" s="2" t="n">
        <v>100</v>
      </c>
      <c r="FE756" s="2" t="n">
        <v>0</v>
      </c>
      <c r="FF756" s="2" t="n">
        <v>100</v>
      </c>
      <c r="FG756" s="2" t="n">
        <v>100</v>
      </c>
      <c r="FH756" s="2" t="n">
        <v>0</v>
      </c>
      <c r="FI756" s="2" t="n">
        <v>100</v>
      </c>
      <c r="FJ756" s="2" t="n">
        <v>100</v>
      </c>
      <c r="FK756" s="2" t="n">
        <v>0</v>
      </c>
      <c r="FL756" s="2" t="n">
        <v>100</v>
      </c>
      <c r="FM756" s="2" t="n">
        <v>100</v>
      </c>
      <c r="FN756" s="2" t="n">
        <v>0</v>
      </c>
      <c r="FO756" s="2" t="n">
        <v>100</v>
      </c>
      <c r="FP756" s="2" t="n">
        <v>100</v>
      </c>
      <c r="FQ756" s="2" t="n">
        <v>0</v>
      </c>
    </row>
    <row r="757">
      <c r="A757" s="2" t="n">
        <v>4</v>
      </c>
      <c r="B757" s="2" t="inlineStr">
        <is>
          <t>31.05.05.03</t>
        </is>
      </c>
      <c r="C757" s="2" t="inlineStr">
        <is>
          <t>Pintura acrílica sobre paredes - Reboco (1 demão selador + 3 demãos Latex acrílico)</t>
        </is>
      </c>
      <c r="D757" s="2" t="inlineStr">
        <is>
          <t>21/01/2027</t>
        </is>
      </c>
      <c r="E757" s="2" t="inlineStr">
        <is>
          <t>17/09/2027</t>
        </is>
      </c>
      <c r="F757" s="2" t="n">
        <v>537.8304000000001</v>
      </c>
      <c r="G757" s="2" t="n">
        <v>0</v>
      </c>
      <c r="H757" s="2" t="n">
        <v>537.8304000000001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0</v>
      </c>
      <c r="CM757" s="2" t="n">
        <v>0</v>
      </c>
      <c r="CN757" s="2" t="n">
        <v>0</v>
      </c>
      <c r="CO757" s="2" t="n">
        <v>0</v>
      </c>
      <c r="CP757" s="2" t="n">
        <v>0</v>
      </c>
      <c r="CQ757" s="2" t="n">
        <v>0</v>
      </c>
      <c r="CR757" s="2" t="n">
        <v>11.36</v>
      </c>
      <c r="CS757" s="2" t="n">
        <v>15.91</v>
      </c>
      <c r="CT757" s="2" t="n">
        <v>0</v>
      </c>
      <c r="CU757" s="2" t="n">
        <v>50</v>
      </c>
      <c r="CV757" s="2" t="n">
        <v>50</v>
      </c>
      <c r="CW757" s="2" t="n">
        <v>0</v>
      </c>
      <c r="CX757" s="2" t="n">
        <v>50</v>
      </c>
      <c r="CY757" s="2" t="n">
        <v>50</v>
      </c>
      <c r="CZ757" s="2" t="n">
        <v>0</v>
      </c>
      <c r="DA757" s="2" t="n">
        <v>50</v>
      </c>
      <c r="DB757" s="2" t="n">
        <v>50</v>
      </c>
      <c r="DC757" s="2" t="n">
        <v>0</v>
      </c>
      <c r="DD757" s="2" t="n">
        <v>50</v>
      </c>
      <c r="DE757" s="2" t="n">
        <v>50</v>
      </c>
      <c r="DF757" s="2" t="n">
        <v>0</v>
      </c>
      <c r="DG757" s="2" t="n">
        <v>50</v>
      </c>
      <c r="DH757" s="2" t="n">
        <v>50</v>
      </c>
      <c r="DI757" s="2" t="n">
        <v>0</v>
      </c>
      <c r="DJ757" s="2" t="n">
        <v>50</v>
      </c>
      <c r="DK757" s="2" t="n">
        <v>50</v>
      </c>
      <c r="DL757" s="2" t="n">
        <v>0</v>
      </c>
      <c r="DM757" s="2" t="n">
        <v>100</v>
      </c>
      <c r="DN757" s="2" t="n">
        <v>50</v>
      </c>
      <c r="DO757" s="2" t="n">
        <v>0</v>
      </c>
      <c r="DP757" s="2" t="n">
        <v>100</v>
      </c>
      <c r="DQ757" s="2" t="n">
        <v>100</v>
      </c>
      <c r="DR757" s="2" t="n">
        <v>0</v>
      </c>
      <c r="DS757" s="2" t="n">
        <v>100</v>
      </c>
      <c r="DT757" s="2" t="n">
        <v>100</v>
      </c>
      <c r="DU757" s="2" t="n">
        <v>0</v>
      </c>
      <c r="DV757" s="2" t="n">
        <v>100</v>
      </c>
      <c r="DW757" s="2" t="n">
        <v>100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  <c r="ET757" s="2" t="n">
        <v>100</v>
      </c>
      <c r="EU757" s="2" t="n">
        <v>100</v>
      </c>
      <c r="EV757" s="2" t="n">
        <v>0</v>
      </c>
      <c r="EW757" s="2" t="n">
        <v>100</v>
      </c>
      <c r="EX757" s="2" t="n">
        <v>100</v>
      </c>
      <c r="EY757" s="2" t="n">
        <v>0</v>
      </c>
      <c r="EZ757" s="2" t="n">
        <v>100</v>
      </c>
      <c r="FA757" s="2" t="n">
        <v>100</v>
      </c>
      <c r="FB757" s="2" t="n">
        <v>0</v>
      </c>
      <c r="FC757" s="2" t="n">
        <v>100</v>
      </c>
      <c r="FD757" s="2" t="n">
        <v>100</v>
      </c>
      <c r="FE757" s="2" t="n">
        <v>0</v>
      </c>
      <c r="FF757" s="2" t="n">
        <v>100</v>
      </c>
      <c r="FG757" s="2" t="n">
        <v>100</v>
      </c>
      <c r="FH757" s="2" t="n">
        <v>0</v>
      </c>
      <c r="FI757" s="2" t="n">
        <v>100</v>
      </c>
      <c r="FJ757" s="2" t="n">
        <v>100</v>
      </c>
      <c r="FK757" s="2" t="n">
        <v>0</v>
      </c>
      <c r="FL757" s="2" t="n">
        <v>100</v>
      </c>
      <c r="FM757" s="2" t="n">
        <v>100</v>
      </c>
      <c r="FN757" s="2" t="n">
        <v>0</v>
      </c>
      <c r="FO757" s="2" t="n">
        <v>100</v>
      </c>
      <c r="FP757" s="2" t="n">
        <v>100</v>
      </c>
      <c r="FQ757" s="2" t="n">
        <v>0</v>
      </c>
    </row>
    <row r="758">
      <c r="A758" s="2" t="n">
        <v>3</v>
      </c>
      <c r="B758" s="2" t="inlineStr">
        <is>
          <t>31.05.06</t>
        </is>
      </c>
      <c r="C758" s="2" t="inlineStr">
        <is>
          <t>Diversos</t>
        </is>
      </c>
      <c r="D758" s="2" t="inlineStr">
        <is>
          <t>08/09/2027</t>
        </is>
      </c>
      <c r="E758" s="2" t="inlineStr">
        <is>
          <t>17/09/2027</t>
        </is>
      </c>
      <c r="F758" s="2" t="n">
        <v>35422.70839979722</v>
      </c>
      <c r="G758" s="2" t="n">
        <v>0</v>
      </c>
      <c r="H758" s="2" t="n">
        <v>35422.70839979722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0</v>
      </c>
      <c r="CS758" s="2" t="n">
        <v>0</v>
      </c>
      <c r="CT758" s="2" t="n">
        <v>0</v>
      </c>
      <c r="CU758" s="2" t="n">
        <v>0</v>
      </c>
      <c r="CV758" s="2" t="n">
        <v>0</v>
      </c>
      <c r="CW758" s="2" t="n">
        <v>0</v>
      </c>
      <c r="CX758" s="2" t="n">
        <v>0</v>
      </c>
      <c r="CY758" s="2" t="n">
        <v>0</v>
      </c>
      <c r="CZ758" s="2" t="n">
        <v>0</v>
      </c>
      <c r="DA758" s="2" t="n">
        <v>0</v>
      </c>
      <c r="DB758" s="2" t="n">
        <v>0</v>
      </c>
      <c r="DC758" s="2" t="n">
        <v>0</v>
      </c>
      <c r="DD758" s="2" t="n">
        <v>0</v>
      </c>
      <c r="DE758" s="2" t="n">
        <v>0</v>
      </c>
      <c r="DF758" s="2" t="n">
        <v>0</v>
      </c>
      <c r="DG758" s="2" t="n">
        <v>0</v>
      </c>
      <c r="DH758" s="2" t="n">
        <v>0</v>
      </c>
      <c r="DI758" s="2" t="n">
        <v>0</v>
      </c>
      <c r="DJ758" s="2" t="n">
        <v>0</v>
      </c>
      <c r="DK758" s="2" t="n">
        <v>0</v>
      </c>
      <c r="DL758" s="2" t="n">
        <v>0</v>
      </c>
      <c r="DM758" s="2" t="n">
        <v>100</v>
      </c>
      <c r="DN758" s="2" t="n">
        <v>0</v>
      </c>
      <c r="DO758" s="2" t="n">
        <v>0</v>
      </c>
      <c r="DP758" s="2" t="n">
        <v>100</v>
      </c>
      <c r="DQ758" s="2" t="n">
        <v>100</v>
      </c>
      <c r="DR758" s="2" t="n">
        <v>0</v>
      </c>
      <c r="DS758" s="2" t="n">
        <v>100</v>
      </c>
      <c r="DT758" s="2" t="n">
        <v>100</v>
      </c>
      <c r="DU758" s="2" t="n">
        <v>0</v>
      </c>
      <c r="DV758" s="2" t="n">
        <v>100</v>
      </c>
      <c r="DW758" s="2" t="n">
        <v>100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  <c r="ET758" s="2" t="n">
        <v>100</v>
      </c>
      <c r="EU758" s="2" t="n">
        <v>100</v>
      </c>
      <c r="EV758" s="2" t="n">
        <v>0</v>
      </c>
      <c r="EW758" s="2" t="n">
        <v>100</v>
      </c>
      <c r="EX758" s="2" t="n">
        <v>100</v>
      </c>
      <c r="EY758" s="2" t="n">
        <v>0</v>
      </c>
      <c r="EZ758" s="2" t="n">
        <v>100</v>
      </c>
      <c r="FA758" s="2" t="n">
        <v>100</v>
      </c>
      <c r="FB758" s="2" t="n">
        <v>0</v>
      </c>
      <c r="FC758" s="2" t="n">
        <v>100</v>
      </c>
      <c r="FD758" s="2" t="n">
        <v>100</v>
      </c>
      <c r="FE758" s="2" t="n">
        <v>0</v>
      </c>
      <c r="FF758" s="2" t="n">
        <v>100</v>
      </c>
      <c r="FG758" s="2" t="n">
        <v>100</v>
      </c>
      <c r="FH758" s="2" t="n">
        <v>0</v>
      </c>
      <c r="FI758" s="2" t="n">
        <v>100</v>
      </c>
      <c r="FJ758" s="2" t="n">
        <v>100</v>
      </c>
      <c r="FK758" s="2" t="n">
        <v>0</v>
      </c>
      <c r="FL758" s="2" t="n">
        <v>100</v>
      </c>
      <c r="FM758" s="2" t="n">
        <v>100</v>
      </c>
      <c r="FN758" s="2" t="n">
        <v>0</v>
      </c>
      <c r="FO758" s="2" t="n">
        <v>100</v>
      </c>
      <c r="FP758" s="2" t="n">
        <v>100</v>
      </c>
      <c r="FQ758" s="2" t="n">
        <v>0</v>
      </c>
    </row>
    <row r="759">
      <c r="A759" s="2" t="n">
        <v>4</v>
      </c>
      <c r="B759" s="2" t="inlineStr">
        <is>
          <t>31.05.06.01</t>
        </is>
      </c>
      <c r="C759" s="2" t="inlineStr">
        <is>
          <t>INT - (Drywall) Parede revestida em gesso Cleneo quadriculado</t>
        </is>
      </c>
      <c r="D759" s="2" t="inlineStr">
        <is>
          <t>08/09/2027</t>
        </is>
      </c>
      <c r="E759" s="2" t="inlineStr">
        <is>
          <t>17/09/2027</t>
        </is>
      </c>
      <c r="F759" s="2" t="n">
        <v>7161.875199999997</v>
      </c>
      <c r="G759" s="2" t="n">
        <v>0</v>
      </c>
      <c r="H759" s="2" t="n">
        <v>7161.875199999997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0</v>
      </c>
      <c r="CS759" s="2" t="n">
        <v>0</v>
      </c>
      <c r="CT759" s="2" t="n">
        <v>0</v>
      </c>
      <c r="CU759" s="2" t="n">
        <v>0</v>
      </c>
      <c r="CV759" s="2" t="n">
        <v>0</v>
      </c>
      <c r="CW759" s="2" t="n">
        <v>0</v>
      </c>
      <c r="CX759" s="2" t="n">
        <v>0</v>
      </c>
      <c r="CY759" s="2" t="n">
        <v>0</v>
      </c>
      <c r="CZ759" s="2" t="n">
        <v>0</v>
      </c>
      <c r="DA759" s="2" t="n">
        <v>0</v>
      </c>
      <c r="DB759" s="2" t="n">
        <v>0</v>
      </c>
      <c r="DC759" s="2" t="n">
        <v>0</v>
      </c>
      <c r="DD759" s="2" t="n">
        <v>0</v>
      </c>
      <c r="DE759" s="2" t="n">
        <v>0</v>
      </c>
      <c r="DF759" s="2" t="n">
        <v>0</v>
      </c>
      <c r="DG759" s="2" t="n">
        <v>0</v>
      </c>
      <c r="DH759" s="2" t="n">
        <v>0</v>
      </c>
      <c r="DI759" s="2" t="n">
        <v>0</v>
      </c>
      <c r="DJ759" s="2" t="n">
        <v>0</v>
      </c>
      <c r="DK759" s="2" t="n">
        <v>0</v>
      </c>
      <c r="DL759" s="2" t="n">
        <v>0</v>
      </c>
      <c r="DM759" s="2" t="n">
        <v>100</v>
      </c>
      <c r="DN759" s="2" t="n">
        <v>0</v>
      </c>
      <c r="DO759" s="2" t="n">
        <v>0</v>
      </c>
      <c r="DP759" s="2" t="n">
        <v>100</v>
      </c>
      <c r="DQ759" s="2" t="n">
        <v>100</v>
      </c>
      <c r="DR759" s="2" t="n">
        <v>0</v>
      </c>
      <c r="DS759" s="2" t="n">
        <v>100</v>
      </c>
      <c r="DT759" s="2" t="n">
        <v>100</v>
      </c>
      <c r="DU759" s="2" t="n">
        <v>0</v>
      </c>
      <c r="DV759" s="2" t="n">
        <v>100</v>
      </c>
      <c r="DW759" s="2" t="n">
        <v>100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  <c r="ET759" s="2" t="n">
        <v>100</v>
      </c>
      <c r="EU759" s="2" t="n">
        <v>100</v>
      </c>
      <c r="EV759" s="2" t="n">
        <v>0</v>
      </c>
      <c r="EW759" s="2" t="n">
        <v>100</v>
      </c>
      <c r="EX759" s="2" t="n">
        <v>100</v>
      </c>
      <c r="EY759" s="2" t="n">
        <v>0</v>
      </c>
      <c r="EZ759" s="2" t="n">
        <v>100</v>
      </c>
      <c r="FA759" s="2" t="n">
        <v>100</v>
      </c>
      <c r="FB759" s="2" t="n">
        <v>0</v>
      </c>
      <c r="FC759" s="2" t="n">
        <v>100</v>
      </c>
      <c r="FD759" s="2" t="n">
        <v>100</v>
      </c>
      <c r="FE759" s="2" t="n">
        <v>0</v>
      </c>
      <c r="FF759" s="2" t="n">
        <v>100</v>
      </c>
      <c r="FG759" s="2" t="n">
        <v>100</v>
      </c>
      <c r="FH759" s="2" t="n">
        <v>0</v>
      </c>
      <c r="FI759" s="2" t="n">
        <v>100</v>
      </c>
      <c r="FJ759" s="2" t="n">
        <v>100</v>
      </c>
      <c r="FK759" s="2" t="n">
        <v>0</v>
      </c>
      <c r="FL759" s="2" t="n">
        <v>100</v>
      </c>
      <c r="FM759" s="2" t="n">
        <v>100</v>
      </c>
      <c r="FN759" s="2" t="n">
        <v>0</v>
      </c>
      <c r="FO759" s="2" t="n">
        <v>100</v>
      </c>
      <c r="FP759" s="2" t="n">
        <v>100</v>
      </c>
      <c r="FQ759" s="2" t="n">
        <v>0</v>
      </c>
    </row>
    <row r="760">
      <c r="A760" s="2" t="n">
        <v>4</v>
      </c>
      <c r="B760" s="2" t="inlineStr">
        <is>
          <t>31.05.06.02</t>
        </is>
      </c>
      <c r="C760" s="2" t="inlineStr">
        <is>
          <t>INT - Revestimento em conjunto com sarrafos de madeira 2,5x5cm a cada 35-40cm, lã de vidro 2,5cm de espessura e fechamento em réguas de madeira Cedro.</t>
        </is>
      </c>
      <c r="D760" s="2" t="inlineStr">
        <is>
          <t>08/09/2027</t>
        </is>
      </c>
      <c r="E760" s="2" t="inlineStr">
        <is>
          <t>17/09/2027</t>
        </is>
      </c>
      <c r="F760" s="2" t="n">
        <v>27371.34</v>
      </c>
      <c r="G760" s="2" t="n">
        <v>0</v>
      </c>
      <c r="H760" s="2" t="n">
        <v>27371.34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0</v>
      </c>
      <c r="CS760" s="2" t="n">
        <v>0</v>
      </c>
      <c r="CT760" s="2" t="n">
        <v>0</v>
      </c>
      <c r="CU760" s="2" t="n">
        <v>0</v>
      </c>
      <c r="CV760" s="2" t="n">
        <v>0</v>
      </c>
      <c r="CW760" s="2" t="n">
        <v>0</v>
      </c>
      <c r="CX760" s="2" t="n">
        <v>0</v>
      </c>
      <c r="CY760" s="2" t="n">
        <v>0</v>
      </c>
      <c r="CZ760" s="2" t="n">
        <v>0</v>
      </c>
      <c r="DA760" s="2" t="n">
        <v>0</v>
      </c>
      <c r="DB760" s="2" t="n">
        <v>0</v>
      </c>
      <c r="DC760" s="2" t="n">
        <v>0</v>
      </c>
      <c r="DD760" s="2" t="n">
        <v>0</v>
      </c>
      <c r="DE760" s="2" t="n">
        <v>0</v>
      </c>
      <c r="DF760" s="2" t="n">
        <v>0</v>
      </c>
      <c r="DG760" s="2" t="n">
        <v>0</v>
      </c>
      <c r="DH760" s="2" t="n">
        <v>0</v>
      </c>
      <c r="DI760" s="2" t="n">
        <v>0</v>
      </c>
      <c r="DJ760" s="2" t="n">
        <v>0</v>
      </c>
      <c r="DK760" s="2" t="n">
        <v>0</v>
      </c>
      <c r="DL760" s="2" t="n">
        <v>0</v>
      </c>
      <c r="DM760" s="2" t="n">
        <v>100</v>
      </c>
      <c r="DN760" s="2" t="n">
        <v>0</v>
      </c>
      <c r="DO760" s="2" t="n">
        <v>0</v>
      </c>
      <c r="DP760" s="2" t="n">
        <v>100</v>
      </c>
      <c r="DQ760" s="2" t="n">
        <v>100</v>
      </c>
      <c r="DR760" s="2" t="n">
        <v>0</v>
      </c>
      <c r="DS760" s="2" t="n">
        <v>100</v>
      </c>
      <c r="DT760" s="2" t="n">
        <v>100</v>
      </c>
      <c r="DU760" s="2" t="n">
        <v>0</v>
      </c>
      <c r="DV760" s="2" t="n">
        <v>100</v>
      </c>
      <c r="DW760" s="2" t="n">
        <v>100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  <c r="ET760" s="2" t="n">
        <v>100</v>
      </c>
      <c r="EU760" s="2" t="n">
        <v>100</v>
      </c>
      <c r="EV760" s="2" t="n">
        <v>0</v>
      </c>
      <c r="EW760" s="2" t="n">
        <v>100</v>
      </c>
      <c r="EX760" s="2" t="n">
        <v>100</v>
      </c>
      <c r="EY760" s="2" t="n">
        <v>0</v>
      </c>
      <c r="EZ760" s="2" t="n">
        <v>100</v>
      </c>
      <c r="FA760" s="2" t="n">
        <v>100</v>
      </c>
      <c r="FB760" s="2" t="n">
        <v>0</v>
      </c>
      <c r="FC760" s="2" t="n">
        <v>100</v>
      </c>
      <c r="FD760" s="2" t="n">
        <v>100</v>
      </c>
      <c r="FE760" s="2" t="n">
        <v>0</v>
      </c>
      <c r="FF760" s="2" t="n">
        <v>100</v>
      </c>
      <c r="FG760" s="2" t="n">
        <v>100</v>
      </c>
      <c r="FH760" s="2" t="n">
        <v>0</v>
      </c>
      <c r="FI760" s="2" t="n">
        <v>100</v>
      </c>
      <c r="FJ760" s="2" t="n">
        <v>100</v>
      </c>
      <c r="FK760" s="2" t="n">
        <v>0</v>
      </c>
      <c r="FL760" s="2" t="n">
        <v>100</v>
      </c>
      <c r="FM760" s="2" t="n">
        <v>100</v>
      </c>
      <c r="FN760" s="2" t="n">
        <v>0</v>
      </c>
      <c r="FO760" s="2" t="n">
        <v>100</v>
      </c>
      <c r="FP760" s="2" t="n">
        <v>100</v>
      </c>
      <c r="FQ760" s="2" t="n">
        <v>0</v>
      </c>
    </row>
    <row r="761">
      <c r="A761" s="2" t="n">
        <v>4</v>
      </c>
      <c r="B761" s="2" t="inlineStr">
        <is>
          <t>31.05.06.03</t>
        </is>
      </c>
      <c r="C761" s="2" t="inlineStr">
        <is>
          <t>INT - Perfil "U" em alumínio para transição de materiais</t>
        </is>
      </c>
      <c r="D761" s="2" t="inlineStr">
        <is>
          <t>08/09/2027</t>
        </is>
      </c>
      <c r="E761" s="2" t="inlineStr">
        <is>
          <t>17/09/2027</t>
        </is>
      </c>
      <c r="F761" s="2" t="n">
        <v>889.4931997972209</v>
      </c>
      <c r="G761" s="2" t="n">
        <v>0</v>
      </c>
      <c r="H761" s="2" t="n">
        <v>889.4931997972209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0</v>
      </c>
      <c r="CS761" s="2" t="n">
        <v>0</v>
      </c>
      <c r="CT761" s="2" t="n">
        <v>0</v>
      </c>
      <c r="CU761" s="2" t="n">
        <v>0</v>
      </c>
      <c r="CV761" s="2" t="n">
        <v>0</v>
      </c>
      <c r="CW761" s="2" t="n">
        <v>0</v>
      </c>
      <c r="CX761" s="2" t="n">
        <v>0</v>
      </c>
      <c r="CY761" s="2" t="n">
        <v>0</v>
      </c>
      <c r="CZ761" s="2" t="n">
        <v>0</v>
      </c>
      <c r="DA761" s="2" t="n">
        <v>0</v>
      </c>
      <c r="DB761" s="2" t="n">
        <v>0</v>
      </c>
      <c r="DC761" s="2" t="n">
        <v>0</v>
      </c>
      <c r="DD761" s="2" t="n">
        <v>0</v>
      </c>
      <c r="DE761" s="2" t="n">
        <v>0</v>
      </c>
      <c r="DF761" s="2" t="n">
        <v>0</v>
      </c>
      <c r="DG761" s="2" t="n">
        <v>0</v>
      </c>
      <c r="DH761" s="2" t="n">
        <v>0</v>
      </c>
      <c r="DI761" s="2" t="n">
        <v>0</v>
      </c>
      <c r="DJ761" s="2" t="n">
        <v>0</v>
      </c>
      <c r="DK761" s="2" t="n">
        <v>0</v>
      </c>
      <c r="DL761" s="2" t="n">
        <v>0</v>
      </c>
      <c r="DM761" s="2" t="n">
        <v>100</v>
      </c>
      <c r="DN761" s="2" t="n">
        <v>0</v>
      </c>
      <c r="DO761" s="2" t="n">
        <v>0</v>
      </c>
      <c r="DP761" s="2" t="n">
        <v>100</v>
      </c>
      <c r="DQ761" s="2" t="n">
        <v>100</v>
      </c>
      <c r="DR761" s="2" t="n">
        <v>0</v>
      </c>
      <c r="DS761" s="2" t="n">
        <v>100</v>
      </c>
      <c r="DT761" s="2" t="n">
        <v>100</v>
      </c>
      <c r="DU761" s="2" t="n">
        <v>0</v>
      </c>
      <c r="DV761" s="2" t="n">
        <v>100</v>
      </c>
      <c r="DW761" s="2" t="n">
        <v>100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  <c r="ET761" s="2" t="n">
        <v>100</v>
      </c>
      <c r="EU761" s="2" t="n">
        <v>100</v>
      </c>
      <c r="EV761" s="2" t="n">
        <v>0</v>
      </c>
      <c r="EW761" s="2" t="n">
        <v>100</v>
      </c>
      <c r="EX761" s="2" t="n">
        <v>100</v>
      </c>
      <c r="EY761" s="2" t="n">
        <v>0</v>
      </c>
      <c r="EZ761" s="2" t="n">
        <v>100</v>
      </c>
      <c r="FA761" s="2" t="n">
        <v>100</v>
      </c>
      <c r="FB761" s="2" t="n">
        <v>0</v>
      </c>
      <c r="FC761" s="2" t="n">
        <v>100</v>
      </c>
      <c r="FD761" s="2" t="n">
        <v>100</v>
      </c>
      <c r="FE761" s="2" t="n">
        <v>0</v>
      </c>
      <c r="FF761" s="2" t="n">
        <v>100</v>
      </c>
      <c r="FG761" s="2" t="n">
        <v>100</v>
      </c>
      <c r="FH761" s="2" t="n">
        <v>0</v>
      </c>
      <c r="FI761" s="2" t="n">
        <v>100</v>
      </c>
      <c r="FJ761" s="2" t="n">
        <v>100</v>
      </c>
      <c r="FK761" s="2" t="n">
        <v>0</v>
      </c>
      <c r="FL761" s="2" t="n">
        <v>100</v>
      </c>
      <c r="FM761" s="2" t="n">
        <v>100</v>
      </c>
      <c r="FN761" s="2" t="n">
        <v>0</v>
      </c>
      <c r="FO761" s="2" t="n">
        <v>100</v>
      </c>
      <c r="FP761" s="2" t="n">
        <v>100</v>
      </c>
      <c r="FQ761" s="2" t="n">
        <v>0</v>
      </c>
    </row>
    <row r="762">
      <c r="A762" s="2" t="n">
        <v>2</v>
      </c>
      <c r="B762" s="2" t="inlineStr">
        <is>
          <t>31.06</t>
        </is>
      </c>
      <c r="C762" s="2" t="inlineStr">
        <is>
          <t>Bancadas</t>
        </is>
      </c>
      <c r="D762" s="2" t="inlineStr">
        <is>
          <t>03/03/2027</t>
        </is>
      </c>
      <c r="E762" s="2" t="inlineStr">
        <is>
          <t>24/03/2028</t>
        </is>
      </c>
      <c r="F762" s="2" t="n">
        <v>1477792.92031216</v>
      </c>
      <c r="G762" s="2" t="n">
        <v>0</v>
      </c>
      <c r="H762" s="2" t="n">
        <v>1477792.92031216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0</v>
      </c>
      <c r="CM762" s="2" t="n">
        <v>0</v>
      </c>
      <c r="CN762" s="2" t="n">
        <v>0</v>
      </c>
      <c r="CO762" s="2" t="n">
        <v>0</v>
      </c>
      <c r="CP762" s="2" t="n">
        <v>0</v>
      </c>
      <c r="CQ762" s="2" t="n">
        <v>0</v>
      </c>
      <c r="CR762" s="2" t="n">
        <v>0</v>
      </c>
      <c r="CS762" s="2" t="n">
        <v>0</v>
      </c>
      <c r="CT762" s="2" t="n">
        <v>0</v>
      </c>
      <c r="CU762" s="2" t="n">
        <v>0.8100000000000001</v>
      </c>
      <c r="CV762" s="2" t="n">
        <v>0</v>
      </c>
      <c r="CW762" s="2" t="n">
        <v>0</v>
      </c>
      <c r="CX762" s="2" t="n">
        <v>8.08</v>
      </c>
      <c r="CY762" s="2" t="n">
        <v>4.04</v>
      </c>
      <c r="CZ762" s="2" t="n">
        <v>0</v>
      </c>
      <c r="DA762" s="2" t="n">
        <v>18.76</v>
      </c>
      <c r="DB762" s="2" t="n">
        <v>13.91</v>
      </c>
      <c r="DC762" s="2" t="n">
        <v>0</v>
      </c>
      <c r="DD762" s="2" t="n">
        <v>18.76</v>
      </c>
      <c r="DE762" s="2" t="n">
        <v>18.76</v>
      </c>
      <c r="DF762" s="2" t="n">
        <v>0</v>
      </c>
      <c r="DG762" s="2" t="n">
        <v>25.05</v>
      </c>
      <c r="DH762" s="2" t="n">
        <v>19.42</v>
      </c>
      <c r="DI762" s="2" t="n">
        <v>0</v>
      </c>
      <c r="DJ762" s="2" t="n">
        <v>36.24</v>
      </c>
      <c r="DK762" s="2" t="n">
        <v>34.63</v>
      </c>
      <c r="DL762" s="2" t="n">
        <v>0</v>
      </c>
      <c r="DM762" s="2" t="n">
        <v>49.88</v>
      </c>
      <c r="DN762" s="2" t="n">
        <v>45.53</v>
      </c>
      <c r="DO762" s="2" t="n">
        <v>0</v>
      </c>
      <c r="DP762" s="2" t="n">
        <v>62.32</v>
      </c>
      <c r="DQ762" s="2" t="n">
        <v>57.15</v>
      </c>
      <c r="DR762" s="2" t="n">
        <v>0</v>
      </c>
      <c r="DS762" s="2" t="n">
        <v>67.17</v>
      </c>
      <c r="DT762" s="2" t="n">
        <v>66.77</v>
      </c>
      <c r="DU762" s="2" t="n">
        <v>0</v>
      </c>
      <c r="DV762" s="2" t="n">
        <v>75.76000000000001</v>
      </c>
      <c r="DW762" s="2" t="n">
        <v>74.14</v>
      </c>
      <c r="DX762" s="2" t="n">
        <v>0</v>
      </c>
      <c r="DY762" s="2" t="n">
        <v>83.03</v>
      </c>
      <c r="DZ762" s="2" t="n">
        <v>81.42</v>
      </c>
      <c r="EA762" s="2" t="n">
        <v>0</v>
      </c>
      <c r="EB762" s="2" t="n">
        <v>92.73</v>
      </c>
      <c r="EC762" s="2" t="n">
        <v>88.28</v>
      </c>
      <c r="ED762" s="2" t="n">
        <v>0</v>
      </c>
      <c r="EE762" s="2" t="n">
        <v>100</v>
      </c>
      <c r="EF762" s="2" t="n">
        <v>94.75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  <c r="ET762" s="2" t="n">
        <v>100</v>
      </c>
      <c r="EU762" s="2" t="n">
        <v>100</v>
      </c>
      <c r="EV762" s="2" t="n">
        <v>0</v>
      </c>
      <c r="EW762" s="2" t="n">
        <v>100</v>
      </c>
      <c r="EX762" s="2" t="n">
        <v>100</v>
      </c>
      <c r="EY762" s="2" t="n">
        <v>0</v>
      </c>
      <c r="EZ762" s="2" t="n">
        <v>100</v>
      </c>
      <c r="FA762" s="2" t="n">
        <v>100</v>
      </c>
      <c r="FB762" s="2" t="n">
        <v>0</v>
      </c>
      <c r="FC762" s="2" t="n">
        <v>100</v>
      </c>
      <c r="FD762" s="2" t="n">
        <v>100</v>
      </c>
      <c r="FE762" s="2" t="n">
        <v>0</v>
      </c>
      <c r="FF762" s="2" t="n">
        <v>100</v>
      </c>
      <c r="FG762" s="2" t="n">
        <v>100</v>
      </c>
      <c r="FH762" s="2" t="n">
        <v>0</v>
      </c>
      <c r="FI762" s="2" t="n">
        <v>100</v>
      </c>
      <c r="FJ762" s="2" t="n">
        <v>100</v>
      </c>
      <c r="FK762" s="2" t="n">
        <v>0</v>
      </c>
      <c r="FL762" s="2" t="n">
        <v>100</v>
      </c>
      <c r="FM762" s="2" t="n">
        <v>100</v>
      </c>
      <c r="FN762" s="2" t="n">
        <v>0</v>
      </c>
      <c r="FO762" s="2" t="n">
        <v>100</v>
      </c>
      <c r="FP762" s="2" t="n">
        <v>100</v>
      </c>
      <c r="FQ762" s="2" t="n">
        <v>0</v>
      </c>
    </row>
    <row r="763">
      <c r="A763" s="2" t="n">
        <v>3</v>
      </c>
      <c r="B763" s="2" t="inlineStr">
        <is>
          <t>31.06.01</t>
        </is>
      </c>
      <c r="C763" s="2" t="inlineStr">
        <is>
          <t>Bancada de granito branco Siena escovado com rodabanca H=60cm</t>
        </is>
      </c>
      <c r="D763" s="2" t="inlineStr">
        <is>
          <t>03/03/2027</t>
        </is>
      </c>
      <c r="E763" s="2" t="inlineStr">
        <is>
          <t>24/03/2028</t>
        </is>
      </c>
      <c r="F763" s="2" t="n">
        <v>940291.5685470699</v>
      </c>
      <c r="G763" s="2" t="n">
        <v>0</v>
      </c>
      <c r="H763" s="2" t="n">
        <v>940291.5685470699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0</v>
      </c>
      <c r="CM763" s="2" t="n">
        <v>0</v>
      </c>
      <c r="CN763" s="2" t="n">
        <v>0</v>
      </c>
      <c r="CO763" s="2" t="n">
        <v>0</v>
      </c>
      <c r="CP763" s="2" t="n">
        <v>0</v>
      </c>
      <c r="CQ763" s="2" t="n">
        <v>0</v>
      </c>
      <c r="CR763" s="2" t="n">
        <v>0</v>
      </c>
      <c r="CS763" s="2" t="n">
        <v>0</v>
      </c>
      <c r="CT763" s="2" t="n">
        <v>0</v>
      </c>
      <c r="CU763" s="2" t="n">
        <v>0.8100000000000001</v>
      </c>
      <c r="CV763" s="2" t="n">
        <v>0</v>
      </c>
      <c r="CW763" s="2" t="n">
        <v>0</v>
      </c>
      <c r="CX763" s="2" t="n">
        <v>8.08</v>
      </c>
      <c r="CY763" s="2" t="n">
        <v>4.04</v>
      </c>
      <c r="CZ763" s="2" t="n">
        <v>0</v>
      </c>
      <c r="DA763" s="2" t="n">
        <v>18.76</v>
      </c>
      <c r="DB763" s="2" t="n">
        <v>13.91</v>
      </c>
      <c r="DC763" s="2" t="n">
        <v>0</v>
      </c>
      <c r="DD763" s="2" t="n">
        <v>18.76</v>
      </c>
      <c r="DE763" s="2" t="n">
        <v>18.76</v>
      </c>
      <c r="DF763" s="2" t="n">
        <v>0</v>
      </c>
      <c r="DG763" s="2" t="n">
        <v>25.05</v>
      </c>
      <c r="DH763" s="2" t="n">
        <v>19.42</v>
      </c>
      <c r="DI763" s="2" t="n">
        <v>0</v>
      </c>
      <c r="DJ763" s="2" t="n">
        <v>36.24</v>
      </c>
      <c r="DK763" s="2" t="n">
        <v>34.63</v>
      </c>
      <c r="DL763" s="2" t="n">
        <v>0</v>
      </c>
      <c r="DM763" s="2" t="n">
        <v>49.88</v>
      </c>
      <c r="DN763" s="2" t="n">
        <v>45.53</v>
      </c>
      <c r="DO763" s="2" t="n">
        <v>0</v>
      </c>
      <c r="DP763" s="2" t="n">
        <v>62.32</v>
      </c>
      <c r="DQ763" s="2" t="n">
        <v>57.15</v>
      </c>
      <c r="DR763" s="2" t="n">
        <v>0</v>
      </c>
      <c r="DS763" s="2" t="n">
        <v>67.17</v>
      </c>
      <c r="DT763" s="2" t="n">
        <v>66.77</v>
      </c>
      <c r="DU763" s="2" t="n">
        <v>0</v>
      </c>
      <c r="DV763" s="2" t="n">
        <v>75.76000000000001</v>
      </c>
      <c r="DW763" s="2" t="n">
        <v>74.14</v>
      </c>
      <c r="DX763" s="2" t="n">
        <v>0</v>
      </c>
      <c r="DY763" s="2" t="n">
        <v>83.03</v>
      </c>
      <c r="DZ763" s="2" t="n">
        <v>81.42</v>
      </c>
      <c r="EA763" s="2" t="n">
        <v>0</v>
      </c>
      <c r="EB763" s="2" t="n">
        <v>92.73</v>
      </c>
      <c r="EC763" s="2" t="n">
        <v>88.28</v>
      </c>
      <c r="ED763" s="2" t="n">
        <v>0</v>
      </c>
      <c r="EE763" s="2" t="n">
        <v>100</v>
      </c>
      <c r="EF763" s="2" t="n">
        <v>94.75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  <c r="ET763" s="2" t="n">
        <v>100</v>
      </c>
      <c r="EU763" s="2" t="n">
        <v>100</v>
      </c>
      <c r="EV763" s="2" t="n">
        <v>0</v>
      </c>
      <c r="EW763" s="2" t="n">
        <v>100</v>
      </c>
      <c r="EX763" s="2" t="n">
        <v>100</v>
      </c>
      <c r="EY763" s="2" t="n">
        <v>0</v>
      </c>
      <c r="EZ763" s="2" t="n">
        <v>100</v>
      </c>
      <c r="FA763" s="2" t="n">
        <v>100</v>
      </c>
      <c r="FB763" s="2" t="n">
        <v>0</v>
      </c>
      <c r="FC763" s="2" t="n">
        <v>100</v>
      </c>
      <c r="FD763" s="2" t="n">
        <v>100</v>
      </c>
      <c r="FE763" s="2" t="n">
        <v>0</v>
      </c>
      <c r="FF763" s="2" t="n">
        <v>100</v>
      </c>
      <c r="FG763" s="2" t="n">
        <v>100</v>
      </c>
      <c r="FH763" s="2" t="n">
        <v>0</v>
      </c>
      <c r="FI763" s="2" t="n">
        <v>100</v>
      </c>
      <c r="FJ763" s="2" t="n">
        <v>100</v>
      </c>
      <c r="FK763" s="2" t="n">
        <v>0</v>
      </c>
      <c r="FL763" s="2" t="n">
        <v>100</v>
      </c>
      <c r="FM763" s="2" t="n">
        <v>100</v>
      </c>
      <c r="FN763" s="2" t="n">
        <v>0</v>
      </c>
      <c r="FO763" s="2" t="n">
        <v>100</v>
      </c>
      <c r="FP763" s="2" t="n">
        <v>100</v>
      </c>
      <c r="FQ763" s="2" t="n">
        <v>0</v>
      </c>
    </row>
    <row r="764">
      <c r="A764" s="2" t="n">
        <v>4</v>
      </c>
      <c r="B764" s="2" t="inlineStr">
        <is>
          <t>31.06.01.01</t>
        </is>
      </c>
      <c r="C764" s="2" t="inlineStr">
        <is>
          <t>Bancada de granito branco Siena escovado com rodabanca H=60cm</t>
        </is>
      </c>
      <c r="D764" s="2" t="inlineStr">
        <is>
          <t>03/03/2027</t>
        </is>
      </c>
      <c r="E764" s="2" t="inlineStr">
        <is>
          <t>24/03/2028</t>
        </is>
      </c>
      <c r="F764" s="2" t="n">
        <v>269032.3994371594</v>
      </c>
      <c r="G764" s="2" t="n">
        <v>0</v>
      </c>
      <c r="H764" s="2" t="n">
        <v>269032.3994371594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0.8100000000000001</v>
      </c>
      <c r="CV764" s="2" t="n">
        <v>0</v>
      </c>
      <c r="CW764" s="2" t="n">
        <v>0</v>
      </c>
      <c r="CX764" s="2" t="n">
        <v>8.08</v>
      </c>
      <c r="CY764" s="2" t="n">
        <v>4.04</v>
      </c>
      <c r="CZ764" s="2" t="n">
        <v>0</v>
      </c>
      <c r="DA764" s="2" t="n">
        <v>18.76</v>
      </c>
      <c r="DB764" s="2" t="n">
        <v>13.91</v>
      </c>
      <c r="DC764" s="2" t="n">
        <v>0</v>
      </c>
      <c r="DD764" s="2" t="n">
        <v>18.76</v>
      </c>
      <c r="DE764" s="2" t="n">
        <v>18.76</v>
      </c>
      <c r="DF764" s="2" t="n">
        <v>0</v>
      </c>
      <c r="DG764" s="2" t="n">
        <v>25.05</v>
      </c>
      <c r="DH764" s="2" t="n">
        <v>19.42</v>
      </c>
      <c r="DI764" s="2" t="n">
        <v>0</v>
      </c>
      <c r="DJ764" s="2" t="n">
        <v>36.24</v>
      </c>
      <c r="DK764" s="2" t="n">
        <v>34.63</v>
      </c>
      <c r="DL764" s="2" t="n">
        <v>0</v>
      </c>
      <c r="DM764" s="2" t="n">
        <v>49.88</v>
      </c>
      <c r="DN764" s="2" t="n">
        <v>45.53</v>
      </c>
      <c r="DO764" s="2" t="n">
        <v>0</v>
      </c>
      <c r="DP764" s="2" t="n">
        <v>62.32</v>
      </c>
      <c r="DQ764" s="2" t="n">
        <v>57.15</v>
      </c>
      <c r="DR764" s="2" t="n">
        <v>0</v>
      </c>
      <c r="DS764" s="2" t="n">
        <v>67.17</v>
      </c>
      <c r="DT764" s="2" t="n">
        <v>66.77</v>
      </c>
      <c r="DU764" s="2" t="n">
        <v>0</v>
      </c>
      <c r="DV764" s="2" t="n">
        <v>75.76000000000001</v>
      </c>
      <c r="DW764" s="2" t="n">
        <v>74.14</v>
      </c>
      <c r="DX764" s="2" t="n">
        <v>0</v>
      </c>
      <c r="DY764" s="2" t="n">
        <v>83.03</v>
      </c>
      <c r="DZ764" s="2" t="n">
        <v>81.42</v>
      </c>
      <c r="EA764" s="2" t="n">
        <v>0</v>
      </c>
      <c r="EB764" s="2" t="n">
        <v>92.73</v>
      </c>
      <c r="EC764" s="2" t="n">
        <v>88.28</v>
      </c>
      <c r="ED764" s="2" t="n">
        <v>0</v>
      </c>
      <c r="EE764" s="2" t="n">
        <v>100</v>
      </c>
      <c r="EF764" s="2" t="n">
        <v>94.75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  <c r="ET764" s="2" t="n">
        <v>100</v>
      </c>
      <c r="EU764" s="2" t="n">
        <v>100</v>
      </c>
      <c r="EV764" s="2" t="n">
        <v>0</v>
      </c>
      <c r="EW764" s="2" t="n">
        <v>100</v>
      </c>
      <c r="EX764" s="2" t="n">
        <v>100</v>
      </c>
      <c r="EY764" s="2" t="n">
        <v>0</v>
      </c>
      <c r="EZ764" s="2" t="n">
        <v>100</v>
      </c>
      <c r="FA764" s="2" t="n">
        <v>100</v>
      </c>
      <c r="FB764" s="2" t="n">
        <v>0</v>
      </c>
      <c r="FC764" s="2" t="n">
        <v>100</v>
      </c>
      <c r="FD764" s="2" t="n">
        <v>100</v>
      </c>
      <c r="FE764" s="2" t="n">
        <v>0</v>
      </c>
      <c r="FF764" s="2" t="n">
        <v>100</v>
      </c>
      <c r="FG764" s="2" t="n">
        <v>100</v>
      </c>
      <c r="FH764" s="2" t="n">
        <v>0</v>
      </c>
      <c r="FI764" s="2" t="n">
        <v>100</v>
      </c>
      <c r="FJ764" s="2" t="n">
        <v>100</v>
      </c>
      <c r="FK764" s="2" t="n">
        <v>0</v>
      </c>
      <c r="FL764" s="2" t="n">
        <v>100</v>
      </c>
      <c r="FM764" s="2" t="n">
        <v>100</v>
      </c>
      <c r="FN764" s="2" t="n">
        <v>0</v>
      </c>
      <c r="FO764" s="2" t="n">
        <v>100</v>
      </c>
      <c r="FP764" s="2" t="n">
        <v>100</v>
      </c>
      <c r="FQ764" s="2" t="n">
        <v>0</v>
      </c>
    </row>
    <row r="765">
      <c r="A765" s="2" t="n">
        <v>4</v>
      </c>
      <c r="B765" s="2" t="inlineStr">
        <is>
          <t>31.06.01.02</t>
        </is>
      </c>
      <c r="C765" s="2" t="inlineStr">
        <is>
          <t>Fechamento lateral para bancada de granito branco Siena escovado</t>
        </is>
      </c>
      <c r="D765" s="2" t="inlineStr">
        <is>
          <t>03/03/2027</t>
        </is>
      </c>
      <c r="E765" s="2" t="inlineStr">
        <is>
          <t>24/03/2028</t>
        </is>
      </c>
      <c r="F765" s="2" t="n">
        <v>201237.5382543742</v>
      </c>
      <c r="G765" s="2" t="n">
        <v>0</v>
      </c>
      <c r="H765" s="2" t="n">
        <v>201237.5382543742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0.8100000000000001</v>
      </c>
      <c r="CV765" s="2" t="n">
        <v>0</v>
      </c>
      <c r="CW765" s="2" t="n">
        <v>0</v>
      </c>
      <c r="CX765" s="2" t="n">
        <v>8.08</v>
      </c>
      <c r="CY765" s="2" t="n">
        <v>4.04</v>
      </c>
      <c r="CZ765" s="2" t="n">
        <v>0</v>
      </c>
      <c r="DA765" s="2" t="n">
        <v>18.76</v>
      </c>
      <c r="DB765" s="2" t="n">
        <v>13.91</v>
      </c>
      <c r="DC765" s="2" t="n">
        <v>0</v>
      </c>
      <c r="DD765" s="2" t="n">
        <v>18.76</v>
      </c>
      <c r="DE765" s="2" t="n">
        <v>18.76</v>
      </c>
      <c r="DF765" s="2" t="n">
        <v>0</v>
      </c>
      <c r="DG765" s="2" t="n">
        <v>25.05</v>
      </c>
      <c r="DH765" s="2" t="n">
        <v>19.42</v>
      </c>
      <c r="DI765" s="2" t="n">
        <v>0</v>
      </c>
      <c r="DJ765" s="2" t="n">
        <v>36.24</v>
      </c>
      <c r="DK765" s="2" t="n">
        <v>34.63</v>
      </c>
      <c r="DL765" s="2" t="n">
        <v>0</v>
      </c>
      <c r="DM765" s="2" t="n">
        <v>49.88</v>
      </c>
      <c r="DN765" s="2" t="n">
        <v>45.53</v>
      </c>
      <c r="DO765" s="2" t="n">
        <v>0</v>
      </c>
      <c r="DP765" s="2" t="n">
        <v>62.32</v>
      </c>
      <c r="DQ765" s="2" t="n">
        <v>57.15</v>
      </c>
      <c r="DR765" s="2" t="n">
        <v>0</v>
      </c>
      <c r="DS765" s="2" t="n">
        <v>67.17</v>
      </c>
      <c r="DT765" s="2" t="n">
        <v>66.77</v>
      </c>
      <c r="DU765" s="2" t="n">
        <v>0</v>
      </c>
      <c r="DV765" s="2" t="n">
        <v>75.76000000000001</v>
      </c>
      <c r="DW765" s="2" t="n">
        <v>74.14</v>
      </c>
      <c r="DX765" s="2" t="n">
        <v>0</v>
      </c>
      <c r="DY765" s="2" t="n">
        <v>83.03</v>
      </c>
      <c r="DZ765" s="2" t="n">
        <v>81.42</v>
      </c>
      <c r="EA765" s="2" t="n">
        <v>0</v>
      </c>
      <c r="EB765" s="2" t="n">
        <v>92.73</v>
      </c>
      <c r="EC765" s="2" t="n">
        <v>88.28</v>
      </c>
      <c r="ED765" s="2" t="n">
        <v>0</v>
      </c>
      <c r="EE765" s="2" t="n">
        <v>100</v>
      </c>
      <c r="EF765" s="2" t="n">
        <v>94.75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  <c r="ET765" s="2" t="n">
        <v>100</v>
      </c>
      <c r="EU765" s="2" t="n">
        <v>100</v>
      </c>
      <c r="EV765" s="2" t="n">
        <v>0</v>
      </c>
      <c r="EW765" s="2" t="n">
        <v>100</v>
      </c>
      <c r="EX765" s="2" t="n">
        <v>100</v>
      </c>
      <c r="EY765" s="2" t="n">
        <v>0</v>
      </c>
      <c r="EZ765" s="2" t="n">
        <v>100</v>
      </c>
      <c r="FA765" s="2" t="n">
        <v>100</v>
      </c>
      <c r="FB765" s="2" t="n">
        <v>0</v>
      </c>
      <c r="FC765" s="2" t="n">
        <v>100</v>
      </c>
      <c r="FD765" s="2" t="n">
        <v>100</v>
      </c>
      <c r="FE765" s="2" t="n">
        <v>0</v>
      </c>
      <c r="FF765" s="2" t="n">
        <v>100</v>
      </c>
      <c r="FG765" s="2" t="n">
        <v>100</v>
      </c>
      <c r="FH765" s="2" t="n">
        <v>0</v>
      </c>
      <c r="FI765" s="2" t="n">
        <v>100</v>
      </c>
      <c r="FJ765" s="2" t="n">
        <v>100</v>
      </c>
      <c r="FK765" s="2" t="n">
        <v>0</v>
      </c>
      <c r="FL765" s="2" t="n">
        <v>100</v>
      </c>
      <c r="FM765" s="2" t="n">
        <v>100</v>
      </c>
      <c r="FN765" s="2" t="n">
        <v>0</v>
      </c>
      <c r="FO765" s="2" t="n">
        <v>100</v>
      </c>
      <c r="FP765" s="2" t="n">
        <v>100</v>
      </c>
      <c r="FQ765" s="2" t="n">
        <v>0</v>
      </c>
    </row>
    <row r="766">
      <c r="A766" s="2" t="n">
        <v>4</v>
      </c>
      <c r="B766" s="2" t="inlineStr">
        <is>
          <t>31.06.01.03</t>
        </is>
      </c>
      <c r="C766" s="2" t="inlineStr">
        <is>
          <t>Prateleira de granito branco Siena escovado</t>
        </is>
      </c>
      <c r="D766" s="2" t="inlineStr">
        <is>
          <t>03/03/2027</t>
        </is>
      </c>
      <c r="E766" s="2" t="inlineStr">
        <is>
          <t>24/03/2028</t>
        </is>
      </c>
      <c r="F766" s="2" t="n">
        <v>239421.3738477691</v>
      </c>
      <c r="G766" s="2" t="n">
        <v>0</v>
      </c>
      <c r="H766" s="2" t="n">
        <v>239421.3738477691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0.8100000000000001</v>
      </c>
      <c r="CV766" s="2" t="n">
        <v>0</v>
      </c>
      <c r="CW766" s="2" t="n">
        <v>0</v>
      </c>
      <c r="CX766" s="2" t="n">
        <v>8.08</v>
      </c>
      <c r="CY766" s="2" t="n">
        <v>4.04</v>
      </c>
      <c r="CZ766" s="2" t="n">
        <v>0</v>
      </c>
      <c r="DA766" s="2" t="n">
        <v>18.76</v>
      </c>
      <c r="DB766" s="2" t="n">
        <v>13.91</v>
      </c>
      <c r="DC766" s="2" t="n">
        <v>0</v>
      </c>
      <c r="DD766" s="2" t="n">
        <v>18.76</v>
      </c>
      <c r="DE766" s="2" t="n">
        <v>18.76</v>
      </c>
      <c r="DF766" s="2" t="n">
        <v>0</v>
      </c>
      <c r="DG766" s="2" t="n">
        <v>25.05</v>
      </c>
      <c r="DH766" s="2" t="n">
        <v>19.42</v>
      </c>
      <c r="DI766" s="2" t="n">
        <v>0</v>
      </c>
      <c r="DJ766" s="2" t="n">
        <v>36.24</v>
      </c>
      <c r="DK766" s="2" t="n">
        <v>34.63</v>
      </c>
      <c r="DL766" s="2" t="n">
        <v>0</v>
      </c>
      <c r="DM766" s="2" t="n">
        <v>49.88</v>
      </c>
      <c r="DN766" s="2" t="n">
        <v>45.53</v>
      </c>
      <c r="DO766" s="2" t="n">
        <v>0</v>
      </c>
      <c r="DP766" s="2" t="n">
        <v>62.32</v>
      </c>
      <c r="DQ766" s="2" t="n">
        <v>57.15</v>
      </c>
      <c r="DR766" s="2" t="n">
        <v>0</v>
      </c>
      <c r="DS766" s="2" t="n">
        <v>67.17</v>
      </c>
      <c r="DT766" s="2" t="n">
        <v>66.77</v>
      </c>
      <c r="DU766" s="2" t="n">
        <v>0</v>
      </c>
      <c r="DV766" s="2" t="n">
        <v>75.76000000000001</v>
      </c>
      <c r="DW766" s="2" t="n">
        <v>74.14</v>
      </c>
      <c r="DX766" s="2" t="n">
        <v>0</v>
      </c>
      <c r="DY766" s="2" t="n">
        <v>83.03</v>
      </c>
      <c r="DZ766" s="2" t="n">
        <v>81.42</v>
      </c>
      <c r="EA766" s="2" t="n">
        <v>0</v>
      </c>
      <c r="EB766" s="2" t="n">
        <v>92.73</v>
      </c>
      <c r="EC766" s="2" t="n">
        <v>88.28</v>
      </c>
      <c r="ED766" s="2" t="n">
        <v>0</v>
      </c>
      <c r="EE766" s="2" t="n">
        <v>100</v>
      </c>
      <c r="EF766" s="2" t="n">
        <v>94.75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  <c r="ET766" s="2" t="n">
        <v>100</v>
      </c>
      <c r="EU766" s="2" t="n">
        <v>100</v>
      </c>
      <c r="EV766" s="2" t="n">
        <v>0</v>
      </c>
      <c r="EW766" s="2" t="n">
        <v>100</v>
      </c>
      <c r="EX766" s="2" t="n">
        <v>100</v>
      </c>
      <c r="EY766" s="2" t="n">
        <v>0</v>
      </c>
      <c r="EZ766" s="2" t="n">
        <v>100</v>
      </c>
      <c r="FA766" s="2" t="n">
        <v>100</v>
      </c>
      <c r="FB766" s="2" t="n">
        <v>0</v>
      </c>
      <c r="FC766" s="2" t="n">
        <v>100</v>
      </c>
      <c r="FD766" s="2" t="n">
        <v>100</v>
      </c>
      <c r="FE766" s="2" t="n">
        <v>0</v>
      </c>
      <c r="FF766" s="2" t="n">
        <v>100</v>
      </c>
      <c r="FG766" s="2" t="n">
        <v>100</v>
      </c>
      <c r="FH766" s="2" t="n">
        <v>0</v>
      </c>
      <c r="FI766" s="2" t="n">
        <v>100</v>
      </c>
      <c r="FJ766" s="2" t="n">
        <v>100</v>
      </c>
      <c r="FK766" s="2" t="n">
        <v>0</v>
      </c>
      <c r="FL766" s="2" t="n">
        <v>100</v>
      </c>
      <c r="FM766" s="2" t="n">
        <v>100</v>
      </c>
      <c r="FN766" s="2" t="n">
        <v>0</v>
      </c>
      <c r="FO766" s="2" t="n">
        <v>100</v>
      </c>
      <c r="FP766" s="2" t="n">
        <v>100</v>
      </c>
      <c r="FQ766" s="2" t="n">
        <v>0</v>
      </c>
    </row>
    <row r="767">
      <c r="A767" s="2" t="n">
        <v>4</v>
      </c>
      <c r="B767" s="2" t="inlineStr">
        <is>
          <t>31.06.01.04</t>
        </is>
      </c>
      <c r="C767" s="2" t="inlineStr">
        <is>
          <t>Testeira de granito h=10cm</t>
        </is>
      </c>
      <c r="D767" s="2" t="inlineStr">
        <is>
          <t>03/03/2027</t>
        </is>
      </c>
      <c r="E767" s="2" t="inlineStr">
        <is>
          <t>24/03/2028</t>
        </is>
      </c>
      <c r="F767" s="2" t="n">
        <v>20034.90329549931</v>
      </c>
      <c r="G767" s="2" t="n">
        <v>0</v>
      </c>
      <c r="H767" s="2" t="n">
        <v>20034.90329549931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0.8100000000000001</v>
      </c>
      <c r="CV767" s="2" t="n">
        <v>0</v>
      </c>
      <c r="CW767" s="2" t="n">
        <v>0</v>
      </c>
      <c r="CX767" s="2" t="n">
        <v>8.08</v>
      </c>
      <c r="CY767" s="2" t="n">
        <v>4.04</v>
      </c>
      <c r="CZ767" s="2" t="n">
        <v>0</v>
      </c>
      <c r="DA767" s="2" t="n">
        <v>18.76</v>
      </c>
      <c r="DB767" s="2" t="n">
        <v>13.91</v>
      </c>
      <c r="DC767" s="2" t="n">
        <v>0</v>
      </c>
      <c r="DD767" s="2" t="n">
        <v>18.76</v>
      </c>
      <c r="DE767" s="2" t="n">
        <v>18.76</v>
      </c>
      <c r="DF767" s="2" t="n">
        <v>0</v>
      </c>
      <c r="DG767" s="2" t="n">
        <v>25.05</v>
      </c>
      <c r="DH767" s="2" t="n">
        <v>19.42</v>
      </c>
      <c r="DI767" s="2" t="n">
        <v>0</v>
      </c>
      <c r="DJ767" s="2" t="n">
        <v>36.24</v>
      </c>
      <c r="DK767" s="2" t="n">
        <v>34.63</v>
      </c>
      <c r="DL767" s="2" t="n">
        <v>0</v>
      </c>
      <c r="DM767" s="2" t="n">
        <v>49.88</v>
      </c>
      <c r="DN767" s="2" t="n">
        <v>45.53</v>
      </c>
      <c r="DO767" s="2" t="n">
        <v>0</v>
      </c>
      <c r="DP767" s="2" t="n">
        <v>62.32</v>
      </c>
      <c r="DQ767" s="2" t="n">
        <v>57.15</v>
      </c>
      <c r="DR767" s="2" t="n">
        <v>0</v>
      </c>
      <c r="DS767" s="2" t="n">
        <v>67.17</v>
      </c>
      <c r="DT767" s="2" t="n">
        <v>66.77</v>
      </c>
      <c r="DU767" s="2" t="n">
        <v>0</v>
      </c>
      <c r="DV767" s="2" t="n">
        <v>75.76000000000001</v>
      </c>
      <c r="DW767" s="2" t="n">
        <v>74.14</v>
      </c>
      <c r="DX767" s="2" t="n">
        <v>0</v>
      </c>
      <c r="DY767" s="2" t="n">
        <v>83.03</v>
      </c>
      <c r="DZ767" s="2" t="n">
        <v>81.42</v>
      </c>
      <c r="EA767" s="2" t="n">
        <v>0</v>
      </c>
      <c r="EB767" s="2" t="n">
        <v>92.73</v>
      </c>
      <c r="EC767" s="2" t="n">
        <v>88.28</v>
      </c>
      <c r="ED767" s="2" t="n">
        <v>0</v>
      </c>
      <c r="EE767" s="2" t="n">
        <v>100</v>
      </c>
      <c r="EF767" s="2" t="n">
        <v>94.75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  <c r="ET767" s="2" t="n">
        <v>100</v>
      </c>
      <c r="EU767" s="2" t="n">
        <v>100</v>
      </c>
      <c r="EV767" s="2" t="n">
        <v>0</v>
      </c>
      <c r="EW767" s="2" t="n">
        <v>100</v>
      </c>
      <c r="EX767" s="2" t="n">
        <v>100</v>
      </c>
      <c r="EY767" s="2" t="n">
        <v>0</v>
      </c>
      <c r="EZ767" s="2" t="n">
        <v>100</v>
      </c>
      <c r="FA767" s="2" t="n">
        <v>100</v>
      </c>
      <c r="FB767" s="2" t="n">
        <v>0</v>
      </c>
      <c r="FC767" s="2" t="n">
        <v>100</v>
      </c>
      <c r="FD767" s="2" t="n">
        <v>100</v>
      </c>
      <c r="FE767" s="2" t="n">
        <v>0</v>
      </c>
      <c r="FF767" s="2" t="n">
        <v>100</v>
      </c>
      <c r="FG767" s="2" t="n">
        <v>100</v>
      </c>
      <c r="FH767" s="2" t="n">
        <v>0</v>
      </c>
      <c r="FI767" s="2" t="n">
        <v>100</v>
      </c>
      <c r="FJ767" s="2" t="n">
        <v>100</v>
      </c>
      <c r="FK767" s="2" t="n">
        <v>0</v>
      </c>
      <c r="FL767" s="2" t="n">
        <v>100</v>
      </c>
      <c r="FM767" s="2" t="n">
        <v>100</v>
      </c>
      <c r="FN767" s="2" t="n">
        <v>0</v>
      </c>
      <c r="FO767" s="2" t="n">
        <v>100</v>
      </c>
      <c r="FP767" s="2" t="n">
        <v>100</v>
      </c>
      <c r="FQ767" s="2" t="n">
        <v>0</v>
      </c>
    </row>
    <row r="768">
      <c r="A768" s="2" t="n">
        <v>4</v>
      </c>
      <c r="B768" s="2" t="inlineStr">
        <is>
          <t>31.06.01.05</t>
        </is>
      </c>
      <c r="C768" s="2" t="inlineStr">
        <is>
          <t>Rodabanca de granito branco siena escovado h=60cm</t>
        </is>
      </c>
      <c r="D768" s="2" t="inlineStr">
        <is>
          <t>03/03/2027</t>
        </is>
      </c>
      <c r="E768" s="2" t="inlineStr">
        <is>
          <t>24/03/2028</t>
        </is>
      </c>
      <c r="F768" s="2" t="n">
        <v>154470.5179958746</v>
      </c>
      <c r="G768" s="2" t="n">
        <v>0</v>
      </c>
      <c r="H768" s="2" t="n">
        <v>154470.5179958746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0.8100000000000001</v>
      </c>
      <c r="CV768" s="2" t="n">
        <v>0</v>
      </c>
      <c r="CW768" s="2" t="n">
        <v>0</v>
      </c>
      <c r="CX768" s="2" t="n">
        <v>8.08</v>
      </c>
      <c r="CY768" s="2" t="n">
        <v>4.04</v>
      </c>
      <c r="CZ768" s="2" t="n">
        <v>0</v>
      </c>
      <c r="DA768" s="2" t="n">
        <v>18.76</v>
      </c>
      <c r="DB768" s="2" t="n">
        <v>13.91</v>
      </c>
      <c r="DC768" s="2" t="n">
        <v>0</v>
      </c>
      <c r="DD768" s="2" t="n">
        <v>18.76</v>
      </c>
      <c r="DE768" s="2" t="n">
        <v>18.76</v>
      </c>
      <c r="DF768" s="2" t="n">
        <v>0</v>
      </c>
      <c r="DG768" s="2" t="n">
        <v>25.05</v>
      </c>
      <c r="DH768" s="2" t="n">
        <v>19.42</v>
      </c>
      <c r="DI768" s="2" t="n">
        <v>0</v>
      </c>
      <c r="DJ768" s="2" t="n">
        <v>36.24</v>
      </c>
      <c r="DK768" s="2" t="n">
        <v>34.63</v>
      </c>
      <c r="DL768" s="2" t="n">
        <v>0</v>
      </c>
      <c r="DM768" s="2" t="n">
        <v>49.88</v>
      </c>
      <c r="DN768" s="2" t="n">
        <v>45.53</v>
      </c>
      <c r="DO768" s="2" t="n">
        <v>0</v>
      </c>
      <c r="DP768" s="2" t="n">
        <v>62.32</v>
      </c>
      <c r="DQ768" s="2" t="n">
        <v>57.15</v>
      </c>
      <c r="DR768" s="2" t="n">
        <v>0</v>
      </c>
      <c r="DS768" s="2" t="n">
        <v>67.17</v>
      </c>
      <c r="DT768" s="2" t="n">
        <v>66.77</v>
      </c>
      <c r="DU768" s="2" t="n">
        <v>0</v>
      </c>
      <c r="DV768" s="2" t="n">
        <v>75.76000000000001</v>
      </c>
      <c r="DW768" s="2" t="n">
        <v>74.14</v>
      </c>
      <c r="DX768" s="2" t="n">
        <v>0</v>
      </c>
      <c r="DY768" s="2" t="n">
        <v>83.03</v>
      </c>
      <c r="DZ768" s="2" t="n">
        <v>81.42</v>
      </c>
      <c r="EA768" s="2" t="n">
        <v>0</v>
      </c>
      <c r="EB768" s="2" t="n">
        <v>92.73</v>
      </c>
      <c r="EC768" s="2" t="n">
        <v>88.28</v>
      </c>
      <c r="ED768" s="2" t="n">
        <v>0</v>
      </c>
      <c r="EE768" s="2" t="n">
        <v>100</v>
      </c>
      <c r="EF768" s="2" t="n">
        <v>94.75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  <c r="ET768" s="2" t="n">
        <v>100</v>
      </c>
      <c r="EU768" s="2" t="n">
        <v>100</v>
      </c>
      <c r="EV768" s="2" t="n">
        <v>0</v>
      </c>
      <c r="EW768" s="2" t="n">
        <v>100</v>
      </c>
      <c r="EX768" s="2" t="n">
        <v>100</v>
      </c>
      <c r="EY768" s="2" t="n">
        <v>0</v>
      </c>
      <c r="EZ768" s="2" t="n">
        <v>100</v>
      </c>
      <c r="FA768" s="2" t="n">
        <v>100</v>
      </c>
      <c r="FB768" s="2" t="n">
        <v>0</v>
      </c>
      <c r="FC768" s="2" t="n">
        <v>100</v>
      </c>
      <c r="FD768" s="2" t="n">
        <v>100</v>
      </c>
      <c r="FE768" s="2" t="n">
        <v>0</v>
      </c>
      <c r="FF768" s="2" t="n">
        <v>100</v>
      </c>
      <c r="FG768" s="2" t="n">
        <v>100</v>
      </c>
      <c r="FH768" s="2" t="n">
        <v>0</v>
      </c>
      <c r="FI768" s="2" t="n">
        <v>100</v>
      </c>
      <c r="FJ768" s="2" t="n">
        <v>100</v>
      </c>
      <c r="FK768" s="2" t="n">
        <v>0</v>
      </c>
      <c r="FL768" s="2" t="n">
        <v>100</v>
      </c>
      <c r="FM768" s="2" t="n">
        <v>100</v>
      </c>
      <c r="FN768" s="2" t="n">
        <v>0</v>
      </c>
      <c r="FO768" s="2" t="n">
        <v>100</v>
      </c>
      <c r="FP768" s="2" t="n">
        <v>100</v>
      </c>
      <c r="FQ768" s="2" t="n">
        <v>0</v>
      </c>
    </row>
    <row r="769">
      <c r="A769" s="2" t="n">
        <v>4</v>
      </c>
      <c r="B769" s="2" t="inlineStr">
        <is>
          <t>31.06.01.06</t>
        </is>
      </c>
      <c r="C769" s="2" t="inlineStr">
        <is>
          <t>Furo e colagem de bojo</t>
        </is>
      </c>
      <c r="D769" s="2" t="inlineStr">
        <is>
          <t>03/03/2027</t>
        </is>
      </c>
      <c r="E769" s="2" t="inlineStr">
        <is>
          <t>24/03/2028</t>
        </is>
      </c>
      <c r="F769" s="2" t="n">
        <v>6930</v>
      </c>
      <c r="G769" s="2" t="n">
        <v>0</v>
      </c>
      <c r="H769" s="2" t="n">
        <v>6930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0.8100000000000001</v>
      </c>
      <c r="CV769" s="2" t="n">
        <v>0</v>
      </c>
      <c r="CW769" s="2" t="n">
        <v>0</v>
      </c>
      <c r="CX769" s="2" t="n">
        <v>8.08</v>
      </c>
      <c r="CY769" s="2" t="n">
        <v>4.04</v>
      </c>
      <c r="CZ769" s="2" t="n">
        <v>0</v>
      </c>
      <c r="DA769" s="2" t="n">
        <v>18.76</v>
      </c>
      <c r="DB769" s="2" t="n">
        <v>13.91</v>
      </c>
      <c r="DC769" s="2" t="n">
        <v>0</v>
      </c>
      <c r="DD769" s="2" t="n">
        <v>18.76</v>
      </c>
      <c r="DE769" s="2" t="n">
        <v>18.76</v>
      </c>
      <c r="DF769" s="2" t="n">
        <v>0</v>
      </c>
      <c r="DG769" s="2" t="n">
        <v>25.05</v>
      </c>
      <c r="DH769" s="2" t="n">
        <v>19.42</v>
      </c>
      <c r="DI769" s="2" t="n">
        <v>0</v>
      </c>
      <c r="DJ769" s="2" t="n">
        <v>36.24</v>
      </c>
      <c r="DK769" s="2" t="n">
        <v>34.63</v>
      </c>
      <c r="DL769" s="2" t="n">
        <v>0</v>
      </c>
      <c r="DM769" s="2" t="n">
        <v>49.88</v>
      </c>
      <c r="DN769" s="2" t="n">
        <v>45.53</v>
      </c>
      <c r="DO769" s="2" t="n">
        <v>0</v>
      </c>
      <c r="DP769" s="2" t="n">
        <v>62.32</v>
      </c>
      <c r="DQ769" s="2" t="n">
        <v>57.15</v>
      </c>
      <c r="DR769" s="2" t="n">
        <v>0</v>
      </c>
      <c r="DS769" s="2" t="n">
        <v>67.17</v>
      </c>
      <c r="DT769" s="2" t="n">
        <v>66.77</v>
      </c>
      <c r="DU769" s="2" t="n">
        <v>0</v>
      </c>
      <c r="DV769" s="2" t="n">
        <v>75.76000000000001</v>
      </c>
      <c r="DW769" s="2" t="n">
        <v>74.14</v>
      </c>
      <c r="DX769" s="2" t="n">
        <v>0</v>
      </c>
      <c r="DY769" s="2" t="n">
        <v>83.03</v>
      </c>
      <c r="DZ769" s="2" t="n">
        <v>81.42</v>
      </c>
      <c r="EA769" s="2" t="n">
        <v>0</v>
      </c>
      <c r="EB769" s="2" t="n">
        <v>92.73</v>
      </c>
      <c r="EC769" s="2" t="n">
        <v>88.28</v>
      </c>
      <c r="ED769" s="2" t="n">
        <v>0</v>
      </c>
      <c r="EE769" s="2" t="n">
        <v>100</v>
      </c>
      <c r="EF769" s="2" t="n">
        <v>94.75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  <c r="ET769" s="2" t="n">
        <v>100</v>
      </c>
      <c r="EU769" s="2" t="n">
        <v>100</v>
      </c>
      <c r="EV769" s="2" t="n">
        <v>0</v>
      </c>
      <c r="EW769" s="2" t="n">
        <v>100</v>
      </c>
      <c r="EX769" s="2" t="n">
        <v>100</v>
      </c>
      <c r="EY769" s="2" t="n">
        <v>0</v>
      </c>
      <c r="EZ769" s="2" t="n">
        <v>100</v>
      </c>
      <c r="FA769" s="2" t="n">
        <v>100</v>
      </c>
      <c r="FB769" s="2" t="n">
        <v>0</v>
      </c>
      <c r="FC769" s="2" t="n">
        <v>100</v>
      </c>
      <c r="FD769" s="2" t="n">
        <v>100</v>
      </c>
      <c r="FE769" s="2" t="n">
        <v>0</v>
      </c>
      <c r="FF769" s="2" t="n">
        <v>100</v>
      </c>
      <c r="FG769" s="2" t="n">
        <v>100</v>
      </c>
      <c r="FH769" s="2" t="n">
        <v>0</v>
      </c>
      <c r="FI769" s="2" t="n">
        <v>100</v>
      </c>
      <c r="FJ769" s="2" t="n">
        <v>100</v>
      </c>
      <c r="FK769" s="2" t="n">
        <v>0</v>
      </c>
      <c r="FL769" s="2" t="n">
        <v>100</v>
      </c>
      <c r="FM769" s="2" t="n">
        <v>100</v>
      </c>
      <c r="FN769" s="2" t="n">
        <v>0</v>
      </c>
      <c r="FO769" s="2" t="n">
        <v>100</v>
      </c>
      <c r="FP769" s="2" t="n">
        <v>100</v>
      </c>
      <c r="FQ769" s="2" t="n">
        <v>0</v>
      </c>
    </row>
    <row r="770">
      <c r="A770" s="2" t="n">
        <v>4</v>
      </c>
      <c r="B770" s="2" t="inlineStr">
        <is>
          <t>31.06.01.07</t>
        </is>
      </c>
      <c r="C770" s="2" t="inlineStr">
        <is>
          <t>Mãos francesas para bancadas</t>
        </is>
      </c>
      <c r="D770" s="2" t="inlineStr">
        <is>
          <t>03/03/2027</t>
        </is>
      </c>
      <c r="E770" s="2" t="inlineStr">
        <is>
          <t>24/03/2028</t>
        </is>
      </c>
      <c r="F770" s="2" t="n">
        <v>36300</v>
      </c>
      <c r="G770" s="2" t="n">
        <v>0</v>
      </c>
      <c r="H770" s="2" t="n">
        <v>36300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0.8100000000000001</v>
      </c>
      <c r="CV770" s="2" t="n">
        <v>0</v>
      </c>
      <c r="CW770" s="2" t="n">
        <v>0</v>
      </c>
      <c r="CX770" s="2" t="n">
        <v>8.08</v>
      </c>
      <c r="CY770" s="2" t="n">
        <v>4.04</v>
      </c>
      <c r="CZ770" s="2" t="n">
        <v>0</v>
      </c>
      <c r="DA770" s="2" t="n">
        <v>18.76</v>
      </c>
      <c r="DB770" s="2" t="n">
        <v>13.91</v>
      </c>
      <c r="DC770" s="2" t="n">
        <v>0</v>
      </c>
      <c r="DD770" s="2" t="n">
        <v>18.76</v>
      </c>
      <c r="DE770" s="2" t="n">
        <v>18.76</v>
      </c>
      <c r="DF770" s="2" t="n">
        <v>0</v>
      </c>
      <c r="DG770" s="2" t="n">
        <v>25.05</v>
      </c>
      <c r="DH770" s="2" t="n">
        <v>19.42</v>
      </c>
      <c r="DI770" s="2" t="n">
        <v>0</v>
      </c>
      <c r="DJ770" s="2" t="n">
        <v>36.24</v>
      </c>
      <c r="DK770" s="2" t="n">
        <v>34.63</v>
      </c>
      <c r="DL770" s="2" t="n">
        <v>0</v>
      </c>
      <c r="DM770" s="2" t="n">
        <v>49.88</v>
      </c>
      <c r="DN770" s="2" t="n">
        <v>45.53</v>
      </c>
      <c r="DO770" s="2" t="n">
        <v>0</v>
      </c>
      <c r="DP770" s="2" t="n">
        <v>62.32</v>
      </c>
      <c r="DQ770" s="2" t="n">
        <v>57.15</v>
      </c>
      <c r="DR770" s="2" t="n">
        <v>0</v>
      </c>
      <c r="DS770" s="2" t="n">
        <v>67.17</v>
      </c>
      <c r="DT770" s="2" t="n">
        <v>66.77</v>
      </c>
      <c r="DU770" s="2" t="n">
        <v>0</v>
      </c>
      <c r="DV770" s="2" t="n">
        <v>75.76000000000001</v>
      </c>
      <c r="DW770" s="2" t="n">
        <v>74.14</v>
      </c>
      <c r="DX770" s="2" t="n">
        <v>0</v>
      </c>
      <c r="DY770" s="2" t="n">
        <v>83.03</v>
      </c>
      <c r="DZ770" s="2" t="n">
        <v>81.42</v>
      </c>
      <c r="EA770" s="2" t="n">
        <v>0</v>
      </c>
      <c r="EB770" s="2" t="n">
        <v>92.73</v>
      </c>
      <c r="EC770" s="2" t="n">
        <v>88.28</v>
      </c>
      <c r="ED770" s="2" t="n">
        <v>0</v>
      </c>
      <c r="EE770" s="2" t="n">
        <v>100</v>
      </c>
      <c r="EF770" s="2" t="n">
        <v>94.75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  <c r="ET770" s="2" t="n">
        <v>100</v>
      </c>
      <c r="EU770" s="2" t="n">
        <v>100</v>
      </c>
      <c r="EV770" s="2" t="n">
        <v>0</v>
      </c>
      <c r="EW770" s="2" t="n">
        <v>100</v>
      </c>
      <c r="EX770" s="2" t="n">
        <v>100</v>
      </c>
      <c r="EY770" s="2" t="n">
        <v>0</v>
      </c>
      <c r="EZ770" s="2" t="n">
        <v>100</v>
      </c>
      <c r="FA770" s="2" t="n">
        <v>100</v>
      </c>
      <c r="FB770" s="2" t="n">
        <v>0</v>
      </c>
      <c r="FC770" s="2" t="n">
        <v>100</v>
      </c>
      <c r="FD770" s="2" t="n">
        <v>100</v>
      </c>
      <c r="FE770" s="2" t="n">
        <v>0</v>
      </c>
      <c r="FF770" s="2" t="n">
        <v>100</v>
      </c>
      <c r="FG770" s="2" t="n">
        <v>100</v>
      </c>
      <c r="FH770" s="2" t="n">
        <v>0</v>
      </c>
      <c r="FI770" s="2" t="n">
        <v>100</v>
      </c>
      <c r="FJ770" s="2" t="n">
        <v>100</v>
      </c>
      <c r="FK770" s="2" t="n">
        <v>0</v>
      </c>
      <c r="FL770" s="2" t="n">
        <v>100</v>
      </c>
      <c r="FM770" s="2" t="n">
        <v>100</v>
      </c>
      <c r="FN770" s="2" t="n">
        <v>0</v>
      </c>
      <c r="FO770" s="2" t="n">
        <v>100</v>
      </c>
      <c r="FP770" s="2" t="n">
        <v>100</v>
      </c>
      <c r="FQ770" s="2" t="n">
        <v>0</v>
      </c>
    </row>
    <row r="771">
      <c r="A771" s="2" t="n">
        <v>4</v>
      </c>
      <c r="B771" s="2" t="inlineStr">
        <is>
          <t>31.06.01.08</t>
        </is>
      </c>
      <c r="C771" s="2" t="inlineStr">
        <is>
          <t>Proteção de bancadas contra manuseio de obra</t>
        </is>
      </c>
      <c r="D771" s="2" t="inlineStr">
        <is>
          <t>03/03/2027</t>
        </is>
      </c>
      <c r="E771" s="2" t="inlineStr">
        <is>
          <t>24/03/2028</t>
        </is>
      </c>
      <c r="F771" s="2" t="n">
        <v>12864.83571639343</v>
      </c>
      <c r="G771" s="2" t="n">
        <v>0</v>
      </c>
      <c r="H771" s="2" t="n">
        <v>12864.83571639343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0.8100000000000001</v>
      </c>
      <c r="CV771" s="2" t="n">
        <v>0</v>
      </c>
      <c r="CW771" s="2" t="n">
        <v>0</v>
      </c>
      <c r="CX771" s="2" t="n">
        <v>8.08</v>
      </c>
      <c r="CY771" s="2" t="n">
        <v>4.04</v>
      </c>
      <c r="CZ771" s="2" t="n">
        <v>0</v>
      </c>
      <c r="DA771" s="2" t="n">
        <v>18.76</v>
      </c>
      <c r="DB771" s="2" t="n">
        <v>13.91</v>
      </c>
      <c r="DC771" s="2" t="n">
        <v>0</v>
      </c>
      <c r="DD771" s="2" t="n">
        <v>18.76</v>
      </c>
      <c r="DE771" s="2" t="n">
        <v>18.76</v>
      </c>
      <c r="DF771" s="2" t="n">
        <v>0</v>
      </c>
      <c r="DG771" s="2" t="n">
        <v>25.05</v>
      </c>
      <c r="DH771" s="2" t="n">
        <v>19.42</v>
      </c>
      <c r="DI771" s="2" t="n">
        <v>0</v>
      </c>
      <c r="DJ771" s="2" t="n">
        <v>36.24</v>
      </c>
      <c r="DK771" s="2" t="n">
        <v>34.63</v>
      </c>
      <c r="DL771" s="2" t="n">
        <v>0</v>
      </c>
      <c r="DM771" s="2" t="n">
        <v>49.88</v>
      </c>
      <c r="DN771" s="2" t="n">
        <v>45.53</v>
      </c>
      <c r="DO771" s="2" t="n">
        <v>0</v>
      </c>
      <c r="DP771" s="2" t="n">
        <v>62.32</v>
      </c>
      <c r="DQ771" s="2" t="n">
        <v>57.15</v>
      </c>
      <c r="DR771" s="2" t="n">
        <v>0</v>
      </c>
      <c r="DS771" s="2" t="n">
        <v>67.17</v>
      </c>
      <c r="DT771" s="2" t="n">
        <v>66.77</v>
      </c>
      <c r="DU771" s="2" t="n">
        <v>0</v>
      </c>
      <c r="DV771" s="2" t="n">
        <v>75.76000000000001</v>
      </c>
      <c r="DW771" s="2" t="n">
        <v>74.14</v>
      </c>
      <c r="DX771" s="2" t="n">
        <v>0</v>
      </c>
      <c r="DY771" s="2" t="n">
        <v>83.03</v>
      </c>
      <c r="DZ771" s="2" t="n">
        <v>81.42</v>
      </c>
      <c r="EA771" s="2" t="n">
        <v>0</v>
      </c>
      <c r="EB771" s="2" t="n">
        <v>92.73</v>
      </c>
      <c r="EC771" s="2" t="n">
        <v>88.28</v>
      </c>
      <c r="ED771" s="2" t="n">
        <v>0</v>
      </c>
      <c r="EE771" s="2" t="n">
        <v>100</v>
      </c>
      <c r="EF771" s="2" t="n">
        <v>94.75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  <c r="ET771" s="2" t="n">
        <v>100</v>
      </c>
      <c r="EU771" s="2" t="n">
        <v>100</v>
      </c>
      <c r="EV771" s="2" t="n">
        <v>0</v>
      </c>
      <c r="EW771" s="2" t="n">
        <v>100</v>
      </c>
      <c r="EX771" s="2" t="n">
        <v>100</v>
      </c>
      <c r="EY771" s="2" t="n">
        <v>0</v>
      </c>
      <c r="EZ771" s="2" t="n">
        <v>100</v>
      </c>
      <c r="FA771" s="2" t="n">
        <v>100</v>
      </c>
      <c r="FB771" s="2" t="n">
        <v>0</v>
      </c>
      <c r="FC771" s="2" t="n">
        <v>100</v>
      </c>
      <c r="FD771" s="2" t="n">
        <v>100</v>
      </c>
      <c r="FE771" s="2" t="n">
        <v>0</v>
      </c>
      <c r="FF771" s="2" t="n">
        <v>100</v>
      </c>
      <c r="FG771" s="2" t="n">
        <v>100</v>
      </c>
      <c r="FH771" s="2" t="n">
        <v>0</v>
      </c>
      <c r="FI771" s="2" t="n">
        <v>100</v>
      </c>
      <c r="FJ771" s="2" t="n">
        <v>100</v>
      </c>
      <c r="FK771" s="2" t="n">
        <v>0</v>
      </c>
      <c r="FL771" s="2" t="n">
        <v>100</v>
      </c>
      <c r="FM771" s="2" t="n">
        <v>100</v>
      </c>
      <c r="FN771" s="2" t="n">
        <v>0</v>
      </c>
      <c r="FO771" s="2" t="n">
        <v>100</v>
      </c>
      <c r="FP771" s="2" t="n">
        <v>100</v>
      </c>
      <c r="FQ771" s="2" t="n">
        <v>0</v>
      </c>
    </row>
    <row r="772">
      <c r="A772" s="2" t="n">
        <v>3</v>
      </c>
      <c r="B772" s="2" t="inlineStr">
        <is>
          <t>31.06.02</t>
        </is>
      </c>
      <c r="C772" s="2" t="inlineStr">
        <is>
          <t>Bancada de pedra a definir (Circ. Íntima, copa de apoio)</t>
        </is>
      </c>
      <c r="D772" s="2" t="inlineStr">
        <is>
          <t>03/03/2027</t>
        </is>
      </c>
      <c r="E772" s="2" t="inlineStr">
        <is>
          <t>24/03/2028</t>
        </is>
      </c>
      <c r="F772" s="2" t="n">
        <v>39179.60657084629</v>
      </c>
      <c r="G772" s="2" t="n">
        <v>0</v>
      </c>
      <c r="H772" s="2" t="n">
        <v>39179.60657084629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0.8100000000000001</v>
      </c>
      <c r="CV772" s="2" t="n">
        <v>0</v>
      </c>
      <c r="CW772" s="2" t="n">
        <v>0</v>
      </c>
      <c r="CX772" s="2" t="n">
        <v>8.08</v>
      </c>
      <c r="CY772" s="2" t="n">
        <v>4.04</v>
      </c>
      <c r="CZ772" s="2" t="n">
        <v>0</v>
      </c>
      <c r="DA772" s="2" t="n">
        <v>18.76</v>
      </c>
      <c r="DB772" s="2" t="n">
        <v>13.91</v>
      </c>
      <c r="DC772" s="2" t="n">
        <v>0</v>
      </c>
      <c r="DD772" s="2" t="n">
        <v>18.76</v>
      </c>
      <c r="DE772" s="2" t="n">
        <v>18.76</v>
      </c>
      <c r="DF772" s="2" t="n">
        <v>0</v>
      </c>
      <c r="DG772" s="2" t="n">
        <v>25.05</v>
      </c>
      <c r="DH772" s="2" t="n">
        <v>19.42</v>
      </c>
      <c r="DI772" s="2" t="n">
        <v>0</v>
      </c>
      <c r="DJ772" s="2" t="n">
        <v>36.24</v>
      </c>
      <c r="DK772" s="2" t="n">
        <v>34.63</v>
      </c>
      <c r="DL772" s="2" t="n">
        <v>0</v>
      </c>
      <c r="DM772" s="2" t="n">
        <v>49.88</v>
      </c>
      <c r="DN772" s="2" t="n">
        <v>45.53</v>
      </c>
      <c r="DO772" s="2" t="n">
        <v>0</v>
      </c>
      <c r="DP772" s="2" t="n">
        <v>62.32</v>
      </c>
      <c r="DQ772" s="2" t="n">
        <v>57.15</v>
      </c>
      <c r="DR772" s="2" t="n">
        <v>0</v>
      </c>
      <c r="DS772" s="2" t="n">
        <v>67.17</v>
      </c>
      <c r="DT772" s="2" t="n">
        <v>66.77</v>
      </c>
      <c r="DU772" s="2" t="n">
        <v>0</v>
      </c>
      <c r="DV772" s="2" t="n">
        <v>75.76000000000001</v>
      </c>
      <c r="DW772" s="2" t="n">
        <v>74.14</v>
      </c>
      <c r="DX772" s="2" t="n">
        <v>0</v>
      </c>
      <c r="DY772" s="2" t="n">
        <v>83.03</v>
      </c>
      <c r="DZ772" s="2" t="n">
        <v>81.42</v>
      </c>
      <c r="EA772" s="2" t="n">
        <v>0</v>
      </c>
      <c r="EB772" s="2" t="n">
        <v>92.73</v>
      </c>
      <c r="EC772" s="2" t="n">
        <v>88.28</v>
      </c>
      <c r="ED772" s="2" t="n">
        <v>0</v>
      </c>
      <c r="EE772" s="2" t="n">
        <v>100</v>
      </c>
      <c r="EF772" s="2" t="n">
        <v>94.75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  <c r="ET772" s="2" t="n">
        <v>100</v>
      </c>
      <c r="EU772" s="2" t="n">
        <v>100</v>
      </c>
      <c r="EV772" s="2" t="n">
        <v>0</v>
      </c>
      <c r="EW772" s="2" t="n">
        <v>100</v>
      </c>
      <c r="EX772" s="2" t="n">
        <v>100</v>
      </c>
      <c r="EY772" s="2" t="n">
        <v>0</v>
      </c>
      <c r="EZ772" s="2" t="n">
        <v>100</v>
      </c>
      <c r="FA772" s="2" t="n">
        <v>100</v>
      </c>
      <c r="FB772" s="2" t="n">
        <v>0</v>
      </c>
      <c r="FC772" s="2" t="n">
        <v>100</v>
      </c>
      <c r="FD772" s="2" t="n">
        <v>100</v>
      </c>
      <c r="FE772" s="2" t="n">
        <v>0</v>
      </c>
      <c r="FF772" s="2" t="n">
        <v>100</v>
      </c>
      <c r="FG772" s="2" t="n">
        <v>100</v>
      </c>
      <c r="FH772" s="2" t="n">
        <v>0</v>
      </c>
      <c r="FI772" s="2" t="n">
        <v>100</v>
      </c>
      <c r="FJ772" s="2" t="n">
        <v>100</v>
      </c>
      <c r="FK772" s="2" t="n">
        <v>0</v>
      </c>
      <c r="FL772" s="2" t="n">
        <v>100</v>
      </c>
      <c r="FM772" s="2" t="n">
        <v>100</v>
      </c>
      <c r="FN772" s="2" t="n">
        <v>0</v>
      </c>
      <c r="FO772" s="2" t="n">
        <v>100</v>
      </c>
      <c r="FP772" s="2" t="n">
        <v>100</v>
      </c>
      <c r="FQ772" s="2" t="n">
        <v>0</v>
      </c>
    </row>
    <row r="773">
      <c r="A773" s="2" t="n">
        <v>4</v>
      </c>
      <c r="B773" s="2" t="inlineStr">
        <is>
          <t>31.06.02.01</t>
        </is>
      </c>
      <c r="C773" s="2" t="inlineStr">
        <is>
          <t>Bancadas de pedra a definir</t>
        </is>
      </c>
      <c r="D773" s="2" t="inlineStr">
        <is>
          <t>03/03/2027</t>
        </is>
      </c>
      <c r="E773" s="2" t="inlineStr">
        <is>
          <t>24/03/2028</t>
        </is>
      </c>
      <c r="F773" s="2" t="n">
        <v>22429.61406771089</v>
      </c>
      <c r="G773" s="2" t="n">
        <v>0</v>
      </c>
      <c r="H773" s="2" t="n">
        <v>22429.61406771089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0</v>
      </c>
      <c r="CT773" s="2" t="n">
        <v>0</v>
      </c>
      <c r="CU773" s="2" t="n">
        <v>0.8100000000000001</v>
      </c>
      <c r="CV773" s="2" t="n">
        <v>0</v>
      </c>
      <c r="CW773" s="2" t="n">
        <v>0</v>
      </c>
      <c r="CX773" s="2" t="n">
        <v>8.08</v>
      </c>
      <c r="CY773" s="2" t="n">
        <v>4.04</v>
      </c>
      <c r="CZ773" s="2" t="n">
        <v>0</v>
      </c>
      <c r="DA773" s="2" t="n">
        <v>18.76</v>
      </c>
      <c r="DB773" s="2" t="n">
        <v>13.91</v>
      </c>
      <c r="DC773" s="2" t="n">
        <v>0</v>
      </c>
      <c r="DD773" s="2" t="n">
        <v>18.76</v>
      </c>
      <c r="DE773" s="2" t="n">
        <v>18.76</v>
      </c>
      <c r="DF773" s="2" t="n">
        <v>0</v>
      </c>
      <c r="DG773" s="2" t="n">
        <v>25.05</v>
      </c>
      <c r="DH773" s="2" t="n">
        <v>19.42</v>
      </c>
      <c r="DI773" s="2" t="n">
        <v>0</v>
      </c>
      <c r="DJ773" s="2" t="n">
        <v>36.24</v>
      </c>
      <c r="DK773" s="2" t="n">
        <v>34.63</v>
      </c>
      <c r="DL773" s="2" t="n">
        <v>0</v>
      </c>
      <c r="DM773" s="2" t="n">
        <v>49.88</v>
      </c>
      <c r="DN773" s="2" t="n">
        <v>45.53</v>
      </c>
      <c r="DO773" s="2" t="n">
        <v>0</v>
      </c>
      <c r="DP773" s="2" t="n">
        <v>62.32</v>
      </c>
      <c r="DQ773" s="2" t="n">
        <v>57.15</v>
      </c>
      <c r="DR773" s="2" t="n">
        <v>0</v>
      </c>
      <c r="DS773" s="2" t="n">
        <v>67.17</v>
      </c>
      <c r="DT773" s="2" t="n">
        <v>66.77</v>
      </c>
      <c r="DU773" s="2" t="n">
        <v>0</v>
      </c>
      <c r="DV773" s="2" t="n">
        <v>75.76000000000001</v>
      </c>
      <c r="DW773" s="2" t="n">
        <v>74.14</v>
      </c>
      <c r="DX773" s="2" t="n">
        <v>0</v>
      </c>
      <c r="DY773" s="2" t="n">
        <v>83.03</v>
      </c>
      <c r="DZ773" s="2" t="n">
        <v>81.42</v>
      </c>
      <c r="EA773" s="2" t="n">
        <v>0</v>
      </c>
      <c r="EB773" s="2" t="n">
        <v>92.73</v>
      </c>
      <c r="EC773" s="2" t="n">
        <v>88.28</v>
      </c>
      <c r="ED773" s="2" t="n">
        <v>0</v>
      </c>
      <c r="EE773" s="2" t="n">
        <v>100</v>
      </c>
      <c r="EF773" s="2" t="n">
        <v>94.75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  <c r="ET773" s="2" t="n">
        <v>100</v>
      </c>
      <c r="EU773" s="2" t="n">
        <v>100</v>
      </c>
      <c r="EV773" s="2" t="n">
        <v>0</v>
      </c>
      <c r="EW773" s="2" t="n">
        <v>100</v>
      </c>
      <c r="EX773" s="2" t="n">
        <v>100</v>
      </c>
      <c r="EY773" s="2" t="n">
        <v>0</v>
      </c>
      <c r="EZ773" s="2" t="n">
        <v>100</v>
      </c>
      <c r="FA773" s="2" t="n">
        <v>100</v>
      </c>
      <c r="FB773" s="2" t="n">
        <v>0</v>
      </c>
      <c r="FC773" s="2" t="n">
        <v>100</v>
      </c>
      <c r="FD773" s="2" t="n">
        <v>100</v>
      </c>
      <c r="FE773" s="2" t="n">
        <v>0</v>
      </c>
      <c r="FF773" s="2" t="n">
        <v>100</v>
      </c>
      <c r="FG773" s="2" t="n">
        <v>100</v>
      </c>
      <c r="FH773" s="2" t="n">
        <v>0</v>
      </c>
      <c r="FI773" s="2" t="n">
        <v>100</v>
      </c>
      <c r="FJ773" s="2" t="n">
        <v>100</v>
      </c>
      <c r="FK773" s="2" t="n">
        <v>0</v>
      </c>
      <c r="FL773" s="2" t="n">
        <v>100</v>
      </c>
      <c r="FM773" s="2" t="n">
        <v>100</v>
      </c>
      <c r="FN773" s="2" t="n">
        <v>0</v>
      </c>
      <c r="FO773" s="2" t="n">
        <v>100</v>
      </c>
      <c r="FP773" s="2" t="n">
        <v>100</v>
      </c>
      <c r="FQ773" s="2" t="n">
        <v>0</v>
      </c>
    </row>
    <row r="774">
      <c r="A774" s="2" t="n">
        <v>4</v>
      </c>
      <c r="B774" s="2" t="inlineStr">
        <is>
          <t>31.06.02.02</t>
        </is>
      </c>
      <c r="C774" s="2" t="inlineStr">
        <is>
          <t>Testeira de pedra a definir h=10cm</t>
        </is>
      </c>
      <c r="D774" s="2" t="inlineStr">
        <is>
          <t>03/03/2027</t>
        </is>
      </c>
      <c r="E774" s="2" t="inlineStr">
        <is>
          <t>24/03/2028</t>
        </is>
      </c>
      <c r="F774" s="2" t="n">
        <v>5495.287761051239</v>
      </c>
      <c r="G774" s="2" t="n">
        <v>0</v>
      </c>
      <c r="H774" s="2" t="n">
        <v>5495.287761051239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0</v>
      </c>
      <c r="CT774" s="2" t="n">
        <v>0</v>
      </c>
      <c r="CU774" s="2" t="n">
        <v>0.8100000000000001</v>
      </c>
      <c r="CV774" s="2" t="n">
        <v>0</v>
      </c>
      <c r="CW774" s="2" t="n">
        <v>0</v>
      </c>
      <c r="CX774" s="2" t="n">
        <v>8.08</v>
      </c>
      <c r="CY774" s="2" t="n">
        <v>4.04</v>
      </c>
      <c r="CZ774" s="2" t="n">
        <v>0</v>
      </c>
      <c r="DA774" s="2" t="n">
        <v>18.76</v>
      </c>
      <c r="DB774" s="2" t="n">
        <v>13.91</v>
      </c>
      <c r="DC774" s="2" t="n">
        <v>0</v>
      </c>
      <c r="DD774" s="2" t="n">
        <v>18.76</v>
      </c>
      <c r="DE774" s="2" t="n">
        <v>18.76</v>
      </c>
      <c r="DF774" s="2" t="n">
        <v>0</v>
      </c>
      <c r="DG774" s="2" t="n">
        <v>25.05</v>
      </c>
      <c r="DH774" s="2" t="n">
        <v>19.42</v>
      </c>
      <c r="DI774" s="2" t="n">
        <v>0</v>
      </c>
      <c r="DJ774" s="2" t="n">
        <v>36.24</v>
      </c>
      <c r="DK774" s="2" t="n">
        <v>34.63</v>
      </c>
      <c r="DL774" s="2" t="n">
        <v>0</v>
      </c>
      <c r="DM774" s="2" t="n">
        <v>49.88</v>
      </c>
      <c r="DN774" s="2" t="n">
        <v>45.53</v>
      </c>
      <c r="DO774" s="2" t="n">
        <v>0</v>
      </c>
      <c r="DP774" s="2" t="n">
        <v>62.32</v>
      </c>
      <c r="DQ774" s="2" t="n">
        <v>57.15</v>
      </c>
      <c r="DR774" s="2" t="n">
        <v>0</v>
      </c>
      <c r="DS774" s="2" t="n">
        <v>67.17</v>
      </c>
      <c r="DT774" s="2" t="n">
        <v>66.77</v>
      </c>
      <c r="DU774" s="2" t="n">
        <v>0</v>
      </c>
      <c r="DV774" s="2" t="n">
        <v>75.76000000000001</v>
      </c>
      <c r="DW774" s="2" t="n">
        <v>74.14</v>
      </c>
      <c r="DX774" s="2" t="n">
        <v>0</v>
      </c>
      <c r="DY774" s="2" t="n">
        <v>83.03</v>
      </c>
      <c r="DZ774" s="2" t="n">
        <v>81.42</v>
      </c>
      <c r="EA774" s="2" t="n">
        <v>0</v>
      </c>
      <c r="EB774" s="2" t="n">
        <v>92.73</v>
      </c>
      <c r="EC774" s="2" t="n">
        <v>88.28</v>
      </c>
      <c r="ED774" s="2" t="n">
        <v>0</v>
      </c>
      <c r="EE774" s="2" t="n">
        <v>100</v>
      </c>
      <c r="EF774" s="2" t="n">
        <v>94.75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  <c r="ET774" s="2" t="n">
        <v>100</v>
      </c>
      <c r="EU774" s="2" t="n">
        <v>100</v>
      </c>
      <c r="EV774" s="2" t="n">
        <v>0</v>
      </c>
      <c r="EW774" s="2" t="n">
        <v>100</v>
      </c>
      <c r="EX774" s="2" t="n">
        <v>100</v>
      </c>
      <c r="EY774" s="2" t="n">
        <v>0</v>
      </c>
      <c r="EZ774" s="2" t="n">
        <v>100</v>
      </c>
      <c r="FA774" s="2" t="n">
        <v>100</v>
      </c>
      <c r="FB774" s="2" t="n">
        <v>0</v>
      </c>
      <c r="FC774" s="2" t="n">
        <v>100</v>
      </c>
      <c r="FD774" s="2" t="n">
        <v>100</v>
      </c>
      <c r="FE774" s="2" t="n">
        <v>0</v>
      </c>
      <c r="FF774" s="2" t="n">
        <v>100</v>
      </c>
      <c r="FG774" s="2" t="n">
        <v>100</v>
      </c>
      <c r="FH774" s="2" t="n">
        <v>0</v>
      </c>
      <c r="FI774" s="2" t="n">
        <v>100</v>
      </c>
      <c r="FJ774" s="2" t="n">
        <v>100</v>
      </c>
      <c r="FK774" s="2" t="n">
        <v>0</v>
      </c>
      <c r="FL774" s="2" t="n">
        <v>100</v>
      </c>
      <c r="FM774" s="2" t="n">
        <v>100</v>
      </c>
      <c r="FN774" s="2" t="n">
        <v>0</v>
      </c>
      <c r="FO774" s="2" t="n">
        <v>100</v>
      </c>
      <c r="FP774" s="2" t="n">
        <v>100</v>
      </c>
      <c r="FQ774" s="2" t="n">
        <v>0</v>
      </c>
    </row>
    <row r="775">
      <c r="A775" s="2" t="n">
        <v>4</v>
      </c>
      <c r="B775" s="2" t="inlineStr">
        <is>
          <t>31.06.02.03</t>
        </is>
      </c>
      <c r="C775" s="2" t="inlineStr">
        <is>
          <t>Rodabanca de pedra a definir h=10cm</t>
        </is>
      </c>
      <c r="D775" s="2" t="inlineStr">
        <is>
          <t>03/03/2027</t>
        </is>
      </c>
      <c r="E775" s="2" t="inlineStr">
        <is>
          <t>24/03/2028</t>
        </is>
      </c>
      <c r="F775" s="2" t="n">
        <v>8758.114869175413</v>
      </c>
      <c r="G775" s="2" t="n">
        <v>0</v>
      </c>
      <c r="H775" s="2" t="n">
        <v>8758.114869175413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0</v>
      </c>
      <c r="CT775" s="2" t="n">
        <v>0</v>
      </c>
      <c r="CU775" s="2" t="n">
        <v>0.8100000000000001</v>
      </c>
      <c r="CV775" s="2" t="n">
        <v>0</v>
      </c>
      <c r="CW775" s="2" t="n">
        <v>0</v>
      </c>
      <c r="CX775" s="2" t="n">
        <v>8.08</v>
      </c>
      <c r="CY775" s="2" t="n">
        <v>4.04</v>
      </c>
      <c r="CZ775" s="2" t="n">
        <v>0</v>
      </c>
      <c r="DA775" s="2" t="n">
        <v>18.76</v>
      </c>
      <c r="DB775" s="2" t="n">
        <v>13.91</v>
      </c>
      <c r="DC775" s="2" t="n">
        <v>0</v>
      </c>
      <c r="DD775" s="2" t="n">
        <v>18.76</v>
      </c>
      <c r="DE775" s="2" t="n">
        <v>18.76</v>
      </c>
      <c r="DF775" s="2" t="n">
        <v>0</v>
      </c>
      <c r="DG775" s="2" t="n">
        <v>25.05</v>
      </c>
      <c r="DH775" s="2" t="n">
        <v>19.42</v>
      </c>
      <c r="DI775" s="2" t="n">
        <v>0</v>
      </c>
      <c r="DJ775" s="2" t="n">
        <v>36.24</v>
      </c>
      <c r="DK775" s="2" t="n">
        <v>34.63</v>
      </c>
      <c r="DL775" s="2" t="n">
        <v>0</v>
      </c>
      <c r="DM775" s="2" t="n">
        <v>49.88</v>
      </c>
      <c r="DN775" s="2" t="n">
        <v>45.53</v>
      </c>
      <c r="DO775" s="2" t="n">
        <v>0</v>
      </c>
      <c r="DP775" s="2" t="n">
        <v>62.32</v>
      </c>
      <c r="DQ775" s="2" t="n">
        <v>57.15</v>
      </c>
      <c r="DR775" s="2" t="n">
        <v>0</v>
      </c>
      <c r="DS775" s="2" t="n">
        <v>67.17</v>
      </c>
      <c r="DT775" s="2" t="n">
        <v>66.77</v>
      </c>
      <c r="DU775" s="2" t="n">
        <v>0</v>
      </c>
      <c r="DV775" s="2" t="n">
        <v>75.76000000000001</v>
      </c>
      <c r="DW775" s="2" t="n">
        <v>74.14</v>
      </c>
      <c r="DX775" s="2" t="n">
        <v>0</v>
      </c>
      <c r="DY775" s="2" t="n">
        <v>83.03</v>
      </c>
      <c r="DZ775" s="2" t="n">
        <v>81.42</v>
      </c>
      <c r="EA775" s="2" t="n">
        <v>0</v>
      </c>
      <c r="EB775" s="2" t="n">
        <v>92.73</v>
      </c>
      <c r="EC775" s="2" t="n">
        <v>88.28</v>
      </c>
      <c r="ED775" s="2" t="n">
        <v>0</v>
      </c>
      <c r="EE775" s="2" t="n">
        <v>100</v>
      </c>
      <c r="EF775" s="2" t="n">
        <v>94.75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  <c r="ET775" s="2" t="n">
        <v>100</v>
      </c>
      <c r="EU775" s="2" t="n">
        <v>100</v>
      </c>
      <c r="EV775" s="2" t="n">
        <v>0</v>
      </c>
      <c r="EW775" s="2" t="n">
        <v>100</v>
      </c>
      <c r="EX775" s="2" t="n">
        <v>100</v>
      </c>
      <c r="EY775" s="2" t="n">
        <v>0</v>
      </c>
      <c r="EZ775" s="2" t="n">
        <v>100</v>
      </c>
      <c r="FA775" s="2" t="n">
        <v>100</v>
      </c>
      <c r="FB775" s="2" t="n">
        <v>0</v>
      </c>
      <c r="FC775" s="2" t="n">
        <v>100</v>
      </c>
      <c r="FD775" s="2" t="n">
        <v>100</v>
      </c>
      <c r="FE775" s="2" t="n">
        <v>0</v>
      </c>
      <c r="FF775" s="2" t="n">
        <v>100</v>
      </c>
      <c r="FG775" s="2" t="n">
        <v>100</v>
      </c>
      <c r="FH775" s="2" t="n">
        <v>0</v>
      </c>
      <c r="FI775" s="2" t="n">
        <v>100</v>
      </c>
      <c r="FJ775" s="2" t="n">
        <v>100</v>
      </c>
      <c r="FK775" s="2" t="n">
        <v>0</v>
      </c>
      <c r="FL775" s="2" t="n">
        <v>100</v>
      </c>
      <c r="FM775" s="2" t="n">
        <v>100</v>
      </c>
      <c r="FN775" s="2" t="n">
        <v>0</v>
      </c>
      <c r="FO775" s="2" t="n">
        <v>100</v>
      </c>
      <c r="FP775" s="2" t="n">
        <v>100</v>
      </c>
      <c r="FQ775" s="2" t="n">
        <v>0</v>
      </c>
    </row>
    <row r="776">
      <c r="A776" s="2" t="n">
        <v>4</v>
      </c>
      <c r="B776" s="2" t="inlineStr">
        <is>
          <t>31.06.02.04</t>
        </is>
      </c>
      <c r="C776" s="2" t="inlineStr">
        <is>
          <t>Furo e colagem de bojo</t>
        </is>
      </c>
      <c r="D776" s="2" t="inlineStr">
        <is>
          <t>03/03/2027</t>
        </is>
      </c>
      <c r="E776" s="2" t="inlineStr">
        <is>
          <t>24/03/2028</t>
        </is>
      </c>
      <c r="F776" s="2" t="n">
        <v>990</v>
      </c>
      <c r="G776" s="2" t="n">
        <v>0</v>
      </c>
      <c r="H776" s="2" t="n">
        <v>990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0</v>
      </c>
      <c r="CT776" s="2" t="n">
        <v>0</v>
      </c>
      <c r="CU776" s="2" t="n">
        <v>0.8100000000000001</v>
      </c>
      <c r="CV776" s="2" t="n">
        <v>0</v>
      </c>
      <c r="CW776" s="2" t="n">
        <v>0</v>
      </c>
      <c r="CX776" s="2" t="n">
        <v>8.08</v>
      </c>
      <c r="CY776" s="2" t="n">
        <v>4.04</v>
      </c>
      <c r="CZ776" s="2" t="n">
        <v>0</v>
      </c>
      <c r="DA776" s="2" t="n">
        <v>18.76</v>
      </c>
      <c r="DB776" s="2" t="n">
        <v>13.91</v>
      </c>
      <c r="DC776" s="2" t="n">
        <v>0</v>
      </c>
      <c r="DD776" s="2" t="n">
        <v>18.76</v>
      </c>
      <c r="DE776" s="2" t="n">
        <v>18.76</v>
      </c>
      <c r="DF776" s="2" t="n">
        <v>0</v>
      </c>
      <c r="DG776" s="2" t="n">
        <v>25.05</v>
      </c>
      <c r="DH776" s="2" t="n">
        <v>19.42</v>
      </c>
      <c r="DI776" s="2" t="n">
        <v>0</v>
      </c>
      <c r="DJ776" s="2" t="n">
        <v>36.24</v>
      </c>
      <c r="DK776" s="2" t="n">
        <v>34.63</v>
      </c>
      <c r="DL776" s="2" t="n">
        <v>0</v>
      </c>
      <c r="DM776" s="2" t="n">
        <v>49.88</v>
      </c>
      <c r="DN776" s="2" t="n">
        <v>45.53</v>
      </c>
      <c r="DO776" s="2" t="n">
        <v>0</v>
      </c>
      <c r="DP776" s="2" t="n">
        <v>62.32</v>
      </c>
      <c r="DQ776" s="2" t="n">
        <v>57.15</v>
      </c>
      <c r="DR776" s="2" t="n">
        <v>0</v>
      </c>
      <c r="DS776" s="2" t="n">
        <v>67.17</v>
      </c>
      <c r="DT776" s="2" t="n">
        <v>66.77</v>
      </c>
      <c r="DU776" s="2" t="n">
        <v>0</v>
      </c>
      <c r="DV776" s="2" t="n">
        <v>75.76000000000001</v>
      </c>
      <c r="DW776" s="2" t="n">
        <v>74.14</v>
      </c>
      <c r="DX776" s="2" t="n">
        <v>0</v>
      </c>
      <c r="DY776" s="2" t="n">
        <v>83.03</v>
      </c>
      <c r="DZ776" s="2" t="n">
        <v>81.42</v>
      </c>
      <c r="EA776" s="2" t="n">
        <v>0</v>
      </c>
      <c r="EB776" s="2" t="n">
        <v>92.73</v>
      </c>
      <c r="EC776" s="2" t="n">
        <v>88.28</v>
      </c>
      <c r="ED776" s="2" t="n">
        <v>0</v>
      </c>
      <c r="EE776" s="2" t="n">
        <v>100</v>
      </c>
      <c r="EF776" s="2" t="n">
        <v>94.75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  <c r="ET776" s="2" t="n">
        <v>100</v>
      </c>
      <c r="EU776" s="2" t="n">
        <v>100</v>
      </c>
      <c r="EV776" s="2" t="n">
        <v>0</v>
      </c>
      <c r="EW776" s="2" t="n">
        <v>100</v>
      </c>
      <c r="EX776" s="2" t="n">
        <v>100</v>
      </c>
      <c r="EY776" s="2" t="n">
        <v>0</v>
      </c>
      <c r="EZ776" s="2" t="n">
        <v>100</v>
      </c>
      <c r="FA776" s="2" t="n">
        <v>100</v>
      </c>
      <c r="FB776" s="2" t="n">
        <v>0</v>
      </c>
      <c r="FC776" s="2" t="n">
        <v>100</v>
      </c>
      <c r="FD776" s="2" t="n">
        <v>100</v>
      </c>
      <c r="FE776" s="2" t="n">
        <v>0</v>
      </c>
      <c r="FF776" s="2" t="n">
        <v>100</v>
      </c>
      <c r="FG776" s="2" t="n">
        <v>100</v>
      </c>
      <c r="FH776" s="2" t="n">
        <v>0</v>
      </c>
      <c r="FI776" s="2" t="n">
        <v>100</v>
      </c>
      <c r="FJ776" s="2" t="n">
        <v>100</v>
      </c>
      <c r="FK776" s="2" t="n">
        <v>0</v>
      </c>
      <c r="FL776" s="2" t="n">
        <v>100</v>
      </c>
      <c r="FM776" s="2" t="n">
        <v>100</v>
      </c>
      <c r="FN776" s="2" t="n">
        <v>0</v>
      </c>
      <c r="FO776" s="2" t="n">
        <v>100</v>
      </c>
      <c r="FP776" s="2" t="n">
        <v>100</v>
      </c>
      <c r="FQ776" s="2" t="n">
        <v>0</v>
      </c>
    </row>
    <row r="777">
      <c r="A777" s="2" t="n">
        <v>4</v>
      </c>
      <c r="B777" s="2" t="inlineStr">
        <is>
          <t>31.06.02.05</t>
        </is>
      </c>
      <c r="C777" s="2" t="inlineStr">
        <is>
          <t>Mãos francesas para bancadas</t>
        </is>
      </c>
      <c r="D777" s="2" t="inlineStr">
        <is>
          <t>03/03/2027</t>
        </is>
      </c>
      <c r="E777" s="2" t="inlineStr">
        <is>
          <t>24/03/2028</t>
        </is>
      </c>
      <c r="F777" s="2" t="n">
        <v>1100</v>
      </c>
      <c r="G777" s="2" t="n">
        <v>0</v>
      </c>
      <c r="H777" s="2" t="n">
        <v>1100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0</v>
      </c>
      <c r="CT777" s="2" t="n">
        <v>0</v>
      </c>
      <c r="CU777" s="2" t="n">
        <v>0.8100000000000001</v>
      </c>
      <c r="CV777" s="2" t="n">
        <v>0</v>
      </c>
      <c r="CW777" s="2" t="n">
        <v>0</v>
      </c>
      <c r="CX777" s="2" t="n">
        <v>8.08</v>
      </c>
      <c r="CY777" s="2" t="n">
        <v>4.04</v>
      </c>
      <c r="CZ777" s="2" t="n">
        <v>0</v>
      </c>
      <c r="DA777" s="2" t="n">
        <v>18.76</v>
      </c>
      <c r="DB777" s="2" t="n">
        <v>13.91</v>
      </c>
      <c r="DC777" s="2" t="n">
        <v>0</v>
      </c>
      <c r="DD777" s="2" t="n">
        <v>18.76</v>
      </c>
      <c r="DE777" s="2" t="n">
        <v>18.76</v>
      </c>
      <c r="DF777" s="2" t="n">
        <v>0</v>
      </c>
      <c r="DG777" s="2" t="n">
        <v>25.05</v>
      </c>
      <c r="DH777" s="2" t="n">
        <v>19.42</v>
      </c>
      <c r="DI777" s="2" t="n">
        <v>0</v>
      </c>
      <c r="DJ777" s="2" t="n">
        <v>36.24</v>
      </c>
      <c r="DK777" s="2" t="n">
        <v>34.63</v>
      </c>
      <c r="DL777" s="2" t="n">
        <v>0</v>
      </c>
      <c r="DM777" s="2" t="n">
        <v>49.88</v>
      </c>
      <c r="DN777" s="2" t="n">
        <v>45.53</v>
      </c>
      <c r="DO777" s="2" t="n">
        <v>0</v>
      </c>
      <c r="DP777" s="2" t="n">
        <v>62.32</v>
      </c>
      <c r="DQ777" s="2" t="n">
        <v>57.15</v>
      </c>
      <c r="DR777" s="2" t="n">
        <v>0</v>
      </c>
      <c r="DS777" s="2" t="n">
        <v>67.17</v>
      </c>
      <c r="DT777" s="2" t="n">
        <v>66.77</v>
      </c>
      <c r="DU777" s="2" t="n">
        <v>0</v>
      </c>
      <c r="DV777" s="2" t="n">
        <v>75.76000000000001</v>
      </c>
      <c r="DW777" s="2" t="n">
        <v>74.14</v>
      </c>
      <c r="DX777" s="2" t="n">
        <v>0</v>
      </c>
      <c r="DY777" s="2" t="n">
        <v>83.03</v>
      </c>
      <c r="DZ777" s="2" t="n">
        <v>81.42</v>
      </c>
      <c r="EA777" s="2" t="n">
        <v>0</v>
      </c>
      <c r="EB777" s="2" t="n">
        <v>92.73</v>
      </c>
      <c r="EC777" s="2" t="n">
        <v>88.28</v>
      </c>
      <c r="ED777" s="2" t="n">
        <v>0</v>
      </c>
      <c r="EE777" s="2" t="n">
        <v>100</v>
      </c>
      <c r="EF777" s="2" t="n">
        <v>94.75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  <c r="ET777" s="2" t="n">
        <v>100</v>
      </c>
      <c r="EU777" s="2" t="n">
        <v>100</v>
      </c>
      <c r="EV777" s="2" t="n">
        <v>0</v>
      </c>
      <c r="EW777" s="2" t="n">
        <v>100</v>
      </c>
      <c r="EX777" s="2" t="n">
        <v>100</v>
      </c>
      <c r="EY777" s="2" t="n">
        <v>0</v>
      </c>
      <c r="EZ777" s="2" t="n">
        <v>100</v>
      </c>
      <c r="FA777" s="2" t="n">
        <v>100</v>
      </c>
      <c r="FB777" s="2" t="n">
        <v>0</v>
      </c>
      <c r="FC777" s="2" t="n">
        <v>100</v>
      </c>
      <c r="FD777" s="2" t="n">
        <v>100</v>
      </c>
      <c r="FE777" s="2" t="n">
        <v>0</v>
      </c>
      <c r="FF777" s="2" t="n">
        <v>100</v>
      </c>
      <c r="FG777" s="2" t="n">
        <v>100</v>
      </c>
      <c r="FH777" s="2" t="n">
        <v>0</v>
      </c>
      <c r="FI777" s="2" t="n">
        <v>100</v>
      </c>
      <c r="FJ777" s="2" t="n">
        <v>100</v>
      </c>
      <c r="FK777" s="2" t="n">
        <v>0</v>
      </c>
      <c r="FL777" s="2" t="n">
        <v>100</v>
      </c>
      <c r="FM777" s="2" t="n">
        <v>100</v>
      </c>
      <c r="FN777" s="2" t="n">
        <v>0</v>
      </c>
      <c r="FO777" s="2" t="n">
        <v>100</v>
      </c>
      <c r="FP777" s="2" t="n">
        <v>100</v>
      </c>
      <c r="FQ777" s="2" t="n">
        <v>0</v>
      </c>
    </row>
    <row r="778">
      <c r="A778" s="2" t="n">
        <v>4</v>
      </c>
      <c r="B778" s="2" t="inlineStr">
        <is>
          <t>31.06.02.06</t>
        </is>
      </c>
      <c r="C778" s="2" t="inlineStr">
        <is>
          <t>Proteção de bancadas contra manuseio de obra</t>
        </is>
      </c>
      <c r="D778" s="2" t="inlineStr">
        <is>
          <t>03/03/2027</t>
        </is>
      </c>
      <c r="E778" s="2" t="inlineStr">
        <is>
          <t>24/03/2028</t>
        </is>
      </c>
      <c r="F778" s="2" t="n">
        <v>406.5898729087478</v>
      </c>
      <c r="G778" s="2" t="n">
        <v>0</v>
      </c>
      <c r="H778" s="2" t="n">
        <v>406.5898729087478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0</v>
      </c>
      <c r="CT778" s="2" t="n">
        <v>0</v>
      </c>
      <c r="CU778" s="2" t="n">
        <v>0.8100000000000001</v>
      </c>
      <c r="CV778" s="2" t="n">
        <v>0</v>
      </c>
      <c r="CW778" s="2" t="n">
        <v>0</v>
      </c>
      <c r="CX778" s="2" t="n">
        <v>8.08</v>
      </c>
      <c r="CY778" s="2" t="n">
        <v>4.04</v>
      </c>
      <c r="CZ778" s="2" t="n">
        <v>0</v>
      </c>
      <c r="DA778" s="2" t="n">
        <v>18.76</v>
      </c>
      <c r="DB778" s="2" t="n">
        <v>13.91</v>
      </c>
      <c r="DC778" s="2" t="n">
        <v>0</v>
      </c>
      <c r="DD778" s="2" t="n">
        <v>18.76</v>
      </c>
      <c r="DE778" s="2" t="n">
        <v>18.76</v>
      </c>
      <c r="DF778" s="2" t="n">
        <v>0</v>
      </c>
      <c r="DG778" s="2" t="n">
        <v>25.05</v>
      </c>
      <c r="DH778" s="2" t="n">
        <v>19.42</v>
      </c>
      <c r="DI778" s="2" t="n">
        <v>0</v>
      </c>
      <c r="DJ778" s="2" t="n">
        <v>36.24</v>
      </c>
      <c r="DK778" s="2" t="n">
        <v>34.63</v>
      </c>
      <c r="DL778" s="2" t="n">
        <v>0</v>
      </c>
      <c r="DM778" s="2" t="n">
        <v>49.88</v>
      </c>
      <c r="DN778" s="2" t="n">
        <v>45.53</v>
      </c>
      <c r="DO778" s="2" t="n">
        <v>0</v>
      </c>
      <c r="DP778" s="2" t="n">
        <v>62.32</v>
      </c>
      <c r="DQ778" s="2" t="n">
        <v>57.15</v>
      </c>
      <c r="DR778" s="2" t="n">
        <v>0</v>
      </c>
      <c r="DS778" s="2" t="n">
        <v>67.17</v>
      </c>
      <c r="DT778" s="2" t="n">
        <v>66.77</v>
      </c>
      <c r="DU778" s="2" t="n">
        <v>0</v>
      </c>
      <c r="DV778" s="2" t="n">
        <v>75.76000000000001</v>
      </c>
      <c r="DW778" s="2" t="n">
        <v>74.14</v>
      </c>
      <c r="DX778" s="2" t="n">
        <v>0</v>
      </c>
      <c r="DY778" s="2" t="n">
        <v>83.03</v>
      </c>
      <c r="DZ778" s="2" t="n">
        <v>81.42</v>
      </c>
      <c r="EA778" s="2" t="n">
        <v>0</v>
      </c>
      <c r="EB778" s="2" t="n">
        <v>92.73</v>
      </c>
      <c r="EC778" s="2" t="n">
        <v>88.28</v>
      </c>
      <c r="ED778" s="2" t="n">
        <v>0</v>
      </c>
      <c r="EE778" s="2" t="n">
        <v>100</v>
      </c>
      <c r="EF778" s="2" t="n">
        <v>94.75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  <c r="ET778" s="2" t="n">
        <v>100</v>
      </c>
      <c r="EU778" s="2" t="n">
        <v>100</v>
      </c>
      <c r="EV778" s="2" t="n">
        <v>0</v>
      </c>
      <c r="EW778" s="2" t="n">
        <v>100</v>
      </c>
      <c r="EX778" s="2" t="n">
        <v>100</v>
      </c>
      <c r="EY778" s="2" t="n">
        <v>0</v>
      </c>
      <c r="EZ778" s="2" t="n">
        <v>100</v>
      </c>
      <c r="FA778" s="2" t="n">
        <v>100</v>
      </c>
      <c r="FB778" s="2" t="n">
        <v>0</v>
      </c>
      <c r="FC778" s="2" t="n">
        <v>100</v>
      </c>
      <c r="FD778" s="2" t="n">
        <v>100</v>
      </c>
      <c r="FE778" s="2" t="n">
        <v>0</v>
      </c>
      <c r="FF778" s="2" t="n">
        <v>100</v>
      </c>
      <c r="FG778" s="2" t="n">
        <v>100</v>
      </c>
      <c r="FH778" s="2" t="n">
        <v>0</v>
      </c>
      <c r="FI778" s="2" t="n">
        <v>100</v>
      </c>
      <c r="FJ778" s="2" t="n">
        <v>100</v>
      </c>
      <c r="FK778" s="2" t="n">
        <v>0</v>
      </c>
      <c r="FL778" s="2" t="n">
        <v>100</v>
      </c>
      <c r="FM778" s="2" t="n">
        <v>100</v>
      </c>
      <c r="FN778" s="2" t="n">
        <v>0</v>
      </c>
      <c r="FO778" s="2" t="n">
        <v>100</v>
      </c>
      <c r="FP778" s="2" t="n">
        <v>100</v>
      </c>
      <c r="FQ778" s="2" t="n">
        <v>0</v>
      </c>
    </row>
    <row r="779">
      <c r="A779" s="2" t="n">
        <v>3</v>
      </c>
      <c r="B779" s="2" t="inlineStr">
        <is>
          <t>31.06.03</t>
        </is>
      </c>
      <c r="C779" s="2" t="inlineStr">
        <is>
          <t>Bancada com cuba esculpida em mármore travertino romano bruto</t>
        </is>
      </c>
      <c r="D779" s="2" t="inlineStr">
        <is>
          <t>03/03/2027</t>
        </is>
      </c>
      <c r="E779" s="2" t="inlineStr">
        <is>
          <t>24/03/2028</t>
        </is>
      </c>
      <c r="F779" s="2" t="n">
        <v>50006.3875940756</v>
      </c>
      <c r="G779" s="2" t="n">
        <v>0</v>
      </c>
      <c r="H779" s="2" t="n">
        <v>50006.3875940756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0</v>
      </c>
      <c r="CT779" s="2" t="n">
        <v>0</v>
      </c>
      <c r="CU779" s="2" t="n">
        <v>0.8100000000000001</v>
      </c>
      <c r="CV779" s="2" t="n">
        <v>0</v>
      </c>
      <c r="CW779" s="2" t="n">
        <v>0</v>
      </c>
      <c r="CX779" s="2" t="n">
        <v>8.08</v>
      </c>
      <c r="CY779" s="2" t="n">
        <v>4.04</v>
      </c>
      <c r="CZ779" s="2" t="n">
        <v>0</v>
      </c>
      <c r="DA779" s="2" t="n">
        <v>18.76</v>
      </c>
      <c r="DB779" s="2" t="n">
        <v>13.91</v>
      </c>
      <c r="DC779" s="2" t="n">
        <v>0</v>
      </c>
      <c r="DD779" s="2" t="n">
        <v>18.76</v>
      </c>
      <c r="DE779" s="2" t="n">
        <v>18.76</v>
      </c>
      <c r="DF779" s="2" t="n">
        <v>0</v>
      </c>
      <c r="DG779" s="2" t="n">
        <v>25.05</v>
      </c>
      <c r="DH779" s="2" t="n">
        <v>19.42</v>
      </c>
      <c r="DI779" s="2" t="n">
        <v>0</v>
      </c>
      <c r="DJ779" s="2" t="n">
        <v>36.24</v>
      </c>
      <c r="DK779" s="2" t="n">
        <v>34.63</v>
      </c>
      <c r="DL779" s="2" t="n">
        <v>0</v>
      </c>
      <c r="DM779" s="2" t="n">
        <v>49.88</v>
      </c>
      <c r="DN779" s="2" t="n">
        <v>45.53</v>
      </c>
      <c r="DO779" s="2" t="n">
        <v>0</v>
      </c>
      <c r="DP779" s="2" t="n">
        <v>62.32</v>
      </c>
      <c r="DQ779" s="2" t="n">
        <v>57.15</v>
      </c>
      <c r="DR779" s="2" t="n">
        <v>0</v>
      </c>
      <c r="DS779" s="2" t="n">
        <v>67.17</v>
      </c>
      <c r="DT779" s="2" t="n">
        <v>66.77</v>
      </c>
      <c r="DU779" s="2" t="n">
        <v>0</v>
      </c>
      <c r="DV779" s="2" t="n">
        <v>75.76000000000001</v>
      </c>
      <c r="DW779" s="2" t="n">
        <v>74.14</v>
      </c>
      <c r="DX779" s="2" t="n">
        <v>0</v>
      </c>
      <c r="DY779" s="2" t="n">
        <v>83.03</v>
      </c>
      <c r="DZ779" s="2" t="n">
        <v>81.42</v>
      </c>
      <c r="EA779" s="2" t="n">
        <v>0</v>
      </c>
      <c r="EB779" s="2" t="n">
        <v>92.73</v>
      </c>
      <c r="EC779" s="2" t="n">
        <v>88.28</v>
      </c>
      <c r="ED779" s="2" t="n">
        <v>0</v>
      </c>
      <c r="EE779" s="2" t="n">
        <v>100</v>
      </c>
      <c r="EF779" s="2" t="n">
        <v>94.75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  <c r="ET779" s="2" t="n">
        <v>100</v>
      </c>
      <c r="EU779" s="2" t="n">
        <v>100</v>
      </c>
      <c r="EV779" s="2" t="n">
        <v>0</v>
      </c>
      <c r="EW779" s="2" t="n">
        <v>100</v>
      </c>
      <c r="EX779" s="2" t="n">
        <v>100</v>
      </c>
      <c r="EY779" s="2" t="n">
        <v>0</v>
      </c>
      <c r="EZ779" s="2" t="n">
        <v>100</v>
      </c>
      <c r="FA779" s="2" t="n">
        <v>100</v>
      </c>
      <c r="FB779" s="2" t="n">
        <v>0</v>
      </c>
      <c r="FC779" s="2" t="n">
        <v>100</v>
      </c>
      <c r="FD779" s="2" t="n">
        <v>100</v>
      </c>
      <c r="FE779" s="2" t="n">
        <v>0</v>
      </c>
      <c r="FF779" s="2" t="n">
        <v>100</v>
      </c>
      <c r="FG779" s="2" t="n">
        <v>100</v>
      </c>
      <c r="FH779" s="2" t="n">
        <v>0</v>
      </c>
      <c r="FI779" s="2" t="n">
        <v>100</v>
      </c>
      <c r="FJ779" s="2" t="n">
        <v>100</v>
      </c>
      <c r="FK779" s="2" t="n">
        <v>0</v>
      </c>
      <c r="FL779" s="2" t="n">
        <v>100</v>
      </c>
      <c r="FM779" s="2" t="n">
        <v>100</v>
      </c>
      <c r="FN779" s="2" t="n">
        <v>0</v>
      </c>
      <c r="FO779" s="2" t="n">
        <v>100</v>
      </c>
      <c r="FP779" s="2" t="n">
        <v>100</v>
      </c>
      <c r="FQ779" s="2" t="n">
        <v>0</v>
      </c>
    </row>
    <row r="780">
      <c r="A780" s="2" t="n">
        <v>4</v>
      </c>
      <c r="B780" s="2" t="inlineStr">
        <is>
          <t>31.06.03.01</t>
        </is>
      </c>
      <c r="C780" s="2" t="inlineStr">
        <is>
          <t>Bancada com cuba esculpida em mármore travertino romano bruto</t>
        </is>
      </c>
      <c r="D780" s="2" t="inlineStr">
        <is>
          <t>03/03/2027</t>
        </is>
      </c>
      <c r="E780" s="2" t="inlineStr">
        <is>
          <t>24/03/2028</t>
        </is>
      </c>
      <c r="F780" s="2" t="n">
        <v>47775.07255922517</v>
      </c>
      <c r="G780" s="2" t="n">
        <v>0</v>
      </c>
      <c r="H780" s="2" t="n">
        <v>47775.07255922517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0</v>
      </c>
      <c r="CT780" s="2" t="n">
        <v>0</v>
      </c>
      <c r="CU780" s="2" t="n">
        <v>0.8100000000000001</v>
      </c>
      <c r="CV780" s="2" t="n">
        <v>0</v>
      </c>
      <c r="CW780" s="2" t="n">
        <v>0</v>
      </c>
      <c r="CX780" s="2" t="n">
        <v>8.08</v>
      </c>
      <c r="CY780" s="2" t="n">
        <v>4.04</v>
      </c>
      <c r="CZ780" s="2" t="n">
        <v>0</v>
      </c>
      <c r="DA780" s="2" t="n">
        <v>18.76</v>
      </c>
      <c r="DB780" s="2" t="n">
        <v>13.91</v>
      </c>
      <c r="DC780" s="2" t="n">
        <v>0</v>
      </c>
      <c r="DD780" s="2" t="n">
        <v>18.76</v>
      </c>
      <c r="DE780" s="2" t="n">
        <v>18.76</v>
      </c>
      <c r="DF780" s="2" t="n">
        <v>0</v>
      </c>
      <c r="DG780" s="2" t="n">
        <v>25.05</v>
      </c>
      <c r="DH780" s="2" t="n">
        <v>19.42</v>
      </c>
      <c r="DI780" s="2" t="n">
        <v>0</v>
      </c>
      <c r="DJ780" s="2" t="n">
        <v>36.24</v>
      </c>
      <c r="DK780" s="2" t="n">
        <v>34.63</v>
      </c>
      <c r="DL780" s="2" t="n">
        <v>0</v>
      </c>
      <c r="DM780" s="2" t="n">
        <v>49.88</v>
      </c>
      <c r="DN780" s="2" t="n">
        <v>45.53</v>
      </c>
      <c r="DO780" s="2" t="n">
        <v>0</v>
      </c>
      <c r="DP780" s="2" t="n">
        <v>62.32</v>
      </c>
      <c r="DQ780" s="2" t="n">
        <v>57.15</v>
      </c>
      <c r="DR780" s="2" t="n">
        <v>0</v>
      </c>
      <c r="DS780" s="2" t="n">
        <v>67.17</v>
      </c>
      <c r="DT780" s="2" t="n">
        <v>66.77</v>
      </c>
      <c r="DU780" s="2" t="n">
        <v>0</v>
      </c>
      <c r="DV780" s="2" t="n">
        <v>75.76000000000001</v>
      </c>
      <c r="DW780" s="2" t="n">
        <v>74.14</v>
      </c>
      <c r="DX780" s="2" t="n">
        <v>0</v>
      </c>
      <c r="DY780" s="2" t="n">
        <v>83.03</v>
      </c>
      <c r="DZ780" s="2" t="n">
        <v>81.42</v>
      </c>
      <c r="EA780" s="2" t="n">
        <v>0</v>
      </c>
      <c r="EB780" s="2" t="n">
        <v>92.73</v>
      </c>
      <c r="EC780" s="2" t="n">
        <v>88.28</v>
      </c>
      <c r="ED780" s="2" t="n">
        <v>0</v>
      </c>
      <c r="EE780" s="2" t="n">
        <v>100</v>
      </c>
      <c r="EF780" s="2" t="n">
        <v>94.75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  <c r="ET780" s="2" t="n">
        <v>100</v>
      </c>
      <c r="EU780" s="2" t="n">
        <v>100</v>
      </c>
      <c r="EV780" s="2" t="n">
        <v>0</v>
      </c>
      <c r="EW780" s="2" t="n">
        <v>100</v>
      </c>
      <c r="EX780" s="2" t="n">
        <v>100</v>
      </c>
      <c r="EY780" s="2" t="n">
        <v>0</v>
      </c>
      <c r="EZ780" s="2" t="n">
        <v>100</v>
      </c>
      <c r="FA780" s="2" t="n">
        <v>100</v>
      </c>
      <c r="FB780" s="2" t="n">
        <v>0</v>
      </c>
      <c r="FC780" s="2" t="n">
        <v>100</v>
      </c>
      <c r="FD780" s="2" t="n">
        <v>100</v>
      </c>
      <c r="FE780" s="2" t="n">
        <v>0</v>
      </c>
      <c r="FF780" s="2" t="n">
        <v>100</v>
      </c>
      <c r="FG780" s="2" t="n">
        <v>100</v>
      </c>
      <c r="FH780" s="2" t="n">
        <v>0</v>
      </c>
      <c r="FI780" s="2" t="n">
        <v>100</v>
      </c>
      <c r="FJ780" s="2" t="n">
        <v>100</v>
      </c>
      <c r="FK780" s="2" t="n">
        <v>0</v>
      </c>
      <c r="FL780" s="2" t="n">
        <v>100</v>
      </c>
      <c r="FM780" s="2" t="n">
        <v>100</v>
      </c>
      <c r="FN780" s="2" t="n">
        <v>0</v>
      </c>
      <c r="FO780" s="2" t="n">
        <v>100</v>
      </c>
      <c r="FP780" s="2" t="n">
        <v>100</v>
      </c>
      <c r="FQ780" s="2" t="n">
        <v>0</v>
      </c>
    </row>
    <row r="781">
      <c r="A781" s="2" t="n">
        <v>4</v>
      </c>
      <c r="B781" s="2" t="inlineStr">
        <is>
          <t>31.06.03.02</t>
        </is>
      </c>
      <c r="C781" s="2" t="inlineStr">
        <is>
          <t>Mãos francesas para bancadas</t>
        </is>
      </c>
      <c r="D781" s="2" t="inlineStr">
        <is>
          <t>03/03/2027</t>
        </is>
      </c>
      <c r="E781" s="2" t="inlineStr">
        <is>
          <t>24/03/2028</t>
        </is>
      </c>
      <c r="F781" s="2" t="n">
        <v>1650</v>
      </c>
      <c r="G781" s="2" t="n">
        <v>0</v>
      </c>
      <c r="H781" s="2" t="n">
        <v>1650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0</v>
      </c>
      <c r="CT781" s="2" t="n">
        <v>0</v>
      </c>
      <c r="CU781" s="2" t="n">
        <v>0.8100000000000001</v>
      </c>
      <c r="CV781" s="2" t="n">
        <v>0</v>
      </c>
      <c r="CW781" s="2" t="n">
        <v>0</v>
      </c>
      <c r="CX781" s="2" t="n">
        <v>8.08</v>
      </c>
      <c r="CY781" s="2" t="n">
        <v>4.04</v>
      </c>
      <c r="CZ781" s="2" t="n">
        <v>0</v>
      </c>
      <c r="DA781" s="2" t="n">
        <v>18.76</v>
      </c>
      <c r="DB781" s="2" t="n">
        <v>13.91</v>
      </c>
      <c r="DC781" s="2" t="n">
        <v>0</v>
      </c>
      <c r="DD781" s="2" t="n">
        <v>18.76</v>
      </c>
      <c r="DE781" s="2" t="n">
        <v>18.76</v>
      </c>
      <c r="DF781" s="2" t="n">
        <v>0</v>
      </c>
      <c r="DG781" s="2" t="n">
        <v>25.05</v>
      </c>
      <c r="DH781" s="2" t="n">
        <v>19.42</v>
      </c>
      <c r="DI781" s="2" t="n">
        <v>0</v>
      </c>
      <c r="DJ781" s="2" t="n">
        <v>36.24</v>
      </c>
      <c r="DK781" s="2" t="n">
        <v>34.63</v>
      </c>
      <c r="DL781" s="2" t="n">
        <v>0</v>
      </c>
      <c r="DM781" s="2" t="n">
        <v>49.88</v>
      </c>
      <c r="DN781" s="2" t="n">
        <v>45.53</v>
      </c>
      <c r="DO781" s="2" t="n">
        <v>0</v>
      </c>
      <c r="DP781" s="2" t="n">
        <v>62.32</v>
      </c>
      <c r="DQ781" s="2" t="n">
        <v>57.15</v>
      </c>
      <c r="DR781" s="2" t="n">
        <v>0</v>
      </c>
      <c r="DS781" s="2" t="n">
        <v>67.17</v>
      </c>
      <c r="DT781" s="2" t="n">
        <v>66.77</v>
      </c>
      <c r="DU781" s="2" t="n">
        <v>0</v>
      </c>
      <c r="DV781" s="2" t="n">
        <v>75.76000000000001</v>
      </c>
      <c r="DW781" s="2" t="n">
        <v>74.14</v>
      </c>
      <c r="DX781" s="2" t="n">
        <v>0</v>
      </c>
      <c r="DY781" s="2" t="n">
        <v>83.03</v>
      </c>
      <c r="DZ781" s="2" t="n">
        <v>81.42</v>
      </c>
      <c r="EA781" s="2" t="n">
        <v>0</v>
      </c>
      <c r="EB781" s="2" t="n">
        <v>92.73</v>
      </c>
      <c r="EC781" s="2" t="n">
        <v>88.28</v>
      </c>
      <c r="ED781" s="2" t="n">
        <v>0</v>
      </c>
      <c r="EE781" s="2" t="n">
        <v>100</v>
      </c>
      <c r="EF781" s="2" t="n">
        <v>94.75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  <c r="ET781" s="2" t="n">
        <v>100</v>
      </c>
      <c r="EU781" s="2" t="n">
        <v>100</v>
      </c>
      <c r="EV781" s="2" t="n">
        <v>0</v>
      </c>
      <c r="EW781" s="2" t="n">
        <v>100</v>
      </c>
      <c r="EX781" s="2" t="n">
        <v>100</v>
      </c>
      <c r="EY781" s="2" t="n">
        <v>0</v>
      </c>
      <c r="EZ781" s="2" t="n">
        <v>100</v>
      </c>
      <c r="FA781" s="2" t="n">
        <v>100</v>
      </c>
      <c r="FB781" s="2" t="n">
        <v>0</v>
      </c>
      <c r="FC781" s="2" t="n">
        <v>100</v>
      </c>
      <c r="FD781" s="2" t="n">
        <v>100</v>
      </c>
      <c r="FE781" s="2" t="n">
        <v>0</v>
      </c>
      <c r="FF781" s="2" t="n">
        <v>100</v>
      </c>
      <c r="FG781" s="2" t="n">
        <v>100</v>
      </c>
      <c r="FH781" s="2" t="n">
        <v>0</v>
      </c>
      <c r="FI781" s="2" t="n">
        <v>100</v>
      </c>
      <c r="FJ781" s="2" t="n">
        <v>100</v>
      </c>
      <c r="FK781" s="2" t="n">
        <v>0</v>
      </c>
      <c r="FL781" s="2" t="n">
        <v>100</v>
      </c>
      <c r="FM781" s="2" t="n">
        <v>100</v>
      </c>
      <c r="FN781" s="2" t="n">
        <v>0</v>
      </c>
      <c r="FO781" s="2" t="n">
        <v>100</v>
      </c>
      <c r="FP781" s="2" t="n">
        <v>100</v>
      </c>
      <c r="FQ781" s="2" t="n">
        <v>0</v>
      </c>
    </row>
    <row r="782">
      <c r="A782" s="2" t="n">
        <v>4</v>
      </c>
      <c r="B782" s="2" t="inlineStr">
        <is>
          <t>31.06.03.03</t>
        </is>
      </c>
      <c r="C782" s="2" t="inlineStr">
        <is>
          <t>Proteção de bancadas contra manuseio de obra</t>
        </is>
      </c>
      <c r="D782" s="2" t="inlineStr">
        <is>
          <t>03/03/2027</t>
        </is>
      </c>
      <c r="E782" s="2" t="inlineStr">
        <is>
          <t>24/03/2028</t>
        </is>
      </c>
      <c r="F782" s="2" t="n">
        <v>581.3150348504364</v>
      </c>
      <c r="G782" s="2" t="n">
        <v>0</v>
      </c>
      <c r="H782" s="2" t="n">
        <v>581.3150348504364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0</v>
      </c>
      <c r="CJ782" s="2" t="n">
        <v>0</v>
      </c>
      <c r="CK782" s="2" t="n">
        <v>0</v>
      </c>
      <c r="CL782" s="2" t="n">
        <v>0</v>
      </c>
      <c r="CM782" s="2" t="n">
        <v>0</v>
      </c>
      <c r="CN782" s="2" t="n">
        <v>0</v>
      </c>
      <c r="CO782" s="2" t="n">
        <v>0</v>
      </c>
      <c r="CP782" s="2" t="n">
        <v>0</v>
      </c>
      <c r="CQ782" s="2" t="n">
        <v>0</v>
      </c>
      <c r="CR782" s="2" t="n">
        <v>0</v>
      </c>
      <c r="CS782" s="2" t="n">
        <v>0</v>
      </c>
      <c r="CT782" s="2" t="n">
        <v>0</v>
      </c>
      <c r="CU782" s="2" t="n">
        <v>0.8100000000000001</v>
      </c>
      <c r="CV782" s="2" t="n">
        <v>0</v>
      </c>
      <c r="CW782" s="2" t="n">
        <v>0</v>
      </c>
      <c r="CX782" s="2" t="n">
        <v>8.08</v>
      </c>
      <c r="CY782" s="2" t="n">
        <v>4.04</v>
      </c>
      <c r="CZ782" s="2" t="n">
        <v>0</v>
      </c>
      <c r="DA782" s="2" t="n">
        <v>18.76</v>
      </c>
      <c r="DB782" s="2" t="n">
        <v>13.91</v>
      </c>
      <c r="DC782" s="2" t="n">
        <v>0</v>
      </c>
      <c r="DD782" s="2" t="n">
        <v>18.76</v>
      </c>
      <c r="DE782" s="2" t="n">
        <v>18.76</v>
      </c>
      <c r="DF782" s="2" t="n">
        <v>0</v>
      </c>
      <c r="DG782" s="2" t="n">
        <v>25.05</v>
      </c>
      <c r="DH782" s="2" t="n">
        <v>19.42</v>
      </c>
      <c r="DI782" s="2" t="n">
        <v>0</v>
      </c>
      <c r="DJ782" s="2" t="n">
        <v>36.24</v>
      </c>
      <c r="DK782" s="2" t="n">
        <v>34.63</v>
      </c>
      <c r="DL782" s="2" t="n">
        <v>0</v>
      </c>
      <c r="DM782" s="2" t="n">
        <v>49.88</v>
      </c>
      <c r="DN782" s="2" t="n">
        <v>45.53</v>
      </c>
      <c r="DO782" s="2" t="n">
        <v>0</v>
      </c>
      <c r="DP782" s="2" t="n">
        <v>62.32</v>
      </c>
      <c r="DQ782" s="2" t="n">
        <v>57.15</v>
      </c>
      <c r="DR782" s="2" t="n">
        <v>0</v>
      </c>
      <c r="DS782" s="2" t="n">
        <v>67.17</v>
      </c>
      <c r="DT782" s="2" t="n">
        <v>66.77</v>
      </c>
      <c r="DU782" s="2" t="n">
        <v>0</v>
      </c>
      <c r="DV782" s="2" t="n">
        <v>75.76000000000001</v>
      </c>
      <c r="DW782" s="2" t="n">
        <v>74.14</v>
      </c>
      <c r="DX782" s="2" t="n">
        <v>0</v>
      </c>
      <c r="DY782" s="2" t="n">
        <v>83.03</v>
      </c>
      <c r="DZ782" s="2" t="n">
        <v>81.42</v>
      </c>
      <c r="EA782" s="2" t="n">
        <v>0</v>
      </c>
      <c r="EB782" s="2" t="n">
        <v>92.73</v>
      </c>
      <c r="EC782" s="2" t="n">
        <v>88.28</v>
      </c>
      <c r="ED782" s="2" t="n">
        <v>0</v>
      </c>
      <c r="EE782" s="2" t="n">
        <v>100</v>
      </c>
      <c r="EF782" s="2" t="n">
        <v>94.75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  <c r="ET782" s="2" t="n">
        <v>100</v>
      </c>
      <c r="EU782" s="2" t="n">
        <v>100</v>
      </c>
      <c r="EV782" s="2" t="n">
        <v>0</v>
      </c>
      <c r="EW782" s="2" t="n">
        <v>100</v>
      </c>
      <c r="EX782" s="2" t="n">
        <v>100</v>
      </c>
      <c r="EY782" s="2" t="n">
        <v>0</v>
      </c>
      <c r="EZ782" s="2" t="n">
        <v>100</v>
      </c>
      <c r="FA782" s="2" t="n">
        <v>100</v>
      </c>
      <c r="FB782" s="2" t="n">
        <v>0</v>
      </c>
      <c r="FC782" s="2" t="n">
        <v>100</v>
      </c>
      <c r="FD782" s="2" t="n">
        <v>100</v>
      </c>
      <c r="FE782" s="2" t="n">
        <v>0</v>
      </c>
      <c r="FF782" s="2" t="n">
        <v>100</v>
      </c>
      <c r="FG782" s="2" t="n">
        <v>100</v>
      </c>
      <c r="FH782" s="2" t="n">
        <v>0</v>
      </c>
      <c r="FI782" s="2" t="n">
        <v>100</v>
      </c>
      <c r="FJ782" s="2" t="n">
        <v>100</v>
      </c>
      <c r="FK782" s="2" t="n">
        <v>0</v>
      </c>
      <c r="FL782" s="2" t="n">
        <v>100</v>
      </c>
      <c r="FM782" s="2" t="n">
        <v>100</v>
      </c>
      <c r="FN782" s="2" t="n">
        <v>0</v>
      </c>
      <c r="FO782" s="2" t="n">
        <v>100</v>
      </c>
      <c r="FP782" s="2" t="n">
        <v>100</v>
      </c>
      <c r="FQ782" s="2" t="n">
        <v>0</v>
      </c>
    </row>
    <row r="783">
      <c r="A783" s="2" t="n">
        <v>3</v>
      </c>
      <c r="B783" s="2" t="inlineStr">
        <is>
          <t>31.06.04</t>
        </is>
      </c>
      <c r="C783" s="2" t="inlineStr">
        <is>
          <t>Bancada em mármore travertino romano resinado</t>
        </is>
      </c>
      <c r="D783" s="2" t="inlineStr">
        <is>
          <t>03/03/2027</t>
        </is>
      </c>
      <c r="E783" s="2" t="inlineStr">
        <is>
          <t>24/03/2028</t>
        </is>
      </c>
      <c r="F783" s="2" t="n">
        <v>255738.8366916236</v>
      </c>
      <c r="G783" s="2" t="n">
        <v>0</v>
      </c>
      <c r="H783" s="2" t="n">
        <v>255738.8366916236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0</v>
      </c>
      <c r="CJ783" s="2" t="n">
        <v>0</v>
      </c>
      <c r="CK783" s="2" t="n">
        <v>0</v>
      </c>
      <c r="CL783" s="2" t="n">
        <v>0</v>
      </c>
      <c r="CM783" s="2" t="n">
        <v>0</v>
      </c>
      <c r="CN783" s="2" t="n">
        <v>0</v>
      </c>
      <c r="CO783" s="2" t="n">
        <v>0</v>
      </c>
      <c r="CP783" s="2" t="n">
        <v>0</v>
      </c>
      <c r="CQ783" s="2" t="n">
        <v>0</v>
      </c>
      <c r="CR783" s="2" t="n">
        <v>0</v>
      </c>
      <c r="CS783" s="2" t="n">
        <v>0</v>
      </c>
      <c r="CT783" s="2" t="n">
        <v>0</v>
      </c>
      <c r="CU783" s="2" t="n">
        <v>0.8100000000000001</v>
      </c>
      <c r="CV783" s="2" t="n">
        <v>0</v>
      </c>
      <c r="CW783" s="2" t="n">
        <v>0</v>
      </c>
      <c r="CX783" s="2" t="n">
        <v>8.08</v>
      </c>
      <c r="CY783" s="2" t="n">
        <v>4.04</v>
      </c>
      <c r="CZ783" s="2" t="n">
        <v>0</v>
      </c>
      <c r="DA783" s="2" t="n">
        <v>18.76</v>
      </c>
      <c r="DB783" s="2" t="n">
        <v>13.91</v>
      </c>
      <c r="DC783" s="2" t="n">
        <v>0</v>
      </c>
      <c r="DD783" s="2" t="n">
        <v>18.76</v>
      </c>
      <c r="DE783" s="2" t="n">
        <v>18.76</v>
      </c>
      <c r="DF783" s="2" t="n">
        <v>0</v>
      </c>
      <c r="DG783" s="2" t="n">
        <v>25.05</v>
      </c>
      <c r="DH783" s="2" t="n">
        <v>19.42</v>
      </c>
      <c r="DI783" s="2" t="n">
        <v>0</v>
      </c>
      <c r="DJ783" s="2" t="n">
        <v>36.24</v>
      </c>
      <c r="DK783" s="2" t="n">
        <v>34.63</v>
      </c>
      <c r="DL783" s="2" t="n">
        <v>0</v>
      </c>
      <c r="DM783" s="2" t="n">
        <v>49.88</v>
      </c>
      <c r="DN783" s="2" t="n">
        <v>45.53</v>
      </c>
      <c r="DO783" s="2" t="n">
        <v>0</v>
      </c>
      <c r="DP783" s="2" t="n">
        <v>62.32</v>
      </c>
      <c r="DQ783" s="2" t="n">
        <v>57.15</v>
      </c>
      <c r="DR783" s="2" t="n">
        <v>0</v>
      </c>
      <c r="DS783" s="2" t="n">
        <v>67.17</v>
      </c>
      <c r="DT783" s="2" t="n">
        <v>66.77</v>
      </c>
      <c r="DU783" s="2" t="n">
        <v>0</v>
      </c>
      <c r="DV783" s="2" t="n">
        <v>75.76000000000001</v>
      </c>
      <c r="DW783" s="2" t="n">
        <v>74.14</v>
      </c>
      <c r="DX783" s="2" t="n">
        <v>0</v>
      </c>
      <c r="DY783" s="2" t="n">
        <v>83.03</v>
      </c>
      <c r="DZ783" s="2" t="n">
        <v>81.42</v>
      </c>
      <c r="EA783" s="2" t="n">
        <v>0</v>
      </c>
      <c r="EB783" s="2" t="n">
        <v>92.73</v>
      </c>
      <c r="EC783" s="2" t="n">
        <v>88.28</v>
      </c>
      <c r="ED783" s="2" t="n">
        <v>0</v>
      </c>
      <c r="EE783" s="2" t="n">
        <v>100</v>
      </c>
      <c r="EF783" s="2" t="n">
        <v>94.75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  <c r="ET783" s="2" t="n">
        <v>100</v>
      </c>
      <c r="EU783" s="2" t="n">
        <v>100</v>
      </c>
      <c r="EV783" s="2" t="n">
        <v>0</v>
      </c>
      <c r="EW783" s="2" t="n">
        <v>100</v>
      </c>
      <c r="EX783" s="2" t="n">
        <v>100</v>
      </c>
      <c r="EY783" s="2" t="n">
        <v>0</v>
      </c>
      <c r="EZ783" s="2" t="n">
        <v>100</v>
      </c>
      <c r="FA783" s="2" t="n">
        <v>100</v>
      </c>
      <c r="FB783" s="2" t="n">
        <v>0</v>
      </c>
      <c r="FC783" s="2" t="n">
        <v>100</v>
      </c>
      <c r="FD783" s="2" t="n">
        <v>100</v>
      </c>
      <c r="FE783" s="2" t="n">
        <v>0</v>
      </c>
      <c r="FF783" s="2" t="n">
        <v>100</v>
      </c>
      <c r="FG783" s="2" t="n">
        <v>100</v>
      </c>
      <c r="FH783" s="2" t="n">
        <v>0</v>
      </c>
      <c r="FI783" s="2" t="n">
        <v>100</v>
      </c>
      <c r="FJ783" s="2" t="n">
        <v>100</v>
      </c>
      <c r="FK783" s="2" t="n">
        <v>0</v>
      </c>
      <c r="FL783" s="2" t="n">
        <v>100</v>
      </c>
      <c r="FM783" s="2" t="n">
        <v>100</v>
      </c>
      <c r="FN783" s="2" t="n">
        <v>0</v>
      </c>
      <c r="FO783" s="2" t="n">
        <v>100</v>
      </c>
      <c r="FP783" s="2" t="n">
        <v>100</v>
      </c>
      <c r="FQ783" s="2" t="n">
        <v>0</v>
      </c>
    </row>
    <row r="784">
      <c r="A784" s="2" t="n">
        <v>4</v>
      </c>
      <c r="B784" s="2" t="inlineStr">
        <is>
          <t>31.06.04.01</t>
        </is>
      </c>
      <c r="C784" s="2" t="inlineStr">
        <is>
          <t>Bancada em mármore travertino romano resinado</t>
        </is>
      </c>
      <c r="D784" s="2" t="inlineStr">
        <is>
          <t>03/03/2027</t>
        </is>
      </c>
      <c r="E784" s="2" t="inlineStr">
        <is>
          <t>24/03/2028</t>
        </is>
      </c>
      <c r="F784" s="2" t="n">
        <v>152469.867918289</v>
      </c>
      <c r="G784" s="2" t="n">
        <v>0</v>
      </c>
      <c r="H784" s="2" t="n">
        <v>152469.867918289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0</v>
      </c>
      <c r="CJ784" s="2" t="n">
        <v>0</v>
      </c>
      <c r="CK784" s="2" t="n">
        <v>0</v>
      </c>
      <c r="CL784" s="2" t="n">
        <v>0</v>
      </c>
      <c r="CM784" s="2" t="n">
        <v>0</v>
      </c>
      <c r="CN784" s="2" t="n">
        <v>0</v>
      </c>
      <c r="CO784" s="2" t="n">
        <v>0</v>
      </c>
      <c r="CP784" s="2" t="n">
        <v>0</v>
      </c>
      <c r="CQ784" s="2" t="n">
        <v>0</v>
      </c>
      <c r="CR784" s="2" t="n">
        <v>0</v>
      </c>
      <c r="CS784" s="2" t="n">
        <v>0</v>
      </c>
      <c r="CT784" s="2" t="n">
        <v>0</v>
      </c>
      <c r="CU784" s="2" t="n">
        <v>0.8100000000000001</v>
      </c>
      <c r="CV784" s="2" t="n">
        <v>0</v>
      </c>
      <c r="CW784" s="2" t="n">
        <v>0</v>
      </c>
      <c r="CX784" s="2" t="n">
        <v>8.08</v>
      </c>
      <c r="CY784" s="2" t="n">
        <v>4.04</v>
      </c>
      <c r="CZ784" s="2" t="n">
        <v>0</v>
      </c>
      <c r="DA784" s="2" t="n">
        <v>18.76</v>
      </c>
      <c r="DB784" s="2" t="n">
        <v>13.91</v>
      </c>
      <c r="DC784" s="2" t="n">
        <v>0</v>
      </c>
      <c r="DD784" s="2" t="n">
        <v>18.76</v>
      </c>
      <c r="DE784" s="2" t="n">
        <v>18.76</v>
      </c>
      <c r="DF784" s="2" t="n">
        <v>0</v>
      </c>
      <c r="DG784" s="2" t="n">
        <v>25.05</v>
      </c>
      <c r="DH784" s="2" t="n">
        <v>19.42</v>
      </c>
      <c r="DI784" s="2" t="n">
        <v>0</v>
      </c>
      <c r="DJ784" s="2" t="n">
        <v>36.24</v>
      </c>
      <c r="DK784" s="2" t="n">
        <v>34.63</v>
      </c>
      <c r="DL784" s="2" t="n">
        <v>0</v>
      </c>
      <c r="DM784" s="2" t="n">
        <v>49.88</v>
      </c>
      <c r="DN784" s="2" t="n">
        <v>45.53</v>
      </c>
      <c r="DO784" s="2" t="n">
        <v>0</v>
      </c>
      <c r="DP784" s="2" t="n">
        <v>62.32</v>
      </c>
      <c r="DQ784" s="2" t="n">
        <v>57.15</v>
      </c>
      <c r="DR784" s="2" t="n">
        <v>0</v>
      </c>
      <c r="DS784" s="2" t="n">
        <v>67.17</v>
      </c>
      <c r="DT784" s="2" t="n">
        <v>66.77</v>
      </c>
      <c r="DU784" s="2" t="n">
        <v>0</v>
      </c>
      <c r="DV784" s="2" t="n">
        <v>75.76000000000001</v>
      </c>
      <c r="DW784" s="2" t="n">
        <v>74.14</v>
      </c>
      <c r="DX784" s="2" t="n">
        <v>0</v>
      </c>
      <c r="DY784" s="2" t="n">
        <v>83.03</v>
      </c>
      <c r="DZ784" s="2" t="n">
        <v>81.42</v>
      </c>
      <c r="EA784" s="2" t="n">
        <v>0</v>
      </c>
      <c r="EB784" s="2" t="n">
        <v>92.73</v>
      </c>
      <c r="EC784" s="2" t="n">
        <v>88.28</v>
      </c>
      <c r="ED784" s="2" t="n">
        <v>0</v>
      </c>
      <c r="EE784" s="2" t="n">
        <v>100</v>
      </c>
      <c r="EF784" s="2" t="n">
        <v>94.75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  <c r="ET784" s="2" t="n">
        <v>100</v>
      </c>
      <c r="EU784" s="2" t="n">
        <v>100</v>
      </c>
      <c r="EV784" s="2" t="n">
        <v>0</v>
      </c>
      <c r="EW784" s="2" t="n">
        <v>100</v>
      </c>
      <c r="EX784" s="2" t="n">
        <v>100</v>
      </c>
      <c r="EY784" s="2" t="n">
        <v>0</v>
      </c>
      <c r="EZ784" s="2" t="n">
        <v>100</v>
      </c>
      <c r="FA784" s="2" t="n">
        <v>100</v>
      </c>
      <c r="FB784" s="2" t="n">
        <v>0</v>
      </c>
      <c r="FC784" s="2" t="n">
        <v>100</v>
      </c>
      <c r="FD784" s="2" t="n">
        <v>100</v>
      </c>
      <c r="FE784" s="2" t="n">
        <v>0</v>
      </c>
      <c r="FF784" s="2" t="n">
        <v>100</v>
      </c>
      <c r="FG784" s="2" t="n">
        <v>100</v>
      </c>
      <c r="FH784" s="2" t="n">
        <v>0</v>
      </c>
      <c r="FI784" s="2" t="n">
        <v>100</v>
      </c>
      <c r="FJ784" s="2" t="n">
        <v>100</v>
      </c>
      <c r="FK784" s="2" t="n">
        <v>0</v>
      </c>
      <c r="FL784" s="2" t="n">
        <v>100</v>
      </c>
      <c r="FM784" s="2" t="n">
        <v>100</v>
      </c>
      <c r="FN784" s="2" t="n">
        <v>0</v>
      </c>
      <c r="FO784" s="2" t="n">
        <v>100</v>
      </c>
      <c r="FP784" s="2" t="n">
        <v>100</v>
      </c>
      <c r="FQ784" s="2" t="n">
        <v>0</v>
      </c>
    </row>
    <row r="785">
      <c r="A785" s="2" t="n">
        <v>4</v>
      </c>
      <c r="B785" s="2" t="inlineStr">
        <is>
          <t>31.06.04.02</t>
        </is>
      </c>
      <c r="C785" s="2" t="inlineStr">
        <is>
          <t>Testeira de mármore travertino romano resinado h=10cm</t>
        </is>
      </c>
      <c r="D785" s="2" t="inlineStr">
        <is>
          <t>03/03/2027</t>
        </is>
      </c>
      <c r="E785" s="2" t="inlineStr">
        <is>
          <t>24/03/2028</t>
        </is>
      </c>
      <c r="F785" s="2" t="n">
        <v>38833.41794904151</v>
      </c>
      <c r="G785" s="2" t="n">
        <v>0</v>
      </c>
      <c r="H785" s="2" t="n">
        <v>38833.41794904151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0</v>
      </c>
      <c r="CJ785" s="2" t="n">
        <v>0</v>
      </c>
      <c r="CK785" s="2" t="n">
        <v>0</v>
      </c>
      <c r="CL785" s="2" t="n">
        <v>0</v>
      </c>
      <c r="CM785" s="2" t="n">
        <v>0</v>
      </c>
      <c r="CN785" s="2" t="n">
        <v>0</v>
      </c>
      <c r="CO785" s="2" t="n">
        <v>0</v>
      </c>
      <c r="CP785" s="2" t="n">
        <v>0</v>
      </c>
      <c r="CQ785" s="2" t="n">
        <v>0</v>
      </c>
      <c r="CR785" s="2" t="n">
        <v>0</v>
      </c>
      <c r="CS785" s="2" t="n">
        <v>0</v>
      </c>
      <c r="CT785" s="2" t="n">
        <v>0</v>
      </c>
      <c r="CU785" s="2" t="n">
        <v>0.8100000000000001</v>
      </c>
      <c r="CV785" s="2" t="n">
        <v>0</v>
      </c>
      <c r="CW785" s="2" t="n">
        <v>0</v>
      </c>
      <c r="CX785" s="2" t="n">
        <v>8.08</v>
      </c>
      <c r="CY785" s="2" t="n">
        <v>4.04</v>
      </c>
      <c r="CZ785" s="2" t="n">
        <v>0</v>
      </c>
      <c r="DA785" s="2" t="n">
        <v>18.76</v>
      </c>
      <c r="DB785" s="2" t="n">
        <v>13.91</v>
      </c>
      <c r="DC785" s="2" t="n">
        <v>0</v>
      </c>
      <c r="DD785" s="2" t="n">
        <v>18.76</v>
      </c>
      <c r="DE785" s="2" t="n">
        <v>18.76</v>
      </c>
      <c r="DF785" s="2" t="n">
        <v>0</v>
      </c>
      <c r="DG785" s="2" t="n">
        <v>25.05</v>
      </c>
      <c r="DH785" s="2" t="n">
        <v>19.42</v>
      </c>
      <c r="DI785" s="2" t="n">
        <v>0</v>
      </c>
      <c r="DJ785" s="2" t="n">
        <v>36.24</v>
      </c>
      <c r="DK785" s="2" t="n">
        <v>34.63</v>
      </c>
      <c r="DL785" s="2" t="n">
        <v>0</v>
      </c>
      <c r="DM785" s="2" t="n">
        <v>49.88</v>
      </c>
      <c r="DN785" s="2" t="n">
        <v>45.53</v>
      </c>
      <c r="DO785" s="2" t="n">
        <v>0</v>
      </c>
      <c r="DP785" s="2" t="n">
        <v>62.32</v>
      </c>
      <c r="DQ785" s="2" t="n">
        <v>57.15</v>
      </c>
      <c r="DR785" s="2" t="n">
        <v>0</v>
      </c>
      <c r="DS785" s="2" t="n">
        <v>67.17</v>
      </c>
      <c r="DT785" s="2" t="n">
        <v>66.77</v>
      </c>
      <c r="DU785" s="2" t="n">
        <v>0</v>
      </c>
      <c r="DV785" s="2" t="n">
        <v>75.76000000000001</v>
      </c>
      <c r="DW785" s="2" t="n">
        <v>74.14</v>
      </c>
      <c r="DX785" s="2" t="n">
        <v>0</v>
      </c>
      <c r="DY785" s="2" t="n">
        <v>83.03</v>
      </c>
      <c r="DZ785" s="2" t="n">
        <v>81.42</v>
      </c>
      <c r="EA785" s="2" t="n">
        <v>0</v>
      </c>
      <c r="EB785" s="2" t="n">
        <v>92.73</v>
      </c>
      <c r="EC785" s="2" t="n">
        <v>88.28</v>
      </c>
      <c r="ED785" s="2" t="n">
        <v>0</v>
      </c>
      <c r="EE785" s="2" t="n">
        <v>100</v>
      </c>
      <c r="EF785" s="2" t="n">
        <v>94.75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  <c r="ET785" s="2" t="n">
        <v>100</v>
      </c>
      <c r="EU785" s="2" t="n">
        <v>100</v>
      </c>
      <c r="EV785" s="2" t="n">
        <v>0</v>
      </c>
      <c r="EW785" s="2" t="n">
        <v>100</v>
      </c>
      <c r="EX785" s="2" t="n">
        <v>100</v>
      </c>
      <c r="EY785" s="2" t="n">
        <v>0</v>
      </c>
      <c r="EZ785" s="2" t="n">
        <v>100</v>
      </c>
      <c r="FA785" s="2" t="n">
        <v>100</v>
      </c>
      <c r="FB785" s="2" t="n">
        <v>0</v>
      </c>
      <c r="FC785" s="2" t="n">
        <v>100</v>
      </c>
      <c r="FD785" s="2" t="n">
        <v>100</v>
      </c>
      <c r="FE785" s="2" t="n">
        <v>0</v>
      </c>
      <c r="FF785" s="2" t="n">
        <v>100</v>
      </c>
      <c r="FG785" s="2" t="n">
        <v>100</v>
      </c>
      <c r="FH785" s="2" t="n">
        <v>0</v>
      </c>
      <c r="FI785" s="2" t="n">
        <v>100</v>
      </c>
      <c r="FJ785" s="2" t="n">
        <v>100</v>
      </c>
      <c r="FK785" s="2" t="n">
        <v>0</v>
      </c>
      <c r="FL785" s="2" t="n">
        <v>100</v>
      </c>
      <c r="FM785" s="2" t="n">
        <v>100</v>
      </c>
      <c r="FN785" s="2" t="n">
        <v>0</v>
      </c>
      <c r="FO785" s="2" t="n">
        <v>100</v>
      </c>
      <c r="FP785" s="2" t="n">
        <v>100</v>
      </c>
      <c r="FQ785" s="2" t="n">
        <v>0</v>
      </c>
    </row>
    <row r="786">
      <c r="A786" s="2" t="n">
        <v>4</v>
      </c>
      <c r="B786" s="2" t="inlineStr">
        <is>
          <t>31.06.04.03</t>
        </is>
      </c>
      <c r="C786" s="2" t="inlineStr">
        <is>
          <t>Rodabanca de mármore travertino romano resinado h=10cm</t>
        </is>
      </c>
      <c r="D786" s="2" t="inlineStr">
        <is>
          <t>03/03/2027</t>
        </is>
      </c>
      <c r="E786" s="2" t="inlineStr">
        <is>
          <t>24/03/2028</t>
        </is>
      </c>
      <c r="F786" s="2" t="n">
        <v>52130.33592173721</v>
      </c>
      <c r="G786" s="2" t="n">
        <v>0</v>
      </c>
      <c r="H786" s="2" t="n">
        <v>52130.33592173721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0</v>
      </c>
      <c r="CJ786" s="2" t="n">
        <v>0</v>
      </c>
      <c r="CK786" s="2" t="n">
        <v>0</v>
      </c>
      <c r="CL786" s="2" t="n">
        <v>0</v>
      </c>
      <c r="CM786" s="2" t="n">
        <v>0</v>
      </c>
      <c r="CN786" s="2" t="n">
        <v>0</v>
      </c>
      <c r="CO786" s="2" t="n">
        <v>0</v>
      </c>
      <c r="CP786" s="2" t="n">
        <v>0</v>
      </c>
      <c r="CQ786" s="2" t="n">
        <v>0</v>
      </c>
      <c r="CR786" s="2" t="n">
        <v>0</v>
      </c>
      <c r="CS786" s="2" t="n">
        <v>0</v>
      </c>
      <c r="CT786" s="2" t="n">
        <v>0</v>
      </c>
      <c r="CU786" s="2" t="n">
        <v>0.8100000000000001</v>
      </c>
      <c r="CV786" s="2" t="n">
        <v>0</v>
      </c>
      <c r="CW786" s="2" t="n">
        <v>0</v>
      </c>
      <c r="CX786" s="2" t="n">
        <v>8.08</v>
      </c>
      <c r="CY786" s="2" t="n">
        <v>4.04</v>
      </c>
      <c r="CZ786" s="2" t="n">
        <v>0</v>
      </c>
      <c r="DA786" s="2" t="n">
        <v>18.76</v>
      </c>
      <c r="DB786" s="2" t="n">
        <v>13.91</v>
      </c>
      <c r="DC786" s="2" t="n">
        <v>0</v>
      </c>
      <c r="DD786" s="2" t="n">
        <v>18.76</v>
      </c>
      <c r="DE786" s="2" t="n">
        <v>18.76</v>
      </c>
      <c r="DF786" s="2" t="n">
        <v>0</v>
      </c>
      <c r="DG786" s="2" t="n">
        <v>25.05</v>
      </c>
      <c r="DH786" s="2" t="n">
        <v>19.42</v>
      </c>
      <c r="DI786" s="2" t="n">
        <v>0</v>
      </c>
      <c r="DJ786" s="2" t="n">
        <v>36.24</v>
      </c>
      <c r="DK786" s="2" t="n">
        <v>34.63</v>
      </c>
      <c r="DL786" s="2" t="n">
        <v>0</v>
      </c>
      <c r="DM786" s="2" t="n">
        <v>49.88</v>
      </c>
      <c r="DN786" s="2" t="n">
        <v>45.53</v>
      </c>
      <c r="DO786" s="2" t="n">
        <v>0</v>
      </c>
      <c r="DP786" s="2" t="n">
        <v>62.32</v>
      </c>
      <c r="DQ786" s="2" t="n">
        <v>57.15</v>
      </c>
      <c r="DR786" s="2" t="n">
        <v>0</v>
      </c>
      <c r="DS786" s="2" t="n">
        <v>67.17</v>
      </c>
      <c r="DT786" s="2" t="n">
        <v>66.77</v>
      </c>
      <c r="DU786" s="2" t="n">
        <v>0</v>
      </c>
      <c r="DV786" s="2" t="n">
        <v>75.76000000000001</v>
      </c>
      <c r="DW786" s="2" t="n">
        <v>74.14</v>
      </c>
      <c r="DX786" s="2" t="n">
        <v>0</v>
      </c>
      <c r="DY786" s="2" t="n">
        <v>83.03</v>
      </c>
      <c r="DZ786" s="2" t="n">
        <v>81.42</v>
      </c>
      <c r="EA786" s="2" t="n">
        <v>0</v>
      </c>
      <c r="EB786" s="2" t="n">
        <v>92.73</v>
      </c>
      <c r="EC786" s="2" t="n">
        <v>88.28</v>
      </c>
      <c r="ED786" s="2" t="n">
        <v>0</v>
      </c>
      <c r="EE786" s="2" t="n">
        <v>100</v>
      </c>
      <c r="EF786" s="2" t="n">
        <v>94.75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  <c r="ET786" s="2" t="n">
        <v>100</v>
      </c>
      <c r="EU786" s="2" t="n">
        <v>100</v>
      </c>
      <c r="EV786" s="2" t="n">
        <v>0</v>
      </c>
      <c r="EW786" s="2" t="n">
        <v>100</v>
      </c>
      <c r="EX786" s="2" t="n">
        <v>100</v>
      </c>
      <c r="EY786" s="2" t="n">
        <v>0</v>
      </c>
      <c r="EZ786" s="2" t="n">
        <v>100</v>
      </c>
      <c r="FA786" s="2" t="n">
        <v>100</v>
      </c>
      <c r="FB786" s="2" t="n">
        <v>0</v>
      </c>
      <c r="FC786" s="2" t="n">
        <v>100</v>
      </c>
      <c r="FD786" s="2" t="n">
        <v>100</v>
      </c>
      <c r="FE786" s="2" t="n">
        <v>0</v>
      </c>
      <c r="FF786" s="2" t="n">
        <v>100</v>
      </c>
      <c r="FG786" s="2" t="n">
        <v>100</v>
      </c>
      <c r="FH786" s="2" t="n">
        <v>0</v>
      </c>
      <c r="FI786" s="2" t="n">
        <v>100</v>
      </c>
      <c r="FJ786" s="2" t="n">
        <v>100</v>
      </c>
      <c r="FK786" s="2" t="n">
        <v>0</v>
      </c>
      <c r="FL786" s="2" t="n">
        <v>100</v>
      </c>
      <c r="FM786" s="2" t="n">
        <v>100</v>
      </c>
      <c r="FN786" s="2" t="n">
        <v>0</v>
      </c>
      <c r="FO786" s="2" t="n">
        <v>100</v>
      </c>
      <c r="FP786" s="2" t="n">
        <v>100</v>
      </c>
      <c r="FQ786" s="2" t="n">
        <v>0</v>
      </c>
    </row>
    <row r="787">
      <c r="A787" s="2" t="n">
        <v>4</v>
      </c>
      <c r="B787" s="2" t="inlineStr">
        <is>
          <t>31.06.04.04</t>
        </is>
      </c>
      <c r="C787" s="2" t="inlineStr">
        <is>
          <t>Furo e colagem de bojo</t>
        </is>
      </c>
      <c r="D787" s="2" t="inlineStr">
        <is>
          <t>03/03/2027</t>
        </is>
      </c>
      <c r="E787" s="2" t="inlineStr">
        <is>
          <t>24/03/2028</t>
        </is>
      </c>
      <c r="F787" s="2" t="n">
        <v>4950</v>
      </c>
      <c r="G787" s="2" t="n">
        <v>0</v>
      </c>
      <c r="H787" s="2" t="n">
        <v>4950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0</v>
      </c>
      <c r="CJ787" s="2" t="n">
        <v>0</v>
      </c>
      <c r="CK787" s="2" t="n">
        <v>0</v>
      </c>
      <c r="CL787" s="2" t="n">
        <v>0</v>
      </c>
      <c r="CM787" s="2" t="n">
        <v>0</v>
      </c>
      <c r="CN787" s="2" t="n">
        <v>0</v>
      </c>
      <c r="CO787" s="2" t="n">
        <v>0</v>
      </c>
      <c r="CP787" s="2" t="n">
        <v>0</v>
      </c>
      <c r="CQ787" s="2" t="n">
        <v>0</v>
      </c>
      <c r="CR787" s="2" t="n">
        <v>0</v>
      </c>
      <c r="CS787" s="2" t="n">
        <v>0</v>
      </c>
      <c r="CT787" s="2" t="n">
        <v>0</v>
      </c>
      <c r="CU787" s="2" t="n">
        <v>0.8100000000000001</v>
      </c>
      <c r="CV787" s="2" t="n">
        <v>0</v>
      </c>
      <c r="CW787" s="2" t="n">
        <v>0</v>
      </c>
      <c r="CX787" s="2" t="n">
        <v>8.08</v>
      </c>
      <c r="CY787" s="2" t="n">
        <v>4.04</v>
      </c>
      <c r="CZ787" s="2" t="n">
        <v>0</v>
      </c>
      <c r="DA787" s="2" t="n">
        <v>18.76</v>
      </c>
      <c r="DB787" s="2" t="n">
        <v>13.91</v>
      </c>
      <c r="DC787" s="2" t="n">
        <v>0</v>
      </c>
      <c r="DD787" s="2" t="n">
        <v>18.76</v>
      </c>
      <c r="DE787" s="2" t="n">
        <v>18.76</v>
      </c>
      <c r="DF787" s="2" t="n">
        <v>0</v>
      </c>
      <c r="DG787" s="2" t="n">
        <v>25.05</v>
      </c>
      <c r="DH787" s="2" t="n">
        <v>19.42</v>
      </c>
      <c r="DI787" s="2" t="n">
        <v>0</v>
      </c>
      <c r="DJ787" s="2" t="n">
        <v>36.24</v>
      </c>
      <c r="DK787" s="2" t="n">
        <v>34.63</v>
      </c>
      <c r="DL787" s="2" t="n">
        <v>0</v>
      </c>
      <c r="DM787" s="2" t="n">
        <v>49.88</v>
      </c>
      <c r="DN787" s="2" t="n">
        <v>45.53</v>
      </c>
      <c r="DO787" s="2" t="n">
        <v>0</v>
      </c>
      <c r="DP787" s="2" t="n">
        <v>62.32</v>
      </c>
      <c r="DQ787" s="2" t="n">
        <v>57.15</v>
      </c>
      <c r="DR787" s="2" t="n">
        <v>0</v>
      </c>
      <c r="DS787" s="2" t="n">
        <v>67.17</v>
      </c>
      <c r="DT787" s="2" t="n">
        <v>66.77</v>
      </c>
      <c r="DU787" s="2" t="n">
        <v>0</v>
      </c>
      <c r="DV787" s="2" t="n">
        <v>75.76000000000001</v>
      </c>
      <c r="DW787" s="2" t="n">
        <v>74.14</v>
      </c>
      <c r="DX787" s="2" t="n">
        <v>0</v>
      </c>
      <c r="DY787" s="2" t="n">
        <v>83.03</v>
      </c>
      <c r="DZ787" s="2" t="n">
        <v>81.42</v>
      </c>
      <c r="EA787" s="2" t="n">
        <v>0</v>
      </c>
      <c r="EB787" s="2" t="n">
        <v>92.73</v>
      </c>
      <c r="EC787" s="2" t="n">
        <v>88.28</v>
      </c>
      <c r="ED787" s="2" t="n">
        <v>0</v>
      </c>
      <c r="EE787" s="2" t="n">
        <v>100</v>
      </c>
      <c r="EF787" s="2" t="n">
        <v>94.75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  <c r="ET787" s="2" t="n">
        <v>100</v>
      </c>
      <c r="EU787" s="2" t="n">
        <v>100</v>
      </c>
      <c r="EV787" s="2" t="n">
        <v>0</v>
      </c>
      <c r="EW787" s="2" t="n">
        <v>100</v>
      </c>
      <c r="EX787" s="2" t="n">
        <v>100</v>
      </c>
      <c r="EY787" s="2" t="n">
        <v>0</v>
      </c>
      <c r="EZ787" s="2" t="n">
        <v>100</v>
      </c>
      <c r="FA787" s="2" t="n">
        <v>100</v>
      </c>
      <c r="FB787" s="2" t="n">
        <v>0</v>
      </c>
      <c r="FC787" s="2" t="n">
        <v>100</v>
      </c>
      <c r="FD787" s="2" t="n">
        <v>100</v>
      </c>
      <c r="FE787" s="2" t="n">
        <v>0</v>
      </c>
      <c r="FF787" s="2" t="n">
        <v>100</v>
      </c>
      <c r="FG787" s="2" t="n">
        <v>100</v>
      </c>
      <c r="FH787" s="2" t="n">
        <v>0</v>
      </c>
      <c r="FI787" s="2" t="n">
        <v>100</v>
      </c>
      <c r="FJ787" s="2" t="n">
        <v>100</v>
      </c>
      <c r="FK787" s="2" t="n">
        <v>0</v>
      </c>
      <c r="FL787" s="2" t="n">
        <v>100</v>
      </c>
      <c r="FM787" s="2" t="n">
        <v>100</v>
      </c>
      <c r="FN787" s="2" t="n">
        <v>0</v>
      </c>
      <c r="FO787" s="2" t="n">
        <v>100</v>
      </c>
      <c r="FP787" s="2" t="n">
        <v>100</v>
      </c>
      <c r="FQ787" s="2" t="n">
        <v>0</v>
      </c>
    </row>
    <row r="788">
      <c r="A788" s="2" t="n">
        <v>4</v>
      </c>
      <c r="B788" s="2" t="inlineStr">
        <is>
          <t>31.06.04.05</t>
        </is>
      </c>
      <c r="C788" s="2" t="inlineStr">
        <is>
          <t>Mãos francesas para bancadas</t>
        </is>
      </c>
      <c r="D788" s="2" t="inlineStr">
        <is>
          <t>03/03/2027</t>
        </is>
      </c>
      <c r="E788" s="2" t="inlineStr">
        <is>
          <t>24/03/2028</t>
        </is>
      </c>
      <c r="F788" s="2" t="n">
        <v>5500</v>
      </c>
      <c r="G788" s="2" t="n">
        <v>0</v>
      </c>
      <c r="H788" s="2" t="n">
        <v>5500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0</v>
      </c>
      <c r="CJ788" s="2" t="n">
        <v>0</v>
      </c>
      <c r="CK788" s="2" t="n">
        <v>0</v>
      </c>
      <c r="CL788" s="2" t="n">
        <v>0</v>
      </c>
      <c r="CM788" s="2" t="n">
        <v>0</v>
      </c>
      <c r="CN788" s="2" t="n">
        <v>0</v>
      </c>
      <c r="CO788" s="2" t="n">
        <v>0</v>
      </c>
      <c r="CP788" s="2" t="n">
        <v>0</v>
      </c>
      <c r="CQ788" s="2" t="n">
        <v>0</v>
      </c>
      <c r="CR788" s="2" t="n">
        <v>0</v>
      </c>
      <c r="CS788" s="2" t="n">
        <v>0</v>
      </c>
      <c r="CT788" s="2" t="n">
        <v>0</v>
      </c>
      <c r="CU788" s="2" t="n">
        <v>0.8100000000000001</v>
      </c>
      <c r="CV788" s="2" t="n">
        <v>0</v>
      </c>
      <c r="CW788" s="2" t="n">
        <v>0</v>
      </c>
      <c r="CX788" s="2" t="n">
        <v>8.08</v>
      </c>
      <c r="CY788" s="2" t="n">
        <v>4.04</v>
      </c>
      <c r="CZ788" s="2" t="n">
        <v>0</v>
      </c>
      <c r="DA788" s="2" t="n">
        <v>18.76</v>
      </c>
      <c r="DB788" s="2" t="n">
        <v>13.91</v>
      </c>
      <c r="DC788" s="2" t="n">
        <v>0</v>
      </c>
      <c r="DD788" s="2" t="n">
        <v>18.76</v>
      </c>
      <c r="DE788" s="2" t="n">
        <v>18.76</v>
      </c>
      <c r="DF788" s="2" t="n">
        <v>0</v>
      </c>
      <c r="DG788" s="2" t="n">
        <v>25.05</v>
      </c>
      <c r="DH788" s="2" t="n">
        <v>19.42</v>
      </c>
      <c r="DI788" s="2" t="n">
        <v>0</v>
      </c>
      <c r="DJ788" s="2" t="n">
        <v>36.24</v>
      </c>
      <c r="DK788" s="2" t="n">
        <v>34.63</v>
      </c>
      <c r="DL788" s="2" t="n">
        <v>0</v>
      </c>
      <c r="DM788" s="2" t="n">
        <v>49.88</v>
      </c>
      <c r="DN788" s="2" t="n">
        <v>45.53</v>
      </c>
      <c r="DO788" s="2" t="n">
        <v>0</v>
      </c>
      <c r="DP788" s="2" t="n">
        <v>62.32</v>
      </c>
      <c r="DQ788" s="2" t="n">
        <v>57.15</v>
      </c>
      <c r="DR788" s="2" t="n">
        <v>0</v>
      </c>
      <c r="DS788" s="2" t="n">
        <v>67.17</v>
      </c>
      <c r="DT788" s="2" t="n">
        <v>66.77</v>
      </c>
      <c r="DU788" s="2" t="n">
        <v>0</v>
      </c>
      <c r="DV788" s="2" t="n">
        <v>75.76000000000001</v>
      </c>
      <c r="DW788" s="2" t="n">
        <v>74.14</v>
      </c>
      <c r="DX788" s="2" t="n">
        <v>0</v>
      </c>
      <c r="DY788" s="2" t="n">
        <v>83.03</v>
      </c>
      <c r="DZ788" s="2" t="n">
        <v>81.42</v>
      </c>
      <c r="EA788" s="2" t="n">
        <v>0</v>
      </c>
      <c r="EB788" s="2" t="n">
        <v>92.73</v>
      </c>
      <c r="EC788" s="2" t="n">
        <v>88.28</v>
      </c>
      <c r="ED788" s="2" t="n">
        <v>0</v>
      </c>
      <c r="EE788" s="2" t="n">
        <v>100</v>
      </c>
      <c r="EF788" s="2" t="n">
        <v>94.75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  <c r="ET788" s="2" t="n">
        <v>100</v>
      </c>
      <c r="EU788" s="2" t="n">
        <v>100</v>
      </c>
      <c r="EV788" s="2" t="n">
        <v>0</v>
      </c>
      <c r="EW788" s="2" t="n">
        <v>100</v>
      </c>
      <c r="EX788" s="2" t="n">
        <v>100</v>
      </c>
      <c r="EY788" s="2" t="n">
        <v>0</v>
      </c>
      <c r="EZ788" s="2" t="n">
        <v>100</v>
      </c>
      <c r="FA788" s="2" t="n">
        <v>100</v>
      </c>
      <c r="FB788" s="2" t="n">
        <v>0</v>
      </c>
      <c r="FC788" s="2" t="n">
        <v>100</v>
      </c>
      <c r="FD788" s="2" t="n">
        <v>100</v>
      </c>
      <c r="FE788" s="2" t="n">
        <v>0</v>
      </c>
      <c r="FF788" s="2" t="n">
        <v>100</v>
      </c>
      <c r="FG788" s="2" t="n">
        <v>100</v>
      </c>
      <c r="FH788" s="2" t="n">
        <v>0</v>
      </c>
      <c r="FI788" s="2" t="n">
        <v>100</v>
      </c>
      <c r="FJ788" s="2" t="n">
        <v>100</v>
      </c>
      <c r="FK788" s="2" t="n">
        <v>0</v>
      </c>
      <c r="FL788" s="2" t="n">
        <v>100</v>
      </c>
      <c r="FM788" s="2" t="n">
        <v>100</v>
      </c>
      <c r="FN788" s="2" t="n">
        <v>0</v>
      </c>
      <c r="FO788" s="2" t="n">
        <v>100</v>
      </c>
      <c r="FP788" s="2" t="n">
        <v>100</v>
      </c>
      <c r="FQ788" s="2" t="n">
        <v>0</v>
      </c>
    </row>
    <row r="789">
      <c r="A789" s="2" t="n">
        <v>4</v>
      </c>
      <c r="B789" s="2" t="inlineStr">
        <is>
          <t>31.06.04.06</t>
        </is>
      </c>
      <c r="C789" s="2" t="inlineStr">
        <is>
          <t>Proteção de bancadas contra manuseio de obra</t>
        </is>
      </c>
      <c r="D789" s="2" t="inlineStr">
        <is>
          <t>03/03/2027</t>
        </is>
      </c>
      <c r="E789" s="2" t="inlineStr">
        <is>
          <t>24/03/2028</t>
        </is>
      </c>
      <c r="F789" s="2" t="n">
        <v>1855.214902555851</v>
      </c>
      <c r="G789" s="2" t="n">
        <v>0</v>
      </c>
      <c r="H789" s="2" t="n">
        <v>1855.214902555851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0</v>
      </c>
      <c r="CJ789" s="2" t="n">
        <v>0</v>
      </c>
      <c r="CK789" s="2" t="n">
        <v>0</v>
      </c>
      <c r="CL789" s="2" t="n">
        <v>0</v>
      </c>
      <c r="CM789" s="2" t="n">
        <v>0</v>
      </c>
      <c r="CN789" s="2" t="n">
        <v>0</v>
      </c>
      <c r="CO789" s="2" t="n">
        <v>0</v>
      </c>
      <c r="CP789" s="2" t="n">
        <v>0</v>
      </c>
      <c r="CQ789" s="2" t="n">
        <v>0</v>
      </c>
      <c r="CR789" s="2" t="n">
        <v>0</v>
      </c>
      <c r="CS789" s="2" t="n">
        <v>0</v>
      </c>
      <c r="CT789" s="2" t="n">
        <v>0</v>
      </c>
      <c r="CU789" s="2" t="n">
        <v>0.8100000000000001</v>
      </c>
      <c r="CV789" s="2" t="n">
        <v>0</v>
      </c>
      <c r="CW789" s="2" t="n">
        <v>0</v>
      </c>
      <c r="CX789" s="2" t="n">
        <v>8.08</v>
      </c>
      <c r="CY789" s="2" t="n">
        <v>4.04</v>
      </c>
      <c r="CZ789" s="2" t="n">
        <v>0</v>
      </c>
      <c r="DA789" s="2" t="n">
        <v>18.76</v>
      </c>
      <c r="DB789" s="2" t="n">
        <v>13.91</v>
      </c>
      <c r="DC789" s="2" t="n">
        <v>0</v>
      </c>
      <c r="DD789" s="2" t="n">
        <v>18.76</v>
      </c>
      <c r="DE789" s="2" t="n">
        <v>18.76</v>
      </c>
      <c r="DF789" s="2" t="n">
        <v>0</v>
      </c>
      <c r="DG789" s="2" t="n">
        <v>25.05</v>
      </c>
      <c r="DH789" s="2" t="n">
        <v>19.42</v>
      </c>
      <c r="DI789" s="2" t="n">
        <v>0</v>
      </c>
      <c r="DJ789" s="2" t="n">
        <v>36.24</v>
      </c>
      <c r="DK789" s="2" t="n">
        <v>34.63</v>
      </c>
      <c r="DL789" s="2" t="n">
        <v>0</v>
      </c>
      <c r="DM789" s="2" t="n">
        <v>49.88</v>
      </c>
      <c r="DN789" s="2" t="n">
        <v>45.53</v>
      </c>
      <c r="DO789" s="2" t="n">
        <v>0</v>
      </c>
      <c r="DP789" s="2" t="n">
        <v>62.32</v>
      </c>
      <c r="DQ789" s="2" t="n">
        <v>57.15</v>
      </c>
      <c r="DR789" s="2" t="n">
        <v>0</v>
      </c>
      <c r="DS789" s="2" t="n">
        <v>67.17</v>
      </c>
      <c r="DT789" s="2" t="n">
        <v>66.77</v>
      </c>
      <c r="DU789" s="2" t="n">
        <v>0</v>
      </c>
      <c r="DV789" s="2" t="n">
        <v>75.76000000000001</v>
      </c>
      <c r="DW789" s="2" t="n">
        <v>74.14</v>
      </c>
      <c r="DX789" s="2" t="n">
        <v>0</v>
      </c>
      <c r="DY789" s="2" t="n">
        <v>83.03</v>
      </c>
      <c r="DZ789" s="2" t="n">
        <v>81.42</v>
      </c>
      <c r="EA789" s="2" t="n">
        <v>0</v>
      </c>
      <c r="EB789" s="2" t="n">
        <v>92.73</v>
      </c>
      <c r="EC789" s="2" t="n">
        <v>88.28</v>
      </c>
      <c r="ED789" s="2" t="n">
        <v>0</v>
      </c>
      <c r="EE789" s="2" t="n">
        <v>100</v>
      </c>
      <c r="EF789" s="2" t="n">
        <v>94.75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  <c r="ET789" s="2" t="n">
        <v>100</v>
      </c>
      <c r="EU789" s="2" t="n">
        <v>100</v>
      </c>
      <c r="EV789" s="2" t="n">
        <v>0</v>
      </c>
      <c r="EW789" s="2" t="n">
        <v>100</v>
      </c>
      <c r="EX789" s="2" t="n">
        <v>100</v>
      </c>
      <c r="EY789" s="2" t="n">
        <v>0</v>
      </c>
      <c r="EZ789" s="2" t="n">
        <v>100</v>
      </c>
      <c r="FA789" s="2" t="n">
        <v>100</v>
      </c>
      <c r="FB789" s="2" t="n">
        <v>0</v>
      </c>
      <c r="FC789" s="2" t="n">
        <v>100</v>
      </c>
      <c r="FD789" s="2" t="n">
        <v>100</v>
      </c>
      <c r="FE789" s="2" t="n">
        <v>0</v>
      </c>
      <c r="FF789" s="2" t="n">
        <v>100</v>
      </c>
      <c r="FG789" s="2" t="n">
        <v>100</v>
      </c>
      <c r="FH789" s="2" t="n">
        <v>0</v>
      </c>
      <c r="FI789" s="2" t="n">
        <v>100</v>
      </c>
      <c r="FJ789" s="2" t="n">
        <v>100</v>
      </c>
      <c r="FK789" s="2" t="n">
        <v>0</v>
      </c>
      <c r="FL789" s="2" t="n">
        <v>100</v>
      </c>
      <c r="FM789" s="2" t="n">
        <v>100</v>
      </c>
      <c r="FN789" s="2" t="n">
        <v>0</v>
      </c>
      <c r="FO789" s="2" t="n">
        <v>100</v>
      </c>
      <c r="FP789" s="2" t="n">
        <v>100</v>
      </c>
      <c r="FQ789" s="2" t="n">
        <v>0</v>
      </c>
    </row>
    <row r="790">
      <c r="A790" s="2" t="n">
        <v>3</v>
      </c>
      <c r="B790" s="2" t="inlineStr">
        <is>
          <t>31.06.05</t>
        </is>
      </c>
      <c r="C790" s="2" t="inlineStr">
        <is>
          <t>Bancada em granito Preto São Gabriel escovado</t>
        </is>
      </c>
      <c r="D790" s="2" t="inlineStr">
        <is>
          <t>03/03/2027</t>
        </is>
      </c>
      <c r="E790" s="2" t="inlineStr">
        <is>
          <t>24/03/2028</t>
        </is>
      </c>
      <c r="F790" s="2" t="n">
        <v>16300.58331496276</v>
      </c>
      <c r="G790" s="2" t="n">
        <v>0</v>
      </c>
      <c r="H790" s="2" t="n">
        <v>16300.58331496276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0</v>
      </c>
      <c r="CM790" s="2" t="n">
        <v>0</v>
      </c>
      <c r="CN790" s="2" t="n">
        <v>0</v>
      </c>
      <c r="CO790" s="2" t="n">
        <v>0</v>
      </c>
      <c r="CP790" s="2" t="n">
        <v>0</v>
      </c>
      <c r="CQ790" s="2" t="n">
        <v>0</v>
      </c>
      <c r="CR790" s="2" t="n">
        <v>0</v>
      </c>
      <c r="CS790" s="2" t="n">
        <v>0</v>
      </c>
      <c r="CT790" s="2" t="n">
        <v>0</v>
      </c>
      <c r="CU790" s="2" t="n">
        <v>0.8100000000000001</v>
      </c>
      <c r="CV790" s="2" t="n">
        <v>0</v>
      </c>
      <c r="CW790" s="2" t="n">
        <v>0</v>
      </c>
      <c r="CX790" s="2" t="n">
        <v>8.08</v>
      </c>
      <c r="CY790" s="2" t="n">
        <v>4.04</v>
      </c>
      <c r="CZ790" s="2" t="n">
        <v>0</v>
      </c>
      <c r="DA790" s="2" t="n">
        <v>18.76</v>
      </c>
      <c r="DB790" s="2" t="n">
        <v>13.91</v>
      </c>
      <c r="DC790" s="2" t="n">
        <v>0</v>
      </c>
      <c r="DD790" s="2" t="n">
        <v>18.76</v>
      </c>
      <c r="DE790" s="2" t="n">
        <v>18.76</v>
      </c>
      <c r="DF790" s="2" t="n">
        <v>0</v>
      </c>
      <c r="DG790" s="2" t="n">
        <v>25.05</v>
      </c>
      <c r="DH790" s="2" t="n">
        <v>19.42</v>
      </c>
      <c r="DI790" s="2" t="n">
        <v>0</v>
      </c>
      <c r="DJ790" s="2" t="n">
        <v>36.24</v>
      </c>
      <c r="DK790" s="2" t="n">
        <v>34.63</v>
      </c>
      <c r="DL790" s="2" t="n">
        <v>0</v>
      </c>
      <c r="DM790" s="2" t="n">
        <v>49.88</v>
      </c>
      <c r="DN790" s="2" t="n">
        <v>45.53</v>
      </c>
      <c r="DO790" s="2" t="n">
        <v>0</v>
      </c>
      <c r="DP790" s="2" t="n">
        <v>62.32</v>
      </c>
      <c r="DQ790" s="2" t="n">
        <v>57.15</v>
      </c>
      <c r="DR790" s="2" t="n">
        <v>0</v>
      </c>
      <c r="DS790" s="2" t="n">
        <v>67.17</v>
      </c>
      <c r="DT790" s="2" t="n">
        <v>66.77</v>
      </c>
      <c r="DU790" s="2" t="n">
        <v>0</v>
      </c>
      <c r="DV790" s="2" t="n">
        <v>75.76000000000001</v>
      </c>
      <c r="DW790" s="2" t="n">
        <v>74.14</v>
      </c>
      <c r="DX790" s="2" t="n">
        <v>0</v>
      </c>
      <c r="DY790" s="2" t="n">
        <v>83.03</v>
      </c>
      <c r="DZ790" s="2" t="n">
        <v>81.42</v>
      </c>
      <c r="EA790" s="2" t="n">
        <v>0</v>
      </c>
      <c r="EB790" s="2" t="n">
        <v>92.73</v>
      </c>
      <c r="EC790" s="2" t="n">
        <v>88.28</v>
      </c>
      <c r="ED790" s="2" t="n">
        <v>0</v>
      </c>
      <c r="EE790" s="2" t="n">
        <v>100</v>
      </c>
      <c r="EF790" s="2" t="n">
        <v>94.75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  <c r="ET790" s="2" t="n">
        <v>100</v>
      </c>
      <c r="EU790" s="2" t="n">
        <v>100</v>
      </c>
      <c r="EV790" s="2" t="n">
        <v>0</v>
      </c>
      <c r="EW790" s="2" t="n">
        <v>100</v>
      </c>
      <c r="EX790" s="2" t="n">
        <v>100</v>
      </c>
      <c r="EY790" s="2" t="n">
        <v>0</v>
      </c>
      <c r="EZ790" s="2" t="n">
        <v>100</v>
      </c>
      <c r="FA790" s="2" t="n">
        <v>100</v>
      </c>
      <c r="FB790" s="2" t="n">
        <v>0</v>
      </c>
      <c r="FC790" s="2" t="n">
        <v>100</v>
      </c>
      <c r="FD790" s="2" t="n">
        <v>100</v>
      </c>
      <c r="FE790" s="2" t="n">
        <v>0</v>
      </c>
      <c r="FF790" s="2" t="n">
        <v>100</v>
      </c>
      <c r="FG790" s="2" t="n">
        <v>100</v>
      </c>
      <c r="FH790" s="2" t="n">
        <v>0</v>
      </c>
      <c r="FI790" s="2" t="n">
        <v>100</v>
      </c>
      <c r="FJ790" s="2" t="n">
        <v>100</v>
      </c>
      <c r="FK790" s="2" t="n">
        <v>0</v>
      </c>
      <c r="FL790" s="2" t="n">
        <v>100</v>
      </c>
      <c r="FM790" s="2" t="n">
        <v>100</v>
      </c>
      <c r="FN790" s="2" t="n">
        <v>0</v>
      </c>
      <c r="FO790" s="2" t="n">
        <v>100</v>
      </c>
      <c r="FP790" s="2" t="n">
        <v>100</v>
      </c>
      <c r="FQ790" s="2" t="n">
        <v>0</v>
      </c>
    </row>
    <row r="791">
      <c r="A791" s="2" t="n">
        <v>4</v>
      </c>
      <c r="B791" s="2" t="inlineStr">
        <is>
          <t>31.06.05.01</t>
        </is>
      </c>
      <c r="C791" s="2" t="inlineStr">
        <is>
          <t>Bancada em granito Preto São Gabriel escovado</t>
        </is>
      </c>
      <c r="D791" s="2" t="inlineStr">
        <is>
          <t>03/03/2027</t>
        </is>
      </c>
      <c r="E791" s="2" t="inlineStr">
        <is>
          <t>24/03/2028</t>
        </is>
      </c>
      <c r="F791" s="2" t="n">
        <v>9899.249034235154</v>
      </c>
      <c r="G791" s="2" t="n">
        <v>0</v>
      </c>
      <c r="H791" s="2" t="n">
        <v>9899.249034235154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0</v>
      </c>
      <c r="CM791" s="2" t="n">
        <v>0</v>
      </c>
      <c r="CN791" s="2" t="n">
        <v>0</v>
      </c>
      <c r="CO791" s="2" t="n">
        <v>0</v>
      </c>
      <c r="CP791" s="2" t="n">
        <v>0</v>
      </c>
      <c r="CQ791" s="2" t="n">
        <v>0</v>
      </c>
      <c r="CR791" s="2" t="n">
        <v>0</v>
      </c>
      <c r="CS791" s="2" t="n">
        <v>0</v>
      </c>
      <c r="CT791" s="2" t="n">
        <v>0</v>
      </c>
      <c r="CU791" s="2" t="n">
        <v>0.8100000000000001</v>
      </c>
      <c r="CV791" s="2" t="n">
        <v>0</v>
      </c>
      <c r="CW791" s="2" t="n">
        <v>0</v>
      </c>
      <c r="CX791" s="2" t="n">
        <v>8.08</v>
      </c>
      <c r="CY791" s="2" t="n">
        <v>4.04</v>
      </c>
      <c r="CZ791" s="2" t="n">
        <v>0</v>
      </c>
      <c r="DA791" s="2" t="n">
        <v>18.76</v>
      </c>
      <c r="DB791" s="2" t="n">
        <v>13.91</v>
      </c>
      <c r="DC791" s="2" t="n">
        <v>0</v>
      </c>
      <c r="DD791" s="2" t="n">
        <v>18.76</v>
      </c>
      <c r="DE791" s="2" t="n">
        <v>18.76</v>
      </c>
      <c r="DF791" s="2" t="n">
        <v>0</v>
      </c>
      <c r="DG791" s="2" t="n">
        <v>25.05</v>
      </c>
      <c r="DH791" s="2" t="n">
        <v>19.42</v>
      </c>
      <c r="DI791" s="2" t="n">
        <v>0</v>
      </c>
      <c r="DJ791" s="2" t="n">
        <v>36.24</v>
      </c>
      <c r="DK791" s="2" t="n">
        <v>34.63</v>
      </c>
      <c r="DL791" s="2" t="n">
        <v>0</v>
      </c>
      <c r="DM791" s="2" t="n">
        <v>49.88</v>
      </c>
      <c r="DN791" s="2" t="n">
        <v>45.53</v>
      </c>
      <c r="DO791" s="2" t="n">
        <v>0</v>
      </c>
      <c r="DP791" s="2" t="n">
        <v>62.32</v>
      </c>
      <c r="DQ791" s="2" t="n">
        <v>57.15</v>
      </c>
      <c r="DR791" s="2" t="n">
        <v>0</v>
      </c>
      <c r="DS791" s="2" t="n">
        <v>67.17</v>
      </c>
      <c r="DT791" s="2" t="n">
        <v>66.77</v>
      </c>
      <c r="DU791" s="2" t="n">
        <v>0</v>
      </c>
      <c r="DV791" s="2" t="n">
        <v>75.76000000000001</v>
      </c>
      <c r="DW791" s="2" t="n">
        <v>74.14</v>
      </c>
      <c r="DX791" s="2" t="n">
        <v>0</v>
      </c>
      <c r="DY791" s="2" t="n">
        <v>83.03</v>
      </c>
      <c r="DZ791" s="2" t="n">
        <v>81.42</v>
      </c>
      <c r="EA791" s="2" t="n">
        <v>0</v>
      </c>
      <c r="EB791" s="2" t="n">
        <v>92.73</v>
      </c>
      <c r="EC791" s="2" t="n">
        <v>88.28</v>
      </c>
      <c r="ED791" s="2" t="n">
        <v>0</v>
      </c>
      <c r="EE791" s="2" t="n">
        <v>100</v>
      </c>
      <c r="EF791" s="2" t="n">
        <v>94.75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  <c r="ET791" s="2" t="n">
        <v>100</v>
      </c>
      <c r="EU791" s="2" t="n">
        <v>100</v>
      </c>
      <c r="EV791" s="2" t="n">
        <v>0</v>
      </c>
      <c r="EW791" s="2" t="n">
        <v>100</v>
      </c>
      <c r="EX791" s="2" t="n">
        <v>100</v>
      </c>
      <c r="EY791" s="2" t="n">
        <v>0</v>
      </c>
      <c r="EZ791" s="2" t="n">
        <v>100</v>
      </c>
      <c r="FA791" s="2" t="n">
        <v>100</v>
      </c>
      <c r="FB791" s="2" t="n">
        <v>0</v>
      </c>
      <c r="FC791" s="2" t="n">
        <v>100</v>
      </c>
      <c r="FD791" s="2" t="n">
        <v>100</v>
      </c>
      <c r="FE791" s="2" t="n">
        <v>0</v>
      </c>
      <c r="FF791" s="2" t="n">
        <v>100</v>
      </c>
      <c r="FG791" s="2" t="n">
        <v>100</v>
      </c>
      <c r="FH791" s="2" t="n">
        <v>0</v>
      </c>
      <c r="FI791" s="2" t="n">
        <v>100</v>
      </c>
      <c r="FJ791" s="2" t="n">
        <v>100</v>
      </c>
      <c r="FK791" s="2" t="n">
        <v>0</v>
      </c>
      <c r="FL791" s="2" t="n">
        <v>100</v>
      </c>
      <c r="FM791" s="2" t="n">
        <v>100</v>
      </c>
      <c r="FN791" s="2" t="n">
        <v>0</v>
      </c>
      <c r="FO791" s="2" t="n">
        <v>100</v>
      </c>
      <c r="FP791" s="2" t="n">
        <v>100</v>
      </c>
      <c r="FQ791" s="2" t="n">
        <v>0</v>
      </c>
    </row>
    <row r="792">
      <c r="A792" s="2" t="n">
        <v>4</v>
      </c>
      <c r="B792" s="2" t="inlineStr">
        <is>
          <t>31.06.05.02</t>
        </is>
      </c>
      <c r="C792" s="2" t="inlineStr">
        <is>
          <t>Fechamento lateral para bancada de granito preto são gabriel escovado h=10cm</t>
        </is>
      </c>
      <c r="D792" s="2" t="inlineStr">
        <is>
          <t>03/03/2027</t>
        </is>
      </c>
      <c r="E792" s="2" t="inlineStr">
        <is>
          <t>24/03/2028</t>
        </is>
      </c>
      <c r="F792" s="2" t="n">
        <v>426.4993234062906</v>
      </c>
      <c r="G792" s="2" t="n">
        <v>0</v>
      </c>
      <c r="H792" s="2" t="n">
        <v>426.4993234062906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0</v>
      </c>
      <c r="CM792" s="2" t="n">
        <v>0</v>
      </c>
      <c r="CN792" s="2" t="n">
        <v>0</v>
      </c>
      <c r="CO792" s="2" t="n">
        <v>0</v>
      </c>
      <c r="CP792" s="2" t="n">
        <v>0</v>
      </c>
      <c r="CQ792" s="2" t="n">
        <v>0</v>
      </c>
      <c r="CR792" s="2" t="n">
        <v>0</v>
      </c>
      <c r="CS792" s="2" t="n">
        <v>0</v>
      </c>
      <c r="CT792" s="2" t="n">
        <v>0</v>
      </c>
      <c r="CU792" s="2" t="n">
        <v>0.8100000000000001</v>
      </c>
      <c r="CV792" s="2" t="n">
        <v>0</v>
      </c>
      <c r="CW792" s="2" t="n">
        <v>0</v>
      </c>
      <c r="CX792" s="2" t="n">
        <v>8.08</v>
      </c>
      <c r="CY792" s="2" t="n">
        <v>4.04</v>
      </c>
      <c r="CZ792" s="2" t="n">
        <v>0</v>
      </c>
      <c r="DA792" s="2" t="n">
        <v>18.76</v>
      </c>
      <c r="DB792" s="2" t="n">
        <v>13.91</v>
      </c>
      <c r="DC792" s="2" t="n">
        <v>0</v>
      </c>
      <c r="DD792" s="2" t="n">
        <v>18.76</v>
      </c>
      <c r="DE792" s="2" t="n">
        <v>18.76</v>
      </c>
      <c r="DF792" s="2" t="n">
        <v>0</v>
      </c>
      <c r="DG792" s="2" t="n">
        <v>25.05</v>
      </c>
      <c r="DH792" s="2" t="n">
        <v>19.42</v>
      </c>
      <c r="DI792" s="2" t="n">
        <v>0</v>
      </c>
      <c r="DJ792" s="2" t="n">
        <v>36.24</v>
      </c>
      <c r="DK792" s="2" t="n">
        <v>34.63</v>
      </c>
      <c r="DL792" s="2" t="n">
        <v>0</v>
      </c>
      <c r="DM792" s="2" t="n">
        <v>49.88</v>
      </c>
      <c r="DN792" s="2" t="n">
        <v>45.53</v>
      </c>
      <c r="DO792" s="2" t="n">
        <v>0</v>
      </c>
      <c r="DP792" s="2" t="n">
        <v>62.32</v>
      </c>
      <c r="DQ792" s="2" t="n">
        <v>57.15</v>
      </c>
      <c r="DR792" s="2" t="n">
        <v>0</v>
      </c>
      <c r="DS792" s="2" t="n">
        <v>67.17</v>
      </c>
      <c r="DT792" s="2" t="n">
        <v>66.77</v>
      </c>
      <c r="DU792" s="2" t="n">
        <v>0</v>
      </c>
      <c r="DV792" s="2" t="n">
        <v>75.76000000000001</v>
      </c>
      <c r="DW792" s="2" t="n">
        <v>74.14</v>
      </c>
      <c r="DX792" s="2" t="n">
        <v>0</v>
      </c>
      <c r="DY792" s="2" t="n">
        <v>83.03</v>
      </c>
      <c r="DZ792" s="2" t="n">
        <v>81.42</v>
      </c>
      <c r="EA792" s="2" t="n">
        <v>0</v>
      </c>
      <c r="EB792" s="2" t="n">
        <v>92.73</v>
      </c>
      <c r="EC792" s="2" t="n">
        <v>88.28</v>
      </c>
      <c r="ED792" s="2" t="n">
        <v>0</v>
      </c>
      <c r="EE792" s="2" t="n">
        <v>100</v>
      </c>
      <c r="EF792" s="2" t="n">
        <v>94.75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  <c r="ET792" s="2" t="n">
        <v>100</v>
      </c>
      <c r="EU792" s="2" t="n">
        <v>100</v>
      </c>
      <c r="EV792" s="2" t="n">
        <v>0</v>
      </c>
      <c r="EW792" s="2" t="n">
        <v>100</v>
      </c>
      <c r="EX792" s="2" t="n">
        <v>100</v>
      </c>
      <c r="EY792" s="2" t="n">
        <v>0</v>
      </c>
      <c r="EZ792" s="2" t="n">
        <v>100</v>
      </c>
      <c r="FA792" s="2" t="n">
        <v>100</v>
      </c>
      <c r="FB792" s="2" t="n">
        <v>0</v>
      </c>
      <c r="FC792" s="2" t="n">
        <v>100</v>
      </c>
      <c r="FD792" s="2" t="n">
        <v>100</v>
      </c>
      <c r="FE792" s="2" t="n">
        <v>0</v>
      </c>
      <c r="FF792" s="2" t="n">
        <v>100</v>
      </c>
      <c r="FG792" s="2" t="n">
        <v>100</v>
      </c>
      <c r="FH792" s="2" t="n">
        <v>0</v>
      </c>
      <c r="FI792" s="2" t="n">
        <v>100</v>
      </c>
      <c r="FJ792" s="2" t="n">
        <v>100</v>
      </c>
      <c r="FK792" s="2" t="n">
        <v>0</v>
      </c>
      <c r="FL792" s="2" t="n">
        <v>100</v>
      </c>
      <c r="FM792" s="2" t="n">
        <v>100</v>
      </c>
      <c r="FN792" s="2" t="n">
        <v>0</v>
      </c>
      <c r="FO792" s="2" t="n">
        <v>100</v>
      </c>
      <c r="FP792" s="2" t="n">
        <v>100</v>
      </c>
      <c r="FQ792" s="2" t="n">
        <v>0</v>
      </c>
    </row>
    <row r="793">
      <c r="A793" s="2" t="n">
        <v>4</v>
      </c>
      <c r="B793" s="2" t="inlineStr">
        <is>
          <t>31.06.05.03</t>
        </is>
      </c>
      <c r="C793" s="2" t="inlineStr">
        <is>
          <t>Testeira de granito preto são gabriel escovado h=10cm</t>
        </is>
      </c>
      <c r="D793" s="2" t="inlineStr">
        <is>
          <t>03/03/2027</t>
        </is>
      </c>
      <c r="E793" s="2" t="inlineStr">
        <is>
          <t>24/03/2028</t>
        </is>
      </c>
      <c r="F793" s="2" t="n">
        <v>2266.6058566409</v>
      </c>
      <c r="G793" s="2" t="n">
        <v>0</v>
      </c>
      <c r="H793" s="2" t="n">
        <v>2266.6058566409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0.8100000000000001</v>
      </c>
      <c r="CV793" s="2" t="n">
        <v>0</v>
      </c>
      <c r="CW793" s="2" t="n">
        <v>0</v>
      </c>
      <c r="CX793" s="2" t="n">
        <v>8.08</v>
      </c>
      <c r="CY793" s="2" t="n">
        <v>4.04</v>
      </c>
      <c r="CZ793" s="2" t="n">
        <v>0</v>
      </c>
      <c r="DA793" s="2" t="n">
        <v>18.76</v>
      </c>
      <c r="DB793" s="2" t="n">
        <v>13.91</v>
      </c>
      <c r="DC793" s="2" t="n">
        <v>0</v>
      </c>
      <c r="DD793" s="2" t="n">
        <v>18.76</v>
      </c>
      <c r="DE793" s="2" t="n">
        <v>18.76</v>
      </c>
      <c r="DF793" s="2" t="n">
        <v>0</v>
      </c>
      <c r="DG793" s="2" t="n">
        <v>25.05</v>
      </c>
      <c r="DH793" s="2" t="n">
        <v>19.42</v>
      </c>
      <c r="DI793" s="2" t="n">
        <v>0</v>
      </c>
      <c r="DJ793" s="2" t="n">
        <v>36.24</v>
      </c>
      <c r="DK793" s="2" t="n">
        <v>34.63</v>
      </c>
      <c r="DL793" s="2" t="n">
        <v>0</v>
      </c>
      <c r="DM793" s="2" t="n">
        <v>49.88</v>
      </c>
      <c r="DN793" s="2" t="n">
        <v>45.53</v>
      </c>
      <c r="DO793" s="2" t="n">
        <v>0</v>
      </c>
      <c r="DP793" s="2" t="n">
        <v>62.32</v>
      </c>
      <c r="DQ793" s="2" t="n">
        <v>57.15</v>
      </c>
      <c r="DR793" s="2" t="n">
        <v>0</v>
      </c>
      <c r="DS793" s="2" t="n">
        <v>67.17</v>
      </c>
      <c r="DT793" s="2" t="n">
        <v>66.77</v>
      </c>
      <c r="DU793" s="2" t="n">
        <v>0</v>
      </c>
      <c r="DV793" s="2" t="n">
        <v>75.76000000000001</v>
      </c>
      <c r="DW793" s="2" t="n">
        <v>74.14</v>
      </c>
      <c r="DX793" s="2" t="n">
        <v>0</v>
      </c>
      <c r="DY793" s="2" t="n">
        <v>83.03</v>
      </c>
      <c r="DZ793" s="2" t="n">
        <v>81.42</v>
      </c>
      <c r="EA793" s="2" t="n">
        <v>0</v>
      </c>
      <c r="EB793" s="2" t="n">
        <v>92.73</v>
      </c>
      <c r="EC793" s="2" t="n">
        <v>88.28</v>
      </c>
      <c r="ED793" s="2" t="n">
        <v>0</v>
      </c>
      <c r="EE793" s="2" t="n">
        <v>100</v>
      </c>
      <c r="EF793" s="2" t="n">
        <v>94.75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  <c r="ET793" s="2" t="n">
        <v>100</v>
      </c>
      <c r="EU793" s="2" t="n">
        <v>100</v>
      </c>
      <c r="EV793" s="2" t="n">
        <v>0</v>
      </c>
      <c r="EW793" s="2" t="n">
        <v>100</v>
      </c>
      <c r="EX793" s="2" t="n">
        <v>100</v>
      </c>
      <c r="EY793" s="2" t="n">
        <v>0</v>
      </c>
      <c r="EZ793" s="2" t="n">
        <v>100</v>
      </c>
      <c r="FA793" s="2" t="n">
        <v>100</v>
      </c>
      <c r="FB793" s="2" t="n">
        <v>0</v>
      </c>
      <c r="FC793" s="2" t="n">
        <v>100</v>
      </c>
      <c r="FD793" s="2" t="n">
        <v>100</v>
      </c>
      <c r="FE793" s="2" t="n">
        <v>0</v>
      </c>
      <c r="FF793" s="2" t="n">
        <v>100</v>
      </c>
      <c r="FG793" s="2" t="n">
        <v>100</v>
      </c>
      <c r="FH793" s="2" t="n">
        <v>0</v>
      </c>
      <c r="FI793" s="2" t="n">
        <v>100</v>
      </c>
      <c r="FJ793" s="2" t="n">
        <v>100</v>
      </c>
      <c r="FK793" s="2" t="n">
        <v>0</v>
      </c>
      <c r="FL793" s="2" t="n">
        <v>100</v>
      </c>
      <c r="FM793" s="2" t="n">
        <v>100</v>
      </c>
      <c r="FN793" s="2" t="n">
        <v>0</v>
      </c>
      <c r="FO793" s="2" t="n">
        <v>100</v>
      </c>
      <c r="FP793" s="2" t="n">
        <v>100</v>
      </c>
      <c r="FQ793" s="2" t="n">
        <v>0</v>
      </c>
    </row>
    <row r="794">
      <c r="A794" s="2" t="n">
        <v>4</v>
      </c>
      <c r="B794" s="2" t="inlineStr">
        <is>
          <t>31.06.05.04</t>
        </is>
      </c>
      <c r="C794" s="2" t="inlineStr">
        <is>
          <t>Rodabanca de granito preto são gabriel escovado  h=10cm</t>
        </is>
      </c>
      <c r="D794" s="2" t="inlineStr">
        <is>
          <t>03/03/2027</t>
        </is>
      </c>
      <c r="E794" s="2" t="inlineStr">
        <is>
          <t>24/03/2028</t>
        </is>
      </c>
      <c r="F794" s="2" t="n">
        <v>2405.611823525363</v>
      </c>
      <c r="G794" s="2" t="n">
        <v>0</v>
      </c>
      <c r="H794" s="2" t="n">
        <v>2405.611823525363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0.8100000000000001</v>
      </c>
      <c r="CV794" s="2" t="n">
        <v>0</v>
      </c>
      <c r="CW794" s="2" t="n">
        <v>0</v>
      </c>
      <c r="CX794" s="2" t="n">
        <v>8.08</v>
      </c>
      <c r="CY794" s="2" t="n">
        <v>4.04</v>
      </c>
      <c r="CZ794" s="2" t="n">
        <v>0</v>
      </c>
      <c r="DA794" s="2" t="n">
        <v>18.76</v>
      </c>
      <c r="DB794" s="2" t="n">
        <v>13.91</v>
      </c>
      <c r="DC794" s="2" t="n">
        <v>0</v>
      </c>
      <c r="DD794" s="2" t="n">
        <v>18.76</v>
      </c>
      <c r="DE794" s="2" t="n">
        <v>18.76</v>
      </c>
      <c r="DF794" s="2" t="n">
        <v>0</v>
      </c>
      <c r="DG794" s="2" t="n">
        <v>25.05</v>
      </c>
      <c r="DH794" s="2" t="n">
        <v>19.42</v>
      </c>
      <c r="DI794" s="2" t="n">
        <v>0</v>
      </c>
      <c r="DJ794" s="2" t="n">
        <v>36.24</v>
      </c>
      <c r="DK794" s="2" t="n">
        <v>34.63</v>
      </c>
      <c r="DL794" s="2" t="n">
        <v>0</v>
      </c>
      <c r="DM794" s="2" t="n">
        <v>49.88</v>
      </c>
      <c r="DN794" s="2" t="n">
        <v>45.53</v>
      </c>
      <c r="DO794" s="2" t="n">
        <v>0</v>
      </c>
      <c r="DP794" s="2" t="n">
        <v>62.32</v>
      </c>
      <c r="DQ794" s="2" t="n">
        <v>57.15</v>
      </c>
      <c r="DR794" s="2" t="n">
        <v>0</v>
      </c>
      <c r="DS794" s="2" t="n">
        <v>67.17</v>
      </c>
      <c r="DT794" s="2" t="n">
        <v>66.77</v>
      </c>
      <c r="DU794" s="2" t="n">
        <v>0</v>
      </c>
      <c r="DV794" s="2" t="n">
        <v>75.76000000000001</v>
      </c>
      <c r="DW794" s="2" t="n">
        <v>74.14</v>
      </c>
      <c r="DX794" s="2" t="n">
        <v>0</v>
      </c>
      <c r="DY794" s="2" t="n">
        <v>83.03</v>
      </c>
      <c r="DZ794" s="2" t="n">
        <v>81.42</v>
      </c>
      <c r="EA794" s="2" t="n">
        <v>0</v>
      </c>
      <c r="EB794" s="2" t="n">
        <v>92.73</v>
      </c>
      <c r="EC794" s="2" t="n">
        <v>88.28</v>
      </c>
      <c r="ED794" s="2" t="n">
        <v>0</v>
      </c>
      <c r="EE794" s="2" t="n">
        <v>100</v>
      </c>
      <c r="EF794" s="2" t="n">
        <v>94.75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  <c r="ET794" s="2" t="n">
        <v>100</v>
      </c>
      <c r="EU794" s="2" t="n">
        <v>100</v>
      </c>
      <c r="EV794" s="2" t="n">
        <v>0</v>
      </c>
      <c r="EW794" s="2" t="n">
        <v>100</v>
      </c>
      <c r="EX794" s="2" t="n">
        <v>100</v>
      </c>
      <c r="EY794" s="2" t="n">
        <v>0</v>
      </c>
      <c r="EZ794" s="2" t="n">
        <v>100</v>
      </c>
      <c r="FA794" s="2" t="n">
        <v>100</v>
      </c>
      <c r="FB794" s="2" t="n">
        <v>0</v>
      </c>
      <c r="FC794" s="2" t="n">
        <v>100</v>
      </c>
      <c r="FD794" s="2" t="n">
        <v>100</v>
      </c>
      <c r="FE794" s="2" t="n">
        <v>0</v>
      </c>
      <c r="FF794" s="2" t="n">
        <v>100</v>
      </c>
      <c r="FG794" s="2" t="n">
        <v>100</v>
      </c>
      <c r="FH794" s="2" t="n">
        <v>0</v>
      </c>
      <c r="FI794" s="2" t="n">
        <v>100</v>
      </c>
      <c r="FJ794" s="2" t="n">
        <v>100</v>
      </c>
      <c r="FK794" s="2" t="n">
        <v>0</v>
      </c>
      <c r="FL794" s="2" t="n">
        <v>100</v>
      </c>
      <c r="FM794" s="2" t="n">
        <v>100</v>
      </c>
      <c r="FN794" s="2" t="n">
        <v>0</v>
      </c>
      <c r="FO794" s="2" t="n">
        <v>100</v>
      </c>
      <c r="FP794" s="2" t="n">
        <v>100</v>
      </c>
      <c r="FQ794" s="2" t="n">
        <v>0</v>
      </c>
    </row>
    <row r="795">
      <c r="A795" s="2" t="n">
        <v>4</v>
      </c>
      <c r="B795" s="2" t="inlineStr">
        <is>
          <t>31.06.05.05</t>
        </is>
      </c>
      <c r="C795" s="2" t="inlineStr">
        <is>
          <t>Furo e colagem de bojo</t>
        </is>
      </c>
      <c r="D795" s="2" t="inlineStr">
        <is>
          <t>03/03/2027</t>
        </is>
      </c>
      <c r="E795" s="2" t="inlineStr">
        <is>
          <t>24/03/2028</t>
        </is>
      </c>
      <c r="F795" s="2" t="n">
        <v>405</v>
      </c>
      <c r="G795" s="2" t="n">
        <v>0</v>
      </c>
      <c r="H795" s="2" t="n">
        <v>405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0.8100000000000001</v>
      </c>
      <c r="CV795" s="2" t="n">
        <v>0</v>
      </c>
      <c r="CW795" s="2" t="n">
        <v>0</v>
      </c>
      <c r="CX795" s="2" t="n">
        <v>8.08</v>
      </c>
      <c r="CY795" s="2" t="n">
        <v>4.04</v>
      </c>
      <c r="CZ795" s="2" t="n">
        <v>0</v>
      </c>
      <c r="DA795" s="2" t="n">
        <v>18.76</v>
      </c>
      <c r="DB795" s="2" t="n">
        <v>13.91</v>
      </c>
      <c r="DC795" s="2" t="n">
        <v>0</v>
      </c>
      <c r="DD795" s="2" t="n">
        <v>18.76</v>
      </c>
      <c r="DE795" s="2" t="n">
        <v>18.76</v>
      </c>
      <c r="DF795" s="2" t="n">
        <v>0</v>
      </c>
      <c r="DG795" s="2" t="n">
        <v>25.05</v>
      </c>
      <c r="DH795" s="2" t="n">
        <v>19.42</v>
      </c>
      <c r="DI795" s="2" t="n">
        <v>0</v>
      </c>
      <c r="DJ795" s="2" t="n">
        <v>36.24</v>
      </c>
      <c r="DK795" s="2" t="n">
        <v>34.63</v>
      </c>
      <c r="DL795" s="2" t="n">
        <v>0</v>
      </c>
      <c r="DM795" s="2" t="n">
        <v>49.88</v>
      </c>
      <c r="DN795" s="2" t="n">
        <v>45.53</v>
      </c>
      <c r="DO795" s="2" t="n">
        <v>0</v>
      </c>
      <c r="DP795" s="2" t="n">
        <v>62.32</v>
      </c>
      <c r="DQ795" s="2" t="n">
        <v>57.15</v>
      </c>
      <c r="DR795" s="2" t="n">
        <v>0</v>
      </c>
      <c r="DS795" s="2" t="n">
        <v>67.17</v>
      </c>
      <c r="DT795" s="2" t="n">
        <v>66.77</v>
      </c>
      <c r="DU795" s="2" t="n">
        <v>0</v>
      </c>
      <c r="DV795" s="2" t="n">
        <v>75.76000000000001</v>
      </c>
      <c r="DW795" s="2" t="n">
        <v>74.14</v>
      </c>
      <c r="DX795" s="2" t="n">
        <v>0</v>
      </c>
      <c r="DY795" s="2" t="n">
        <v>83.03</v>
      </c>
      <c r="DZ795" s="2" t="n">
        <v>81.42</v>
      </c>
      <c r="EA795" s="2" t="n">
        <v>0</v>
      </c>
      <c r="EB795" s="2" t="n">
        <v>92.73</v>
      </c>
      <c r="EC795" s="2" t="n">
        <v>88.28</v>
      </c>
      <c r="ED795" s="2" t="n">
        <v>0</v>
      </c>
      <c r="EE795" s="2" t="n">
        <v>100</v>
      </c>
      <c r="EF795" s="2" t="n">
        <v>94.75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  <c r="ET795" s="2" t="n">
        <v>100</v>
      </c>
      <c r="EU795" s="2" t="n">
        <v>100</v>
      </c>
      <c r="EV795" s="2" t="n">
        <v>0</v>
      </c>
      <c r="EW795" s="2" t="n">
        <v>100</v>
      </c>
      <c r="EX795" s="2" t="n">
        <v>100</v>
      </c>
      <c r="EY795" s="2" t="n">
        <v>0</v>
      </c>
      <c r="EZ795" s="2" t="n">
        <v>100</v>
      </c>
      <c r="FA795" s="2" t="n">
        <v>100</v>
      </c>
      <c r="FB795" s="2" t="n">
        <v>0</v>
      </c>
      <c r="FC795" s="2" t="n">
        <v>100</v>
      </c>
      <c r="FD795" s="2" t="n">
        <v>100</v>
      </c>
      <c r="FE795" s="2" t="n">
        <v>0</v>
      </c>
      <c r="FF795" s="2" t="n">
        <v>100</v>
      </c>
      <c r="FG795" s="2" t="n">
        <v>100</v>
      </c>
      <c r="FH795" s="2" t="n">
        <v>0</v>
      </c>
      <c r="FI795" s="2" t="n">
        <v>100</v>
      </c>
      <c r="FJ795" s="2" t="n">
        <v>100</v>
      </c>
      <c r="FK795" s="2" t="n">
        <v>0</v>
      </c>
      <c r="FL795" s="2" t="n">
        <v>100</v>
      </c>
      <c r="FM795" s="2" t="n">
        <v>100</v>
      </c>
      <c r="FN795" s="2" t="n">
        <v>0</v>
      </c>
      <c r="FO795" s="2" t="n">
        <v>100</v>
      </c>
      <c r="FP795" s="2" t="n">
        <v>100</v>
      </c>
      <c r="FQ795" s="2" t="n">
        <v>0</v>
      </c>
    </row>
    <row r="796">
      <c r="A796" s="2" t="n">
        <v>4</v>
      </c>
      <c r="B796" s="2" t="inlineStr">
        <is>
          <t>31.06.05.06</t>
        </is>
      </c>
      <c r="C796" s="2" t="inlineStr">
        <is>
          <t>Mãos francesas para bancadas</t>
        </is>
      </c>
      <c r="D796" s="2" t="inlineStr">
        <is>
          <t>03/03/2027</t>
        </is>
      </c>
      <c r="E796" s="2" t="inlineStr">
        <is>
          <t>24/03/2028</t>
        </is>
      </c>
      <c r="F796" s="2" t="n">
        <v>675</v>
      </c>
      <c r="G796" s="2" t="n">
        <v>0</v>
      </c>
      <c r="H796" s="2" t="n">
        <v>675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0.8100000000000001</v>
      </c>
      <c r="CV796" s="2" t="n">
        <v>0</v>
      </c>
      <c r="CW796" s="2" t="n">
        <v>0</v>
      </c>
      <c r="CX796" s="2" t="n">
        <v>8.08</v>
      </c>
      <c r="CY796" s="2" t="n">
        <v>4.04</v>
      </c>
      <c r="CZ796" s="2" t="n">
        <v>0</v>
      </c>
      <c r="DA796" s="2" t="n">
        <v>18.76</v>
      </c>
      <c r="DB796" s="2" t="n">
        <v>13.91</v>
      </c>
      <c r="DC796" s="2" t="n">
        <v>0</v>
      </c>
      <c r="DD796" s="2" t="n">
        <v>18.76</v>
      </c>
      <c r="DE796" s="2" t="n">
        <v>18.76</v>
      </c>
      <c r="DF796" s="2" t="n">
        <v>0</v>
      </c>
      <c r="DG796" s="2" t="n">
        <v>25.05</v>
      </c>
      <c r="DH796" s="2" t="n">
        <v>19.42</v>
      </c>
      <c r="DI796" s="2" t="n">
        <v>0</v>
      </c>
      <c r="DJ796" s="2" t="n">
        <v>36.24</v>
      </c>
      <c r="DK796" s="2" t="n">
        <v>34.63</v>
      </c>
      <c r="DL796" s="2" t="n">
        <v>0</v>
      </c>
      <c r="DM796" s="2" t="n">
        <v>49.88</v>
      </c>
      <c r="DN796" s="2" t="n">
        <v>45.53</v>
      </c>
      <c r="DO796" s="2" t="n">
        <v>0</v>
      </c>
      <c r="DP796" s="2" t="n">
        <v>62.32</v>
      </c>
      <c r="DQ796" s="2" t="n">
        <v>57.15</v>
      </c>
      <c r="DR796" s="2" t="n">
        <v>0</v>
      </c>
      <c r="DS796" s="2" t="n">
        <v>67.17</v>
      </c>
      <c r="DT796" s="2" t="n">
        <v>66.77</v>
      </c>
      <c r="DU796" s="2" t="n">
        <v>0</v>
      </c>
      <c r="DV796" s="2" t="n">
        <v>75.76000000000001</v>
      </c>
      <c r="DW796" s="2" t="n">
        <v>74.14</v>
      </c>
      <c r="DX796" s="2" t="n">
        <v>0</v>
      </c>
      <c r="DY796" s="2" t="n">
        <v>83.03</v>
      </c>
      <c r="DZ796" s="2" t="n">
        <v>81.42</v>
      </c>
      <c r="EA796" s="2" t="n">
        <v>0</v>
      </c>
      <c r="EB796" s="2" t="n">
        <v>92.73</v>
      </c>
      <c r="EC796" s="2" t="n">
        <v>88.28</v>
      </c>
      <c r="ED796" s="2" t="n">
        <v>0</v>
      </c>
      <c r="EE796" s="2" t="n">
        <v>100</v>
      </c>
      <c r="EF796" s="2" t="n">
        <v>94.75</v>
      </c>
      <c r="EG796" s="2" t="n">
        <v>0</v>
      </c>
      <c r="EH796" s="2" t="n">
        <v>100</v>
      </c>
      <c r="EI796" s="2" t="n">
        <v>100</v>
      </c>
      <c r="EJ796" s="2" t="n">
        <v>0</v>
      </c>
      <c r="EK796" s="2" t="n">
        <v>100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  <c r="ET796" s="2" t="n">
        <v>100</v>
      </c>
      <c r="EU796" s="2" t="n">
        <v>100</v>
      </c>
      <c r="EV796" s="2" t="n">
        <v>0</v>
      </c>
      <c r="EW796" s="2" t="n">
        <v>100</v>
      </c>
      <c r="EX796" s="2" t="n">
        <v>100</v>
      </c>
      <c r="EY796" s="2" t="n">
        <v>0</v>
      </c>
      <c r="EZ796" s="2" t="n">
        <v>100</v>
      </c>
      <c r="FA796" s="2" t="n">
        <v>100</v>
      </c>
      <c r="FB796" s="2" t="n">
        <v>0</v>
      </c>
      <c r="FC796" s="2" t="n">
        <v>100</v>
      </c>
      <c r="FD796" s="2" t="n">
        <v>100</v>
      </c>
      <c r="FE796" s="2" t="n">
        <v>0</v>
      </c>
      <c r="FF796" s="2" t="n">
        <v>100</v>
      </c>
      <c r="FG796" s="2" t="n">
        <v>100</v>
      </c>
      <c r="FH796" s="2" t="n">
        <v>0</v>
      </c>
      <c r="FI796" s="2" t="n">
        <v>100</v>
      </c>
      <c r="FJ796" s="2" t="n">
        <v>100</v>
      </c>
      <c r="FK796" s="2" t="n">
        <v>0</v>
      </c>
      <c r="FL796" s="2" t="n">
        <v>100</v>
      </c>
      <c r="FM796" s="2" t="n">
        <v>100</v>
      </c>
      <c r="FN796" s="2" t="n">
        <v>0</v>
      </c>
      <c r="FO796" s="2" t="n">
        <v>100</v>
      </c>
      <c r="FP796" s="2" t="n">
        <v>100</v>
      </c>
      <c r="FQ796" s="2" t="n">
        <v>0</v>
      </c>
    </row>
    <row r="797">
      <c r="A797" s="2" t="n">
        <v>4</v>
      </c>
      <c r="B797" s="2" t="inlineStr">
        <is>
          <t>31.06.05.07</t>
        </is>
      </c>
      <c r="C797" s="2" t="inlineStr">
        <is>
          <t>Proteção de bancadas contra manuseio de obra</t>
        </is>
      </c>
      <c r="D797" s="2" t="inlineStr">
        <is>
          <t>03/03/2027</t>
        </is>
      </c>
      <c r="E797" s="2" t="inlineStr">
        <is>
          <t>24/03/2028</t>
        </is>
      </c>
      <c r="F797" s="2" t="n">
        <v>222.6172771550562</v>
      </c>
      <c r="G797" s="2" t="n">
        <v>0</v>
      </c>
      <c r="H797" s="2" t="n">
        <v>222.6172771550562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0.8100000000000001</v>
      </c>
      <c r="CV797" s="2" t="n">
        <v>0</v>
      </c>
      <c r="CW797" s="2" t="n">
        <v>0</v>
      </c>
      <c r="CX797" s="2" t="n">
        <v>8.08</v>
      </c>
      <c r="CY797" s="2" t="n">
        <v>4.04</v>
      </c>
      <c r="CZ797" s="2" t="n">
        <v>0</v>
      </c>
      <c r="DA797" s="2" t="n">
        <v>18.76</v>
      </c>
      <c r="DB797" s="2" t="n">
        <v>13.91</v>
      </c>
      <c r="DC797" s="2" t="n">
        <v>0</v>
      </c>
      <c r="DD797" s="2" t="n">
        <v>18.76</v>
      </c>
      <c r="DE797" s="2" t="n">
        <v>18.76</v>
      </c>
      <c r="DF797" s="2" t="n">
        <v>0</v>
      </c>
      <c r="DG797" s="2" t="n">
        <v>25.05</v>
      </c>
      <c r="DH797" s="2" t="n">
        <v>19.42</v>
      </c>
      <c r="DI797" s="2" t="n">
        <v>0</v>
      </c>
      <c r="DJ797" s="2" t="n">
        <v>36.24</v>
      </c>
      <c r="DK797" s="2" t="n">
        <v>34.63</v>
      </c>
      <c r="DL797" s="2" t="n">
        <v>0</v>
      </c>
      <c r="DM797" s="2" t="n">
        <v>49.88</v>
      </c>
      <c r="DN797" s="2" t="n">
        <v>45.53</v>
      </c>
      <c r="DO797" s="2" t="n">
        <v>0</v>
      </c>
      <c r="DP797" s="2" t="n">
        <v>62.32</v>
      </c>
      <c r="DQ797" s="2" t="n">
        <v>57.15</v>
      </c>
      <c r="DR797" s="2" t="n">
        <v>0</v>
      </c>
      <c r="DS797" s="2" t="n">
        <v>67.17</v>
      </c>
      <c r="DT797" s="2" t="n">
        <v>66.77</v>
      </c>
      <c r="DU797" s="2" t="n">
        <v>0</v>
      </c>
      <c r="DV797" s="2" t="n">
        <v>75.76000000000001</v>
      </c>
      <c r="DW797" s="2" t="n">
        <v>74.14</v>
      </c>
      <c r="DX797" s="2" t="n">
        <v>0</v>
      </c>
      <c r="DY797" s="2" t="n">
        <v>83.03</v>
      </c>
      <c r="DZ797" s="2" t="n">
        <v>81.42</v>
      </c>
      <c r="EA797" s="2" t="n">
        <v>0</v>
      </c>
      <c r="EB797" s="2" t="n">
        <v>92.73</v>
      </c>
      <c r="EC797" s="2" t="n">
        <v>88.28</v>
      </c>
      <c r="ED797" s="2" t="n">
        <v>0</v>
      </c>
      <c r="EE797" s="2" t="n">
        <v>100</v>
      </c>
      <c r="EF797" s="2" t="n">
        <v>94.75</v>
      </c>
      <c r="EG797" s="2" t="n">
        <v>0</v>
      </c>
      <c r="EH797" s="2" t="n">
        <v>100</v>
      </c>
      <c r="EI797" s="2" t="n">
        <v>100</v>
      </c>
      <c r="EJ797" s="2" t="n">
        <v>0</v>
      </c>
      <c r="EK797" s="2" t="n">
        <v>100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  <c r="ET797" s="2" t="n">
        <v>100</v>
      </c>
      <c r="EU797" s="2" t="n">
        <v>100</v>
      </c>
      <c r="EV797" s="2" t="n">
        <v>0</v>
      </c>
      <c r="EW797" s="2" t="n">
        <v>100</v>
      </c>
      <c r="EX797" s="2" t="n">
        <v>100</v>
      </c>
      <c r="EY797" s="2" t="n">
        <v>0</v>
      </c>
      <c r="EZ797" s="2" t="n">
        <v>100</v>
      </c>
      <c r="FA797" s="2" t="n">
        <v>100</v>
      </c>
      <c r="FB797" s="2" t="n">
        <v>0</v>
      </c>
      <c r="FC797" s="2" t="n">
        <v>100</v>
      </c>
      <c r="FD797" s="2" t="n">
        <v>100</v>
      </c>
      <c r="FE797" s="2" t="n">
        <v>0</v>
      </c>
      <c r="FF797" s="2" t="n">
        <v>100</v>
      </c>
      <c r="FG797" s="2" t="n">
        <v>100</v>
      </c>
      <c r="FH797" s="2" t="n">
        <v>0</v>
      </c>
      <c r="FI797" s="2" t="n">
        <v>100</v>
      </c>
      <c r="FJ797" s="2" t="n">
        <v>100</v>
      </c>
      <c r="FK797" s="2" t="n">
        <v>0</v>
      </c>
      <c r="FL797" s="2" t="n">
        <v>100</v>
      </c>
      <c r="FM797" s="2" t="n">
        <v>100</v>
      </c>
      <c r="FN797" s="2" t="n">
        <v>0</v>
      </c>
      <c r="FO797" s="2" t="n">
        <v>100</v>
      </c>
      <c r="FP797" s="2" t="n">
        <v>100</v>
      </c>
      <c r="FQ797" s="2" t="n">
        <v>0</v>
      </c>
    </row>
    <row r="798">
      <c r="A798" s="2" t="n">
        <v>3</v>
      </c>
      <c r="B798" s="2" t="inlineStr">
        <is>
          <t>31.06.06</t>
        </is>
      </c>
      <c r="C798" s="2" t="inlineStr">
        <is>
          <t>Bancada em granito preto são gabriel, acabamento polido</t>
        </is>
      </c>
      <c r="D798" s="2" t="inlineStr">
        <is>
          <t>03/03/2027</t>
        </is>
      </c>
      <c r="E798" s="2" t="inlineStr">
        <is>
          <t>24/03/2028</t>
        </is>
      </c>
      <c r="F798" s="2" t="n">
        <v>9390.331004883707</v>
      </c>
      <c r="G798" s="2" t="n">
        <v>0</v>
      </c>
      <c r="H798" s="2" t="n">
        <v>9390.331004883707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0.8100000000000001</v>
      </c>
      <c r="CV798" s="2" t="n">
        <v>0</v>
      </c>
      <c r="CW798" s="2" t="n">
        <v>0</v>
      </c>
      <c r="CX798" s="2" t="n">
        <v>8.08</v>
      </c>
      <c r="CY798" s="2" t="n">
        <v>4.04</v>
      </c>
      <c r="CZ798" s="2" t="n">
        <v>0</v>
      </c>
      <c r="DA798" s="2" t="n">
        <v>18.76</v>
      </c>
      <c r="DB798" s="2" t="n">
        <v>13.91</v>
      </c>
      <c r="DC798" s="2" t="n">
        <v>0</v>
      </c>
      <c r="DD798" s="2" t="n">
        <v>18.76</v>
      </c>
      <c r="DE798" s="2" t="n">
        <v>18.76</v>
      </c>
      <c r="DF798" s="2" t="n">
        <v>0</v>
      </c>
      <c r="DG798" s="2" t="n">
        <v>25.05</v>
      </c>
      <c r="DH798" s="2" t="n">
        <v>19.42</v>
      </c>
      <c r="DI798" s="2" t="n">
        <v>0</v>
      </c>
      <c r="DJ798" s="2" t="n">
        <v>36.24</v>
      </c>
      <c r="DK798" s="2" t="n">
        <v>34.63</v>
      </c>
      <c r="DL798" s="2" t="n">
        <v>0</v>
      </c>
      <c r="DM798" s="2" t="n">
        <v>49.88</v>
      </c>
      <c r="DN798" s="2" t="n">
        <v>45.53</v>
      </c>
      <c r="DO798" s="2" t="n">
        <v>0</v>
      </c>
      <c r="DP798" s="2" t="n">
        <v>62.32</v>
      </c>
      <c r="DQ798" s="2" t="n">
        <v>57.15</v>
      </c>
      <c r="DR798" s="2" t="n">
        <v>0</v>
      </c>
      <c r="DS798" s="2" t="n">
        <v>67.17</v>
      </c>
      <c r="DT798" s="2" t="n">
        <v>66.77</v>
      </c>
      <c r="DU798" s="2" t="n">
        <v>0</v>
      </c>
      <c r="DV798" s="2" t="n">
        <v>75.76000000000001</v>
      </c>
      <c r="DW798" s="2" t="n">
        <v>74.14</v>
      </c>
      <c r="DX798" s="2" t="n">
        <v>0</v>
      </c>
      <c r="DY798" s="2" t="n">
        <v>83.03</v>
      </c>
      <c r="DZ798" s="2" t="n">
        <v>81.42</v>
      </c>
      <c r="EA798" s="2" t="n">
        <v>0</v>
      </c>
      <c r="EB798" s="2" t="n">
        <v>92.73</v>
      </c>
      <c r="EC798" s="2" t="n">
        <v>88.28</v>
      </c>
      <c r="ED798" s="2" t="n">
        <v>0</v>
      </c>
      <c r="EE798" s="2" t="n">
        <v>100</v>
      </c>
      <c r="EF798" s="2" t="n">
        <v>94.75</v>
      </c>
      <c r="EG798" s="2" t="n">
        <v>0</v>
      </c>
      <c r="EH798" s="2" t="n">
        <v>100</v>
      </c>
      <c r="EI798" s="2" t="n">
        <v>100</v>
      </c>
      <c r="EJ798" s="2" t="n">
        <v>0</v>
      </c>
      <c r="EK798" s="2" t="n">
        <v>100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  <c r="ET798" s="2" t="n">
        <v>100</v>
      </c>
      <c r="EU798" s="2" t="n">
        <v>100</v>
      </c>
      <c r="EV798" s="2" t="n">
        <v>0</v>
      </c>
      <c r="EW798" s="2" t="n">
        <v>100</v>
      </c>
      <c r="EX798" s="2" t="n">
        <v>100</v>
      </c>
      <c r="EY798" s="2" t="n">
        <v>0</v>
      </c>
      <c r="EZ798" s="2" t="n">
        <v>100</v>
      </c>
      <c r="FA798" s="2" t="n">
        <v>100</v>
      </c>
      <c r="FB798" s="2" t="n">
        <v>0</v>
      </c>
      <c r="FC798" s="2" t="n">
        <v>100</v>
      </c>
      <c r="FD798" s="2" t="n">
        <v>100</v>
      </c>
      <c r="FE798" s="2" t="n">
        <v>0</v>
      </c>
      <c r="FF798" s="2" t="n">
        <v>100</v>
      </c>
      <c r="FG798" s="2" t="n">
        <v>100</v>
      </c>
      <c r="FH798" s="2" t="n">
        <v>0</v>
      </c>
      <c r="FI798" s="2" t="n">
        <v>100</v>
      </c>
      <c r="FJ798" s="2" t="n">
        <v>100</v>
      </c>
      <c r="FK798" s="2" t="n">
        <v>0</v>
      </c>
      <c r="FL798" s="2" t="n">
        <v>100</v>
      </c>
      <c r="FM798" s="2" t="n">
        <v>100</v>
      </c>
      <c r="FN798" s="2" t="n">
        <v>0</v>
      </c>
      <c r="FO798" s="2" t="n">
        <v>100</v>
      </c>
      <c r="FP798" s="2" t="n">
        <v>100</v>
      </c>
      <c r="FQ798" s="2" t="n">
        <v>0</v>
      </c>
    </row>
    <row r="799">
      <c r="A799" s="2" t="n">
        <v>4</v>
      </c>
      <c r="B799" s="2" t="inlineStr">
        <is>
          <t>31.06.06.01</t>
        </is>
      </c>
      <c r="C799" s="2" t="inlineStr">
        <is>
          <t>Bancada em granito preto são gabriel, acabamento polido</t>
        </is>
      </c>
      <c r="D799" s="2" t="inlineStr">
        <is>
          <t>03/03/2027</t>
        </is>
      </c>
      <c r="E799" s="2" t="inlineStr">
        <is>
          <t>24/03/2028</t>
        </is>
      </c>
      <c r="F799" s="2" t="n">
        <v>4293.034879201465</v>
      </c>
      <c r="G799" s="2" t="n">
        <v>0</v>
      </c>
      <c r="H799" s="2" t="n">
        <v>4293.034879201465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0.8100000000000001</v>
      </c>
      <c r="CV799" s="2" t="n">
        <v>0</v>
      </c>
      <c r="CW799" s="2" t="n">
        <v>0</v>
      </c>
      <c r="CX799" s="2" t="n">
        <v>8.08</v>
      </c>
      <c r="CY799" s="2" t="n">
        <v>4.04</v>
      </c>
      <c r="CZ799" s="2" t="n">
        <v>0</v>
      </c>
      <c r="DA799" s="2" t="n">
        <v>18.76</v>
      </c>
      <c r="DB799" s="2" t="n">
        <v>13.91</v>
      </c>
      <c r="DC799" s="2" t="n">
        <v>0</v>
      </c>
      <c r="DD799" s="2" t="n">
        <v>18.76</v>
      </c>
      <c r="DE799" s="2" t="n">
        <v>18.76</v>
      </c>
      <c r="DF799" s="2" t="n">
        <v>0</v>
      </c>
      <c r="DG799" s="2" t="n">
        <v>25.05</v>
      </c>
      <c r="DH799" s="2" t="n">
        <v>19.42</v>
      </c>
      <c r="DI799" s="2" t="n">
        <v>0</v>
      </c>
      <c r="DJ799" s="2" t="n">
        <v>36.24</v>
      </c>
      <c r="DK799" s="2" t="n">
        <v>34.63</v>
      </c>
      <c r="DL799" s="2" t="n">
        <v>0</v>
      </c>
      <c r="DM799" s="2" t="n">
        <v>49.88</v>
      </c>
      <c r="DN799" s="2" t="n">
        <v>45.53</v>
      </c>
      <c r="DO799" s="2" t="n">
        <v>0</v>
      </c>
      <c r="DP799" s="2" t="n">
        <v>62.32</v>
      </c>
      <c r="DQ799" s="2" t="n">
        <v>57.15</v>
      </c>
      <c r="DR799" s="2" t="n">
        <v>0</v>
      </c>
      <c r="DS799" s="2" t="n">
        <v>67.17</v>
      </c>
      <c r="DT799" s="2" t="n">
        <v>66.77</v>
      </c>
      <c r="DU799" s="2" t="n">
        <v>0</v>
      </c>
      <c r="DV799" s="2" t="n">
        <v>75.76000000000001</v>
      </c>
      <c r="DW799" s="2" t="n">
        <v>74.14</v>
      </c>
      <c r="DX799" s="2" t="n">
        <v>0</v>
      </c>
      <c r="DY799" s="2" t="n">
        <v>83.03</v>
      </c>
      <c r="DZ799" s="2" t="n">
        <v>81.42</v>
      </c>
      <c r="EA799" s="2" t="n">
        <v>0</v>
      </c>
      <c r="EB799" s="2" t="n">
        <v>92.73</v>
      </c>
      <c r="EC799" s="2" t="n">
        <v>88.28</v>
      </c>
      <c r="ED799" s="2" t="n">
        <v>0</v>
      </c>
      <c r="EE799" s="2" t="n">
        <v>100</v>
      </c>
      <c r="EF799" s="2" t="n">
        <v>94.75</v>
      </c>
      <c r="EG799" s="2" t="n">
        <v>0</v>
      </c>
      <c r="EH799" s="2" t="n">
        <v>100</v>
      </c>
      <c r="EI799" s="2" t="n">
        <v>100</v>
      </c>
      <c r="EJ799" s="2" t="n">
        <v>0</v>
      </c>
      <c r="EK799" s="2" t="n">
        <v>100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  <c r="ET799" s="2" t="n">
        <v>100</v>
      </c>
      <c r="EU799" s="2" t="n">
        <v>100</v>
      </c>
      <c r="EV799" s="2" t="n">
        <v>0</v>
      </c>
      <c r="EW799" s="2" t="n">
        <v>100</v>
      </c>
      <c r="EX799" s="2" t="n">
        <v>100</v>
      </c>
      <c r="EY799" s="2" t="n">
        <v>0</v>
      </c>
      <c r="EZ799" s="2" t="n">
        <v>100</v>
      </c>
      <c r="FA799" s="2" t="n">
        <v>100</v>
      </c>
      <c r="FB799" s="2" t="n">
        <v>0</v>
      </c>
      <c r="FC799" s="2" t="n">
        <v>100</v>
      </c>
      <c r="FD799" s="2" t="n">
        <v>100</v>
      </c>
      <c r="FE799" s="2" t="n">
        <v>0</v>
      </c>
      <c r="FF799" s="2" t="n">
        <v>100</v>
      </c>
      <c r="FG799" s="2" t="n">
        <v>100</v>
      </c>
      <c r="FH799" s="2" t="n">
        <v>0</v>
      </c>
      <c r="FI799" s="2" t="n">
        <v>100</v>
      </c>
      <c r="FJ799" s="2" t="n">
        <v>100</v>
      </c>
      <c r="FK799" s="2" t="n">
        <v>0</v>
      </c>
      <c r="FL799" s="2" t="n">
        <v>100</v>
      </c>
      <c r="FM799" s="2" t="n">
        <v>100</v>
      </c>
      <c r="FN799" s="2" t="n">
        <v>0</v>
      </c>
      <c r="FO799" s="2" t="n">
        <v>100</v>
      </c>
      <c r="FP799" s="2" t="n">
        <v>100</v>
      </c>
      <c r="FQ799" s="2" t="n">
        <v>0</v>
      </c>
    </row>
    <row r="800">
      <c r="A800" s="2" t="n">
        <v>4</v>
      </c>
      <c r="B800" s="2" t="inlineStr">
        <is>
          <t>31.06.06.02</t>
        </is>
      </c>
      <c r="C800" s="2" t="inlineStr">
        <is>
          <t>Prateleira em granito preto são gabriel, acabamento polido</t>
        </is>
      </c>
      <c r="D800" s="2" t="inlineStr">
        <is>
          <t>03/03/2027</t>
        </is>
      </c>
      <c r="E800" s="2" t="inlineStr">
        <is>
          <t>24/03/2028</t>
        </is>
      </c>
      <c r="F800" s="2" t="n">
        <v>2594.243818405206</v>
      </c>
      <c r="G800" s="2" t="n">
        <v>0</v>
      </c>
      <c r="H800" s="2" t="n">
        <v>2594.243818405206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0</v>
      </c>
      <c r="CJ800" s="2" t="n">
        <v>0</v>
      </c>
      <c r="CK800" s="2" t="n">
        <v>0</v>
      </c>
      <c r="CL800" s="2" t="n">
        <v>0</v>
      </c>
      <c r="CM800" s="2" t="n">
        <v>0</v>
      </c>
      <c r="CN800" s="2" t="n">
        <v>0</v>
      </c>
      <c r="CO800" s="2" t="n">
        <v>0</v>
      </c>
      <c r="CP800" s="2" t="n">
        <v>0</v>
      </c>
      <c r="CQ800" s="2" t="n">
        <v>0</v>
      </c>
      <c r="CR800" s="2" t="n">
        <v>0</v>
      </c>
      <c r="CS800" s="2" t="n">
        <v>0</v>
      </c>
      <c r="CT800" s="2" t="n">
        <v>0</v>
      </c>
      <c r="CU800" s="2" t="n">
        <v>0.8100000000000001</v>
      </c>
      <c r="CV800" s="2" t="n">
        <v>0</v>
      </c>
      <c r="CW800" s="2" t="n">
        <v>0</v>
      </c>
      <c r="CX800" s="2" t="n">
        <v>8.08</v>
      </c>
      <c r="CY800" s="2" t="n">
        <v>4.04</v>
      </c>
      <c r="CZ800" s="2" t="n">
        <v>0</v>
      </c>
      <c r="DA800" s="2" t="n">
        <v>18.76</v>
      </c>
      <c r="DB800" s="2" t="n">
        <v>13.91</v>
      </c>
      <c r="DC800" s="2" t="n">
        <v>0</v>
      </c>
      <c r="DD800" s="2" t="n">
        <v>18.76</v>
      </c>
      <c r="DE800" s="2" t="n">
        <v>18.76</v>
      </c>
      <c r="DF800" s="2" t="n">
        <v>0</v>
      </c>
      <c r="DG800" s="2" t="n">
        <v>25.05</v>
      </c>
      <c r="DH800" s="2" t="n">
        <v>19.42</v>
      </c>
      <c r="DI800" s="2" t="n">
        <v>0</v>
      </c>
      <c r="DJ800" s="2" t="n">
        <v>36.24</v>
      </c>
      <c r="DK800" s="2" t="n">
        <v>34.63</v>
      </c>
      <c r="DL800" s="2" t="n">
        <v>0</v>
      </c>
      <c r="DM800" s="2" t="n">
        <v>49.88</v>
      </c>
      <c r="DN800" s="2" t="n">
        <v>45.53</v>
      </c>
      <c r="DO800" s="2" t="n">
        <v>0</v>
      </c>
      <c r="DP800" s="2" t="n">
        <v>62.32</v>
      </c>
      <c r="DQ800" s="2" t="n">
        <v>57.15</v>
      </c>
      <c r="DR800" s="2" t="n">
        <v>0</v>
      </c>
      <c r="DS800" s="2" t="n">
        <v>67.17</v>
      </c>
      <c r="DT800" s="2" t="n">
        <v>66.77</v>
      </c>
      <c r="DU800" s="2" t="n">
        <v>0</v>
      </c>
      <c r="DV800" s="2" t="n">
        <v>75.76000000000001</v>
      </c>
      <c r="DW800" s="2" t="n">
        <v>74.14</v>
      </c>
      <c r="DX800" s="2" t="n">
        <v>0</v>
      </c>
      <c r="DY800" s="2" t="n">
        <v>83.03</v>
      </c>
      <c r="DZ800" s="2" t="n">
        <v>81.42</v>
      </c>
      <c r="EA800" s="2" t="n">
        <v>0</v>
      </c>
      <c r="EB800" s="2" t="n">
        <v>92.73</v>
      </c>
      <c r="EC800" s="2" t="n">
        <v>88.28</v>
      </c>
      <c r="ED800" s="2" t="n">
        <v>0</v>
      </c>
      <c r="EE800" s="2" t="n">
        <v>100</v>
      </c>
      <c r="EF800" s="2" t="n">
        <v>94.75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  <c r="ET800" s="2" t="n">
        <v>100</v>
      </c>
      <c r="EU800" s="2" t="n">
        <v>100</v>
      </c>
      <c r="EV800" s="2" t="n">
        <v>0</v>
      </c>
      <c r="EW800" s="2" t="n">
        <v>100</v>
      </c>
      <c r="EX800" s="2" t="n">
        <v>100</v>
      </c>
      <c r="EY800" s="2" t="n">
        <v>0</v>
      </c>
      <c r="EZ800" s="2" t="n">
        <v>100</v>
      </c>
      <c r="FA800" s="2" t="n">
        <v>100</v>
      </c>
      <c r="FB800" s="2" t="n">
        <v>0</v>
      </c>
      <c r="FC800" s="2" t="n">
        <v>100</v>
      </c>
      <c r="FD800" s="2" t="n">
        <v>100</v>
      </c>
      <c r="FE800" s="2" t="n">
        <v>0</v>
      </c>
      <c r="FF800" s="2" t="n">
        <v>100</v>
      </c>
      <c r="FG800" s="2" t="n">
        <v>100</v>
      </c>
      <c r="FH800" s="2" t="n">
        <v>0</v>
      </c>
      <c r="FI800" s="2" t="n">
        <v>100</v>
      </c>
      <c r="FJ800" s="2" t="n">
        <v>100</v>
      </c>
      <c r="FK800" s="2" t="n">
        <v>0</v>
      </c>
      <c r="FL800" s="2" t="n">
        <v>100</v>
      </c>
      <c r="FM800" s="2" t="n">
        <v>100</v>
      </c>
      <c r="FN800" s="2" t="n">
        <v>0</v>
      </c>
      <c r="FO800" s="2" t="n">
        <v>100</v>
      </c>
      <c r="FP800" s="2" t="n">
        <v>100</v>
      </c>
      <c r="FQ800" s="2" t="n">
        <v>0</v>
      </c>
    </row>
    <row r="801">
      <c r="A801" s="2" t="n">
        <v>4</v>
      </c>
      <c r="B801" s="2" t="inlineStr">
        <is>
          <t>31.06.06.03</t>
        </is>
      </c>
      <c r="C801" s="2" t="inlineStr">
        <is>
          <t>Testeira de granito preto são gabriel, acabamento polido, h=10cm</t>
        </is>
      </c>
      <c r="D801" s="2" t="inlineStr">
        <is>
          <t>03/03/2027</t>
        </is>
      </c>
      <c r="E801" s="2" t="inlineStr">
        <is>
          <t>24/03/2028</t>
        </is>
      </c>
      <c r="F801" s="2" t="n">
        <v>845.9490712190889</v>
      </c>
      <c r="G801" s="2" t="n">
        <v>0</v>
      </c>
      <c r="H801" s="2" t="n">
        <v>845.9490712190889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0</v>
      </c>
      <c r="CJ801" s="2" t="n">
        <v>0</v>
      </c>
      <c r="CK801" s="2" t="n">
        <v>0</v>
      </c>
      <c r="CL801" s="2" t="n">
        <v>0</v>
      </c>
      <c r="CM801" s="2" t="n">
        <v>0</v>
      </c>
      <c r="CN801" s="2" t="n">
        <v>0</v>
      </c>
      <c r="CO801" s="2" t="n">
        <v>0</v>
      </c>
      <c r="CP801" s="2" t="n">
        <v>0</v>
      </c>
      <c r="CQ801" s="2" t="n">
        <v>0</v>
      </c>
      <c r="CR801" s="2" t="n">
        <v>0</v>
      </c>
      <c r="CS801" s="2" t="n">
        <v>0</v>
      </c>
      <c r="CT801" s="2" t="n">
        <v>0</v>
      </c>
      <c r="CU801" s="2" t="n">
        <v>0.8100000000000001</v>
      </c>
      <c r="CV801" s="2" t="n">
        <v>0</v>
      </c>
      <c r="CW801" s="2" t="n">
        <v>0</v>
      </c>
      <c r="CX801" s="2" t="n">
        <v>8.08</v>
      </c>
      <c r="CY801" s="2" t="n">
        <v>4.04</v>
      </c>
      <c r="CZ801" s="2" t="n">
        <v>0</v>
      </c>
      <c r="DA801" s="2" t="n">
        <v>18.76</v>
      </c>
      <c r="DB801" s="2" t="n">
        <v>13.91</v>
      </c>
      <c r="DC801" s="2" t="n">
        <v>0</v>
      </c>
      <c r="DD801" s="2" t="n">
        <v>18.76</v>
      </c>
      <c r="DE801" s="2" t="n">
        <v>18.76</v>
      </c>
      <c r="DF801" s="2" t="n">
        <v>0</v>
      </c>
      <c r="DG801" s="2" t="n">
        <v>25.05</v>
      </c>
      <c r="DH801" s="2" t="n">
        <v>19.42</v>
      </c>
      <c r="DI801" s="2" t="n">
        <v>0</v>
      </c>
      <c r="DJ801" s="2" t="n">
        <v>36.24</v>
      </c>
      <c r="DK801" s="2" t="n">
        <v>34.63</v>
      </c>
      <c r="DL801" s="2" t="n">
        <v>0</v>
      </c>
      <c r="DM801" s="2" t="n">
        <v>49.88</v>
      </c>
      <c r="DN801" s="2" t="n">
        <v>45.53</v>
      </c>
      <c r="DO801" s="2" t="n">
        <v>0</v>
      </c>
      <c r="DP801" s="2" t="n">
        <v>62.32</v>
      </c>
      <c r="DQ801" s="2" t="n">
        <v>57.15</v>
      </c>
      <c r="DR801" s="2" t="n">
        <v>0</v>
      </c>
      <c r="DS801" s="2" t="n">
        <v>67.17</v>
      </c>
      <c r="DT801" s="2" t="n">
        <v>66.77</v>
      </c>
      <c r="DU801" s="2" t="n">
        <v>0</v>
      </c>
      <c r="DV801" s="2" t="n">
        <v>75.76000000000001</v>
      </c>
      <c r="DW801" s="2" t="n">
        <v>74.14</v>
      </c>
      <c r="DX801" s="2" t="n">
        <v>0</v>
      </c>
      <c r="DY801" s="2" t="n">
        <v>83.03</v>
      </c>
      <c r="DZ801" s="2" t="n">
        <v>81.42</v>
      </c>
      <c r="EA801" s="2" t="n">
        <v>0</v>
      </c>
      <c r="EB801" s="2" t="n">
        <v>92.73</v>
      </c>
      <c r="EC801" s="2" t="n">
        <v>88.28</v>
      </c>
      <c r="ED801" s="2" t="n">
        <v>0</v>
      </c>
      <c r="EE801" s="2" t="n">
        <v>100</v>
      </c>
      <c r="EF801" s="2" t="n">
        <v>94.75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  <c r="ET801" s="2" t="n">
        <v>100</v>
      </c>
      <c r="EU801" s="2" t="n">
        <v>100</v>
      </c>
      <c r="EV801" s="2" t="n">
        <v>0</v>
      </c>
      <c r="EW801" s="2" t="n">
        <v>100</v>
      </c>
      <c r="EX801" s="2" t="n">
        <v>100</v>
      </c>
      <c r="EY801" s="2" t="n">
        <v>0</v>
      </c>
      <c r="EZ801" s="2" t="n">
        <v>100</v>
      </c>
      <c r="FA801" s="2" t="n">
        <v>100</v>
      </c>
      <c r="FB801" s="2" t="n">
        <v>0</v>
      </c>
      <c r="FC801" s="2" t="n">
        <v>100</v>
      </c>
      <c r="FD801" s="2" t="n">
        <v>100</v>
      </c>
      <c r="FE801" s="2" t="n">
        <v>0</v>
      </c>
      <c r="FF801" s="2" t="n">
        <v>100</v>
      </c>
      <c r="FG801" s="2" t="n">
        <v>100</v>
      </c>
      <c r="FH801" s="2" t="n">
        <v>0</v>
      </c>
      <c r="FI801" s="2" t="n">
        <v>100</v>
      </c>
      <c r="FJ801" s="2" t="n">
        <v>100</v>
      </c>
      <c r="FK801" s="2" t="n">
        <v>0</v>
      </c>
      <c r="FL801" s="2" t="n">
        <v>100</v>
      </c>
      <c r="FM801" s="2" t="n">
        <v>100</v>
      </c>
      <c r="FN801" s="2" t="n">
        <v>0</v>
      </c>
      <c r="FO801" s="2" t="n">
        <v>100</v>
      </c>
      <c r="FP801" s="2" t="n">
        <v>100</v>
      </c>
      <c r="FQ801" s="2" t="n">
        <v>0</v>
      </c>
    </row>
    <row r="802">
      <c r="A802" s="2" t="n">
        <v>4</v>
      </c>
      <c r="B802" s="2" t="inlineStr">
        <is>
          <t>31.06.06.04</t>
        </is>
      </c>
      <c r="C802" s="2" t="inlineStr">
        <is>
          <t>Rodabanca de granito preto são gabriel, acabamento polido, h=10cm</t>
        </is>
      </c>
      <c r="D802" s="2" t="inlineStr">
        <is>
          <t>03/03/2027</t>
        </is>
      </c>
      <c r="E802" s="2" t="inlineStr">
        <is>
          <t>24/03/2028</t>
        </is>
      </c>
      <c r="F802" s="2" t="n">
        <v>1041.582626800274</v>
      </c>
      <c r="G802" s="2" t="n">
        <v>0</v>
      </c>
      <c r="H802" s="2" t="n">
        <v>1041.582626800274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0</v>
      </c>
      <c r="CJ802" s="2" t="n">
        <v>0</v>
      </c>
      <c r="CK802" s="2" t="n">
        <v>0</v>
      </c>
      <c r="CL802" s="2" t="n">
        <v>0</v>
      </c>
      <c r="CM802" s="2" t="n">
        <v>0</v>
      </c>
      <c r="CN802" s="2" t="n">
        <v>0</v>
      </c>
      <c r="CO802" s="2" t="n">
        <v>0</v>
      </c>
      <c r="CP802" s="2" t="n">
        <v>0</v>
      </c>
      <c r="CQ802" s="2" t="n">
        <v>0</v>
      </c>
      <c r="CR802" s="2" t="n">
        <v>0</v>
      </c>
      <c r="CS802" s="2" t="n">
        <v>0</v>
      </c>
      <c r="CT802" s="2" t="n">
        <v>0</v>
      </c>
      <c r="CU802" s="2" t="n">
        <v>0.8100000000000001</v>
      </c>
      <c r="CV802" s="2" t="n">
        <v>0</v>
      </c>
      <c r="CW802" s="2" t="n">
        <v>0</v>
      </c>
      <c r="CX802" s="2" t="n">
        <v>8.08</v>
      </c>
      <c r="CY802" s="2" t="n">
        <v>4.04</v>
      </c>
      <c r="CZ802" s="2" t="n">
        <v>0</v>
      </c>
      <c r="DA802" s="2" t="n">
        <v>18.76</v>
      </c>
      <c r="DB802" s="2" t="n">
        <v>13.91</v>
      </c>
      <c r="DC802" s="2" t="n">
        <v>0</v>
      </c>
      <c r="DD802" s="2" t="n">
        <v>18.76</v>
      </c>
      <c r="DE802" s="2" t="n">
        <v>18.76</v>
      </c>
      <c r="DF802" s="2" t="n">
        <v>0</v>
      </c>
      <c r="DG802" s="2" t="n">
        <v>25.05</v>
      </c>
      <c r="DH802" s="2" t="n">
        <v>19.42</v>
      </c>
      <c r="DI802" s="2" t="n">
        <v>0</v>
      </c>
      <c r="DJ802" s="2" t="n">
        <v>36.24</v>
      </c>
      <c r="DK802" s="2" t="n">
        <v>34.63</v>
      </c>
      <c r="DL802" s="2" t="n">
        <v>0</v>
      </c>
      <c r="DM802" s="2" t="n">
        <v>49.88</v>
      </c>
      <c r="DN802" s="2" t="n">
        <v>45.53</v>
      </c>
      <c r="DO802" s="2" t="n">
        <v>0</v>
      </c>
      <c r="DP802" s="2" t="n">
        <v>62.32</v>
      </c>
      <c r="DQ802" s="2" t="n">
        <v>57.15</v>
      </c>
      <c r="DR802" s="2" t="n">
        <v>0</v>
      </c>
      <c r="DS802" s="2" t="n">
        <v>67.17</v>
      </c>
      <c r="DT802" s="2" t="n">
        <v>66.77</v>
      </c>
      <c r="DU802" s="2" t="n">
        <v>0</v>
      </c>
      <c r="DV802" s="2" t="n">
        <v>75.76000000000001</v>
      </c>
      <c r="DW802" s="2" t="n">
        <v>74.14</v>
      </c>
      <c r="DX802" s="2" t="n">
        <v>0</v>
      </c>
      <c r="DY802" s="2" t="n">
        <v>83.03</v>
      </c>
      <c r="DZ802" s="2" t="n">
        <v>81.42</v>
      </c>
      <c r="EA802" s="2" t="n">
        <v>0</v>
      </c>
      <c r="EB802" s="2" t="n">
        <v>92.73</v>
      </c>
      <c r="EC802" s="2" t="n">
        <v>88.28</v>
      </c>
      <c r="ED802" s="2" t="n">
        <v>0</v>
      </c>
      <c r="EE802" s="2" t="n">
        <v>100</v>
      </c>
      <c r="EF802" s="2" t="n">
        <v>94.75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  <c r="ET802" s="2" t="n">
        <v>100</v>
      </c>
      <c r="EU802" s="2" t="n">
        <v>100</v>
      </c>
      <c r="EV802" s="2" t="n">
        <v>0</v>
      </c>
      <c r="EW802" s="2" t="n">
        <v>100</v>
      </c>
      <c r="EX802" s="2" t="n">
        <v>100</v>
      </c>
      <c r="EY802" s="2" t="n">
        <v>0</v>
      </c>
      <c r="EZ802" s="2" t="n">
        <v>100</v>
      </c>
      <c r="FA802" s="2" t="n">
        <v>100</v>
      </c>
      <c r="FB802" s="2" t="n">
        <v>0</v>
      </c>
      <c r="FC802" s="2" t="n">
        <v>100</v>
      </c>
      <c r="FD802" s="2" t="n">
        <v>100</v>
      </c>
      <c r="FE802" s="2" t="n">
        <v>0</v>
      </c>
      <c r="FF802" s="2" t="n">
        <v>100</v>
      </c>
      <c r="FG802" s="2" t="n">
        <v>100</v>
      </c>
      <c r="FH802" s="2" t="n">
        <v>0</v>
      </c>
      <c r="FI802" s="2" t="n">
        <v>100</v>
      </c>
      <c r="FJ802" s="2" t="n">
        <v>100</v>
      </c>
      <c r="FK802" s="2" t="n">
        <v>0</v>
      </c>
      <c r="FL802" s="2" t="n">
        <v>100</v>
      </c>
      <c r="FM802" s="2" t="n">
        <v>100</v>
      </c>
      <c r="FN802" s="2" t="n">
        <v>0</v>
      </c>
      <c r="FO802" s="2" t="n">
        <v>100</v>
      </c>
      <c r="FP802" s="2" t="n">
        <v>100</v>
      </c>
      <c r="FQ802" s="2" t="n">
        <v>0</v>
      </c>
    </row>
    <row r="803">
      <c r="A803" s="2" t="n">
        <v>4</v>
      </c>
      <c r="B803" s="2" t="inlineStr">
        <is>
          <t>31.06.06.05</t>
        </is>
      </c>
      <c r="C803" s="2" t="inlineStr">
        <is>
          <t>Furo e colagem de bojo</t>
        </is>
      </c>
      <c r="D803" s="2" t="inlineStr">
        <is>
          <t>03/03/2027</t>
        </is>
      </c>
      <c r="E803" s="2" t="inlineStr">
        <is>
          <t>24/03/2028</t>
        </is>
      </c>
      <c r="F803" s="2" t="n">
        <v>45</v>
      </c>
      <c r="G803" s="2" t="n">
        <v>0</v>
      </c>
      <c r="H803" s="2" t="n">
        <v>45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0</v>
      </c>
      <c r="CJ803" s="2" t="n">
        <v>0</v>
      </c>
      <c r="CK803" s="2" t="n">
        <v>0</v>
      </c>
      <c r="CL803" s="2" t="n">
        <v>0</v>
      </c>
      <c r="CM803" s="2" t="n">
        <v>0</v>
      </c>
      <c r="CN803" s="2" t="n">
        <v>0</v>
      </c>
      <c r="CO803" s="2" t="n">
        <v>0</v>
      </c>
      <c r="CP803" s="2" t="n">
        <v>0</v>
      </c>
      <c r="CQ803" s="2" t="n">
        <v>0</v>
      </c>
      <c r="CR803" s="2" t="n">
        <v>0</v>
      </c>
      <c r="CS803" s="2" t="n">
        <v>0</v>
      </c>
      <c r="CT803" s="2" t="n">
        <v>0</v>
      </c>
      <c r="CU803" s="2" t="n">
        <v>0.8100000000000001</v>
      </c>
      <c r="CV803" s="2" t="n">
        <v>0</v>
      </c>
      <c r="CW803" s="2" t="n">
        <v>0</v>
      </c>
      <c r="CX803" s="2" t="n">
        <v>8.08</v>
      </c>
      <c r="CY803" s="2" t="n">
        <v>4.04</v>
      </c>
      <c r="CZ803" s="2" t="n">
        <v>0</v>
      </c>
      <c r="DA803" s="2" t="n">
        <v>18.76</v>
      </c>
      <c r="DB803" s="2" t="n">
        <v>13.91</v>
      </c>
      <c r="DC803" s="2" t="n">
        <v>0</v>
      </c>
      <c r="DD803" s="2" t="n">
        <v>18.76</v>
      </c>
      <c r="DE803" s="2" t="n">
        <v>18.76</v>
      </c>
      <c r="DF803" s="2" t="n">
        <v>0</v>
      </c>
      <c r="DG803" s="2" t="n">
        <v>25.05</v>
      </c>
      <c r="DH803" s="2" t="n">
        <v>19.42</v>
      </c>
      <c r="DI803" s="2" t="n">
        <v>0</v>
      </c>
      <c r="DJ803" s="2" t="n">
        <v>36.24</v>
      </c>
      <c r="DK803" s="2" t="n">
        <v>34.63</v>
      </c>
      <c r="DL803" s="2" t="n">
        <v>0</v>
      </c>
      <c r="DM803" s="2" t="n">
        <v>49.88</v>
      </c>
      <c r="DN803" s="2" t="n">
        <v>45.53</v>
      </c>
      <c r="DO803" s="2" t="n">
        <v>0</v>
      </c>
      <c r="DP803" s="2" t="n">
        <v>62.32</v>
      </c>
      <c r="DQ803" s="2" t="n">
        <v>57.15</v>
      </c>
      <c r="DR803" s="2" t="n">
        <v>0</v>
      </c>
      <c r="DS803" s="2" t="n">
        <v>67.17</v>
      </c>
      <c r="DT803" s="2" t="n">
        <v>66.77</v>
      </c>
      <c r="DU803" s="2" t="n">
        <v>0</v>
      </c>
      <c r="DV803" s="2" t="n">
        <v>75.76000000000001</v>
      </c>
      <c r="DW803" s="2" t="n">
        <v>74.14</v>
      </c>
      <c r="DX803" s="2" t="n">
        <v>0</v>
      </c>
      <c r="DY803" s="2" t="n">
        <v>83.03</v>
      </c>
      <c r="DZ803" s="2" t="n">
        <v>81.42</v>
      </c>
      <c r="EA803" s="2" t="n">
        <v>0</v>
      </c>
      <c r="EB803" s="2" t="n">
        <v>92.73</v>
      </c>
      <c r="EC803" s="2" t="n">
        <v>88.28</v>
      </c>
      <c r="ED803" s="2" t="n">
        <v>0</v>
      </c>
      <c r="EE803" s="2" t="n">
        <v>100</v>
      </c>
      <c r="EF803" s="2" t="n">
        <v>94.75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  <c r="ET803" s="2" t="n">
        <v>100</v>
      </c>
      <c r="EU803" s="2" t="n">
        <v>100</v>
      </c>
      <c r="EV803" s="2" t="n">
        <v>0</v>
      </c>
      <c r="EW803" s="2" t="n">
        <v>100</v>
      </c>
      <c r="EX803" s="2" t="n">
        <v>100</v>
      </c>
      <c r="EY803" s="2" t="n">
        <v>0</v>
      </c>
      <c r="EZ803" s="2" t="n">
        <v>100</v>
      </c>
      <c r="FA803" s="2" t="n">
        <v>100</v>
      </c>
      <c r="FB803" s="2" t="n">
        <v>0</v>
      </c>
      <c r="FC803" s="2" t="n">
        <v>100</v>
      </c>
      <c r="FD803" s="2" t="n">
        <v>100</v>
      </c>
      <c r="FE803" s="2" t="n">
        <v>0</v>
      </c>
      <c r="FF803" s="2" t="n">
        <v>100</v>
      </c>
      <c r="FG803" s="2" t="n">
        <v>100</v>
      </c>
      <c r="FH803" s="2" t="n">
        <v>0</v>
      </c>
      <c r="FI803" s="2" t="n">
        <v>100</v>
      </c>
      <c r="FJ803" s="2" t="n">
        <v>100</v>
      </c>
      <c r="FK803" s="2" t="n">
        <v>0</v>
      </c>
      <c r="FL803" s="2" t="n">
        <v>100</v>
      </c>
      <c r="FM803" s="2" t="n">
        <v>100</v>
      </c>
      <c r="FN803" s="2" t="n">
        <v>0</v>
      </c>
      <c r="FO803" s="2" t="n">
        <v>100</v>
      </c>
      <c r="FP803" s="2" t="n">
        <v>100</v>
      </c>
      <c r="FQ803" s="2" t="n">
        <v>0</v>
      </c>
    </row>
    <row r="804">
      <c r="A804" s="2" t="n">
        <v>4</v>
      </c>
      <c r="B804" s="2" t="inlineStr">
        <is>
          <t>31.06.06.06</t>
        </is>
      </c>
      <c r="C804" s="2" t="inlineStr">
        <is>
          <t>Mãos francesas para bancadas</t>
        </is>
      </c>
      <c r="D804" s="2" t="inlineStr">
        <is>
          <t>03/03/2027</t>
        </is>
      </c>
      <c r="E804" s="2" t="inlineStr">
        <is>
          <t>24/03/2028</t>
        </is>
      </c>
      <c r="F804" s="2" t="n">
        <v>450</v>
      </c>
      <c r="G804" s="2" t="n">
        <v>0</v>
      </c>
      <c r="H804" s="2" t="n">
        <v>450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0</v>
      </c>
      <c r="CT804" s="2" t="n">
        <v>0</v>
      </c>
      <c r="CU804" s="2" t="n">
        <v>0.8100000000000001</v>
      </c>
      <c r="CV804" s="2" t="n">
        <v>0</v>
      </c>
      <c r="CW804" s="2" t="n">
        <v>0</v>
      </c>
      <c r="CX804" s="2" t="n">
        <v>8.08</v>
      </c>
      <c r="CY804" s="2" t="n">
        <v>4.04</v>
      </c>
      <c r="CZ804" s="2" t="n">
        <v>0</v>
      </c>
      <c r="DA804" s="2" t="n">
        <v>18.76</v>
      </c>
      <c r="DB804" s="2" t="n">
        <v>13.91</v>
      </c>
      <c r="DC804" s="2" t="n">
        <v>0</v>
      </c>
      <c r="DD804" s="2" t="n">
        <v>18.76</v>
      </c>
      <c r="DE804" s="2" t="n">
        <v>18.76</v>
      </c>
      <c r="DF804" s="2" t="n">
        <v>0</v>
      </c>
      <c r="DG804" s="2" t="n">
        <v>25.05</v>
      </c>
      <c r="DH804" s="2" t="n">
        <v>19.42</v>
      </c>
      <c r="DI804" s="2" t="n">
        <v>0</v>
      </c>
      <c r="DJ804" s="2" t="n">
        <v>36.24</v>
      </c>
      <c r="DK804" s="2" t="n">
        <v>34.63</v>
      </c>
      <c r="DL804" s="2" t="n">
        <v>0</v>
      </c>
      <c r="DM804" s="2" t="n">
        <v>49.88</v>
      </c>
      <c r="DN804" s="2" t="n">
        <v>45.53</v>
      </c>
      <c r="DO804" s="2" t="n">
        <v>0</v>
      </c>
      <c r="DP804" s="2" t="n">
        <v>62.32</v>
      </c>
      <c r="DQ804" s="2" t="n">
        <v>57.15</v>
      </c>
      <c r="DR804" s="2" t="n">
        <v>0</v>
      </c>
      <c r="DS804" s="2" t="n">
        <v>67.17</v>
      </c>
      <c r="DT804" s="2" t="n">
        <v>66.77</v>
      </c>
      <c r="DU804" s="2" t="n">
        <v>0</v>
      </c>
      <c r="DV804" s="2" t="n">
        <v>75.76000000000001</v>
      </c>
      <c r="DW804" s="2" t="n">
        <v>74.14</v>
      </c>
      <c r="DX804" s="2" t="n">
        <v>0</v>
      </c>
      <c r="DY804" s="2" t="n">
        <v>83.03</v>
      </c>
      <c r="DZ804" s="2" t="n">
        <v>81.42</v>
      </c>
      <c r="EA804" s="2" t="n">
        <v>0</v>
      </c>
      <c r="EB804" s="2" t="n">
        <v>92.73</v>
      </c>
      <c r="EC804" s="2" t="n">
        <v>88.28</v>
      </c>
      <c r="ED804" s="2" t="n">
        <v>0</v>
      </c>
      <c r="EE804" s="2" t="n">
        <v>100</v>
      </c>
      <c r="EF804" s="2" t="n">
        <v>94.75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  <c r="ET804" s="2" t="n">
        <v>100</v>
      </c>
      <c r="EU804" s="2" t="n">
        <v>100</v>
      </c>
      <c r="EV804" s="2" t="n">
        <v>0</v>
      </c>
      <c r="EW804" s="2" t="n">
        <v>100</v>
      </c>
      <c r="EX804" s="2" t="n">
        <v>100</v>
      </c>
      <c r="EY804" s="2" t="n">
        <v>0</v>
      </c>
      <c r="EZ804" s="2" t="n">
        <v>100</v>
      </c>
      <c r="FA804" s="2" t="n">
        <v>100</v>
      </c>
      <c r="FB804" s="2" t="n">
        <v>0</v>
      </c>
      <c r="FC804" s="2" t="n">
        <v>100</v>
      </c>
      <c r="FD804" s="2" t="n">
        <v>100</v>
      </c>
      <c r="FE804" s="2" t="n">
        <v>0</v>
      </c>
      <c r="FF804" s="2" t="n">
        <v>100</v>
      </c>
      <c r="FG804" s="2" t="n">
        <v>100</v>
      </c>
      <c r="FH804" s="2" t="n">
        <v>0</v>
      </c>
      <c r="FI804" s="2" t="n">
        <v>100</v>
      </c>
      <c r="FJ804" s="2" t="n">
        <v>100</v>
      </c>
      <c r="FK804" s="2" t="n">
        <v>0</v>
      </c>
      <c r="FL804" s="2" t="n">
        <v>100</v>
      </c>
      <c r="FM804" s="2" t="n">
        <v>100</v>
      </c>
      <c r="FN804" s="2" t="n">
        <v>0</v>
      </c>
      <c r="FO804" s="2" t="n">
        <v>100</v>
      </c>
      <c r="FP804" s="2" t="n">
        <v>100</v>
      </c>
      <c r="FQ804" s="2" t="n">
        <v>0</v>
      </c>
    </row>
    <row r="805">
      <c r="A805" s="2" t="n">
        <v>4</v>
      </c>
      <c r="B805" s="2" t="inlineStr">
        <is>
          <t>31.06.06.07</t>
        </is>
      </c>
      <c r="C805" s="2" t="inlineStr">
        <is>
          <t>Proteção de bancadas contra manuseio de obra</t>
        </is>
      </c>
      <c r="D805" s="2" t="inlineStr">
        <is>
          <t>03/03/2027</t>
        </is>
      </c>
      <c r="E805" s="2" t="inlineStr">
        <is>
          <t>24/03/2028</t>
        </is>
      </c>
      <c r="F805" s="2" t="n">
        <v>120.5206092576734</v>
      </c>
      <c r="G805" s="2" t="n">
        <v>0</v>
      </c>
      <c r="H805" s="2" t="n">
        <v>120.5206092576734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0</v>
      </c>
      <c r="CT805" s="2" t="n">
        <v>0</v>
      </c>
      <c r="CU805" s="2" t="n">
        <v>0.8100000000000001</v>
      </c>
      <c r="CV805" s="2" t="n">
        <v>0</v>
      </c>
      <c r="CW805" s="2" t="n">
        <v>0</v>
      </c>
      <c r="CX805" s="2" t="n">
        <v>8.08</v>
      </c>
      <c r="CY805" s="2" t="n">
        <v>4.04</v>
      </c>
      <c r="CZ805" s="2" t="n">
        <v>0</v>
      </c>
      <c r="DA805" s="2" t="n">
        <v>18.76</v>
      </c>
      <c r="DB805" s="2" t="n">
        <v>13.91</v>
      </c>
      <c r="DC805" s="2" t="n">
        <v>0</v>
      </c>
      <c r="DD805" s="2" t="n">
        <v>18.76</v>
      </c>
      <c r="DE805" s="2" t="n">
        <v>18.76</v>
      </c>
      <c r="DF805" s="2" t="n">
        <v>0</v>
      </c>
      <c r="DG805" s="2" t="n">
        <v>25.05</v>
      </c>
      <c r="DH805" s="2" t="n">
        <v>19.42</v>
      </c>
      <c r="DI805" s="2" t="n">
        <v>0</v>
      </c>
      <c r="DJ805" s="2" t="n">
        <v>36.24</v>
      </c>
      <c r="DK805" s="2" t="n">
        <v>34.63</v>
      </c>
      <c r="DL805" s="2" t="n">
        <v>0</v>
      </c>
      <c r="DM805" s="2" t="n">
        <v>49.88</v>
      </c>
      <c r="DN805" s="2" t="n">
        <v>45.53</v>
      </c>
      <c r="DO805" s="2" t="n">
        <v>0</v>
      </c>
      <c r="DP805" s="2" t="n">
        <v>62.32</v>
      </c>
      <c r="DQ805" s="2" t="n">
        <v>57.15</v>
      </c>
      <c r="DR805" s="2" t="n">
        <v>0</v>
      </c>
      <c r="DS805" s="2" t="n">
        <v>67.17</v>
      </c>
      <c r="DT805" s="2" t="n">
        <v>66.77</v>
      </c>
      <c r="DU805" s="2" t="n">
        <v>0</v>
      </c>
      <c r="DV805" s="2" t="n">
        <v>75.76000000000001</v>
      </c>
      <c r="DW805" s="2" t="n">
        <v>74.14</v>
      </c>
      <c r="DX805" s="2" t="n">
        <v>0</v>
      </c>
      <c r="DY805" s="2" t="n">
        <v>83.03</v>
      </c>
      <c r="DZ805" s="2" t="n">
        <v>81.42</v>
      </c>
      <c r="EA805" s="2" t="n">
        <v>0</v>
      </c>
      <c r="EB805" s="2" t="n">
        <v>92.73</v>
      </c>
      <c r="EC805" s="2" t="n">
        <v>88.28</v>
      </c>
      <c r="ED805" s="2" t="n">
        <v>0</v>
      </c>
      <c r="EE805" s="2" t="n">
        <v>100</v>
      </c>
      <c r="EF805" s="2" t="n">
        <v>94.75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  <c r="ET805" s="2" t="n">
        <v>100</v>
      </c>
      <c r="EU805" s="2" t="n">
        <v>100</v>
      </c>
      <c r="EV805" s="2" t="n">
        <v>0</v>
      </c>
      <c r="EW805" s="2" t="n">
        <v>100</v>
      </c>
      <c r="EX805" s="2" t="n">
        <v>100</v>
      </c>
      <c r="EY805" s="2" t="n">
        <v>0</v>
      </c>
      <c r="EZ805" s="2" t="n">
        <v>100</v>
      </c>
      <c r="FA805" s="2" t="n">
        <v>100</v>
      </c>
      <c r="FB805" s="2" t="n">
        <v>0</v>
      </c>
      <c r="FC805" s="2" t="n">
        <v>100</v>
      </c>
      <c r="FD805" s="2" t="n">
        <v>100</v>
      </c>
      <c r="FE805" s="2" t="n">
        <v>0</v>
      </c>
      <c r="FF805" s="2" t="n">
        <v>100</v>
      </c>
      <c r="FG805" s="2" t="n">
        <v>100</v>
      </c>
      <c r="FH805" s="2" t="n">
        <v>0</v>
      </c>
      <c r="FI805" s="2" t="n">
        <v>100</v>
      </c>
      <c r="FJ805" s="2" t="n">
        <v>100</v>
      </c>
      <c r="FK805" s="2" t="n">
        <v>0</v>
      </c>
      <c r="FL805" s="2" t="n">
        <v>100</v>
      </c>
      <c r="FM805" s="2" t="n">
        <v>100</v>
      </c>
      <c r="FN805" s="2" t="n">
        <v>0</v>
      </c>
      <c r="FO805" s="2" t="n">
        <v>100</v>
      </c>
      <c r="FP805" s="2" t="n">
        <v>100</v>
      </c>
      <c r="FQ805" s="2" t="n">
        <v>0</v>
      </c>
    </row>
    <row r="806">
      <c r="A806" s="2" t="n">
        <v>3</v>
      </c>
      <c r="B806" s="2" t="inlineStr">
        <is>
          <t>31.06.07</t>
        </is>
      </c>
      <c r="C806" s="2" t="inlineStr">
        <is>
          <t>Bancada em pedra natural, mármore Dedalus, acabamento escovado. Espessura: 2cm</t>
        </is>
      </c>
      <c r="D806" s="2" t="inlineStr">
        <is>
          <t>03/03/2027</t>
        </is>
      </c>
      <c r="E806" s="2" t="inlineStr">
        <is>
          <t>24/03/2028</t>
        </is>
      </c>
      <c r="F806" s="2" t="n">
        <v>9640.958487354643</v>
      </c>
      <c r="G806" s="2" t="n">
        <v>0</v>
      </c>
      <c r="H806" s="2" t="n">
        <v>9640.958487354643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0</v>
      </c>
      <c r="CT806" s="2" t="n">
        <v>0</v>
      </c>
      <c r="CU806" s="2" t="n">
        <v>0.8100000000000001</v>
      </c>
      <c r="CV806" s="2" t="n">
        <v>0</v>
      </c>
      <c r="CW806" s="2" t="n">
        <v>0</v>
      </c>
      <c r="CX806" s="2" t="n">
        <v>8.08</v>
      </c>
      <c r="CY806" s="2" t="n">
        <v>4.04</v>
      </c>
      <c r="CZ806" s="2" t="n">
        <v>0</v>
      </c>
      <c r="DA806" s="2" t="n">
        <v>18.76</v>
      </c>
      <c r="DB806" s="2" t="n">
        <v>13.91</v>
      </c>
      <c r="DC806" s="2" t="n">
        <v>0</v>
      </c>
      <c r="DD806" s="2" t="n">
        <v>18.76</v>
      </c>
      <c r="DE806" s="2" t="n">
        <v>18.76</v>
      </c>
      <c r="DF806" s="2" t="n">
        <v>0</v>
      </c>
      <c r="DG806" s="2" t="n">
        <v>25.05</v>
      </c>
      <c r="DH806" s="2" t="n">
        <v>19.42</v>
      </c>
      <c r="DI806" s="2" t="n">
        <v>0</v>
      </c>
      <c r="DJ806" s="2" t="n">
        <v>36.24</v>
      </c>
      <c r="DK806" s="2" t="n">
        <v>34.63</v>
      </c>
      <c r="DL806" s="2" t="n">
        <v>0</v>
      </c>
      <c r="DM806" s="2" t="n">
        <v>49.88</v>
      </c>
      <c r="DN806" s="2" t="n">
        <v>45.53</v>
      </c>
      <c r="DO806" s="2" t="n">
        <v>0</v>
      </c>
      <c r="DP806" s="2" t="n">
        <v>62.32</v>
      </c>
      <c r="DQ806" s="2" t="n">
        <v>57.15</v>
      </c>
      <c r="DR806" s="2" t="n">
        <v>0</v>
      </c>
      <c r="DS806" s="2" t="n">
        <v>67.17</v>
      </c>
      <c r="DT806" s="2" t="n">
        <v>66.77</v>
      </c>
      <c r="DU806" s="2" t="n">
        <v>0</v>
      </c>
      <c r="DV806" s="2" t="n">
        <v>75.76000000000001</v>
      </c>
      <c r="DW806" s="2" t="n">
        <v>74.14</v>
      </c>
      <c r="DX806" s="2" t="n">
        <v>0</v>
      </c>
      <c r="DY806" s="2" t="n">
        <v>83.03</v>
      </c>
      <c r="DZ806" s="2" t="n">
        <v>81.42</v>
      </c>
      <c r="EA806" s="2" t="n">
        <v>0</v>
      </c>
      <c r="EB806" s="2" t="n">
        <v>92.73</v>
      </c>
      <c r="EC806" s="2" t="n">
        <v>88.28</v>
      </c>
      <c r="ED806" s="2" t="n">
        <v>0</v>
      </c>
      <c r="EE806" s="2" t="n">
        <v>100</v>
      </c>
      <c r="EF806" s="2" t="n">
        <v>94.75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  <c r="ET806" s="2" t="n">
        <v>100</v>
      </c>
      <c r="EU806" s="2" t="n">
        <v>100</v>
      </c>
      <c r="EV806" s="2" t="n">
        <v>0</v>
      </c>
      <c r="EW806" s="2" t="n">
        <v>100</v>
      </c>
      <c r="EX806" s="2" t="n">
        <v>100</v>
      </c>
      <c r="EY806" s="2" t="n">
        <v>0</v>
      </c>
      <c r="EZ806" s="2" t="n">
        <v>100</v>
      </c>
      <c r="FA806" s="2" t="n">
        <v>100</v>
      </c>
      <c r="FB806" s="2" t="n">
        <v>0</v>
      </c>
      <c r="FC806" s="2" t="n">
        <v>100</v>
      </c>
      <c r="FD806" s="2" t="n">
        <v>100</v>
      </c>
      <c r="FE806" s="2" t="n">
        <v>0</v>
      </c>
      <c r="FF806" s="2" t="n">
        <v>100</v>
      </c>
      <c r="FG806" s="2" t="n">
        <v>100</v>
      </c>
      <c r="FH806" s="2" t="n">
        <v>0</v>
      </c>
      <c r="FI806" s="2" t="n">
        <v>100</v>
      </c>
      <c r="FJ806" s="2" t="n">
        <v>100</v>
      </c>
      <c r="FK806" s="2" t="n">
        <v>0</v>
      </c>
      <c r="FL806" s="2" t="n">
        <v>100</v>
      </c>
      <c r="FM806" s="2" t="n">
        <v>100</v>
      </c>
      <c r="FN806" s="2" t="n">
        <v>0</v>
      </c>
      <c r="FO806" s="2" t="n">
        <v>100</v>
      </c>
      <c r="FP806" s="2" t="n">
        <v>100</v>
      </c>
      <c r="FQ806" s="2" t="n">
        <v>0</v>
      </c>
    </row>
    <row r="807">
      <c r="A807" s="2" t="n">
        <v>4</v>
      </c>
      <c r="B807" s="2" t="inlineStr">
        <is>
          <t>31.06.07.01</t>
        </is>
      </c>
      <c r="C807" s="2" t="inlineStr">
        <is>
          <t>Bancada em pedra natural, mármore Dedalus, acabamento escovado. Espessura: 2cm</t>
        </is>
      </c>
      <c r="D807" s="2" t="inlineStr">
        <is>
          <t>03/03/2027</t>
        </is>
      </c>
      <c r="E807" s="2" t="inlineStr">
        <is>
          <t>24/03/2028</t>
        </is>
      </c>
      <c r="F807" s="2" t="n">
        <v>7359.909459945046</v>
      </c>
      <c r="G807" s="2" t="n">
        <v>0</v>
      </c>
      <c r="H807" s="2" t="n">
        <v>7359.909459945046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0</v>
      </c>
      <c r="CT807" s="2" t="n">
        <v>0</v>
      </c>
      <c r="CU807" s="2" t="n">
        <v>0.8100000000000001</v>
      </c>
      <c r="CV807" s="2" t="n">
        <v>0</v>
      </c>
      <c r="CW807" s="2" t="n">
        <v>0</v>
      </c>
      <c r="CX807" s="2" t="n">
        <v>8.08</v>
      </c>
      <c r="CY807" s="2" t="n">
        <v>4.04</v>
      </c>
      <c r="CZ807" s="2" t="n">
        <v>0</v>
      </c>
      <c r="DA807" s="2" t="n">
        <v>18.76</v>
      </c>
      <c r="DB807" s="2" t="n">
        <v>13.91</v>
      </c>
      <c r="DC807" s="2" t="n">
        <v>0</v>
      </c>
      <c r="DD807" s="2" t="n">
        <v>18.76</v>
      </c>
      <c r="DE807" s="2" t="n">
        <v>18.76</v>
      </c>
      <c r="DF807" s="2" t="n">
        <v>0</v>
      </c>
      <c r="DG807" s="2" t="n">
        <v>25.05</v>
      </c>
      <c r="DH807" s="2" t="n">
        <v>19.42</v>
      </c>
      <c r="DI807" s="2" t="n">
        <v>0</v>
      </c>
      <c r="DJ807" s="2" t="n">
        <v>36.24</v>
      </c>
      <c r="DK807" s="2" t="n">
        <v>34.63</v>
      </c>
      <c r="DL807" s="2" t="n">
        <v>0</v>
      </c>
      <c r="DM807" s="2" t="n">
        <v>49.88</v>
      </c>
      <c r="DN807" s="2" t="n">
        <v>45.53</v>
      </c>
      <c r="DO807" s="2" t="n">
        <v>0</v>
      </c>
      <c r="DP807" s="2" t="n">
        <v>62.32</v>
      </c>
      <c r="DQ807" s="2" t="n">
        <v>57.15</v>
      </c>
      <c r="DR807" s="2" t="n">
        <v>0</v>
      </c>
      <c r="DS807" s="2" t="n">
        <v>67.17</v>
      </c>
      <c r="DT807" s="2" t="n">
        <v>66.77</v>
      </c>
      <c r="DU807" s="2" t="n">
        <v>0</v>
      </c>
      <c r="DV807" s="2" t="n">
        <v>75.76000000000001</v>
      </c>
      <c r="DW807" s="2" t="n">
        <v>74.14</v>
      </c>
      <c r="DX807" s="2" t="n">
        <v>0</v>
      </c>
      <c r="DY807" s="2" t="n">
        <v>83.03</v>
      </c>
      <c r="DZ807" s="2" t="n">
        <v>81.42</v>
      </c>
      <c r="EA807" s="2" t="n">
        <v>0</v>
      </c>
      <c r="EB807" s="2" t="n">
        <v>92.73</v>
      </c>
      <c r="EC807" s="2" t="n">
        <v>88.28</v>
      </c>
      <c r="ED807" s="2" t="n">
        <v>0</v>
      </c>
      <c r="EE807" s="2" t="n">
        <v>100</v>
      </c>
      <c r="EF807" s="2" t="n">
        <v>94.75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  <c r="ET807" s="2" t="n">
        <v>100</v>
      </c>
      <c r="EU807" s="2" t="n">
        <v>100</v>
      </c>
      <c r="EV807" s="2" t="n">
        <v>0</v>
      </c>
      <c r="EW807" s="2" t="n">
        <v>100</v>
      </c>
      <c r="EX807" s="2" t="n">
        <v>100</v>
      </c>
      <c r="EY807" s="2" t="n">
        <v>0</v>
      </c>
      <c r="EZ807" s="2" t="n">
        <v>100</v>
      </c>
      <c r="FA807" s="2" t="n">
        <v>100</v>
      </c>
      <c r="FB807" s="2" t="n">
        <v>0</v>
      </c>
      <c r="FC807" s="2" t="n">
        <v>100</v>
      </c>
      <c r="FD807" s="2" t="n">
        <v>100</v>
      </c>
      <c r="FE807" s="2" t="n">
        <v>0</v>
      </c>
      <c r="FF807" s="2" t="n">
        <v>100</v>
      </c>
      <c r="FG807" s="2" t="n">
        <v>100</v>
      </c>
      <c r="FH807" s="2" t="n">
        <v>0</v>
      </c>
      <c r="FI807" s="2" t="n">
        <v>100</v>
      </c>
      <c r="FJ807" s="2" t="n">
        <v>100</v>
      </c>
      <c r="FK807" s="2" t="n">
        <v>0</v>
      </c>
      <c r="FL807" s="2" t="n">
        <v>100</v>
      </c>
      <c r="FM807" s="2" t="n">
        <v>100</v>
      </c>
      <c r="FN807" s="2" t="n">
        <v>0</v>
      </c>
      <c r="FO807" s="2" t="n">
        <v>100</v>
      </c>
      <c r="FP807" s="2" t="n">
        <v>100</v>
      </c>
      <c r="FQ807" s="2" t="n">
        <v>0</v>
      </c>
    </row>
    <row r="808">
      <c r="A808" s="2" t="n">
        <v>4</v>
      </c>
      <c r="B808" s="2" t="inlineStr">
        <is>
          <t>31.06.07.02</t>
        </is>
      </c>
      <c r="C808" s="2" t="inlineStr">
        <is>
          <t>Bancada em pedra natural, mármore Dedalus, acabamento escovado. Espessura: 2cm</t>
        </is>
      </c>
      <c r="D808" s="2" t="inlineStr">
        <is>
          <t>03/03/2027</t>
        </is>
      </c>
      <c r="E808" s="2" t="inlineStr">
        <is>
          <t>24/03/2028</t>
        </is>
      </c>
      <c r="F808" s="2" t="n">
        <v>441.5945675967028</v>
      </c>
      <c r="G808" s="2" t="n">
        <v>0</v>
      </c>
      <c r="H808" s="2" t="n">
        <v>441.5945675967028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0</v>
      </c>
      <c r="CT808" s="2" t="n">
        <v>0</v>
      </c>
      <c r="CU808" s="2" t="n">
        <v>0.8100000000000001</v>
      </c>
      <c r="CV808" s="2" t="n">
        <v>0</v>
      </c>
      <c r="CW808" s="2" t="n">
        <v>0</v>
      </c>
      <c r="CX808" s="2" t="n">
        <v>8.08</v>
      </c>
      <c r="CY808" s="2" t="n">
        <v>4.04</v>
      </c>
      <c r="CZ808" s="2" t="n">
        <v>0</v>
      </c>
      <c r="DA808" s="2" t="n">
        <v>18.76</v>
      </c>
      <c r="DB808" s="2" t="n">
        <v>13.91</v>
      </c>
      <c r="DC808" s="2" t="n">
        <v>0</v>
      </c>
      <c r="DD808" s="2" t="n">
        <v>18.76</v>
      </c>
      <c r="DE808" s="2" t="n">
        <v>18.76</v>
      </c>
      <c r="DF808" s="2" t="n">
        <v>0</v>
      </c>
      <c r="DG808" s="2" t="n">
        <v>25.05</v>
      </c>
      <c r="DH808" s="2" t="n">
        <v>19.42</v>
      </c>
      <c r="DI808" s="2" t="n">
        <v>0</v>
      </c>
      <c r="DJ808" s="2" t="n">
        <v>36.24</v>
      </c>
      <c r="DK808" s="2" t="n">
        <v>34.63</v>
      </c>
      <c r="DL808" s="2" t="n">
        <v>0</v>
      </c>
      <c r="DM808" s="2" t="n">
        <v>49.88</v>
      </c>
      <c r="DN808" s="2" t="n">
        <v>45.53</v>
      </c>
      <c r="DO808" s="2" t="n">
        <v>0</v>
      </c>
      <c r="DP808" s="2" t="n">
        <v>62.32</v>
      </c>
      <c r="DQ808" s="2" t="n">
        <v>57.15</v>
      </c>
      <c r="DR808" s="2" t="n">
        <v>0</v>
      </c>
      <c r="DS808" s="2" t="n">
        <v>67.17</v>
      </c>
      <c r="DT808" s="2" t="n">
        <v>66.77</v>
      </c>
      <c r="DU808" s="2" t="n">
        <v>0</v>
      </c>
      <c r="DV808" s="2" t="n">
        <v>75.76000000000001</v>
      </c>
      <c r="DW808" s="2" t="n">
        <v>74.14</v>
      </c>
      <c r="DX808" s="2" t="n">
        <v>0</v>
      </c>
      <c r="DY808" s="2" t="n">
        <v>83.03</v>
      </c>
      <c r="DZ808" s="2" t="n">
        <v>81.42</v>
      </c>
      <c r="EA808" s="2" t="n">
        <v>0</v>
      </c>
      <c r="EB808" s="2" t="n">
        <v>92.73</v>
      </c>
      <c r="EC808" s="2" t="n">
        <v>88.28</v>
      </c>
      <c r="ED808" s="2" t="n">
        <v>0</v>
      </c>
      <c r="EE808" s="2" t="n">
        <v>100</v>
      </c>
      <c r="EF808" s="2" t="n">
        <v>94.75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  <c r="ET808" s="2" t="n">
        <v>100</v>
      </c>
      <c r="EU808" s="2" t="n">
        <v>100</v>
      </c>
      <c r="EV808" s="2" t="n">
        <v>0</v>
      </c>
      <c r="EW808" s="2" t="n">
        <v>100</v>
      </c>
      <c r="EX808" s="2" t="n">
        <v>100</v>
      </c>
      <c r="EY808" s="2" t="n">
        <v>0</v>
      </c>
      <c r="EZ808" s="2" t="n">
        <v>100</v>
      </c>
      <c r="FA808" s="2" t="n">
        <v>100</v>
      </c>
      <c r="FB808" s="2" t="n">
        <v>0</v>
      </c>
      <c r="FC808" s="2" t="n">
        <v>100</v>
      </c>
      <c r="FD808" s="2" t="n">
        <v>100</v>
      </c>
      <c r="FE808" s="2" t="n">
        <v>0</v>
      </c>
      <c r="FF808" s="2" t="n">
        <v>100</v>
      </c>
      <c r="FG808" s="2" t="n">
        <v>100</v>
      </c>
      <c r="FH808" s="2" t="n">
        <v>0</v>
      </c>
      <c r="FI808" s="2" t="n">
        <v>100</v>
      </c>
      <c r="FJ808" s="2" t="n">
        <v>100</v>
      </c>
      <c r="FK808" s="2" t="n">
        <v>0</v>
      </c>
      <c r="FL808" s="2" t="n">
        <v>100</v>
      </c>
      <c r="FM808" s="2" t="n">
        <v>100</v>
      </c>
      <c r="FN808" s="2" t="n">
        <v>0</v>
      </c>
      <c r="FO808" s="2" t="n">
        <v>100</v>
      </c>
      <c r="FP808" s="2" t="n">
        <v>100</v>
      </c>
      <c r="FQ808" s="2" t="n">
        <v>0</v>
      </c>
    </row>
    <row r="809">
      <c r="A809" s="2" t="n">
        <v>4</v>
      </c>
      <c r="B809" s="2" t="inlineStr">
        <is>
          <t>31.06.07.03</t>
        </is>
      </c>
      <c r="C809" s="2" t="inlineStr">
        <is>
          <t>Fechamento lateral para bancada de mármore Dedalus, acabamento escovado. Espessura: 2cm</t>
        </is>
      </c>
      <c r="D809" s="2" t="inlineStr">
        <is>
          <t>03/03/2027</t>
        </is>
      </c>
      <c r="E809" s="2" t="inlineStr">
        <is>
          <t>24/03/2028</t>
        </is>
      </c>
      <c r="F809" s="2" t="n">
        <v>1379.983023739696</v>
      </c>
      <c r="G809" s="2" t="n">
        <v>0</v>
      </c>
      <c r="H809" s="2" t="n">
        <v>1379.983023739696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0</v>
      </c>
      <c r="CT809" s="2" t="n">
        <v>0</v>
      </c>
      <c r="CU809" s="2" t="n">
        <v>0.8100000000000001</v>
      </c>
      <c r="CV809" s="2" t="n">
        <v>0</v>
      </c>
      <c r="CW809" s="2" t="n">
        <v>0</v>
      </c>
      <c r="CX809" s="2" t="n">
        <v>8.08</v>
      </c>
      <c r="CY809" s="2" t="n">
        <v>4.04</v>
      </c>
      <c r="CZ809" s="2" t="n">
        <v>0</v>
      </c>
      <c r="DA809" s="2" t="n">
        <v>18.76</v>
      </c>
      <c r="DB809" s="2" t="n">
        <v>13.91</v>
      </c>
      <c r="DC809" s="2" t="n">
        <v>0</v>
      </c>
      <c r="DD809" s="2" t="n">
        <v>18.76</v>
      </c>
      <c r="DE809" s="2" t="n">
        <v>18.76</v>
      </c>
      <c r="DF809" s="2" t="n">
        <v>0</v>
      </c>
      <c r="DG809" s="2" t="n">
        <v>25.05</v>
      </c>
      <c r="DH809" s="2" t="n">
        <v>19.42</v>
      </c>
      <c r="DI809" s="2" t="n">
        <v>0</v>
      </c>
      <c r="DJ809" s="2" t="n">
        <v>36.24</v>
      </c>
      <c r="DK809" s="2" t="n">
        <v>34.63</v>
      </c>
      <c r="DL809" s="2" t="n">
        <v>0</v>
      </c>
      <c r="DM809" s="2" t="n">
        <v>49.88</v>
      </c>
      <c r="DN809" s="2" t="n">
        <v>45.53</v>
      </c>
      <c r="DO809" s="2" t="n">
        <v>0</v>
      </c>
      <c r="DP809" s="2" t="n">
        <v>62.32</v>
      </c>
      <c r="DQ809" s="2" t="n">
        <v>57.15</v>
      </c>
      <c r="DR809" s="2" t="n">
        <v>0</v>
      </c>
      <c r="DS809" s="2" t="n">
        <v>67.17</v>
      </c>
      <c r="DT809" s="2" t="n">
        <v>66.77</v>
      </c>
      <c r="DU809" s="2" t="n">
        <v>0</v>
      </c>
      <c r="DV809" s="2" t="n">
        <v>75.76000000000001</v>
      </c>
      <c r="DW809" s="2" t="n">
        <v>74.14</v>
      </c>
      <c r="DX809" s="2" t="n">
        <v>0</v>
      </c>
      <c r="DY809" s="2" t="n">
        <v>83.03</v>
      </c>
      <c r="DZ809" s="2" t="n">
        <v>81.42</v>
      </c>
      <c r="EA809" s="2" t="n">
        <v>0</v>
      </c>
      <c r="EB809" s="2" t="n">
        <v>92.73</v>
      </c>
      <c r="EC809" s="2" t="n">
        <v>88.28</v>
      </c>
      <c r="ED809" s="2" t="n">
        <v>0</v>
      </c>
      <c r="EE809" s="2" t="n">
        <v>100</v>
      </c>
      <c r="EF809" s="2" t="n">
        <v>94.75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  <c r="ET809" s="2" t="n">
        <v>100</v>
      </c>
      <c r="EU809" s="2" t="n">
        <v>100</v>
      </c>
      <c r="EV809" s="2" t="n">
        <v>0</v>
      </c>
      <c r="EW809" s="2" t="n">
        <v>100</v>
      </c>
      <c r="EX809" s="2" t="n">
        <v>100</v>
      </c>
      <c r="EY809" s="2" t="n">
        <v>0</v>
      </c>
      <c r="EZ809" s="2" t="n">
        <v>100</v>
      </c>
      <c r="FA809" s="2" t="n">
        <v>100</v>
      </c>
      <c r="FB809" s="2" t="n">
        <v>0</v>
      </c>
      <c r="FC809" s="2" t="n">
        <v>100</v>
      </c>
      <c r="FD809" s="2" t="n">
        <v>100</v>
      </c>
      <c r="FE809" s="2" t="n">
        <v>0</v>
      </c>
      <c r="FF809" s="2" t="n">
        <v>100</v>
      </c>
      <c r="FG809" s="2" t="n">
        <v>100</v>
      </c>
      <c r="FH809" s="2" t="n">
        <v>0</v>
      </c>
      <c r="FI809" s="2" t="n">
        <v>100</v>
      </c>
      <c r="FJ809" s="2" t="n">
        <v>100</v>
      </c>
      <c r="FK809" s="2" t="n">
        <v>0</v>
      </c>
      <c r="FL809" s="2" t="n">
        <v>100</v>
      </c>
      <c r="FM809" s="2" t="n">
        <v>100</v>
      </c>
      <c r="FN809" s="2" t="n">
        <v>0</v>
      </c>
      <c r="FO809" s="2" t="n">
        <v>100</v>
      </c>
      <c r="FP809" s="2" t="n">
        <v>100</v>
      </c>
      <c r="FQ809" s="2" t="n">
        <v>0</v>
      </c>
    </row>
    <row r="810">
      <c r="A810" s="2" t="n">
        <v>4</v>
      </c>
      <c r="B810" s="2" t="inlineStr">
        <is>
          <t>31.06.07.04</t>
        </is>
      </c>
      <c r="C810" s="2" t="inlineStr">
        <is>
          <t>Furo e colagem de bojo</t>
        </is>
      </c>
      <c r="D810" s="2" t="inlineStr">
        <is>
          <t>03/03/2027</t>
        </is>
      </c>
      <c r="E810" s="2" t="inlineStr">
        <is>
          <t>24/03/2028</t>
        </is>
      </c>
      <c r="F810" s="2" t="n">
        <v>180</v>
      </c>
      <c r="G810" s="2" t="n">
        <v>0</v>
      </c>
      <c r="H810" s="2" t="n">
        <v>180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0</v>
      </c>
      <c r="CT810" s="2" t="n">
        <v>0</v>
      </c>
      <c r="CU810" s="2" t="n">
        <v>0.8100000000000001</v>
      </c>
      <c r="CV810" s="2" t="n">
        <v>0</v>
      </c>
      <c r="CW810" s="2" t="n">
        <v>0</v>
      </c>
      <c r="CX810" s="2" t="n">
        <v>8.08</v>
      </c>
      <c r="CY810" s="2" t="n">
        <v>4.04</v>
      </c>
      <c r="CZ810" s="2" t="n">
        <v>0</v>
      </c>
      <c r="DA810" s="2" t="n">
        <v>18.76</v>
      </c>
      <c r="DB810" s="2" t="n">
        <v>13.91</v>
      </c>
      <c r="DC810" s="2" t="n">
        <v>0</v>
      </c>
      <c r="DD810" s="2" t="n">
        <v>18.76</v>
      </c>
      <c r="DE810" s="2" t="n">
        <v>18.76</v>
      </c>
      <c r="DF810" s="2" t="n">
        <v>0</v>
      </c>
      <c r="DG810" s="2" t="n">
        <v>25.05</v>
      </c>
      <c r="DH810" s="2" t="n">
        <v>19.42</v>
      </c>
      <c r="DI810" s="2" t="n">
        <v>0</v>
      </c>
      <c r="DJ810" s="2" t="n">
        <v>36.24</v>
      </c>
      <c r="DK810" s="2" t="n">
        <v>34.63</v>
      </c>
      <c r="DL810" s="2" t="n">
        <v>0</v>
      </c>
      <c r="DM810" s="2" t="n">
        <v>49.88</v>
      </c>
      <c r="DN810" s="2" t="n">
        <v>45.53</v>
      </c>
      <c r="DO810" s="2" t="n">
        <v>0</v>
      </c>
      <c r="DP810" s="2" t="n">
        <v>62.32</v>
      </c>
      <c r="DQ810" s="2" t="n">
        <v>57.15</v>
      </c>
      <c r="DR810" s="2" t="n">
        <v>0</v>
      </c>
      <c r="DS810" s="2" t="n">
        <v>67.17</v>
      </c>
      <c r="DT810" s="2" t="n">
        <v>66.77</v>
      </c>
      <c r="DU810" s="2" t="n">
        <v>0</v>
      </c>
      <c r="DV810" s="2" t="n">
        <v>75.76000000000001</v>
      </c>
      <c r="DW810" s="2" t="n">
        <v>74.14</v>
      </c>
      <c r="DX810" s="2" t="n">
        <v>0</v>
      </c>
      <c r="DY810" s="2" t="n">
        <v>83.03</v>
      </c>
      <c r="DZ810" s="2" t="n">
        <v>81.42</v>
      </c>
      <c r="EA810" s="2" t="n">
        <v>0</v>
      </c>
      <c r="EB810" s="2" t="n">
        <v>92.73</v>
      </c>
      <c r="EC810" s="2" t="n">
        <v>88.28</v>
      </c>
      <c r="ED810" s="2" t="n">
        <v>0</v>
      </c>
      <c r="EE810" s="2" t="n">
        <v>100</v>
      </c>
      <c r="EF810" s="2" t="n">
        <v>94.75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  <c r="ET810" s="2" t="n">
        <v>100</v>
      </c>
      <c r="EU810" s="2" t="n">
        <v>100</v>
      </c>
      <c r="EV810" s="2" t="n">
        <v>0</v>
      </c>
      <c r="EW810" s="2" t="n">
        <v>100</v>
      </c>
      <c r="EX810" s="2" t="n">
        <v>100</v>
      </c>
      <c r="EY810" s="2" t="n">
        <v>0</v>
      </c>
      <c r="EZ810" s="2" t="n">
        <v>100</v>
      </c>
      <c r="FA810" s="2" t="n">
        <v>100</v>
      </c>
      <c r="FB810" s="2" t="n">
        <v>0</v>
      </c>
      <c r="FC810" s="2" t="n">
        <v>100</v>
      </c>
      <c r="FD810" s="2" t="n">
        <v>100</v>
      </c>
      <c r="FE810" s="2" t="n">
        <v>0</v>
      </c>
      <c r="FF810" s="2" t="n">
        <v>100</v>
      </c>
      <c r="FG810" s="2" t="n">
        <v>100</v>
      </c>
      <c r="FH810" s="2" t="n">
        <v>0</v>
      </c>
      <c r="FI810" s="2" t="n">
        <v>100</v>
      </c>
      <c r="FJ810" s="2" t="n">
        <v>100</v>
      </c>
      <c r="FK810" s="2" t="n">
        <v>0</v>
      </c>
      <c r="FL810" s="2" t="n">
        <v>100</v>
      </c>
      <c r="FM810" s="2" t="n">
        <v>100</v>
      </c>
      <c r="FN810" s="2" t="n">
        <v>0</v>
      </c>
      <c r="FO810" s="2" t="n">
        <v>100</v>
      </c>
      <c r="FP810" s="2" t="n">
        <v>100</v>
      </c>
      <c r="FQ810" s="2" t="n">
        <v>0</v>
      </c>
    </row>
    <row r="811">
      <c r="A811" s="2" t="n">
        <v>4</v>
      </c>
      <c r="B811" s="2" t="inlineStr">
        <is>
          <t>31.06.07.05</t>
        </is>
      </c>
      <c r="C811" s="2" t="inlineStr">
        <is>
          <t>Mãos francesas para bancadas</t>
        </is>
      </c>
      <c r="D811" s="2" t="inlineStr">
        <is>
          <t>03/03/2027</t>
        </is>
      </c>
      <c r="E811" s="2" t="inlineStr">
        <is>
          <t>24/03/2028</t>
        </is>
      </c>
      <c r="F811" s="2" t="n">
        <v>166.8</v>
      </c>
      <c r="G811" s="2" t="n">
        <v>0</v>
      </c>
      <c r="H811" s="2" t="n">
        <v>166.8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0</v>
      </c>
      <c r="CT811" s="2" t="n">
        <v>0</v>
      </c>
      <c r="CU811" s="2" t="n">
        <v>0.8100000000000001</v>
      </c>
      <c r="CV811" s="2" t="n">
        <v>0</v>
      </c>
      <c r="CW811" s="2" t="n">
        <v>0</v>
      </c>
      <c r="CX811" s="2" t="n">
        <v>8.08</v>
      </c>
      <c r="CY811" s="2" t="n">
        <v>4.04</v>
      </c>
      <c r="CZ811" s="2" t="n">
        <v>0</v>
      </c>
      <c r="DA811" s="2" t="n">
        <v>18.76</v>
      </c>
      <c r="DB811" s="2" t="n">
        <v>13.91</v>
      </c>
      <c r="DC811" s="2" t="n">
        <v>0</v>
      </c>
      <c r="DD811" s="2" t="n">
        <v>18.76</v>
      </c>
      <c r="DE811" s="2" t="n">
        <v>18.76</v>
      </c>
      <c r="DF811" s="2" t="n">
        <v>0</v>
      </c>
      <c r="DG811" s="2" t="n">
        <v>25.05</v>
      </c>
      <c r="DH811" s="2" t="n">
        <v>19.42</v>
      </c>
      <c r="DI811" s="2" t="n">
        <v>0</v>
      </c>
      <c r="DJ811" s="2" t="n">
        <v>36.24</v>
      </c>
      <c r="DK811" s="2" t="n">
        <v>34.63</v>
      </c>
      <c r="DL811" s="2" t="n">
        <v>0</v>
      </c>
      <c r="DM811" s="2" t="n">
        <v>49.88</v>
      </c>
      <c r="DN811" s="2" t="n">
        <v>45.53</v>
      </c>
      <c r="DO811" s="2" t="n">
        <v>0</v>
      </c>
      <c r="DP811" s="2" t="n">
        <v>62.32</v>
      </c>
      <c r="DQ811" s="2" t="n">
        <v>57.15</v>
      </c>
      <c r="DR811" s="2" t="n">
        <v>0</v>
      </c>
      <c r="DS811" s="2" t="n">
        <v>67.17</v>
      </c>
      <c r="DT811" s="2" t="n">
        <v>66.77</v>
      </c>
      <c r="DU811" s="2" t="n">
        <v>0</v>
      </c>
      <c r="DV811" s="2" t="n">
        <v>75.76000000000001</v>
      </c>
      <c r="DW811" s="2" t="n">
        <v>74.14</v>
      </c>
      <c r="DX811" s="2" t="n">
        <v>0</v>
      </c>
      <c r="DY811" s="2" t="n">
        <v>83.03</v>
      </c>
      <c r="DZ811" s="2" t="n">
        <v>81.42</v>
      </c>
      <c r="EA811" s="2" t="n">
        <v>0</v>
      </c>
      <c r="EB811" s="2" t="n">
        <v>92.73</v>
      </c>
      <c r="EC811" s="2" t="n">
        <v>88.28</v>
      </c>
      <c r="ED811" s="2" t="n">
        <v>0</v>
      </c>
      <c r="EE811" s="2" t="n">
        <v>100</v>
      </c>
      <c r="EF811" s="2" t="n">
        <v>94.75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  <c r="ET811" s="2" t="n">
        <v>100</v>
      </c>
      <c r="EU811" s="2" t="n">
        <v>100</v>
      </c>
      <c r="EV811" s="2" t="n">
        <v>0</v>
      </c>
      <c r="EW811" s="2" t="n">
        <v>100</v>
      </c>
      <c r="EX811" s="2" t="n">
        <v>100</v>
      </c>
      <c r="EY811" s="2" t="n">
        <v>0</v>
      </c>
      <c r="EZ811" s="2" t="n">
        <v>100</v>
      </c>
      <c r="FA811" s="2" t="n">
        <v>100</v>
      </c>
      <c r="FB811" s="2" t="n">
        <v>0</v>
      </c>
      <c r="FC811" s="2" t="n">
        <v>100</v>
      </c>
      <c r="FD811" s="2" t="n">
        <v>100</v>
      </c>
      <c r="FE811" s="2" t="n">
        <v>0</v>
      </c>
      <c r="FF811" s="2" t="n">
        <v>100</v>
      </c>
      <c r="FG811" s="2" t="n">
        <v>100</v>
      </c>
      <c r="FH811" s="2" t="n">
        <v>0</v>
      </c>
      <c r="FI811" s="2" t="n">
        <v>100</v>
      </c>
      <c r="FJ811" s="2" t="n">
        <v>100</v>
      </c>
      <c r="FK811" s="2" t="n">
        <v>0</v>
      </c>
      <c r="FL811" s="2" t="n">
        <v>100</v>
      </c>
      <c r="FM811" s="2" t="n">
        <v>100</v>
      </c>
      <c r="FN811" s="2" t="n">
        <v>0</v>
      </c>
      <c r="FO811" s="2" t="n">
        <v>100</v>
      </c>
      <c r="FP811" s="2" t="n">
        <v>100</v>
      </c>
      <c r="FQ811" s="2" t="n">
        <v>0</v>
      </c>
    </row>
    <row r="812">
      <c r="A812" s="2" t="n">
        <v>4</v>
      </c>
      <c r="B812" s="2" t="inlineStr">
        <is>
          <t>31.06.07.06</t>
        </is>
      </c>
      <c r="C812" s="2" t="inlineStr">
        <is>
          <t>Proteção de bancadas contra manuseio de obra</t>
        </is>
      </c>
      <c r="D812" s="2" t="inlineStr">
        <is>
          <t>03/03/2027</t>
        </is>
      </c>
      <c r="E812" s="2" t="inlineStr">
        <is>
          <t>24/03/2028</t>
        </is>
      </c>
      <c r="F812" s="2" t="n">
        <v>112.6714360731976</v>
      </c>
      <c r="G812" s="2" t="n">
        <v>0</v>
      </c>
      <c r="H812" s="2" t="n">
        <v>112.6714360731976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0</v>
      </c>
      <c r="CT812" s="2" t="n">
        <v>0</v>
      </c>
      <c r="CU812" s="2" t="n">
        <v>0.8100000000000001</v>
      </c>
      <c r="CV812" s="2" t="n">
        <v>0</v>
      </c>
      <c r="CW812" s="2" t="n">
        <v>0</v>
      </c>
      <c r="CX812" s="2" t="n">
        <v>8.08</v>
      </c>
      <c r="CY812" s="2" t="n">
        <v>4.04</v>
      </c>
      <c r="CZ812" s="2" t="n">
        <v>0</v>
      </c>
      <c r="DA812" s="2" t="n">
        <v>18.76</v>
      </c>
      <c r="DB812" s="2" t="n">
        <v>13.91</v>
      </c>
      <c r="DC812" s="2" t="n">
        <v>0</v>
      </c>
      <c r="DD812" s="2" t="n">
        <v>18.76</v>
      </c>
      <c r="DE812" s="2" t="n">
        <v>18.76</v>
      </c>
      <c r="DF812" s="2" t="n">
        <v>0</v>
      </c>
      <c r="DG812" s="2" t="n">
        <v>25.05</v>
      </c>
      <c r="DH812" s="2" t="n">
        <v>19.42</v>
      </c>
      <c r="DI812" s="2" t="n">
        <v>0</v>
      </c>
      <c r="DJ812" s="2" t="n">
        <v>36.24</v>
      </c>
      <c r="DK812" s="2" t="n">
        <v>34.63</v>
      </c>
      <c r="DL812" s="2" t="n">
        <v>0</v>
      </c>
      <c r="DM812" s="2" t="n">
        <v>49.88</v>
      </c>
      <c r="DN812" s="2" t="n">
        <v>45.53</v>
      </c>
      <c r="DO812" s="2" t="n">
        <v>0</v>
      </c>
      <c r="DP812" s="2" t="n">
        <v>62.32</v>
      </c>
      <c r="DQ812" s="2" t="n">
        <v>57.15</v>
      </c>
      <c r="DR812" s="2" t="n">
        <v>0</v>
      </c>
      <c r="DS812" s="2" t="n">
        <v>67.17</v>
      </c>
      <c r="DT812" s="2" t="n">
        <v>66.77</v>
      </c>
      <c r="DU812" s="2" t="n">
        <v>0</v>
      </c>
      <c r="DV812" s="2" t="n">
        <v>75.76000000000001</v>
      </c>
      <c r="DW812" s="2" t="n">
        <v>74.14</v>
      </c>
      <c r="DX812" s="2" t="n">
        <v>0</v>
      </c>
      <c r="DY812" s="2" t="n">
        <v>83.03</v>
      </c>
      <c r="DZ812" s="2" t="n">
        <v>81.42</v>
      </c>
      <c r="EA812" s="2" t="n">
        <v>0</v>
      </c>
      <c r="EB812" s="2" t="n">
        <v>92.73</v>
      </c>
      <c r="EC812" s="2" t="n">
        <v>88.28</v>
      </c>
      <c r="ED812" s="2" t="n">
        <v>0</v>
      </c>
      <c r="EE812" s="2" t="n">
        <v>100</v>
      </c>
      <c r="EF812" s="2" t="n">
        <v>94.75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  <c r="ET812" s="2" t="n">
        <v>100</v>
      </c>
      <c r="EU812" s="2" t="n">
        <v>100</v>
      </c>
      <c r="EV812" s="2" t="n">
        <v>0</v>
      </c>
      <c r="EW812" s="2" t="n">
        <v>100</v>
      </c>
      <c r="EX812" s="2" t="n">
        <v>100</v>
      </c>
      <c r="EY812" s="2" t="n">
        <v>0</v>
      </c>
      <c r="EZ812" s="2" t="n">
        <v>100</v>
      </c>
      <c r="FA812" s="2" t="n">
        <v>100</v>
      </c>
      <c r="FB812" s="2" t="n">
        <v>0</v>
      </c>
      <c r="FC812" s="2" t="n">
        <v>100</v>
      </c>
      <c r="FD812" s="2" t="n">
        <v>100</v>
      </c>
      <c r="FE812" s="2" t="n">
        <v>0</v>
      </c>
      <c r="FF812" s="2" t="n">
        <v>100</v>
      </c>
      <c r="FG812" s="2" t="n">
        <v>100</v>
      </c>
      <c r="FH812" s="2" t="n">
        <v>0</v>
      </c>
      <c r="FI812" s="2" t="n">
        <v>100</v>
      </c>
      <c r="FJ812" s="2" t="n">
        <v>100</v>
      </c>
      <c r="FK812" s="2" t="n">
        <v>0</v>
      </c>
      <c r="FL812" s="2" t="n">
        <v>100</v>
      </c>
      <c r="FM812" s="2" t="n">
        <v>100</v>
      </c>
      <c r="FN812" s="2" t="n">
        <v>0</v>
      </c>
      <c r="FO812" s="2" t="n">
        <v>100</v>
      </c>
      <c r="FP812" s="2" t="n">
        <v>100</v>
      </c>
      <c r="FQ812" s="2" t="n">
        <v>0</v>
      </c>
    </row>
    <row r="813">
      <c r="A813" s="2" t="n">
        <v>3</v>
      </c>
      <c r="B813" s="2" t="inlineStr">
        <is>
          <t>31.06.08</t>
        </is>
      </c>
      <c r="C813" s="2" t="inlineStr">
        <is>
          <t>Bancada em pedra natural, quartzito mont blanc acabamento escovado. Espessura: 2cm</t>
        </is>
      </c>
      <c r="D813" s="2" t="inlineStr">
        <is>
          <t>03/03/2027</t>
        </is>
      </c>
      <c r="E813" s="2" t="inlineStr">
        <is>
          <t>24/03/2028</t>
        </is>
      </c>
      <c r="F813" s="2" t="n">
        <v>40859.69842960546</v>
      </c>
      <c r="G813" s="2" t="n">
        <v>0</v>
      </c>
      <c r="H813" s="2" t="n">
        <v>40859.69842960546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0</v>
      </c>
      <c r="CT813" s="2" t="n">
        <v>0</v>
      </c>
      <c r="CU813" s="2" t="n">
        <v>0.8100000000000001</v>
      </c>
      <c r="CV813" s="2" t="n">
        <v>0</v>
      </c>
      <c r="CW813" s="2" t="n">
        <v>0</v>
      </c>
      <c r="CX813" s="2" t="n">
        <v>8.08</v>
      </c>
      <c r="CY813" s="2" t="n">
        <v>4.04</v>
      </c>
      <c r="CZ813" s="2" t="n">
        <v>0</v>
      </c>
      <c r="DA813" s="2" t="n">
        <v>18.76</v>
      </c>
      <c r="DB813" s="2" t="n">
        <v>13.91</v>
      </c>
      <c r="DC813" s="2" t="n">
        <v>0</v>
      </c>
      <c r="DD813" s="2" t="n">
        <v>18.76</v>
      </c>
      <c r="DE813" s="2" t="n">
        <v>18.76</v>
      </c>
      <c r="DF813" s="2" t="n">
        <v>0</v>
      </c>
      <c r="DG813" s="2" t="n">
        <v>25.05</v>
      </c>
      <c r="DH813" s="2" t="n">
        <v>19.42</v>
      </c>
      <c r="DI813" s="2" t="n">
        <v>0</v>
      </c>
      <c r="DJ813" s="2" t="n">
        <v>36.24</v>
      </c>
      <c r="DK813" s="2" t="n">
        <v>34.63</v>
      </c>
      <c r="DL813" s="2" t="n">
        <v>0</v>
      </c>
      <c r="DM813" s="2" t="n">
        <v>49.88</v>
      </c>
      <c r="DN813" s="2" t="n">
        <v>45.53</v>
      </c>
      <c r="DO813" s="2" t="n">
        <v>0</v>
      </c>
      <c r="DP813" s="2" t="n">
        <v>62.32</v>
      </c>
      <c r="DQ813" s="2" t="n">
        <v>57.15</v>
      </c>
      <c r="DR813" s="2" t="n">
        <v>0</v>
      </c>
      <c r="DS813" s="2" t="n">
        <v>67.17</v>
      </c>
      <c r="DT813" s="2" t="n">
        <v>66.77</v>
      </c>
      <c r="DU813" s="2" t="n">
        <v>0</v>
      </c>
      <c r="DV813" s="2" t="n">
        <v>75.76000000000001</v>
      </c>
      <c r="DW813" s="2" t="n">
        <v>74.14</v>
      </c>
      <c r="DX813" s="2" t="n">
        <v>0</v>
      </c>
      <c r="DY813" s="2" t="n">
        <v>83.03</v>
      </c>
      <c r="DZ813" s="2" t="n">
        <v>81.42</v>
      </c>
      <c r="EA813" s="2" t="n">
        <v>0</v>
      </c>
      <c r="EB813" s="2" t="n">
        <v>92.73</v>
      </c>
      <c r="EC813" s="2" t="n">
        <v>88.28</v>
      </c>
      <c r="ED813" s="2" t="n">
        <v>0</v>
      </c>
      <c r="EE813" s="2" t="n">
        <v>100</v>
      </c>
      <c r="EF813" s="2" t="n">
        <v>94.75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  <c r="ET813" s="2" t="n">
        <v>100</v>
      </c>
      <c r="EU813" s="2" t="n">
        <v>100</v>
      </c>
      <c r="EV813" s="2" t="n">
        <v>0</v>
      </c>
      <c r="EW813" s="2" t="n">
        <v>100</v>
      </c>
      <c r="EX813" s="2" t="n">
        <v>100</v>
      </c>
      <c r="EY813" s="2" t="n">
        <v>0</v>
      </c>
      <c r="EZ813" s="2" t="n">
        <v>100</v>
      </c>
      <c r="FA813" s="2" t="n">
        <v>100</v>
      </c>
      <c r="FB813" s="2" t="n">
        <v>0</v>
      </c>
      <c r="FC813" s="2" t="n">
        <v>100</v>
      </c>
      <c r="FD813" s="2" t="n">
        <v>100</v>
      </c>
      <c r="FE813" s="2" t="n">
        <v>0</v>
      </c>
      <c r="FF813" s="2" t="n">
        <v>100</v>
      </c>
      <c r="FG813" s="2" t="n">
        <v>100</v>
      </c>
      <c r="FH813" s="2" t="n">
        <v>0</v>
      </c>
      <c r="FI813" s="2" t="n">
        <v>100</v>
      </c>
      <c r="FJ813" s="2" t="n">
        <v>100</v>
      </c>
      <c r="FK813" s="2" t="n">
        <v>0</v>
      </c>
      <c r="FL813" s="2" t="n">
        <v>100</v>
      </c>
      <c r="FM813" s="2" t="n">
        <v>100</v>
      </c>
      <c r="FN813" s="2" t="n">
        <v>0</v>
      </c>
      <c r="FO813" s="2" t="n">
        <v>100</v>
      </c>
      <c r="FP813" s="2" t="n">
        <v>100</v>
      </c>
      <c r="FQ813" s="2" t="n">
        <v>0</v>
      </c>
    </row>
    <row r="814">
      <c r="A814" s="2" t="n">
        <v>4</v>
      </c>
      <c r="B814" s="2" t="inlineStr">
        <is>
          <t>31.06.08.01</t>
        </is>
      </c>
      <c r="C814" s="2" t="inlineStr">
        <is>
          <t>Bancada em pedra natural, quartzito mont blanc acabamento escovado. Espessura: 2cm</t>
        </is>
      </c>
      <c r="D814" s="2" t="inlineStr">
        <is>
          <t>03/03/2027</t>
        </is>
      </c>
      <c r="E814" s="2" t="inlineStr">
        <is>
          <t>24/03/2028</t>
        </is>
      </c>
      <c r="F814" s="2" t="n">
        <v>16824.10375316811</v>
      </c>
      <c r="G814" s="2" t="n">
        <v>0</v>
      </c>
      <c r="H814" s="2" t="n">
        <v>16824.10375316811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0</v>
      </c>
      <c r="CT814" s="2" t="n">
        <v>0</v>
      </c>
      <c r="CU814" s="2" t="n">
        <v>0.8100000000000001</v>
      </c>
      <c r="CV814" s="2" t="n">
        <v>0</v>
      </c>
      <c r="CW814" s="2" t="n">
        <v>0</v>
      </c>
      <c r="CX814" s="2" t="n">
        <v>8.08</v>
      </c>
      <c r="CY814" s="2" t="n">
        <v>4.04</v>
      </c>
      <c r="CZ814" s="2" t="n">
        <v>0</v>
      </c>
      <c r="DA814" s="2" t="n">
        <v>18.76</v>
      </c>
      <c r="DB814" s="2" t="n">
        <v>13.91</v>
      </c>
      <c r="DC814" s="2" t="n">
        <v>0</v>
      </c>
      <c r="DD814" s="2" t="n">
        <v>18.76</v>
      </c>
      <c r="DE814" s="2" t="n">
        <v>18.76</v>
      </c>
      <c r="DF814" s="2" t="n">
        <v>0</v>
      </c>
      <c r="DG814" s="2" t="n">
        <v>25.05</v>
      </c>
      <c r="DH814" s="2" t="n">
        <v>19.42</v>
      </c>
      <c r="DI814" s="2" t="n">
        <v>0</v>
      </c>
      <c r="DJ814" s="2" t="n">
        <v>36.24</v>
      </c>
      <c r="DK814" s="2" t="n">
        <v>34.63</v>
      </c>
      <c r="DL814" s="2" t="n">
        <v>0</v>
      </c>
      <c r="DM814" s="2" t="n">
        <v>49.88</v>
      </c>
      <c r="DN814" s="2" t="n">
        <v>45.53</v>
      </c>
      <c r="DO814" s="2" t="n">
        <v>0</v>
      </c>
      <c r="DP814" s="2" t="n">
        <v>62.32</v>
      </c>
      <c r="DQ814" s="2" t="n">
        <v>57.15</v>
      </c>
      <c r="DR814" s="2" t="n">
        <v>0</v>
      </c>
      <c r="DS814" s="2" t="n">
        <v>67.17</v>
      </c>
      <c r="DT814" s="2" t="n">
        <v>66.77</v>
      </c>
      <c r="DU814" s="2" t="n">
        <v>0</v>
      </c>
      <c r="DV814" s="2" t="n">
        <v>75.76000000000001</v>
      </c>
      <c r="DW814" s="2" t="n">
        <v>74.14</v>
      </c>
      <c r="DX814" s="2" t="n">
        <v>0</v>
      </c>
      <c r="DY814" s="2" t="n">
        <v>83.03</v>
      </c>
      <c r="DZ814" s="2" t="n">
        <v>81.42</v>
      </c>
      <c r="EA814" s="2" t="n">
        <v>0</v>
      </c>
      <c r="EB814" s="2" t="n">
        <v>92.73</v>
      </c>
      <c r="EC814" s="2" t="n">
        <v>88.28</v>
      </c>
      <c r="ED814" s="2" t="n">
        <v>0</v>
      </c>
      <c r="EE814" s="2" t="n">
        <v>100</v>
      </c>
      <c r="EF814" s="2" t="n">
        <v>94.75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  <c r="ET814" s="2" t="n">
        <v>100</v>
      </c>
      <c r="EU814" s="2" t="n">
        <v>100</v>
      </c>
      <c r="EV814" s="2" t="n">
        <v>0</v>
      </c>
      <c r="EW814" s="2" t="n">
        <v>100</v>
      </c>
      <c r="EX814" s="2" t="n">
        <v>100</v>
      </c>
      <c r="EY814" s="2" t="n">
        <v>0</v>
      </c>
      <c r="EZ814" s="2" t="n">
        <v>100</v>
      </c>
      <c r="FA814" s="2" t="n">
        <v>100</v>
      </c>
      <c r="FB814" s="2" t="n">
        <v>0</v>
      </c>
      <c r="FC814" s="2" t="n">
        <v>100</v>
      </c>
      <c r="FD814" s="2" t="n">
        <v>100</v>
      </c>
      <c r="FE814" s="2" t="n">
        <v>0</v>
      </c>
      <c r="FF814" s="2" t="n">
        <v>100</v>
      </c>
      <c r="FG814" s="2" t="n">
        <v>100</v>
      </c>
      <c r="FH814" s="2" t="n">
        <v>0</v>
      </c>
      <c r="FI814" s="2" t="n">
        <v>100</v>
      </c>
      <c r="FJ814" s="2" t="n">
        <v>100</v>
      </c>
      <c r="FK814" s="2" t="n">
        <v>0</v>
      </c>
      <c r="FL814" s="2" t="n">
        <v>100</v>
      </c>
      <c r="FM814" s="2" t="n">
        <v>100</v>
      </c>
      <c r="FN814" s="2" t="n">
        <v>0</v>
      </c>
      <c r="FO814" s="2" t="n">
        <v>100</v>
      </c>
      <c r="FP814" s="2" t="n">
        <v>100</v>
      </c>
      <c r="FQ814" s="2" t="n">
        <v>0</v>
      </c>
    </row>
    <row r="815">
      <c r="A815" s="2" t="n">
        <v>4</v>
      </c>
      <c r="B815" s="2" t="inlineStr">
        <is>
          <t>31.06.08.02</t>
        </is>
      </c>
      <c r="C815" s="2" t="inlineStr">
        <is>
          <t>Fechamento lateral em pedra natural, quartzito mont blanc acabamento escovado. Espessura: 2cm</t>
        </is>
      </c>
      <c r="D815" s="2" t="inlineStr">
        <is>
          <t>03/03/2027</t>
        </is>
      </c>
      <c r="E815" s="2" t="inlineStr">
        <is>
          <t>24/03/2028</t>
        </is>
      </c>
      <c r="F815" s="2" t="n">
        <v>12688.88633235575</v>
      </c>
      <c r="G815" s="2" t="n">
        <v>0</v>
      </c>
      <c r="H815" s="2" t="n">
        <v>12688.88633235575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0</v>
      </c>
      <c r="CP815" s="2" t="n">
        <v>0</v>
      </c>
      <c r="CQ815" s="2" t="n">
        <v>0</v>
      </c>
      <c r="CR815" s="2" t="n">
        <v>0</v>
      </c>
      <c r="CS815" s="2" t="n">
        <v>0</v>
      </c>
      <c r="CT815" s="2" t="n">
        <v>0</v>
      </c>
      <c r="CU815" s="2" t="n">
        <v>0.8100000000000001</v>
      </c>
      <c r="CV815" s="2" t="n">
        <v>0</v>
      </c>
      <c r="CW815" s="2" t="n">
        <v>0</v>
      </c>
      <c r="CX815" s="2" t="n">
        <v>8.08</v>
      </c>
      <c r="CY815" s="2" t="n">
        <v>4.04</v>
      </c>
      <c r="CZ815" s="2" t="n">
        <v>0</v>
      </c>
      <c r="DA815" s="2" t="n">
        <v>18.76</v>
      </c>
      <c r="DB815" s="2" t="n">
        <v>13.91</v>
      </c>
      <c r="DC815" s="2" t="n">
        <v>0</v>
      </c>
      <c r="DD815" s="2" t="n">
        <v>18.76</v>
      </c>
      <c r="DE815" s="2" t="n">
        <v>18.76</v>
      </c>
      <c r="DF815" s="2" t="n">
        <v>0</v>
      </c>
      <c r="DG815" s="2" t="n">
        <v>25.05</v>
      </c>
      <c r="DH815" s="2" t="n">
        <v>19.42</v>
      </c>
      <c r="DI815" s="2" t="n">
        <v>0</v>
      </c>
      <c r="DJ815" s="2" t="n">
        <v>36.24</v>
      </c>
      <c r="DK815" s="2" t="n">
        <v>34.63</v>
      </c>
      <c r="DL815" s="2" t="n">
        <v>0</v>
      </c>
      <c r="DM815" s="2" t="n">
        <v>49.88</v>
      </c>
      <c r="DN815" s="2" t="n">
        <v>45.53</v>
      </c>
      <c r="DO815" s="2" t="n">
        <v>0</v>
      </c>
      <c r="DP815" s="2" t="n">
        <v>62.32</v>
      </c>
      <c r="DQ815" s="2" t="n">
        <v>57.15</v>
      </c>
      <c r="DR815" s="2" t="n">
        <v>0</v>
      </c>
      <c r="DS815" s="2" t="n">
        <v>67.17</v>
      </c>
      <c r="DT815" s="2" t="n">
        <v>66.77</v>
      </c>
      <c r="DU815" s="2" t="n">
        <v>0</v>
      </c>
      <c r="DV815" s="2" t="n">
        <v>75.76000000000001</v>
      </c>
      <c r="DW815" s="2" t="n">
        <v>74.14</v>
      </c>
      <c r="DX815" s="2" t="n">
        <v>0</v>
      </c>
      <c r="DY815" s="2" t="n">
        <v>83.03</v>
      </c>
      <c r="DZ815" s="2" t="n">
        <v>81.42</v>
      </c>
      <c r="EA815" s="2" t="n">
        <v>0</v>
      </c>
      <c r="EB815" s="2" t="n">
        <v>92.73</v>
      </c>
      <c r="EC815" s="2" t="n">
        <v>88.28</v>
      </c>
      <c r="ED815" s="2" t="n">
        <v>0</v>
      </c>
      <c r="EE815" s="2" t="n">
        <v>100</v>
      </c>
      <c r="EF815" s="2" t="n">
        <v>94.75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  <c r="ET815" s="2" t="n">
        <v>100</v>
      </c>
      <c r="EU815" s="2" t="n">
        <v>100</v>
      </c>
      <c r="EV815" s="2" t="n">
        <v>0</v>
      </c>
      <c r="EW815" s="2" t="n">
        <v>100</v>
      </c>
      <c r="EX815" s="2" t="n">
        <v>100</v>
      </c>
      <c r="EY815" s="2" t="n">
        <v>0</v>
      </c>
      <c r="EZ815" s="2" t="n">
        <v>100</v>
      </c>
      <c r="FA815" s="2" t="n">
        <v>100</v>
      </c>
      <c r="FB815" s="2" t="n">
        <v>0</v>
      </c>
      <c r="FC815" s="2" t="n">
        <v>100</v>
      </c>
      <c r="FD815" s="2" t="n">
        <v>100</v>
      </c>
      <c r="FE815" s="2" t="n">
        <v>0</v>
      </c>
      <c r="FF815" s="2" t="n">
        <v>100</v>
      </c>
      <c r="FG815" s="2" t="n">
        <v>100</v>
      </c>
      <c r="FH815" s="2" t="n">
        <v>0</v>
      </c>
      <c r="FI815" s="2" t="n">
        <v>100</v>
      </c>
      <c r="FJ815" s="2" t="n">
        <v>100</v>
      </c>
      <c r="FK815" s="2" t="n">
        <v>0</v>
      </c>
      <c r="FL815" s="2" t="n">
        <v>100</v>
      </c>
      <c r="FM815" s="2" t="n">
        <v>100</v>
      </c>
      <c r="FN815" s="2" t="n">
        <v>0</v>
      </c>
      <c r="FO815" s="2" t="n">
        <v>100</v>
      </c>
      <c r="FP815" s="2" t="n">
        <v>100</v>
      </c>
      <c r="FQ815" s="2" t="n">
        <v>0</v>
      </c>
    </row>
    <row r="816">
      <c r="A816" s="2" t="n">
        <v>4</v>
      </c>
      <c r="B816" s="2" t="inlineStr">
        <is>
          <t>31.06.08.03</t>
        </is>
      </c>
      <c r="C816" s="2" t="inlineStr">
        <is>
          <t>Testeira em pedra natural, quartzito mont blanc acabamento escovado. Espessura: 2cm, h=3cm</t>
        </is>
      </c>
      <c r="D816" s="2" t="inlineStr">
        <is>
          <t>03/03/2027</t>
        </is>
      </c>
      <c r="E816" s="2" t="inlineStr">
        <is>
          <t>24/03/2028</t>
        </is>
      </c>
      <c r="F816" s="2" t="n">
        <v>1073.97060168349</v>
      </c>
      <c r="G816" s="2" t="n">
        <v>0</v>
      </c>
      <c r="H816" s="2" t="n">
        <v>1073.97060168349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0</v>
      </c>
      <c r="CP816" s="2" t="n">
        <v>0</v>
      </c>
      <c r="CQ816" s="2" t="n">
        <v>0</v>
      </c>
      <c r="CR816" s="2" t="n">
        <v>0</v>
      </c>
      <c r="CS816" s="2" t="n">
        <v>0</v>
      </c>
      <c r="CT816" s="2" t="n">
        <v>0</v>
      </c>
      <c r="CU816" s="2" t="n">
        <v>0.8100000000000001</v>
      </c>
      <c r="CV816" s="2" t="n">
        <v>0</v>
      </c>
      <c r="CW816" s="2" t="n">
        <v>0</v>
      </c>
      <c r="CX816" s="2" t="n">
        <v>8.08</v>
      </c>
      <c r="CY816" s="2" t="n">
        <v>4.04</v>
      </c>
      <c r="CZ816" s="2" t="n">
        <v>0</v>
      </c>
      <c r="DA816" s="2" t="n">
        <v>18.76</v>
      </c>
      <c r="DB816" s="2" t="n">
        <v>13.91</v>
      </c>
      <c r="DC816" s="2" t="n">
        <v>0</v>
      </c>
      <c r="DD816" s="2" t="n">
        <v>18.76</v>
      </c>
      <c r="DE816" s="2" t="n">
        <v>18.76</v>
      </c>
      <c r="DF816" s="2" t="n">
        <v>0</v>
      </c>
      <c r="DG816" s="2" t="n">
        <v>25.05</v>
      </c>
      <c r="DH816" s="2" t="n">
        <v>19.42</v>
      </c>
      <c r="DI816" s="2" t="n">
        <v>0</v>
      </c>
      <c r="DJ816" s="2" t="n">
        <v>36.24</v>
      </c>
      <c r="DK816" s="2" t="n">
        <v>34.63</v>
      </c>
      <c r="DL816" s="2" t="n">
        <v>0</v>
      </c>
      <c r="DM816" s="2" t="n">
        <v>49.88</v>
      </c>
      <c r="DN816" s="2" t="n">
        <v>45.53</v>
      </c>
      <c r="DO816" s="2" t="n">
        <v>0</v>
      </c>
      <c r="DP816" s="2" t="n">
        <v>62.32</v>
      </c>
      <c r="DQ816" s="2" t="n">
        <v>57.15</v>
      </c>
      <c r="DR816" s="2" t="n">
        <v>0</v>
      </c>
      <c r="DS816" s="2" t="n">
        <v>67.17</v>
      </c>
      <c r="DT816" s="2" t="n">
        <v>66.77</v>
      </c>
      <c r="DU816" s="2" t="n">
        <v>0</v>
      </c>
      <c r="DV816" s="2" t="n">
        <v>75.76000000000001</v>
      </c>
      <c r="DW816" s="2" t="n">
        <v>74.14</v>
      </c>
      <c r="DX816" s="2" t="n">
        <v>0</v>
      </c>
      <c r="DY816" s="2" t="n">
        <v>83.03</v>
      </c>
      <c r="DZ816" s="2" t="n">
        <v>81.42</v>
      </c>
      <c r="EA816" s="2" t="n">
        <v>0</v>
      </c>
      <c r="EB816" s="2" t="n">
        <v>92.73</v>
      </c>
      <c r="EC816" s="2" t="n">
        <v>88.28</v>
      </c>
      <c r="ED816" s="2" t="n">
        <v>0</v>
      </c>
      <c r="EE816" s="2" t="n">
        <v>100</v>
      </c>
      <c r="EF816" s="2" t="n">
        <v>94.75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  <c r="ET816" s="2" t="n">
        <v>100</v>
      </c>
      <c r="EU816" s="2" t="n">
        <v>100</v>
      </c>
      <c r="EV816" s="2" t="n">
        <v>0</v>
      </c>
      <c r="EW816" s="2" t="n">
        <v>100</v>
      </c>
      <c r="EX816" s="2" t="n">
        <v>100</v>
      </c>
      <c r="EY816" s="2" t="n">
        <v>0</v>
      </c>
      <c r="EZ816" s="2" t="n">
        <v>100</v>
      </c>
      <c r="FA816" s="2" t="n">
        <v>100</v>
      </c>
      <c r="FB816" s="2" t="n">
        <v>0</v>
      </c>
      <c r="FC816" s="2" t="n">
        <v>100</v>
      </c>
      <c r="FD816" s="2" t="n">
        <v>100</v>
      </c>
      <c r="FE816" s="2" t="n">
        <v>0</v>
      </c>
      <c r="FF816" s="2" t="n">
        <v>100</v>
      </c>
      <c r="FG816" s="2" t="n">
        <v>100</v>
      </c>
      <c r="FH816" s="2" t="n">
        <v>0</v>
      </c>
      <c r="FI816" s="2" t="n">
        <v>100</v>
      </c>
      <c r="FJ816" s="2" t="n">
        <v>100</v>
      </c>
      <c r="FK816" s="2" t="n">
        <v>0</v>
      </c>
      <c r="FL816" s="2" t="n">
        <v>100</v>
      </c>
      <c r="FM816" s="2" t="n">
        <v>100</v>
      </c>
      <c r="FN816" s="2" t="n">
        <v>0</v>
      </c>
      <c r="FO816" s="2" t="n">
        <v>100</v>
      </c>
      <c r="FP816" s="2" t="n">
        <v>100</v>
      </c>
      <c r="FQ816" s="2" t="n">
        <v>0</v>
      </c>
    </row>
    <row r="817">
      <c r="A817" s="2" t="n">
        <v>4</v>
      </c>
      <c r="B817" s="2" t="inlineStr">
        <is>
          <t>31.06.08.04</t>
        </is>
      </c>
      <c r="C817" s="2" t="inlineStr">
        <is>
          <t>Testeira em pedra natural, quartzito mont blanc acabamento escovado. Espessura: 2cm, h=18cm</t>
        </is>
      </c>
      <c r="D817" s="2" t="inlineStr">
        <is>
          <t>03/03/2027</t>
        </is>
      </c>
      <c r="E817" s="2" t="inlineStr">
        <is>
          <t>24/03/2028</t>
        </is>
      </c>
      <c r="F817" s="2" t="n">
        <v>2834.467731539391</v>
      </c>
      <c r="G817" s="2" t="n">
        <v>0</v>
      </c>
      <c r="H817" s="2" t="n">
        <v>2834.467731539391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0</v>
      </c>
      <c r="CP817" s="2" t="n">
        <v>0</v>
      </c>
      <c r="CQ817" s="2" t="n">
        <v>0</v>
      </c>
      <c r="CR817" s="2" t="n">
        <v>0</v>
      </c>
      <c r="CS817" s="2" t="n">
        <v>0</v>
      </c>
      <c r="CT817" s="2" t="n">
        <v>0</v>
      </c>
      <c r="CU817" s="2" t="n">
        <v>0.8100000000000001</v>
      </c>
      <c r="CV817" s="2" t="n">
        <v>0</v>
      </c>
      <c r="CW817" s="2" t="n">
        <v>0</v>
      </c>
      <c r="CX817" s="2" t="n">
        <v>8.08</v>
      </c>
      <c r="CY817" s="2" t="n">
        <v>4.04</v>
      </c>
      <c r="CZ817" s="2" t="n">
        <v>0</v>
      </c>
      <c r="DA817" s="2" t="n">
        <v>18.76</v>
      </c>
      <c r="DB817" s="2" t="n">
        <v>13.91</v>
      </c>
      <c r="DC817" s="2" t="n">
        <v>0</v>
      </c>
      <c r="DD817" s="2" t="n">
        <v>18.76</v>
      </c>
      <c r="DE817" s="2" t="n">
        <v>18.76</v>
      </c>
      <c r="DF817" s="2" t="n">
        <v>0</v>
      </c>
      <c r="DG817" s="2" t="n">
        <v>25.05</v>
      </c>
      <c r="DH817" s="2" t="n">
        <v>19.42</v>
      </c>
      <c r="DI817" s="2" t="n">
        <v>0</v>
      </c>
      <c r="DJ817" s="2" t="n">
        <v>36.24</v>
      </c>
      <c r="DK817" s="2" t="n">
        <v>34.63</v>
      </c>
      <c r="DL817" s="2" t="n">
        <v>0</v>
      </c>
      <c r="DM817" s="2" t="n">
        <v>49.88</v>
      </c>
      <c r="DN817" s="2" t="n">
        <v>45.53</v>
      </c>
      <c r="DO817" s="2" t="n">
        <v>0</v>
      </c>
      <c r="DP817" s="2" t="n">
        <v>62.32</v>
      </c>
      <c r="DQ817" s="2" t="n">
        <v>57.15</v>
      </c>
      <c r="DR817" s="2" t="n">
        <v>0</v>
      </c>
      <c r="DS817" s="2" t="n">
        <v>67.17</v>
      </c>
      <c r="DT817" s="2" t="n">
        <v>66.77</v>
      </c>
      <c r="DU817" s="2" t="n">
        <v>0</v>
      </c>
      <c r="DV817" s="2" t="n">
        <v>75.76000000000001</v>
      </c>
      <c r="DW817" s="2" t="n">
        <v>74.14</v>
      </c>
      <c r="DX817" s="2" t="n">
        <v>0</v>
      </c>
      <c r="DY817" s="2" t="n">
        <v>83.03</v>
      </c>
      <c r="DZ817" s="2" t="n">
        <v>81.42</v>
      </c>
      <c r="EA817" s="2" t="n">
        <v>0</v>
      </c>
      <c r="EB817" s="2" t="n">
        <v>92.73</v>
      </c>
      <c r="EC817" s="2" t="n">
        <v>88.28</v>
      </c>
      <c r="ED817" s="2" t="n">
        <v>0</v>
      </c>
      <c r="EE817" s="2" t="n">
        <v>100</v>
      </c>
      <c r="EF817" s="2" t="n">
        <v>94.75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  <c r="ET817" s="2" t="n">
        <v>100</v>
      </c>
      <c r="EU817" s="2" t="n">
        <v>100</v>
      </c>
      <c r="EV817" s="2" t="n">
        <v>0</v>
      </c>
      <c r="EW817" s="2" t="n">
        <v>100</v>
      </c>
      <c r="EX817" s="2" t="n">
        <v>100</v>
      </c>
      <c r="EY817" s="2" t="n">
        <v>0</v>
      </c>
      <c r="EZ817" s="2" t="n">
        <v>100</v>
      </c>
      <c r="FA817" s="2" t="n">
        <v>100</v>
      </c>
      <c r="FB817" s="2" t="n">
        <v>0</v>
      </c>
      <c r="FC817" s="2" t="n">
        <v>100</v>
      </c>
      <c r="FD817" s="2" t="n">
        <v>100</v>
      </c>
      <c r="FE817" s="2" t="n">
        <v>0</v>
      </c>
      <c r="FF817" s="2" t="n">
        <v>100</v>
      </c>
      <c r="FG817" s="2" t="n">
        <v>100</v>
      </c>
      <c r="FH817" s="2" t="n">
        <v>0</v>
      </c>
      <c r="FI817" s="2" t="n">
        <v>100</v>
      </c>
      <c r="FJ817" s="2" t="n">
        <v>100</v>
      </c>
      <c r="FK817" s="2" t="n">
        <v>0</v>
      </c>
      <c r="FL817" s="2" t="n">
        <v>100</v>
      </c>
      <c r="FM817" s="2" t="n">
        <v>100</v>
      </c>
      <c r="FN817" s="2" t="n">
        <v>0</v>
      </c>
      <c r="FO817" s="2" t="n">
        <v>100</v>
      </c>
      <c r="FP817" s="2" t="n">
        <v>100</v>
      </c>
      <c r="FQ817" s="2" t="n">
        <v>0</v>
      </c>
    </row>
    <row r="818">
      <c r="A818" s="2" t="n">
        <v>4</v>
      </c>
      <c r="B818" s="2" t="inlineStr">
        <is>
          <t>31.06.08.05</t>
        </is>
      </c>
      <c r="C818" s="2" t="inlineStr">
        <is>
          <t>Rodabanca em pedra natural, quartzito mont blanc acabamento escovado. Espessura: 2cm, h=68cm</t>
        </is>
      </c>
      <c r="D818" s="2" t="inlineStr">
        <is>
          <t>03/03/2027</t>
        </is>
      </c>
      <c r="E818" s="2" t="inlineStr">
        <is>
          <t>24/03/2028</t>
        </is>
      </c>
      <c r="F818" s="2" t="n">
        <v>7070.309742668064</v>
      </c>
      <c r="G818" s="2" t="n">
        <v>0</v>
      </c>
      <c r="H818" s="2" t="n">
        <v>7070.309742668064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0</v>
      </c>
      <c r="CP818" s="2" t="n">
        <v>0</v>
      </c>
      <c r="CQ818" s="2" t="n">
        <v>0</v>
      </c>
      <c r="CR818" s="2" t="n">
        <v>0</v>
      </c>
      <c r="CS818" s="2" t="n">
        <v>0</v>
      </c>
      <c r="CT818" s="2" t="n">
        <v>0</v>
      </c>
      <c r="CU818" s="2" t="n">
        <v>0.8100000000000001</v>
      </c>
      <c r="CV818" s="2" t="n">
        <v>0</v>
      </c>
      <c r="CW818" s="2" t="n">
        <v>0</v>
      </c>
      <c r="CX818" s="2" t="n">
        <v>8.08</v>
      </c>
      <c r="CY818" s="2" t="n">
        <v>4.04</v>
      </c>
      <c r="CZ818" s="2" t="n">
        <v>0</v>
      </c>
      <c r="DA818" s="2" t="n">
        <v>18.76</v>
      </c>
      <c r="DB818" s="2" t="n">
        <v>13.91</v>
      </c>
      <c r="DC818" s="2" t="n">
        <v>0</v>
      </c>
      <c r="DD818" s="2" t="n">
        <v>18.76</v>
      </c>
      <c r="DE818" s="2" t="n">
        <v>18.76</v>
      </c>
      <c r="DF818" s="2" t="n">
        <v>0</v>
      </c>
      <c r="DG818" s="2" t="n">
        <v>25.05</v>
      </c>
      <c r="DH818" s="2" t="n">
        <v>19.42</v>
      </c>
      <c r="DI818" s="2" t="n">
        <v>0</v>
      </c>
      <c r="DJ818" s="2" t="n">
        <v>36.24</v>
      </c>
      <c r="DK818" s="2" t="n">
        <v>34.63</v>
      </c>
      <c r="DL818" s="2" t="n">
        <v>0</v>
      </c>
      <c r="DM818" s="2" t="n">
        <v>49.88</v>
      </c>
      <c r="DN818" s="2" t="n">
        <v>45.53</v>
      </c>
      <c r="DO818" s="2" t="n">
        <v>0</v>
      </c>
      <c r="DP818" s="2" t="n">
        <v>62.32</v>
      </c>
      <c r="DQ818" s="2" t="n">
        <v>57.15</v>
      </c>
      <c r="DR818" s="2" t="n">
        <v>0</v>
      </c>
      <c r="DS818" s="2" t="n">
        <v>67.17</v>
      </c>
      <c r="DT818" s="2" t="n">
        <v>66.77</v>
      </c>
      <c r="DU818" s="2" t="n">
        <v>0</v>
      </c>
      <c r="DV818" s="2" t="n">
        <v>75.76000000000001</v>
      </c>
      <c r="DW818" s="2" t="n">
        <v>74.14</v>
      </c>
      <c r="DX818" s="2" t="n">
        <v>0</v>
      </c>
      <c r="DY818" s="2" t="n">
        <v>83.03</v>
      </c>
      <c r="DZ818" s="2" t="n">
        <v>81.42</v>
      </c>
      <c r="EA818" s="2" t="n">
        <v>0</v>
      </c>
      <c r="EB818" s="2" t="n">
        <v>92.73</v>
      </c>
      <c r="EC818" s="2" t="n">
        <v>88.28</v>
      </c>
      <c r="ED818" s="2" t="n">
        <v>0</v>
      </c>
      <c r="EE818" s="2" t="n">
        <v>100</v>
      </c>
      <c r="EF818" s="2" t="n">
        <v>94.75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  <c r="ET818" s="2" t="n">
        <v>100</v>
      </c>
      <c r="EU818" s="2" t="n">
        <v>100</v>
      </c>
      <c r="EV818" s="2" t="n">
        <v>0</v>
      </c>
      <c r="EW818" s="2" t="n">
        <v>100</v>
      </c>
      <c r="EX818" s="2" t="n">
        <v>100</v>
      </c>
      <c r="EY818" s="2" t="n">
        <v>0</v>
      </c>
      <c r="EZ818" s="2" t="n">
        <v>100</v>
      </c>
      <c r="FA818" s="2" t="n">
        <v>100</v>
      </c>
      <c r="FB818" s="2" t="n">
        <v>0</v>
      </c>
      <c r="FC818" s="2" t="n">
        <v>100</v>
      </c>
      <c r="FD818" s="2" t="n">
        <v>100</v>
      </c>
      <c r="FE818" s="2" t="n">
        <v>0</v>
      </c>
      <c r="FF818" s="2" t="n">
        <v>100</v>
      </c>
      <c r="FG818" s="2" t="n">
        <v>100</v>
      </c>
      <c r="FH818" s="2" t="n">
        <v>0</v>
      </c>
      <c r="FI818" s="2" t="n">
        <v>100</v>
      </c>
      <c r="FJ818" s="2" t="n">
        <v>100</v>
      </c>
      <c r="FK818" s="2" t="n">
        <v>0</v>
      </c>
      <c r="FL818" s="2" t="n">
        <v>100</v>
      </c>
      <c r="FM818" s="2" t="n">
        <v>100</v>
      </c>
      <c r="FN818" s="2" t="n">
        <v>0</v>
      </c>
      <c r="FO818" s="2" t="n">
        <v>100</v>
      </c>
      <c r="FP818" s="2" t="n">
        <v>100</v>
      </c>
      <c r="FQ818" s="2" t="n">
        <v>0</v>
      </c>
    </row>
    <row r="819">
      <c r="A819" s="2" t="n">
        <v>4</v>
      </c>
      <c r="B819" s="2" t="inlineStr">
        <is>
          <t>31.06.08.06</t>
        </is>
      </c>
      <c r="C819" s="2" t="inlineStr">
        <is>
          <t>Furo e colagem de bojo</t>
        </is>
      </c>
      <c r="D819" s="2" t="inlineStr">
        <is>
          <t>03/03/2027</t>
        </is>
      </c>
      <c r="E819" s="2" t="inlineStr">
        <is>
          <t>24/03/2028</t>
        </is>
      </c>
      <c r="F819" s="2" t="n">
        <v>45</v>
      </c>
      <c r="G819" s="2" t="n">
        <v>0</v>
      </c>
      <c r="H819" s="2" t="n">
        <v>45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0</v>
      </c>
      <c r="CP819" s="2" t="n">
        <v>0</v>
      </c>
      <c r="CQ819" s="2" t="n">
        <v>0</v>
      </c>
      <c r="CR819" s="2" t="n">
        <v>0</v>
      </c>
      <c r="CS819" s="2" t="n">
        <v>0</v>
      </c>
      <c r="CT819" s="2" t="n">
        <v>0</v>
      </c>
      <c r="CU819" s="2" t="n">
        <v>0.8100000000000001</v>
      </c>
      <c r="CV819" s="2" t="n">
        <v>0</v>
      </c>
      <c r="CW819" s="2" t="n">
        <v>0</v>
      </c>
      <c r="CX819" s="2" t="n">
        <v>8.08</v>
      </c>
      <c r="CY819" s="2" t="n">
        <v>4.04</v>
      </c>
      <c r="CZ819" s="2" t="n">
        <v>0</v>
      </c>
      <c r="DA819" s="2" t="n">
        <v>18.76</v>
      </c>
      <c r="DB819" s="2" t="n">
        <v>13.91</v>
      </c>
      <c r="DC819" s="2" t="n">
        <v>0</v>
      </c>
      <c r="DD819" s="2" t="n">
        <v>18.76</v>
      </c>
      <c r="DE819" s="2" t="n">
        <v>18.76</v>
      </c>
      <c r="DF819" s="2" t="n">
        <v>0</v>
      </c>
      <c r="DG819" s="2" t="n">
        <v>25.05</v>
      </c>
      <c r="DH819" s="2" t="n">
        <v>19.42</v>
      </c>
      <c r="DI819" s="2" t="n">
        <v>0</v>
      </c>
      <c r="DJ819" s="2" t="n">
        <v>36.24</v>
      </c>
      <c r="DK819" s="2" t="n">
        <v>34.63</v>
      </c>
      <c r="DL819" s="2" t="n">
        <v>0</v>
      </c>
      <c r="DM819" s="2" t="n">
        <v>49.88</v>
      </c>
      <c r="DN819" s="2" t="n">
        <v>45.53</v>
      </c>
      <c r="DO819" s="2" t="n">
        <v>0</v>
      </c>
      <c r="DP819" s="2" t="n">
        <v>62.32</v>
      </c>
      <c r="DQ819" s="2" t="n">
        <v>57.15</v>
      </c>
      <c r="DR819" s="2" t="n">
        <v>0</v>
      </c>
      <c r="DS819" s="2" t="n">
        <v>67.17</v>
      </c>
      <c r="DT819" s="2" t="n">
        <v>66.77</v>
      </c>
      <c r="DU819" s="2" t="n">
        <v>0</v>
      </c>
      <c r="DV819" s="2" t="n">
        <v>75.76000000000001</v>
      </c>
      <c r="DW819" s="2" t="n">
        <v>74.14</v>
      </c>
      <c r="DX819" s="2" t="n">
        <v>0</v>
      </c>
      <c r="DY819" s="2" t="n">
        <v>83.03</v>
      </c>
      <c r="DZ819" s="2" t="n">
        <v>81.42</v>
      </c>
      <c r="EA819" s="2" t="n">
        <v>0</v>
      </c>
      <c r="EB819" s="2" t="n">
        <v>92.73</v>
      </c>
      <c r="EC819" s="2" t="n">
        <v>88.28</v>
      </c>
      <c r="ED819" s="2" t="n">
        <v>0</v>
      </c>
      <c r="EE819" s="2" t="n">
        <v>100</v>
      </c>
      <c r="EF819" s="2" t="n">
        <v>94.75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  <c r="ET819" s="2" t="n">
        <v>100</v>
      </c>
      <c r="EU819" s="2" t="n">
        <v>100</v>
      </c>
      <c r="EV819" s="2" t="n">
        <v>0</v>
      </c>
      <c r="EW819" s="2" t="n">
        <v>100</v>
      </c>
      <c r="EX819" s="2" t="n">
        <v>100</v>
      </c>
      <c r="EY819" s="2" t="n">
        <v>0</v>
      </c>
      <c r="EZ819" s="2" t="n">
        <v>100</v>
      </c>
      <c r="FA819" s="2" t="n">
        <v>100</v>
      </c>
      <c r="FB819" s="2" t="n">
        <v>0</v>
      </c>
      <c r="FC819" s="2" t="n">
        <v>100</v>
      </c>
      <c r="FD819" s="2" t="n">
        <v>100</v>
      </c>
      <c r="FE819" s="2" t="n">
        <v>0</v>
      </c>
      <c r="FF819" s="2" t="n">
        <v>100</v>
      </c>
      <c r="FG819" s="2" t="n">
        <v>100</v>
      </c>
      <c r="FH819" s="2" t="n">
        <v>0</v>
      </c>
      <c r="FI819" s="2" t="n">
        <v>100</v>
      </c>
      <c r="FJ819" s="2" t="n">
        <v>100</v>
      </c>
      <c r="FK819" s="2" t="n">
        <v>0</v>
      </c>
      <c r="FL819" s="2" t="n">
        <v>100</v>
      </c>
      <c r="FM819" s="2" t="n">
        <v>100</v>
      </c>
      <c r="FN819" s="2" t="n">
        <v>0</v>
      </c>
      <c r="FO819" s="2" t="n">
        <v>100</v>
      </c>
      <c r="FP819" s="2" t="n">
        <v>100</v>
      </c>
      <c r="FQ819" s="2" t="n">
        <v>0</v>
      </c>
    </row>
    <row r="820">
      <c r="A820" s="2" t="n">
        <v>4</v>
      </c>
      <c r="B820" s="2" t="inlineStr">
        <is>
          <t>31.06.08.07</t>
        </is>
      </c>
      <c r="C820" s="2" t="inlineStr">
        <is>
          <t>Mãos francesas para bancadas</t>
        </is>
      </c>
      <c r="D820" s="2" t="inlineStr">
        <is>
          <t>03/03/2027</t>
        </is>
      </c>
      <c r="E820" s="2" t="inlineStr">
        <is>
          <t>24/03/2028</t>
        </is>
      </c>
      <c r="F820" s="2" t="n">
        <v>125</v>
      </c>
      <c r="G820" s="2" t="n">
        <v>0</v>
      </c>
      <c r="H820" s="2" t="n">
        <v>125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0</v>
      </c>
      <c r="CP820" s="2" t="n">
        <v>0</v>
      </c>
      <c r="CQ820" s="2" t="n">
        <v>0</v>
      </c>
      <c r="CR820" s="2" t="n">
        <v>0</v>
      </c>
      <c r="CS820" s="2" t="n">
        <v>0</v>
      </c>
      <c r="CT820" s="2" t="n">
        <v>0</v>
      </c>
      <c r="CU820" s="2" t="n">
        <v>0.8100000000000001</v>
      </c>
      <c r="CV820" s="2" t="n">
        <v>0</v>
      </c>
      <c r="CW820" s="2" t="n">
        <v>0</v>
      </c>
      <c r="CX820" s="2" t="n">
        <v>8.08</v>
      </c>
      <c r="CY820" s="2" t="n">
        <v>4.04</v>
      </c>
      <c r="CZ820" s="2" t="n">
        <v>0</v>
      </c>
      <c r="DA820" s="2" t="n">
        <v>18.76</v>
      </c>
      <c r="DB820" s="2" t="n">
        <v>13.91</v>
      </c>
      <c r="DC820" s="2" t="n">
        <v>0</v>
      </c>
      <c r="DD820" s="2" t="n">
        <v>18.76</v>
      </c>
      <c r="DE820" s="2" t="n">
        <v>18.76</v>
      </c>
      <c r="DF820" s="2" t="n">
        <v>0</v>
      </c>
      <c r="DG820" s="2" t="n">
        <v>25.05</v>
      </c>
      <c r="DH820" s="2" t="n">
        <v>19.42</v>
      </c>
      <c r="DI820" s="2" t="n">
        <v>0</v>
      </c>
      <c r="DJ820" s="2" t="n">
        <v>36.24</v>
      </c>
      <c r="DK820" s="2" t="n">
        <v>34.63</v>
      </c>
      <c r="DL820" s="2" t="n">
        <v>0</v>
      </c>
      <c r="DM820" s="2" t="n">
        <v>49.88</v>
      </c>
      <c r="DN820" s="2" t="n">
        <v>45.53</v>
      </c>
      <c r="DO820" s="2" t="n">
        <v>0</v>
      </c>
      <c r="DP820" s="2" t="n">
        <v>62.32</v>
      </c>
      <c r="DQ820" s="2" t="n">
        <v>57.15</v>
      </c>
      <c r="DR820" s="2" t="n">
        <v>0</v>
      </c>
      <c r="DS820" s="2" t="n">
        <v>67.17</v>
      </c>
      <c r="DT820" s="2" t="n">
        <v>66.77</v>
      </c>
      <c r="DU820" s="2" t="n">
        <v>0</v>
      </c>
      <c r="DV820" s="2" t="n">
        <v>75.76000000000001</v>
      </c>
      <c r="DW820" s="2" t="n">
        <v>74.14</v>
      </c>
      <c r="DX820" s="2" t="n">
        <v>0</v>
      </c>
      <c r="DY820" s="2" t="n">
        <v>83.03</v>
      </c>
      <c r="DZ820" s="2" t="n">
        <v>81.42</v>
      </c>
      <c r="EA820" s="2" t="n">
        <v>0</v>
      </c>
      <c r="EB820" s="2" t="n">
        <v>92.73</v>
      </c>
      <c r="EC820" s="2" t="n">
        <v>88.28</v>
      </c>
      <c r="ED820" s="2" t="n">
        <v>0</v>
      </c>
      <c r="EE820" s="2" t="n">
        <v>100</v>
      </c>
      <c r="EF820" s="2" t="n">
        <v>94.75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  <c r="ET820" s="2" t="n">
        <v>100</v>
      </c>
      <c r="EU820" s="2" t="n">
        <v>100</v>
      </c>
      <c r="EV820" s="2" t="n">
        <v>0</v>
      </c>
      <c r="EW820" s="2" t="n">
        <v>100</v>
      </c>
      <c r="EX820" s="2" t="n">
        <v>100</v>
      </c>
      <c r="EY820" s="2" t="n">
        <v>0</v>
      </c>
      <c r="EZ820" s="2" t="n">
        <v>100</v>
      </c>
      <c r="FA820" s="2" t="n">
        <v>100</v>
      </c>
      <c r="FB820" s="2" t="n">
        <v>0</v>
      </c>
      <c r="FC820" s="2" t="n">
        <v>100</v>
      </c>
      <c r="FD820" s="2" t="n">
        <v>100</v>
      </c>
      <c r="FE820" s="2" t="n">
        <v>0</v>
      </c>
      <c r="FF820" s="2" t="n">
        <v>100</v>
      </c>
      <c r="FG820" s="2" t="n">
        <v>100</v>
      </c>
      <c r="FH820" s="2" t="n">
        <v>0</v>
      </c>
      <c r="FI820" s="2" t="n">
        <v>100</v>
      </c>
      <c r="FJ820" s="2" t="n">
        <v>100</v>
      </c>
      <c r="FK820" s="2" t="n">
        <v>0</v>
      </c>
      <c r="FL820" s="2" t="n">
        <v>100</v>
      </c>
      <c r="FM820" s="2" t="n">
        <v>100</v>
      </c>
      <c r="FN820" s="2" t="n">
        <v>0</v>
      </c>
      <c r="FO820" s="2" t="n">
        <v>100</v>
      </c>
      <c r="FP820" s="2" t="n">
        <v>100</v>
      </c>
      <c r="FQ820" s="2" t="n">
        <v>0</v>
      </c>
    </row>
    <row r="821">
      <c r="A821" s="2" t="n">
        <v>4</v>
      </c>
      <c r="B821" s="2" t="inlineStr">
        <is>
          <t>31.06.08.08</t>
        </is>
      </c>
      <c r="C821" s="2" t="inlineStr">
        <is>
          <t>Proteção de bancadas contra manuseio de obra</t>
        </is>
      </c>
      <c r="D821" s="2" t="inlineStr">
        <is>
          <t>03/03/2027</t>
        </is>
      </c>
      <c r="E821" s="2" t="inlineStr">
        <is>
          <t>24/03/2028</t>
        </is>
      </c>
      <c r="F821" s="2" t="n">
        <v>197.9602681906564</v>
      </c>
      <c r="G821" s="2" t="n">
        <v>0</v>
      </c>
      <c r="H821" s="2" t="n">
        <v>197.9602681906564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0</v>
      </c>
      <c r="CP821" s="2" t="n">
        <v>0</v>
      </c>
      <c r="CQ821" s="2" t="n">
        <v>0</v>
      </c>
      <c r="CR821" s="2" t="n">
        <v>0</v>
      </c>
      <c r="CS821" s="2" t="n">
        <v>0</v>
      </c>
      <c r="CT821" s="2" t="n">
        <v>0</v>
      </c>
      <c r="CU821" s="2" t="n">
        <v>0.8100000000000001</v>
      </c>
      <c r="CV821" s="2" t="n">
        <v>0</v>
      </c>
      <c r="CW821" s="2" t="n">
        <v>0</v>
      </c>
      <c r="CX821" s="2" t="n">
        <v>8.08</v>
      </c>
      <c r="CY821" s="2" t="n">
        <v>4.04</v>
      </c>
      <c r="CZ821" s="2" t="n">
        <v>0</v>
      </c>
      <c r="DA821" s="2" t="n">
        <v>18.76</v>
      </c>
      <c r="DB821" s="2" t="n">
        <v>13.91</v>
      </c>
      <c r="DC821" s="2" t="n">
        <v>0</v>
      </c>
      <c r="DD821" s="2" t="n">
        <v>18.76</v>
      </c>
      <c r="DE821" s="2" t="n">
        <v>18.76</v>
      </c>
      <c r="DF821" s="2" t="n">
        <v>0</v>
      </c>
      <c r="DG821" s="2" t="n">
        <v>25.05</v>
      </c>
      <c r="DH821" s="2" t="n">
        <v>19.42</v>
      </c>
      <c r="DI821" s="2" t="n">
        <v>0</v>
      </c>
      <c r="DJ821" s="2" t="n">
        <v>36.24</v>
      </c>
      <c r="DK821" s="2" t="n">
        <v>34.63</v>
      </c>
      <c r="DL821" s="2" t="n">
        <v>0</v>
      </c>
      <c r="DM821" s="2" t="n">
        <v>49.88</v>
      </c>
      <c r="DN821" s="2" t="n">
        <v>45.53</v>
      </c>
      <c r="DO821" s="2" t="n">
        <v>0</v>
      </c>
      <c r="DP821" s="2" t="n">
        <v>62.32</v>
      </c>
      <c r="DQ821" s="2" t="n">
        <v>57.15</v>
      </c>
      <c r="DR821" s="2" t="n">
        <v>0</v>
      </c>
      <c r="DS821" s="2" t="n">
        <v>67.17</v>
      </c>
      <c r="DT821" s="2" t="n">
        <v>66.77</v>
      </c>
      <c r="DU821" s="2" t="n">
        <v>0</v>
      </c>
      <c r="DV821" s="2" t="n">
        <v>75.76000000000001</v>
      </c>
      <c r="DW821" s="2" t="n">
        <v>74.14</v>
      </c>
      <c r="DX821" s="2" t="n">
        <v>0</v>
      </c>
      <c r="DY821" s="2" t="n">
        <v>83.03</v>
      </c>
      <c r="DZ821" s="2" t="n">
        <v>81.42</v>
      </c>
      <c r="EA821" s="2" t="n">
        <v>0</v>
      </c>
      <c r="EB821" s="2" t="n">
        <v>92.73</v>
      </c>
      <c r="EC821" s="2" t="n">
        <v>88.28</v>
      </c>
      <c r="ED821" s="2" t="n">
        <v>0</v>
      </c>
      <c r="EE821" s="2" t="n">
        <v>100</v>
      </c>
      <c r="EF821" s="2" t="n">
        <v>94.75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  <c r="ET821" s="2" t="n">
        <v>100</v>
      </c>
      <c r="EU821" s="2" t="n">
        <v>100</v>
      </c>
      <c r="EV821" s="2" t="n">
        <v>0</v>
      </c>
      <c r="EW821" s="2" t="n">
        <v>100</v>
      </c>
      <c r="EX821" s="2" t="n">
        <v>100</v>
      </c>
      <c r="EY821" s="2" t="n">
        <v>0</v>
      </c>
      <c r="EZ821" s="2" t="n">
        <v>100</v>
      </c>
      <c r="FA821" s="2" t="n">
        <v>100</v>
      </c>
      <c r="FB821" s="2" t="n">
        <v>0</v>
      </c>
      <c r="FC821" s="2" t="n">
        <v>100</v>
      </c>
      <c r="FD821" s="2" t="n">
        <v>100</v>
      </c>
      <c r="FE821" s="2" t="n">
        <v>0</v>
      </c>
      <c r="FF821" s="2" t="n">
        <v>100</v>
      </c>
      <c r="FG821" s="2" t="n">
        <v>100</v>
      </c>
      <c r="FH821" s="2" t="n">
        <v>0</v>
      </c>
      <c r="FI821" s="2" t="n">
        <v>100</v>
      </c>
      <c r="FJ821" s="2" t="n">
        <v>100</v>
      </c>
      <c r="FK821" s="2" t="n">
        <v>0</v>
      </c>
      <c r="FL821" s="2" t="n">
        <v>100</v>
      </c>
      <c r="FM821" s="2" t="n">
        <v>100</v>
      </c>
      <c r="FN821" s="2" t="n">
        <v>0</v>
      </c>
      <c r="FO821" s="2" t="n">
        <v>100</v>
      </c>
      <c r="FP821" s="2" t="n">
        <v>100</v>
      </c>
      <c r="FQ821" s="2" t="n">
        <v>0</v>
      </c>
    </row>
    <row r="822">
      <c r="A822" s="2" t="n">
        <v>3</v>
      </c>
      <c r="B822" s="2" t="inlineStr">
        <is>
          <t>31.06.09</t>
        </is>
      </c>
      <c r="C822" s="2" t="inlineStr">
        <is>
          <t>Bancada em pedra natural, mármore branco selecionado, lote a ser aprovado, acabamento frisado. Espessura 2cm</t>
        </is>
      </c>
      <c r="D822" s="2" t="inlineStr">
        <is>
          <t>03/03/2027</t>
        </is>
      </c>
      <c r="E822" s="2" t="inlineStr">
        <is>
          <t>24/03/2028</t>
        </is>
      </c>
      <c r="F822" s="2" t="n">
        <v>78597.78140155546</v>
      </c>
      <c r="G822" s="2" t="n">
        <v>0</v>
      </c>
      <c r="H822" s="2" t="n">
        <v>78597.78140155546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0</v>
      </c>
      <c r="CP822" s="2" t="n">
        <v>0</v>
      </c>
      <c r="CQ822" s="2" t="n">
        <v>0</v>
      </c>
      <c r="CR822" s="2" t="n">
        <v>0</v>
      </c>
      <c r="CS822" s="2" t="n">
        <v>0</v>
      </c>
      <c r="CT822" s="2" t="n">
        <v>0</v>
      </c>
      <c r="CU822" s="2" t="n">
        <v>0.8100000000000001</v>
      </c>
      <c r="CV822" s="2" t="n">
        <v>0</v>
      </c>
      <c r="CW822" s="2" t="n">
        <v>0</v>
      </c>
      <c r="CX822" s="2" t="n">
        <v>8.08</v>
      </c>
      <c r="CY822" s="2" t="n">
        <v>4.04</v>
      </c>
      <c r="CZ822" s="2" t="n">
        <v>0</v>
      </c>
      <c r="DA822" s="2" t="n">
        <v>18.76</v>
      </c>
      <c r="DB822" s="2" t="n">
        <v>13.91</v>
      </c>
      <c r="DC822" s="2" t="n">
        <v>0</v>
      </c>
      <c r="DD822" s="2" t="n">
        <v>18.76</v>
      </c>
      <c r="DE822" s="2" t="n">
        <v>18.76</v>
      </c>
      <c r="DF822" s="2" t="n">
        <v>0</v>
      </c>
      <c r="DG822" s="2" t="n">
        <v>25.05</v>
      </c>
      <c r="DH822" s="2" t="n">
        <v>19.42</v>
      </c>
      <c r="DI822" s="2" t="n">
        <v>0</v>
      </c>
      <c r="DJ822" s="2" t="n">
        <v>36.24</v>
      </c>
      <c r="DK822" s="2" t="n">
        <v>34.63</v>
      </c>
      <c r="DL822" s="2" t="n">
        <v>0</v>
      </c>
      <c r="DM822" s="2" t="n">
        <v>49.88</v>
      </c>
      <c r="DN822" s="2" t="n">
        <v>45.53</v>
      </c>
      <c r="DO822" s="2" t="n">
        <v>0</v>
      </c>
      <c r="DP822" s="2" t="n">
        <v>62.32</v>
      </c>
      <c r="DQ822" s="2" t="n">
        <v>57.15</v>
      </c>
      <c r="DR822" s="2" t="n">
        <v>0</v>
      </c>
      <c r="DS822" s="2" t="n">
        <v>67.17</v>
      </c>
      <c r="DT822" s="2" t="n">
        <v>66.77</v>
      </c>
      <c r="DU822" s="2" t="n">
        <v>0</v>
      </c>
      <c r="DV822" s="2" t="n">
        <v>75.76000000000001</v>
      </c>
      <c r="DW822" s="2" t="n">
        <v>74.14</v>
      </c>
      <c r="DX822" s="2" t="n">
        <v>0</v>
      </c>
      <c r="DY822" s="2" t="n">
        <v>83.03</v>
      </c>
      <c r="DZ822" s="2" t="n">
        <v>81.42</v>
      </c>
      <c r="EA822" s="2" t="n">
        <v>0</v>
      </c>
      <c r="EB822" s="2" t="n">
        <v>92.73</v>
      </c>
      <c r="EC822" s="2" t="n">
        <v>88.28</v>
      </c>
      <c r="ED822" s="2" t="n">
        <v>0</v>
      </c>
      <c r="EE822" s="2" t="n">
        <v>100</v>
      </c>
      <c r="EF822" s="2" t="n">
        <v>94.75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  <c r="ET822" s="2" t="n">
        <v>100</v>
      </c>
      <c r="EU822" s="2" t="n">
        <v>100</v>
      </c>
      <c r="EV822" s="2" t="n">
        <v>0</v>
      </c>
      <c r="EW822" s="2" t="n">
        <v>100</v>
      </c>
      <c r="EX822" s="2" t="n">
        <v>100</v>
      </c>
      <c r="EY822" s="2" t="n">
        <v>0</v>
      </c>
      <c r="EZ822" s="2" t="n">
        <v>100</v>
      </c>
      <c r="FA822" s="2" t="n">
        <v>100</v>
      </c>
      <c r="FB822" s="2" t="n">
        <v>0</v>
      </c>
      <c r="FC822" s="2" t="n">
        <v>100</v>
      </c>
      <c r="FD822" s="2" t="n">
        <v>100</v>
      </c>
      <c r="FE822" s="2" t="n">
        <v>0</v>
      </c>
      <c r="FF822" s="2" t="n">
        <v>100</v>
      </c>
      <c r="FG822" s="2" t="n">
        <v>100</v>
      </c>
      <c r="FH822" s="2" t="n">
        <v>0</v>
      </c>
      <c r="FI822" s="2" t="n">
        <v>100</v>
      </c>
      <c r="FJ822" s="2" t="n">
        <v>100</v>
      </c>
      <c r="FK822" s="2" t="n">
        <v>0</v>
      </c>
      <c r="FL822" s="2" t="n">
        <v>100</v>
      </c>
      <c r="FM822" s="2" t="n">
        <v>100</v>
      </c>
      <c r="FN822" s="2" t="n">
        <v>0</v>
      </c>
      <c r="FO822" s="2" t="n">
        <v>100</v>
      </c>
      <c r="FP822" s="2" t="n">
        <v>100</v>
      </c>
      <c r="FQ822" s="2" t="n">
        <v>0</v>
      </c>
    </row>
    <row r="823">
      <c r="A823" s="2" t="n">
        <v>4</v>
      </c>
      <c r="B823" s="2" t="inlineStr">
        <is>
          <t>31.06.09.01</t>
        </is>
      </c>
      <c r="C823" s="2" t="inlineStr">
        <is>
          <t>Bancada com cuba esculpida em pedra natural, mármore branco frisado selecionado, lote a ser aprovado, acabamento frisado. Espessura 2cm</t>
        </is>
      </c>
      <c r="D823" s="2" t="inlineStr">
        <is>
          <t>03/03/2027</t>
        </is>
      </c>
      <c r="E823" s="2" t="inlineStr">
        <is>
          <t>24/03/2028</t>
        </is>
      </c>
      <c r="F823" s="2" t="n">
        <v>42248.79717069113</v>
      </c>
      <c r="G823" s="2" t="n">
        <v>0</v>
      </c>
      <c r="H823" s="2" t="n">
        <v>42248.79717069113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0.8100000000000001</v>
      </c>
      <c r="CV823" s="2" t="n">
        <v>0</v>
      </c>
      <c r="CW823" s="2" t="n">
        <v>0</v>
      </c>
      <c r="CX823" s="2" t="n">
        <v>8.08</v>
      </c>
      <c r="CY823" s="2" t="n">
        <v>4.04</v>
      </c>
      <c r="CZ823" s="2" t="n">
        <v>0</v>
      </c>
      <c r="DA823" s="2" t="n">
        <v>18.76</v>
      </c>
      <c r="DB823" s="2" t="n">
        <v>13.91</v>
      </c>
      <c r="DC823" s="2" t="n">
        <v>0</v>
      </c>
      <c r="DD823" s="2" t="n">
        <v>18.76</v>
      </c>
      <c r="DE823" s="2" t="n">
        <v>18.76</v>
      </c>
      <c r="DF823" s="2" t="n">
        <v>0</v>
      </c>
      <c r="DG823" s="2" t="n">
        <v>25.05</v>
      </c>
      <c r="DH823" s="2" t="n">
        <v>19.42</v>
      </c>
      <c r="DI823" s="2" t="n">
        <v>0</v>
      </c>
      <c r="DJ823" s="2" t="n">
        <v>36.24</v>
      </c>
      <c r="DK823" s="2" t="n">
        <v>34.63</v>
      </c>
      <c r="DL823" s="2" t="n">
        <v>0</v>
      </c>
      <c r="DM823" s="2" t="n">
        <v>49.88</v>
      </c>
      <c r="DN823" s="2" t="n">
        <v>45.53</v>
      </c>
      <c r="DO823" s="2" t="n">
        <v>0</v>
      </c>
      <c r="DP823" s="2" t="n">
        <v>62.32</v>
      </c>
      <c r="DQ823" s="2" t="n">
        <v>57.15</v>
      </c>
      <c r="DR823" s="2" t="n">
        <v>0</v>
      </c>
      <c r="DS823" s="2" t="n">
        <v>67.17</v>
      </c>
      <c r="DT823" s="2" t="n">
        <v>66.77</v>
      </c>
      <c r="DU823" s="2" t="n">
        <v>0</v>
      </c>
      <c r="DV823" s="2" t="n">
        <v>75.76000000000001</v>
      </c>
      <c r="DW823" s="2" t="n">
        <v>74.14</v>
      </c>
      <c r="DX823" s="2" t="n">
        <v>0</v>
      </c>
      <c r="DY823" s="2" t="n">
        <v>83.03</v>
      </c>
      <c r="DZ823" s="2" t="n">
        <v>81.42</v>
      </c>
      <c r="EA823" s="2" t="n">
        <v>0</v>
      </c>
      <c r="EB823" s="2" t="n">
        <v>92.73</v>
      </c>
      <c r="EC823" s="2" t="n">
        <v>88.28</v>
      </c>
      <c r="ED823" s="2" t="n">
        <v>0</v>
      </c>
      <c r="EE823" s="2" t="n">
        <v>100</v>
      </c>
      <c r="EF823" s="2" t="n">
        <v>94.75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  <c r="ET823" s="2" t="n">
        <v>100</v>
      </c>
      <c r="EU823" s="2" t="n">
        <v>100</v>
      </c>
      <c r="EV823" s="2" t="n">
        <v>0</v>
      </c>
      <c r="EW823" s="2" t="n">
        <v>100</v>
      </c>
      <c r="EX823" s="2" t="n">
        <v>100</v>
      </c>
      <c r="EY823" s="2" t="n">
        <v>0</v>
      </c>
      <c r="EZ823" s="2" t="n">
        <v>100</v>
      </c>
      <c r="FA823" s="2" t="n">
        <v>100</v>
      </c>
      <c r="FB823" s="2" t="n">
        <v>0</v>
      </c>
      <c r="FC823" s="2" t="n">
        <v>100</v>
      </c>
      <c r="FD823" s="2" t="n">
        <v>100</v>
      </c>
      <c r="FE823" s="2" t="n">
        <v>0</v>
      </c>
      <c r="FF823" s="2" t="n">
        <v>100</v>
      </c>
      <c r="FG823" s="2" t="n">
        <v>100</v>
      </c>
      <c r="FH823" s="2" t="n">
        <v>0</v>
      </c>
      <c r="FI823" s="2" t="n">
        <v>100</v>
      </c>
      <c r="FJ823" s="2" t="n">
        <v>100</v>
      </c>
      <c r="FK823" s="2" t="n">
        <v>0</v>
      </c>
      <c r="FL823" s="2" t="n">
        <v>100</v>
      </c>
      <c r="FM823" s="2" t="n">
        <v>100</v>
      </c>
      <c r="FN823" s="2" t="n">
        <v>0</v>
      </c>
      <c r="FO823" s="2" t="n">
        <v>100</v>
      </c>
      <c r="FP823" s="2" t="n">
        <v>100</v>
      </c>
      <c r="FQ823" s="2" t="n">
        <v>0</v>
      </c>
    </row>
    <row r="824">
      <c r="A824" s="2" t="n">
        <v>4</v>
      </c>
      <c r="B824" s="2" t="inlineStr">
        <is>
          <t>31.06.09.02</t>
        </is>
      </c>
      <c r="C824" s="2" t="inlineStr">
        <is>
          <t>Fechamento lateral para bancada em pedra natural, mármore branco frisado selecionado, lote a ser aprovado, acabamento frisado. Espessura 2cm</t>
        </is>
      </c>
      <c r="D824" s="2" t="inlineStr">
        <is>
          <t>03/03/2027</t>
        </is>
      </c>
      <c r="E824" s="2" t="inlineStr">
        <is>
          <t>24/03/2028</t>
        </is>
      </c>
      <c r="F824" s="2" t="n">
        <v>30248.02263477889</v>
      </c>
      <c r="G824" s="2" t="n">
        <v>0</v>
      </c>
      <c r="H824" s="2" t="n">
        <v>30248.02263477889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0.8100000000000001</v>
      </c>
      <c r="CV824" s="2" t="n">
        <v>0</v>
      </c>
      <c r="CW824" s="2" t="n">
        <v>0</v>
      </c>
      <c r="CX824" s="2" t="n">
        <v>8.08</v>
      </c>
      <c r="CY824" s="2" t="n">
        <v>4.04</v>
      </c>
      <c r="CZ824" s="2" t="n">
        <v>0</v>
      </c>
      <c r="DA824" s="2" t="n">
        <v>18.76</v>
      </c>
      <c r="DB824" s="2" t="n">
        <v>13.91</v>
      </c>
      <c r="DC824" s="2" t="n">
        <v>0</v>
      </c>
      <c r="DD824" s="2" t="n">
        <v>18.76</v>
      </c>
      <c r="DE824" s="2" t="n">
        <v>18.76</v>
      </c>
      <c r="DF824" s="2" t="n">
        <v>0</v>
      </c>
      <c r="DG824" s="2" t="n">
        <v>25.05</v>
      </c>
      <c r="DH824" s="2" t="n">
        <v>19.42</v>
      </c>
      <c r="DI824" s="2" t="n">
        <v>0</v>
      </c>
      <c r="DJ824" s="2" t="n">
        <v>36.24</v>
      </c>
      <c r="DK824" s="2" t="n">
        <v>34.63</v>
      </c>
      <c r="DL824" s="2" t="n">
        <v>0</v>
      </c>
      <c r="DM824" s="2" t="n">
        <v>49.88</v>
      </c>
      <c r="DN824" s="2" t="n">
        <v>45.53</v>
      </c>
      <c r="DO824" s="2" t="n">
        <v>0</v>
      </c>
      <c r="DP824" s="2" t="n">
        <v>62.32</v>
      </c>
      <c r="DQ824" s="2" t="n">
        <v>57.15</v>
      </c>
      <c r="DR824" s="2" t="n">
        <v>0</v>
      </c>
      <c r="DS824" s="2" t="n">
        <v>67.17</v>
      </c>
      <c r="DT824" s="2" t="n">
        <v>66.77</v>
      </c>
      <c r="DU824" s="2" t="n">
        <v>0</v>
      </c>
      <c r="DV824" s="2" t="n">
        <v>75.76000000000001</v>
      </c>
      <c r="DW824" s="2" t="n">
        <v>74.14</v>
      </c>
      <c r="DX824" s="2" t="n">
        <v>0</v>
      </c>
      <c r="DY824" s="2" t="n">
        <v>83.03</v>
      </c>
      <c r="DZ824" s="2" t="n">
        <v>81.42</v>
      </c>
      <c r="EA824" s="2" t="n">
        <v>0</v>
      </c>
      <c r="EB824" s="2" t="n">
        <v>92.73</v>
      </c>
      <c r="EC824" s="2" t="n">
        <v>88.28</v>
      </c>
      <c r="ED824" s="2" t="n">
        <v>0</v>
      </c>
      <c r="EE824" s="2" t="n">
        <v>100</v>
      </c>
      <c r="EF824" s="2" t="n">
        <v>94.75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  <c r="ET824" s="2" t="n">
        <v>100</v>
      </c>
      <c r="EU824" s="2" t="n">
        <v>100</v>
      </c>
      <c r="EV824" s="2" t="n">
        <v>0</v>
      </c>
      <c r="EW824" s="2" t="n">
        <v>100</v>
      </c>
      <c r="EX824" s="2" t="n">
        <v>100</v>
      </c>
      <c r="EY824" s="2" t="n">
        <v>0</v>
      </c>
      <c r="EZ824" s="2" t="n">
        <v>100</v>
      </c>
      <c r="FA824" s="2" t="n">
        <v>100</v>
      </c>
      <c r="FB824" s="2" t="n">
        <v>0</v>
      </c>
      <c r="FC824" s="2" t="n">
        <v>100</v>
      </c>
      <c r="FD824" s="2" t="n">
        <v>100</v>
      </c>
      <c r="FE824" s="2" t="n">
        <v>0</v>
      </c>
      <c r="FF824" s="2" t="n">
        <v>100</v>
      </c>
      <c r="FG824" s="2" t="n">
        <v>100</v>
      </c>
      <c r="FH824" s="2" t="n">
        <v>0</v>
      </c>
      <c r="FI824" s="2" t="n">
        <v>100</v>
      </c>
      <c r="FJ824" s="2" t="n">
        <v>100</v>
      </c>
      <c r="FK824" s="2" t="n">
        <v>0</v>
      </c>
      <c r="FL824" s="2" t="n">
        <v>100</v>
      </c>
      <c r="FM824" s="2" t="n">
        <v>100</v>
      </c>
      <c r="FN824" s="2" t="n">
        <v>0</v>
      </c>
      <c r="FO824" s="2" t="n">
        <v>100</v>
      </c>
      <c r="FP824" s="2" t="n">
        <v>100</v>
      </c>
      <c r="FQ824" s="2" t="n">
        <v>0</v>
      </c>
    </row>
    <row r="825">
      <c r="A825" s="2" t="n">
        <v>4</v>
      </c>
      <c r="B825" s="2" t="inlineStr">
        <is>
          <t>31.06.09.03</t>
        </is>
      </c>
      <c r="C825" s="2" t="inlineStr">
        <is>
          <t>Testeira em pedra natural, mármore branco frisado selecionado, lote a ser aprovado, acabamento frisado. Espessura 2cm, H=15cm</t>
        </is>
      </c>
      <c r="D825" s="2" t="inlineStr">
        <is>
          <t>03/03/2027</t>
        </is>
      </c>
      <c r="E825" s="2" t="inlineStr">
        <is>
          <t>24/03/2028</t>
        </is>
      </c>
      <c r="F825" s="2" t="n">
        <v>5289.097186710293</v>
      </c>
      <c r="G825" s="2" t="n">
        <v>0</v>
      </c>
      <c r="H825" s="2" t="n">
        <v>5289.097186710293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0.8100000000000001</v>
      </c>
      <c r="CV825" s="2" t="n">
        <v>0</v>
      </c>
      <c r="CW825" s="2" t="n">
        <v>0</v>
      </c>
      <c r="CX825" s="2" t="n">
        <v>8.08</v>
      </c>
      <c r="CY825" s="2" t="n">
        <v>4.04</v>
      </c>
      <c r="CZ825" s="2" t="n">
        <v>0</v>
      </c>
      <c r="DA825" s="2" t="n">
        <v>18.76</v>
      </c>
      <c r="DB825" s="2" t="n">
        <v>13.91</v>
      </c>
      <c r="DC825" s="2" t="n">
        <v>0</v>
      </c>
      <c r="DD825" s="2" t="n">
        <v>18.76</v>
      </c>
      <c r="DE825" s="2" t="n">
        <v>18.76</v>
      </c>
      <c r="DF825" s="2" t="n">
        <v>0</v>
      </c>
      <c r="DG825" s="2" t="n">
        <v>25.05</v>
      </c>
      <c r="DH825" s="2" t="n">
        <v>19.42</v>
      </c>
      <c r="DI825" s="2" t="n">
        <v>0</v>
      </c>
      <c r="DJ825" s="2" t="n">
        <v>36.24</v>
      </c>
      <c r="DK825" s="2" t="n">
        <v>34.63</v>
      </c>
      <c r="DL825" s="2" t="n">
        <v>0</v>
      </c>
      <c r="DM825" s="2" t="n">
        <v>49.88</v>
      </c>
      <c r="DN825" s="2" t="n">
        <v>45.53</v>
      </c>
      <c r="DO825" s="2" t="n">
        <v>0</v>
      </c>
      <c r="DP825" s="2" t="n">
        <v>62.32</v>
      </c>
      <c r="DQ825" s="2" t="n">
        <v>57.15</v>
      </c>
      <c r="DR825" s="2" t="n">
        <v>0</v>
      </c>
      <c r="DS825" s="2" t="n">
        <v>67.17</v>
      </c>
      <c r="DT825" s="2" t="n">
        <v>66.77</v>
      </c>
      <c r="DU825" s="2" t="n">
        <v>0</v>
      </c>
      <c r="DV825" s="2" t="n">
        <v>75.76000000000001</v>
      </c>
      <c r="DW825" s="2" t="n">
        <v>74.14</v>
      </c>
      <c r="DX825" s="2" t="n">
        <v>0</v>
      </c>
      <c r="DY825" s="2" t="n">
        <v>83.03</v>
      </c>
      <c r="DZ825" s="2" t="n">
        <v>81.42</v>
      </c>
      <c r="EA825" s="2" t="n">
        <v>0</v>
      </c>
      <c r="EB825" s="2" t="n">
        <v>92.73</v>
      </c>
      <c r="EC825" s="2" t="n">
        <v>88.28</v>
      </c>
      <c r="ED825" s="2" t="n">
        <v>0</v>
      </c>
      <c r="EE825" s="2" t="n">
        <v>100</v>
      </c>
      <c r="EF825" s="2" t="n">
        <v>94.75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  <c r="ET825" s="2" t="n">
        <v>100</v>
      </c>
      <c r="EU825" s="2" t="n">
        <v>100</v>
      </c>
      <c r="EV825" s="2" t="n">
        <v>0</v>
      </c>
      <c r="EW825" s="2" t="n">
        <v>100</v>
      </c>
      <c r="EX825" s="2" t="n">
        <v>100</v>
      </c>
      <c r="EY825" s="2" t="n">
        <v>0</v>
      </c>
      <c r="EZ825" s="2" t="n">
        <v>100</v>
      </c>
      <c r="FA825" s="2" t="n">
        <v>100</v>
      </c>
      <c r="FB825" s="2" t="n">
        <v>0</v>
      </c>
      <c r="FC825" s="2" t="n">
        <v>100</v>
      </c>
      <c r="FD825" s="2" t="n">
        <v>100</v>
      </c>
      <c r="FE825" s="2" t="n">
        <v>0</v>
      </c>
      <c r="FF825" s="2" t="n">
        <v>100</v>
      </c>
      <c r="FG825" s="2" t="n">
        <v>100</v>
      </c>
      <c r="FH825" s="2" t="n">
        <v>0</v>
      </c>
      <c r="FI825" s="2" t="n">
        <v>100</v>
      </c>
      <c r="FJ825" s="2" t="n">
        <v>100</v>
      </c>
      <c r="FK825" s="2" t="n">
        <v>0</v>
      </c>
      <c r="FL825" s="2" t="n">
        <v>100</v>
      </c>
      <c r="FM825" s="2" t="n">
        <v>100</v>
      </c>
      <c r="FN825" s="2" t="n">
        <v>0</v>
      </c>
      <c r="FO825" s="2" t="n">
        <v>100</v>
      </c>
      <c r="FP825" s="2" t="n">
        <v>100</v>
      </c>
      <c r="FQ825" s="2" t="n">
        <v>0</v>
      </c>
    </row>
    <row r="826">
      <c r="A826" s="2" t="n">
        <v>4</v>
      </c>
      <c r="B826" s="2" t="inlineStr">
        <is>
          <t>31.06.09.04</t>
        </is>
      </c>
      <c r="C826" s="2" t="inlineStr">
        <is>
          <t>Furo e colagem de bojo</t>
        </is>
      </c>
      <c r="D826" s="2" t="inlineStr">
        <is>
          <t>03/03/2027</t>
        </is>
      </c>
      <c r="E826" s="2" t="inlineStr">
        <is>
          <t>24/03/2028</t>
        </is>
      </c>
      <c r="F826" s="2" t="n">
        <v>135</v>
      </c>
      <c r="G826" s="2" t="n">
        <v>0</v>
      </c>
      <c r="H826" s="2" t="n">
        <v>135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0.8100000000000001</v>
      </c>
      <c r="CV826" s="2" t="n">
        <v>0</v>
      </c>
      <c r="CW826" s="2" t="n">
        <v>0</v>
      </c>
      <c r="CX826" s="2" t="n">
        <v>8.08</v>
      </c>
      <c r="CY826" s="2" t="n">
        <v>4.04</v>
      </c>
      <c r="CZ826" s="2" t="n">
        <v>0</v>
      </c>
      <c r="DA826" s="2" t="n">
        <v>18.76</v>
      </c>
      <c r="DB826" s="2" t="n">
        <v>13.91</v>
      </c>
      <c r="DC826" s="2" t="n">
        <v>0</v>
      </c>
      <c r="DD826" s="2" t="n">
        <v>18.76</v>
      </c>
      <c r="DE826" s="2" t="n">
        <v>18.76</v>
      </c>
      <c r="DF826" s="2" t="n">
        <v>0</v>
      </c>
      <c r="DG826" s="2" t="n">
        <v>25.05</v>
      </c>
      <c r="DH826" s="2" t="n">
        <v>19.42</v>
      </c>
      <c r="DI826" s="2" t="n">
        <v>0</v>
      </c>
      <c r="DJ826" s="2" t="n">
        <v>36.24</v>
      </c>
      <c r="DK826" s="2" t="n">
        <v>34.63</v>
      </c>
      <c r="DL826" s="2" t="n">
        <v>0</v>
      </c>
      <c r="DM826" s="2" t="n">
        <v>49.88</v>
      </c>
      <c r="DN826" s="2" t="n">
        <v>45.53</v>
      </c>
      <c r="DO826" s="2" t="n">
        <v>0</v>
      </c>
      <c r="DP826" s="2" t="n">
        <v>62.32</v>
      </c>
      <c r="DQ826" s="2" t="n">
        <v>57.15</v>
      </c>
      <c r="DR826" s="2" t="n">
        <v>0</v>
      </c>
      <c r="DS826" s="2" t="n">
        <v>67.17</v>
      </c>
      <c r="DT826" s="2" t="n">
        <v>66.77</v>
      </c>
      <c r="DU826" s="2" t="n">
        <v>0</v>
      </c>
      <c r="DV826" s="2" t="n">
        <v>75.76000000000001</v>
      </c>
      <c r="DW826" s="2" t="n">
        <v>74.14</v>
      </c>
      <c r="DX826" s="2" t="n">
        <v>0</v>
      </c>
      <c r="DY826" s="2" t="n">
        <v>83.03</v>
      </c>
      <c r="DZ826" s="2" t="n">
        <v>81.42</v>
      </c>
      <c r="EA826" s="2" t="n">
        <v>0</v>
      </c>
      <c r="EB826" s="2" t="n">
        <v>92.73</v>
      </c>
      <c r="EC826" s="2" t="n">
        <v>88.28</v>
      </c>
      <c r="ED826" s="2" t="n">
        <v>0</v>
      </c>
      <c r="EE826" s="2" t="n">
        <v>100</v>
      </c>
      <c r="EF826" s="2" t="n">
        <v>94.75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  <c r="ET826" s="2" t="n">
        <v>100</v>
      </c>
      <c r="EU826" s="2" t="n">
        <v>100</v>
      </c>
      <c r="EV826" s="2" t="n">
        <v>0</v>
      </c>
      <c r="EW826" s="2" t="n">
        <v>100</v>
      </c>
      <c r="EX826" s="2" t="n">
        <v>100</v>
      </c>
      <c r="EY826" s="2" t="n">
        <v>0</v>
      </c>
      <c r="EZ826" s="2" t="n">
        <v>100</v>
      </c>
      <c r="FA826" s="2" t="n">
        <v>100</v>
      </c>
      <c r="FB826" s="2" t="n">
        <v>0</v>
      </c>
      <c r="FC826" s="2" t="n">
        <v>100</v>
      </c>
      <c r="FD826" s="2" t="n">
        <v>100</v>
      </c>
      <c r="FE826" s="2" t="n">
        <v>0</v>
      </c>
      <c r="FF826" s="2" t="n">
        <v>100</v>
      </c>
      <c r="FG826" s="2" t="n">
        <v>100</v>
      </c>
      <c r="FH826" s="2" t="n">
        <v>0</v>
      </c>
      <c r="FI826" s="2" t="n">
        <v>100</v>
      </c>
      <c r="FJ826" s="2" t="n">
        <v>100</v>
      </c>
      <c r="FK826" s="2" t="n">
        <v>0</v>
      </c>
      <c r="FL826" s="2" t="n">
        <v>100</v>
      </c>
      <c r="FM826" s="2" t="n">
        <v>100</v>
      </c>
      <c r="FN826" s="2" t="n">
        <v>0</v>
      </c>
      <c r="FO826" s="2" t="n">
        <v>100</v>
      </c>
      <c r="FP826" s="2" t="n">
        <v>100</v>
      </c>
      <c r="FQ826" s="2" t="n">
        <v>0</v>
      </c>
    </row>
    <row r="827">
      <c r="A827" s="2" t="n">
        <v>4</v>
      </c>
      <c r="B827" s="2" t="inlineStr">
        <is>
          <t>31.06.09.05</t>
        </is>
      </c>
      <c r="C827" s="2" t="inlineStr">
        <is>
          <t>Mãos francesas para bancadas</t>
        </is>
      </c>
      <c r="D827" s="2" t="inlineStr">
        <is>
          <t>03/03/2027</t>
        </is>
      </c>
      <c r="E827" s="2" t="inlineStr">
        <is>
          <t>24/03/2028</t>
        </is>
      </c>
      <c r="F827" s="2" t="n">
        <v>450</v>
      </c>
      <c r="G827" s="2" t="n">
        <v>0</v>
      </c>
      <c r="H827" s="2" t="n">
        <v>450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0.8100000000000001</v>
      </c>
      <c r="CV827" s="2" t="n">
        <v>0</v>
      </c>
      <c r="CW827" s="2" t="n">
        <v>0</v>
      </c>
      <c r="CX827" s="2" t="n">
        <v>8.08</v>
      </c>
      <c r="CY827" s="2" t="n">
        <v>4.04</v>
      </c>
      <c r="CZ827" s="2" t="n">
        <v>0</v>
      </c>
      <c r="DA827" s="2" t="n">
        <v>18.76</v>
      </c>
      <c r="DB827" s="2" t="n">
        <v>13.91</v>
      </c>
      <c r="DC827" s="2" t="n">
        <v>0</v>
      </c>
      <c r="DD827" s="2" t="n">
        <v>18.76</v>
      </c>
      <c r="DE827" s="2" t="n">
        <v>18.76</v>
      </c>
      <c r="DF827" s="2" t="n">
        <v>0</v>
      </c>
      <c r="DG827" s="2" t="n">
        <v>25.05</v>
      </c>
      <c r="DH827" s="2" t="n">
        <v>19.42</v>
      </c>
      <c r="DI827" s="2" t="n">
        <v>0</v>
      </c>
      <c r="DJ827" s="2" t="n">
        <v>36.24</v>
      </c>
      <c r="DK827" s="2" t="n">
        <v>34.63</v>
      </c>
      <c r="DL827" s="2" t="n">
        <v>0</v>
      </c>
      <c r="DM827" s="2" t="n">
        <v>49.88</v>
      </c>
      <c r="DN827" s="2" t="n">
        <v>45.53</v>
      </c>
      <c r="DO827" s="2" t="n">
        <v>0</v>
      </c>
      <c r="DP827" s="2" t="n">
        <v>62.32</v>
      </c>
      <c r="DQ827" s="2" t="n">
        <v>57.15</v>
      </c>
      <c r="DR827" s="2" t="n">
        <v>0</v>
      </c>
      <c r="DS827" s="2" t="n">
        <v>67.17</v>
      </c>
      <c r="DT827" s="2" t="n">
        <v>66.77</v>
      </c>
      <c r="DU827" s="2" t="n">
        <v>0</v>
      </c>
      <c r="DV827" s="2" t="n">
        <v>75.76000000000001</v>
      </c>
      <c r="DW827" s="2" t="n">
        <v>74.14</v>
      </c>
      <c r="DX827" s="2" t="n">
        <v>0</v>
      </c>
      <c r="DY827" s="2" t="n">
        <v>83.03</v>
      </c>
      <c r="DZ827" s="2" t="n">
        <v>81.42</v>
      </c>
      <c r="EA827" s="2" t="n">
        <v>0</v>
      </c>
      <c r="EB827" s="2" t="n">
        <v>92.73</v>
      </c>
      <c r="EC827" s="2" t="n">
        <v>88.28</v>
      </c>
      <c r="ED827" s="2" t="n">
        <v>0</v>
      </c>
      <c r="EE827" s="2" t="n">
        <v>100</v>
      </c>
      <c r="EF827" s="2" t="n">
        <v>94.75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  <c r="ET827" s="2" t="n">
        <v>100</v>
      </c>
      <c r="EU827" s="2" t="n">
        <v>100</v>
      </c>
      <c r="EV827" s="2" t="n">
        <v>0</v>
      </c>
      <c r="EW827" s="2" t="n">
        <v>100</v>
      </c>
      <c r="EX827" s="2" t="n">
        <v>100</v>
      </c>
      <c r="EY827" s="2" t="n">
        <v>0</v>
      </c>
      <c r="EZ827" s="2" t="n">
        <v>100</v>
      </c>
      <c r="FA827" s="2" t="n">
        <v>100</v>
      </c>
      <c r="FB827" s="2" t="n">
        <v>0</v>
      </c>
      <c r="FC827" s="2" t="n">
        <v>100</v>
      </c>
      <c r="FD827" s="2" t="n">
        <v>100</v>
      </c>
      <c r="FE827" s="2" t="n">
        <v>0</v>
      </c>
      <c r="FF827" s="2" t="n">
        <v>100</v>
      </c>
      <c r="FG827" s="2" t="n">
        <v>100</v>
      </c>
      <c r="FH827" s="2" t="n">
        <v>0</v>
      </c>
      <c r="FI827" s="2" t="n">
        <v>100</v>
      </c>
      <c r="FJ827" s="2" t="n">
        <v>100</v>
      </c>
      <c r="FK827" s="2" t="n">
        <v>0</v>
      </c>
      <c r="FL827" s="2" t="n">
        <v>100</v>
      </c>
      <c r="FM827" s="2" t="n">
        <v>100</v>
      </c>
      <c r="FN827" s="2" t="n">
        <v>0</v>
      </c>
      <c r="FO827" s="2" t="n">
        <v>100</v>
      </c>
      <c r="FP827" s="2" t="n">
        <v>100</v>
      </c>
      <c r="FQ827" s="2" t="n">
        <v>0</v>
      </c>
    </row>
    <row r="828">
      <c r="A828" s="2" t="n">
        <v>4</v>
      </c>
      <c r="B828" s="2" t="inlineStr">
        <is>
          <t>31.06.09.06</t>
        </is>
      </c>
      <c r="C828" s="2" t="inlineStr">
        <is>
          <t>Proteção de bancadas contra manuseio de obra</t>
        </is>
      </c>
      <c r="D828" s="2" t="inlineStr">
        <is>
          <t>03/03/2027</t>
        </is>
      </c>
      <c r="E828" s="2" t="inlineStr">
        <is>
          <t>24/03/2028</t>
        </is>
      </c>
      <c r="F828" s="2" t="n">
        <v>226.8644093751416</v>
      </c>
      <c r="G828" s="2" t="n">
        <v>0</v>
      </c>
      <c r="H828" s="2" t="n">
        <v>226.8644093751416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0.8100000000000001</v>
      </c>
      <c r="CV828" s="2" t="n">
        <v>0</v>
      </c>
      <c r="CW828" s="2" t="n">
        <v>0</v>
      </c>
      <c r="CX828" s="2" t="n">
        <v>8.08</v>
      </c>
      <c r="CY828" s="2" t="n">
        <v>4.04</v>
      </c>
      <c r="CZ828" s="2" t="n">
        <v>0</v>
      </c>
      <c r="DA828" s="2" t="n">
        <v>18.76</v>
      </c>
      <c r="DB828" s="2" t="n">
        <v>13.91</v>
      </c>
      <c r="DC828" s="2" t="n">
        <v>0</v>
      </c>
      <c r="DD828" s="2" t="n">
        <v>18.76</v>
      </c>
      <c r="DE828" s="2" t="n">
        <v>18.76</v>
      </c>
      <c r="DF828" s="2" t="n">
        <v>0</v>
      </c>
      <c r="DG828" s="2" t="n">
        <v>25.05</v>
      </c>
      <c r="DH828" s="2" t="n">
        <v>19.42</v>
      </c>
      <c r="DI828" s="2" t="n">
        <v>0</v>
      </c>
      <c r="DJ828" s="2" t="n">
        <v>36.24</v>
      </c>
      <c r="DK828" s="2" t="n">
        <v>34.63</v>
      </c>
      <c r="DL828" s="2" t="n">
        <v>0</v>
      </c>
      <c r="DM828" s="2" t="n">
        <v>49.88</v>
      </c>
      <c r="DN828" s="2" t="n">
        <v>45.53</v>
      </c>
      <c r="DO828" s="2" t="n">
        <v>0</v>
      </c>
      <c r="DP828" s="2" t="n">
        <v>62.32</v>
      </c>
      <c r="DQ828" s="2" t="n">
        <v>57.15</v>
      </c>
      <c r="DR828" s="2" t="n">
        <v>0</v>
      </c>
      <c r="DS828" s="2" t="n">
        <v>67.17</v>
      </c>
      <c r="DT828" s="2" t="n">
        <v>66.77</v>
      </c>
      <c r="DU828" s="2" t="n">
        <v>0</v>
      </c>
      <c r="DV828" s="2" t="n">
        <v>75.76000000000001</v>
      </c>
      <c r="DW828" s="2" t="n">
        <v>74.14</v>
      </c>
      <c r="DX828" s="2" t="n">
        <v>0</v>
      </c>
      <c r="DY828" s="2" t="n">
        <v>83.03</v>
      </c>
      <c r="DZ828" s="2" t="n">
        <v>81.42</v>
      </c>
      <c r="EA828" s="2" t="n">
        <v>0</v>
      </c>
      <c r="EB828" s="2" t="n">
        <v>92.73</v>
      </c>
      <c r="EC828" s="2" t="n">
        <v>88.28</v>
      </c>
      <c r="ED828" s="2" t="n">
        <v>0</v>
      </c>
      <c r="EE828" s="2" t="n">
        <v>100</v>
      </c>
      <c r="EF828" s="2" t="n">
        <v>94.75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  <c r="ET828" s="2" t="n">
        <v>100</v>
      </c>
      <c r="EU828" s="2" t="n">
        <v>100</v>
      </c>
      <c r="EV828" s="2" t="n">
        <v>0</v>
      </c>
      <c r="EW828" s="2" t="n">
        <v>100</v>
      </c>
      <c r="EX828" s="2" t="n">
        <v>100</v>
      </c>
      <c r="EY828" s="2" t="n">
        <v>0</v>
      </c>
      <c r="EZ828" s="2" t="n">
        <v>100</v>
      </c>
      <c r="FA828" s="2" t="n">
        <v>100</v>
      </c>
      <c r="FB828" s="2" t="n">
        <v>0</v>
      </c>
      <c r="FC828" s="2" t="n">
        <v>100</v>
      </c>
      <c r="FD828" s="2" t="n">
        <v>100</v>
      </c>
      <c r="FE828" s="2" t="n">
        <v>0</v>
      </c>
      <c r="FF828" s="2" t="n">
        <v>100</v>
      </c>
      <c r="FG828" s="2" t="n">
        <v>100</v>
      </c>
      <c r="FH828" s="2" t="n">
        <v>0</v>
      </c>
      <c r="FI828" s="2" t="n">
        <v>100</v>
      </c>
      <c r="FJ828" s="2" t="n">
        <v>100</v>
      </c>
      <c r="FK828" s="2" t="n">
        <v>0</v>
      </c>
      <c r="FL828" s="2" t="n">
        <v>100</v>
      </c>
      <c r="FM828" s="2" t="n">
        <v>100</v>
      </c>
      <c r="FN828" s="2" t="n">
        <v>0</v>
      </c>
      <c r="FO828" s="2" t="n">
        <v>100</v>
      </c>
      <c r="FP828" s="2" t="n">
        <v>100</v>
      </c>
      <c r="FQ828" s="2" t="n">
        <v>0</v>
      </c>
    </row>
    <row r="829">
      <c r="A829" s="2" t="n">
        <v>3</v>
      </c>
      <c r="B829" s="2" t="inlineStr">
        <is>
          <t>31.06.10</t>
        </is>
      </c>
      <c r="C829" s="2" t="inlineStr">
        <is>
          <t>Bancada de granito santa rosa acabamento serrado</t>
        </is>
      </c>
      <c r="D829" s="2" t="inlineStr">
        <is>
          <t>03/03/2027</t>
        </is>
      </c>
      <c r="E829" s="2" t="inlineStr">
        <is>
          <t>24/03/2028</t>
        </is>
      </c>
      <c r="F829" s="2" t="n">
        <v>8768.622749193632</v>
      </c>
      <c r="G829" s="2" t="n">
        <v>0</v>
      </c>
      <c r="H829" s="2" t="n">
        <v>8768.622749193632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0.8100000000000001</v>
      </c>
      <c r="CV829" s="2" t="n">
        <v>0</v>
      </c>
      <c r="CW829" s="2" t="n">
        <v>0</v>
      </c>
      <c r="CX829" s="2" t="n">
        <v>8.08</v>
      </c>
      <c r="CY829" s="2" t="n">
        <v>4.04</v>
      </c>
      <c r="CZ829" s="2" t="n">
        <v>0</v>
      </c>
      <c r="DA829" s="2" t="n">
        <v>18.76</v>
      </c>
      <c r="DB829" s="2" t="n">
        <v>13.91</v>
      </c>
      <c r="DC829" s="2" t="n">
        <v>0</v>
      </c>
      <c r="DD829" s="2" t="n">
        <v>18.76</v>
      </c>
      <c r="DE829" s="2" t="n">
        <v>18.76</v>
      </c>
      <c r="DF829" s="2" t="n">
        <v>0</v>
      </c>
      <c r="DG829" s="2" t="n">
        <v>25.05</v>
      </c>
      <c r="DH829" s="2" t="n">
        <v>19.42</v>
      </c>
      <c r="DI829" s="2" t="n">
        <v>0</v>
      </c>
      <c r="DJ829" s="2" t="n">
        <v>36.24</v>
      </c>
      <c r="DK829" s="2" t="n">
        <v>34.63</v>
      </c>
      <c r="DL829" s="2" t="n">
        <v>0</v>
      </c>
      <c r="DM829" s="2" t="n">
        <v>49.88</v>
      </c>
      <c r="DN829" s="2" t="n">
        <v>45.53</v>
      </c>
      <c r="DO829" s="2" t="n">
        <v>0</v>
      </c>
      <c r="DP829" s="2" t="n">
        <v>62.32</v>
      </c>
      <c r="DQ829" s="2" t="n">
        <v>57.15</v>
      </c>
      <c r="DR829" s="2" t="n">
        <v>0</v>
      </c>
      <c r="DS829" s="2" t="n">
        <v>67.17</v>
      </c>
      <c r="DT829" s="2" t="n">
        <v>66.77</v>
      </c>
      <c r="DU829" s="2" t="n">
        <v>0</v>
      </c>
      <c r="DV829" s="2" t="n">
        <v>75.76000000000001</v>
      </c>
      <c r="DW829" s="2" t="n">
        <v>74.14</v>
      </c>
      <c r="DX829" s="2" t="n">
        <v>0</v>
      </c>
      <c r="DY829" s="2" t="n">
        <v>83.03</v>
      </c>
      <c r="DZ829" s="2" t="n">
        <v>81.42</v>
      </c>
      <c r="EA829" s="2" t="n">
        <v>0</v>
      </c>
      <c r="EB829" s="2" t="n">
        <v>92.73</v>
      </c>
      <c r="EC829" s="2" t="n">
        <v>88.28</v>
      </c>
      <c r="ED829" s="2" t="n">
        <v>0</v>
      </c>
      <c r="EE829" s="2" t="n">
        <v>100</v>
      </c>
      <c r="EF829" s="2" t="n">
        <v>94.75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  <c r="ET829" s="2" t="n">
        <v>100</v>
      </c>
      <c r="EU829" s="2" t="n">
        <v>100</v>
      </c>
      <c r="EV829" s="2" t="n">
        <v>0</v>
      </c>
      <c r="EW829" s="2" t="n">
        <v>100</v>
      </c>
      <c r="EX829" s="2" t="n">
        <v>100</v>
      </c>
      <c r="EY829" s="2" t="n">
        <v>0</v>
      </c>
      <c r="EZ829" s="2" t="n">
        <v>100</v>
      </c>
      <c r="FA829" s="2" t="n">
        <v>100</v>
      </c>
      <c r="FB829" s="2" t="n">
        <v>0</v>
      </c>
      <c r="FC829" s="2" t="n">
        <v>100</v>
      </c>
      <c r="FD829" s="2" t="n">
        <v>100</v>
      </c>
      <c r="FE829" s="2" t="n">
        <v>0</v>
      </c>
      <c r="FF829" s="2" t="n">
        <v>100</v>
      </c>
      <c r="FG829" s="2" t="n">
        <v>100</v>
      </c>
      <c r="FH829" s="2" t="n">
        <v>0</v>
      </c>
      <c r="FI829" s="2" t="n">
        <v>100</v>
      </c>
      <c r="FJ829" s="2" t="n">
        <v>100</v>
      </c>
      <c r="FK829" s="2" t="n">
        <v>0</v>
      </c>
      <c r="FL829" s="2" t="n">
        <v>100</v>
      </c>
      <c r="FM829" s="2" t="n">
        <v>100</v>
      </c>
      <c r="FN829" s="2" t="n">
        <v>0</v>
      </c>
      <c r="FO829" s="2" t="n">
        <v>100</v>
      </c>
      <c r="FP829" s="2" t="n">
        <v>100</v>
      </c>
      <c r="FQ829" s="2" t="n">
        <v>0</v>
      </c>
    </row>
    <row r="830">
      <c r="A830" s="2" t="n">
        <v>4</v>
      </c>
      <c r="B830" s="2" t="inlineStr">
        <is>
          <t>31.06.10.01</t>
        </is>
      </c>
      <c r="C830" s="2" t="inlineStr">
        <is>
          <t>Bancada com cuba esculpida em granito santa rosa acabamento serrado com bandeja removível</t>
        </is>
      </c>
      <c r="D830" s="2" t="inlineStr">
        <is>
          <t>03/03/2027</t>
        </is>
      </c>
      <c r="E830" s="2" t="inlineStr">
        <is>
          <t>24/03/2028</t>
        </is>
      </c>
      <c r="F830" s="2" t="n">
        <v>8522.149159254566</v>
      </c>
      <c r="G830" s="2" t="n">
        <v>0</v>
      </c>
      <c r="H830" s="2" t="n">
        <v>8522.149159254566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0.8100000000000001</v>
      </c>
      <c r="CV830" s="2" t="n">
        <v>0</v>
      </c>
      <c r="CW830" s="2" t="n">
        <v>0</v>
      </c>
      <c r="CX830" s="2" t="n">
        <v>8.08</v>
      </c>
      <c r="CY830" s="2" t="n">
        <v>4.04</v>
      </c>
      <c r="CZ830" s="2" t="n">
        <v>0</v>
      </c>
      <c r="DA830" s="2" t="n">
        <v>18.76</v>
      </c>
      <c r="DB830" s="2" t="n">
        <v>13.91</v>
      </c>
      <c r="DC830" s="2" t="n">
        <v>0</v>
      </c>
      <c r="DD830" s="2" t="n">
        <v>18.76</v>
      </c>
      <c r="DE830" s="2" t="n">
        <v>18.76</v>
      </c>
      <c r="DF830" s="2" t="n">
        <v>0</v>
      </c>
      <c r="DG830" s="2" t="n">
        <v>25.05</v>
      </c>
      <c r="DH830" s="2" t="n">
        <v>19.42</v>
      </c>
      <c r="DI830" s="2" t="n">
        <v>0</v>
      </c>
      <c r="DJ830" s="2" t="n">
        <v>36.24</v>
      </c>
      <c r="DK830" s="2" t="n">
        <v>34.63</v>
      </c>
      <c r="DL830" s="2" t="n">
        <v>0</v>
      </c>
      <c r="DM830" s="2" t="n">
        <v>49.88</v>
      </c>
      <c r="DN830" s="2" t="n">
        <v>45.53</v>
      </c>
      <c r="DO830" s="2" t="n">
        <v>0</v>
      </c>
      <c r="DP830" s="2" t="n">
        <v>62.32</v>
      </c>
      <c r="DQ830" s="2" t="n">
        <v>57.15</v>
      </c>
      <c r="DR830" s="2" t="n">
        <v>0</v>
      </c>
      <c r="DS830" s="2" t="n">
        <v>67.17</v>
      </c>
      <c r="DT830" s="2" t="n">
        <v>66.77</v>
      </c>
      <c r="DU830" s="2" t="n">
        <v>0</v>
      </c>
      <c r="DV830" s="2" t="n">
        <v>75.76000000000001</v>
      </c>
      <c r="DW830" s="2" t="n">
        <v>74.14</v>
      </c>
      <c r="DX830" s="2" t="n">
        <v>0</v>
      </c>
      <c r="DY830" s="2" t="n">
        <v>83.03</v>
      </c>
      <c r="DZ830" s="2" t="n">
        <v>81.42</v>
      </c>
      <c r="EA830" s="2" t="n">
        <v>0</v>
      </c>
      <c r="EB830" s="2" t="n">
        <v>92.73</v>
      </c>
      <c r="EC830" s="2" t="n">
        <v>88.28</v>
      </c>
      <c r="ED830" s="2" t="n">
        <v>0</v>
      </c>
      <c r="EE830" s="2" t="n">
        <v>100</v>
      </c>
      <c r="EF830" s="2" t="n">
        <v>94.75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  <c r="ET830" s="2" t="n">
        <v>100</v>
      </c>
      <c r="EU830" s="2" t="n">
        <v>100</v>
      </c>
      <c r="EV830" s="2" t="n">
        <v>0</v>
      </c>
      <c r="EW830" s="2" t="n">
        <v>100</v>
      </c>
      <c r="EX830" s="2" t="n">
        <v>100</v>
      </c>
      <c r="EY830" s="2" t="n">
        <v>0</v>
      </c>
      <c r="EZ830" s="2" t="n">
        <v>100</v>
      </c>
      <c r="FA830" s="2" t="n">
        <v>100</v>
      </c>
      <c r="FB830" s="2" t="n">
        <v>0</v>
      </c>
      <c r="FC830" s="2" t="n">
        <v>100</v>
      </c>
      <c r="FD830" s="2" t="n">
        <v>100</v>
      </c>
      <c r="FE830" s="2" t="n">
        <v>0</v>
      </c>
      <c r="FF830" s="2" t="n">
        <v>100</v>
      </c>
      <c r="FG830" s="2" t="n">
        <v>100</v>
      </c>
      <c r="FH830" s="2" t="n">
        <v>0</v>
      </c>
      <c r="FI830" s="2" t="n">
        <v>100</v>
      </c>
      <c r="FJ830" s="2" t="n">
        <v>100</v>
      </c>
      <c r="FK830" s="2" t="n">
        <v>0</v>
      </c>
      <c r="FL830" s="2" t="n">
        <v>100</v>
      </c>
      <c r="FM830" s="2" t="n">
        <v>100</v>
      </c>
      <c r="FN830" s="2" t="n">
        <v>0</v>
      </c>
      <c r="FO830" s="2" t="n">
        <v>100</v>
      </c>
      <c r="FP830" s="2" t="n">
        <v>100</v>
      </c>
      <c r="FQ830" s="2" t="n">
        <v>0</v>
      </c>
    </row>
    <row r="831">
      <c r="A831" s="2" t="n">
        <v>4</v>
      </c>
      <c r="B831" s="2" t="inlineStr">
        <is>
          <t>31.06.10.02</t>
        </is>
      </c>
      <c r="C831" s="2" t="inlineStr">
        <is>
          <t>Mãos francesas para bancadas</t>
        </is>
      </c>
      <c r="D831" s="2" t="inlineStr">
        <is>
          <t>03/03/2027</t>
        </is>
      </c>
      <c r="E831" s="2" t="inlineStr">
        <is>
          <t>24/03/2028</t>
        </is>
      </c>
      <c r="F831" s="2" t="n">
        <v>200</v>
      </c>
      <c r="G831" s="2" t="n">
        <v>0</v>
      </c>
      <c r="H831" s="2" t="n">
        <v>200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0.8100000000000001</v>
      </c>
      <c r="CV831" s="2" t="n">
        <v>0</v>
      </c>
      <c r="CW831" s="2" t="n">
        <v>0</v>
      </c>
      <c r="CX831" s="2" t="n">
        <v>8.08</v>
      </c>
      <c r="CY831" s="2" t="n">
        <v>4.04</v>
      </c>
      <c r="CZ831" s="2" t="n">
        <v>0</v>
      </c>
      <c r="DA831" s="2" t="n">
        <v>18.76</v>
      </c>
      <c r="DB831" s="2" t="n">
        <v>13.91</v>
      </c>
      <c r="DC831" s="2" t="n">
        <v>0</v>
      </c>
      <c r="DD831" s="2" t="n">
        <v>18.76</v>
      </c>
      <c r="DE831" s="2" t="n">
        <v>18.76</v>
      </c>
      <c r="DF831" s="2" t="n">
        <v>0</v>
      </c>
      <c r="DG831" s="2" t="n">
        <v>25.05</v>
      </c>
      <c r="DH831" s="2" t="n">
        <v>19.42</v>
      </c>
      <c r="DI831" s="2" t="n">
        <v>0</v>
      </c>
      <c r="DJ831" s="2" t="n">
        <v>36.24</v>
      </c>
      <c r="DK831" s="2" t="n">
        <v>34.63</v>
      </c>
      <c r="DL831" s="2" t="n">
        <v>0</v>
      </c>
      <c r="DM831" s="2" t="n">
        <v>49.88</v>
      </c>
      <c r="DN831" s="2" t="n">
        <v>45.53</v>
      </c>
      <c r="DO831" s="2" t="n">
        <v>0</v>
      </c>
      <c r="DP831" s="2" t="n">
        <v>62.32</v>
      </c>
      <c r="DQ831" s="2" t="n">
        <v>57.15</v>
      </c>
      <c r="DR831" s="2" t="n">
        <v>0</v>
      </c>
      <c r="DS831" s="2" t="n">
        <v>67.17</v>
      </c>
      <c r="DT831" s="2" t="n">
        <v>66.77</v>
      </c>
      <c r="DU831" s="2" t="n">
        <v>0</v>
      </c>
      <c r="DV831" s="2" t="n">
        <v>75.76000000000001</v>
      </c>
      <c r="DW831" s="2" t="n">
        <v>74.14</v>
      </c>
      <c r="DX831" s="2" t="n">
        <v>0</v>
      </c>
      <c r="DY831" s="2" t="n">
        <v>83.03</v>
      </c>
      <c r="DZ831" s="2" t="n">
        <v>81.42</v>
      </c>
      <c r="EA831" s="2" t="n">
        <v>0</v>
      </c>
      <c r="EB831" s="2" t="n">
        <v>92.73</v>
      </c>
      <c r="EC831" s="2" t="n">
        <v>88.28</v>
      </c>
      <c r="ED831" s="2" t="n">
        <v>0</v>
      </c>
      <c r="EE831" s="2" t="n">
        <v>100</v>
      </c>
      <c r="EF831" s="2" t="n">
        <v>94.75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  <c r="ET831" s="2" t="n">
        <v>100</v>
      </c>
      <c r="EU831" s="2" t="n">
        <v>100</v>
      </c>
      <c r="EV831" s="2" t="n">
        <v>0</v>
      </c>
      <c r="EW831" s="2" t="n">
        <v>100</v>
      </c>
      <c r="EX831" s="2" t="n">
        <v>100</v>
      </c>
      <c r="EY831" s="2" t="n">
        <v>0</v>
      </c>
      <c r="EZ831" s="2" t="n">
        <v>100</v>
      </c>
      <c r="FA831" s="2" t="n">
        <v>100</v>
      </c>
      <c r="FB831" s="2" t="n">
        <v>0</v>
      </c>
      <c r="FC831" s="2" t="n">
        <v>100</v>
      </c>
      <c r="FD831" s="2" t="n">
        <v>100</v>
      </c>
      <c r="FE831" s="2" t="n">
        <v>0</v>
      </c>
      <c r="FF831" s="2" t="n">
        <v>100</v>
      </c>
      <c r="FG831" s="2" t="n">
        <v>100</v>
      </c>
      <c r="FH831" s="2" t="n">
        <v>0</v>
      </c>
      <c r="FI831" s="2" t="n">
        <v>100</v>
      </c>
      <c r="FJ831" s="2" t="n">
        <v>100</v>
      </c>
      <c r="FK831" s="2" t="n">
        <v>0</v>
      </c>
      <c r="FL831" s="2" t="n">
        <v>100</v>
      </c>
      <c r="FM831" s="2" t="n">
        <v>100</v>
      </c>
      <c r="FN831" s="2" t="n">
        <v>0</v>
      </c>
      <c r="FO831" s="2" t="n">
        <v>100</v>
      </c>
      <c r="FP831" s="2" t="n">
        <v>100</v>
      </c>
      <c r="FQ831" s="2" t="n">
        <v>0</v>
      </c>
    </row>
    <row r="832">
      <c r="A832" s="2" t="n">
        <v>4</v>
      </c>
      <c r="B832" s="2" t="inlineStr">
        <is>
          <t>31.06.10.03</t>
        </is>
      </c>
      <c r="C832" s="2" t="inlineStr">
        <is>
          <t>Proteção de bancadas contra manuseio de obra</t>
        </is>
      </c>
      <c r="D832" s="2" t="inlineStr">
        <is>
          <t>03/03/2027</t>
        </is>
      </c>
      <c r="E832" s="2" t="inlineStr">
        <is>
          <t>24/03/2028</t>
        </is>
      </c>
      <c r="F832" s="2" t="n">
        <v>46.47358993906473</v>
      </c>
      <c r="G832" s="2" t="n">
        <v>0</v>
      </c>
      <c r="H832" s="2" t="n">
        <v>46.47358993906473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0.8100000000000001</v>
      </c>
      <c r="CV832" s="2" t="n">
        <v>0</v>
      </c>
      <c r="CW832" s="2" t="n">
        <v>0</v>
      </c>
      <c r="CX832" s="2" t="n">
        <v>8.08</v>
      </c>
      <c r="CY832" s="2" t="n">
        <v>4.04</v>
      </c>
      <c r="CZ832" s="2" t="n">
        <v>0</v>
      </c>
      <c r="DA832" s="2" t="n">
        <v>18.76</v>
      </c>
      <c r="DB832" s="2" t="n">
        <v>13.91</v>
      </c>
      <c r="DC832" s="2" t="n">
        <v>0</v>
      </c>
      <c r="DD832" s="2" t="n">
        <v>18.76</v>
      </c>
      <c r="DE832" s="2" t="n">
        <v>18.76</v>
      </c>
      <c r="DF832" s="2" t="n">
        <v>0</v>
      </c>
      <c r="DG832" s="2" t="n">
        <v>25.05</v>
      </c>
      <c r="DH832" s="2" t="n">
        <v>19.42</v>
      </c>
      <c r="DI832" s="2" t="n">
        <v>0</v>
      </c>
      <c r="DJ832" s="2" t="n">
        <v>36.24</v>
      </c>
      <c r="DK832" s="2" t="n">
        <v>34.63</v>
      </c>
      <c r="DL832" s="2" t="n">
        <v>0</v>
      </c>
      <c r="DM832" s="2" t="n">
        <v>49.88</v>
      </c>
      <c r="DN832" s="2" t="n">
        <v>45.53</v>
      </c>
      <c r="DO832" s="2" t="n">
        <v>0</v>
      </c>
      <c r="DP832" s="2" t="n">
        <v>62.32</v>
      </c>
      <c r="DQ832" s="2" t="n">
        <v>57.15</v>
      </c>
      <c r="DR832" s="2" t="n">
        <v>0</v>
      </c>
      <c r="DS832" s="2" t="n">
        <v>67.17</v>
      </c>
      <c r="DT832" s="2" t="n">
        <v>66.77</v>
      </c>
      <c r="DU832" s="2" t="n">
        <v>0</v>
      </c>
      <c r="DV832" s="2" t="n">
        <v>75.76000000000001</v>
      </c>
      <c r="DW832" s="2" t="n">
        <v>74.14</v>
      </c>
      <c r="DX832" s="2" t="n">
        <v>0</v>
      </c>
      <c r="DY832" s="2" t="n">
        <v>83.03</v>
      </c>
      <c r="DZ832" s="2" t="n">
        <v>81.42</v>
      </c>
      <c r="EA832" s="2" t="n">
        <v>0</v>
      </c>
      <c r="EB832" s="2" t="n">
        <v>92.73</v>
      </c>
      <c r="EC832" s="2" t="n">
        <v>88.28</v>
      </c>
      <c r="ED832" s="2" t="n">
        <v>0</v>
      </c>
      <c r="EE832" s="2" t="n">
        <v>100</v>
      </c>
      <c r="EF832" s="2" t="n">
        <v>94.75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  <c r="ET832" s="2" t="n">
        <v>100</v>
      </c>
      <c r="EU832" s="2" t="n">
        <v>100</v>
      </c>
      <c r="EV832" s="2" t="n">
        <v>0</v>
      </c>
      <c r="EW832" s="2" t="n">
        <v>100</v>
      </c>
      <c r="EX832" s="2" t="n">
        <v>100</v>
      </c>
      <c r="EY832" s="2" t="n">
        <v>0</v>
      </c>
      <c r="EZ832" s="2" t="n">
        <v>100</v>
      </c>
      <c r="FA832" s="2" t="n">
        <v>100</v>
      </c>
      <c r="FB832" s="2" t="n">
        <v>0</v>
      </c>
      <c r="FC832" s="2" t="n">
        <v>100</v>
      </c>
      <c r="FD832" s="2" t="n">
        <v>100</v>
      </c>
      <c r="FE832" s="2" t="n">
        <v>0</v>
      </c>
      <c r="FF832" s="2" t="n">
        <v>100</v>
      </c>
      <c r="FG832" s="2" t="n">
        <v>100</v>
      </c>
      <c r="FH832" s="2" t="n">
        <v>0</v>
      </c>
      <c r="FI832" s="2" t="n">
        <v>100</v>
      </c>
      <c r="FJ832" s="2" t="n">
        <v>100</v>
      </c>
      <c r="FK832" s="2" t="n">
        <v>0</v>
      </c>
      <c r="FL832" s="2" t="n">
        <v>100</v>
      </c>
      <c r="FM832" s="2" t="n">
        <v>100</v>
      </c>
      <c r="FN832" s="2" t="n">
        <v>0</v>
      </c>
      <c r="FO832" s="2" t="n">
        <v>100</v>
      </c>
      <c r="FP832" s="2" t="n">
        <v>100</v>
      </c>
      <c r="FQ832" s="2" t="n">
        <v>0</v>
      </c>
    </row>
    <row r="833">
      <c r="A833" s="2" t="n">
        <v>3</v>
      </c>
      <c r="B833" s="2" t="inlineStr">
        <is>
          <t>31.06.11</t>
        </is>
      </c>
      <c r="C833" s="2" t="inlineStr">
        <is>
          <t>INT - Bancada em pedra sinterizada, Lava satin fusion collection. Espessura: 5mm. Ref: Neo Lhít. Dimensões e paginação conforme detalhamento</t>
        </is>
      </c>
      <c r="D833" s="2" t="inlineStr">
        <is>
          <t>03/03/2027</t>
        </is>
      </c>
      <c r="E833" s="2" t="inlineStr">
        <is>
          <t>24/03/2028</t>
        </is>
      </c>
      <c r="F833" s="2" t="n">
        <v>29018.54552098887</v>
      </c>
      <c r="G833" s="2" t="n">
        <v>0</v>
      </c>
      <c r="H833" s="2" t="n">
        <v>29018.54552098887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0.8100000000000001</v>
      </c>
      <c r="CV833" s="2" t="n">
        <v>0</v>
      </c>
      <c r="CW833" s="2" t="n">
        <v>0</v>
      </c>
      <c r="CX833" s="2" t="n">
        <v>8.08</v>
      </c>
      <c r="CY833" s="2" t="n">
        <v>4.04</v>
      </c>
      <c r="CZ833" s="2" t="n">
        <v>0</v>
      </c>
      <c r="DA833" s="2" t="n">
        <v>18.76</v>
      </c>
      <c r="DB833" s="2" t="n">
        <v>13.91</v>
      </c>
      <c r="DC833" s="2" t="n">
        <v>0</v>
      </c>
      <c r="DD833" s="2" t="n">
        <v>18.76</v>
      </c>
      <c r="DE833" s="2" t="n">
        <v>18.76</v>
      </c>
      <c r="DF833" s="2" t="n">
        <v>0</v>
      </c>
      <c r="DG833" s="2" t="n">
        <v>25.05</v>
      </c>
      <c r="DH833" s="2" t="n">
        <v>19.42</v>
      </c>
      <c r="DI833" s="2" t="n">
        <v>0</v>
      </c>
      <c r="DJ833" s="2" t="n">
        <v>36.24</v>
      </c>
      <c r="DK833" s="2" t="n">
        <v>34.63</v>
      </c>
      <c r="DL833" s="2" t="n">
        <v>0</v>
      </c>
      <c r="DM833" s="2" t="n">
        <v>49.88</v>
      </c>
      <c r="DN833" s="2" t="n">
        <v>45.53</v>
      </c>
      <c r="DO833" s="2" t="n">
        <v>0</v>
      </c>
      <c r="DP833" s="2" t="n">
        <v>62.32</v>
      </c>
      <c r="DQ833" s="2" t="n">
        <v>57.15</v>
      </c>
      <c r="DR833" s="2" t="n">
        <v>0</v>
      </c>
      <c r="DS833" s="2" t="n">
        <v>67.17</v>
      </c>
      <c r="DT833" s="2" t="n">
        <v>66.77</v>
      </c>
      <c r="DU833" s="2" t="n">
        <v>0</v>
      </c>
      <c r="DV833" s="2" t="n">
        <v>75.76000000000001</v>
      </c>
      <c r="DW833" s="2" t="n">
        <v>74.14</v>
      </c>
      <c r="DX833" s="2" t="n">
        <v>0</v>
      </c>
      <c r="DY833" s="2" t="n">
        <v>83.03</v>
      </c>
      <c r="DZ833" s="2" t="n">
        <v>81.42</v>
      </c>
      <c r="EA833" s="2" t="n">
        <v>0</v>
      </c>
      <c r="EB833" s="2" t="n">
        <v>92.73</v>
      </c>
      <c r="EC833" s="2" t="n">
        <v>88.28</v>
      </c>
      <c r="ED833" s="2" t="n">
        <v>0</v>
      </c>
      <c r="EE833" s="2" t="n">
        <v>100</v>
      </c>
      <c r="EF833" s="2" t="n">
        <v>94.75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  <c r="ET833" s="2" t="n">
        <v>100</v>
      </c>
      <c r="EU833" s="2" t="n">
        <v>100</v>
      </c>
      <c r="EV833" s="2" t="n">
        <v>0</v>
      </c>
      <c r="EW833" s="2" t="n">
        <v>100</v>
      </c>
      <c r="EX833" s="2" t="n">
        <v>100</v>
      </c>
      <c r="EY833" s="2" t="n">
        <v>0</v>
      </c>
      <c r="EZ833" s="2" t="n">
        <v>100</v>
      </c>
      <c r="FA833" s="2" t="n">
        <v>100</v>
      </c>
      <c r="FB833" s="2" t="n">
        <v>0</v>
      </c>
      <c r="FC833" s="2" t="n">
        <v>100</v>
      </c>
      <c r="FD833" s="2" t="n">
        <v>100</v>
      </c>
      <c r="FE833" s="2" t="n">
        <v>0</v>
      </c>
      <c r="FF833" s="2" t="n">
        <v>100</v>
      </c>
      <c r="FG833" s="2" t="n">
        <v>100</v>
      </c>
      <c r="FH833" s="2" t="n">
        <v>0</v>
      </c>
      <c r="FI833" s="2" t="n">
        <v>100</v>
      </c>
      <c r="FJ833" s="2" t="n">
        <v>100</v>
      </c>
      <c r="FK833" s="2" t="n">
        <v>0</v>
      </c>
      <c r="FL833" s="2" t="n">
        <v>100</v>
      </c>
      <c r="FM833" s="2" t="n">
        <v>100</v>
      </c>
      <c r="FN833" s="2" t="n">
        <v>0</v>
      </c>
      <c r="FO833" s="2" t="n">
        <v>100</v>
      </c>
      <c r="FP833" s="2" t="n">
        <v>100</v>
      </c>
      <c r="FQ833" s="2" t="n">
        <v>0</v>
      </c>
    </row>
    <row r="834">
      <c r="A834" s="2" t="n">
        <v>4</v>
      </c>
      <c r="B834" s="2" t="inlineStr">
        <is>
          <t>31.06.11.01</t>
        </is>
      </c>
      <c r="C834" s="2" t="inlineStr">
        <is>
          <t>INT - Bancada em pedra sinterizada, Lava satin fusion collection. Espessura: 5mm. Ref: Neo Lhít. Dimensões e paginação conforme detalhamento</t>
        </is>
      </c>
      <c r="D834" s="2" t="inlineStr">
        <is>
          <t>03/03/2027</t>
        </is>
      </c>
      <c r="E834" s="2" t="inlineStr">
        <is>
          <t>24/03/2028</t>
        </is>
      </c>
      <c r="F834" s="2" t="n">
        <v>21161.45912651145</v>
      </c>
      <c r="G834" s="2" t="n">
        <v>0</v>
      </c>
      <c r="H834" s="2" t="n">
        <v>21161.45912651145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0.8100000000000001</v>
      </c>
      <c r="CV834" s="2" t="n">
        <v>0</v>
      </c>
      <c r="CW834" s="2" t="n">
        <v>0</v>
      </c>
      <c r="CX834" s="2" t="n">
        <v>8.08</v>
      </c>
      <c r="CY834" s="2" t="n">
        <v>4.04</v>
      </c>
      <c r="CZ834" s="2" t="n">
        <v>0</v>
      </c>
      <c r="DA834" s="2" t="n">
        <v>18.76</v>
      </c>
      <c r="DB834" s="2" t="n">
        <v>13.91</v>
      </c>
      <c r="DC834" s="2" t="n">
        <v>0</v>
      </c>
      <c r="DD834" s="2" t="n">
        <v>18.76</v>
      </c>
      <c r="DE834" s="2" t="n">
        <v>18.76</v>
      </c>
      <c r="DF834" s="2" t="n">
        <v>0</v>
      </c>
      <c r="DG834" s="2" t="n">
        <v>25.05</v>
      </c>
      <c r="DH834" s="2" t="n">
        <v>19.42</v>
      </c>
      <c r="DI834" s="2" t="n">
        <v>0</v>
      </c>
      <c r="DJ834" s="2" t="n">
        <v>36.24</v>
      </c>
      <c r="DK834" s="2" t="n">
        <v>34.63</v>
      </c>
      <c r="DL834" s="2" t="n">
        <v>0</v>
      </c>
      <c r="DM834" s="2" t="n">
        <v>49.88</v>
      </c>
      <c r="DN834" s="2" t="n">
        <v>45.53</v>
      </c>
      <c r="DO834" s="2" t="n">
        <v>0</v>
      </c>
      <c r="DP834" s="2" t="n">
        <v>62.32</v>
      </c>
      <c r="DQ834" s="2" t="n">
        <v>57.15</v>
      </c>
      <c r="DR834" s="2" t="n">
        <v>0</v>
      </c>
      <c r="DS834" s="2" t="n">
        <v>67.17</v>
      </c>
      <c r="DT834" s="2" t="n">
        <v>66.77</v>
      </c>
      <c r="DU834" s="2" t="n">
        <v>0</v>
      </c>
      <c r="DV834" s="2" t="n">
        <v>75.76000000000001</v>
      </c>
      <c r="DW834" s="2" t="n">
        <v>74.14</v>
      </c>
      <c r="DX834" s="2" t="n">
        <v>0</v>
      </c>
      <c r="DY834" s="2" t="n">
        <v>83.03</v>
      </c>
      <c r="DZ834" s="2" t="n">
        <v>81.42</v>
      </c>
      <c r="EA834" s="2" t="n">
        <v>0</v>
      </c>
      <c r="EB834" s="2" t="n">
        <v>92.73</v>
      </c>
      <c r="EC834" s="2" t="n">
        <v>88.28</v>
      </c>
      <c r="ED834" s="2" t="n">
        <v>0</v>
      </c>
      <c r="EE834" s="2" t="n">
        <v>100</v>
      </c>
      <c r="EF834" s="2" t="n">
        <v>94.75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  <c r="ET834" s="2" t="n">
        <v>100</v>
      </c>
      <c r="EU834" s="2" t="n">
        <v>100</v>
      </c>
      <c r="EV834" s="2" t="n">
        <v>0</v>
      </c>
      <c r="EW834" s="2" t="n">
        <v>100</v>
      </c>
      <c r="EX834" s="2" t="n">
        <v>100</v>
      </c>
      <c r="EY834" s="2" t="n">
        <v>0</v>
      </c>
      <c r="EZ834" s="2" t="n">
        <v>100</v>
      </c>
      <c r="FA834" s="2" t="n">
        <v>100</v>
      </c>
      <c r="FB834" s="2" t="n">
        <v>0</v>
      </c>
      <c r="FC834" s="2" t="n">
        <v>100</v>
      </c>
      <c r="FD834" s="2" t="n">
        <v>100</v>
      </c>
      <c r="FE834" s="2" t="n">
        <v>0</v>
      </c>
      <c r="FF834" s="2" t="n">
        <v>100</v>
      </c>
      <c r="FG834" s="2" t="n">
        <v>100</v>
      </c>
      <c r="FH834" s="2" t="n">
        <v>0</v>
      </c>
      <c r="FI834" s="2" t="n">
        <v>100</v>
      </c>
      <c r="FJ834" s="2" t="n">
        <v>100</v>
      </c>
      <c r="FK834" s="2" t="n">
        <v>0</v>
      </c>
      <c r="FL834" s="2" t="n">
        <v>100</v>
      </c>
      <c r="FM834" s="2" t="n">
        <v>100</v>
      </c>
      <c r="FN834" s="2" t="n">
        <v>0</v>
      </c>
      <c r="FO834" s="2" t="n">
        <v>100</v>
      </c>
      <c r="FP834" s="2" t="n">
        <v>100</v>
      </c>
      <c r="FQ834" s="2" t="n">
        <v>0</v>
      </c>
    </row>
    <row r="835">
      <c r="A835" s="2" t="n">
        <v>4</v>
      </c>
      <c r="B835" s="2" t="inlineStr">
        <is>
          <t>31.06.11.02</t>
        </is>
      </c>
      <c r="C835" s="2" t="inlineStr">
        <is>
          <t>INT - Mesa engastada na alvenaria em pedra sinterizada, Lava satin fusion collection. Espessura: 5mm. Ref: Neo Lhít. Dimensões e paginação conforme detalhamento</t>
        </is>
      </c>
      <c r="D835" s="2" t="inlineStr">
        <is>
          <t>03/03/2027</t>
        </is>
      </c>
      <c r="E835" s="2" t="inlineStr">
        <is>
          <t>24/03/2028</t>
        </is>
      </c>
      <c r="F835" s="2" t="n">
        <v>7623.001015967849</v>
      </c>
      <c r="G835" s="2" t="n">
        <v>0</v>
      </c>
      <c r="H835" s="2" t="n">
        <v>7623.001015967849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0.8100000000000001</v>
      </c>
      <c r="CV835" s="2" t="n">
        <v>0</v>
      </c>
      <c r="CW835" s="2" t="n">
        <v>0</v>
      </c>
      <c r="CX835" s="2" t="n">
        <v>8.08</v>
      </c>
      <c r="CY835" s="2" t="n">
        <v>4.04</v>
      </c>
      <c r="CZ835" s="2" t="n">
        <v>0</v>
      </c>
      <c r="DA835" s="2" t="n">
        <v>18.76</v>
      </c>
      <c r="DB835" s="2" t="n">
        <v>13.91</v>
      </c>
      <c r="DC835" s="2" t="n">
        <v>0</v>
      </c>
      <c r="DD835" s="2" t="n">
        <v>18.76</v>
      </c>
      <c r="DE835" s="2" t="n">
        <v>18.76</v>
      </c>
      <c r="DF835" s="2" t="n">
        <v>0</v>
      </c>
      <c r="DG835" s="2" t="n">
        <v>25.05</v>
      </c>
      <c r="DH835" s="2" t="n">
        <v>19.42</v>
      </c>
      <c r="DI835" s="2" t="n">
        <v>0</v>
      </c>
      <c r="DJ835" s="2" t="n">
        <v>36.24</v>
      </c>
      <c r="DK835" s="2" t="n">
        <v>34.63</v>
      </c>
      <c r="DL835" s="2" t="n">
        <v>0</v>
      </c>
      <c r="DM835" s="2" t="n">
        <v>49.88</v>
      </c>
      <c r="DN835" s="2" t="n">
        <v>45.53</v>
      </c>
      <c r="DO835" s="2" t="n">
        <v>0</v>
      </c>
      <c r="DP835" s="2" t="n">
        <v>62.32</v>
      </c>
      <c r="DQ835" s="2" t="n">
        <v>57.15</v>
      </c>
      <c r="DR835" s="2" t="n">
        <v>0</v>
      </c>
      <c r="DS835" s="2" t="n">
        <v>67.17</v>
      </c>
      <c r="DT835" s="2" t="n">
        <v>66.77</v>
      </c>
      <c r="DU835" s="2" t="n">
        <v>0</v>
      </c>
      <c r="DV835" s="2" t="n">
        <v>75.76000000000001</v>
      </c>
      <c r="DW835" s="2" t="n">
        <v>74.14</v>
      </c>
      <c r="DX835" s="2" t="n">
        <v>0</v>
      </c>
      <c r="DY835" s="2" t="n">
        <v>83.03</v>
      </c>
      <c r="DZ835" s="2" t="n">
        <v>81.42</v>
      </c>
      <c r="EA835" s="2" t="n">
        <v>0</v>
      </c>
      <c r="EB835" s="2" t="n">
        <v>92.73</v>
      </c>
      <c r="EC835" s="2" t="n">
        <v>88.28</v>
      </c>
      <c r="ED835" s="2" t="n">
        <v>0</v>
      </c>
      <c r="EE835" s="2" t="n">
        <v>100</v>
      </c>
      <c r="EF835" s="2" t="n">
        <v>94.75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  <c r="ET835" s="2" t="n">
        <v>100</v>
      </c>
      <c r="EU835" s="2" t="n">
        <v>100</v>
      </c>
      <c r="EV835" s="2" t="n">
        <v>0</v>
      </c>
      <c r="EW835" s="2" t="n">
        <v>100</v>
      </c>
      <c r="EX835" s="2" t="n">
        <v>100</v>
      </c>
      <c r="EY835" s="2" t="n">
        <v>0</v>
      </c>
      <c r="EZ835" s="2" t="n">
        <v>100</v>
      </c>
      <c r="FA835" s="2" t="n">
        <v>100</v>
      </c>
      <c r="FB835" s="2" t="n">
        <v>0</v>
      </c>
      <c r="FC835" s="2" t="n">
        <v>100</v>
      </c>
      <c r="FD835" s="2" t="n">
        <v>100</v>
      </c>
      <c r="FE835" s="2" t="n">
        <v>0</v>
      </c>
      <c r="FF835" s="2" t="n">
        <v>100</v>
      </c>
      <c r="FG835" s="2" t="n">
        <v>100</v>
      </c>
      <c r="FH835" s="2" t="n">
        <v>0</v>
      </c>
      <c r="FI835" s="2" t="n">
        <v>100</v>
      </c>
      <c r="FJ835" s="2" t="n">
        <v>100</v>
      </c>
      <c r="FK835" s="2" t="n">
        <v>0</v>
      </c>
      <c r="FL835" s="2" t="n">
        <v>100</v>
      </c>
      <c r="FM835" s="2" t="n">
        <v>100</v>
      </c>
      <c r="FN835" s="2" t="n">
        <v>0</v>
      </c>
      <c r="FO835" s="2" t="n">
        <v>100</v>
      </c>
      <c r="FP835" s="2" t="n">
        <v>100</v>
      </c>
      <c r="FQ835" s="2" t="n">
        <v>0</v>
      </c>
    </row>
    <row r="836">
      <c r="A836" s="2" t="n">
        <v>4</v>
      </c>
      <c r="B836" s="2" t="inlineStr">
        <is>
          <t>31.06.11.03</t>
        </is>
      </c>
      <c r="C836" s="2" t="inlineStr">
        <is>
          <t>Proteção de bancadas contra manuseio de obra</t>
        </is>
      </c>
      <c r="D836" s="2" t="inlineStr">
        <is>
          <t>03/03/2027</t>
        </is>
      </c>
      <c r="E836" s="2" t="inlineStr">
        <is>
          <t>24/03/2028</t>
        </is>
      </c>
      <c r="F836" s="2" t="n">
        <v>234.0853785095689</v>
      </c>
      <c r="G836" s="2" t="n">
        <v>0</v>
      </c>
      <c r="H836" s="2" t="n">
        <v>234.0853785095689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0.8100000000000001</v>
      </c>
      <c r="CV836" s="2" t="n">
        <v>0</v>
      </c>
      <c r="CW836" s="2" t="n">
        <v>0</v>
      </c>
      <c r="CX836" s="2" t="n">
        <v>8.08</v>
      </c>
      <c r="CY836" s="2" t="n">
        <v>4.04</v>
      </c>
      <c r="CZ836" s="2" t="n">
        <v>0</v>
      </c>
      <c r="DA836" s="2" t="n">
        <v>18.76</v>
      </c>
      <c r="DB836" s="2" t="n">
        <v>13.91</v>
      </c>
      <c r="DC836" s="2" t="n">
        <v>0</v>
      </c>
      <c r="DD836" s="2" t="n">
        <v>18.76</v>
      </c>
      <c r="DE836" s="2" t="n">
        <v>18.76</v>
      </c>
      <c r="DF836" s="2" t="n">
        <v>0</v>
      </c>
      <c r="DG836" s="2" t="n">
        <v>25.05</v>
      </c>
      <c r="DH836" s="2" t="n">
        <v>19.42</v>
      </c>
      <c r="DI836" s="2" t="n">
        <v>0</v>
      </c>
      <c r="DJ836" s="2" t="n">
        <v>36.24</v>
      </c>
      <c r="DK836" s="2" t="n">
        <v>34.63</v>
      </c>
      <c r="DL836" s="2" t="n">
        <v>0</v>
      </c>
      <c r="DM836" s="2" t="n">
        <v>49.88</v>
      </c>
      <c r="DN836" s="2" t="n">
        <v>45.53</v>
      </c>
      <c r="DO836" s="2" t="n">
        <v>0</v>
      </c>
      <c r="DP836" s="2" t="n">
        <v>62.32</v>
      </c>
      <c r="DQ836" s="2" t="n">
        <v>57.15</v>
      </c>
      <c r="DR836" s="2" t="n">
        <v>0</v>
      </c>
      <c r="DS836" s="2" t="n">
        <v>67.17</v>
      </c>
      <c r="DT836" s="2" t="n">
        <v>66.77</v>
      </c>
      <c r="DU836" s="2" t="n">
        <v>0</v>
      </c>
      <c r="DV836" s="2" t="n">
        <v>75.76000000000001</v>
      </c>
      <c r="DW836" s="2" t="n">
        <v>74.14</v>
      </c>
      <c r="DX836" s="2" t="n">
        <v>0</v>
      </c>
      <c r="DY836" s="2" t="n">
        <v>83.03</v>
      </c>
      <c r="DZ836" s="2" t="n">
        <v>81.42</v>
      </c>
      <c r="EA836" s="2" t="n">
        <v>0</v>
      </c>
      <c r="EB836" s="2" t="n">
        <v>92.73</v>
      </c>
      <c r="EC836" s="2" t="n">
        <v>88.28</v>
      </c>
      <c r="ED836" s="2" t="n">
        <v>0</v>
      </c>
      <c r="EE836" s="2" t="n">
        <v>100</v>
      </c>
      <c r="EF836" s="2" t="n">
        <v>94.75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  <c r="ET836" s="2" t="n">
        <v>100</v>
      </c>
      <c r="EU836" s="2" t="n">
        <v>100</v>
      </c>
      <c r="EV836" s="2" t="n">
        <v>0</v>
      </c>
      <c r="EW836" s="2" t="n">
        <v>100</v>
      </c>
      <c r="EX836" s="2" t="n">
        <v>100</v>
      </c>
      <c r="EY836" s="2" t="n">
        <v>0</v>
      </c>
      <c r="EZ836" s="2" t="n">
        <v>100</v>
      </c>
      <c r="FA836" s="2" t="n">
        <v>100</v>
      </c>
      <c r="FB836" s="2" t="n">
        <v>0</v>
      </c>
      <c r="FC836" s="2" t="n">
        <v>100</v>
      </c>
      <c r="FD836" s="2" t="n">
        <v>100</v>
      </c>
      <c r="FE836" s="2" t="n">
        <v>0</v>
      </c>
      <c r="FF836" s="2" t="n">
        <v>100</v>
      </c>
      <c r="FG836" s="2" t="n">
        <v>100</v>
      </c>
      <c r="FH836" s="2" t="n">
        <v>0</v>
      </c>
      <c r="FI836" s="2" t="n">
        <v>100</v>
      </c>
      <c r="FJ836" s="2" t="n">
        <v>100</v>
      </c>
      <c r="FK836" s="2" t="n">
        <v>0</v>
      </c>
      <c r="FL836" s="2" t="n">
        <v>100</v>
      </c>
      <c r="FM836" s="2" t="n">
        <v>100</v>
      </c>
      <c r="FN836" s="2" t="n">
        <v>0</v>
      </c>
      <c r="FO836" s="2" t="n">
        <v>100</v>
      </c>
      <c r="FP836" s="2" t="n">
        <v>100</v>
      </c>
      <c r="FQ836" s="2" t="n">
        <v>0</v>
      </c>
    </row>
    <row r="837">
      <c r="A837" s="2" t="n">
        <v>2</v>
      </c>
      <c r="B837" s="2" t="inlineStr">
        <is>
          <t>31.07</t>
        </is>
      </c>
      <c r="C837" s="2" t="inlineStr">
        <is>
          <t>Revestimento de piscinas</t>
        </is>
      </c>
      <c r="D837" s="2" t="inlineStr">
        <is>
          <t>16/03/2027</t>
        </is>
      </c>
      <c r="E837" s="2" t="inlineStr">
        <is>
          <t>29/04/2027</t>
        </is>
      </c>
      <c r="F837" s="2" t="n">
        <v>433373.2364106779</v>
      </c>
      <c r="G837" s="2" t="n">
        <v>0</v>
      </c>
      <c r="H837" s="2" t="n">
        <v>433373.2364106779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20.97</v>
      </c>
      <c r="CY837" s="2" t="n">
        <v>24.41</v>
      </c>
      <c r="CZ837" s="2" t="n">
        <v>0</v>
      </c>
      <c r="DA837" s="2" t="n">
        <v>100</v>
      </c>
      <c r="DB837" s="2" t="n">
        <v>100</v>
      </c>
      <c r="DC837" s="2" t="n">
        <v>0</v>
      </c>
      <c r="DD837" s="2" t="n">
        <v>100</v>
      </c>
      <c r="DE837" s="2" t="n">
        <v>100</v>
      </c>
      <c r="DF837" s="2" t="n">
        <v>0</v>
      </c>
      <c r="DG837" s="2" t="n">
        <v>100</v>
      </c>
      <c r="DH837" s="2" t="n">
        <v>100</v>
      </c>
      <c r="DI837" s="2" t="n">
        <v>0</v>
      </c>
      <c r="DJ837" s="2" t="n">
        <v>100</v>
      </c>
      <c r="DK837" s="2" t="n">
        <v>100</v>
      </c>
      <c r="DL837" s="2" t="n">
        <v>0</v>
      </c>
      <c r="DM837" s="2" t="n">
        <v>100</v>
      </c>
      <c r="DN837" s="2" t="n">
        <v>100</v>
      </c>
      <c r="DO837" s="2" t="n">
        <v>0</v>
      </c>
      <c r="DP837" s="2" t="n">
        <v>100</v>
      </c>
      <c r="DQ837" s="2" t="n">
        <v>100</v>
      </c>
      <c r="DR837" s="2" t="n">
        <v>0</v>
      </c>
      <c r="DS837" s="2" t="n">
        <v>100</v>
      </c>
      <c r="DT837" s="2" t="n">
        <v>100</v>
      </c>
      <c r="DU837" s="2" t="n">
        <v>0</v>
      </c>
      <c r="DV837" s="2" t="n">
        <v>100</v>
      </c>
      <c r="DW837" s="2" t="n">
        <v>100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  <c r="ET837" s="2" t="n">
        <v>100</v>
      </c>
      <c r="EU837" s="2" t="n">
        <v>100</v>
      </c>
      <c r="EV837" s="2" t="n">
        <v>0</v>
      </c>
      <c r="EW837" s="2" t="n">
        <v>100</v>
      </c>
      <c r="EX837" s="2" t="n">
        <v>100</v>
      </c>
      <c r="EY837" s="2" t="n">
        <v>0</v>
      </c>
      <c r="EZ837" s="2" t="n">
        <v>100</v>
      </c>
      <c r="FA837" s="2" t="n">
        <v>100</v>
      </c>
      <c r="FB837" s="2" t="n">
        <v>0</v>
      </c>
      <c r="FC837" s="2" t="n">
        <v>100</v>
      </c>
      <c r="FD837" s="2" t="n">
        <v>100</v>
      </c>
      <c r="FE837" s="2" t="n">
        <v>0</v>
      </c>
      <c r="FF837" s="2" t="n">
        <v>100</v>
      </c>
      <c r="FG837" s="2" t="n">
        <v>100</v>
      </c>
      <c r="FH837" s="2" t="n">
        <v>0</v>
      </c>
      <c r="FI837" s="2" t="n">
        <v>100</v>
      </c>
      <c r="FJ837" s="2" t="n">
        <v>100</v>
      </c>
      <c r="FK837" s="2" t="n">
        <v>0</v>
      </c>
      <c r="FL837" s="2" t="n">
        <v>100</v>
      </c>
      <c r="FM837" s="2" t="n">
        <v>100</v>
      </c>
      <c r="FN837" s="2" t="n">
        <v>0</v>
      </c>
      <c r="FO837" s="2" t="n">
        <v>100</v>
      </c>
      <c r="FP837" s="2" t="n">
        <v>100</v>
      </c>
      <c r="FQ837" s="2" t="n">
        <v>0</v>
      </c>
    </row>
    <row r="838">
      <c r="A838" s="2" t="n">
        <v>3</v>
      </c>
      <c r="B838" s="2" t="inlineStr">
        <is>
          <t>31.07.01</t>
        </is>
      </c>
      <c r="C838" s="2" t="inlineStr">
        <is>
          <t>Argamassas</t>
        </is>
      </c>
      <c r="D838" s="2" t="inlineStr">
        <is>
          <t>16/03/2027</t>
        </is>
      </c>
      <c r="E838" s="2" t="inlineStr">
        <is>
          <t>29/04/2027</t>
        </is>
      </c>
      <c r="F838" s="2" t="n">
        <v>59215.48515646045</v>
      </c>
      <c r="G838" s="2" t="n">
        <v>0</v>
      </c>
      <c r="H838" s="2" t="n">
        <v>59215.48515646045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20.97</v>
      </c>
      <c r="CY838" s="2" t="n">
        <v>24.41</v>
      </c>
      <c r="CZ838" s="2" t="n">
        <v>0</v>
      </c>
      <c r="DA838" s="2" t="n">
        <v>100</v>
      </c>
      <c r="DB838" s="2" t="n">
        <v>100</v>
      </c>
      <c r="DC838" s="2" t="n">
        <v>0</v>
      </c>
      <c r="DD838" s="2" t="n">
        <v>100</v>
      </c>
      <c r="DE838" s="2" t="n">
        <v>100</v>
      </c>
      <c r="DF838" s="2" t="n">
        <v>0</v>
      </c>
      <c r="DG838" s="2" t="n">
        <v>100</v>
      </c>
      <c r="DH838" s="2" t="n">
        <v>100</v>
      </c>
      <c r="DI838" s="2" t="n">
        <v>0</v>
      </c>
      <c r="DJ838" s="2" t="n">
        <v>100</v>
      </c>
      <c r="DK838" s="2" t="n">
        <v>100</v>
      </c>
      <c r="DL838" s="2" t="n">
        <v>0</v>
      </c>
      <c r="DM838" s="2" t="n">
        <v>100</v>
      </c>
      <c r="DN838" s="2" t="n">
        <v>100</v>
      </c>
      <c r="DO838" s="2" t="n">
        <v>0</v>
      </c>
      <c r="DP838" s="2" t="n">
        <v>100</v>
      </c>
      <c r="DQ838" s="2" t="n">
        <v>100</v>
      </c>
      <c r="DR838" s="2" t="n">
        <v>0</v>
      </c>
      <c r="DS838" s="2" t="n">
        <v>100</v>
      </c>
      <c r="DT838" s="2" t="n">
        <v>100</v>
      </c>
      <c r="DU838" s="2" t="n">
        <v>0</v>
      </c>
      <c r="DV838" s="2" t="n">
        <v>100</v>
      </c>
      <c r="DW838" s="2" t="n">
        <v>100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  <c r="ET838" s="2" t="n">
        <v>100</v>
      </c>
      <c r="EU838" s="2" t="n">
        <v>100</v>
      </c>
      <c r="EV838" s="2" t="n">
        <v>0</v>
      </c>
      <c r="EW838" s="2" t="n">
        <v>100</v>
      </c>
      <c r="EX838" s="2" t="n">
        <v>100</v>
      </c>
      <c r="EY838" s="2" t="n">
        <v>0</v>
      </c>
      <c r="EZ838" s="2" t="n">
        <v>100</v>
      </c>
      <c r="FA838" s="2" t="n">
        <v>100</v>
      </c>
      <c r="FB838" s="2" t="n">
        <v>0</v>
      </c>
      <c r="FC838" s="2" t="n">
        <v>100</v>
      </c>
      <c r="FD838" s="2" t="n">
        <v>100</v>
      </c>
      <c r="FE838" s="2" t="n">
        <v>0</v>
      </c>
      <c r="FF838" s="2" t="n">
        <v>100</v>
      </c>
      <c r="FG838" s="2" t="n">
        <v>100</v>
      </c>
      <c r="FH838" s="2" t="n">
        <v>0</v>
      </c>
      <c r="FI838" s="2" t="n">
        <v>100</v>
      </c>
      <c r="FJ838" s="2" t="n">
        <v>100</v>
      </c>
      <c r="FK838" s="2" t="n">
        <v>0</v>
      </c>
      <c r="FL838" s="2" t="n">
        <v>100</v>
      </c>
      <c r="FM838" s="2" t="n">
        <v>100</v>
      </c>
      <c r="FN838" s="2" t="n">
        <v>0</v>
      </c>
      <c r="FO838" s="2" t="n">
        <v>100</v>
      </c>
      <c r="FP838" s="2" t="n">
        <v>100</v>
      </c>
      <c r="FQ838" s="2" t="n">
        <v>0</v>
      </c>
    </row>
    <row r="839">
      <c r="A839" s="2" t="n">
        <v>4</v>
      </c>
      <c r="B839" s="2" t="inlineStr">
        <is>
          <t>31.07.01.01</t>
        </is>
      </c>
      <c r="C839" s="2" t="inlineStr">
        <is>
          <t>Taliscamento de Parede</t>
        </is>
      </c>
      <c r="D839" s="2" t="inlineStr">
        <is>
          <t>16/03/2027</t>
        </is>
      </c>
      <c r="E839" s="2" t="inlineStr">
        <is>
          <t>29/04/2027</t>
        </is>
      </c>
      <c r="F839" s="2" t="n">
        <v>4956.488557510367</v>
      </c>
      <c r="G839" s="2" t="n">
        <v>0</v>
      </c>
      <c r="H839" s="2" t="n">
        <v>4956.488557510367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20.97</v>
      </c>
      <c r="CY839" s="2" t="n">
        <v>24.41</v>
      </c>
      <c r="CZ839" s="2" t="n">
        <v>0</v>
      </c>
      <c r="DA839" s="2" t="n">
        <v>100</v>
      </c>
      <c r="DB839" s="2" t="n">
        <v>100</v>
      </c>
      <c r="DC839" s="2" t="n">
        <v>0</v>
      </c>
      <c r="DD839" s="2" t="n">
        <v>100</v>
      </c>
      <c r="DE839" s="2" t="n">
        <v>100</v>
      </c>
      <c r="DF839" s="2" t="n">
        <v>0</v>
      </c>
      <c r="DG839" s="2" t="n">
        <v>100</v>
      </c>
      <c r="DH839" s="2" t="n">
        <v>100</v>
      </c>
      <c r="DI839" s="2" t="n">
        <v>0</v>
      </c>
      <c r="DJ839" s="2" t="n">
        <v>100</v>
      </c>
      <c r="DK839" s="2" t="n">
        <v>100</v>
      </c>
      <c r="DL839" s="2" t="n">
        <v>0</v>
      </c>
      <c r="DM839" s="2" t="n">
        <v>100</v>
      </c>
      <c r="DN839" s="2" t="n">
        <v>100</v>
      </c>
      <c r="DO839" s="2" t="n">
        <v>0</v>
      </c>
      <c r="DP839" s="2" t="n">
        <v>100</v>
      </c>
      <c r="DQ839" s="2" t="n">
        <v>100</v>
      </c>
      <c r="DR839" s="2" t="n">
        <v>0</v>
      </c>
      <c r="DS839" s="2" t="n">
        <v>100</v>
      </c>
      <c r="DT839" s="2" t="n">
        <v>100</v>
      </c>
      <c r="DU839" s="2" t="n">
        <v>0</v>
      </c>
      <c r="DV839" s="2" t="n">
        <v>100</v>
      </c>
      <c r="DW839" s="2" t="n">
        <v>100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  <c r="ET839" s="2" t="n">
        <v>100</v>
      </c>
      <c r="EU839" s="2" t="n">
        <v>100</v>
      </c>
      <c r="EV839" s="2" t="n">
        <v>0</v>
      </c>
      <c r="EW839" s="2" t="n">
        <v>100</v>
      </c>
      <c r="EX839" s="2" t="n">
        <v>100</v>
      </c>
      <c r="EY839" s="2" t="n">
        <v>0</v>
      </c>
      <c r="EZ839" s="2" t="n">
        <v>100</v>
      </c>
      <c r="FA839" s="2" t="n">
        <v>100</v>
      </c>
      <c r="FB839" s="2" t="n">
        <v>0</v>
      </c>
      <c r="FC839" s="2" t="n">
        <v>100</v>
      </c>
      <c r="FD839" s="2" t="n">
        <v>100</v>
      </c>
      <c r="FE839" s="2" t="n">
        <v>0</v>
      </c>
      <c r="FF839" s="2" t="n">
        <v>100</v>
      </c>
      <c r="FG839" s="2" t="n">
        <v>100</v>
      </c>
      <c r="FH839" s="2" t="n">
        <v>0</v>
      </c>
      <c r="FI839" s="2" t="n">
        <v>100</v>
      </c>
      <c r="FJ839" s="2" t="n">
        <v>100</v>
      </c>
      <c r="FK839" s="2" t="n">
        <v>0</v>
      </c>
      <c r="FL839" s="2" t="n">
        <v>100</v>
      </c>
      <c r="FM839" s="2" t="n">
        <v>100</v>
      </c>
      <c r="FN839" s="2" t="n">
        <v>0</v>
      </c>
      <c r="FO839" s="2" t="n">
        <v>100</v>
      </c>
      <c r="FP839" s="2" t="n">
        <v>100</v>
      </c>
      <c r="FQ839" s="2" t="n">
        <v>0</v>
      </c>
    </row>
    <row r="840">
      <c r="A840" s="2" t="n">
        <v>4</v>
      </c>
      <c r="B840" s="2" t="inlineStr">
        <is>
          <t>31.07.01.02</t>
        </is>
      </c>
      <c r="C840" s="2" t="inlineStr">
        <is>
          <t>Chapisco</t>
        </is>
      </c>
      <c r="D840" s="2" t="inlineStr">
        <is>
          <t>16/03/2027</t>
        </is>
      </c>
      <c r="E840" s="2" t="inlineStr">
        <is>
          <t>29/04/2027</t>
        </is>
      </c>
      <c r="F840" s="2" t="n">
        <v>9026.576098713964</v>
      </c>
      <c r="G840" s="2" t="n">
        <v>0</v>
      </c>
      <c r="H840" s="2" t="n">
        <v>9026.576098713964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20.97</v>
      </c>
      <c r="CY840" s="2" t="n">
        <v>24.41</v>
      </c>
      <c r="CZ840" s="2" t="n">
        <v>0</v>
      </c>
      <c r="DA840" s="2" t="n">
        <v>100</v>
      </c>
      <c r="DB840" s="2" t="n">
        <v>100</v>
      </c>
      <c r="DC840" s="2" t="n">
        <v>0</v>
      </c>
      <c r="DD840" s="2" t="n">
        <v>100</v>
      </c>
      <c r="DE840" s="2" t="n">
        <v>100</v>
      </c>
      <c r="DF840" s="2" t="n">
        <v>0</v>
      </c>
      <c r="DG840" s="2" t="n">
        <v>100</v>
      </c>
      <c r="DH840" s="2" t="n">
        <v>100</v>
      </c>
      <c r="DI840" s="2" t="n">
        <v>0</v>
      </c>
      <c r="DJ840" s="2" t="n">
        <v>100</v>
      </c>
      <c r="DK840" s="2" t="n">
        <v>100</v>
      </c>
      <c r="DL840" s="2" t="n">
        <v>0</v>
      </c>
      <c r="DM840" s="2" t="n">
        <v>100</v>
      </c>
      <c r="DN840" s="2" t="n">
        <v>100</v>
      </c>
      <c r="DO840" s="2" t="n">
        <v>0</v>
      </c>
      <c r="DP840" s="2" t="n">
        <v>100</v>
      </c>
      <c r="DQ840" s="2" t="n">
        <v>100</v>
      </c>
      <c r="DR840" s="2" t="n">
        <v>0</v>
      </c>
      <c r="DS840" s="2" t="n">
        <v>100</v>
      </c>
      <c r="DT840" s="2" t="n">
        <v>100</v>
      </c>
      <c r="DU840" s="2" t="n">
        <v>0</v>
      </c>
      <c r="DV840" s="2" t="n">
        <v>100</v>
      </c>
      <c r="DW840" s="2" t="n">
        <v>100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  <c r="ET840" s="2" t="n">
        <v>100</v>
      </c>
      <c r="EU840" s="2" t="n">
        <v>100</v>
      </c>
      <c r="EV840" s="2" t="n">
        <v>0</v>
      </c>
      <c r="EW840" s="2" t="n">
        <v>100</v>
      </c>
      <c r="EX840" s="2" t="n">
        <v>100</v>
      </c>
      <c r="EY840" s="2" t="n">
        <v>0</v>
      </c>
      <c r="EZ840" s="2" t="n">
        <v>100</v>
      </c>
      <c r="FA840" s="2" t="n">
        <v>100</v>
      </c>
      <c r="FB840" s="2" t="n">
        <v>0</v>
      </c>
      <c r="FC840" s="2" t="n">
        <v>100</v>
      </c>
      <c r="FD840" s="2" t="n">
        <v>100</v>
      </c>
      <c r="FE840" s="2" t="n">
        <v>0</v>
      </c>
      <c r="FF840" s="2" t="n">
        <v>100</v>
      </c>
      <c r="FG840" s="2" t="n">
        <v>100</v>
      </c>
      <c r="FH840" s="2" t="n">
        <v>0</v>
      </c>
      <c r="FI840" s="2" t="n">
        <v>100</v>
      </c>
      <c r="FJ840" s="2" t="n">
        <v>100</v>
      </c>
      <c r="FK840" s="2" t="n">
        <v>0</v>
      </c>
      <c r="FL840" s="2" t="n">
        <v>100</v>
      </c>
      <c r="FM840" s="2" t="n">
        <v>100</v>
      </c>
      <c r="FN840" s="2" t="n">
        <v>0</v>
      </c>
      <c r="FO840" s="2" t="n">
        <v>100</v>
      </c>
      <c r="FP840" s="2" t="n">
        <v>100</v>
      </c>
      <c r="FQ840" s="2" t="n">
        <v>0</v>
      </c>
    </row>
    <row r="841">
      <c r="A841" s="2" t="n">
        <v>4</v>
      </c>
      <c r="B841" s="2" t="inlineStr">
        <is>
          <t>31.07.01.03</t>
        </is>
      </c>
      <c r="C841" s="2" t="inlineStr">
        <is>
          <t>Emboço esp. 50mm</t>
        </is>
      </c>
      <c r="D841" s="2" t="inlineStr">
        <is>
          <t>16/03/2027</t>
        </is>
      </c>
      <c r="E841" s="2" t="inlineStr">
        <is>
          <t>29/04/2027</t>
        </is>
      </c>
      <c r="F841" s="2" t="n">
        <v>45232.42050023611</v>
      </c>
      <c r="G841" s="2" t="n">
        <v>0</v>
      </c>
      <c r="H841" s="2" t="n">
        <v>45232.42050023611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20.97</v>
      </c>
      <c r="CY841" s="2" t="n">
        <v>24.41</v>
      </c>
      <c r="CZ841" s="2" t="n">
        <v>0</v>
      </c>
      <c r="DA841" s="2" t="n">
        <v>100</v>
      </c>
      <c r="DB841" s="2" t="n">
        <v>100</v>
      </c>
      <c r="DC841" s="2" t="n">
        <v>0</v>
      </c>
      <c r="DD841" s="2" t="n">
        <v>100</v>
      </c>
      <c r="DE841" s="2" t="n">
        <v>100</v>
      </c>
      <c r="DF841" s="2" t="n">
        <v>0</v>
      </c>
      <c r="DG841" s="2" t="n">
        <v>100</v>
      </c>
      <c r="DH841" s="2" t="n">
        <v>100</v>
      </c>
      <c r="DI841" s="2" t="n">
        <v>0</v>
      </c>
      <c r="DJ841" s="2" t="n">
        <v>100</v>
      </c>
      <c r="DK841" s="2" t="n">
        <v>100</v>
      </c>
      <c r="DL841" s="2" t="n">
        <v>0</v>
      </c>
      <c r="DM841" s="2" t="n">
        <v>100</v>
      </c>
      <c r="DN841" s="2" t="n">
        <v>100</v>
      </c>
      <c r="DO841" s="2" t="n">
        <v>0</v>
      </c>
      <c r="DP841" s="2" t="n">
        <v>100</v>
      </c>
      <c r="DQ841" s="2" t="n">
        <v>100</v>
      </c>
      <c r="DR841" s="2" t="n">
        <v>0</v>
      </c>
      <c r="DS841" s="2" t="n">
        <v>100</v>
      </c>
      <c r="DT841" s="2" t="n">
        <v>100</v>
      </c>
      <c r="DU841" s="2" t="n">
        <v>0</v>
      </c>
      <c r="DV841" s="2" t="n">
        <v>100</v>
      </c>
      <c r="DW841" s="2" t="n">
        <v>100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  <c r="ET841" s="2" t="n">
        <v>100</v>
      </c>
      <c r="EU841" s="2" t="n">
        <v>100</v>
      </c>
      <c r="EV841" s="2" t="n">
        <v>0</v>
      </c>
      <c r="EW841" s="2" t="n">
        <v>100</v>
      </c>
      <c r="EX841" s="2" t="n">
        <v>100</v>
      </c>
      <c r="EY841" s="2" t="n">
        <v>0</v>
      </c>
      <c r="EZ841" s="2" t="n">
        <v>100</v>
      </c>
      <c r="FA841" s="2" t="n">
        <v>100</v>
      </c>
      <c r="FB841" s="2" t="n">
        <v>0</v>
      </c>
      <c r="FC841" s="2" t="n">
        <v>100</v>
      </c>
      <c r="FD841" s="2" t="n">
        <v>100</v>
      </c>
      <c r="FE841" s="2" t="n">
        <v>0</v>
      </c>
      <c r="FF841" s="2" t="n">
        <v>100</v>
      </c>
      <c r="FG841" s="2" t="n">
        <v>100</v>
      </c>
      <c r="FH841" s="2" t="n">
        <v>0</v>
      </c>
      <c r="FI841" s="2" t="n">
        <v>100</v>
      </c>
      <c r="FJ841" s="2" t="n">
        <v>100</v>
      </c>
      <c r="FK841" s="2" t="n">
        <v>0</v>
      </c>
      <c r="FL841" s="2" t="n">
        <v>100</v>
      </c>
      <c r="FM841" s="2" t="n">
        <v>100</v>
      </c>
      <c r="FN841" s="2" t="n">
        <v>0</v>
      </c>
      <c r="FO841" s="2" t="n">
        <v>100</v>
      </c>
      <c r="FP841" s="2" t="n">
        <v>100</v>
      </c>
      <c r="FQ841" s="2" t="n">
        <v>0</v>
      </c>
    </row>
    <row r="842">
      <c r="A842" s="2" t="n">
        <v>3</v>
      </c>
      <c r="B842" s="2" t="inlineStr">
        <is>
          <t>31.07.02</t>
        </is>
      </c>
      <c r="C842" s="2" t="inlineStr">
        <is>
          <t>Revestimentos porcelanato e pedras</t>
        </is>
      </c>
      <c r="D842" s="2" t="inlineStr">
        <is>
          <t>16/03/2027</t>
        </is>
      </c>
      <c r="E842" s="2" t="inlineStr">
        <is>
          <t>29/04/2027</t>
        </is>
      </c>
      <c r="F842" s="2" t="n">
        <v>374157.7512542175</v>
      </c>
      <c r="G842" s="2" t="n">
        <v>0</v>
      </c>
      <c r="H842" s="2" t="n">
        <v>374157.7512542175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20.97</v>
      </c>
      <c r="CY842" s="2" t="n">
        <v>24.41</v>
      </c>
      <c r="CZ842" s="2" t="n">
        <v>0</v>
      </c>
      <c r="DA842" s="2" t="n">
        <v>100</v>
      </c>
      <c r="DB842" s="2" t="n">
        <v>100</v>
      </c>
      <c r="DC842" s="2" t="n">
        <v>0</v>
      </c>
      <c r="DD842" s="2" t="n">
        <v>100</v>
      </c>
      <c r="DE842" s="2" t="n">
        <v>100</v>
      </c>
      <c r="DF842" s="2" t="n">
        <v>0</v>
      </c>
      <c r="DG842" s="2" t="n">
        <v>100</v>
      </c>
      <c r="DH842" s="2" t="n">
        <v>100</v>
      </c>
      <c r="DI842" s="2" t="n">
        <v>0</v>
      </c>
      <c r="DJ842" s="2" t="n">
        <v>100</v>
      </c>
      <c r="DK842" s="2" t="n">
        <v>100</v>
      </c>
      <c r="DL842" s="2" t="n">
        <v>0</v>
      </c>
      <c r="DM842" s="2" t="n">
        <v>100</v>
      </c>
      <c r="DN842" s="2" t="n">
        <v>100</v>
      </c>
      <c r="DO842" s="2" t="n">
        <v>0</v>
      </c>
      <c r="DP842" s="2" t="n">
        <v>100</v>
      </c>
      <c r="DQ842" s="2" t="n">
        <v>100</v>
      </c>
      <c r="DR842" s="2" t="n">
        <v>0</v>
      </c>
      <c r="DS842" s="2" t="n">
        <v>100</v>
      </c>
      <c r="DT842" s="2" t="n">
        <v>100</v>
      </c>
      <c r="DU842" s="2" t="n">
        <v>0</v>
      </c>
      <c r="DV842" s="2" t="n">
        <v>100</v>
      </c>
      <c r="DW842" s="2" t="n">
        <v>100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  <c r="ET842" s="2" t="n">
        <v>100</v>
      </c>
      <c r="EU842" s="2" t="n">
        <v>100</v>
      </c>
      <c r="EV842" s="2" t="n">
        <v>0</v>
      </c>
      <c r="EW842" s="2" t="n">
        <v>100</v>
      </c>
      <c r="EX842" s="2" t="n">
        <v>100</v>
      </c>
      <c r="EY842" s="2" t="n">
        <v>0</v>
      </c>
      <c r="EZ842" s="2" t="n">
        <v>100</v>
      </c>
      <c r="FA842" s="2" t="n">
        <v>100</v>
      </c>
      <c r="FB842" s="2" t="n">
        <v>0</v>
      </c>
      <c r="FC842" s="2" t="n">
        <v>100</v>
      </c>
      <c r="FD842" s="2" t="n">
        <v>100</v>
      </c>
      <c r="FE842" s="2" t="n">
        <v>0</v>
      </c>
      <c r="FF842" s="2" t="n">
        <v>100</v>
      </c>
      <c r="FG842" s="2" t="n">
        <v>100</v>
      </c>
      <c r="FH842" s="2" t="n">
        <v>0</v>
      </c>
      <c r="FI842" s="2" t="n">
        <v>100</v>
      </c>
      <c r="FJ842" s="2" t="n">
        <v>100</v>
      </c>
      <c r="FK842" s="2" t="n">
        <v>0</v>
      </c>
      <c r="FL842" s="2" t="n">
        <v>100</v>
      </c>
      <c r="FM842" s="2" t="n">
        <v>100</v>
      </c>
      <c r="FN842" s="2" t="n">
        <v>0</v>
      </c>
      <c r="FO842" s="2" t="n">
        <v>100</v>
      </c>
      <c r="FP842" s="2" t="n">
        <v>100</v>
      </c>
      <c r="FQ842" s="2" t="n">
        <v>0</v>
      </c>
    </row>
    <row r="843">
      <c r="A843" s="2" t="n">
        <v>4</v>
      </c>
      <c r="B843" s="2" t="inlineStr">
        <is>
          <t>31.07.02.01</t>
        </is>
      </c>
      <c r="C843" s="2" t="inlineStr">
        <is>
          <t>Revestimento em Pastilha Jatobá Cinza Cimento Brilhante 5x5cm-Ceramicasa.assentado com argamassa colante em pó ACIII - Piscina</t>
        </is>
      </c>
      <c r="D843" s="2" t="inlineStr">
        <is>
          <t>16/03/2027</t>
        </is>
      </c>
      <c r="E843" s="2" t="inlineStr">
        <is>
          <t>29/04/2027</t>
        </is>
      </c>
      <c r="F843" s="2" t="n">
        <v>91077.9834870263</v>
      </c>
      <c r="G843" s="2" t="n">
        <v>0</v>
      </c>
      <c r="H843" s="2" t="n">
        <v>91077.9834870263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20.97</v>
      </c>
      <c r="CY843" s="2" t="n">
        <v>24.41</v>
      </c>
      <c r="CZ843" s="2" t="n">
        <v>0</v>
      </c>
      <c r="DA843" s="2" t="n">
        <v>100</v>
      </c>
      <c r="DB843" s="2" t="n">
        <v>100</v>
      </c>
      <c r="DC843" s="2" t="n">
        <v>0</v>
      </c>
      <c r="DD843" s="2" t="n">
        <v>100</v>
      </c>
      <c r="DE843" s="2" t="n">
        <v>100</v>
      </c>
      <c r="DF843" s="2" t="n">
        <v>0</v>
      </c>
      <c r="DG843" s="2" t="n">
        <v>100</v>
      </c>
      <c r="DH843" s="2" t="n">
        <v>100</v>
      </c>
      <c r="DI843" s="2" t="n">
        <v>0</v>
      </c>
      <c r="DJ843" s="2" t="n">
        <v>100</v>
      </c>
      <c r="DK843" s="2" t="n">
        <v>100</v>
      </c>
      <c r="DL843" s="2" t="n">
        <v>0</v>
      </c>
      <c r="DM843" s="2" t="n">
        <v>100</v>
      </c>
      <c r="DN843" s="2" t="n">
        <v>100</v>
      </c>
      <c r="DO843" s="2" t="n">
        <v>0</v>
      </c>
      <c r="DP843" s="2" t="n">
        <v>100</v>
      </c>
      <c r="DQ843" s="2" t="n">
        <v>100</v>
      </c>
      <c r="DR843" s="2" t="n">
        <v>0</v>
      </c>
      <c r="DS843" s="2" t="n">
        <v>100</v>
      </c>
      <c r="DT843" s="2" t="n">
        <v>100</v>
      </c>
      <c r="DU843" s="2" t="n">
        <v>0</v>
      </c>
      <c r="DV843" s="2" t="n">
        <v>100</v>
      </c>
      <c r="DW843" s="2" t="n">
        <v>100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  <c r="ET843" s="2" t="n">
        <v>100</v>
      </c>
      <c r="EU843" s="2" t="n">
        <v>100</v>
      </c>
      <c r="EV843" s="2" t="n">
        <v>0</v>
      </c>
      <c r="EW843" s="2" t="n">
        <v>100</v>
      </c>
      <c r="EX843" s="2" t="n">
        <v>100</v>
      </c>
      <c r="EY843" s="2" t="n">
        <v>0</v>
      </c>
      <c r="EZ843" s="2" t="n">
        <v>100</v>
      </c>
      <c r="FA843" s="2" t="n">
        <v>100</v>
      </c>
      <c r="FB843" s="2" t="n">
        <v>0</v>
      </c>
      <c r="FC843" s="2" t="n">
        <v>100</v>
      </c>
      <c r="FD843" s="2" t="n">
        <v>100</v>
      </c>
      <c r="FE843" s="2" t="n">
        <v>0</v>
      </c>
      <c r="FF843" s="2" t="n">
        <v>100</v>
      </c>
      <c r="FG843" s="2" t="n">
        <v>100</v>
      </c>
      <c r="FH843" s="2" t="n">
        <v>0</v>
      </c>
      <c r="FI843" s="2" t="n">
        <v>100</v>
      </c>
      <c r="FJ843" s="2" t="n">
        <v>100</v>
      </c>
      <c r="FK843" s="2" t="n">
        <v>0</v>
      </c>
      <c r="FL843" s="2" t="n">
        <v>100</v>
      </c>
      <c r="FM843" s="2" t="n">
        <v>100</v>
      </c>
      <c r="FN843" s="2" t="n">
        <v>0</v>
      </c>
      <c r="FO843" s="2" t="n">
        <v>100</v>
      </c>
      <c r="FP843" s="2" t="n">
        <v>100</v>
      </c>
      <c r="FQ843" s="2" t="n">
        <v>0</v>
      </c>
    </row>
    <row r="844">
      <c r="A844" s="2" t="n">
        <v>4</v>
      </c>
      <c r="B844" s="2" t="inlineStr">
        <is>
          <t>31.07.02.02</t>
        </is>
      </c>
      <c r="C844" s="2" t="inlineStr">
        <is>
          <t>INT - Revestimento de granito são grabriel, lote a ser aprovado. Espessura: 2cm, assentado com argamassa colante em pó ACIII - Lago</t>
        </is>
      </c>
      <c r="D844" s="2" t="inlineStr">
        <is>
          <t>16/03/2027</t>
        </is>
      </c>
      <c r="E844" s="2" t="inlineStr">
        <is>
          <t>29/04/2027</t>
        </is>
      </c>
      <c r="F844" s="2" t="n">
        <v>101608.1977</v>
      </c>
      <c r="G844" s="2" t="n">
        <v>0</v>
      </c>
      <c r="H844" s="2" t="n">
        <v>101608.1977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20.97</v>
      </c>
      <c r="CY844" s="2" t="n">
        <v>24.41</v>
      </c>
      <c r="CZ844" s="2" t="n">
        <v>0</v>
      </c>
      <c r="DA844" s="2" t="n">
        <v>100</v>
      </c>
      <c r="DB844" s="2" t="n">
        <v>100</v>
      </c>
      <c r="DC844" s="2" t="n">
        <v>0</v>
      </c>
      <c r="DD844" s="2" t="n">
        <v>100</v>
      </c>
      <c r="DE844" s="2" t="n">
        <v>100</v>
      </c>
      <c r="DF844" s="2" t="n">
        <v>0</v>
      </c>
      <c r="DG844" s="2" t="n">
        <v>100</v>
      </c>
      <c r="DH844" s="2" t="n">
        <v>100</v>
      </c>
      <c r="DI844" s="2" t="n">
        <v>0</v>
      </c>
      <c r="DJ844" s="2" t="n">
        <v>100</v>
      </c>
      <c r="DK844" s="2" t="n">
        <v>100</v>
      </c>
      <c r="DL844" s="2" t="n">
        <v>0</v>
      </c>
      <c r="DM844" s="2" t="n">
        <v>100</v>
      </c>
      <c r="DN844" s="2" t="n">
        <v>100</v>
      </c>
      <c r="DO844" s="2" t="n">
        <v>0</v>
      </c>
      <c r="DP844" s="2" t="n">
        <v>100</v>
      </c>
      <c r="DQ844" s="2" t="n">
        <v>100</v>
      </c>
      <c r="DR844" s="2" t="n">
        <v>0</v>
      </c>
      <c r="DS844" s="2" t="n">
        <v>100</v>
      </c>
      <c r="DT844" s="2" t="n">
        <v>100</v>
      </c>
      <c r="DU844" s="2" t="n">
        <v>0</v>
      </c>
      <c r="DV844" s="2" t="n">
        <v>100</v>
      </c>
      <c r="DW844" s="2" t="n">
        <v>100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  <c r="ET844" s="2" t="n">
        <v>100</v>
      </c>
      <c r="EU844" s="2" t="n">
        <v>100</v>
      </c>
      <c r="EV844" s="2" t="n">
        <v>0</v>
      </c>
      <c r="EW844" s="2" t="n">
        <v>100</v>
      </c>
      <c r="EX844" s="2" t="n">
        <v>100</v>
      </c>
      <c r="EY844" s="2" t="n">
        <v>0</v>
      </c>
      <c r="EZ844" s="2" t="n">
        <v>100</v>
      </c>
      <c r="FA844" s="2" t="n">
        <v>100</v>
      </c>
      <c r="FB844" s="2" t="n">
        <v>0</v>
      </c>
      <c r="FC844" s="2" t="n">
        <v>100</v>
      </c>
      <c r="FD844" s="2" t="n">
        <v>100</v>
      </c>
      <c r="FE844" s="2" t="n">
        <v>0</v>
      </c>
      <c r="FF844" s="2" t="n">
        <v>100</v>
      </c>
      <c r="FG844" s="2" t="n">
        <v>100</v>
      </c>
      <c r="FH844" s="2" t="n">
        <v>0</v>
      </c>
      <c r="FI844" s="2" t="n">
        <v>100</v>
      </c>
      <c r="FJ844" s="2" t="n">
        <v>100</v>
      </c>
      <c r="FK844" s="2" t="n">
        <v>0</v>
      </c>
      <c r="FL844" s="2" t="n">
        <v>100</v>
      </c>
      <c r="FM844" s="2" t="n">
        <v>100</v>
      </c>
      <c r="FN844" s="2" t="n">
        <v>0</v>
      </c>
      <c r="FO844" s="2" t="n">
        <v>100</v>
      </c>
      <c r="FP844" s="2" t="n">
        <v>100</v>
      </c>
      <c r="FQ844" s="2" t="n">
        <v>0</v>
      </c>
    </row>
    <row r="845">
      <c r="A845" s="2" t="n">
        <v>4</v>
      </c>
      <c r="B845" s="2" t="inlineStr">
        <is>
          <t>31.07.02.03</t>
        </is>
      </c>
      <c r="C845" s="2" t="inlineStr">
        <is>
          <t>INT - Revestimento de mármore branco selecionado, lote a ser aprovado. Espessura: 2cm, assentado com argamassa colante em pó ACIII</t>
        </is>
      </c>
      <c r="D845" s="2" t="inlineStr">
        <is>
          <t>16/03/2027</t>
        </is>
      </c>
      <c r="E845" s="2" t="inlineStr">
        <is>
          <t>29/04/2027</t>
        </is>
      </c>
      <c r="F845" s="2" t="n">
        <v>181471.5700671912</v>
      </c>
      <c r="G845" s="2" t="n">
        <v>0</v>
      </c>
      <c r="H845" s="2" t="n">
        <v>181471.5700671912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20.97</v>
      </c>
      <c r="CY845" s="2" t="n">
        <v>24.41</v>
      </c>
      <c r="CZ845" s="2" t="n">
        <v>0</v>
      </c>
      <c r="DA845" s="2" t="n">
        <v>100</v>
      </c>
      <c r="DB845" s="2" t="n">
        <v>100</v>
      </c>
      <c r="DC845" s="2" t="n">
        <v>0</v>
      </c>
      <c r="DD845" s="2" t="n">
        <v>100</v>
      </c>
      <c r="DE845" s="2" t="n">
        <v>100</v>
      </c>
      <c r="DF845" s="2" t="n">
        <v>0</v>
      </c>
      <c r="DG845" s="2" t="n">
        <v>100</v>
      </c>
      <c r="DH845" s="2" t="n">
        <v>100</v>
      </c>
      <c r="DI845" s="2" t="n">
        <v>0</v>
      </c>
      <c r="DJ845" s="2" t="n">
        <v>100</v>
      </c>
      <c r="DK845" s="2" t="n">
        <v>100</v>
      </c>
      <c r="DL845" s="2" t="n">
        <v>0</v>
      </c>
      <c r="DM845" s="2" t="n">
        <v>100</v>
      </c>
      <c r="DN845" s="2" t="n">
        <v>100</v>
      </c>
      <c r="DO845" s="2" t="n">
        <v>0</v>
      </c>
      <c r="DP845" s="2" t="n">
        <v>100</v>
      </c>
      <c r="DQ845" s="2" t="n">
        <v>100</v>
      </c>
      <c r="DR845" s="2" t="n">
        <v>0</v>
      </c>
      <c r="DS845" s="2" t="n">
        <v>100</v>
      </c>
      <c r="DT845" s="2" t="n">
        <v>100</v>
      </c>
      <c r="DU845" s="2" t="n">
        <v>0</v>
      </c>
      <c r="DV845" s="2" t="n">
        <v>100</v>
      </c>
      <c r="DW845" s="2" t="n">
        <v>100</v>
      </c>
      <c r="DX845" s="2" t="n">
        <v>0</v>
      </c>
      <c r="DY845" s="2" t="n">
        <v>100</v>
      </c>
      <c r="DZ845" s="2" t="n">
        <v>100</v>
      </c>
      <c r="EA845" s="2" t="n">
        <v>0</v>
      </c>
      <c r="EB845" s="2" t="n">
        <v>100</v>
      </c>
      <c r="EC845" s="2" t="n">
        <v>100</v>
      </c>
      <c r="ED845" s="2" t="n">
        <v>0</v>
      </c>
      <c r="EE845" s="2" t="n">
        <v>100</v>
      </c>
      <c r="EF845" s="2" t="n">
        <v>100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  <c r="ET845" s="2" t="n">
        <v>100</v>
      </c>
      <c r="EU845" s="2" t="n">
        <v>100</v>
      </c>
      <c r="EV845" s="2" t="n">
        <v>0</v>
      </c>
      <c r="EW845" s="2" t="n">
        <v>100</v>
      </c>
      <c r="EX845" s="2" t="n">
        <v>100</v>
      </c>
      <c r="EY845" s="2" t="n">
        <v>0</v>
      </c>
      <c r="EZ845" s="2" t="n">
        <v>100</v>
      </c>
      <c r="FA845" s="2" t="n">
        <v>100</v>
      </c>
      <c r="FB845" s="2" t="n">
        <v>0</v>
      </c>
      <c r="FC845" s="2" t="n">
        <v>100</v>
      </c>
      <c r="FD845" s="2" t="n">
        <v>100</v>
      </c>
      <c r="FE845" s="2" t="n">
        <v>0</v>
      </c>
      <c r="FF845" s="2" t="n">
        <v>100</v>
      </c>
      <c r="FG845" s="2" t="n">
        <v>100</v>
      </c>
      <c r="FH845" s="2" t="n">
        <v>0</v>
      </c>
      <c r="FI845" s="2" t="n">
        <v>100</v>
      </c>
      <c r="FJ845" s="2" t="n">
        <v>100</v>
      </c>
      <c r="FK845" s="2" t="n">
        <v>0</v>
      </c>
      <c r="FL845" s="2" t="n">
        <v>100</v>
      </c>
      <c r="FM845" s="2" t="n">
        <v>100</v>
      </c>
      <c r="FN845" s="2" t="n">
        <v>0</v>
      </c>
      <c r="FO845" s="2" t="n">
        <v>100</v>
      </c>
      <c r="FP845" s="2" t="n">
        <v>100</v>
      </c>
      <c r="FQ845" s="2" t="n">
        <v>0</v>
      </c>
    </row>
    <row r="846">
      <c r="A846" s="2" t="n">
        <v>2</v>
      </c>
      <c r="B846" s="2" t="inlineStr">
        <is>
          <t>31.08</t>
        </is>
      </c>
      <c r="C846" s="2" t="inlineStr">
        <is>
          <t>Diversos</t>
        </is>
      </c>
      <c r="D846" s="2" t="inlineStr">
        <is>
          <t>21/01/2027</t>
        </is>
      </c>
      <c r="E846" s="2" t="inlineStr">
        <is>
          <t>24/04/2028</t>
        </is>
      </c>
      <c r="F846" s="2" t="n">
        <v>1931909.36222429</v>
      </c>
      <c r="G846" s="2" t="n">
        <v>0</v>
      </c>
      <c r="H846" s="2" t="n">
        <v>1931909.36222429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0.19</v>
      </c>
      <c r="CS846" s="2" t="n">
        <v>0.27</v>
      </c>
      <c r="CT846" s="2" t="n">
        <v>0</v>
      </c>
      <c r="CU846" s="2" t="n">
        <v>8.640000000000001</v>
      </c>
      <c r="CV846" s="2" t="n">
        <v>5.18</v>
      </c>
      <c r="CW846" s="2" t="n">
        <v>0</v>
      </c>
      <c r="CX846" s="2" t="n">
        <v>14.22</v>
      </c>
      <c r="CY846" s="2" t="n">
        <v>11.79</v>
      </c>
      <c r="CZ846" s="2" t="n">
        <v>0</v>
      </c>
      <c r="DA846" s="2" t="n">
        <v>16.04</v>
      </c>
      <c r="DB846" s="2" t="n">
        <v>16.04</v>
      </c>
      <c r="DC846" s="2" t="n">
        <v>0</v>
      </c>
      <c r="DD846" s="2" t="n">
        <v>19.31</v>
      </c>
      <c r="DE846" s="2" t="n">
        <v>16.57</v>
      </c>
      <c r="DF846" s="2" t="n">
        <v>0</v>
      </c>
      <c r="DG846" s="2" t="n">
        <v>28.23</v>
      </c>
      <c r="DH846" s="2" t="n">
        <v>28.23</v>
      </c>
      <c r="DI846" s="2" t="n">
        <v>0</v>
      </c>
      <c r="DJ846" s="2" t="n">
        <v>35.13</v>
      </c>
      <c r="DK846" s="2" t="n">
        <v>36.41</v>
      </c>
      <c r="DL846" s="2" t="n">
        <v>0</v>
      </c>
      <c r="DM846" s="2" t="n">
        <v>48.4</v>
      </c>
      <c r="DN846" s="2" t="n">
        <v>45.89</v>
      </c>
      <c r="DO846" s="2" t="n">
        <v>0</v>
      </c>
      <c r="DP846" s="2" t="n">
        <v>54.58</v>
      </c>
      <c r="DQ846" s="2" t="n">
        <v>54.91</v>
      </c>
      <c r="DR846" s="2" t="n">
        <v>0</v>
      </c>
      <c r="DS846" s="2" t="n">
        <v>60.37</v>
      </c>
      <c r="DT846" s="2" t="n">
        <v>60.88</v>
      </c>
      <c r="DU846" s="2" t="n">
        <v>0</v>
      </c>
      <c r="DV846" s="2" t="n">
        <v>70.54000000000001</v>
      </c>
      <c r="DW846" s="2" t="n">
        <v>69.38</v>
      </c>
      <c r="DX846" s="2" t="n">
        <v>0</v>
      </c>
      <c r="DY846" s="2" t="n">
        <v>74.90000000000001</v>
      </c>
      <c r="DZ846" s="2" t="n">
        <v>72</v>
      </c>
      <c r="EA846" s="2" t="n">
        <v>0</v>
      </c>
      <c r="EB846" s="2" t="n">
        <v>81.81</v>
      </c>
      <c r="EC846" s="2" t="n">
        <v>77.23</v>
      </c>
      <c r="ED846" s="2" t="n">
        <v>0</v>
      </c>
      <c r="EE846" s="2" t="n">
        <v>85.68000000000001</v>
      </c>
      <c r="EF846" s="2" t="n">
        <v>81.81</v>
      </c>
      <c r="EG846" s="2" t="n">
        <v>0</v>
      </c>
      <c r="EH846" s="2" t="n">
        <v>85.68000000000001</v>
      </c>
      <c r="EI846" s="2" t="n">
        <v>85.68000000000001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  <c r="ET846" s="2" t="n">
        <v>100</v>
      </c>
      <c r="EU846" s="2" t="n">
        <v>100</v>
      </c>
      <c r="EV846" s="2" t="n">
        <v>0</v>
      </c>
      <c r="EW846" s="2" t="n">
        <v>100</v>
      </c>
      <c r="EX846" s="2" t="n">
        <v>100</v>
      </c>
      <c r="EY846" s="2" t="n">
        <v>0</v>
      </c>
      <c r="EZ846" s="2" t="n">
        <v>100</v>
      </c>
      <c r="FA846" s="2" t="n">
        <v>100</v>
      </c>
      <c r="FB846" s="2" t="n">
        <v>0</v>
      </c>
      <c r="FC846" s="2" t="n">
        <v>100</v>
      </c>
      <c r="FD846" s="2" t="n">
        <v>100</v>
      </c>
      <c r="FE846" s="2" t="n">
        <v>0</v>
      </c>
      <c r="FF846" s="2" t="n">
        <v>100</v>
      </c>
      <c r="FG846" s="2" t="n">
        <v>100</v>
      </c>
      <c r="FH846" s="2" t="n">
        <v>0</v>
      </c>
      <c r="FI846" s="2" t="n">
        <v>100</v>
      </c>
      <c r="FJ846" s="2" t="n">
        <v>100</v>
      </c>
      <c r="FK846" s="2" t="n">
        <v>0</v>
      </c>
      <c r="FL846" s="2" t="n">
        <v>100</v>
      </c>
      <c r="FM846" s="2" t="n">
        <v>100</v>
      </c>
      <c r="FN846" s="2" t="n">
        <v>0</v>
      </c>
      <c r="FO846" s="2" t="n">
        <v>100</v>
      </c>
      <c r="FP846" s="2" t="n">
        <v>100</v>
      </c>
      <c r="FQ846" s="2" t="n">
        <v>0</v>
      </c>
    </row>
    <row r="847">
      <c r="A847" s="2" t="n">
        <v>3</v>
      </c>
      <c r="B847" s="2" t="inlineStr">
        <is>
          <t>31.08.01</t>
        </is>
      </c>
      <c r="C847" s="2" t="inlineStr">
        <is>
          <t>Divisórias à definir</t>
        </is>
      </c>
      <c r="D847" s="2" t="inlineStr">
        <is>
          <t>21/01/2027</t>
        </is>
      </c>
      <c r="E847" s="2" t="inlineStr">
        <is>
          <t>24/04/2028</t>
        </is>
      </c>
      <c r="F847" s="2" t="n">
        <v>23655.55188831085</v>
      </c>
      <c r="G847" s="2" t="n">
        <v>0</v>
      </c>
      <c r="H847" s="2" t="n">
        <v>23655.55188831085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0.19</v>
      </c>
      <c r="CS847" s="2" t="n">
        <v>0.27</v>
      </c>
      <c r="CT847" s="2" t="n">
        <v>0</v>
      </c>
      <c r="CU847" s="2" t="n">
        <v>8.640000000000001</v>
      </c>
      <c r="CV847" s="2" t="n">
        <v>5.18</v>
      </c>
      <c r="CW847" s="2" t="n">
        <v>0</v>
      </c>
      <c r="CX847" s="2" t="n">
        <v>14.22</v>
      </c>
      <c r="CY847" s="2" t="n">
        <v>11.79</v>
      </c>
      <c r="CZ847" s="2" t="n">
        <v>0</v>
      </c>
      <c r="DA847" s="2" t="n">
        <v>16.04</v>
      </c>
      <c r="DB847" s="2" t="n">
        <v>16.04</v>
      </c>
      <c r="DC847" s="2" t="n">
        <v>0</v>
      </c>
      <c r="DD847" s="2" t="n">
        <v>19.31</v>
      </c>
      <c r="DE847" s="2" t="n">
        <v>16.57</v>
      </c>
      <c r="DF847" s="2" t="n">
        <v>0</v>
      </c>
      <c r="DG847" s="2" t="n">
        <v>28.23</v>
      </c>
      <c r="DH847" s="2" t="n">
        <v>28.23</v>
      </c>
      <c r="DI847" s="2" t="n">
        <v>0</v>
      </c>
      <c r="DJ847" s="2" t="n">
        <v>35.13</v>
      </c>
      <c r="DK847" s="2" t="n">
        <v>36.41</v>
      </c>
      <c r="DL847" s="2" t="n">
        <v>0</v>
      </c>
      <c r="DM847" s="2" t="n">
        <v>48.4</v>
      </c>
      <c r="DN847" s="2" t="n">
        <v>45.89</v>
      </c>
      <c r="DO847" s="2" t="n">
        <v>0</v>
      </c>
      <c r="DP847" s="2" t="n">
        <v>54.58</v>
      </c>
      <c r="DQ847" s="2" t="n">
        <v>54.91</v>
      </c>
      <c r="DR847" s="2" t="n">
        <v>0</v>
      </c>
      <c r="DS847" s="2" t="n">
        <v>60.37</v>
      </c>
      <c r="DT847" s="2" t="n">
        <v>60.88</v>
      </c>
      <c r="DU847" s="2" t="n">
        <v>0</v>
      </c>
      <c r="DV847" s="2" t="n">
        <v>70.54000000000001</v>
      </c>
      <c r="DW847" s="2" t="n">
        <v>69.38</v>
      </c>
      <c r="DX847" s="2" t="n">
        <v>0</v>
      </c>
      <c r="DY847" s="2" t="n">
        <v>74.90000000000001</v>
      </c>
      <c r="DZ847" s="2" t="n">
        <v>72</v>
      </c>
      <c r="EA847" s="2" t="n">
        <v>0</v>
      </c>
      <c r="EB847" s="2" t="n">
        <v>81.81</v>
      </c>
      <c r="EC847" s="2" t="n">
        <v>77.23</v>
      </c>
      <c r="ED847" s="2" t="n">
        <v>0</v>
      </c>
      <c r="EE847" s="2" t="n">
        <v>85.68000000000001</v>
      </c>
      <c r="EF847" s="2" t="n">
        <v>81.81</v>
      </c>
      <c r="EG847" s="2" t="n">
        <v>0</v>
      </c>
      <c r="EH847" s="2" t="n">
        <v>85.68000000000001</v>
      </c>
      <c r="EI847" s="2" t="n">
        <v>85.68000000000001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  <c r="ET847" s="2" t="n">
        <v>100</v>
      </c>
      <c r="EU847" s="2" t="n">
        <v>100</v>
      </c>
      <c r="EV847" s="2" t="n">
        <v>0</v>
      </c>
      <c r="EW847" s="2" t="n">
        <v>100</v>
      </c>
      <c r="EX847" s="2" t="n">
        <v>100</v>
      </c>
      <c r="EY847" s="2" t="n">
        <v>0</v>
      </c>
      <c r="EZ847" s="2" t="n">
        <v>100</v>
      </c>
      <c r="FA847" s="2" t="n">
        <v>100</v>
      </c>
      <c r="FB847" s="2" t="n">
        <v>0</v>
      </c>
      <c r="FC847" s="2" t="n">
        <v>100</v>
      </c>
      <c r="FD847" s="2" t="n">
        <v>100</v>
      </c>
      <c r="FE847" s="2" t="n">
        <v>0</v>
      </c>
      <c r="FF847" s="2" t="n">
        <v>100</v>
      </c>
      <c r="FG847" s="2" t="n">
        <v>100</v>
      </c>
      <c r="FH847" s="2" t="n">
        <v>0</v>
      </c>
      <c r="FI847" s="2" t="n">
        <v>100</v>
      </c>
      <c r="FJ847" s="2" t="n">
        <v>100</v>
      </c>
      <c r="FK847" s="2" t="n">
        <v>0</v>
      </c>
      <c r="FL847" s="2" t="n">
        <v>100</v>
      </c>
      <c r="FM847" s="2" t="n">
        <v>100</v>
      </c>
      <c r="FN847" s="2" t="n">
        <v>0</v>
      </c>
      <c r="FO847" s="2" t="n">
        <v>100</v>
      </c>
      <c r="FP847" s="2" t="n">
        <v>100</v>
      </c>
      <c r="FQ847" s="2" t="n">
        <v>0</v>
      </c>
    </row>
    <row r="848">
      <c r="A848" s="2" t="n">
        <v>3</v>
      </c>
      <c r="B848" s="2" t="inlineStr">
        <is>
          <t>31.08.02</t>
        </is>
      </c>
      <c r="C848" s="2" t="inlineStr">
        <is>
          <t>Peitoris</t>
        </is>
      </c>
      <c r="D848" s="2" t="inlineStr">
        <is>
          <t>21/01/2027</t>
        </is>
      </c>
      <c r="E848" s="2" t="inlineStr">
        <is>
          <t>24/04/2028</t>
        </is>
      </c>
      <c r="F848" s="2" t="n">
        <v>480779.0595185481</v>
      </c>
      <c r="G848" s="2" t="n">
        <v>0</v>
      </c>
      <c r="H848" s="2" t="n">
        <v>480779.0595185481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0.19</v>
      </c>
      <c r="CS848" s="2" t="n">
        <v>0.27</v>
      </c>
      <c r="CT848" s="2" t="n">
        <v>0</v>
      </c>
      <c r="CU848" s="2" t="n">
        <v>8.640000000000001</v>
      </c>
      <c r="CV848" s="2" t="n">
        <v>5.18</v>
      </c>
      <c r="CW848" s="2" t="n">
        <v>0</v>
      </c>
      <c r="CX848" s="2" t="n">
        <v>14.22</v>
      </c>
      <c r="CY848" s="2" t="n">
        <v>11.79</v>
      </c>
      <c r="CZ848" s="2" t="n">
        <v>0</v>
      </c>
      <c r="DA848" s="2" t="n">
        <v>16.04</v>
      </c>
      <c r="DB848" s="2" t="n">
        <v>16.04</v>
      </c>
      <c r="DC848" s="2" t="n">
        <v>0</v>
      </c>
      <c r="DD848" s="2" t="n">
        <v>19.31</v>
      </c>
      <c r="DE848" s="2" t="n">
        <v>16.57</v>
      </c>
      <c r="DF848" s="2" t="n">
        <v>0</v>
      </c>
      <c r="DG848" s="2" t="n">
        <v>28.23</v>
      </c>
      <c r="DH848" s="2" t="n">
        <v>28.23</v>
      </c>
      <c r="DI848" s="2" t="n">
        <v>0</v>
      </c>
      <c r="DJ848" s="2" t="n">
        <v>35.13</v>
      </c>
      <c r="DK848" s="2" t="n">
        <v>36.41</v>
      </c>
      <c r="DL848" s="2" t="n">
        <v>0</v>
      </c>
      <c r="DM848" s="2" t="n">
        <v>48.4</v>
      </c>
      <c r="DN848" s="2" t="n">
        <v>45.89</v>
      </c>
      <c r="DO848" s="2" t="n">
        <v>0</v>
      </c>
      <c r="DP848" s="2" t="n">
        <v>54.58</v>
      </c>
      <c r="DQ848" s="2" t="n">
        <v>54.91</v>
      </c>
      <c r="DR848" s="2" t="n">
        <v>0</v>
      </c>
      <c r="DS848" s="2" t="n">
        <v>60.37</v>
      </c>
      <c r="DT848" s="2" t="n">
        <v>60.88</v>
      </c>
      <c r="DU848" s="2" t="n">
        <v>0</v>
      </c>
      <c r="DV848" s="2" t="n">
        <v>70.54000000000001</v>
      </c>
      <c r="DW848" s="2" t="n">
        <v>69.38</v>
      </c>
      <c r="DX848" s="2" t="n">
        <v>0</v>
      </c>
      <c r="DY848" s="2" t="n">
        <v>74.90000000000001</v>
      </c>
      <c r="DZ848" s="2" t="n">
        <v>72</v>
      </c>
      <c r="EA848" s="2" t="n">
        <v>0</v>
      </c>
      <c r="EB848" s="2" t="n">
        <v>81.81</v>
      </c>
      <c r="EC848" s="2" t="n">
        <v>77.23</v>
      </c>
      <c r="ED848" s="2" t="n">
        <v>0</v>
      </c>
      <c r="EE848" s="2" t="n">
        <v>85.68000000000001</v>
      </c>
      <c r="EF848" s="2" t="n">
        <v>81.81</v>
      </c>
      <c r="EG848" s="2" t="n">
        <v>0</v>
      </c>
      <c r="EH848" s="2" t="n">
        <v>85.68000000000001</v>
      </c>
      <c r="EI848" s="2" t="n">
        <v>85.68000000000001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  <c r="ET848" s="2" t="n">
        <v>100</v>
      </c>
      <c r="EU848" s="2" t="n">
        <v>100</v>
      </c>
      <c r="EV848" s="2" t="n">
        <v>0</v>
      </c>
      <c r="EW848" s="2" t="n">
        <v>100</v>
      </c>
      <c r="EX848" s="2" t="n">
        <v>100</v>
      </c>
      <c r="EY848" s="2" t="n">
        <v>0</v>
      </c>
      <c r="EZ848" s="2" t="n">
        <v>100</v>
      </c>
      <c r="FA848" s="2" t="n">
        <v>100</v>
      </c>
      <c r="FB848" s="2" t="n">
        <v>0</v>
      </c>
      <c r="FC848" s="2" t="n">
        <v>100</v>
      </c>
      <c r="FD848" s="2" t="n">
        <v>100</v>
      </c>
      <c r="FE848" s="2" t="n">
        <v>0</v>
      </c>
      <c r="FF848" s="2" t="n">
        <v>100</v>
      </c>
      <c r="FG848" s="2" t="n">
        <v>100</v>
      </c>
      <c r="FH848" s="2" t="n">
        <v>0</v>
      </c>
      <c r="FI848" s="2" t="n">
        <v>100</v>
      </c>
      <c r="FJ848" s="2" t="n">
        <v>100</v>
      </c>
      <c r="FK848" s="2" t="n">
        <v>0</v>
      </c>
      <c r="FL848" s="2" t="n">
        <v>100</v>
      </c>
      <c r="FM848" s="2" t="n">
        <v>100</v>
      </c>
      <c r="FN848" s="2" t="n">
        <v>0</v>
      </c>
      <c r="FO848" s="2" t="n">
        <v>100</v>
      </c>
      <c r="FP848" s="2" t="n">
        <v>100</v>
      </c>
      <c r="FQ848" s="2" t="n">
        <v>0</v>
      </c>
    </row>
    <row r="849">
      <c r="A849" s="2" t="n">
        <v>3</v>
      </c>
      <c r="B849" s="2" t="inlineStr">
        <is>
          <t>31.08.03</t>
        </is>
      </c>
      <c r="C849" s="2" t="inlineStr">
        <is>
          <t>Soleira em granito branco siena escovado</t>
        </is>
      </c>
      <c r="D849" s="2" t="inlineStr">
        <is>
          <t>21/01/2027</t>
        </is>
      </c>
      <c r="E849" s="2" t="inlineStr">
        <is>
          <t>24/04/2028</t>
        </is>
      </c>
      <c r="F849" s="2" t="n">
        <v>665398.751976904</v>
      </c>
      <c r="G849" s="2" t="n">
        <v>0</v>
      </c>
      <c r="H849" s="2" t="n">
        <v>665398.751976904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0.19</v>
      </c>
      <c r="CS849" s="2" t="n">
        <v>0.27</v>
      </c>
      <c r="CT849" s="2" t="n">
        <v>0</v>
      </c>
      <c r="CU849" s="2" t="n">
        <v>8.640000000000001</v>
      </c>
      <c r="CV849" s="2" t="n">
        <v>5.18</v>
      </c>
      <c r="CW849" s="2" t="n">
        <v>0</v>
      </c>
      <c r="CX849" s="2" t="n">
        <v>14.22</v>
      </c>
      <c r="CY849" s="2" t="n">
        <v>11.79</v>
      </c>
      <c r="CZ849" s="2" t="n">
        <v>0</v>
      </c>
      <c r="DA849" s="2" t="n">
        <v>16.04</v>
      </c>
      <c r="DB849" s="2" t="n">
        <v>16.04</v>
      </c>
      <c r="DC849" s="2" t="n">
        <v>0</v>
      </c>
      <c r="DD849" s="2" t="n">
        <v>19.31</v>
      </c>
      <c r="DE849" s="2" t="n">
        <v>16.57</v>
      </c>
      <c r="DF849" s="2" t="n">
        <v>0</v>
      </c>
      <c r="DG849" s="2" t="n">
        <v>28.23</v>
      </c>
      <c r="DH849" s="2" t="n">
        <v>28.23</v>
      </c>
      <c r="DI849" s="2" t="n">
        <v>0</v>
      </c>
      <c r="DJ849" s="2" t="n">
        <v>35.13</v>
      </c>
      <c r="DK849" s="2" t="n">
        <v>36.41</v>
      </c>
      <c r="DL849" s="2" t="n">
        <v>0</v>
      </c>
      <c r="DM849" s="2" t="n">
        <v>48.4</v>
      </c>
      <c r="DN849" s="2" t="n">
        <v>45.89</v>
      </c>
      <c r="DO849" s="2" t="n">
        <v>0</v>
      </c>
      <c r="DP849" s="2" t="n">
        <v>54.58</v>
      </c>
      <c r="DQ849" s="2" t="n">
        <v>54.91</v>
      </c>
      <c r="DR849" s="2" t="n">
        <v>0</v>
      </c>
      <c r="DS849" s="2" t="n">
        <v>60.37</v>
      </c>
      <c r="DT849" s="2" t="n">
        <v>60.88</v>
      </c>
      <c r="DU849" s="2" t="n">
        <v>0</v>
      </c>
      <c r="DV849" s="2" t="n">
        <v>70.54000000000001</v>
      </c>
      <c r="DW849" s="2" t="n">
        <v>69.38</v>
      </c>
      <c r="DX849" s="2" t="n">
        <v>0</v>
      </c>
      <c r="DY849" s="2" t="n">
        <v>74.90000000000001</v>
      </c>
      <c r="DZ849" s="2" t="n">
        <v>72</v>
      </c>
      <c r="EA849" s="2" t="n">
        <v>0</v>
      </c>
      <c r="EB849" s="2" t="n">
        <v>81.81</v>
      </c>
      <c r="EC849" s="2" t="n">
        <v>77.23</v>
      </c>
      <c r="ED849" s="2" t="n">
        <v>0</v>
      </c>
      <c r="EE849" s="2" t="n">
        <v>85.68000000000001</v>
      </c>
      <c r="EF849" s="2" t="n">
        <v>81.81</v>
      </c>
      <c r="EG849" s="2" t="n">
        <v>0</v>
      </c>
      <c r="EH849" s="2" t="n">
        <v>85.68000000000001</v>
      </c>
      <c r="EI849" s="2" t="n">
        <v>85.68000000000001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  <c r="ET849" s="2" t="n">
        <v>100</v>
      </c>
      <c r="EU849" s="2" t="n">
        <v>100</v>
      </c>
      <c r="EV849" s="2" t="n">
        <v>0</v>
      </c>
      <c r="EW849" s="2" t="n">
        <v>100</v>
      </c>
      <c r="EX849" s="2" t="n">
        <v>100</v>
      </c>
      <c r="EY849" s="2" t="n">
        <v>0</v>
      </c>
      <c r="EZ849" s="2" t="n">
        <v>100</v>
      </c>
      <c r="FA849" s="2" t="n">
        <v>100</v>
      </c>
      <c r="FB849" s="2" t="n">
        <v>0</v>
      </c>
      <c r="FC849" s="2" t="n">
        <v>100</v>
      </c>
      <c r="FD849" s="2" t="n">
        <v>100</v>
      </c>
      <c r="FE849" s="2" t="n">
        <v>0</v>
      </c>
      <c r="FF849" s="2" t="n">
        <v>100</v>
      </c>
      <c r="FG849" s="2" t="n">
        <v>100</v>
      </c>
      <c r="FH849" s="2" t="n">
        <v>0</v>
      </c>
      <c r="FI849" s="2" t="n">
        <v>100</v>
      </c>
      <c r="FJ849" s="2" t="n">
        <v>100</v>
      </c>
      <c r="FK849" s="2" t="n">
        <v>0</v>
      </c>
      <c r="FL849" s="2" t="n">
        <v>100</v>
      </c>
      <c r="FM849" s="2" t="n">
        <v>100</v>
      </c>
      <c r="FN849" s="2" t="n">
        <v>0</v>
      </c>
      <c r="FO849" s="2" t="n">
        <v>100</v>
      </c>
      <c r="FP849" s="2" t="n">
        <v>100</v>
      </c>
      <c r="FQ849" s="2" t="n">
        <v>0</v>
      </c>
    </row>
    <row r="850">
      <c r="A850" s="2" t="n">
        <v>3</v>
      </c>
      <c r="B850" s="2" t="inlineStr">
        <is>
          <t>31.08.04</t>
        </is>
      </c>
      <c r="C850" s="2" t="inlineStr">
        <is>
          <t>Soleira em mármore travertino romano bruto</t>
        </is>
      </c>
      <c r="D850" s="2" t="inlineStr">
        <is>
          <t>21/01/2027</t>
        </is>
      </c>
      <c r="E850" s="2" t="inlineStr">
        <is>
          <t>24/04/2028</t>
        </is>
      </c>
      <c r="F850" s="2" t="n">
        <v>8152.591734826708</v>
      </c>
      <c r="G850" s="2" t="n">
        <v>0</v>
      </c>
      <c r="H850" s="2" t="n">
        <v>8152.591734826708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0.19</v>
      </c>
      <c r="CS850" s="2" t="n">
        <v>0.27</v>
      </c>
      <c r="CT850" s="2" t="n">
        <v>0</v>
      </c>
      <c r="CU850" s="2" t="n">
        <v>8.640000000000001</v>
      </c>
      <c r="CV850" s="2" t="n">
        <v>5.18</v>
      </c>
      <c r="CW850" s="2" t="n">
        <v>0</v>
      </c>
      <c r="CX850" s="2" t="n">
        <v>14.22</v>
      </c>
      <c r="CY850" s="2" t="n">
        <v>11.79</v>
      </c>
      <c r="CZ850" s="2" t="n">
        <v>0</v>
      </c>
      <c r="DA850" s="2" t="n">
        <v>16.04</v>
      </c>
      <c r="DB850" s="2" t="n">
        <v>16.04</v>
      </c>
      <c r="DC850" s="2" t="n">
        <v>0</v>
      </c>
      <c r="DD850" s="2" t="n">
        <v>19.31</v>
      </c>
      <c r="DE850" s="2" t="n">
        <v>16.57</v>
      </c>
      <c r="DF850" s="2" t="n">
        <v>0</v>
      </c>
      <c r="DG850" s="2" t="n">
        <v>28.23</v>
      </c>
      <c r="DH850" s="2" t="n">
        <v>28.23</v>
      </c>
      <c r="DI850" s="2" t="n">
        <v>0</v>
      </c>
      <c r="DJ850" s="2" t="n">
        <v>35.13</v>
      </c>
      <c r="DK850" s="2" t="n">
        <v>36.41</v>
      </c>
      <c r="DL850" s="2" t="n">
        <v>0</v>
      </c>
      <c r="DM850" s="2" t="n">
        <v>48.4</v>
      </c>
      <c r="DN850" s="2" t="n">
        <v>45.89</v>
      </c>
      <c r="DO850" s="2" t="n">
        <v>0</v>
      </c>
      <c r="DP850" s="2" t="n">
        <v>54.58</v>
      </c>
      <c r="DQ850" s="2" t="n">
        <v>54.91</v>
      </c>
      <c r="DR850" s="2" t="n">
        <v>0</v>
      </c>
      <c r="DS850" s="2" t="n">
        <v>60.37</v>
      </c>
      <c r="DT850" s="2" t="n">
        <v>60.88</v>
      </c>
      <c r="DU850" s="2" t="n">
        <v>0</v>
      </c>
      <c r="DV850" s="2" t="n">
        <v>70.54000000000001</v>
      </c>
      <c r="DW850" s="2" t="n">
        <v>69.38</v>
      </c>
      <c r="DX850" s="2" t="n">
        <v>0</v>
      </c>
      <c r="DY850" s="2" t="n">
        <v>74.90000000000001</v>
      </c>
      <c r="DZ850" s="2" t="n">
        <v>72</v>
      </c>
      <c r="EA850" s="2" t="n">
        <v>0</v>
      </c>
      <c r="EB850" s="2" t="n">
        <v>81.81</v>
      </c>
      <c r="EC850" s="2" t="n">
        <v>77.23</v>
      </c>
      <c r="ED850" s="2" t="n">
        <v>0</v>
      </c>
      <c r="EE850" s="2" t="n">
        <v>85.68000000000001</v>
      </c>
      <c r="EF850" s="2" t="n">
        <v>81.81</v>
      </c>
      <c r="EG850" s="2" t="n">
        <v>0</v>
      </c>
      <c r="EH850" s="2" t="n">
        <v>85.68000000000001</v>
      </c>
      <c r="EI850" s="2" t="n">
        <v>85.68000000000001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  <c r="ET850" s="2" t="n">
        <v>100</v>
      </c>
      <c r="EU850" s="2" t="n">
        <v>100</v>
      </c>
      <c r="EV850" s="2" t="n">
        <v>0</v>
      </c>
      <c r="EW850" s="2" t="n">
        <v>100</v>
      </c>
      <c r="EX850" s="2" t="n">
        <v>100</v>
      </c>
      <c r="EY850" s="2" t="n">
        <v>0</v>
      </c>
      <c r="EZ850" s="2" t="n">
        <v>100</v>
      </c>
      <c r="FA850" s="2" t="n">
        <v>100</v>
      </c>
      <c r="FB850" s="2" t="n">
        <v>0</v>
      </c>
      <c r="FC850" s="2" t="n">
        <v>100</v>
      </c>
      <c r="FD850" s="2" t="n">
        <v>100</v>
      </c>
      <c r="FE850" s="2" t="n">
        <v>0</v>
      </c>
      <c r="FF850" s="2" t="n">
        <v>100</v>
      </c>
      <c r="FG850" s="2" t="n">
        <v>100</v>
      </c>
      <c r="FH850" s="2" t="n">
        <v>0</v>
      </c>
      <c r="FI850" s="2" t="n">
        <v>100</v>
      </c>
      <c r="FJ850" s="2" t="n">
        <v>100</v>
      </c>
      <c r="FK850" s="2" t="n">
        <v>0</v>
      </c>
      <c r="FL850" s="2" t="n">
        <v>100</v>
      </c>
      <c r="FM850" s="2" t="n">
        <v>100</v>
      </c>
      <c r="FN850" s="2" t="n">
        <v>0</v>
      </c>
      <c r="FO850" s="2" t="n">
        <v>100</v>
      </c>
      <c r="FP850" s="2" t="n">
        <v>100</v>
      </c>
      <c r="FQ850" s="2" t="n">
        <v>0</v>
      </c>
    </row>
    <row r="851">
      <c r="A851" s="2" t="n">
        <v>3</v>
      </c>
      <c r="B851" s="2" t="inlineStr">
        <is>
          <t>31.08.05</t>
        </is>
      </c>
      <c r="C851" s="2" t="inlineStr">
        <is>
          <t>Perfil de acabamento LHDL aço inox escovado</t>
        </is>
      </c>
      <c r="D851" s="2" t="inlineStr">
        <is>
          <t>21/01/2027</t>
        </is>
      </c>
      <c r="E851" s="2" t="inlineStr">
        <is>
          <t>24/04/2028</t>
        </is>
      </c>
      <c r="F851" s="2" t="n">
        <v>3180.949908065269</v>
      </c>
      <c r="G851" s="2" t="n">
        <v>0</v>
      </c>
      <c r="H851" s="2" t="n">
        <v>3180.949908065269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0.19</v>
      </c>
      <c r="CS851" s="2" t="n">
        <v>0.27</v>
      </c>
      <c r="CT851" s="2" t="n">
        <v>0</v>
      </c>
      <c r="CU851" s="2" t="n">
        <v>8.640000000000001</v>
      </c>
      <c r="CV851" s="2" t="n">
        <v>5.18</v>
      </c>
      <c r="CW851" s="2" t="n">
        <v>0</v>
      </c>
      <c r="CX851" s="2" t="n">
        <v>14.22</v>
      </c>
      <c r="CY851" s="2" t="n">
        <v>11.79</v>
      </c>
      <c r="CZ851" s="2" t="n">
        <v>0</v>
      </c>
      <c r="DA851" s="2" t="n">
        <v>16.04</v>
      </c>
      <c r="DB851" s="2" t="n">
        <v>16.04</v>
      </c>
      <c r="DC851" s="2" t="n">
        <v>0</v>
      </c>
      <c r="DD851" s="2" t="n">
        <v>19.31</v>
      </c>
      <c r="DE851" s="2" t="n">
        <v>16.57</v>
      </c>
      <c r="DF851" s="2" t="n">
        <v>0</v>
      </c>
      <c r="DG851" s="2" t="n">
        <v>28.23</v>
      </c>
      <c r="DH851" s="2" t="n">
        <v>28.23</v>
      </c>
      <c r="DI851" s="2" t="n">
        <v>0</v>
      </c>
      <c r="DJ851" s="2" t="n">
        <v>35.13</v>
      </c>
      <c r="DK851" s="2" t="n">
        <v>36.41</v>
      </c>
      <c r="DL851" s="2" t="n">
        <v>0</v>
      </c>
      <c r="DM851" s="2" t="n">
        <v>48.4</v>
      </c>
      <c r="DN851" s="2" t="n">
        <v>45.89</v>
      </c>
      <c r="DO851" s="2" t="n">
        <v>0</v>
      </c>
      <c r="DP851" s="2" t="n">
        <v>54.58</v>
      </c>
      <c r="DQ851" s="2" t="n">
        <v>54.91</v>
      </c>
      <c r="DR851" s="2" t="n">
        <v>0</v>
      </c>
      <c r="DS851" s="2" t="n">
        <v>60.37</v>
      </c>
      <c r="DT851" s="2" t="n">
        <v>60.88</v>
      </c>
      <c r="DU851" s="2" t="n">
        <v>0</v>
      </c>
      <c r="DV851" s="2" t="n">
        <v>70.54000000000001</v>
      </c>
      <c r="DW851" s="2" t="n">
        <v>69.38</v>
      </c>
      <c r="DX851" s="2" t="n">
        <v>0</v>
      </c>
      <c r="DY851" s="2" t="n">
        <v>74.90000000000001</v>
      </c>
      <c r="DZ851" s="2" t="n">
        <v>72</v>
      </c>
      <c r="EA851" s="2" t="n">
        <v>0</v>
      </c>
      <c r="EB851" s="2" t="n">
        <v>81.81</v>
      </c>
      <c r="EC851" s="2" t="n">
        <v>77.23</v>
      </c>
      <c r="ED851" s="2" t="n">
        <v>0</v>
      </c>
      <c r="EE851" s="2" t="n">
        <v>85.68000000000001</v>
      </c>
      <c r="EF851" s="2" t="n">
        <v>81.81</v>
      </c>
      <c r="EG851" s="2" t="n">
        <v>0</v>
      </c>
      <c r="EH851" s="2" t="n">
        <v>85.68000000000001</v>
      </c>
      <c r="EI851" s="2" t="n">
        <v>85.68000000000001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  <c r="ET851" s="2" t="n">
        <v>100</v>
      </c>
      <c r="EU851" s="2" t="n">
        <v>100</v>
      </c>
      <c r="EV851" s="2" t="n">
        <v>0</v>
      </c>
      <c r="EW851" s="2" t="n">
        <v>100</v>
      </c>
      <c r="EX851" s="2" t="n">
        <v>100</v>
      </c>
      <c r="EY851" s="2" t="n">
        <v>0</v>
      </c>
      <c r="EZ851" s="2" t="n">
        <v>100</v>
      </c>
      <c r="FA851" s="2" t="n">
        <v>100</v>
      </c>
      <c r="FB851" s="2" t="n">
        <v>0</v>
      </c>
      <c r="FC851" s="2" t="n">
        <v>100</v>
      </c>
      <c r="FD851" s="2" t="n">
        <v>100</v>
      </c>
      <c r="FE851" s="2" t="n">
        <v>0</v>
      </c>
      <c r="FF851" s="2" t="n">
        <v>100</v>
      </c>
      <c r="FG851" s="2" t="n">
        <v>100</v>
      </c>
      <c r="FH851" s="2" t="n">
        <v>0</v>
      </c>
      <c r="FI851" s="2" t="n">
        <v>100</v>
      </c>
      <c r="FJ851" s="2" t="n">
        <v>100</v>
      </c>
      <c r="FK851" s="2" t="n">
        <v>0</v>
      </c>
      <c r="FL851" s="2" t="n">
        <v>100</v>
      </c>
      <c r="FM851" s="2" t="n">
        <v>100</v>
      </c>
      <c r="FN851" s="2" t="n">
        <v>0</v>
      </c>
      <c r="FO851" s="2" t="n">
        <v>100</v>
      </c>
      <c r="FP851" s="2" t="n">
        <v>100</v>
      </c>
      <c r="FQ851" s="2" t="n">
        <v>0</v>
      </c>
    </row>
    <row r="852">
      <c r="A852" s="2" t="n">
        <v>3</v>
      </c>
      <c r="B852" s="2" t="inlineStr">
        <is>
          <t>31.08.06</t>
        </is>
      </c>
      <c r="C852" s="2" t="inlineStr">
        <is>
          <t>Filete em porcelanato off white 60x60cm, espessura 1cm, com acabamento acetinado. Paginação conforme detalhamento. Ref.: Khali Off White AC; Linha Khali; Eliane.</t>
        </is>
      </c>
      <c r="D852" s="2" t="inlineStr">
        <is>
          <t>21/01/2027</t>
        </is>
      </c>
      <c r="E852" s="2" t="inlineStr">
        <is>
          <t>24/04/2028</t>
        </is>
      </c>
      <c r="F852" s="2" t="n">
        <v>8131.960458467101</v>
      </c>
      <c r="G852" s="2" t="n">
        <v>0</v>
      </c>
      <c r="H852" s="2" t="n">
        <v>8131.960458467101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0.19</v>
      </c>
      <c r="CS852" s="2" t="n">
        <v>0.27</v>
      </c>
      <c r="CT852" s="2" t="n">
        <v>0</v>
      </c>
      <c r="CU852" s="2" t="n">
        <v>8.640000000000001</v>
      </c>
      <c r="CV852" s="2" t="n">
        <v>5.18</v>
      </c>
      <c r="CW852" s="2" t="n">
        <v>0</v>
      </c>
      <c r="CX852" s="2" t="n">
        <v>14.22</v>
      </c>
      <c r="CY852" s="2" t="n">
        <v>11.79</v>
      </c>
      <c r="CZ852" s="2" t="n">
        <v>0</v>
      </c>
      <c r="DA852" s="2" t="n">
        <v>16.04</v>
      </c>
      <c r="DB852" s="2" t="n">
        <v>16.04</v>
      </c>
      <c r="DC852" s="2" t="n">
        <v>0</v>
      </c>
      <c r="DD852" s="2" t="n">
        <v>19.31</v>
      </c>
      <c r="DE852" s="2" t="n">
        <v>16.57</v>
      </c>
      <c r="DF852" s="2" t="n">
        <v>0</v>
      </c>
      <c r="DG852" s="2" t="n">
        <v>28.23</v>
      </c>
      <c r="DH852" s="2" t="n">
        <v>28.23</v>
      </c>
      <c r="DI852" s="2" t="n">
        <v>0</v>
      </c>
      <c r="DJ852" s="2" t="n">
        <v>35.13</v>
      </c>
      <c r="DK852" s="2" t="n">
        <v>36.41</v>
      </c>
      <c r="DL852" s="2" t="n">
        <v>0</v>
      </c>
      <c r="DM852" s="2" t="n">
        <v>48.4</v>
      </c>
      <c r="DN852" s="2" t="n">
        <v>45.89</v>
      </c>
      <c r="DO852" s="2" t="n">
        <v>0</v>
      </c>
      <c r="DP852" s="2" t="n">
        <v>54.58</v>
      </c>
      <c r="DQ852" s="2" t="n">
        <v>54.91</v>
      </c>
      <c r="DR852" s="2" t="n">
        <v>0</v>
      </c>
      <c r="DS852" s="2" t="n">
        <v>60.37</v>
      </c>
      <c r="DT852" s="2" t="n">
        <v>60.88</v>
      </c>
      <c r="DU852" s="2" t="n">
        <v>0</v>
      </c>
      <c r="DV852" s="2" t="n">
        <v>70.54000000000001</v>
      </c>
      <c r="DW852" s="2" t="n">
        <v>69.38</v>
      </c>
      <c r="DX852" s="2" t="n">
        <v>0</v>
      </c>
      <c r="DY852" s="2" t="n">
        <v>74.90000000000001</v>
      </c>
      <c r="DZ852" s="2" t="n">
        <v>72</v>
      </c>
      <c r="EA852" s="2" t="n">
        <v>0</v>
      </c>
      <c r="EB852" s="2" t="n">
        <v>81.81</v>
      </c>
      <c r="EC852" s="2" t="n">
        <v>77.23</v>
      </c>
      <c r="ED852" s="2" t="n">
        <v>0</v>
      </c>
      <c r="EE852" s="2" t="n">
        <v>85.68000000000001</v>
      </c>
      <c r="EF852" s="2" t="n">
        <v>81.81</v>
      </c>
      <c r="EG852" s="2" t="n">
        <v>0</v>
      </c>
      <c r="EH852" s="2" t="n">
        <v>85.68000000000001</v>
      </c>
      <c r="EI852" s="2" t="n">
        <v>85.68000000000001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  <c r="ET852" s="2" t="n">
        <v>100</v>
      </c>
      <c r="EU852" s="2" t="n">
        <v>100</v>
      </c>
      <c r="EV852" s="2" t="n">
        <v>0</v>
      </c>
      <c r="EW852" s="2" t="n">
        <v>100</v>
      </c>
      <c r="EX852" s="2" t="n">
        <v>100</v>
      </c>
      <c r="EY852" s="2" t="n">
        <v>0</v>
      </c>
      <c r="EZ852" s="2" t="n">
        <v>100</v>
      </c>
      <c r="FA852" s="2" t="n">
        <v>100</v>
      </c>
      <c r="FB852" s="2" t="n">
        <v>0</v>
      </c>
      <c r="FC852" s="2" t="n">
        <v>100</v>
      </c>
      <c r="FD852" s="2" t="n">
        <v>100</v>
      </c>
      <c r="FE852" s="2" t="n">
        <v>0</v>
      </c>
      <c r="FF852" s="2" t="n">
        <v>100</v>
      </c>
      <c r="FG852" s="2" t="n">
        <v>100</v>
      </c>
      <c r="FH852" s="2" t="n">
        <v>0</v>
      </c>
      <c r="FI852" s="2" t="n">
        <v>100</v>
      </c>
      <c r="FJ852" s="2" t="n">
        <v>100</v>
      </c>
      <c r="FK852" s="2" t="n">
        <v>0</v>
      </c>
      <c r="FL852" s="2" t="n">
        <v>100</v>
      </c>
      <c r="FM852" s="2" t="n">
        <v>100</v>
      </c>
      <c r="FN852" s="2" t="n">
        <v>0</v>
      </c>
      <c r="FO852" s="2" t="n">
        <v>100</v>
      </c>
      <c r="FP852" s="2" t="n">
        <v>100</v>
      </c>
      <c r="FQ852" s="2" t="n">
        <v>0</v>
      </c>
    </row>
    <row r="853">
      <c r="A853" s="2" t="n">
        <v>3</v>
      </c>
      <c r="B853" s="2" t="inlineStr">
        <is>
          <t>31.08.07</t>
        </is>
      </c>
      <c r="C853" s="2" t="inlineStr">
        <is>
          <t>Filete em pedra natural Basaltina. Espessura: 2cm</t>
        </is>
      </c>
      <c r="D853" s="2" t="inlineStr">
        <is>
          <t>21/01/2027</t>
        </is>
      </c>
      <c r="E853" s="2" t="inlineStr">
        <is>
          <t>24/04/2028</t>
        </is>
      </c>
      <c r="F853" s="2" t="n">
        <v>1038.318115035912</v>
      </c>
      <c r="G853" s="2" t="n">
        <v>0</v>
      </c>
      <c r="H853" s="2" t="n">
        <v>1038.318115035912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0.19</v>
      </c>
      <c r="CS853" s="2" t="n">
        <v>0.27</v>
      </c>
      <c r="CT853" s="2" t="n">
        <v>0</v>
      </c>
      <c r="CU853" s="2" t="n">
        <v>8.640000000000001</v>
      </c>
      <c r="CV853" s="2" t="n">
        <v>5.18</v>
      </c>
      <c r="CW853" s="2" t="n">
        <v>0</v>
      </c>
      <c r="CX853" s="2" t="n">
        <v>14.22</v>
      </c>
      <c r="CY853" s="2" t="n">
        <v>11.79</v>
      </c>
      <c r="CZ853" s="2" t="n">
        <v>0</v>
      </c>
      <c r="DA853" s="2" t="n">
        <v>16.04</v>
      </c>
      <c r="DB853" s="2" t="n">
        <v>16.04</v>
      </c>
      <c r="DC853" s="2" t="n">
        <v>0</v>
      </c>
      <c r="DD853" s="2" t="n">
        <v>19.31</v>
      </c>
      <c r="DE853" s="2" t="n">
        <v>16.57</v>
      </c>
      <c r="DF853" s="2" t="n">
        <v>0</v>
      </c>
      <c r="DG853" s="2" t="n">
        <v>28.23</v>
      </c>
      <c r="DH853" s="2" t="n">
        <v>28.23</v>
      </c>
      <c r="DI853" s="2" t="n">
        <v>0</v>
      </c>
      <c r="DJ853" s="2" t="n">
        <v>35.13</v>
      </c>
      <c r="DK853" s="2" t="n">
        <v>36.41</v>
      </c>
      <c r="DL853" s="2" t="n">
        <v>0</v>
      </c>
      <c r="DM853" s="2" t="n">
        <v>48.4</v>
      </c>
      <c r="DN853" s="2" t="n">
        <v>45.89</v>
      </c>
      <c r="DO853" s="2" t="n">
        <v>0</v>
      </c>
      <c r="DP853" s="2" t="n">
        <v>54.58</v>
      </c>
      <c r="DQ853" s="2" t="n">
        <v>54.91</v>
      </c>
      <c r="DR853" s="2" t="n">
        <v>0</v>
      </c>
      <c r="DS853" s="2" t="n">
        <v>60.37</v>
      </c>
      <c r="DT853" s="2" t="n">
        <v>60.88</v>
      </c>
      <c r="DU853" s="2" t="n">
        <v>0</v>
      </c>
      <c r="DV853" s="2" t="n">
        <v>70.54000000000001</v>
      </c>
      <c r="DW853" s="2" t="n">
        <v>69.38</v>
      </c>
      <c r="DX853" s="2" t="n">
        <v>0</v>
      </c>
      <c r="DY853" s="2" t="n">
        <v>74.90000000000001</v>
      </c>
      <c r="DZ853" s="2" t="n">
        <v>72</v>
      </c>
      <c r="EA853" s="2" t="n">
        <v>0</v>
      </c>
      <c r="EB853" s="2" t="n">
        <v>81.81</v>
      </c>
      <c r="EC853" s="2" t="n">
        <v>77.23</v>
      </c>
      <c r="ED853" s="2" t="n">
        <v>0</v>
      </c>
      <c r="EE853" s="2" t="n">
        <v>85.68000000000001</v>
      </c>
      <c r="EF853" s="2" t="n">
        <v>81.81</v>
      </c>
      <c r="EG853" s="2" t="n">
        <v>0</v>
      </c>
      <c r="EH853" s="2" t="n">
        <v>85.68000000000001</v>
      </c>
      <c r="EI853" s="2" t="n">
        <v>85.68000000000001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  <c r="ET853" s="2" t="n">
        <v>100</v>
      </c>
      <c r="EU853" s="2" t="n">
        <v>100</v>
      </c>
      <c r="EV853" s="2" t="n">
        <v>0</v>
      </c>
      <c r="EW853" s="2" t="n">
        <v>100</v>
      </c>
      <c r="EX853" s="2" t="n">
        <v>100</v>
      </c>
      <c r="EY853" s="2" t="n">
        <v>0</v>
      </c>
      <c r="EZ853" s="2" t="n">
        <v>100</v>
      </c>
      <c r="FA853" s="2" t="n">
        <v>100</v>
      </c>
      <c r="FB853" s="2" t="n">
        <v>0</v>
      </c>
      <c r="FC853" s="2" t="n">
        <v>100</v>
      </c>
      <c r="FD853" s="2" t="n">
        <v>100</v>
      </c>
      <c r="FE853" s="2" t="n">
        <v>0</v>
      </c>
      <c r="FF853" s="2" t="n">
        <v>100</v>
      </c>
      <c r="FG853" s="2" t="n">
        <v>100</v>
      </c>
      <c r="FH853" s="2" t="n">
        <v>0</v>
      </c>
      <c r="FI853" s="2" t="n">
        <v>100</v>
      </c>
      <c r="FJ853" s="2" t="n">
        <v>100</v>
      </c>
      <c r="FK853" s="2" t="n">
        <v>0</v>
      </c>
      <c r="FL853" s="2" t="n">
        <v>100</v>
      </c>
      <c r="FM853" s="2" t="n">
        <v>100</v>
      </c>
      <c r="FN853" s="2" t="n">
        <v>0</v>
      </c>
      <c r="FO853" s="2" t="n">
        <v>100</v>
      </c>
      <c r="FP853" s="2" t="n">
        <v>100</v>
      </c>
      <c r="FQ853" s="2" t="n">
        <v>0</v>
      </c>
    </row>
    <row r="854">
      <c r="A854" s="2" t="n">
        <v>3</v>
      </c>
      <c r="B854" s="2" t="inlineStr">
        <is>
          <t>31.08.08</t>
        </is>
      </c>
      <c r="C854" s="2" t="inlineStr">
        <is>
          <t>Filete em granito santa rosa com acabamento escovado e tratada com hidrofulgantes.</t>
        </is>
      </c>
      <c r="D854" s="2" t="inlineStr">
        <is>
          <t>21/01/2027</t>
        </is>
      </c>
      <c r="E854" s="2" t="inlineStr">
        <is>
          <t>24/04/2028</t>
        </is>
      </c>
      <c r="F854" s="2" t="n">
        <v>459.432794263678</v>
      </c>
      <c r="G854" s="2" t="n">
        <v>0</v>
      </c>
      <c r="H854" s="2" t="n">
        <v>459.432794263678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0.19</v>
      </c>
      <c r="CS854" s="2" t="n">
        <v>0.27</v>
      </c>
      <c r="CT854" s="2" t="n">
        <v>0</v>
      </c>
      <c r="CU854" s="2" t="n">
        <v>8.640000000000001</v>
      </c>
      <c r="CV854" s="2" t="n">
        <v>5.18</v>
      </c>
      <c r="CW854" s="2" t="n">
        <v>0</v>
      </c>
      <c r="CX854" s="2" t="n">
        <v>14.22</v>
      </c>
      <c r="CY854" s="2" t="n">
        <v>11.79</v>
      </c>
      <c r="CZ854" s="2" t="n">
        <v>0</v>
      </c>
      <c r="DA854" s="2" t="n">
        <v>16.04</v>
      </c>
      <c r="DB854" s="2" t="n">
        <v>16.04</v>
      </c>
      <c r="DC854" s="2" t="n">
        <v>0</v>
      </c>
      <c r="DD854" s="2" t="n">
        <v>19.31</v>
      </c>
      <c r="DE854" s="2" t="n">
        <v>16.57</v>
      </c>
      <c r="DF854" s="2" t="n">
        <v>0</v>
      </c>
      <c r="DG854" s="2" t="n">
        <v>28.23</v>
      </c>
      <c r="DH854" s="2" t="n">
        <v>28.23</v>
      </c>
      <c r="DI854" s="2" t="n">
        <v>0</v>
      </c>
      <c r="DJ854" s="2" t="n">
        <v>35.13</v>
      </c>
      <c r="DK854" s="2" t="n">
        <v>36.41</v>
      </c>
      <c r="DL854" s="2" t="n">
        <v>0</v>
      </c>
      <c r="DM854" s="2" t="n">
        <v>48.4</v>
      </c>
      <c r="DN854" s="2" t="n">
        <v>45.89</v>
      </c>
      <c r="DO854" s="2" t="n">
        <v>0</v>
      </c>
      <c r="DP854" s="2" t="n">
        <v>54.58</v>
      </c>
      <c r="DQ854" s="2" t="n">
        <v>54.91</v>
      </c>
      <c r="DR854" s="2" t="n">
        <v>0</v>
      </c>
      <c r="DS854" s="2" t="n">
        <v>60.37</v>
      </c>
      <c r="DT854" s="2" t="n">
        <v>60.88</v>
      </c>
      <c r="DU854" s="2" t="n">
        <v>0</v>
      </c>
      <c r="DV854" s="2" t="n">
        <v>70.54000000000001</v>
      </c>
      <c r="DW854" s="2" t="n">
        <v>69.38</v>
      </c>
      <c r="DX854" s="2" t="n">
        <v>0</v>
      </c>
      <c r="DY854" s="2" t="n">
        <v>74.90000000000001</v>
      </c>
      <c r="DZ854" s="2" t="n">
        <v>72</v>
      </c>
      <c r="EA854" s="2" t="n">
        <v>0</v>
      </c>
      <c r="EB854" s="2" t="n">
        <v>81.81</v>
      </c>
      <c r="EC854" s="2" t="n">
        <v>77.23</v>
      </c>
      <c r="ED854" s="2" t="n">
        <v>0</v>
      </c>
      <c r="EE854" s="2" t="n">
        <v>85.68000000000001</v>
      </c>
      <c r="EF854" s="2" t="n">
        <v>81.81</v>
      </c>
      <c r="EG854" s="2" t="n">
        <v>0</v>
      </c>
      <c r="EH854" s="2" t="n">
        <v>85.68000000000001</v>
      </c>
      <c r="EI854" s="2" t="n">
        <v>85.68000000000001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  <c r="ET854" s="2" t="n">
        <v>100</v>
      </c>
      <c r="EU854" s="2" t="n">
        <v>100</v>
      </c>
      <c r="EV854" s="2" t="n">
        <v>0</v>
      </c>
      <c r="EW854" s="2" t="n">
        <v>100</v>
      </c>
      <c r="EX854" s="2" t="n">
        <v>100</v>
      </c>
      <c r="EY854" s="2" t="n">
        <v>0</v>
      </c>
      <c r="EZ854" s="2" t="n">
        <v>100</v>
      </c>
      <c r="FA854" s="2" t="n">
        <v>100</v>
      </c>
      <c r="FB854" s="2" t="n">
        <v>0</v>
      </c>
      <c r="FC854" s="2" t="n">
        <v>100</v>
      </c>
      <c r="FD854" s="2" t="n">
        <v>100</v>
      </c>
      <c r="FE854" s="2" t="n">
        <v>0</v>
      </c>
      <c r="FF854" s="2" t="n">
        <v>100</v>
      </c>
      <c r="FG854" s="2" t="n">
        <v>100</v>
      </c>
      <c r="FH854" s="2" t="n">
        <v>0</v>
      </c>
      <c r="FI854" s="2" t="n">
        <v>100</v>
      </c>
      <c r="FJ854" s="2" t="n">
        <v>100</v>
      </c>
      <c r="FK854" s="2" t="n">
        <v>0</v>
      </c>
      <c r="FL854" s="2" t="n">
        <v>100</v>
      </c>
      <c r="FM854" s="2" t="n">
        <v>100</v>
      </c>
      <c r="FN854" s="2" t="n">
        <v>0</v>
      </c>
      <c r="FO854" s="2" t="n">
        <v>100</v>
      </c>
      <c r="FP854" s="2" t="n">
        <v>100</v>
      </c>
      <c r="FQ854" s="2" t="n">
        <v>0</v>
      </c>
    </row>
    <row r="855">
      <c r="A855" s="2" t="n">
        <v>3</v>
      </c>
      <c r="B855" s="2" t="inlineStr">
        <is>
          <t>31.08.09</t>
        </is>
      </c>
      <c r="C855" s="2" t="inlineStr">
        <is>
          <t>Tento de concreto aparente e=5cm, no nível do piso</t>
        </is>
      </c>
      <c r="D855" s="2" t="inlineStr">
        <is>
          <t>21/01/2027</t>
        </is>
      </c>
      <c r="E855" s="2" t="inlineStr">
        <is>
          <t>24/04/2028</t>
        </is>
      </c>
      <c r="F855" s="2" t="n">
        <v>136993.3489905875</v>
      </c>
      <c r="G855" s="2" t="n">
        <v>0</v>
      </c>
      <c r="H855" s="2" t="n">
        <v>136993.3489905875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0.19</v>
      </c>
      <c r="CS855" s="2" t="n">
        <v>0.27</v>
      </c>
      <c r="CT855" s="2" t="n">
        <v>0</v>
      </c>
      <c r="CU855" s="2" t="n">
        <v>8.640000000000001</v>
      </c>
      <c r="CV855" s="2" t="n">
        <v>5.18</v>
      </c>
      <c r="CW855" s="2" t="n">
        <v>0</v>
      </c>
      <c r="CX855" s="2" t="n">
        <v>14.22</v>
      </c>
      <c r="CY855" s="2" t="n">
        <v>11.79</v>
      </c>
      <c r="CZ855" s="2" t="n">
        <v>0</v>
      </c>
      <c r="DA855" s="2" t="n">
        <v>16.04</v>
      </c>
      <c r="DB855" s="2" t="n">
        <v>16.04</v>
      </c>
      <c r="DC855" s="2" t="n">
        <v>0</v>
      </c>
      <c r="DD855" s="2" t="n">
        <v>19.31</v>
      </c>
      <c r="DE855" s="2" t="n">
        <v>16.57</v>
      </c>
      <c r="DF855" s="2" t="n">
        <v>0</v>
      </c>
      <c r="DG855" s="2" t="n">
        <v>28.23</v>
      </c>
      <c r="DH855" s="2" t="n">
        <v>28.23</v>
      </c>
      <c r="DI855" s="2" t="n">
        <v>0</v>
      </c>
      <c r="DJ855" s="2" t="n">
        <v>35.13</v>
      </c>
      <c r="DK855" s="2" t="n">
        <v>36.41</v>
      </c>
      <c r="DL855" s="2" t="n">
        <v>0</v>
      </c>
      <c r="DM855" s="2" t="n">
        <v>48.4</v>
      </c>
      <c r="DN855" s="2" t="n">
        <v>45.89</v>
      </c>
      <c r="DO855" s="2" t="n">
        <v>0</v>
      </c>
      <c r="DP855" s="2" t="n">
        <v>54.58</v>
      </c>
      <c r="DQ855" s="2" t="n">
        <v>54.91</v>
      </c>
      <c r="DR855" s="2" t="n">
        <v>0</v>
      </c>
      <c r="DS855" s="2" t="n">
        <v>60.37</v>
      </c>
      <c r="DT855" s="2" t="n">
        <v>60.88</v>
      </c>
      <c r="DU855" s="2" t="n">
        <v>0</v>
      </c>
      <c r="DV855" s="2" t="n">
        <v>70.54000000000001</v>
      </c>
      <c r="DW855" s="2" t="n">
        <v>69.38</v>
      </c>
      <c r="DX855" s="2" t="n">
        <v>0</v>
      </c>
      <c r="DY855" s="2" t="n">
        <v>74.90000000000001</v>
      </c>
      <c r="DZ855" s="2" t="n">
        <v>72</v>
      </c>
      <c r="EA855" s="2" t="n">
        <v>0</v>
      </c>
      <c r="EB855" s="2" t="n">
        <v>81.81</v>
      </c>
      <c r="EC855" s="2" t="n">
        <v>77.23</v>
      </c>
      <c r="ED855" s="2" t="n">
        <v>0</v>
      </c>
      <c r="EE855" s="2" t="n">
        <v>85.68000000000001</v>
      </c>
      <c r="EF855" s="2" t="n">
        <v>81.81</v>
      </c>
      <c r="EG855" s="2" t="n">
        <v>0</v>
      </c>
      <c r="EH855" s="2" t="n">
        <v>85.68000000000001</v>
      </c>
      <c r="EI855" s="2" t="n">
        <v>85.68000000000001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  <c r="ET855" s="2" t="n">
        <v>100</v>
      </c>
      <c r="EU855" s="2" t="n">
        <v>100</v>
      </c>
      <c r="EV855" s="2" t="n">
        <v>0</v>
      </c>
      <c r="EW855" s="2" t="n">
        <v>100</v>
      </c>
      <c r="EX855" s="2" t="n">
        <v>100</v>
      </c>
      <c r="EY855" s="2" t="n">
        <v>0</v>
      </c>
      <c r="EZ855" s="2" t="n">
        <v>100</v>
      </c>
      <c r="FA855" s="2" t="n">
        <v>100</v>
      </c>
      <c r="FB855" s="2" t="n">
        <v>0</v>
      </c>
      <c r="FC855" s="2" t="n">
        <v>100</v>
      </c>
      <c r="FD855" s="2" t="n">
        <v>100</v>
      </c>
      <c r="FE855" s="2" t="n">
        <v>0</v>
      </c>
      <c r="FF855" s="2" t="n">
        <v>100</v>
      </c>
      <c r="FG855" s="2" t="n">
        <v>100</v>
      </c>
      <c r="FH855" s="2" t="n">
        <v>0</v>
      </c>
      <c r="FI855" s="2" t="n">
        <v>100</v>
      </c>
      <c r="FJ855" s="2" t="n">
        <v>100</v>
      </c>
      <c r="FK855" s="2" t="n">
        <v>0</v>
      </c>
      <c r="FL855" s="2" t="n">
        <v>100</v>
      </c>
      <c r="FM855" s="2" t="n">
        <v>100</v>
      </c>
      <c r="FN855" s="2" t="n">
        <v>0</v>
      </c>
      <c r="FO855" s="2" t="n">
        <v>100</v>
      </c>
      <c r="FP855" s="2" t="n">
        <v>100</v>
      </c>
      <c r="FQ855" s="2" t="n">
        <v>0</v>
      </c>
    </row>
    <row r="856">
      <c r="A856" s="2" t="n">
        <v>3</v>
      </c>
      <c r="B856" s="2" t="inlineStr">
        <is>
          <t>31.08.10</t>
        </is>
      </c>
      <c r="C856" s="2" t="inlineStr">
        <is>
          <t>01 - Tento esp.= 3cm</t>
        </is>
      </c>
      <c r="D856" s="2" t="inlineStr">
        <is>
          <t>21/01/2027</t>
        </is>
      </c>
      <c r="E856" s="2" t="inlineStr">
        <is>
          <t>24/04/2028</t>
        </is>
      </c>
      <c r="F856" s="2" t="n">
        <v>58706.6899972482</v>
      </c>
      <c r="G856" s="2" t="n">
        <v>0</v>
      </c>
      <c r="H856" s="2" t="n">
        <v>58706.6899972482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0.19</v>
      </c>
      <c r="CS856" s="2" t="n">
        <v>0.27</v>
      </c>
      <c r="CT856" s="2" t="n">
        <v>0</v>
      </c>
      <c r="CU856" s="2" t="n">
        <v>8.640000000000001</v>
      </c>
      <c r="CV856" s="2" t="n">
        <v>5.18</v>
      </c>
      <c r="CW856" s="2" t="n">
        <v>0</v>
      </c>
      <c r="CX856" s="2" t="n">
        <v>14.22</v>
      </c>
      <c r="CY856" s="2" t="n">
        <v>11.79</v>
      </c>
      <c r="CZ856" s="2" t="n">
        <v>0</v>
      </c>
      <c r="DA856" s="2" t="n">
        <v>16.04</v>
      </c>
      <c r="DB856" s="2" t="n">
        <v>16.04</v>
      </c>
      <c r="DC856" s="2" t="n">
        <v>0</v>
      </c>
      <c r="DD856" s="2" t="n">
        <v>19.31</v>
      </c>
      <c r="DE856" s="2" t="n">
        <v>16.57</v>
      </c>
      <c r="DF856" s="2" t="n">
        <v>0</v>
      </c>
      <c r="DG856" s="2" t="n">
        <v>28.23</v>
      </c>
      <c r="DH856" s="2" t="n">
        <v>28.23</v>
      </c>
      <c r="DI856" s="2" t="n">
        <v>0</v>
      </c>
      <c r="DJ856" s="2" t="n">
        <v>35.13</v>
      </c>
      <c r="DK856" s="2" t="n">
        <v>36.41</v>
      </c>
      <c r="DL856" s="2" t="n">
        <v>0</v>
      </c>
      <c r="DM856" s="2" t="n">
        <v>48.4</v>
      </c>
      <c r="DN856" s="2" t="n">
        <v>45.89</v>
      </c>
      <c r="DO856" s="2" t="n">
        <v>0</v>
      </c>
      <c r="DP856" s="2" t="n">
        <v>54.58</v>
      </c>
      <c r="DQ856" s="2" t="n">
        <v>54.91</v>
      </c>
      <c r="DR856" s="2" t="n">
        <v>0</v>
      </c>
      <c r="DS856" s="2" t="n">
        <v>60.37</v>
      </c>
      <c r="DT856" s="2" t="n">
        <v>60.88</v>
      </c>
      <c r="DU856" s="2" t="n">
        <v>0</v>
      </c>
      <c r="DV856" s="2" t="n">
        <v>70.54000000000001</v>
      </c>
      <c r="DW856" s="2" t="n">
        <v>69.38</v>
      </c>
      <c r="DX856" s="2" t="n">
        <v>0</v>
      </c>
      <c r="DY856" s="2" t="n">
        <v>74.90000000000001</v>
      </c>
      <c r="DZ856" s="2" t="n">
        <v>72</v>
      </c>
      <c r="EA856" s="2" t="n">
        <v>0</v>
      </c>
      <c r="EB856" s="2" t="n">
        <v>81.81</v>
      </c>
      <c r="EC856" s="2" t="n">
        <v>77.23</v>
      </c>
      <c r="ED856" s="2" t="n">
        <v>0</v>
      </c>
      <c r="EE856" s="2" t="n">
        <v>85.68000000000001</v>
      </c>
      <c r="EF856" s="2" t="n">
        <v>81.81</v>
      </c>
      <c r="EG856" s="2" t="n">
        <v>0</v>
      </c>
      <c r="EH856" s="2" t="n">
        <v>85.68000000000001</v>
      </c>
      <c r="EI856" s="2" t="n">
        <v>85.68000000000001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  <c r="ET856" s="2" t="n">
        <v>100</v>
      </c>
      <c r="EU856" s="2" t="n">
        <v>100</v>
      </c>
      <c r="EV856" s="2" t="n">
        <v>0</v>
      </c>
      <c r="EW856" s="2" t="n">
        <v>100</v>
      </c>
      <c r="EX856" s="2" t="n">
        <v>100</v>
      </c>
      <c r="EY856" s="2" t="n">
        <v>0</v>
      </c>
      <c r="EZ856" s="2" t="n">
        <v>100</v>
      </c>
      <c r="FA856" s="2" t="n">
        <v>100</v>
      </c>
      <c r="FB856" s="2" t="n">
        <v>0</v>
      </c>
      <c r="FC856" s="2" t="n">
        <v>100</v>
      </c>
      <c r="FD856" s="2" t="n">
        <v>100</v>
      </c>
      <c r="FE856" s="2" t="n">
        <v>0</v>
      </c>
      <c r="FF856" s="2" t="n">
        <v>100</v>
      </c>
      <c r="FG856" s="2" t="n">
        <v>100</v>
      </c>
      <c r="FH856" s="2" t="n">
        <v>0</v>
      </c>
      <c r="FI856" s="2" t="n">
        <v>100</v>
      </c>
      <c r="FJ856" s="2" t="n">
        <v>100</v>
      </c>
      <c r="FK856" s="2" t="n">
        <v>0</v>
      </c>
      <c r="FL856" s="2" t="n">
        <v>100</v>
      </c>
      <c r="FM856" s="2" t="n">
        <v>100</v>
      </c>
      <c r="FN856" s="2" t="n">
        <v>0</v>
      </c>
      <c r="FO856" s="2" t="n">
        <v>100</v>
      </c>
      <c r="FP856" s="2" t="n">
        <v>100</v>
      </c>
      <c r="FQ856" s="2" t="n">
        <v>0</v>
      </c>
    </row>
    <row r="857">
      <c r="A857" s="2" t="n">
        <v>3</v>
      </c>
      <c r="B857" s="2" t="inlineStr">
        <is>
          <t>31.08.11</t>
        </is>
      </c>
      <c r="C857" s="2" t="inlineStr">
        <is>
          <t>Pingadeiras para platibandas e guarda-corpos de alvenaria de mármore branco</t>
        </is>
      </c>
      <c r="D857" s="2" t="inlineStr">
        <is>
          <t>21/01/2027</t>
        </is>
      </c>
      <c r="E857" s="2" t="inlineStr">
        <is>
          <t>24/04/2028</t>
        </is>
      </c>
      <c r="F857" s="2" t="n">
        <v>138396.0482979439</v>
      </c>
      <c r="G857" s="2" t="n">
        <v>0</v>
      </c>
      <c r="H857" s="2" t="n">
        <v>138396.0482979439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0.19</v>
      </c>
      <c r="CS857" s="2" t="n">
        <v>0.27</v>
      </c>
      <c r="CT857" s="2" t="n">
        <v>0</v>
      </c>
      <c r="CU857" s="2" t="n">
        <v>8.640000000000001</v>
      </c>
      <c r="CV857" s="2" t="n">
        <v>5.18</v>
      </c>
      <c r="CW857" s="2" t="n">
        <v>0</v>
      </c>
      <c r="CX857" s="2" t="n">
        <v>14.22</v>
      </c>
      <c r="CY857" s="2" t="n">
        <v>11.79</v>
      </c>
      <c r="CZ857" s="2" t="n">
        <v>0</v>
      </c>
      <c r="DA857" s="2" t="n">
        <v>16.04</v>
      </c>
      <c r="DB857" s="2" t="n">
        <v>16.04</v>
      </c>
      <c r="DC857" s="2" t="n">
        <v>0</v>
      </c>
      <c r="DD857" s="2" t="n">
        <v>19.31</v>
      </c>
      <c r="DE857" s="2" t="n">
        <v>16.57</v>
      </c>
      <c r="DF857" s="2" t="n">
        <v>0</v>
      </c>
      <c r="DG857" s="2" t="n">
        <v>28.23</v>
      </c>
      <c r="DH857" s="2" t="n">
        <v>28.23</v>
      </c>
      <c r="DI857" s="2" t="n">
        <v>0</v>
      </c>
      <c r="DJ857" s="2" t="n">
        <v>35.13</v>
      </c>
      <c r="DK857" s="2" t="n">
        <v>36.41</v>
      </c>
      <c r="DL857" s="2" t="n">
        <v>0</v>
      </c>
      <c r="DM857" s="2" t="n">
        <v>48.4</v>
      </c>
      <c r="DN857" s="2" t="n">
        <v>45.89</v>
      </c>
      <c r="DO857" s="2" t="n">
        <v>0</v>
      </c>
      <c r="DP857" s="2" t="n">
        <v>54.58</v>
      </c>
      <c r="DQ857" s="2" t="n">
        <v>54.91</v>
      </c>
      <c r="DR857" s="2" t="n">
        <v>0</v>
      </c>
      <c r="DS857" s="2" t="n">
        <v>60.37</v>
      </c>
      <c r="DT857" s="2" t="n">
        <v>60.88</v>
      </c>
      <c r="DU857" s="2" t="n">
        <v>0</v>
      </c>
      <c r="DV857" s="2" t="n">
        <v>70.54000000000001</v>
      </c>
      <c r="DW857" s="2" t="n">
        <v>69.38</v>
      </c>
      <c r="DX857" s="2" t="n">
        <v>0</v>
      </c>
      <c r="DY857" s="2" t="n">
        <v>74.90000000000001</v>
      </c>
      <c r="DZ857" s="2" t="n">
        <v>72</v>
      </c>
      <c r="EA857" s="2" t="n">
        <v>0</v>
      </c>
      <c r="EB857" s="2" t="n">
        <v>81.81</v>
      </c>
      <c r="EC857" s="2" t="n">
        <v>77.23</v>
      </c>
      <c r="ED857" s="2" t="n">
        <v>0</v>
      </c>
      <c r="EE857" s="2" t="n">
        <v>85.68000000000001</v>
      </c>
      <c r="EF857" s="2" t="n">
        <v>81.81</v>
      </c>
      <c r="EG857" s="2" t="n">
        <v>0</v>
      </c>
      <c r="EH857" s="2" t="n">
        <v>85.68000000000001</v>
      </c>
      <c r="EI857" s="2" t="n">
        <v>85.68000000000001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  <c r="ET857" s="2" t="n">
        <v>100</v>
      </c>
      <c r="EU857" s="2" t="n">
        <v>100</v>
      </c>
      <c r="EV857" s="2" t="n">
        <v>0</v>
      </c>
      <c r="EW857" s="2" t="n">
        <v>100</v>
      </c>
      <c r="EX857" s="2" t="n">
        <v>100</v>
      </c>
      <c r="EY857" s="2" t="n">
        <v>0</v>
      </c>
      <c r="EZ857" s="2" t="n">
        <v>100</v>
      </c>
      <c r="FA857" s="2" t="n">
        <v>100</v>
      </c>
      <c r="FB857" s="2" t="n">
        <v>0</v>
      </c>
      <c r="FC857" s="2" t="n">
        <v>100</v>
      </c>
      <c r="FD857" s="2" t="n">
        <v>100</v>
      </c>
      <c r="FE857" s="2" t="n">
        <v>0</v>
      </c>
      <c r="FF857" s="2" t="n">
        <v>100</v>
      </c>
      <c r="FG857" s="2" t="n">
        <v>100</v>
      </c>
      <c r="FH857" s="2" t="n">
        <v>0</v>
      </c>
      <c r="FI857" s="2" t="n">
        <v>100</v>
      </c>
      <c r="FJ857" s="2" t="n">
        <v>100</v>
      </c>
      <c r="FK857" s="2" t="n">
        <v>0</v>
      </c>
      <c r="FL857" s="2" t="n">
        <v>100</v>
      </c>
      <c r="FM857" s="2" t="n">
        <v>100</v>
      </c>
      <c r="FN857" s="2" t="n">
        <v>0</v>
      </c>
      <c r="FO857" s="2" t="n">
        <v>100</v>
      </c>
      <c r="FP857" s="2" t="n">
        <v>100</v>
      </c>
      <c r="FQ857" s="2" t="n">
        <v>0</v>
      </c>
    </row>
    <row r="858">
      <c r="A858" s="2" t="n">
        <v>3</v>
      </c>
      <c r="B858" s="2" t="inlineStr">
        <is>
          <t>31.08.12</t>
        </is>
      </c>
      <c r="C858" s="2" t="inlineStr">
        <is>
          <t>Aduelas de granito para porta de elevadores</t>
        </is>
      </c>
      <c r="D858" s="2" t="inlineStr">
        <is>
          <t>21/01/2027</t>
        </is>
      </c>
      <c r="E858" s="2" t="inlineStr">
        <is>
          <t>24/04/2028</t>
        </is>
      </c>
      <c r="F858" s="2" t="n">
        <v>256597.2874633405</v>
      </c>
      <c r="G858" s="2" t="n">
        <v>0</v>
      </c>
      <c r="H858" s="2" t="n">
        <v>256597.2874633405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0.19</v>
      </c>
      <c r="CS858" s="2" t="n">
        <v>0.27</v>
      </c>
      <c r="CT858" s="2" t="n">
        <v>0</v>
      </c>
      <c r="CU858" s="2" t="n">
        <v>8.640000000000001</v>
      </c>
      <c r="CV858" s="2" t="n">
        <v>5.18</v>
      </c>
      <c r="CW858" s="2" t="n">
        <v>0</v>
      </c>
      <c r="CX858" s="2" t="n">
        <v>14.22</v>
      </c>
      <c r="CY858" s="2" t="n">
        <v>11.79</v>
      </c>
      <c r="CZ858" s="2" t="n">
        <v>0</v>
      </c>
      <c r="DA858" s="2" t="n">
        <v>16.04</v>
      </c>
      <c r="DB858" s="2" t="n">
        <v>16.04</v>
      </c>
      <c r="DC858" s="2" t="n">
        <v>0</v>
      </c>
      <c r="DD858" s="2" t="n">
        <v>19.31</v>
      </c>
      <c r="DE858" s="2" t="n">
        <v>16.57</v>
      </c>
      <c r="DF858" s="2" t="n">
        <v>0</v>
      </c>
      <c r="DG858" s="2" t="n">
        <v>28.23</v>
      </c>
      <c r="DH858" s="2" t="n">
        <v>28.23</v>
      </c>
      <c r="DI858" s="2" t="n">
        <v>0</v>
      </c>
      <c r="DJ858" s="2" t="n">
        <v>35.13</v>
      </c>
      <c r="DK858" s="2" t="n">
        <v>36.41</v>
      </c>
      <c r="DL858" s="2" t="n">
        <v>0</v>
      </c>
      <c r="DM858" s="2" t="n">
        <v>48.4</v>
      </c>
      <c r="DN858" s="2" t="n">
        <v>45.89</v>
      </c>
      <c r="DO858" s="2" t="n">
        <v>0</v>
      </c>
      <c r="DP858" s="2" t="n">
        <v>54.58</v>
      </c>
      <c r="DQ858" s="2" t="n">
        <v>54.91</v>
      </c>
      <c r="DR858" s="2" t="n">
        <v>0</v>
      </c>
      <c r="DS858" s="2" t="n">
        <v>60.37</v>
      </c>
      <c r="DT858" s="2" t="n">
        <v>60.88</v>
      </c>
      <c r="DU858" s="2" t="n">
        <v>0</v>
      </c>
      <c r="DV858" s="2" t="n">
        <v>70.54000000000001</v>
      </c>
      <c r="DW858" s="2" t="n">
        <v>69.38</v>
      </c>
      <c r="DX858" s="2" t="n">
        <v>0</v>
      </c>
      <c r="DY858" s="2" t="n">
        <v>74.90000000000001</v>
      </c>
      <c r="DZ858" s="2" t="n">
        <v>72</v>
      </c>
      <c r="EA858" s="2" t="n">
        <v>0</v>
      </c>
      <c r="EB858" s="2" t="n">
        <v>81.81</v>
      </c>
      <c r="EC858" s="2" t="n">
        <v>77.23</v>
      </c>
      <c r="ED858" s="2" t="n">
        <v>0</v>
      </c>
      <c r="EE858" s="2" t="n">
        <v>85.68000000000001</v>
      </c>
      <c r="EF858" s="2" t="n">
        <v>81.81</v>
      </c>
      <c r="EG858" s="2" t="n">
        <v>0</v>
      </c>
      <c r="EH858" s="2" t="n">
        <v>85.68000000000001</v>
      </c>
      <c r="EI858" s="2" t="n">
        <v>85.68000000000001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  <c r="ET858" s="2" t="n">
        <v>100</v>
      </c>
      <c r="EU858" s="2" t="n">
        <v>100</v>
      </c>
      <c r="EV858" s="2" t="n">
        <v>0</v>
      </c>
      <c r="EW858" s="2" t="n">
        <v>100</v>
      </c>
      <c r="EX858" s="2" t="n">
        <v>100</v>
      </c>
      <c r="EY858" s="2" t="n">
        <v>0</v>
      </c>
      <c r="EZ858" s="2" t="n">
        <v>100</v>
      </c>
      <c r="FA858" s="2" t="n">
        <v>100</v>
      </c>
      <c r="FB858" s="2" t="n">
        <v>0</v>
      </c>
      <c r="FC858" s="2" t="n">
        <v>100</v>
      </c>
      <c r="FD858" s="2" t="n">
        <v>100</v>
      </c>
      <c r="FE858" s="2" t="n">
        <v>0</v>
      </c>
      <c r="FF858" s="2" t="n">
        <v>100</v>
      </c>
      <c r="FG858" s="2" t="n">
        <v>100</v>
      </c>
      <c r="FH858" s="2" t="n">
        <v>0</v>
      </c>
      <c r="FI858" s="2" t="n">
        <v>100</v>
      </c>
      <c r="FJ858" s="2" t="n">
        <v>100</v>
      </c>
      <c r="FK858" s="2" t="n">
        <v>0</v>
      </c>
      <c r="FL858" s="2" t="n">
        <v>100</v>
      </c>
      <c r="FM858" s="2" t="n">
        <v>100</v>
      </c>
      <c r="FN858" s="2" t="n">
        <v>0</v>
      </c>
      <c r="FO858" s="2" t="n">
        <v>100</v>
      </c>
      <c r="FP858" s="2" t="n">
        <v>100</v>
      </c>
      <c r="FQ858" s="2" t="n">
        <v>0</v>
      </c>
    </row>
    <row r="859">
      <c r="A859" s="2" t="n">
        <v>3</v>
      </c>
      <c r="B859" s="2" t="inlineStr">
        <is>
          <t>31.08.13</t>
        </is>
      </c>
      <c r="C859" s="2" t="inlineStr">
        <is>
          <t>Escutulra nas pedras do bar da piscina</t>
        </is>
      </c>
      <c r="D859" s="2" t="inlineStr">
        <is>
          <t>21/01/2027</t>
        </is>
      </c>
      <c r="E859" s="2" t="inlineStr">
        <is>
          <t>24/04/2028</t>
        </is>
      </c>
      <c r="F859" s="2" t="n">
        <v>20000</v>
      </c>
      <c r="G859" s="2" t="n">
        <v>0</v>
      </c>
      <c r="H859" s="2" t="n">
        <v>20000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0.19</v>
      </c>
      <c r="CS859" s="2" t="n">
        <v>0.27</v>
      </c>
      <c r="CT859" s="2" t="n">
        <v>0</v>
      </c>
      <c r="CU859" s="2" t="n">
        <v>8.640000000000001</v>
      </c>
      <c r="CV859" s="2" t="n">
        <v>5.18</v>
      </c>
      <c r="CW859" s="2" t="n">
        <v>0</v>
      </c>
      <c r="CX859" s="2" t="n">
        <v>14.22</v>
      </c>
      <c r="CY859" s="2" t="n">
        <v>11.79</v>
      </c>
      <c r="CZ859" s="2" t="n">
        <v>0</v>
      </c>
      <c r="DA859" s="2" t="n">
        <v>16.04</v>
      </c>
      <c r="DB859" s="2" t="n">
        <v>16.04</v>
      </c>
      <c r="DC859" s="2" t="n">
        <v>0</v>
      </c>
      <c r="DD859" s="2" t="n">
        <v>19.31</v>
      </c>
      <c r="DE859" s="2" t="n">
        <v>16.57</v>
      </c>
      <c r="DF859" s="2" t="n">
        <v>0</v>
      </c>
      <c r="DG859" s="2" t="n">
        <v>28.23</v>
      </c>
      <c r="DH859" s="2" t="n">
        <v>28.23</v>
      </c>
      <c r="DI859" s="2" t="n">
        <v>0</v>
      </c>
      <c r="DJ859" s="2" t="n">
        <v>35.13</v>
      </c>
      <c r="DK859" s="2" t="n">
        <v>36.41</v>
      </c>
      <c r="DL859" s="2" t="n">
        <v>0</v>
      </c>
      <c r="DM859" s="2" t="n">
        <v>48.4</v>
      </c>
      <c r="DN859" s="2" t="n">
        <v>45.89</v>
      </c>
      <c r="DO859" s="2" t="n">
        <v>0</v>
      </c>
      <c r="DP859" s="2" t="n">
        <v>54.58</v>
      </c>
      <c r="DQ859" s="2" t="n">
        <v>54.91</v>
      </c>
      <c r="DR859" s="2" t="n">
        <v>0</v>
      </c>
      <c r="DS859" s="2" t="n">
        <v>60.37</v>
      </c>
      <c r="DT859" s="2" t="n">
        <v>60.88</v>
      </c>
      <c r="DU859" s="2" t="n">
        <v>0</v>
      </c>
      <c r="DV859" s="2" t="n">
        <v>70.54000000000001</v>
      </c>
      <c r="DW859" s="2" t="n">
        <v>69.38</v>
      </c>
      <c r="DX859" s="2" t="n">
        <v>0</v>
      </c>
      <c r="DY859" s="2" t="n">
        <v>74.90000000000001</v>
      </c>
      <c r="DZ859" s="2" t="n">
        <v>72</v>
      </c>
      <c r="EA859" s="2" t="n">
        <v>0</v>
      </c>
      <c r="EB859" s="2" t="n">
        <v>81.81</v>
      </c>
      <c r="EC859" s="2" t="n">
        <v>77.23</v>
      </c>
      <c r="ED859" s="2" t="n">
        <v>0</v>
      </c>
      <c r="EE859" s="2" t="n">
        <v>85.68000000000001</v>
      </c>
      <c r="EF859" s="2" t="n">
        <v>81.81</v>
      </c>
      <c r="EG859" s="2" t="n">
        <v>0</v>
      </c>
      <c r="EH859" s="2" t="n">
        <v>85.68000000000001</v>
      </c>
      <c r="EI859" s="2" t="n">
        <v>85.68000000000001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  <c r="ET859" s="2" t="n">
        <v>100</v>
      </c>
      <c r="EU859" s="2" t="n">
        <v>100</v>
      </c>
      <c r="EV859" s="2" t="n">
        <v>0</v>
      </c>
      <c r="EW859" s="2" t="n">
        <v>100</v>
      </c>
      <c r="EX859" s="2" t="n">
        <v>100</v>
      </c>
      <c r="EY859" s="2" t="n">
        <v>0</v>
      </c>
      <c r="EZ859" s="2" t="n">
        <v>100</v>
      </c>
      <c r="FA859" s="2" t="n">
        <v>100</v>
      </c>
      <c r="FB859" s="2" t="n">
        <v>0</v>
      </c>
      <c r="FC859" s="2" t="n">
        <v>100</v>
      </c>
      <c r="FD859" s="2" t="n">
        <v>100</v>
      </c>
      <c r="FE859" s="2" t="n">
        <v>0</v>
      </c>
      <c r="FF859" s="2" t="n">
        <v>100</v>
      </c>
      <c r="FG859" s="2" t="n">
        <v>100</v>
      </c>
      <c r="FH859" s="2" t="n">
        <v>0</v>
      </c>
      <c r="FI859" s="2" t="n">
        <v>100</v>
      </c>
      <c r="FJ859" s="2" t="n">
        <v>100</v>
      </c>
      <c r="FK859" s="2" t="n">
        <v>0</v>
      </c>
      <c r="FL859" s="2" t="n">
        <v>100</v>
      </c>
      <c r="FM859" s="2" t="n">
        <v>100</v>
      </c>
      <c r="FN859" s="2" t="n">
        <v>0</v>
      </c>
      <c r="FO859" s="2" t="n">
        <v>100</v>
      </c>
      <c r="FP859" s="2" t="n">
        <v>100</v>
      </c>
      <c r="FQ859" s="2" t="n">
        <v>0</v>
      </c>
    </row>
    <row r="860">
      <c r="A860" s="2" t="n">
        <v>3</v>
      </c>
      <c r="B860" s="2" t="inlineStr">
        <is>
          <t>31.08.14</t>
        </is>
      </c>
      <c r="C860" s="2" t="inlineStr">
        <is>
          <t>Filete em granito branco siena escovado</t>
        </is>
      </c>
      <c r="D860" s="2" t="inlineStr">
        <is>
          <t>21/01/2027</t>
        </is>
      </c>
      <c r="E860" s="2" t="inlineStr">
        <is>
          <t>24/04/2028</t>
        </is>
      </c>
      <c r="F860" s="2" t="n">
        <v>130419.371080748</v>
      </c>
      <c r="G860" s="2" t="n">
        <v>0</v>
      </c>
      <c r="H860" s="2" t="n">
        <v>130419.371080748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0.19</v>
      </c>
      <c r="CS860" s="2" t="n">
        <v>0.27</v>
      </c>
      <c r="CT860" s="2" t="n">
        <v>0</v>
      </c>
      <c r="CU860" s="2" t="n">
        <v>8.640000000000001</v>
      </c>
      <c r="CV860" s="2" t="n">
        <v>5.18</v>
      </c>
      <c r="CW860" s="2" t="n">
        <v>0</v>
      </c>
      <c r="CX860" s="2" t="n">
        <v>14.22</v>
      </c>
      <c r="CY860" s="2" t="n">
        <v>11.79</v>
      </c>
      <c r="CZ860" s="2" t="n">
        <v>0</v>
      </c>
      <c r="DA860" s="2" t="n">
        <v>16.04</v>
      </c>
      <c r="DB860" s="2" t="n">
        <v>16.04</v>
      </c>
      <c r="DC860" s="2" t="n">
        <v>0</v>
      </c>
      <c r="DD860" s="2" t="n">
        <v>19.31</v>
      </c>
      <c r="DE860" s="2" t="n">
        <v>16.57</v>
      </c>
      <c r="DF860" s="2" t="n">
        <v>0</v>
      </c>
      <c r="DG860" s="2" t="n">
        <v>28.23</v>
      </c>
      <c r="DH860" s="2" t="n">
        <v>28.23</v>
      </c>
      <c r="DI860" s="2" t="n">
        <v>0</v>
      </c>
      <c r="DJ860" s="2" t="n">
        <v>35.13</v>
      </c>
      <c r="DK860" s="2" t="n">
        <v>36.41</v>
      </c>
      <c r="DL860" s="2" t="n">
        <v>0</v>
      </c>
      <c r="DM860" s="2" t="n">
        <v>48.4</v>
      </c>
      <c r="DN860" s="2" t="n">
        <v>45.89</v>
      </c>
      <c r="DO860" s="2" t="n">
        <v>0</v>
      </c>
      <c r="DP860" s="2" t="n">
        <v>54.58</v>
      </c>
      <c r="DQ860" s="2" t="n">
        <v>54.91</v>
      </c>
      <c r="DR860" s="2" t="n">
        <v>0</v>
      </c>
      <c r="DS860" s="2" t="n">
        <v>60.37</v>
      </c>
      <c r="DT860" s="2" t="n">
        <v>60.88</v>
      </c>
      <c r="DU860" s="2" t="n">
        <v>0</v>
      </c>
      <c r="DV860" s="2" t="n">
        <v>70.54000000000001</v>
      </c>
      <c r="DW860" s="2" t="n">
        <v>69.38</v>
      </c>
      <c r="DX860" s="2" t="n">
        <v>0</v>
      </c>
      <c r="DY860" s="2" t="n">
        <v>74.90000000000001</v>
      </c>
      <c r="DZ860" s="2" t="n">
        <v>72</v>
      </c>
      <c r="EA860" s="2" t="n">
        <v>0</v>
      </c>
      <c r="EB860" s="2" t="n">
        <v>81.81</v>
      </c>
      <c r="EC860" s="2" t="n">
        <v>77.23</v>
      </c>
      <c r="ED860" s="2" t="n">
        <v>0</v>
      </c>
      <c r="EE860" s="2" t="n">
        <v>85.68000000000001</v>
      </c>
      <c r="EF860" s="2" t="n">
        <v>81.81</v>
      </c>
      <c r="EG860" s="2" t="n">
        <v>0</v>
      </c>
      <c r="EH860" s="2" t="n">
        <v>85.68000000000001</v>
      </c>
      <c r="EI860" s="2" t="n">
        <v>85.68000000000001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  <c r="ET860" s="2" t="n">
        <v>100</v>
      </c>
      <c r="EU860" s="2" t="n">
        <v>100</v>
      </c>
      <c r="EV860" s="2" t="n">
        <v>0</v>
      </c>
      <c r="EW860" s="2" t="n">
        <v>100</v>
      </c>
      <c r="EX860" s="2" t="n">
        <v>100</v>
      </c>
      <c r="EY860" s="2" t="n">
        <v>0</v>
      </c>
      <c r="EZ860" s="2" t="n">
        <v>100</v>
      </c>
      <c r="FA860" s="2" t="n">
        <v>100</v>
      </c>
      <c r="FB860" s="2" t="n">
        <v>0</v>
      </c>
      <c r="FC860" s="2" t="n">
        <v>100</v>
      </c>
      <c r="FD860" s="2" t="n">
        <v>100</v>
      </c>
      <c r="FE860" s="2" t="n">
        <v>0</v>
      </c>
      <c r="FF860" s="2" t="n">
        <v>100</v>
      </c>
      <c r="FG860" s="2" t="n">
        <v>100</v>
      </c>
      <c r="FH860" s="2" t="n">
        <v>0</v>
      </c>
      <c r="FI860" s="2" t="n">
        <v>100</v>
      </c>
      <c r="FJ860" s="2" t="n">
        <v>100</v>
      </c>
      <c r="FK860" s="2" t="n">
        <v>0</v>
      </c>
      <c r="FL860" s="2" t="n">
        <v>100</v>
      </c>
      <c r="FM860" s="2" t="n">
        <v>100</v>
      </c>
      <c r="FN860" s="2" t="n">
        <v>0</v>
      </c>
      <c r="FO860" s="2" t="n">
        <v>100</v>
      </c>
      <c r="FP860" s="2" t="n">
        <v>100</v>
      </c>
      <c r="FQ860" s="2" t="n">
        <v>0</v>
      </c>
    </row>
    <row r="861">
      <c r="A861" s="2" t="n">
        <v>1</v>
      </c>
      <c r="B861" s="2" t="inlineStr">
        <is>
          <t>32</t>
        </is>
      </c>
      <c r="C861" s="2" t="inlineStr">
        <is>
          <t>REVESTIMENTO DIVERSOS - FACHADA</t>
        </is>
      </c>
      <c r="D861" s="2" t="inlineStr">
        <is>
          <t>15/09/2026</t>
        </is>
      </c>
      <c r="E861" s="2" t="inlineStr">
        <is>
          <t>17/03/2028</t>
        </is>
      </c>
      <c r="F861" s="2" t="n">
        <v>7404956.906386819</v>
      </c>
      <c r="G861" s="2" t="n">
        <v>0</v>
      </c>
      <c r="H861" s="2" t="n">
        <v>7404956.906386819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3.76</v>
      </c>
      <c r="CH861" s="2" t="n">
        <v>0</v>
      </c>
      <c r="CI861" s="2" t="n">
        <v>0.16</v>
      </c>
      <c r="CJ861" s="2" t="n">
        <v>10.49</v>
      </c>
      <c r="CK861" s="2" t="n">
        <v>0</v>
      </c>
      <c r="CL861" s="2" t="n">
        <v>3.43</v>
      </c>
      <c r="CM861" s="2" t="n">
        <v>20.01</v>
      </c>
      <c r="CN861" s="2" t="n">
        <v>0</v>
      </c>
      <c r="CO861" s="2" t="n">
        <v>6.99</v>
      </c>
      <c r="CP861" s="2" t="n">
        <v>25.14</v>
      </c>
      <c r="CQ861" s="2" t="n">
        <v>0</v>
      </c>
      <c r="CR861" s="2" t="n">
        <v>13.28</v>
      </c>
      <c r="CS861" s="2" t="n">
        <v>31.43</v>
      </c>
      <c r="CT861" s="2" t="n">
        <v>0</v>
      </c>
      <c r="CU861" s="2" t="n">
        <v>16.28</v>
      </c>
      <c r="CV861" s="2" t="n">
        <v>34.43</v>
      </c>
      <c r="CW861" s="2" t="n">
        <v>0</v>
      </c>
      <c r="CX861" s="2" t="n">
        <v>19.86</v>
      </c>
      <c r="CY861" s="2" t="n">
        <v>38.01</v>
      </c>
      <c r="CZ861" s="2" t="n">
        <v>0</v>
      </c>
      <c r="DA861" s="2" t="n">
        <v>28.81</v>
      </c>
      <c r="DB861" s="2" t="n">
        <v>46.96</v>
      </c>
      <c r="DC861" s="2" t="n">
        <v>0</v>
      </c>
      <c r="DD861" s="2" t="n">
        <v>35.53</v>
      </c>
      <c r="DE861" s="2" t="n">
        <v>53.68</v>
      </c>
      <c r="DF861" s="2" t="n">
        <v>0</v>
      </c>
      <c r="DG861" s="2" t="n">
        <v>43.75</v>
      </c>
      <c r="DH861" s="2" t="n">
        <v>61.9</v>
      </c>
      <c r="DI861" s="2" t="n">
        <v>0</v>
      </c>
      <c r="DJ861" s="2" t="n">
        <v>53.8</v>
      </c>
      <c r="DK861" s="2" t="n">
        <v>71.95</v>
      </c>
      <c r="DL861" s="2" t="n">
        <v>0</v>
      </c>
      <c r="DM861" s="2" t="n">
        <v>63.5</v>
      </c>
      <c r="DN861" s="2" t="n">
        <v>81.65000000000001</v>
      </c>
      <c r="DO861" s="2" t="n">
        <v>0</v>
      </c>
      <c r="DP861" s="2" t="n">
        <v>69.38</v>
      </c>
      <c r="DQ861" s="2" t="n">
        <v>87.54000000000001</v>
      </c>
      <c r="DR861" s="2" t="n">
        <v>0</v>
      </c>
      <c r="DS861" s="2" t="n">
        <v>73.68000000000001</v>
      </c>
      <c r="DT861" s="2" t="n">
        <v>91.83</v>
      </c>
      <c r="DU861" s="2" t="n">
        <v>0</v>
      </c>
      <c r="DV861" s="2" t="n">
        <v>77</v>
      </c>
      <c r="DW861" s="2" t="n">
        <v>95.15000000000001</v>
      </c>
      <c r="DX861" s="2" t="n">
        <v>0</v>
      </c>
      <c r="DY861" s="2" t="n">
        <v>79.16</v>
      </c>
      <c r="DZ861" s="2" t="n">
        <v>97.31</v>
      </c>
      <c r="EA861" s="2" t="n">
        <v>0</v>
      </c>
      <c r="EB861" s="2" t="n">
        <v>80.5</v>
      </c>
      <c r="EC861" s="2" t="n">
        <v>98.65000000000001</v>
      </c>
      <c r="ED861" s="2" t="n">
        <v>0</v>
      </c>
      <c r="EE861" s="2" t="n">
        <v>81.33</v>
      </c>
      <c r="EF861" s="2" t="n">
        <v>99.48</v>
      </c>
      <c r="EG861" s="2" t="n">
        <v>0</v>
      </c>
      <c r="EH861" s="2" t="n">
        <v>81.84999999999999</v>
      </c>
      <c r="EI861" s="2" t="n">
        <v>100</v>
      </c>
      <c r="EJ861" s="2" t="n">
        <v>0</v>
      </c>
      <c r="EK861" s="2" t="n">
        <v>81.84999999999999</v>
      </c>
      <c r="EL861" s="2" t="n">
        <v>100</v>
      </c>
      <c r="EM861" s="2" t="n">
        <v>0</v>
      </c>
      <c r="EN861" s="2" t="n">
        <v>81.84999999999999</v>
      </c>
      <c r="EO861" s="2" t="n">
        <v>100</v>
      </c>
      <c r="EP861" s="2" t="n">
        <v>0</v>
      </c>
      <c r="EQ861" s="2" t="n">
        <v>81.84999999999999</v>
      </c>
      <c r="ER861" s="2" t="n">
        <v>100</v>
      </c>
      <c r="ES861" s="2" t="n">
        <v>0</v>
      </c>
      <c r="ET861" s="2" t="n">
        <v>81.84999999999999</v>
      </c>
      <c r="EU861" s="2" t="n">
        <v>100</v>
      </c>
      <c r="EV861" s="2" t="n">
        <v>0</v>
      </c>
      <c r="EW861" s="2" t="n">
        <v>81.84999999999999</v>
      </c>
      <c r="EX861" s="2" t="n">
        <v>100</v>
      </c>
      <c r="EY861" s="2" t="n">
        <v>0</v>
      </c>
      <c r="EZ861" s="2" t="n">
        <v>81.84999999999999</v>
      </c>
      <c r="FA861" s="2" t="n">
        <v>100</v>
      </c>
      <c r="FB861" s="2" t="n">
        <v>0</v>
      </c>
      <c r="FC861" s="2" t="n">
        <v>81.84999999999999</v>
      </c>
      <c r="FD861" s="2" t="n">
        <v>100</v>
      </c>
      <c r="FE861" s="2" t="n">
        <v>0</v>
      </c>
      <c r="FF861" s="2" t="n">
        <v>81.84999999999999</v>
      </c>
      <c r="FG861" s="2" t="n">
        <v>100</v>
      </c>
      <c r="FH861" s="2" t="n">
        <v>0</v>
      </c>
      <c r="FI861" s="2" t="n">
        <v>81.84999999999999</v>
      </c>
      <c r="FJ861" s="2" t="n">
        <v>100</v>
      </c>
      <c r="FK861" s="2" t="n">
        <v>0</v>
      </c>
      <c r="FL861" s="2" t="n">
        <v>81.84999999999999</v>
      </c>
      <c r="FM861" s="2" t="n">
        <v>100</v>
      </c>
      <c r="FN861" s="2" t="n">
        <v>0</v>
      </c>
      <c r="FO861" s="2" t="n">
        <v>81.84999999999999</v>
      </c>
      <c r="FP861" s="2" t="n">
        <v>100</v>
      </c>
      <c r="FQ861" s="2" t="n">
        <v>0</v>
      </c>
    </row>
    <row r="862">
      <c r="A862" s="2" t="n">
        <v>2</v>
      </c>
      <c r="B862" s="2" t="inlineStr">
        <is>
          <t>32.01</t>
        </is>
      </c>
      <c r="C862" s="2" t="inlineStr">
        <is>
          <t>Revestimento de fachada</t>
        </is>
      </c>
      <c r="D862" s="2" t="inlineStr">
        <is>
          <t>15/09/2026</t>
        </is>
      </c>
      <c r="E862" s="2" t="inlineStr">
        <is>
          <t>17/03/2028</t>
        </is>
      </c>
      <c r="F862" s="2" t="n">
        <v>7074035.344453022</v>
      </c>
      <c r="G862" s="2" t="n">
        <v>0</v>
      </c>
      <c r="H862" s="2" t="n">
        <v>7074035.344453022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3.93</v>
      </c>
      <c r="CH862" s="2" t="n">
        <v>0</v>
      </c>
      <c r="CI862" s="2" t="n">
        <v>0.17</v>
      </c>
      <c r="CJ862" s="2" t="n">
        <v>10.98</v>
      </c>
      <c r="CK862" s="2" t="n">
        <v>0</v>
      </c>
      <c r="CL862" s="2" t="n">
        <v>3.59</v>
      </c>
      <c r="CM862" s="2" t="n">
        <v>20.95</v>
      </c>
      <c r="CN862" s="2" t="n">
        <v>0</v>
      </c>
      <c r="CO862" s="2" t="n">
        <v>7.32</v>
      </c>
      <c r="CP862" s="2" t="n">
        <v>26.32</v>
      </c>
      <c r="CQ862" s="2" t="n">
        <v>0</v>
      </c>
      <c r="CR862" s="2" t="n">
        <v>13.9</v>
      </c>
      <c r="CS862" s="2" t="n">
        <v>32.9</v>
      </c>
      <c r="CT862" s="2" t="n">
        <v>0</v>
      </c>
      <c r="CU862" s="2" t="n">
        <v>16.78</v>
      </c>
      <c r="CV862" s="2" t="n">
        <v>35.78</v>
      </c>
      <c r="CW862" s="2" t="n">
        <v>0</v>
      </c>
      <c r="CX862" s="2" t="n">
        <v>19.96</v>
      </c>
      <c r="CY862" s="2" t="n">
        <v>38.96</v>
      </c>
      <c r="CZ862" s="2" t="n">
        <v>0</v>
      </c>
      <c r="DA862" s="2" t="n">
        <v>28.78</v>
      </c>
      <c r="DB862" s="2" t="n">
        <v>47.78</v>
      </c>
      <c r="DC862" s="2" t="n">
        <v>0</v>
      </c>
      <c r="DD862" s="2" t="n">
        <v>35.3</v>
      </c>
      <c r="DE862" s="2" t="n">
        <v>54.3</v>
      </c>
      <c r="DF862" s="2" t="n">
        <v>0</v>
      </c>
      <c r="DG862" s="2" t="n">
        <v>43.33</v>
      </c>
      <c r="DH862" s="2" t="n">
        <v>62.33</v>
      </c>
      <c r="DI862" s="2" t="n">
        <v>0</v>
      </c>
      <c r="DJ862" s="2" t="n">
        <v>53.27</v>
      </c>
      <c r="DK862" s="2" t="n">
        <v>72.27</v>
      </c>
      <c r="DL862" s="2" t="n">
        <v>0</v>
      </c>
      <c r="DM862" s="2" t="n">
        <v>62.85</v>
      </c>
      <c r="DN862" s="2" t="n">
        <v>81.84999999999999</v>
      </c>
      <c r="DO862" s="2" t="n">
        <v>0</v>
      </c>
      <c r="DP862" s="2" t="n">
        <v>68.47</v>
      </c>
      <c r="DQ862" s="2" t="n">
        <v>87.47</v>
      </c>
      <c r="DR862" s="2" t="n">
        <v>0</v>
      </c>
      <c r="DS862" s="2" t="n">
        <v>72.45</v>
      </c>
      <c r="DT862" s="2" t="n">
        <v>91.45</v>
      </c>
      <c r="DU862" s="2" t="n">
        <v>0</v>
      </c>
      <c r="DV862" s="2" t="n">
        <v>75.92</v>
      </c>
      <c r="DW862" s="2" t="n">
        <v>94.92</v>
      </c>
      <c r="DX862" s="2" t="n">
        <v>0</v>
      </c>
      <c r="DY862" s="2" t="n">
        <v>78.18000000000001</v>
      </c>
      <c r="DZ862" s="2" t="n">
        <v>97.18000000000001</v>
      </c>
      <c r="EA862" s="2" t="n">
        <v>0</v>
      </c>
      <c r="EB862" s="2" t="n">
        <v>79.58</v>
      </c>
      <c r="EC862" s="2" t="n">
        <v>98.58</v>
      </c>
      <c r="ED862" s="2" t="n">
        <v>0</v>
      </c>
      <c r="EE862" s="2" t="n">
        <v>80.45999999999999</v>
      </c>
      <c r="EF862" s="2" t="n">
        <v>99.45999999999999</v>
      </c>
      <c r="EG862" s="2" t="n">
        <v>0</v>
      </c>
      <c r="EH862" s="2" t="n">
        <v>81</v>
      </c>
      <c r="EI862" s="2" t="n">
        <v>100</v>
      </c>
      <c r="EJ862" s="2" t="n">
        <v>0</v>
      </c>
      <c r="EK862" s="2" t="n">
        <v>81</v>
      </c>
      <c r="EL862" s="2" t="n">
        <v>100</v>
      </c>
      <c r="EM862" s="2" t="n">
        <v>0</v>
      </c>
      <c r="EN862" s="2" t="n">
        <v>81</v>
      </c>
      <c r="EO862" s="2" t="n">
        <v>100</v>
      </c>
      <c r="EP862" s="2" t="n">
        <v>0</v>
      </c>
      <c r="EQ862" s="2" t="n">
        <v>81</v>
      </c>
      <c r="ER862" s="2" t="n">
        <v>100</v>
      </c>
      <c r="ES862" s="2" t="n">
        <v>0</v>
      </c>
      <c r="ET862" s="2" t="n">
        <v>81</v>
      </c>
      <c r="EU862" s="2" t="n">
        <v>100</v>
      </c>
      <c r="EV862" s="2" t="n">
        <v>0</v>
      </c>
      <c r="EW862" s="2" t="n">
        <v>81</v>
      </c>
      <c r="EX862" s="2" t="n">
        <v>100</v>
      </c>
      <c r="EY862" s="2" t="n">
        <v>0</v>
      </c>
      <c r="EZ862" s="2" t="n">
        <v>81</v>
      </c>
      <c r="FA862" s="2" t="n">
        <v>100</v>
      </c>
      <c r="FB862" s="2" t="n">
        <v>0</v>
      </c>
      <c r="FC862" s="2" t="n">
        <v>81</v>
      </c>
      <c r="FD862" s="2" t="n">
        <v>100</v>
      </c>
      <c r="FE862" s="2" t="n">
        <v>0</v>
      </c>
      <c r="FF862" s="2" t="n">
        <v>81</v>
      </c>
      <c r="FG862" s="2" t="n">
        <v>100</v>
      </c>
      <c r="FH862" s="2" t="n">
        <v>0</v>
      </c>
      <c r="FI862" s="2" t="n">
        <v>81</v>
      </c>
      <c r="FJ862" s="2" t="n">
        <v>100</v>
      </c>
      <c r="FK862" s="2" t="n">
        <v>0</v>
      </c>
      <c r="FL862" s="2" t="n">
        <v>81</v>
      </c>
      <c r="FM862" s="2" t="n">
        <v>100</v>
      </c>
      <c r="FN862" s="2" t="n">
        <v>0</v>
      </c>
      <c r="FO862" s="2" t="n">
        <v>81</v>
      </c>
      <c r="FP862" s="2" t="n">
        <v>100</v>
      </c>
      <c r="FQ862" s="2" t="n">
        <v>0</v>
      </c>
    </row>
    <row r="863">
      <c r="A863" s="2" t="n">
        <v>3</v>
      </c>
      <c r="B863" s="2" t="inlineStr">
        <is>
          <t>32.01.01</t>
        </is>
      </c>
      <c r="C863" s="2" t="inlineStr">
        <is>
          <t>Argamassas</t>
        </is>
      </c>
      <c r="D863" s="2" t="inlineStr">
        <is>
          <t>15/09/2026</t>
        </is>
      </c>
      <c r="E863" s="2" t="inlineStr">
        <is>
          <t>17/03/2028</t>
        </is>
      </c>
      <c r="F863" s="2" t="n">
        <v>415273.0611240752</v>
      </c>
      <c r="G863" s="2" t="n">
        <v>0</v>
      </c>
      <c r="H863" s="2" t="n">
        <v>415273.0611240752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3.93</v>
      </c>
      <c r="CH863" s="2" t="n">
        <v>0</v>
      </c>
      <c r="CI863" s="2" t="n">
        <v>0.17</v>
      </c>
      <c r="CJ863" s="2" t="n">
        <v>10.98</v>
      </c>
      <c r="CK863" s="2" t="n">
        <v>0</v>
      </c>
      <c r="CL863" s="2" t="n">
        <v>3.59</v>
      </c>
      <c r="CM863" s="2" t="n">
        <v>20.95</v>
      </c>
      <c r="CN863" s="2" t="n">
        <v>0</v>
      </c>
      <c r="CO863" s="2" t="n">
        <v>7.32</v>
      </c>
      <c r="CP863" s="2" t="n">
        <v>26.32</v>
      </c>
      <c r="CQ863" s="2" t="n">
        <v>0</v>
      </c>
      <c r="CR863" s="2" t="n">
        <v>13.9</v>
      </c>
      <c r="CS863" s="2" t="n">
        <v>32.9</v>
      </c>
      <c r="CT863" s="2" t="n">
        <v>0</v>
      </c>
      <c r="CU863" s="2" t="n">
        <v>16.78</v>
      </c>
      <c r="CV863" s="2" t="n">
        <v>35.78</v>
      </c>
      <c r="CW863" s="2" t="n">
        <v>0</v>
      </c>
      <c r="CX863" s="2" t="n">
        <v>19.96</v>
      </c>
      <c r="CY863" s="2" t="n">
        <v>38.96</v>
      </c>
      <c r="CZ863" s="2" t="n">
        <v>0</v>
      </c>
      <c r="DA863" s="2" t="n">
        <v>28.78</v>
      </c>
      <c r="DB863" s="2" t="n">
        <v>47.78</v>
      </c>
      <c r="DC863" s="2" t="n">
        <v>0</v>
      </c>
      <c r="DD863" s="2" t="n">
        <v>35.3</v>
      </c>
      <c r="DE863" s="2" t="n">
        <v>54.3</v>
      </c>
      <c r="DF863" s="2" t="n">
        <v>0</v>
      </c>
      <c r="DG863" s="2" t="n">
        <v>43.33</v>
      </c>
      <c r="DH863" s="2" t="n">
        <v>62.33</v>
      </c>
      <c r="DI863" s="2" t="n">
        <v>0</v>
      </c>
      <c r="DJ863" s="2" t="n">
        <v>53.27</v>
      </c>
      <c r="DK863" s="2" t="n">
        <v>72.27</v>
      </c>
      <c r="DL863" s="2" t="n">
        <v>0</v>
      </c>
      <c r="DM863" s="2" t="n">
        <v>62.85</v>
      </c>
      <c r="DN863" s="2" t="n">
        <v>81.84999999999999</v>
      </c>
      <c r="DO863" s="2" t="n">
        <v>0</v>
      </c>
      <c r="DP863" s="2" t="n">
        <v>68.47</v>
      </c>
      <c r="DQ863" s="2" t="n">
        <v>87.47</v>
      </c>
      <c r="DR863" s="2" t="n">
        <v>0</v>
      </c>
      <c r="DS863" s="2" t="n">
        <v>72.45</v>
      </c>
      <c r="DT863" s="2" t="n">
        <v>91.45</v>
      </c>
      <c r="DU863" s="2" t="n">
        <v>0</v>
      </c>
      <c r="DV863" s="2" t="n">
        <v>75.92</v>
      </c>
      <c r="DW863" s="2" t="n">
        <v>94.92</v>
      </c>
      <c r="DX863" s="2" t="n">
        <v>0</v>
      </c>
      <c r="DY863" s="2" t="n">
        <v>78.18000000000001</v>
      </c>
      <c r="DZ863" s="2" t="n">
        <v>97.18000000000001</v>
      </c>
      <c r="EA863" s="2" t="n">
        <v>0</v>
      </c>
      <c r="EB863" s="2" t="n">
        <v>79.58</v>
      </c>
      <c r="EC863" s="2" t="n">
        <v>98.58</v>
      </c>
      <c r="ED863" s="2" t="n">
        <v>0</v>
      </c>
      <c r="EE863" s="2" t="n">
        <v>80.45999999999999</v>
      </c>
      <c r="EF863" s="2" t="n">
        <v>99.45999999999999</v>
      </c>
      <c r="EG863" s="2" t="n">
        <v>0</v>
      </c>
      <c r="EH863" s="2" t="n">
        <v>81</v>
      </c>
      <c r="EI863" s="2" t="n">
        <v>100</v>
      </c>
      <c r="EJ863" s="2" t="n">
        <v>0</v>
      </c>
      <c r="EK863" s="2" t="n">
        <v>81</v>
      </c>
      <c r="EL863" s="2" t="n">
        <v>100</v>
      </c>
      <c r="EM863" s="2" t="n">
        <v>0</v>
      </c>
      <c r="EN863" s="2" t="n">
        <v>81</v>
      </c>
      <c r="EO863" s="2" t="n">
        <v>100</v>
      </c>
      <c r="EP863" s="2" t="n">
        <v>0</v>
      </c>
      <c r="EQ863" s="2" t="n">
        <v>81</v>
      </c>
      <c r="ER863" s="2" t="n">
        <v>100</v>
      </c>
      <c r="ES863" s="2" t="n">
        <v>0</v>
      </c>
      <c r="ET863" s="2" t="n">
        <v>81</v>
      </c>
      <c r="EU863" s="2" t="n">
        <v>100</v>
      </c>
      <c r="EV863" s="2" t="n">
        <v>0</v>
      </c>
      <c r="EW863" s="2" t="n">
        <v>81</v>
      </c>
      <c r="EX863" s="2" t="n">
        <v>100</v>
      </c>
      <c r="EY863" s="2" t="n">
        <v>0</v>
      </c>
      <c r="EZ863" s="2" t="n">
        <v>81</v>
      </c>
      <c r="FA863" s="2" t="n">
        <v>100</v>
      </c>
      <c r="FB863" s="2" t="n">
        <v>0</v>
      </c>
      <c r="FC863" s="2" t="n">
        <v>81</v>
      </c>
      <c r="FD863" s="2" t="n">
        <v>100</v>
      </c>
      <c r="FE863" s="2" t="n">
        <v>0</v>
      </c>
      <c r="FF863" s="2" t="n">
        <v>81</v>
      </c>
      <c r="FG863" s="2" t="n">
        <v>100</v>
      </c>
      <c r="FH863" s="2" t="n">
        <v>0</v>
      </c>
      <c r="FI863" s="2" t="n">
        <v>81</v>
      </c>
      <c r="FJ863" s="2" t="n">
        <v>100</v>
      </c>
      <c r="FK863" s="2" t="n">
        <v>0</v>
      </c>
      <c r="FL863" s="2" t="n">
        <v>81</v>
      </c>
      <c r="FM863" s="2" t="n">
        <v>100</v>
      </c>
      <c r="FN863" s="2" t="n">
        <v>0</v>
      </c>
      <c r="FO863" s="2" t="n">
        <v>81</v>
      </c>
      <c r="FP863" s="2" t="n">
        <v>100</v>
      </c>
      <c r="FQ863" s="2" t="n">
        <v>0</v>
      </c>
    </row>
    <row r="864">
      <c r="A864" s="2" t="n">
        <v>4</v>
      </c>
      <c r="B864" s="2" t="inlineStr">
        <is>
          <t>32.01.01.01</t>
        </is>
      </c>
      <c r="C864" s="2" t="inlineStr">
        <is>
          <t>Limpeza de fachadas</t>
        </is>
      </c>
      <c r="D864" s="2" t="inlineStr">
        <is>
          <t>15/09/2026</t>
        </is>
      </c>
      <c r="E864" s="2" t="inlineStr">
        <is>
          <t>17/03/2028</t>
        </is>
      </c>
      <c r="F864" s="2" t="n">
        <v>17921.05153211635</v>
      </c>
      <c r="G864" s="2" t="n">
        <v>0</v>
      </c>
      <c r="H864" s="2" t="n">
        <v>17921.05153211635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3.93</v>
      </c>
      <c r="CH864" s="2" t="n">
        <v>0</v>
      </c>
      <c r="CI864" s="2" t="n">
        <v>0.17</v>
      </c>
      <c r="CJ864" s="2" t="n">
        <v>10.98</v>
      </c>
      <c r="CK864" s="2" t="n">
        <v>0</v>
      </c>
      <c r="CL864" s="2" t="n">
        <v>3.59</v>
      </c>
      <c r="CM864" s="2" t="n">
        <v>20.95</v>
      </c>
      <c r="CN864" s="2" t="n">
        <v>0</v>
      </c>
      <c r="CO864" s="2" t="n">
        <v>7.32</v>
      </c>
      <c r="CP864" s="2" t="n">
        <v>26.32</v>
      </c>
      <c r="CQ864" s="2" t="n">
        <v>0</v>
      </c>
      <c r="CR864" s="2" t="n">
        <v>13.9</v>
      </c>
      <c r="CS864" s="2" t="n">
        <v>32.9</v>
      </c>
      <c r="CT864" s="2" t="n">
        <v>0</v>
      </c>
      <c r="CU864" s="2" t="n">
        <v>16.78</v>
      </c>
      <c r="CV864" s="2" t="n">
        <v>35.78</v>
      </c>
      <c r="CW864" s="2" t="n">
        <v>0</v>
      </c>
      <c r="CX864" s="2" t="n">
        <v>19.96</v>
      </c>
      <c r="CY864" s="2" t="n">
        <v>38.96</v>
      </c>
      <c r="CZ864" s="2" t="n">
        <v>0</v>
      </c>
      <c r="DA864" s="2" t="n">
        <v>28.78</v>
      </c>
      <c r="DB864" s="2" t="n">
        <v>47.78</v>
      </c>
      <c r="DC864" s="2" t="n">
        <v>0</v>
      </c>
      <c r="DD864" s="2" t="n">
        <v>35.3</v>
      </c>
      <c r="DE864" s="2" t="n">
        <v>54.3</v>
      </c>
      <c r="DF864" s="2" t="n">
        <v>0</v>
      </c>
      <c r="DG864" s="2" t="n">
        <v>43.33</v>
      </c>
      <c r="DH864" s="2" t="n">
        <v>62.33</v>
      </c>
      <c r="DI864" s="2" t="n">
        <v>0</v>
      </c>
      <c r="DJ864" s="2" t="n">
        <v>53.27</v>
      </c>
      <c r="DK864" s="2" t="n">
        <v>72.27</v>
      </c>
      <c r="DL864" s="2" t="n">
        <v>0</v>
      </c>
      <c r="DM864" s="2" t="n">
        <v>62.85</v>
      </c>
      <c r="DN864" s="2" t="n">
        <v>81.84999999999999</v>
      </c>
      <c r="DO864" s="2" t="n">
        <v>0</v>
      </c>
      <c r="DP864" s="2" t="n">
        <v>68.47</v>
      </c>
      <c r="DQ864" s="2" t="n">
        <v>87.47</v>
      </c>
      <c r="DR864" s="2" t="n">
        <v>0</v>
      </c>
      <c r="DS864" s="2" t="n">
        <v>72.45</v>
      </c>
      <c r="DT864" s="2" t="n">
        <v>91.45</v>
      </c>
      <c r="DU864" s="2" t="n">
        <v>0</v>
      </c>
      <c r="DV864" s="2" t="n">
        <v>75.92</v>
      </c>
      <c r="DW864" s="2" t="n">
        <v>94.92</v>
      </c>
      <c r="DX864" s="2" t="n">
        <v>0</v>
      </c>
      <c r="DY864" s="2" t="n">
        <v>78.18000000000001</v>
      </c>
      <c r="DZ864" s="2" t="n">
        <v>97.18000000000001</v>
      </c>
      <c r="EA864" s="2" t="n">
        <v>0</v>
      </c>
      <c r="EB864" s="2" t="n">
        <v>79.58</v>
      </c>
      <c r="EC864" s="2" t="n">
        <v>98.58</v>
      </c>
      <c r="ED864" s="2" t="n">
        <v>0</v>
      </c>
      <c r="EE864" s="2" t="n">
        <v>80.45999999999999</v>
      </c>
      <c r="EF864" s="2" t="n">
        <v>99.45999999999999</v>
      </c>
      <c r="EG864" s="2" t="n">
        <v>0</v>
      </c>
      <c r="EH864" s="2" t="n">
        <v>81</v>
      </c>
      <c r="EI864" s="2" t="n">
        <v>100</v>
      </c>
      <c r="EJ864" s="2" t="n">
        <v>0</v>
      </c>
      <c r="EK864" s="2" t="n">
        <v>81</v>
      </c>
      <c r="EL864" s="2" t="n">
        <v>100</v>
      </c>
      <c r="EM864" s="2" t="n">
        <v>0</v>
      </c>
      <c r="EN864" s="2" t="n">
        <v>81</v>
      </c>
      <c r="EO864" s="2" t="n">
        <v>100</v>
      </c>
      <c r="EP864" s="2" t="n">
        <v>0</v>
      </c>
      <c r="EQ864" s="2" t="n">
        <v>81</v>
      </c>
      <c r="ER864" s="2" t="n">
        <v>100</v>
      </c>
      <c r="ES864" s="2" t="n">
        <v>0</v>
      </c>
      <c r="ET864" s="2" t="n">
        <v>81</v>
      </c>
      <c r="EU864" s="2" t="n">
        <v>100</v>
      </c>
      <c r="EV864" s="2" t="n">
        <v>0</v>
      </c>
      <c r="EW864" s="2" t="n">
        <v>81</v>
      </c>
      <c r="EX864" s="2" t="n">
        <v>100</v>
      </c>
      <c r="EY864" s="2" t="n">
        <v>0</v>
      </c>
      <c r="EZ864" s="2" t="n">
        <v>81</v>
      </c>
      <c r="FA864" s="2" t="n">
        <v>100</v>
      </c>
      <c r="FB864" s="2" t="n">
        <v>0</v>
      </c>
      <c r="FC864" s="2" t="n">
        <v>81</v>
      </c>
      <c r="FD864" s="2" t="n">
        <v>100</v>
      </c>
      <c r="FE864" s="2" t="n">
        <v>0</v>
      </c>
      <c r="FF864" s="2" t="n">
        <v>81</v>
      </c>
      <c r="FG864" s="2" t="n">
        <v>100</v>
      </c>
      <c r="FH864" s="2" t="n">
        <v>0</v>
      </c>
      <c r="FI864" s="2" t="n">
        <v>81</v>
      </c>
      <c r="FJ864" s="2" t="n">
        <v>100</v>
      </c>
      <c r="FK864" s="2" t="n">
        <v>0</v>
      </c>
      <c r="FL864" s="2" t="n">
        <v>81</v>
      </c>
      <c r="FM864" s="2" t="n">
        <v>100</v>
      </c>
      <c r="FN864" s="2" t="n">
        <v>0</v>
      </c>
      <c r="FO864" s="2" t="n">
        <v>81</v>
      </c>
      <c r="FP864" s="2" t="n">
        <v>100</v>
      </c>
      <c r="FQ864" s="2" t="n">
        <v>0</v>
      </c>
    </row>
    <row r="865">
      <c r="A865" s="2" t="n">
        <v>4</v>
      </c>
      <c r="B865" s="2" t="inlineStr">
        <is>
          <t>32.01.01.02</t>
        </is>
      </c>
      <c r="C865" s="2" t="inlineStr">
        <is>
          <t>Taliscamento de Parede</t>
        </is>
      </c>
      <c r="D865" s="2" t="inlineStr">
        <is>
          <t>15/09/2026</t>
        </is>
      </c>
      <c r="E865" s="2" t="inlineStr">
        <is>
          <t>17/03/2028</t>
        </is>
      </c>
      <c r="F865" s="2" t="n">
        <v>23827.8930057</v>
      </c>
      <c r="G865" s="2" t="n">
        <v>0</v>
      </c>
      <c r="H865" s="2" t="n">
        <v>23827.8930057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3.93</v>
      </c>
      <c r="CH865" s="2" t="n">
        <v>0</v>
      </c>
      <c r="CI865" s="2" t="n">
        <v>0.17</v>
      </c>
      <c r="CJ865" s="2" t="n">
        <v>10.98</v>
      </c>
      <c r="CK865" s="2" t="n">
        <v>0</v>
      </c>
      <c r="CL865" s="2" t="n">
        <v>3.59</v>
      </c>
      <c r="CM865" s="2" t="n">
        <v>20.95</v>
      </c>
      <c r="CN865" s="2" t="n">
        <v>0</v>
      </c>
      <c r="CO865" s="2" t="n">
        <v>7.32</v>
      </c>
      <c r="CP865" s="2" t="n">
        <v>26.32</v>
      </c>
      <c r="CQ865" s="2" t="n">
        <v>0</v>
      </c>
      <c r="CR865" s="2" t="n">
        <v>13.9</v>
      </c>
      <c r="CS865" s="2" t="n">
        <v>32.9</v>
      </c>
      <c r="CT865" s="2" t="n">
        <v>0</v>
      </c>
      <c r="CU865" s="2" t="n">
        <v>16.78</v>
      </c>
      <c r="CV865" s="2" t="n">
        <v>35.78</v>
      </c>
      <c r="CW865" s="2" t="n">
        <v>0</v>
      </c>
      <c r="CX865" s="2" t="n">
        <v>19.96</v>
      </c>
      <c r="CY865" s="2" t="n">
        <v>38.96</v>
      </c>
      <c r="CZ865" s="2" t="n">
        <v>0</v>
      </c>
      <c r="DA865" s="2" t="n">
        <v>28.78</v>
      </c>
      <c r="DB865" s="2" t="n">
        <v>47.78</v>
      </c>
      <c r="DC865" s="2" t="n">
        <v>0</v>
      </c>
      <c r="DD865" s="2" t="n">
        <v>35.3</v>
      </c>
      <c r="DE865" s="2" t="n">
        <v>54.3</v>
      </c>
      <c r="DF865" s="2" t="n">
        <v>0</v>
      </c>
      <c r="DG865" s="2" t="n">
        <v>43.33</v>
      </c>
      <c r="DH865" s="2" t="n">
        <v>62.33</v>
      </c>
      <c r="DI865" s="2" t="n">
        <v>0</v>
      </c>
      <c r="DJ865" s="2" t="n">
        <v>53.27</v>
      </c>
      <c r="DK865" s="2" t="n">
        <v>72.27</v>
      </c>
      <c r="DL865" s="2" t="n">
        <v>0</v>
      </c>
      <c r="DM865" s="2" t="n">
        <v>62.85</v>
      </c>
      <c r="DN865" s="2" t="n">
        <v>81.84999999999999</v>
      </c>
      <c r="DO865" s="2" t="n">
        <v>0</v>
      </c>
      <c r="DP865" s="2" t="n">
        <v>68.47</v>
      </c>
      <c r="DQ865" s="2" t="n">
        <v>87.47</v>
      </c>
      <c r="DR865" s="2" t="n">
        <v>0</v>
      </c>
      <c r="DS865" s="2" t="n">
        <v>72.45</v>
      </c>
      <c r="DT865" s="2" t="n">
        <v>91.45</v>
      </c>
      <c r="DU865" s="2" t="n">
        <v>0</v>
      </c>
      <c r="DV865" s="2" t="n">
        <v>75.92</v>
      </c>
      <c r="DW865" s="2" t="n">
        <v>94.92</v>
      </c>
      <c r="DX865" s="2" t="n">
        <v>0</v>
      </c>
      <c r="DY865" s="2" t="n">
        <v>78.18000000000001</v>
      </c>
      <c r="DZ865" s="2" t="n">
        <v>97.18000000000001</v>
      </c>
      <c r="EA865" s="2" t="n">
        <v>0</v>
      </c>
      <c r="EB865" s="2" t="n">
        <v>79.58</v>
      </c>
      <c r="EC865" s="2" t="n">
        <v>98.58</v>
      </c>
      <c r="ED865" s="2" t="n">
        <v>0</v>
      </c>
      <c r="EE865" s="2" t="n">
        <v>80.45999999999999</v>
      </c>
      <c r="EF865" s="2" t="n">
        <v>99.45999999999999</v>
      </c>
      <c r="EG865" s="2" t="n">
        <v>0</v>
      </c>
      <c r="EH865" s="2" t="n">
        <v>81</v>
      </c>
      <c r="EI865" s="2" t="n">
        <v>100</v>
      </c>
      <c r="EJ865" s="2" t="n">
        <v>0</v>
      </c>
      <c r="EK865" s="2" t="n">
        <v>81</v>
      </c>
      <c r="EL865" s="2" t="n">
        <v>100</v>
      </c>
      <c r="EM865" s="2" t="n">
        <v>0</v>
      </c>
      <c r="EN865" s="2" t="n">
        <v>81</v>
      </c>
      <c r="EO865" s="2" t="n">
        <v>100</v>
      </c>
      <c r="EP865" s="2" t="n">
        <v>0</v>
      </c>
      <c r="EQ865" s="2" t="n">
        <v>81</v>
      </c>
      <c r="ER865" s="2" t="n">
        <v>100</v>
      </c>
      <c r="ES865" s="2" t="n">
        <v>0</v>
      </c>
      <c r="ET865" s="2" t="n">
        <v>81</v>
      </c>
      <c r="EU865" s="2" t="n">
        <v>100</v>
      </c>
      <c r="EV865" s="2" t="n">
        <v>0</v>
      </c>
      <c r="EW865" s="2" t="n">
        <v>81</v>
      </c>
      <c r="EX865" s="2" t="n">
        <v>100</v>
      </c>
      <c r="EY865" s="2" t="n">
        <v>0</v>
      </c>
      <c r="EZ865" s="2" t="n">
        <v>81</v>
      </c>
      <c r="FA865" s="2" t="n">
        <v>100</v>
      </c>
      <c r="FB865" s="2" t="n">
        <v>0</v>
      </c>
      <c r="FC865" s="2" t="n">
        <v>81</v>
      </c>
      <c r="FD865" s="2" t="n">
        <v>100</v>
      </c>
      <c r="FE865" s="2" t="n">
        <v>0</v>
      </c>
      <c r="FF865" s="2" t="n">
        <v>81</v>
      </c>
      <c r="FG865" s="2" t="n">
        <v>100</v>
      </c>
      <c r="FH865" s="2" t="n">
        <v>0</v>
      </c>
      <c r="FI865" s="2" t="n">
        <v>81</v>
      </c>
      <c r="FJ865" s="2" t="n">
        <v>100</v>
      </c>
      <c r="FK865" s="2" t="n">
        <v>0</v>
      </c>
      <c r="FL865" s="2" t="n">
        <v>81</v>
      </c>
      <c r="FM865" s="2" t="n">
        <v>100</v>
      </c>
      <c r="FN865" s="2" t="n">
        <v>0</v>
      </c>
      <c r="FO865" s="2" t="n">
        <v>81</v>
      </c>
      <c r="FP865" s="2" t="n">
        <v>100</v>
      </c>
      <c r="FQ865" s="2" t="n">
        <v>0</v>
      </c>
    </row>
    <row r="866">
      <c r="A866" s="2" t="n">
        <v>4</v>
      </c>
      <c r="B866" s="2" t="inlineStr">
        <is>
          <t>32.01.01.03</t>
        </is>
      </c>
      <c r="C866" s="2" t="inlineStr">
        <is>
          <t>Chapisco</t>
        </is>
      </c>
      <c r="D866" s="2" t="inlineStr">
        <is>
          <t>15/09/2026</t>
        </is>
      </c>
      <c r="E866" s="2" t="inlineStr">
        <is>
          <t>17/03/2028</t>
        </is>
      </c>
      <c r="F866" s="2" t="n">
        <v>43394.48926237439</v>
      </c>
      <c r="G866" s="2" t="n">
        <v>0</v>
      </c>
      <c r="H866" s="2" t="n">
        <v>43394.48926237439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3.93</v>
      </c>
      <c r="CH866" s="2" t="n">
        <v>0</v>
      </c>
      <c r="CI866" s="2" t="n">
        <v>0.17</v>
      </c>
      <c r="CJ866" s="2" t="n">
        <v>10.98</v>
      </c>
      <c r="CK866" s="2" t="n">
        <v>0</v>
      </c>
      <c r="CL866" s="2" t="n">
        <v>3.59</v>
      </c>
      <c r="CM866" s="2" t="n">
        <v>20.95</v>
      </c>
      <c r="CN866" s="2" t="n">
        <v>0</v>
      </c>
      <c r="CO866" s="2" t="n">
        <v>7.32</v>
      </c>
      <c r="CP866" s="2" t="n">
        <v>26.32</v>
      </c>
      <c r="CQ866" s="2" t="n">
        <v>0</v>
      </c>
      <c r="CR866" s="2" t="n">
        <v>13.9</v>
      </c>
      <c r="CS866" s="2" t="n">
        <v>32.9</v>
      </c>
      <c r="CT866" s="2" t="n">
        <v>0</v>
      </c>
      <c r="CU866" s="2" t="n">
        <v>16.78</v>
      </c>
      <c r="CV866" s="2" t="n">
        <v>35.78</v>
      </c>
      <c r="CW866" s="2" t="n">
        <v>0</v>
      </c>
      <c r="CX866" s="2" t="n">
        <v>19.96</v>
      </c>
      <c r="CY866" s="2" t="n">
        <v>38.96</v>
      </c>
      <c r="CZ866" s="2" t="n">
        <v>0</v>
      </c>
      <c r="DA866" s="2" t="n">
        <v>28.78</v>
      </c>
      <c r="DB866" s="2" t="n">
        <v>47.78</v>
      </c>
      <c r="DC866" s="2" t="n">
        <v>0</v>
      </c>
      <c r="DD866" s="2" t="n">
        <v>35.3</v>
      </c>
      <c r="DE866" s="2" t="n">
        <v>54.3</v>
      </c>
      <c r="DF866" s="2" t="n">
        <v>0</v>
      </c>
      <c r="DG866" s="2" t="n">
        <v>43.33</v>
      </c>
      <c r="DH866" s="2" t="n">
        <v>62.33</v>
      </c>
      <c r="DI866" s="2" t="n">
        <v>0</v>
      </c>
      <c r="DJ866" s="2" t="n">
        <v>53.27</v>
      </c>
      <c r="DK866" s="2" t="n">
        <v>72.27</v>
      </c>
      <c r="DL866" s="2" t="n">
        <v>0</v>
      </c>
      <c r="DM866" s="2" t="n">
        <v>62.85</v>
      </c>
      <c r="DN866" s="2" t="n">
        <v>81.84999999999999</v>
      </c>
      <c r="DO866" s="2" t="n">
        <v>0</v>
      </c>
      <c r="DP866" s="2" t="n">
        <v>68.47</v>
      </c>
      <c r="DQ866" s="2" t="n">
        <v>87.47</v>
      </c>
      <c r="DR866" s="2" t="n">
        <v>0</v>
      </c>
      <c r="DS866" s="2" t="n">
        <v>72.45</v>
      </c>
      <c r="DT866" s="2" t="n">
        <v>91.45</v>
      </c>
      <c r="DU866" s="2" t="n">
        <v>0</v>
      </c>
      <c r="DV866" s="2" t="n">
        <v>75.92</v>
      </c>
      <c r="DW866" s="2" t="n">
        <v>94.92</v>
      </c>
      <c r="DX866" s="2" t="n">
        <v>0</v>
      </c>
      <c r="DY866" s="2" t="n">
        <v>78.18000000000001</v>
      </c>
      <c r="DZ866" s="2" t="n">
        <v>97.18000000000001</v>
      </c>
      <c r="EA866" s="2" t="n">
        <v>0</v>
      </c>
      <c r="EB866" s="2" t="n">
        <v>79.58</v>
      </c>
      <c r="EC866" s="2" t="n">
        <v>98.58</v>
      </c>
      <c r="ED866" s="2" t="n">
        <v>0</v>
      </c>
      <c r="EE866" s="2" t="n">
        <v>80.45999999999999</v>
      </c>
      <c r="EF866" s="2" t="n">
        <v>99.45999999999999</v>
      </c>
      <c r="EG866" s="2" t="n">
        <v>0</v>
      </c>
      <c r="EH866" s="2" t="n">
        <v>81</v>
      </c>
      <c r="EI866" s="2" t="n">
        <v>100</v>
      </c>
      <c r="EJ866" s="2" t="n">
        <v>0</v>
      </c>
      <c r="EK866" s="2" t="n">
        <v>81</v>
      </c>
      <c r="EL866" s="2" t="n">
        <v>100</v>
      </c>
      <c r="EM866" s="2" t="n">
        <v>0</v>
      </c>
      <c r="EN866" s="2" t="n">
        <v>81</v>
      </c>
      <c r="EO866" s="2" t="n">
        <v>100</v>
      </c>
      <c r="EP866" s="2" t="n">
        <v>0</v>
      </c>
      <c r="EQ866" s="2" t="n">
        <v>81</v>
      </c>
      <c r="ER866" s="2" t="n">
        <v>100</v>
      </c>
      <c r="ES866" s="2" t="n">
        <v>0</v>
      </c>
      <c r="ET866" s="2" t="n">
        <v>81</v>
      </c>
      <c r="EU866" s="2" t="n">
        <v>100</v>
      </c>
      <c r="EV866" s="2" t="n">
        <v>0</v>
      </c>
      <c r="EW866" s="2" t="n">
        <v>81</v>
      </c>
      <c r="EX866" s="2" t="n">
        <v>100</v>
      </c>
      <c r="EY866" s="2" t="n">
        <v>0</v>
      </c>
      <c r="EZ866" s="2" t="n">
        <v>81</v>
      </c>
      <c r="FA866" s="2" t="n">
        <v>100</v>
      </c>
      <c r="FB866" s="2" t="n">
        <v>0</v>
      </c>
      <c r="FC866" s="2" t="n">
        <v>81</v>
      </c>
      <c r="FD866" s="2" t="n">
        <v>100</v>
      </c>
      <c r="FE866" s="2" t="n">
        <v>0</v>
      </c>
      <c r="FF866" s="2" t="n">
        <v>81</v>
      </c>
      <c r="FG866" s="2" t="n">
        <v>100</v>
      </c>
      <c r="FH866" s="2" t="n">
        <v>0</v>
      </c>
      <c r="FI866" s="2" t="n">
        <v>81</v>
      </c>
      <c r="FJ866" s="2" t="n">
        <v>100</v>
      </c>
      <c r="FK866" s="2" t="n">
        <v>0</v>
      </c>
      <c r="FL866" s="2" t="n">
        <v>81</v>
      </c>
      <c r="FM866" s="2" t="n">
        <v>100</v>
      </c>
      <c r="FN866" s="2" t="n">
        <v>0</v>
      </c>
      <c r="FO866" s="2" t="n">
        <v>81</v>
      </c>
      <c r="FP866" s="2" t="n">
        <v>100</v>
      </c>
      <c r="FQ866" s="2" t="n">
        <v>0</v>
      </c>
    </row>
    <row r="867">
      <c r="A867" s="2" t="n">
        <v>4</v>
      </c>
      <c r="B867" s="2" t="inlineStr">
        <is>
          <t>32.01.01.04</t>
        </is>
      </c>
      <c r="C867" s="2" t="inlineStr">
        <is>
          <t>Reboco esp.50mm</t>
        </is>
      </c>
      <c r="D867" s="2" t="inlineStr">
        <is>
          <t>15/09/2026</t>
        </is>
      </c>
      <c r="E867" s="2" t="inlineStr">
        <is>
          <t>17/03/2028</t>
        </is>
      </c>
      <c r="F867" s="2" t="n">
        <v>219039.92985312</v>
      </c>
      <c r="G867" s="2" t="n">
        <v>0</v>
      </c>
      <c r="H867" s="2" t="n">
        <v>219039.92985312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3.93</v>
      </c>
      <c r="CH867" s="2" t="n">
        <v>0</v>
      </c>
      <c r="CI867" s="2" t="n">
        <v>0.17</v>
      </c>
      <c r="CJ867" s="2" t="n">
        <v>10.98</v>
      </c>
      <c r="CK867" s="2" t="n">
        <v>0</v>
      </c>
      <c r="CL867" s="2" t="n">
        <v>3.59</v>
      </c>
      <c r="CM867" s="2" t="n">
        <v>20.95</v>
      </c>
      <c r="CN867" s="2" t="n">
        <v>0</v>
      </c>
      <c r="CO867" s="2" t="n">
        <v>7.32</v>
      </c>
      <c r="CP867" s="2" t="n">
        <v>26.32</v>
      </c>
      <c r="CQ867" s="2" t="n">
        <v>0</v>
      </c>
      <c r="CR867" s="2" t="n">
        <v>13.9</v>
      </c>
      <c r="CS867" s="2" t="n">
        <v>32.9</v>
      </c>
      <c r="CT867" s="2" t="n">
        <v>0</v>
      </c>
      <c r="CU867" s="2" t="n">
        <v>16.78</v>
      </c>
      <c r="CV867" s="2" t="n">
        <v>35.78</v>
      </c>
      <c r="CW867" s="2" t="n">
        <v>0</v>
      </c>
      <c r="CX867" s="2" t="n">
        <v>19.96</v>
      </c>
      <c r="CY867" s="2" t="n">
        <v>38.96</v>
      </c>
      <c r="CZ867" s="2" t="n">
        <v>0</v>
      </c>
      <c r="DA867" s="2" t="n">
        <v>28.78</v>
      </c>
      <c r="DB867" s="2" t="n">
        <v>47.78</v>
      </c>
      <c r="DC867" s="2" t="n">
        <v>0</v>
      </c>
      <c r="DD867" s="2" t="n">
        <v>35.3</v>
      </c>
      <c r="DE867" s="2" t="n">
        <v>54.3</v>
      </c>
      <c r="DF867" s="2" t="n">
        <v>0</v>
      </c>
      <c r="DG867" s="2" t="n">
        <v>43.33</v>
      </c>
      <c r="DH867" s="2" t="n">
        <v>62.33</v>
      </c>
      <c r="DI867" s="2" t="n">
        <v>0</v>
      </c>
      <c r="DJ867" s="2" t="n">
        <v>53.27</v>
      </c>
      <c r="DK867" s="2" t="n">
        <v>72.27</v>
      </c>
      <c r="DL867" s="2" t="n">
        <v>0</v>
      </c>
      <c r="DM867" s="2" t="n">
        <v>62.85</v>
      </c>
      <c r="DN867" s="2" t="n">
        <v>81.84999999999999</v>
      </c>
      <c r="DO867" s="2" t="n">
        <v>0</v>
      </c>
      <c r="DP867" s="2" t="n">
        <v>68.47</v>
      </c>
      <c r="DQ867" s="2" t="n">
        <v>87.47</v>
      </c>
      <c r="DR867" s="2" t="n">
        <v>0</v>
      </c>
      <c r="DS867" s="2" t="n">
        <v>72.45</v>
      </c>
      <c r="DT867" s="2" t="n">
        <v>91.45</v>
      </c>
      <c r="DU867" s="2" t="n">
        <v>0</v>
      </c>
      <c r="DV867" s="2" t="n">
        <v>75.92</v>
      </c>
      <c r="DW867" s="2" t="n">
        <v>94.92</v>
      </c>
      <c r="DX867" s="2" t="n">
        <v>0</v>
      </c>
      <c r="DY867" s="2" t="n">
        <v>78.18000000000001</v>
      </c>
      <c r="DZ867" s="2" t="n">
        <v>97.18000000000001</v>
      </c>
      <c r="EA867" s="2" t="n">
        <v>0</v>
      </c>
      <c r="EB867" s="2" t="n">
        <v>79.58</v>
      </c>
      <c r="EC867" s="2" t="n">
        <v>98.58</v>
      </c>
      <c r="ED867" s="2" t="n">
        <v>0</v>
      </c>
      <c r="EE867" s="2" t="n">
        <v>80.45999999999999</v>
      </c>
      <c r="EF867" s="2" t="n">
        <v>99.45999999999999</v>
      </c>
      <c r="EG867" s="2" t="n">
        <v>0</v>
      </c>
      <c r="EH867" s="2" t="n">
        <v>81</v>
      </c>
      <c r="EI867" s="2" t="n">
        <v>100</v>
      </c>
      <c r="EJ867" s="2" t="n">
        <v>0</v>
      </c>
      <c r="EK867" s="2" t="n">
        <v>81</v>
      </c>
      <c r="EL867" s="2" t="n">
        <v>100</v>
      </c>
      <c r="EM867" s="2" t="n">
        <v>0</v>
      </c>
      <c r="EN867" s="2" t="n">
        <v>81</v>
      </c>
      <c r="EO867" s="2" t="n">
        <v>100</v>
      </c>
      <c r="EP867" s="2" t="n">
        <v>0</v>
      </c>
      <c r="EQ867" s="2" t="n">
        <v>81</v>
      </c>
      <c r="ER867" s="2" t="n">
        <v>100</v>
      </c>
      <c r="ES867" s="2" t="n">
        <v>0</v>
      </c>
      <c r="ET867" s="2" t="n">
        <v>81</v>
      </c>
      <c r="EU867" s="2" t="n">
        <v>100</v>
      </c>
      <c r="EV867" s="2" t="n">
        <v>0</v>
      </c>
      <c r="EW867" s="2" t="n">
        <v>81</v>
      </c>
      <c r="EX867" s="2" t="n">
        <v>100</v>
      </c>
      <c r="EY867" s="2" t="n">
        <v>0</v>
      </c>
      <c r="EZ867" s="2" t="n">
        <v>81</v>
      </c>
      <c r="FA867" s="2" t="n">
        <v>100</v>
      </c>
      <c r="FB867" s="2" t="n">
        <v>0</v>
      </c>
      <c r="FC867" s="2" t="n">
        <v>81</v>
      </c>
      <c r="FD867" s="2" t="n">
        <v>100</v>
      </c>
      <c r="FE867" s="2" t="n">
        <v>0</v>
      </c>
      <c r="FF867" s="2" t="n">
        <v>81</v>
      </c>
      <c r="FG867" s="2" t="n">
        <v>100</v>
      </c>
      <c r="FH867" s="2" t="n">
        <v>0</v>
      </c>
      <c r="FI867" s="2" t="n">
        <v>81</v>
      </c>
      <c r="FJ867" s="2" t="n">
        <v>100</v>
      </c>
      <c r="FK867" s="2" t="n">
        <v>0</v>
      </c>
      <c r="FL867" s="2" t="n">
        <v>81</v>
      </c>
      <c r="FM867" s="2" t="n">
        <v>100</v>
      </c>
      <c r="FN867" s="2" t="n">
        <v>0</v>
      </c>
      <c r="FO867" s="2" t="n">
        <v>81</v>
      </c>
      <c r="FP867" s="2" t="n">
        <v>100</v>
      </c>
      <c r="FQ867" s="2" t="n">
        <v>0</v>
      </c>
    </row>
    <row r="868">
      <c r="A868" s="2" t="n">
        <v>4</v>
      </c>
      <c r="B868" s="2" t="inlineStr">
        <is>
          <t>32.01.01.05</t>
        </is>
      </c>
      <c r="C868" s="2" t="inlineStr">
        <is>
          <t>Espalas para esquadrias (até 40cm)</t>
        </is>
      </c>
      <c r="D868" s="2" t="inlineStr">
        <is>
          <t>15/09/2026</t>
        </is>
      </c>
      <c r="E868" s="2" t="inlineStr">
        <is>
          <t>17/03/2028</t>
        </is>
      </c>
      <c r="F868" s="2" t="n">
        <v>100023.6489451696</v>
      </c>
      <c r="G868" s="2" t="n">
        <v>0</v>
      </c>
      <c r="H868" s="2" t="n">
        <v>100023.6489451696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3.93</v>
      </c>
      <c r="CH868" s="2" t="n">
        <v>0</v>
      </c>
      <c r="CI868" s="2" t="n">
        <v>0.17</v>
      </c>
      <c r="CJ868" s="2" t="n">
        <v>10.98</v>
      </c>
      <c r="CK868" s="2" t="n">
        <v>0</v>
      </c>
      <c r="CL868" s="2" t="n">
        <v>3.59</v>
      </c>
      <c r="CM868" s="2" t="n">
        <v>20.95</v>
      </c>
      <c r="CN868" s="2" t="n">
        <v>0</v>
      </c>
      <c r="CO868" s="2" t="n">
        <v>7.32</v>
      </c>
      <c r="CP868" s="2" t="n">
        <v>26.32</v>
      </c>
      <c r="CQ868" s="2" t="n">
        <v>0</v>
      </c>
      <c r="CR868" s="2" t="n">
        <v>13.9</v>
      </c>
      <c r="CS868" s="2" t="n">
        <v>32.9</v>
      </c>
      <c r="CT868" s="2" t="n">
        <v>0</v>
      </c>
      <c r="CU868" s="2" t="n">
        <v>16.78</v>
      </c>
      <c r="CV868" s="2" t="n">
        <v>35.78</v>
      </c>
      <c r="CW868" s="2" t="n">
        <v>0</v>
      </c>
      <c r="CX868" s="2" t="n">
        <v>19.96</v>
      </c>
      <c r="CY868" s="2" t="n">
        <v>38.96</v>
      </c>
      <c r="CZ868" s="2" t="n">
        <v>0</v>
      </c>
      <c r="DA868" s="2" t="n">
        <v>28.78</v>
      </c>
      <c r="DB868" s="2" t="n">
        <v>47.78</v>
      </c>
      <c r="DC868" s="2" t="n">
        <v>0</v>
      </c>
      <c r="DD868" s="2" t="n">
        <v>35.3</v>
      </c>
      <c r="DE868" s="2" t="n">
        <v>54.3</v>
      </c>
      <c r="DF868" s="2" t="n">
        <v>0</v>
      </c>
      <c r="DG868" s="2" t="n">
        <v>43.33</v>
      </c>
      <c r="DH868" s="2" t="n">
        <v>62.33</v>
      </c>
      <c r="DI868" s="2" t="n">
        <v>0</v>
      </c>
      <c r="DJ868" s="2" t="n">
        <v>53.27</v>
      </c>
      <c r="DK868" s="2" t="n">
        <v>72.27</v>
      </c>
      <c r="DL868" s="2" t="n">
        <v>0</v>
      </c>
      <c r="DM868" s="2" t="n">
        <v>62.85</v>
      </c>
      <c r="DN868" s="2" t="n">
        <v>81.84999999999999</v>
      </c>
      <c r="DO868" s="2" t="n">
        <v>0</v>
      </c>
      <c r="DP868" s="2" t="n">
        <v>68.47</v>
      </c>
      <c r="DQ868" s="2" t="n">
        <v>87.47</v>
      </c>
      <c r="DR868" s="2" t="n">
        <v>0</v>
      </c>
      <c r="DS868" s="2" t="n">
        <v>72.45</v>
      </c>
      <c r="DT868" s="2" t="n">
        <v>91.45</v>
      </c>
      <c r="DU868" s="2" t="n">
        <v>0</v>
      </c>
      <c r="DV868" s="2" t="n">
        <v>75.92</v>
      </c>
      <c r="DW868" s="2" t="n">
        <v>94.92</v>
      </c>
      <c r="DX868" s="2" t="n">
        <v>0</v>
      </c>
      <c r="DY868" s="2" t="n">
        <v>78.18000000000001</v>
      </c>
      <c r="DZ868" s="2" t="n">
        <v>97.18000000000001</v>
      </c>
      <c r="EA868" s="2" t="n">
        <v>0</v>
      </c>
      <c r="EB868" s="2" t="n">
        <v>79.58</v>
      </c>
      <c r="EC868" s="2" t="n">
        <v>98.58</v>
      </c>
      <c r="ED868" s="2" t="n">
        <v>0</v>
      </c>
      <c r="EE868" s="2" t="n">
        <v>80.45999999999999</v>
      </c>
      <c r="EF868" s="2" t="n">
        <v>99.45999999999999</v>
      </c>
      <c r="EG868" s="2" t="n">
        <v>0</v>
      </c>
      <c r="EH868" s="2" t="n">
        <v>81</v>
      </c>
      <c r="EI868" s="2" t="n">
        <v>100</v>
      </c>
      <c r="EJ868" s="2" t="n">
        <v>0</v>
      </c>
      <c r="EK868" s="2" t="n">
        <v>81</v>
      </c>
      <c r="EL868" s="2" t="n">
        <v>100</v>
      </c>
      <c r="EM868" s="2" t="n">
        <v>0</v>
      </c>
      <c r="EN868" s="2" t="n">
        <v>81</v>
      </c>
      <c r="EO868" s="2" t="n">
        <v>100</v>
      </c>
      <c r="EP868" s="2" t="n">
        <v>0</v>
      </c>
      <c r="EQ868" s="2" t="n">
        <v>81</v>
      </c>
      <c r="ER868" s="2" t="n">
        <v>100</v>
      </c>
      <c r="ES868" s="2" t="n">
        <v>0</v>
      </c>
      <c r="ET868" s="2" t="n">
        <v>81</v>
      </c>
      <c r="EU868" s="2" t="n">
        <v>100</v>
      </c>
      <c r="EV868" s="2" t="n">
        <v>0</v>
      </c>
      <c r="EW868" s="2" t="n">
        <v>81</v>
      </c>
      <c r="EX868" s="2" t="n">
        <v>100</v>
      </c>
      <c r="EY868" s="2" t="n">
        <v>0</v>
      </c>
      <c r="EZ868" s="2" t="n">
        <v>81</v>
      </c>
      <c r="FA868" s="2" t="n">
        <v>100</v>
      </c>
      <c r="FB868" s="2" t="n">
        <v>0</v>
      </c>
      <c r="FC868" s="2" t="n">
        <v>81</v>
      </c>
      <c r="FD868" s="2" t="n">
        <v>100</v>
      </c>
      <c r="FE868" s="2" t="n">
        <v>0</v>
      </c>
      <c r="FF868" s="2" t="n">
        <v>81</v>
      </c>
      <c r="FG868" s="2" t="n">
        <v>100</v>
      </c>
      <c r="FH868" s="2" t="n">
        <v>0</v>
      </c>
      <c r="FI868" s="2" t="n">
        <v>81</v>
      </c>
      <c r="FJ868" s="2" t="n">
        <v>100</v>
      </c>
      <c r="FK868" s="2" t="n">
        <v>0</v>
      </c>
      <c r="FL868" s="2" t="n">
        <v>81</v>
      </c>
      <c r="FM868" s="2" t="n">
        <v>100</v>
      </c>
      <c r="FN868" s="2" t="n">
        <v>0</v>
      </c>
      <c r="FO868" s="2" t="n">
        <v>81</v>
      </c>
      <c r="FP868" s="2" t="n">
        <v>100</v>
      </c>
      <c r="FQ868" s="2" t="n">
        <v>0</v>
      </c>
    </row>
    <row r="869">
      <c r="A869" s="2" t="n">
        <v>4</v>
      </c>
      <c r="B869" s="2" t="inlineStr">
        <is>
          <t>32.01.01.06</t>
        </is>
      </c>
      <c r="C869" s="2" t="inlineStr">
        <is>
          <t>Tela metálica no encontro entre alvenaria e estrutura</t>
        </is>
      </c>
      <c r="D869" s="2" t="inlineStr">
        <is>
          <t>15/09/2026</t>
        </is>
      </c>
      <c r="E869" s="2" t="inlineStr">
        <is>
          <t>17/03/2028</t>
        </is>
      </c>
      <c r="F869" s="2" t="n">
        <v>11066.04852559495</v>
      </c>
      <c r="G869" s="2" t="n">
        <v>0</v>
      </c>
      <c r="H869" s="2" t="n">
        <v>11066.04852559495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3.93</v>
      </c>
      <c r="CH869" s="2" t="n">
        <v>0</v>
      </c>
      <c r="CI869" s="2" t="n">
        <v>0.17</v>
      </c>
      <c r="CJ869" s="2" t="n">
        <v>10.98</v>
      </c>
      <c r="CK869" s="2" t="n">
        <v>0</v>
      </c>
      <c r="CL869" s="2" t="n">
        <v>3.59</v>
      </c>
      <c r="CM869" s="2" t="n">
        <v>20.95</v>
      </c>
      <c r="CN869" s="2" t="n">
        <v>0</v>
      </c>
      <c r="CO869" s="2" t="n">
        <v>7.32</v>
      </c>
      <c r="CP869" s="2" t="n">
        <v>26.32</v>
      </c>
      <c r="CQ869" s="2" t="n">
        <v>0</v>
      </c>
      <c r="CR869" s="2" t="n">
        <v>13.9</v>
      </c>
      <c r="CS869" s="2" t="n">
        <v>32.9</v>
      </c>
      <c r="CT869" s="2" t="n">
        <v>0</v>
      </c>
      <c r="CU869" s="2" t="n">
        <v>16.78</v>
      </c>
      <c r="CV869" s="2" t="n">
        <v>35.78</v>
      </c>
      <c r="CW869" s="2" t="n">
        <v>0</v>
      </c>
      <c r="CX869" s="2" t="n">
        <v>19.96</v>
      </c>
      <c r="CY869" s="2" t="n">
        <v>38.96</v>
      </c>
      <c r="CZ869" s="2" t="n">
        <v>0</v>
      </c>
      <c r="DA869" s="2" t="n">
        <v>28.78</v>
      </c>
      <c r="DB869" s="2" t="n">
        <v>47.78</v>
      </c>
      <c r="DC869" s="2" t="n">
        <v>0</v>
      </c>
      <c r="DD869" s="2" t="n">
        <v>35.3</v>
      </c>
      <c r="DE869" s="2" t="n">
        <v>54.3</v>
      </c>
      <c r="DF869" s="2" t="n">
        <v>0</v>
      </c>
      <c r="DG869" s="2" t="n">
        <v>43.33</v>
      </c>
      <c r="DH869" s="2" t="n">
        <v>62.33</v>
      </c>
      <c r="DI869" s="2" t="n">
        <v>0</v>
      </c>
      <c r="DJ869" s="2" t="n">
        <v>53.27</v>
      </c>
      <c r="DK869" s="2" t="n">
        <v>72.27</v>
      </c>
      <c r="DL869" s="2" t="n">
        <v>0</v>
      </c>
      <c r="DM869" s="2" t="n">
        <v>62.85</v>
      </c>
      <c r="DN869" s="2" t="n">
        <v>81.84999999999999</v>
      </c>
      <c r="DO869" s="2" t="n">
        <v>0</v>
      </c>
      <c r="DP869" s="2" t="n">
        <v>68.47</v>
      </c>
      <c r="DQ869" s="2" t="n">
        <v>87.47</v>
      </c>
      <c r="DR869" s="2" t="n">
        <v>0</v>
      </c>
      <c r="DS869" s="2" t="n">
        <v>72.45</v>
      </c>
      <c r="DT869" s="2" t="n">
        <v>91.45</v>
      </c>
      <c r="DU869" s="2" t="n">
        <v>0</v>
      </c>
      <c r="DV869" s="2" t="n">
        <v>75.92</v>
      </c>
      <c r="DW869" s="2" t="n">
        <v>94.92</v>
      </c>
      <c r="DX869" s="2" t="n">
        <v>0</v>
      </c>
      <c r="DY869" s="2" t="n">
        <v>78.18000000000001</v>
      </c>
      <c r="DZ869" s="2" t="n">
        <v>97.18000000000001</v>
      </c>
      <c r="EA869" s="2" t="n">
        <v>0</v>
      </c>
      <c r="EB869" s="2" t="n">
        <v>79.58</v>
      </c>
      <c r="EC869" s="2" t="n">
        <v>98.58</v>
      </c>
      <c r="ED869" s="2" t="n">
        <v>0</v>
      </c>
      <c r="EE869" s="2" t="n">
        <v>80.45999999999999</v>
      </c>
      <c r="EF869" s="2" t="n">
        <v>99.45999999999999</v>
      </c>
      <c r="EG869" s="2" t="n">
        <v>0</v>
      </c>
      <c r="EH869" s="2" t="n">
        <v>81</v>
      </c>
      <c r="EI869" s="2" t="n">
        <v>100</v>
      </c>
      <c r="EJ869" s="2" t="n">
        <v>0</v>
      </c>
      <c r="EK869" s="2" t="n">
        <v>81</v>
      </c>
      <c r="EL869" s="2" t="n">
        <v>100</v>
      </c>
      <c r="EM869" s="2" t="n">
        <v>0</v>
      </c>
      <c r="EN869" s="2" t="n">
        <v>81</v>
      </c>
      <c r="EO869" s="2" t="n">
        <v>100</v>
      </c>
      <c r="EP869" s="2" t="n">
        <v>0</v>
      </c>
      <c r="EQ869" s="2" t="n">
        <v>81</v>
      </c>
      <c r="ER869" s="2" t="n">
        <v>100</v>
      </c>
      <c r="ES869" s="2" t="n">
        <v>0</v>
      </c>
      <c r="ET869" s="2" t="n">
        <v>81</v>
      </c>
      <c r="EU869" s="2" t="n">
        <v>100</v>
      </c>
      <c r="EV869" s="2" t="n">
        <v>0</v>
      </c>
      <c r="EW869" s="2" t="n">
        <v>81</v>
      </c>
      <c r="EX869" s="2" t="n">
        <v>100</v>
      </c>
      <c r="EY869" s="2" t="n">
        <v>0</v>
      </c>
      <c r="EZ869" s="2" t="n">
        <v>81</v>
      </c>
      <c r="FA869" s="2" t="n">
        <v>100</v>
      </c>
      <c r="FB869" s="2" t="n">
        <v>0</v>
      </c>
      <c r="FC869" s="2" t="n">
        <v>81</v>
      </c>
      <c r="FD869" s="2" t="n">
        <v>100</v>
      </c>
      <c r="FE869" s="2" t="n">
        <v>0</v>
      </c>
      <c r="FF869" s="2" t="n">
        <v>81</v>
      </c>
      <c r="FG869" s="2" t="n">
        <v>100</v>
      </c>
      <c r="FH869" s="2" t="n">
        <v>0</v>
      </c>
      <c r="FI869" s="2" t="n">
        <v>81</v>
      </c>
      <c r="FJ869" s="2" t="n">
        <v>100</v>
      </c>
      <c r="FK869" s="2" t="n">
        <v>0</v>
      </c>
      <c r="FL869" s="2" t="n">
        <v>81</v>
      </c>
      <c r="FM869" s="2" t="n">
        <v>100</v>
      </c>
      <c r="FN869" s="2" t="n">
        <v>0</v>
      </c>
      <c r="FO869" s="2" t="n">
        <v>81</v>
      </c>
      <c r="FP869" s="2" t="n">
        <v>100</v>
      </c>
      <c r="FQ869" s="2" t="n">
        <v>0</v>
      </c>
    </row>
    <row r="870">
      <c r="A870" s="2" t="n">
        <v>3</v>
      </c>
      <c r="B870" s="2" t="inlineStr">
        <is>
          <t>32.01.02</t>
        </is>
      </c>
      <c r="C870" s="2" t="inlineStr">
        <is>
          <t>Pintura de fachadas</t>
        </is>
      </c>
      <c r="D870" s="2" t="inlineStr">
        <is>
          <t>15/09/2026</t>
        </is>
      </c>
      <c r="E870" s="2" t="inlineStr">
        <is>
          <t>17/03/2028</t>
        </is>
      </c>
      <c r="F870" s="2" t="n">
        <v>317904.5720619037</v>
      </c>
      <c r="G870" s="2" t="n">
        <v>0</v>
      </c>
      <c r="H870" s="2" t="n">
        <v>317904.5720619037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3.93</v>
      </c>
      <c r="CH870" s="2" t="n">
        <v>0</v>
      </c>
      <c r="CI870" s="2" t="n">
        <v>0.17</v>
      </c>
      <c r="CJ870" s="2" t="n">
        <v>10.98</v>
      </c>
      <c r="CK870" s="2" t="n">
        <v>0</v>
      </c>
      <c r="CL870" s="2" t="n">
        <v>3.59</v>
      </c>
      <c r="CM870" s="2" t="n">
        <v>20.95</v>
      </c>
      <c r="CN870" s="2" t="n">
        <v>0</v>
      </c>
      <c r="CO870" s="2" t="n">
        <v>7.32</v>
      </c>
      <c r="CP870" s="2" t="n">
        <v>26.32</v>
      </c>
      <c r="CQ870" s="2" t="n">
        <v>0</v>
      </c>
      <c r="CR870" s="2" t="n">
        <v>13.9</v>
      </c>
      <c r="CS870" s="2" t="n">
        <v>32.9</v>
      </c>
      <c r="CT870" s="2" t="n">
        <v>0</v>
      </c>
      <c r="CU870" s="2" t="n">
        <v>16.78</v>
      </c>
      <c r="CV870" s="2" t="n">
        <v>35.78</v>
      </c>
      <c r="CW870" s="2" t="n">
        <v>0</v>
      </c>
      <c r="CX870" s="2" t="n">
        <v>19.96</v>
      </c>
      <c r="CY870" s="2" t="n">
        <v>38.96</v>
      </c>
      <c r="CZ870" s="2" t="n">
        <v>0</v>
      </c>
      <c r="DA870" s="2" t="n">
        <v>28.78</v>
      </c>
      <c r="DB870" s="2" t="n">
        <v>47.78</v>
      </c>
      <c r="DC870" s="2" t="n">
        <v>0</v>
      </c>
      <c r="DD870" s="2" t="n">
        <v>35.3</v>
      </c>
      <c r="DE870" s="2" t="n">
        <v>54.3</v>
      </c>
      <c r="DF870" s="2" t="n">
        <v>0</v>
      </c>
      <c r="DG870" s="2" t="n">
        <v>43.33</v>
      </c>
      <c r="DH870" s="2" t="n">
        <v>62.33</v>
      </c>
      <c r="DI870" s="2" t="n">
        <v>0</v>
      </c>
      <c r="DJ870" s="2" t="n">
        <v>53.27</v>
      </c>
      <c r="DK870" s="2" t="n">
        <v>72.27</v>
      </c>
      <c r="DL870" s="2" t="n">
        <v>0</v>
      </c>
      <c r="DM870" s="2" t="n">
        <v>62.85</v>
      </c>
      <c r="DN870" s="2" t="n">
        <v>81.84999999999999</v>
      </c>
      <c r="DO870" s="2" t="n">
        <v>0</v>
      </c>
      <c r="DP870" s="2" t="n">
        <v>68.47</v>
      </c>
      <c r="DQ870" s="2" t="n">
        <v>87.47</v>
      </c>
      <c r="DR870" s="2" t="n">
        <v>0</v>
      </c>
      <c r="DS870" s="2" t="n">
        <v>72.45</v>
      </c>
      <c r="DT870" s="2" t="n">
        <v>91.45</v>
      </c>
      <c r="DU870" s="2" t="n">
        <v>0</v>
      </c>
      <c r="DV870" s="2" t="n">
        <v>75.92</v>
      </c>
      <c r="DW870" s="2" t="n">
        <v>94.92</v>
      </c>
      <c r="DX870" s="2" t="n">
        <v>0</v>
      </c>
      <c r="DY870" s="2" t="n">
        <v>78.18000000000001</v>
      </c>
      <c r="DZ870" s="2" t="n">
        <v>97.18000000000001</v>
      </c>
      <c r="EA870" s="2" t="n">
        <v>0</v>
      </c>
      <c r="EB870" s="2" t="n">
        <v>79.58</v>
      </c>
      <c r="EC870" s="2" t="n">
        <v>98.58</v>
      </c>
      <c r="ED870" s="2" t="n">
        <v>0</v>
      </c>
      <c r="EE870" s="2" t="n">
        <v>80.45999999999999</v>
      </c>
      <c r="EF870" s="2" t="n">
        <v>99.45999999999999</v>
      </c>
      <c r="EG870" s="2" t="n">
        <v>0</v>
      </c>
      <c r="EH870" s="2" t="n">
        <v>81</v>
      </c>
      <c r="EI870" s="2" t="n">
        <v>100</v>
      </c>
      <c r="EJ870" s="2" t="n">
        <v>0</v>
      </c>
      <c r="EK870" s="2" t="n">
        <v>81</v>
      </c>
      <c r="EL870" s="2" t="n">
        <v>100</v>
      </c>
      <c r="EM870" s="2" t="n">
        <v>0</v>
      </c>
      <c r="EN870" s="2" t="n">
        <v>81</v>
      </c>
      <c r="EO870" s="2" t="n">
        <v>100</v>
      </c>
      <c r="EP870" s="2" t="n">
        <v>0</v>
      </c>
      <c r="EQ870" s="2" t="n">
        <v>81</v>
      </c>
      <c r="ER870" s="2" t="n">
        <v>100</v>
      </c>
      <c r="ES870" s="2" t="n">
        <v>0</v>
      </c>
      <c r="ET870" s="2" t="n">
        <v>81</v>
      </c>
      <c r="EU870" s="2" t="n">
        <v>100</v>
      </c>
      <c r="EV870" s="2" t="n">
        <v>0</v>
      </c>
      <c r="EW870" s="2" t="n">
        <v>81</v>
      </c>
      <c r="EX870" s="2" t="n">
        <v>100</v>
      </c>
      <c r="EY870" s="2" t="n">
        <v>0</v>
      </c>
      <c r="EZ870" s="2" t="n">
        <v>81</v>
      </c>
      <c r="FA870" s="2" t="n">
        <v>100</v>
      </c>
      <c r="FB870" s="2" t="n">
        <v>0</v>
      </c>
      <c r="FC870" s="2" t="n">
        <v>81</v>
      </c>
      <c r="FD870" s="2" t="n">
        <v>100</v>
      </c>
      <c r="FE870" s="2" t="n">
        <v>0</v>
      </c>
      <c r="FF870" s="2" t="n">
        <v>81</v>
      </c>
      <c r="FG870" s="2" t="n">
        <v>100</v>
      </c>
      <c r="FH870" s="2" t="n">
        <v>0</v>
      </c>
      <c r="FI870" s="2" t="n">
        <v>81</v>
      </c>
      <c r="FJ870" s="2" t="n">
        <v>100</v>
      </c>
      <c r="FK870" s="2" t="n">
        <v>0</v>
      </c>
      <c r="FL870" s="2" t="n">
        <v>81</v>
      </c>
      <c r="FM870" s="2" t="n">
        <v>100</v>
      </c>
      <c r="FN870" s="2" t="n">
        <v>0</v>
      </c>
      <c r="FO870" s="2" t="n">
        <v>81</v>
      </c>
      <c r="FP870" s="2" t="n">
        <v>100</v>
      </c>
      <c r="FQ870" s="2" t="n">
        <v>0</v>
      </c>
    </row>
    <row r="871">
      <c r="A871" s="2" t="n">
        <v>4</v>
      </c>
      <c r="B871" s="2" t="inlineStr">
        <is>
          <t>32.01.02.01</t>
        </is>
      </c>
      <c r="C871" s="2" t="inlineStr">
        <is>
          <t>Pintura acrílica preta sob caixilharia especial para composição de fachadas</t>
        </is>
      </c>
      <c r="D871" s="2" t="inlineStr">
        <is>
          <t>15/09/2026</t>
        </is>
      </c>
      <c r="E871" s="2" t="inlineStr">
        <is>
          <t>17/03/2028</t>
        </is>
      </c>
      <c r="F871" s="2" t="n">
        <v>12518.9720619036</v>
      </c>
      <c r="G871" s="2" t="n">
        <v>0</v>
      </c>
      <c r="H871" s="2" t="n">
        <v>12518.9720619036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3.93</v>
      </c>
      <c r="CH871" s="2" t="n">
        <v>0</v>
      </c>
      <c r="CI871" s="2" t="n">
        <v>0.17</v>
      </c>
      <c r="CJ871" s="2" t="n">
        <v>10.98</v>
      </c>
      <c r="CK871" s="2" t="n">
        <v>0</v>
      </c>
      <c r="CL871" s="2" t="n">
        <v>3.59</v>
      </c>
      <c r="CM871" s="2" t="n">
        <v>20.95</v>
      </c>
      <c r="CN871" s="2" t="n">
        <v>0</v>
      </c>
      <c r="CO871" s="2" t="n">
        <v>7.32</v>
      </c>
      <c r="CP871" s="2" t="n">
        <v>26.32</v>
      </c>
      <c r="CQ871" s="2" t="n">
        <v>0</v>
      </c>
      <c r="CR871" s="2" t="n">
        <v>13.9</v>
      </c>
      <c r="CS871" s="2" t="n">
        <v>32.9</v>
      </c>
      <c r="CT871" s="2" t="n">
        <v>0</v>
      </c>
      <c r="CU871" s="2" t="n">
        <v>16.78</v>
      </c>
      <c r="CV871" s="2" t="n">
        <v>35.78</v>
      </c>
      <c r="CW871" s="2" t="n">
        <v>0</v>
      </c>
      <c r="CX871" s="2" t="n">
        <v>19.96</v>
      </c>
      <c r="CY871" s="2" t="n">
        <v>38.96</v>
      </c>
      <c r="CZ871" s="2" t="n">
        <v>0</v>
      </c>
      <c r="DA871" s="2" t="n">
        <v>28.78</v>
      </c>
      <c r="DB871" s="2" t="n">
        <v>47.78</v>
      </c>
      <c r="DC871" s="2" t="n">
        <v>0</v>
      </c>
      <c r="DD871" s="2" t="n">
        <v>35.3</v>
      </c>
      <c r="DE871" s="2" t="n">
        <v>54.3</v>
      </c>
      <c r="DF871" s="2" t="n">
        <v>0</v>
      </c>
      <c r="DG871" s="2" t="n">
        <v>43.33</v>
      </c>
      <c r="DH871" s="2" t="n">
        <v>62.33</v>
      </c>
      <c r="DI871" s="2" t="n">
        <v>0</v>
      </c>
      <c r="DJ871" s="2" t="n">
        <v>53.27</v>
      </c>
      <c r="DK871" s="2" t="n">
        <v>72.27</v>
      </c>
      <c r="DL871" s="2" t="n">
        <v>0</v>
      </c>
      <c r="DM871" s="2" t="n">
        <v>62.85</v>
      </c>
      <c r="DN871" s="2" t="n">
        <v>81.84999999999999</v>
      </c>
      <c r="DO871" s="2" t="n">
        <v>0</v>
      </c>
      <c r="DP871" s="2" t="n">
        <v>68.47</v>
      </c>
      <c r="DQ871" s="2" t="n">
        <v>87.47</v>
      </c>
      <c r="DR871" s="2" t="n">
        <v>0</v>
      </c>
      <c r="DS871" s="2" t="n">
        <v>72.45</v>
      </c>
      <c r="DT871" s="2" t="n">
        <v>91.45</v>
      </c>
      <c r="DU871" s="2" t="n">
        <v>0</v>
      </c>
      <c r="DV871" s="2" t="n">
        <v>75.92</v>
      </c>
      <c r="DW871" s="2" t="n">
        <v>94.92</v>
      </c>
      <c r="DX871" s="2" t="n">
        <v>0</v>
      </c>
      <c r="DY871" s="2" t="n">
        <v>78.18000000000001</v>
      </c>
      <c r="DZ871" s="2" t="n">
        <v>97.18000000000001</v>
      </c>
      <c r="EA871" s="2" t="n">
        <v>0</v>
      </c>
      <c r="EB871" s="2" t="n">
        <v>79.58</v>
      </c>
      <c r="EC871" s="2" t="n">
        <v>98.58</v>
      </c>
      <c r="ED871" s="2" t="n">
        <v>0</v>
      </c>
      <c r="EE871" s="2" t="n">
        <v>80.45999999999999</v>
      </c>
      <c r="EF871" s="2" t="n">
        <v>99.45999999999999</v>
      </c>
      <c r="EG871" s="2" t="n">
        <v>0</v>
      </c>
      <c r="EH871" s="2" t="n">
        <v>81</v>
      </c>
      <c r="EI871" s="2" t="n">
        <v>100</v>
      </c>
      <c r="EJ871" s="2" t="n">
        <v>0</v>
      </c>
      <c r="EK871" s="2" t="n">
        <v>81</v>
      </c>
      <c r="EL871" s="2" t="n">
        <v>100</v>
      </c>
      <c r="EM871" s="2" t="n">
        <v>0</v>
      </c>
      <c r="EN871" s="2" t="n">
        <v>81</v>
      </c>
      <c r="EO871" s="2" t="n">
        <v>100</v>
      </c>
      <c r="EP871" s="2" t="n">
        <v>0</v>
      </c>
      <c r="EQ871" s="2" t="n">
        <v>81</v>
      </c>
      <c r="ER871" s="2" t="n">
        <v>100</v>
      </c>
      <c r="ES871" s="2" t="n">
        <v>0</v>
      </c>
      <c r="ET871" s="2" t="n">
        <v>81</v>
      </c>
      <c r="EU871" s="2" t="n">
        <v>100</v>
      </c>
      <c r="EV871" s="2" t="n">
        <v>0</v>
      </c>
      <c r="EW871" s="2" t="n">
        <v>81</v>
      </c>
      <c r="EX871" s="2" t="n">
        <v>100</v>
      </c>
      <c r="EY871" s="2" t="n">
        <v>0</v>
      </c>
      <c r="EZ871" s="2" t="n">
        <v>81</v>
      </c>
      <c r="FA871" s="2" t="n">
        <v>100</v>
      </c>
      <c r="FB871" s="2" t="n">
        <v>0</v>
      </c>
      <c r="FC871" s="2" t="n">
        <v>81</v>
      </c>
      <c r="FD871" s="2" t="n">
        <v>100</v>
      </c>
      <c r="FE871" s="2" t="n">
        <v>0</v>
      </c>
      <c r="FF871" s="2" t="n">
        <v>81</v>
      </c>
      <c r="FG871" s="2" t="n">
        <v>100</v>
      </c>
      <c r="FH871" s="2" t="n">
        <v>0</v>
      </c>
      <c r="FI871" s="2" t="n">
        <v>81</v>
      </c>
      <c r="FJ871" s="2" t="n">
        <v>100</v>
      </c>
      <c r="FK871" s="2" t="n">
        <v>0</v>
      </c>
      <c r="FL871" s="2" t="n">
        <v>81</v>
      </c>
      <c r="FM871" s="2" t="n">
        <v>100</v>
      </c>
      <c r="FN871" s="2" t="n">
        <v>0</v>
      </c>
      <c r="FO871" s="2" t="n">
        <v>81</v>
      </c>
      <c r="FP871" s="2" t="n">
        <v>100</v>
      </c>
      <c r="FQ871" s="2" t="n">
        <v>0</v>
      </c>
    </row>
    <row r="872">
      <c r="A872" s="2" t="n">
        <v>4</v>
      </c>
      <c r="B872" s="2" t="inlineStr">
        <is>
          <t>32.01.02.02</t>
        </is>
      </c>
      <c r="C872" s="2" t="inlineStr">
        <is>
          <t>Textura acrílica fosca (aplicafda por trás do gradil e muros). Ref.: Terra Fértil; Suvinil.</t>
        </is>
      </c>
      <c r="D872" s="2" t="inlineStr">
        <is>
          <t>15/09/2026</t>
        </is>
      </c>
      <c r="E872" s="2" t="inlineStr">
        <is>
          <t>17/03/2028</t>
        </is>
      </c>
      <c r="F872" s="2" t="n">
        <v>305385.6</v>
      </c>
      <c r="G872" s="2" t="n">
        <v>0</v>
      </c>
      <c r="H872" s="2" t="n">
        <v>305385.6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3.93</v>
      </c>
      <c r="CH872" s="2" t="n">
        <v>0</v>
      </c>
      <c r="CI872" s="2" t="n">
        <v>0.17</v>
      </c>
      <c r="CJ872" s="2" t="n">
        <v>10.98</v>
      </c>
      <c r="CK872" s="2" t="n">
        <v>0</v>
      </c>
      <c r="CL872" s="2" t="n">
        <v>3.59</v>
      </c>
      <c r="CM872" s="2" t="n">
        <v>20.95</v>
      </c>
      <c r="CN872" s="2" t="n">
        <v>0</v>
      </c>
      <c r="CO872" s="2" t="n">
        <v>7.32</v>
      </c>
      <c r="CP872" s="2" t="n">
        <v>26.32</v>
      </c>
      <c r="CQ872" s="2" t="n">
        <v>0</v>
      </c>
      <c r="CR872" s="2" t="n">
        <v>13.9</v>
      </c>
      <c r="CS872" s="2" t="n">
        <v>32.9</v>
      </c>
      <c r="CT872" s="2" t="n">
        <v>0</v>
      </c>
      <c r="CU872" s="2" t="n">
        <v>16.78</v>
      </c>
      <c r="CV872" s="2" t="n">
        <v>35.78</v>
      </c>
      <c r="CW872" s="2" t="n">
        <v>0</v>
      </c>
      <c r="CX872" s="2" t="n">
        <v>19.96</v>
      </c>
      <c r="CY872" s="2" t="n">
        <v>38.96</v>
      </c>
      <c r="CZ872" s="2" t="n">
        <v>0</v>
      </c>
      <c r="DA872" s="2" t="n">
        <v>28.78</v>
      </c>
      <c r="DB872" s="2" t="n">
        <v>47.78</v>
      </c>
      <c r="DC872" s="2" t="n">
        <v>0</v>
      </c>
      <c r="DD872" s="2" t="n">
        <v>35.3</v>
      </c>
      <c r="DE872" s="2" t="n">
        <v>54.3</v>
      </c>
      <c r="DF872" s="2" t="n">
        <v>0</v>
      </c>
      <c r="DG872" s="2" t="n">
        <v>43.33</v>
      </c>
      <c r="DH872" s="2" t="n">
        <v>62.33</v>
      </c>
      <c r="DI872" s="2" t="n">
        <v>0</v>
      </c>
      <c r="DJ872" s="2" t="n">
        <v>53.27</v>
      </c>
      <c r="DK872" s="2" t="n">
        <v>72.27</v>
      </c>
      <c r="DL872" s="2" t="n">
        <v>0</v>
      </c>
      <c r="DM872" s="2" t="n">
        <v>62.85</v>
      </c>
      <c r="DN872" s="2" t="n">
        <v>81.84999999999999</v>
      </c>
      <c r="DO872" s="2" t="n">
        <v>0</v>
      </c>
      <c r="DP872" s="2" t="n">
        <v>68.47</v>
      </c>
      <c r="DQ872" s="2" t="n">
        <v>87.47</v>
      </c>
      <c r="DR872" s="2" t="n">
        <v>0</v>
      </c>
      <c r="DS872" s="2" t="n">
        <v>72.45</v>
      </c>
      <c r="DT872" s="2" t="n">
        <v>91.45</v>
      </c>
      <c r="DU872" s="2" t="n">
        <v>0</v>
      </c>
      <c r="DV872" s="2" t="n">
        <v>75.92</v>
      </c>
      <c r="DW872" s="2" t="n">
        <v>94.92</v>
      </c>
      <c r="DX872" s="2" t="n">
        <v>0</v>
      </c>
      <c r="DY872" s="2" t="n">
        <v>78.18000000000001</v>
      </c>
      <c r="DZ872" s="2" t="n">
        <v>97.18000000000001</v>
      </c>
      <c r="EA872" s="2" t="n">
        <v>0</v>
      </c>
      <c r="EB872" s="2" t="n">
        <v>79.58</v>
      </c>
      <c r="EC872" s="2" t="n">
        <v>98.58</v>
      </c>
      <c r="ED872" s="2" t="n">
        <v>0</v>
      </c>
      <c r="EE872" s="2" t="n">
        <v>80.45999999999999</v>
      </c>
      <c r="EF872" s="2" t="n">
        <v>99.45999999999999</v>
      </c>
      <c r="EG872" s="2" t="n">
        <v>0</v>
      </c>
      <c r="EH872" s="2" t="n">
        <v>81</v>
      </c>
      <c r="EI872" s="2" t="n">
        <v>100</v>
      </c>
      <c r="EJ872" s="2" t="n">
        <v>0</v>
      </c>
      <c r="EK872" s="2" t="n">
        <v>81</v>
      </c>
      <c r="EL872" s="2" t="n">
        <v>100</v>
      </c>
      <c r="EM872" s="2" t="n">
        <v>0</v>
      </c>
      <c r="EN872" s="2" t="n">
        <v>81</v>
      </c>
      <c r="EO872" s="2" t="n">
        <v>100</v>
      </c>
      <c r="EP872" s="2" t="n">
        <v>0</v>
      </c>
      <c r="EQ872" s="2" t="n">
        <v>81</v>
      </c>
      <c r="ER872" s="2" t="n">
        <v>100</v>
      </c>
      <c r="ES872" s="2" t="n">
        <v>0</v>
      </c>
      <c r="ET872" s="2" t="n">
        <v>81</v>
      </c>
      <c r="EU872" s="2" t="n">
        <v>100</v>
      </c>
      <c r="EV872" s="2" t="n">
        <v>0</v>
      </c>
      <c r="EW872" s="2" t="n">
        <v>81</v>
      </c>
      <c r="EX872" s="2" t="n">
        <v>100</v>
      </c>
      <c r="EY872" s="2" t="n">
        <v>0</v>
      </c>
      <c r="EZ872" s="2" t="n">
        <v>81</v>
      </c>
      <c r="FA872" s="2" t="n">
        <v>100</v>
      </c>
      <c r="FB872" s="2" t="n">
        <v>0</v>
      </c>
      <c r="FC872" s="2" t="n">
        <v>81</v>
      </c>
      <c r="FD872" s="2" t="n">
        <v>100</v>
      </c>
      <c r="FE872" s="2" t="n">
        <v>0</v>
      </c>
      <c r="FF872" s="2" t="n">
        <v>81</v>
      </c>
      <c r="FG872" s="2" t="n">
        <v>100</v>
      </c>
      <c r="FH872" s="2" t="n">
        <v>0</v>
      </c>
      <c r="FI872" s="2" t="n">
        <v>81</v>
      </c>
      <c r="FJ872" s="2" t="n">
        <v>100</v>
      </c>
      <c r="FK872" s="2" t="n">
        <v>0</v>
      </c>
      <c r="FL872" s="2" t="n">
        <v>81</v>
      </c>
      <c r="FM872" s="2" t="n">
        <v>100</v>
      </c>
      <c r="FN872" s="2" t="n">
        <v>0</v>
      </c>
      <c r="FO872" s="2" t="n">
        <v>81</v>
      </c>
      <c r="FP872" s="2" t="n">
        <v>100</v>
      </c>
      <c r="FQ872" s="2" t="n">
        <v>0</v>
      </c>
    </row>
    <row r="873">
      <c r="A873" s="2" t="n">
        <v>3</v>
      </c>
      <c r="B873" s="2" t="inlineStr">
        <is>
          <t>32.01.03</t>
        </is>
      </c>
      <c r="C873" s="2" t="inlineStr">
        <is>
          <t>Porcelanatos e pedras</t>
        </is>
      </c>
      <c r="D873" s="2" t="inlineStr">
        <is>
          <t>15/09/2026</t>
        </is>
      </c>
      <c r="E873" s="2" t="inlineStr">
        <is>
          <t>17/03/2028</t>
        </is>
      </c>
      <c r="F873" s="2" t="n">
        <v>5658195.954491761</v>
      </c>
      <c r="G873" s="2" t="n">
        <v>0</v>
      </c>
      <c r="H873" s="2" t="n">
        <v>5658195.954491761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3.93</v>
      </c>
      <c r="CH873" s="2" t="n">
        <v>0</v>
      </c>
      <c r="CI873" s="2" t="n">
        <v>0.17</v>
      </c>
      <c r="CJ873" s="2" t="n">
        <v>10.98</v>
      </c>
      <c r="CK873" s="2" t="n">
        <v>0</v>
      </c>
      <c r="CL873" s="2" t="n">
        <v>3.59</v>
      </c>
      <c r="CM873" s="2" t="n">
        <v>20.95</v>
      </c>
      <c r="CN873" s="2" t="n">
        <v>0</v>
      </c>
      <c r="CO873" s="2" t="n">
        <v>7.32</v>
      </c>
      <c r="CP873" s="2" t="n">
        <v>26.32</v>
      </c>
      <c r="CQ873" s="2" t="n">
        <v>0</v>
      </c>
      <c r="CR873" s="2" t="n">
        <v>13.9</v>
      </c>
      <c r="CS873" s="2" t="n">
        <v>32.9</v>
      </c>
      <c r="CT873" s="2" t="n">
        <v>0</v>
      </c>
      <c r="CU873" s="2" t="n">
        <v>16.78</v>
      </c>
      <c r="CV873" s="2" t="n">
        <v>35.78</v>
      </c>
      <c r="CW873" s="2" t="n">
        <v>0</v>
      </c>
      <c r="CX873" s="2" t="n">
        <v>19.96</v>
      </c>
      <c r="CY873" s="2" t="n">
        <v>38.96</v>
      </c>
      <c r="CZ873" s="2" t="n">
        <v>0</v>
      </c>
      <c r="DA873" s="2" t="n">
        <v>28.78</v>
      </c>
      <c r="DB873" s="2" t="n">
        <v>47.78</v>
      </c>
      <c r="DC873" s="2" t="n">
        <v>0</v>
      </c>
      <c r="DD873" s="2" t="n">
        <v>35.3</v>
      </c>
      <c r="DE873" s="2" t="n">
        <v>54.3</v>
      </c>
      <c r="DF873" s="2" t="n">
        <v>0</v>
      </c>
      <c r="DG873" s="2" t="n">
        <v>43.33</v>
      </c>
      <c r="DH873" s="2" t="n">
        <v>62.33</v>
      </c>
      <c r="DI873" s="2" t="n">
        <v>0</v>
      </c>
      <c r="DJ873" s="2" t="n">
        <v>53.27</v>
      </c>
      <c r="DK873" s="2" t="n">
        <v>72.27</v>
      </c>
      <c r="DL873" s="2" t="n">
        <v>0</v>
      </c>
      <c r="DM873" s="2" t="n">
        <v>62.85</v>
      </c>
      <c r="DN873" s="2" t="n">
        <v>81.84999999999999</v>
      </c>
      <c r="DO873" s="2" t="n">
        <v>0</v>
      </c>
      <c r="DP873" s="2" t="n">
        <v>68.47</v>
      </c>
      <c r="DQ873" s="2" t="n">
        <v>87.47</v>
      </c>
      <c r="DR873" s="2" t="n">
        <v>0</v>
      </c>
      <c r="DS873" s="2" t="n">
        <v>72.45</v>
      </c>
      <c r="DT873" s="2" t="n">
        <v>91.45</v>
      </c>
      <c r="DU873" s="2" t="n">
        <v>0</v>
      </c>
      <c r="DV873" s="2" t="n">
        <v>75.92</v>
      </c>
      <c r="DW873" s="2" t="n">
        <v>94.92</v>
      </c>
      <c r="DX873" s="2" t="n">
        <v>0</v>
      </c>
      <c r="DY873" s="2" t="n">
        <v>78.18000000000001</v>
      </c>
      <c r="DZ873" s="2" t="n">
        <v>97.18000000000001</v>
      </c>
      <c r="EA873" s="2" t="n">
        <v>0</v>
      </c>
      <c r="EB873" s="2" t="n">
        <v>79.58</v>
      </c>
      <c r="EC873" s="2" t="n">
        <v>98.58</v>
      </c>
      <c r="ED873" s="2" t="n">
        <v>0</v>
      </c>
      <c r="EE873" s="2" t="n">
        <v>80.45999999999999</v>
      </c>
      <c r="EF873" s="2" t="n">
        <v>99.45999999999999</v>
      </c>
      <c r="EG873" s="2" t="n">
        <v>0</v>
      </c>
      <c r="EH873" s="2" t="n">
        <v>81</v>
      </c>
      <c r="EI873" s="2" t="n">
        <v>100</v>
      </c>
      <c r="EJ873" s="2" t="n">
        <v>0</v>
      </c>
      <c r="EK873" s="2" t="n">
        <v>81</v>
      </c>
      <c r="EL873" s="2" t="n">
        <v>100</v>
      </c>
      <c r="EM873" s="2" t="n">
        <v>0</v>
      </c>
      <c r="EN873" s="2" t="n">
        <v>81</v>
      </c>
      <c r="EO873" s="2" t="n">
        <v>100</v>
      </c>
      <c r="EP873" s="2" t="n">
        <v>0</v>
      </c>
      <c r="EQ873" s="2" t="n">
        <v>81</v>
      </c>
      <c r="ER873" s="2" t="n">
        <v>100</v>
      </c>
      <c r="ES873" s="2" t="n">
        <v>0</v>
      </c>
      <c r="ET873" s="2" t="n">
        <v>81</v>
      </c>
      <c r="EU873" s="2" t="n">
        <v>100</v>
      </c>
      <c r="EV873" s="2" t="n">
        <v>0</v>
      </c>
      <c r="EW873" s="2" t="n">
        <v>81</v>
      </c>
      <c r="EX873" s="2" t="n">
        <v>100</v>
      </c>
      <c r="EY873" s="2" t="n">
        <v>0</v>
      </c>
      <c r="EZ873" s="2" t="n">
        <v>81</v>
      </c>
      <c r="FA873" s="2" t="n">
        <v>100</v>
      </c>
      <c r="FB873" s="2" t="n">
        <v>0</v>
      </c>
      <c r="FC873" s="2" t="n">
        <v>81</v>
      </c>
      <c r="FD873" s="2" t="n">
        <v>100</v>
      </c>
      <c r="FE873" s="2" t="n">
        <v>0</v>
      </c>
      <c r="FF873" s="2" t="n">
        <v>81</v>
      </c>
      <c r="FG873" s="2" t="n">
        <v>100</v>
      </c>
      <c r="FH873" s="2" t="n">
        <v>0</v>
      </c>
      <c r="FI873" s="2" t="n">
        <v>81</v>
      </c>
      <c r="FJ873" s="2" t="n">
        <v>100</v>
      </c>
      <c r="FK873" s="2" t="n">
        <v>0</v>
      </c>
      <c r="FL873" s="2" t="n">
        <v>81</v>
      </c>
      <c r="FM873" s="2" t="n">
        <v>100</v>
      </c>
      <c r="FN873" s="2" t="n">
        <v>0</v>
      </c>
      <c r="FO873" s="2" t="n">
        <v>81</v>
      </c>
      <c r="FP873" s="2" t="n">
        <v>100</v>
      </c>
      <c r="FQ873" s="2" t="n">
        <v>0</v>
      </c>
    </row>
    <row r="874">
      <c r="A874" s="2" t="n">
        <v>4</v>
      </c>
      <c r="B874" s="2" t="inlineStr">
        <is>
          <t>32.01.03.01</t>
        </is>
      </c>
      <c r="C874" s="2" t="inlineStr">
        <is>
          <t>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4" s="2" t="inlineStr">
        <is>
          <t>15/09/2026</t>
        </is>
      </c>
      <c r="E874" s="2" t="inlineStr">
        <is>
          <t>17/03/2028</t>
        </is>
      </c>
      <c r="F874" s="2" t="n">
        <v>4252956.061950324</v>
      </c>
      <c r="G874" s="2" t="n">
        <v>0</v>
      </c>
      <c r="H874" s="2" t="n">
        <v>4252956.061950324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3.93</v>
      </c>
      <c r="CH874" s="2" t="n">
        <v>0</v>
      </c>
      <c r="CI874" s="2" t="n">
        <v>0.17</v>
      </c>
      <c r="CJ874" s="2" t="n">
        <v>10.98</v>
      </c>
      <c r="CK874" s="2" t="n">
        <v>0</v>
      </c>
      <c r="CL874" s="2" t="n">
        <v>3.59</v>
      </c>
      <c r="CM874" s="2" t="n">
        <v>20.95</v>
      </c>
      <c r="CN874" s="2" t="n">
        <v>0</v>
      </c>
      <c r="CO874" s="2" t="n">
        <v>7.32</v>
      </c>
      <c r="CP874" s="2" t="n">
        <v>26.32</v>
      </c>
      <c r="CQ874" s="2" t="n">
        <v>0</v>
      </c>
      <c r="CR874" s="2" t="n">
        <v>13.9</v>
      </c>
      <c r="CS874" s="2" t="n">
        <v>32.9</v>
      </c>
      <c r="CT874" s="2" t="n">
        <v>0</v>
      </c>
      <c r="CU874" s="2" t="n">
        <v>16.78</v>
      </c>
      <c r="CV874" s="2" t="n">
        <v>35.78</v>
      </c>
      <c r="CW874" s="2" t="n">
        <v>0</v>
      </c>
      <c r="CX874" s="2" t="n">
        <v>19.96</v>
      </c>
      <c r="CY874" s="2" t="n">
        <v>38.96</v>
      </c>
      <c r="CZ874" s="2" t="n">
        <v>0</v>
      </c>
      <c r="DA874" s="2" t="n">
        <v>28.78</v>
      </c>
      <c r="DB874" s="2" t="n">
        <v>47.78</v>
      </c>
      <c r="DC874" s="2" t="n">
        <v>0</v>
      </c>
      <c r="DD874" s="2" t="n">
        <v>35.3</v>
      </c>
      <c r="DE874" s="2" t="n">
        <v>54.3</v>
      </c>
      <c r="DF874" s="2" t="n">
        <v>0</v>
      </c>
      <c r="DG874" s="2" t="n">
        <v>43.33</v>
      </c>
      <c r="DH874" s="2" t="n">
        <v>62.33</v>
      </c>
      <c r="DI874" s="2" t="n">
        <v>0</v>
      </c>
      <c r="DJ874" s="2" t="n">
        <v>53.27</v>
      </c>
      <c r="DK874" s="2" t="n">
        <v>72.27</v>
      </c>
      <c r="DL874" s="2" t="n">
        <v>0</v>
      </c>
      <c r="DM874" s="2" t="n">
        <v>62.85</v>
      </c>
      <c r="DN874" s="2" t="n">
        <v>81.84999999999999</v>
      </c>
      <c r="DO874" s="2" t="n">
        <v>0</v>
      </c>
      <c r="DP874" s="2" t="n">
        <v>68.47</v>
      </c>
      <c r="DQ874" s="2" t="n">
        <v>87.47</v>
      </c>
      <c r="DR874" s="2" t="n">
        <v>0</v>
      </c>
      <c r="DS874" s="2" t="n">
        <v>72.45</v>
      </c>
      <c r="DT874" s="2" t="n">
        <v>91.45</v>
      </c>
      <c r="DU874" s="2" t="n">
        <v>0</v>
      </c>
      <c r="DV874" s="2" t="n">
        <v>75.92</v>
      </c>
      <c r="DW874" s="2" t="n">
        <v>94.92</v>
      </c>
      <c r="DX874" s="2" t="n">
        <v>0</v>
      </c>
      <c r="DY874" s="2" t="n">
        <v>78.18000000000001</v>
      </c>
      <c r="DZ874" s="2" t="n">
        <v>97.18000000000001</v>
      </c>
      <c r="EA874" s="2" t="n">
        <v>0</v>
      </c>
      <c r="EB874" s="2" t="n">
        <v>79.58</v>
      </c>
      <c r="EC874" s="2" t="n">
        <v>98.58</v>
      </c>
      <c r="ED874" s="2" t="n">
        <v>0</v>
      </c>
      <c r="EE874" s="2" t="n">
        <v>80.45999999999999</v>
      </c>
      <c r="EF874" s="2" t="n">
        <v>99.45999999999999</v>
      </c>
      <c r="EG874" s="2" t="n">
        <v>0</v>
      </c>
      <c r="EH874" s="2" t="n">
        <v>81</v>
      </c>
      <c r="EI874" s="2" t="n">
        <v>100</v>
      </c>
      <c r="EJ874" s="2" t="n">
        <v>0</v>
      </c>
      <c r="EK874" s="2" t="n">
        <v>81</v>
      </c>
      <c r="EL874" s="2" t="n">
        <v>100</v>
      </c>
      <c r="EM874" s="2" t="n">
        <v>0</v>
      </c>
      <c r="EN874" s="2" t="n">
        <v>81</v>
      </c>
      <c r="EO874" s="2" t="n">
        <v>100</v>
      </c>
      <c r="EP874" s="2" t="n">
        <v>0</v>
      </c>
      <c r="EQ874" s="2" t="n">
        <v>81</v>
      </c>
      <c r="ER874" s="2" t="n">
        <v>100</v>
      </c>
      <c r="ES874" s="2" t="n">
        <v>0</v>
      </c>
      <c r="ET874" s="2" t="n">
        <v>81</v>
      </c>
      <c r="EU874" s="2" t="n">
        <v>100</v>
      </c>
      <c r="EV874" s="2" t="n">
        <v>0</v>
      </c>
      <c r="EW874" s="2" t="n">
        <v>81</v>
      </c>
      <c r="EX874" s="2" t="n">
        <v>100</v>
      </c>
      <c r="EY874" s="2" t="n">
        <v>0</v>
      </c>
      <c r="EZ874" s="2" t="n">
        <v>81</v>
      </c>
      <c r="FA874" s="2" t="n">
        <v>100</v>
      </c>
      <c r="FB874" s="2" t="n">
        <v>0</v>
      </c>
      <c r="FC874" s="2" t="n">
        <v>81</v>
      </c>
      <c r="FD874" s="2" t="n">
        <v>100</v>
      </c>
      <c r="FE874" s="2" t="n">
        <v>0</v>
      </c>
      <c r="FF874" s="2" t="n">
        <v>81</v>
      </c>
      <c r="FG874" s="2" t="n">
        <v>100</v>
      </c>
      <c r="FH874" s="2" t="n">
        <v>0</v>
      </c>
      <c r="FI874" s="2" t="n">
        <v>81</v>
      </c>
      <c r="FJ874" s="2" t="n">
        <v>100</v>
      </c>
      <c r="FK874" s="2" t="n">
        <v>0</v>
      </c>
      <c r="FL874" s="2" t="n">
        <v>81</v>
      </c>
      <c r="FM874" s="2" t="n">
        <v>100</v>
      </c>
      <c r="FN874" s="2" t="n">
        <v>0</v>
      </c>
      <c r="FO874" s="2" t="n">
        <v>81</v>
      </c>
      <c r="FP874" s="2" t="n">
        <v>100</v>
      </c>
      <c r="FQ874" s="2" t="n">
        <v>0</v>
      </c>
    </row>
    <row r="875">
      <c r="A875" s="2" t="n">
        <v>4</v>
      </c>
      <c r="B875" s="2" t="inlineStr">
        <is>
          <t>32.01.03.02</t>
        </is>
      </c>
      <c r="C875" s="2" t="inlineStr">
        <is>
          <t>Espalas para 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5" s="2" t="inlineStr">
        <is>
          <t>15/09/2026</t>
        </is>
      </c>
      <c r="E875" s="2" t="inlineStr">
        <is>
          <t>17/03/2028</t>
        </is>
      </c>
      <c r="F875" s="2" t="n">
        <v>415487.2541298769</v>
      </c>
      <c r="G875" s="2" t="n">
        <v>0</v>
      </c>
      <c r="H875" s="2" t="n">
        <v>415487.2541298769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3.93</v>
      </c>
      <c r="CH875" s="2" t="n">
        <v>0</v>
      </c>
      <c r="CI875" s="2" t="n">
        <v>0.17</v>
      </c>
      <c r="CJ875" s="2" t="n">
        <v>10.98</v>
      </c>
      <c r="CK875" s="2" t="n">
        <v>0</v>
      </c>
      <c r="CL875" s="2" t="n">
        <v>3.59</v>
      </c>
      <c r="CM875" s="2" t="n">
        <v>20.95</v>
      </c>
      <c r="CN875" s="2" t="n">
        <v>0</v>
      </c>
      <c r="CO875" s="2" t="n">
        <v>7.32</v>
      </c>
      <c r="CP875" s="2" t="n">
        <v>26.32</v>
      </c>
      <c r="CQ875" s="2" t="n">
        <v>0</v>
      </c>
      <c r="CR875" s="2" t="n">
        <v>13.9</v>
      </c>
      <c r="CS875" s="2" t="n">
        <v>32.9</v>
      </c>
      <c r="CT875" s="2" t="n">
        <v>0</v>
      </c>
      <c r="CU875" s="2" t="n">
        <v>16.78</v>
      </c>
      <c r="CV875" s="2" t="n">
        <v>35.78</v>
      </c>
      <c r="CW875" s="2" t="n">
        <v>0</v>
      </c>
      <c r="CX875" s="2" t="n">
        <v>19.96</v>
      </c>
      <c r="CY875" s="2" t="n">
        <v>38.96</v>
      </c>
      <c r="CZ875" s="2" t="n">
        <v>0</v>
      </c>
      <c r="DA875" s="2" t="n">
        <v>28.78</v>
      </c>
      <c r="DB875" s="2" t="n">
        <v>47.78</v>
      </c>
      <c r="DC875" s="2" t="n">
        <v>0</v>
      </c>
      <c r="DD875" s="2" t="n">
        <v>35.3</v>
      </c>
      <c r="DE875" s="2" t="n">
        <v>54.3</v>
      </c>
      <c r="DF875" s="2" t="n">
        <v>0</v>
      </c>
      <c r="DG875" s="2" t="n">
        <v>43.33</v>
      </c>
      <c r="DH875" s="2" t="n">
        <v>62.33</v>
      </c>
      <c r="DI875" s="2" t="n">
        <v>0</v>
      </c>
      <c r="DJ875" s="2" t="n">
        <v>53.27</v>
      </c>
      <c r="DK875" s="2" t="n">
        <v>72.27</v>
      </c>
      <c r="DL875" s="2" t="n">
        <v>0</v>
      </c>
      <c r="DM875" s="2" t="n">
        <v>62.85</v>
      </c>
      <c r="DN875" s="2" t="n">
        <v>81.84999999999999</v>
      </c>
      <c r="DO875" s="2" t="n">
        <v>0</v>
      </c>
      <c r="DP875" s="2" t="n">
        <v>68.47</v>
      </c>
      <c r="DQ875" s="2" t="n">
        <v>87.47</v>
      </c>
      <c r="DR875" s="2" t="n">
        <v>0</v>
      </c>
      <c r="DS875" s="2" t="n">
        <v>72.45</v>
      </c>
      <c r="DT875" s="2" t="n">
        <v>91.45</v>
      </c>
      <c r="DU875" s="2" t="n">
        <v>0</v>
      </c>
      <c r="DV875" s="2" t="n">
        <v>75.92</v>
      </c>
      <c r="DW875" s="2" t="n">
        <v>94.92</v>
      </c>
      <c r="DX875" s="2" t="n">
        <v>0</v>
      </c>
      <c r="DY875" s="2" t="n">
        <v>78.18000000000001</v>
      </c>
      <c r="DZ875" s="2" t="n">
        <v>97.18000000000001</v>
      </c>
      <c r="EA875" s="2" t="n">
        <v>0</v>
      </c>
      <c r="EB875" s="2" t="n">
        <v>79.58</v>
      </c>
      <c r="EC875" s="2" t="n">
        <v>98.58</v>
      </c>
      <c r="ED875" s="2" t="n">
        <v>0</v>
      </c>
      <c r="EE875" s="2" t="n">
        <v>80.45999999999999</v>
      </c>
      <c r="EF875" s="2" t="n">
        <v>99.45999999999999</v>
      </c>
      <c r="EG875" s="2" t="n">
        <v>0</v>
      </c>
      <c r="EH875" s="2" t="n">
        <v>81</v>
      </c>
      <c r="EI875" s="2" t="n">
        <v>100</v>
      </c>
      <c r="EJ875" s="2" t="n">
        <v>0</v>
      </c>
      <c r="EK875" s="2" t="n">
        <v>81</v>
      </c>
      <c r="EL875" s="2" t="n">
        <v>100</v>
      </c>
      <c r="EM875" s="2" t="n">
        <v>0</v>
      </c>
      <c r="EN875" s="2" t="n">
        <v>81</v>
      </c>
      <c r="EO875" s="2" t="n">
        <v>100</v>
      </c>
      <c r="EP875" s="2" t="n">
        <v>0</v>
      </c>
      <c r="EQ875" s="2" t="n">
        <v>81</v>
      </c>
      <c r="ER875" s="2" t="n">
        <v>100</v>
      </c>
      <c r="ES875" s="2" t="n">
        <v>0</v>
      </c>
      <c r="ET875" s="2" t="n">
        <v>81</v>
      </c>
      <c r="EU875" s="2" t="n">
        <v>100</v>
      </c>
      <c r="EV875" s="2" t="n">
        <v>0</v>
      </c>
      <c r="EW875" s="2" t="n">
        <v>81</v>
      </c>
      <c r="EX875" s="2" t="n">
        <v>100</v>
      </c>
      <c r="EY875" s="2" t="n">
        <v>0</v>
      </c>
      <c r="EZ875" s="2" t="n">
        <v>81</v>
      </c>
      <c r="FA875" s="2" t="n">
        <v>100</v>
      </c>
      <c r="FB875" s="2" t="n">
        <v>0</v>
      </c>
      <c r="FC875" s="2" t="n">
        <v>81</v>
      </c>
      <c r="FD875" s="2" t="n">
        <v>100</v>
      </c>
      <c r="FE875" s="2" t="n">
        <v>0</v>
      </c>
      <c r="FF875" s="2" t="n">
        <v>81</v>
      </c>
      <c r="FG875" s="2" t="n">
        <v>100</v>
      </c>
      <c r="FH875" s="2" t="n">
        <v>0</v>
      </c>
      <c r="FI875" s="2" t="n">
        <v>81</v>
      </c>
      <c r="FJ875" s="2" t="n">
        <v>100</v>
      </c>
      <c r="FK875" s="2" t="n">
        <v>0</v>
      </c>
      <c r="FL875" s="2" t="n">
        <v>81</v>
      </c>
      <c r="FM875" s="2" t="n">
        <v>100</v>
      </c>
      <c r="FN875" s="2" t="n">
        <v>0</v>
      </c>
      <c r="FO875" s="2" t="n">
        <v>81</v>
      </c>
      <c r="FP875" s="2" t="n">
        <v>100</v>
      </c>
      <c r="FQ875" s="2" t="n">
        <v>0</v>
      </c>
    </row>
    <row r="876">
      <c r="A876" s="2" t="n">
        <v>4</v>
      </c>
      <c r="B876" s="2" t="inlineStr">
        <is>
          <t>32.01.03.03</t>
        </is>
      </c>
      <c r="C876" s="2" t="inlineStr">
        <is>
          <t>Sistema de fachada aerada em placas de granito preto são gabriel polido (verde ubatuba),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6" s="2" t="inlineStr">
        <is>
          <t>15/09/2026</t>
        </is>
      </c>
      <c r="E876" s="2" t="inlineStr">
        <is>
          <t>17/03/2028</t>
        </is>
      </c>
      <c r="F876" s="2" t="n">
        <v>904333.1860002291</v>
      </c>
      <c r="G876" s="2" t="n">
        <v>0</v>
      </c>
      <c r="H876" s="2" t="n">
        <v>904333.1860002291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3.93</v>
      </c>
      <c r="CH876" s="2" t="n">
        <v>0</v>
      </c>
      <c r="CI876" s="2" t="n">
        <v>0.17</v>
      </c>
      <c r="CJ876" s="2" t="n">
        <v>10.98</v>
      </c>
      <c r="CK876" s="2" t="n">
        <v>0</v>
      </c>
      <c r="CL876" s="2" t="n">
        <v>3.59</v>
      </c>
      <c r="CM876" s="2" t="n">
        <v>20.95</v>
      </c>
      <c r="CN876" s="2" t="n">
        <v>0</v>
      </c>
      <c r="CO876" s="2" t="n">
        <v>7.32</v>
      </c>
      <c r="CP876" s="2" t="n">
        <v>26.32</v>
      </c>
      <c r="CQ876" s="2" t="n">
        <v>0</v>
      </c>
      <c r="CR876" s="2" t="n">
        <v>13.9</v>
      </c>
      <c r="CS876" s="2" t="n">
        <v>32.9</v>
      </c>
      <c r="CT876" s="2" t="n">
        <v>0</v>
      </c>
      <c r="CU876" s="2" t="n">
        <v>16.78</v>
      </c>
      <c r="CV876" s="2" t="n">
        <v>35.78</v>
      </c>
      <c r="CW876" s="2" t="n">
        <v>0</v>
      </c>
      <c r="CX876" s="2" t="n">
        <v>19.96</v>
      </c>
      <c r="CY876" s="2" t="n">
        <v>38.96</v>
      </c>
      <c r="CZ876" s="2" t="n">
        <v>0</v>
      </c>
      <c r="DA876" s="2" t="n">
        <v>28.78</v>
      </c>
      <c r="DB876" s="2" t="n">
        <v>47.78</v>
      </c>
      <c r="DC876" s="2" t="n">
        <v>0</v>
      </c>
      <c r="DD876" s="2" t="n">
        <v>35.3</v>
      </c>
      <c r="DE876" s="2" t="n">
        <v>54.3</v>
      </c>
      <c r="DF876" s="2" t="n">
        <v>0</v>
      </c>
      <c r="DG876" s="2" t="n">
        <v>43.33</v>
      </c>
      <c r="DH876" s="2" t="n">
        <v>62.33</v>
      </c>
      <c r="DI876" s="2" t="n">
        <v>0</v>
      </c>
      <c r="DJ876" s="2" t="n">
        <v>53.27</v>
      </c>
      <c r="DK876" s="2" t="n">
        <v>72.27</v>
      </c>
      <c r="DL876" s="2" t="n">
        <v>0</v>
      </c>
      <c r="DM876" s="2" t="n">
        <v>62.85</v>
      </c>
      <c r="DN876" s="2" t="n">
        <v>81.84999999999999</v>
      </c>
      <c r="DO876" s="2" t="n">
        <v>0</v>
      </c>
      <c r="DP876" s="2" t="n">
        <v>68.47</v>
      </c>
      <c r="DQ876" s="2" t="n">
        <v>87.47</v>
      </c>
      <c r="DR876" s="2" t="n">
        <v>0</v>
      </c>
      <c r="DS876" s="2" t="n">
        <v>72.45</v>
      </c>
      <c r="DT876" s="2" t="n">
        <v>91.45</v>
      </c>
      <c r="DU876" s="2" t="n">
        <v>0</v>
      </c>
      <c r="DV876" s="2" t="n">
        <v>75.92</v>
      </c>
      <c r="DW876" s="2" t="n">
        <v>94.92</v>
      </c>
      <c r="DX876" s="2" t="n">
        <v>0</v>
      </c>
      <c r="DY876" s="2" t="n">
        <v>78.18000000000001</v>
      </c>
      <c r="DZ876" s="2" t="n">
        <v>97.18000000000001</v>
      </c>
      <c r="EA876" s="2" t="n">
        <v>0</v>
      </c>
      <c r="EB876" s="2" t="n">
        <v>79.58</v>
      </c>
      <c r="EC876" s="2" t="n">
        <v>98.58</v>
      </c>
      <c r="ED876" s="2" t="n">
        <v>0</v>
      </c>
      <c r="EE876" s="2" t="n">
        <v>80.45999999999999</v>
      </c>
      <c r="EF876" s="2" t="n">
        <v>99.45999999999999</v>
      </c>
      <c r="EG876" s="2" t="n">
        <v>0</v>
      </c>
      <c r="EH876" s="2" t="n">
        <v>81</v>
      </c>
      <c r="EI876" s="2" t="n">
        <v>100</v>
      </c>
      <c r="EJ876" s="2" t="n">
        <v>0</v>
      </c>
      <c r="EK876" s="2" t="n">
        <v>81</v>
      </c>
      <c r="EL876" s="2" t="n">
        <v>100</v>
      </c>
      <c r="EM876" s="2" t="n">
        <v>0</v>
      </c>
      <c r="EN876" s="2" t="n">
        <v>81</v>
      </c>
      <c r="EO876" s="2" t="n">
        <v>100</v>
      </c>
      <c r="EP876" s="2" t="n">
        <v>0</v>
      </c>
      <c r="EQ876" s="2" t="n">
        <v>81</v>
      </c>
      <c r="ER876" s="2" t="n">
        <v>100</v>
      </c>
      <c r="ES876" s="2" t="n">
        <v>0</v>
      </c>
      <c r="ET876" s="2" t="n">
        <v>81</v>
      </c>
      <c r="EU876" s="2" t="n">
        <v>100</v>
      </c>
      <c r="EV876" s="2" t="n">
        <v>0</v>
      </c>
      <c r="EW876" s="2" t="n">
        <v>81</v>
      </c>
      <c r="EX876" s="2" t="n">
        <v>100</v>
      </c>
      <c r="EY876" s="2" t="n">
        <v>0</v>
      </c>
      <c r="EZ876" s="2" t="n">
        <v>81</v>
      </c>
      <c r="FA876" s="2" t="n">
        <v>100</v>
      </c>
      <c r="FB876" s="2" t="n">
        <v>0</v>
      </c>
      <c r="FC876" s="2" t="n">
        <v>81</v>
      </c>
      <c r="FD876" s="2" t="n">
        <v>100</v>
      </c>
      <c r="FE876" s="2" t="n">
        <v>0</v>
      </c>
      <c r="FF876" s="2" t="n">
        <v>81</v>
      </c>
      <c r="FG876" s="2" t="n">
        <v>100</v>
      </c>
      <c r="FH876" s="2" t="n">
        <v>0</v>
      </c>
      <c r="FI876" s="2" t="n">
        <v>81</v>
      </c>
      <c r="FJ876" s="2" t="n">
        <v>100</v>
      </c>
      <c r="FK876" s="2" t="n">
        <v>0</v>
      </c>
      <c r="FL876" s="2" t="n">
        <v>81</v>
      </c>
      <c r="FM876" s="2" t="n">
        <v>100</v>
      </c>
      <c r="FN876" s="2" t="n">
        <v>0</v>
      </c>
      <c r="FO876" s="2" t="n">
        <v>81</v>
      </c>
      <c r="FP876" s="2" t="n">
        <v>100</v>
      </c>
      <c r="FQ876" s="2" t="n">
        <v>0</v>
      </c>
    </row>
    <row r="877">
      <c r="A877" s="2" t="n">
        <v>4</v>
      </c>
      <c r="B877" s="2" t="inlineStr">
        <is>
          <t>32.01.03.04</t>
        </is>
      </c>
      <c r="C877" s="2" t="inlineStr">
        <is>
          <t>Espalas para sistema de fachada aerada em placas de granito verde ubatuba,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7" s="2" t="inlineStr">
        <is>
          <t>15/09/2026</t>
        </is>
      </c>
      <c r="E877" s="2" t="inlineStr">
        <is>
          <t>17/03/2028</t>
        </is>
      </c>
      <c r="F877" s="2" t="n">
        <v>85419.45241133007</v>
      </c>
      <c r="G877" s="2" t="n">
        <v>0</v>
      </c>
      <c r="H877" s="2" t="n">
        <v>85419.45241133007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3.93</v>
      </c>
      <c r="CH877" s="2" t="n">
        <v>0</v>
      </c>
      <c r="CI877" s="2" t="n">
        <v>0.17</v>
      </c>
      <c r="CJ877" s="2" t="n">
        <v>10.98</v>
      </c>
      <c r="CK877" s="2" t="n">
        <v>0</v>
      </c>
      <c r="CL877" s="2" t="n">
        <v>3.59</v>
      </c>
      <c r="CM877" s="2" t="n">
        <v>20.95</v>
      </c>
      <c r="CN877" s="2" t="n">
        <v>0</v>
      </c>
      <c r="CO877" s="2" t="n">
        <v>7.32</v>
      </c>
      <c r="CP877" s="2" t="n">
        <v>26.32</v>
      </c>
      <c r="CQ877" s="2" t="n">
        <v>0</v>
      </c>
      <c r="CR877" s="2" t="n">
        <v>13.9</v>
      </c>
      <c r="CS877" s="2" t="n">
        <v>32.9</v>
      </c>
      <c r="CT877" s="2" t="n">
        <v>0</v>
      </c>
      <c r="CU877" s="2" t="n">
        <v>16.78</v>
      </c>
      <c r="CV877" s="2" t="n">
        <v>35.78</v>
      </c>
      <c r="CW877" s="2" t="n">
        <v>0</v>
      </c>
      <c r="CX877" s="2" t="n">
        <v>19.96</v>
      </c>
      <c r="CY877" s="2" t="n">
        <v>38.96</v>
      </c>
      <c r="CZ877" s="2" t="n">
        <v>0</v>
      </c>
      <c r="DA877" s="2" t="n">
        <v>28.78</v>
      </c>
      <c r="DB877" s="2" t="n">
        <v>47.78</v>
      </c>
      <c r="DC877" s="2" t="n">
        <v>0</v>
      </c>
      <c r="DD877" s="2" t="n">
        <v>35.3</v>
      </c>
      <c r="DE877" s="2" t="n">
        <v>54.3</v>
      </c>
      <c r="DF877" s="2" t="n">
        <v>0</v>
      </c>
      <c r="DG877" s="2" t="n">
        <v>43.33</v>
      </c>
      <c r="DH877" s="2" t="n">
        <v>62.33</v>
      </c>
      <c r="DI877" s="2" t="n">
        <v>0</v>
      </c>
      <c r="DJ877" s="2" t="n">
        <v>53.27</v>
      </c>
      <c r="DK877" s="2" t="n">
        <v>72.27</v>
      </c>
      <c r="DL877" s="2" t="n">
        <v>0</v>
      </c>
      <c r="DM877" s="2" t="n">
        <v>62.85</v>
      </c>
      <c r="DN877" s="2" t="n">
        <v>81.84999999999999</v>
      </c>
      <c r="DO877" s="2" t="n">
        <v>0</v>
      </c>
      <c r="DP877" s="2" t="n">
        <v>68.47</v>
      </c>
      <c r="DQ877" s="2" t="n">
        <v>87.47</v>
      </c>
      <c r="DR877" s="2" t="n">
        <v>0</v>
      </c>
      <c r="DS877" s="2" t="n">
        <v>72.45</v>
      </c>
      <c r="DT877" s="2" t="n">
        <v>91.45</v>
      </c>
      <c r="DU877" s="2" t="n">
        <v>0</v>
      </c>
      <c r="DV877" s="2" t="n">
        <v>75.92</v>
      </c>
      <c r="DW877" s="2" t="n">
        <v>94.92</v>
      </c>
      <c r="DX877" s="2" t="n">
        <v>0</v>
      </c>
      <c r="DY877" s="2" t="n">
        <v>78.18000000000001</v>
      </c>
      <c r="DZ877" s="2" t="n">
        <v>97.18000000000001</v>
      </c>
      <c r="EA877" s="2" t="n">
        <v>0</v>
      </c>
      <c r="EB877" s="2" t="n">
        <v>79.58</v>
      </c>
      <c r="EC877" s="2" t="n">
        <v>98.58</v>
      </c>
      <c r="ED877" s="2" t="n">
        <v>0</v>
      </c>
      <c r="EE877" s="2" t="n">
        <v>80.45999999999999</v>
      </c>
      <c r="EF877" s="2" t="n">
        <v>99.45999999999999</v>
      </c>
      <c r="EG877" s="2" t="n">
        <v>0</v>
      </c>
      <c r="EH877" s="2" t="n">
        <v>81</v>
      </c>
      <c r="EI877" s="2" t="n">
        <v>100</v>
      </c>
      <c r="EJ877" s="2" t="n">
        <v>0</v>
      </c>
      <c r="EK877" s="2" t="n">
        <v>81</v>
      </c>
      <c r="EL877" s="2" t="n">
        <v>100</v>
      </c>
      <c r="EM877" s="2" t="n">
        <v>0</v>
      </c>
      <c r="EN877" s="2" t="n">
        <v>81</v>
      </c>
      <c r="EO877" s="2" t="n">
        <v>100</v>
      </c>
      <c r="EP877" s="2" t="n">
        <v>0</v>
      </c>
      <c r="EQ877" s="2" t="n">
        <v>81</v>
      </c>
      <c r="ER877" s="2" t="n">
        <v>100</v>
      </c>
      <c r="ES877" s="2" t="n">
        <v>0</v>
      </c>
      <c r="ET877" s="2" t="n">
        <v>81</v>
      </c>
      <c r="EU877" s="2" t="n">
        <v>100</v>
      </c>
      <c r="EV877" s="2" t="n">
        <v>0</v>
      </c>
      <c r="EW877" s="2" t="n">
        <v>81</v>
      </c>
      <c r="EX877" s="2" t="n">
        <v>100</v>
      </c>
      <c r="EY877" s="2" t="n">
        <v>0</v>
      </c>
      <c r="EZ877" s="2" t="n">
        <v>81</v>
      </c>
      <c r="FA877" s="2" t="n">
        <v>100</v>
      </c>
      <c r="FB877" s="2" t="n">
        <v>0</v>
      </c>
      <c r="FC877" s="2" t="n">
        <v>81</v>
      </c>
      <c r="FD877" s="2" t="n">
        <v>100</v>
      </c>
      <c r="FE877" s="2" t="n">
        <v>0</v>
      </c>
      <c r="FF877" s="2" t="n">
        <v>81</v>
      </c>
      <c r="FG877" s="2" t="n">
        <v>100</v>
      </c>
      <c r="FH877" s="2" t="n">
        <v>0</v>
      </c>
      <c r="FI877" s="2" t="n">
        <v>81</v>
      </c>
      <c r="FJ877" s="2" t="n">
        <v>100</v>
      </c>
      <c r="FK877" s="2" t="n">
        <v>0</v>
      </c>
      <c r="FL877" s="2" t="n">
        <v>81</v>
      </c>
      <c r="FM877" s="2" t="n">
        <v>100</v>
      </c>
      <c r="FN877" s="2" t="n">
        <v>0</v>
      </c>
      <c r="FO877" s="2" t="n">
        <v>81</v>
      </c>
      <c r="FP877" s="2" t="n">
        <v>100</v>
      </c>
      <c r="FQ877" s="2" t="n">
        <v>0</v>
      </c>
    </row>
    <row r="878">
      <c r="A878" s="2" t="n">
        <v>3</v>
      </c>
      <c r="B878" s="2" t="inlineStr">
        <is>
          <t>32.01.04</t>
        </is>
      </c>
      <c r="C878" s="2" t="inlineStr">
        <is>
          <t>Caixilharia especial para composição de fachadas</t>
        </is>
      </c>
      <c r="D878" s="2" t="inlineStr">
        <is>
          <t>15/09/2026</t>
        </is>
      </c>
      <c r="E878" s="2" t="inlineStr">
        <is>
          <t>17/03/2028</t>
        </is>
      </c>
      <c r="F878" s="2" t="n">
        <v>602044.2999999999</v>
      </c>
      <c r="G878" s="2" t="n">
        <v>0</v>
      </c>
      <c r="H878" s="2" t="n">
        <v>602044.2999999999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3.93</v>
      </c>
      <c r="CH878" s="2" t="n">
        <v>0</v>
      </c>
      <c r="CI878" s="2" t="n">
        <v>0.17</v>
      </c>
      <c r="CJ878" s="2" t="n">
        <v>10.98</v>
      </c>
      <c r="CK878" s="2" t="n">
        <v>0</v>
      </c>
      <c r="CL878" s="2" t="n">
        <v>3.59</v>
      </c>
      <c r="CM878" s="2" t="n">
        <v>20.95</v>
      </c>
      <c r="CN878" s="2" t="n">
        <v>0</v>
      </c>
      <c r="CO878" s="2" t="n">
        <v>7.32</v>
      </c>
      <c r="CP878" s="2" t="n">
        <v>26.32</v>
      </c>
      <c r="CQ878" s="2" t="n">
        <v>0</v>
      </c>
      <c r="CR878" s="2" t="n">
        <v>13.9</v>
      </c>
      <c r="CS878" s="2" t="n">
        <v>32.9</v>
      </c>
      <c r="CT878" s="2" t="n">
        <v>0</v>
      </c>
      <c r="CU878" s="2" t="n">
        <v>16.78</v>
      </c>
      <c r="CV878" s="2" t="n">
        <v>35.78</v>
      </c>
      <c r="CW878" s="2" t="n">
        <v>0</v>
      </c>
      <c r="CX878" s="2" t="n">
        <v>19.96</v>
      </c>
      <c r="CY878" s="2" t="n">
        <v>38.96</v>
      </c>
      <c r="CZ878" s="2" t="n">
        <v>0</v>
      </c>
      <c r="DA878" s="2" t="n">
        <v>28.78</v>
      </c>
      <c r="DB878" s="2" t="n">
        <v>47.78</v>
      </c>
      <c r="DC878" s="2" t="n">
        <v>0</v>
      </c>
      <c r="DD878" s="2" t="n">
        <v>35.3</v>
      </c>
      <c r="DE878" s="2" t="n">
        <v>54.3</v>
      </c>
      <c r="DF878" s="2" t="n">
        <v>0</v>
      </c>
      <c r="DG878" s="2" t="n">
        <v>43.33</v>
      </c>
      <c r="DH878" s="2" t="n">
        <v>62.33</v>
      </c>
      <c r="DI878" s="2" t="n">
        <v>0</v>
      </c>
      <c r="DJ878" s="2" t="n">
        <v>53.27</v>
      </c>
      <c r="DK878" s="2" t="n">
        <v>72.27</v>
      </c>
      <c r="DL878" s="2" t="n">
        <v>0</v>
      </c>
      <c r="DM878" s="2" t="n">
        <v>62.85</v>
      </c>
      <c r="DN878" s="2" t="n">
        <v>81.84999999999999</v>
      </c>
      <c r="DO878" s="2" t="n">
        <v>0</v>
      </c>
      <c r="DP878" s="2" t="n">
        <v>68.47</v>
      </c>
      <c r="DQ878" s="2" t="n">
        <v>87.47</v>
      </c>
      <c r="DR878" s="2" t="n">
        <v>0</v>
      </c>
      <c r="DS878" s="2" t="n">
        <v>72.45</v>
      </c>
      <c r="DT878" s="2" t="n">
        <v>91.45</v>
      </c>
      <c r="DU878" s="2" t="n">
        <v>0</v>
      </c>
      <c r="DV878" s="2" t="n">
        <v>75.92</v>
      </c>
      <c r="DW878" s="2" t="n">
        <v>94.92</v>
      </c>
      <c r="DX878" s="2" t="n">
        <v>0</v>
      </c>
      <c r="DY878" s="2" t="n">
        <v>78.18000000000001</v>
      </c>
      <c r="DZ878" s="2" t="n">
        <v>97.18000000000001</v>
      </c>
      <c r="EA878" s="2" t="n">
        <v>0</v>
      </c>
      <c r="EB878" s="2" t="n">
        <v>79.58</v>
      </c>
      <c r="EC878" s="2" t="n">
        <v>98.58</v>
      </c>
      <c r="ED878" s="2" t="n">
        <v>0</v>
      </c>
      <c r="EE878" s="2" t="n">
        <v>80.45999999999999</v>
      </c>
      <c r="EF878" s="2" t="n">
        <v>99.45999999999999</v>
      </c>
      <c r="EG878" s="2" t="n">
        <v>0</v>
      </c>
      <c r="EH878" s="2" t="n">
        <v>81</v>
      </c>
      <c r="EI878" s="2" t="n">
        <v>100</v>
      </c>
      <c r="EJ878" s="2" t="n">
        <v>0</v>
      </c>
      <c r="EK878" s="2" t="n">
        <v>81</v>
      </c>
      <c r="EL878" s="2" t="n">
        <v>100</v>
      </c>
      <c r="EM878" s="2" t="n">
        <v>0</v>
      </c>
      <c r="EN878" s="2" t="n">
        <v>81</v>
      </c>
      <c r="EO878" s="2" t="n">
        <v>100</v>
      </c>
      <c r="EP878" s="2" t="n">
        <v>0</v>
      </c>
      <c r="EQ878" s="2" t="n">
        <v>81</v>
      </c>
      <c r="ER878" s="2" t="n">
        <v>100</v>
      </c>
      <c r="ES878" s="2" t="n">
        <v>0</v>
      </c>
      <c r="ET878" s="2" t="n">
        <v>81</v>
      </c>
      <c r="EU878" s="2" t="n">
        <v>100</v>
      </c>
      <c r="EV878" s="2" t="n">
        <v>0</v>
      </c>
      <c r="EW878" s="2" t="n">
        <v>81</v>
      </c>
      <c r="EX878" s="2" t="n">
        <v>100</v>
      </c>
      <c r="EY878" s="2" t="n">
        <v>0</v>
      </c>
      <c r="EZ878" s="2" t="n">
        <v>81</v>
      </c>
      <c r="FA878" s="2" t="n">
        <v>100</v>
      </c>
      <c r="FB878" s="2" t="n">
        <v>0</v>
      </c>
      <c r="FC878" s="2" t="n">
        <v>81</v>
      </c>
      <c r="FD878" s="2" t="n">
        <v>100</v>
      </c>
      <c r="FE878" s="2" t="n">
        <v>0</v>
      </c>
      <c r="FF878" s="2" t="n">
        <v>81</v>
      </c>
      <c r="FG878" s="2" t="n">
        <v>100</v>
      </c>
      <c r="FH878" s="2" t="n">
        <v>0</v>
      </c>
      <c r="FI878" s="2" t="n">
        <v>81</v>
      </c>
      <c r="FJ878" s="2" t="n">
        <v>100</v>
      </c>
      <c r="FK878" s="2" t="n">
        <v>0</v>
      </c>
      <c r="FL878" s="2" t="n">
        <v>81</v>
      </c>
      <c r="FM878" s="2" t="n">
        <v>100</v>
      </c>
      <c r="FN878" s="2" t="n">
        <v>0</v>
      </c>
      <c r="FO878" s="2" t="n">
        <v>81</v>
      </c>
      <c r="FP878" s="2" t="n">
        <v>100</v>
      </c>
      <c r="FQ878" s="2" t="n">
        <v>0</v>
      </c>
    </row>
    <row r="879">
      <c r="A879" s="2" t="n">
        <v>4</v>
      </c>
      <c r="B879" s="2" t="inlineStr">
        <is>
          <t>32.01.04.01</t>
        </is>
      </c>
      <c r="C879" s="2" t="inlineStr">
        <is>
          <t>Gradil em alumínio anodizado pintura na cor bronze (Embasamento)</t>
        </is>
      </c>
      <c r="D879" s="2" t="inlineStr">
        <is>
          <t>15/09/2026</t>
        </is>
      </c>
      <c r="E879" s="2" t="inlineStr">
        <is>
          <t>17/03/2028</t>
        </is>
      </c>
      <c r="F879" s="2" t="n">
        <v>602044.2999999999</v>
      </c>
      <c r="G879" s="2" t="n">
        <v>0</v>
      </c>
      <c r="H879" s="2" t="n">
        <v>602044.2999999999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3.93</v>
      </c>
      <c r="CH879" s="2" t="n">
        <v>0</v>
      </c>
      <c r="CI879" s="2" t="n">
        <v>0.17</v>
      </c>
      <c r="CJ879" s="2" t="n">
        <v>10.98</v>
      </c>
      <c r="CK879" s="2" t="n">
        <v>0</v>
      </c>
      <c r="CL879" s="2" t="n">
        <v>3.59</v>
      </c>
      <c r="CM879" s="2" t="n">
        <v>20.95</v>
      </c>
      <c r="CN879" s="2" t="n">
        <v>0</v>
      </c>
      <c r="CO879" s="2" t="n">
        <v>7.32</v>
      </c>
      <c r="CP879" s="2" t="n">
        <v>26.32</v>
      </c>
      <c r="CQ879" s="2" t="n">
        <v>0</v>
      </c>
      <c r="CR879" s="2" t="n">
        <v>13.9</v>
      </c>
      <c r="CS879" s="2" t="n">
        <v>32.9</v>
      </c>
      <c r="CT879" s="2" t="n">
        <v>0</v>
      </c>
      <c r="CU879" s="2" t="n">
        <v>16.78</v>
      </c>
      <c r="CV879" s="2" t="n">
        <v>35.78</v>
      </c>
      <c r="CW879" s="2" t="n">
        <v>0</v>
      </c>
      <c r="CX879" s="2" t="n">
        <v>19.96</v>
      </c>
      <c r="CY879" s="2" t="n">
        <v>38.96</v>
      </c>
      <c r="CZ879" s="2" t="n">
        <v>0</v>
      </c>
      <c r="DA879" s="2" t="n">
        <v>28.78</v>
      </c>
      <c r="DB879" s="2" t="n">
        <v>47.78</v>
      </c>
      <c r="DC879" s="2" t="n">
        <v>0</v>
      </c>
      <c r="DD879" s="2" t="n">
        <v>35.3</v>
      </c>
      <c r="DE879" s="2" t="n">
        <v>54.3</v>
      </c>
      <c r="DF879" s="2" t="n">
        <v>0</v>
      </c>
      <c r="DG879" s="2" t="n">
        <v>43.33</v>
      </c>
      <c r="DH879" s="2" t="n">
        <v>62.33</v>
      </c>
      <c r="DI879" s="2" t="n">
        <v>0</v>
      </c>
      <c r="DJ879" s="2" t="n">
        <v>53.27</v>
      </c>
      <c r="DK879" s="2" t="n">
        <v>72.27</v>
      </c>
      <c r="DL879" s="2" t="n">
        <v>0</v>
      </c>
      <c r="DM879" s="2" t="n">
        <v>62.85</v>
      </c>
      <c r="DN879" s="2" t="n">
        <v>81.84999999999999</v>
      </c>
      <c r="DO879" s="2" t="n">
        <v>0</v>
      </c>
      <c r="DP879" s="2" t="n">
        <v>68.47</v>
      </c>
      <c r="DQ879" s="2" t="n">
        <v>87.47</v>
      </c>
      <c r="DR879" s="2" t="n">
        <v>0</v>
      </c>
      <c r="DS879" s="2" t="n">
        <v>72.45</v>
      </c>
      <c r="DT879" s="2" t="n">
        <v>91.45</v>
      </c>
      <c r="DU879" s="2" t="n">
        <v>0</v>
      </c>
      <c r="DV879" s="2" t="n">
        <v>75.92</v>
      </c>
      <c r="DW879" s="2" t="n">
        <v>94.92</v>
      </c>
      <c r="DX879" s="2" t="n">
        <v>0</v>
      </c>
      <c r="DY879" s="2" t="n">
        <v>78.18000000000001</v>
      </c>
      <c r="DZ879" s="2" t="n">
        <v>97.18000000000001</v>
      </c>
      <c r="EA879" s="2" t="n">
        <v>0</v>
      </c>
      <c r="EB879" s="2" t="n">
        <v>79.58</v>
      </c>
      <c r="EC879" s="2" t="n">
        <v>98.58</v>
      </c>
      <c r="ED879" s="2" t="n">
        <v>0</v>
      </c>
      <c r="EE879" s="2" t="n">
        <v>80.45999999999999</v>
      </c>
      <c r="EF879" s="2" t="n">
        <v>99.45999999999999</v>
      </c>
      <c r="EG879" s="2" t="n">
        <v>0</v>
      </c>
      <c r="EH879" s="2" t="n">
        <v>81</v>
      </c>
      <c r="EI879" s="2" t="n">
        <v>100</v>
      </c>
      <c r="EJ879" s="2" t="n">
        <v>0</v>
      </c>
      <c r="EK879" s="2" t="n">
        <v>81</v>
      </c>
      <c r="EL879" s="2" t="n">
        <v>100</v>
      </c>
      <c r="EM879" s="2" t="n">
        <v>0</v>
      </c>
      <c r="EN879" s="2" t="n">
        <v>81</v>
      </c>
      <c r="EO879" s="2" t="n">
        <v>100</v>
      </c>
      <c r="EP879" s="2" t="n">
        <v>0</v>
      </c>
      <c r="EQ879" s="2" t="n">
        <v>81</v>
      </c>
      <c r="ER879" s="2" t="n">
        <v>100</v>
      </c>
      <c r="ES879" s="2" t="n">
        <v>0</v>
      </c>
      <c r="ET879" s="2" t="n">
        <v>81</v>
      </c>
      <c r="EU879" s="2" t="n">
        <v>100</v>
      </c>
      <c r="EV879" s="2" t="n">
        <v>0</v>
      </c>
      <c r="EW879" s="2" t="n">
        <v>81</v>
      </c>
      <c r="EX879" s="2" t="n">
        <v>100</v>
      </c>
      <c r="EY879" s="2" t="n">
        <v>0</v>
      </c>
      <c r="EZ879" s="2" t="n">
        <v>81</v>
      </c>
      <c r="FA879" s="2" t="n">
        <v>100</v>
      </c>
      <c r="FB879" s="2" t="n">
        <v>0</v>
      </c>
      <c r="FC879" s="2" t="n">
        <v>81</v>
      </c>
      <c r="FD879" s="2" t="n">
        <v>100</v>
      </c>
      <c r="FE879" s="2" t="n">
        <v>0</v>
      </c>
      <c r="FF879" s="2" t="n">
        <v>81</v>
      </c>
      <c r="FG879" s="2" t="n">
        <v>100</v>
      </c>
      <c r="FH879" s="2" t="n">
        <v>0</v>
      </c>
      <c r="FI879" s="2" t="n">
        <v>81</v>
      </c>
      <c r="FJ879" s="2" t="n">
        <v>100</v>
      </c>
      <c r="FK879" s="2" t="n">
        <v>0</v>
      </c>
      <c r="FL879" s="2" t="n">
        <v>81</v>
      </c>
      <c r="FM879" s="2" t="n">
        <v>100</v>
      </c>
      <c r="FN879" s="2" t="n">
        <v>0</v>
      </c>
      <c r="FO879" s="2" t="n">
        <v>81</v>
      </c>
      <c r="FP879" s="2" t="n">
        <v>100</v>
      </c>
      <c r="FQ879" s="2" t="n">
        <v>0</v>
      </c>
    </row>
    <row r="880">
      <c r="A880" s="2" t="n">
        <v>3</v>
      </c>
      <c r="B880" s="2" t="inlineStr">
        <is>
          <t>32.01.05</t>
        </is>
      </c>
      <c r="C880" s="2" t="inlineStr">
        <is>
          <t>Diversos</t>
        </is>
      </c>
      <c r="D880" s="2" t="inlineStr">
        <is>
          <t>15/09/2026</t>
        </is>
      </c>
      <c r="E880" s="2" t="inlineStr">
        <is>
          <t>17/03/2028</t>
        </is>
      </c>
      <c r="F880" s="2" t="n">
        <v>80617.45677528238</v>
      </c>
      <c r="G880" s="2" t="n">
        <v>0</v>
      </c>
      <c r="H880" s="2" t="n">
        <v>80617.45677528238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3.93</v>
      </c>
      <c r="CH880" s="2" t="n">
        <v>0</v>
      </c>
      <c r="CI880" s="2" t="n">
        <v>0.17</v>
      </c>
      <c r="CJ880" s="2" t="n">
        <v>10.98</v>
      </c>
      <c r="CK880" s="2" t="n">
        <v>0</v>
      </c>
      <c r="CL880" s="2" t="n">
        <v>3.59</v>
      </c>
      <c r="CM880" s="2" t="n">
        <v>20.95</v>
      </c>
      <c r="CN880" s="2" t="n">
        <v>0</v>
      </c>
      <c r="CO880" s="2" t="n">
        <v>7.32</v>
      </c>
      <c r="CP880" s="2" t="n">
        <v>26.32</v>
      </c>
      <c r="CQ880" s="2" t="n">
        <v>0</v>
      </c>
      <c r="CR880" s="2" t="n">
        <v>13.9</v>
      </c>
      <c r="CS880" s="2" t="n">
        <v>32.9</v>
      </c>
      <c r="CT880" s="2" t="n">
        <v>0</v>
      </c>
      <c r="CU880" s="2" t="n">
        <v>16.78</v>
      </c>
      <c r="CV880" s="2" t="n">
        <v>35.78</v>
      </c>
      <c r="CW880" s="2" t="n">
        <v>0</v>
      </c>
      <c r="CX880" s="2" t="n">
        <v>19.96</v>
      </c>
      <c r="CY880" s="2" t="n">
        <v>38.96</v>
      </c>
      <c r="CZ880" s="2" t="n">
        <v>0</v>
      </c>
      <c r="DA880" s="2" t="n">
        <v>28.78</v>
      </c>
      <c r="DB880" s="2" t="n">
        <v>47.78</v>
      </c>
      <c r="DC880" s="2" t="n">
        <v>0</v>
      </c>
      <c r="DD880" s="2" t="n">
        <v>35.3</v>
      </c>
      <c r="DE880" s="2" t="n">
        <v>54.3</v>
      </c>
      <c r="DF880" s="2" t="n">
        <v>0</v>
      </c>
      <c r="DG880" s="2" t="n">
        <v>43.33</v>
      </c>
      <c r="DH880" s="2" t="n">
        <v>62.33</v>
      </c>
      <c r="DI880" s="2" t="n">
        <v>0</v>
      </c>
      <c r="DJ880" s="2" t="n">
        <v>53.27</v>
      </c>
      <c r="DK880" s="2" t="n">
        <v>72.27</v>
      </c>
      <c r="DL880" s="2" t="n">
        <v>0</v>
      </c>
      <c r="DM880" s="2" t="n">
        <v>62.85</v>
      </c>
      <c r="DN880" s="2" t="n">
        <v>81.84999999999999</v>
      </c>
      <c r="DO880" s="2" t="n">
        <v>0</v>
      </c>
      <c r="DP880" s="2" t="n">
        <v>68.47</v>
      </c>
      <c r="DQ880" s="2" t="n">
        <v>87.47</v>
      </c>
      <c r="DR880" s="2" t="n">
        <v>0</v>
      </c>
      <c r="DS880" s="2" t="n">
        <v>72.45</v>
      </c>
      <c r="DT880" s="2" t="n">
        <v>91.45</v>
      </c>
      <c r="DU880" s="2" t="n">
        <v>0</v>
      </c>
      <c r="DV880" s="2" t="n">
        <v>75.92</v>
      </c>
      <c r="DW880" s="2" t="n">
        <v>94.92</v>
      </c>
      <c r="DX880" s="2" t="n">
        <v>0</v>
      </c>
      <c r="DY880" s="2" t="n">
        <v>78.18000000000001</v>
      </c>
      <c r="DZ880" s="2" t="n">
        <v>97.18000000000001</v>
      </c>
      <c r="EA880" s="2" t="n">
        <v>0</v>
      </c>
      <c r="EB880" s="2" t="n">
        <v>79.58</v>
      </c>
      <c r="EC880" s="2" t="n">
        <v>98.58</v>
      </c>
      <c r="ED880" s="2" t="n">
        <v>0</v>
      </c>
      <c r="EE880" s="2" t="n">
        <v>80.45999999999999</v>
      </c>
      <c r="EF880" s="2" t="n">
        <v>99.45999999999999</v>
      </c>
      <c r="EG880" s="2" t="n">
        <v>0</v>
      </c>
      <c r="EH880" s="2" t="n">
        <v>81</v>
      </c>
      <c r="EI880" s="2" t="n">
        <v>100</v>
      </c>
      <c r="EJ880" s="2" t="n">
        <v>0</v>
      </c>
      <c r="EK880" s="2" t="n">
        <v>81</v>
      </c>
      <c r="EL880" s="2" t="n">
        <v>100</v>
      </c>
      <c r="EM880" s="2" t="n">
        <v>0</v>
      </c>
      <c r="EN880" s="2" t="n">
        <v>81</v>
      </c>
      <c r="EO880" s="2" t="n">
        <v>100</v>
      </c>
      <c r="EP880" s="2" t="n">
        <v>0</v>
      </c>
      <c r="EQ880" s="2" t="n">
        <v>81</v>
      </c>
      <c r="ER880" s="2" t="n">
        <v>100</v>
      </c>
      <c r="ES880" s="2" t="n">
        <v>0</v>
      </c>
      <c r="ET880" s="2" t="n">
        <v>81</v>
      </c>
      <c r="EU880" s="2" t="n">
        <v>100</v>
      </c>
      <c r="EV880" s="2" t="n">
        <v>0</v>
      </c>
      <c r="EW880" s="2" t="n">
        <v>81</v>
      </c>
      <c r="EX880" s="2" t="n">
        <v>100</v>
      </c>
      <c r="EY880" s="2" t="n">
        <v>0</v>
      </c>
      <c r="EZ880" s="2" t="n">
        <v>81</v>
      </c>
      <c r="FA880" s="2" t="n">
        <v>100</v>
      </c>
      <c r="FB880" s="2" t="n">
        <v>0</v>
      </c>
      <c r="FC880" s="2" t="n">
        <v>81</v>
      </c>
      <c r="FD880" s="2" t="n">
        <v>100</v>
      </c>
      <c r="FE880" s="2" t="n">
        <v>0</v>
      </c>
      <c r="FF880" s="2" t="n">
        <v>81</v>
      </c>
      <c r="FG880" s="2" t="n">
        <v>100</v>
      </c>
      <c r="FH880" s="2" t="n">
        <v>0</v>
      </c>
      <c r="FI880" s="2" t="n">
        <v>81</v>
      </c>
      <c r="FJ880" s="2" t="n">
        <v>100</v>
      </c>
      <c r="FK880" s="2" t="n">
        <v>0</v>
      </c>
      <c r="FL880" s="2" t="n">
        <v>81</v>
      </c>
      <c r="FM880" s="2" t="n">
        <v>100</v>
      </c>
      <c r="FN880" s="2" t="n">
        <v>0</v>
      </c>
      <c r="FO880" s="2" t="n">
        <v>81</v>
      </c>
      <c r="FP880" s="2" t="n">
        <v>100</v>
      </c>
      <c r="FQ880" s="2" t="n">
        <v>0</v>
      </c>
    </row>
    <row r="881">
      <c r="A881" s="2" t="n">
        <v>4</v>
      </c>
      <c r="B881" s="2" t="inlineStr">
        <is>
          <t>32.01.05.01</t>
        </is>
      </c>
      <c r="C881" s="2" t="inlineStr">
        <is>
          <t>Junta de dilatação horizontal para fachadas</t>
        </is>
      </c>
      <c r="D881" s="2" t="inlineStr">
        <is>
          <t>15/09/2026</t>
        </is>
      </c>
      <c r="E881" s="2" t="inlineStr">
        <is>
          <t>17/03/2028</t>
        </is>
      </c>
      <c r="F881" s="2" t="n">
        <v>73062.72602223803</v>
      </c>
      <c r="G881" s="2" t="n">
        <v>0</v>
      </c>
      <c r="H881" s="2" t="n">
        <v>73062.72602223803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3.93</v>
      </c>
      <c r="CH881" s="2" t="n">
        <v>0</v>
      </c>
      <c r="CI881" s="2" t="n">
        <v>0.17</v>
      </c>
      <c r="CJ881" s="2" t="n">
        <v>10.98</v>
      </c>
      <c r="CK881" s="2" t="n">
        <v>0</v>
      </c>
      <c r="CL881" s="2" t="n">
        <v>3.59</v>
      </c>
      <c r="CM881" s="2" t="n">
        <v>20.95</v>
      </c>
      <c r="CN881" s="2" t="n">
        <v>0</v>
      </c>
      <c r="CO881" s="2" t="n">
        <v>7.32</v>
      </c>
      <c r="CP881" s="2" t="n">
        <v>26.32</v>
      </c>
      <c r="CQ881" s="2" t="n">
        <v>0</v>
      </c>
      <c r="CR881" s="2" t="n">
        <v>13.9</v>
      </c>
      <c r="CS881" s="2" t="n">
        <v>32.9</v>
      </c>
      <c r="CT881" s="2" t="n">
        <v>0</v>
      </c>
      <c r="CU881" s="2" t="n">
        <v>16.78</v>
      </c>
      <c r="CV881" s="2" t="n">
        <v>35.78</v>
      </c>
      <c r="CW881" s="2" t="n">
        <v>0</v>
      </c>
      <c r="CX881" s="2" t="n">
        <v>19.96</v>
      </c>
      <c r="CY881" s="2" t="n">
        <v>38.96</v>
      </c>
      <c r="CZ881" s="2" t="n">
        <v>0</v>
      </c>
      <c r="DA881" s="2" t="n">
        <v>28.78</v>
      </c>
      <c r="DB881" s="2" t="n">
        <v>47.78</v>
      </c>
      <c r="DC881" s="2" t="n">
        <v>0</v>
      </c>
      <c r="DD881" s="2" t="n">
        <v>35.3</v>
      </c>
      <c r="DE881" s="2" t="n">
        <v>54.3</v>
      </c>
      <c r="DF881" s="2" t="n">
        <v>0</v>
      </c>
      <c r="DG881" s="2" t="n">
        <v>43.33</v>
      </c>
      <c r="DH881" s="2" t="n">
        <v>62.33</v>
      </c>
      <c r="DI881" s="2" t="n">
        <v>0</v>
      </c>
      <c r="DJ881" s="2" t="n">
        <v>53.27</v>
      </c>
      <c r="DK881" s="2" t="n">
        <v>72.27</v>
      </c>
      <c r="DL881" s="2" t="n">
        <v>0</v>
      </c>
      <c r="DM881" s="2" t="n">
        <v>62.85</v>
      </c>
      <c r="DN881" s="2" t="n">
        <v>81.84999999999999</v>
      </c>
      <c r="DO881" s="2" t="n">
        <v>0</v>
      </c>
      <c r="DP881" s="2" t="n">
        <v>68.47</v>
      </c>
      <c r="DQ881" s="2" t="n">
        <v>87.47</v>
      </c>
      <c r="DR881" s="2" t="n">
        <v>0</v>
      </c>
      <c r="DS881" s="2" t="n">
        <v>72.45</v>
      </c>
      <c r="DT881" s="2" t="n">
        <v>91.45</v>
      </c>
      <c r="DU881" s="2" t="n">
        <v>0</v>
      </c>
      <c r="DV881" s="2" t="n">
        <v>75.92</v>
      </c>
      <c r="DW881" s="2" t="n">
        <v>94.92</v>
      </c>
      <c r="DX881" s="2" t="n">
        <v>0</v>
      </c>
      <c r="DY881" s="2" t="n">
        <v>78.18000000000001</v>
      </c>
      <c r="DZ881" s="2" t="n">
        <v>97.18000000000001</v>
      </c>
      <c r="EA881" s="2" t="n">
        <v>0</v>
      </c>
      <c r="EB881" s="2" t="n">
        <v>79.58</v>
      </c>
      <c r="EC881" s="2" t="n">
        <v>98.58</v>
      </c>
      <c r="ED881" s="2" t="n">
        <v>0</v>
      </c>
      <c r="EE881" s="2" t="n">
        <v>80.45999999999999</v>
      </c>
      <c r="EF881" s="2" t="n">
        <v>99.45999999999999</v>
      </c>
      <c r="EG881" s="2" t="n">
        <v>0</v>
      </c>
      <c r="EH881" s="2" t="n">
        <v>81</v>
      </c>
      <c r="EI881" s="2" t="n">
        <v>100</v>
      </c>
      <c r="EJ881" s="2" t="n">
        <v>0</v>
      </c>
      <c r="EK881" s="2" t="n">
        <v>81</v>
      </c>
      <c r="EL881" s="2" t="n">
        <v>100</v>
      </c>
      <c r="EM881" s="2" t="n">
        <v>0</v>
      </c>
      <c r="EN881" s="2" t="n">
        <v>81</v>
      </c>
      <c r="EO881" s="2" t="n">
        <v>100</v>
      </c>
      <c r="EP881" s="2" t="n">
        <v>0</v>
      </c>
      <c r="EQ881" s="2" t="n">
        <v>81</v>
      </c>
      <c r="ER881" s="2" t="n">
        <v>100</v>
      </c>
      <c r="ES881" s="2" t="n">
        <v>0</v>
      </c>
      <c r="ET881" s="2" t="n">
        <v>81</v>
      </c>
      <c r="EU881" s="2" t="n">
        <v>100</v>
      </c>
      <c r="EV881" s="2" t="n">
        <v>0</v>
      </c>
      <c r="EW881" s="2" t="n">
        <v>81</v>
      </c>
      <c r="EX881" s="2" t="n">
        <v>100</v>
      </c>
      <c r="EY881" s="2" t="n">
        <v>0</v>
      </c>
      <c r="EZ881" s="2" t="n">
        <v>81</v>
      </c>
      <c r="FA881" s="2" t="n">
        <v>100</v>
      </c>
      <c r="FB881" s="2" t="n">
        <v>0</v>
      </c>
      <c r="FC881" s="2" t="n">
        <v>81</v>
      </c>
      <c r="FD881" s="2" t="n">
        <v>100</v>
      </c>
      <c r="FE881" s="2" t="n">
        <v>0</v>
      </c>
      <c r="FF881" s="2" t="n">
        <v>81</v>
      </c>
      <c r="FG881" s="2" t="n">
        <v>100</v>
      </c>
      <c r="FH881" s="2" t="n">
        <v>0</v>
      </c>
      <c r="FI881" s="2" t="n">
        <v>81</v>
      </c>
      <c r="FJ881" s="2" t="n">
        <v>100</v>
      </c>
      <c r="FK881" s="2" t="n">
        <v>0</v>
      </c>
      <c r="FL881" s="2" t="n">
        <v>81</v>
      </c>
      <c r="FM881" s="2" t="n">
        <v>100</v>
      </c>
      <c r="FN881" s="2" t="n">
        <v>0</v>
      </c>
      <c r="FO881" s="2" t="n">
        <v>81</v>
      </c>
      <c r="FP881" s="2" t="n">
        <v>100</v>
      </c>
      <c r="FQ881" s="2" t="n">
        <v>0</v>
      </c>
    </row>
    <row r="882">
      <c r="A882" s="2" t="n">
        <v>4</v>
      </c>
      <c r="B882" s="2" t="inlineStr">
        <is>
          <t>32.01.05.02</t>
        </is>
      </c>
      <c r="C882" s="2" t="inlineStr">
        <is>
          <t>Junta de dilatação vertical pra fachadas</t>
        </is>
      </c>
      <c r="D882" s="2" t="inlineStr">
        <is>
          <t>15/09/2026</t>
        </is>
      </c>
      <c r="E882" s="2" t="inlineStr">
        <is>
          <t>17/03/2028</t>
        </is>
      </c>
      <c r="F882" s="2" t="n">
        <v>7554.730753044357</v>
      </c>
      <c r="G882" s="2" t="n">
        <v>0</v>
      </c>
      <c r="H882" s="2" t="n">
        <v>7554.730753044357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3.93</v>
      </c>
      <c r="CH882" s="2" t="n">
        <v>0</v>
      </c>
      <c r="CI882" s="2" t="n">
        <v>0.17</v>
      </c>
      <c r="CJ882" s="2" t="n">
        <v>10.98</v>
      </c>
      <c r="CK882" s="2" t="n">
        <v>0</v>
      </c>
      <c r="CL882" s="2" t="n">
        <v>3.59</v>
      </c>
      <c r="CM882" s="2" t="n">
        <v>20.95</v>
      </c>
      <c r="CN882" s="2" t="n">
        <v>0</v>
      </c>
      <c r="CO882" s="2" t="n">
        <v>7.32</v>
      </c>
      <c r="CP882" s="2" t="n">
        <v>26.32</v>
      </c>
      <c r="CQ882" s="2" t="n">
        <v>0</v>
      </c>
      <c r="CR882" s="2" t="n">
        <v>13.9</v>
      </c>
      <c r="CS882" s="2" t="n">
        <v>32.9</v>
      </c>
      <c r="CT882" s="2" t="n">
        <v>0</v>
      </c>
      <c r="CU882" s="2" t="n">
        <v>16.78</v>
      </c>
      <c r="CV882" s="2" t="n">
        <v>35.78</v>
      </c>
      <c r="CW882" s="2" t="n">
        <v>0</v>
      </c>
      <c r="CX882" s="2" t="n">
        <v>19.96</v>
      </c>
      <c r="CY882" s="2" t="n">
        <v>38.96</v>
      </c>
      <c r="CZ882" s="2" t="n">
        <v>0</v>
      </c>
      <c r="DA882" s="2" t="n">
        <v>28.78</v>
      </c>
      <c r="DB882" s="2" t="n">
        <v>47.78</v>
      </c>
      <c r="DC882" s="2" t="n">
        <v>0</v>
      </c>
      <c r="DD882" s="2" t="n">
        <v>35.3</v>
      </c>
      <c r="DE882" s="2" t="n">
        <v>54.3</v>
      </c>
      <c r="DF882" s="2" t="n">
        <v>0</v>
      </c>
      <c r="DG882" s="2" t="n">
        <v>43.33</v>
      </c>
      <c r="DH882" s="2" t="n">
        <v>62.33</v>
      </c>
      <c r="DI882" s="2" t="n">
        <v>0</v>
      </c>
      <c r="DJ882" s="2" t="n">
        <v>53.27</v>
      </c>
      <c r="DK882" s="2" t="n">
        <v>72.27</v>
      </c>
      <c r="DL882" s="2" t="n">
        <v>0</v>
      </c>
      <c r="DM882" s="2" t="n">
        <v>62.85</v>
      </c>
      <c r="DN882" s="2" t="n">
        <v>81.84999999999999</v>
      </c>
      <c r="DO882" s="2" t="n">
        <v>0</v>
      </c>
      <c r="DP882" s="2" t="n">
        <v>68.47</v>
      </c>
      <c r="DQ882" s="2" t="n">
        <v>87.47</v>
      </c>
      <c r="DR882" s="2" t="n">
        <v>0</v>
      </c>
      <c r="DS882" s="2" t="n">
        <v>72.45</v>
      </c>
      <c r="DT882" s="2" t="n">
        <v>91.45</v>
      </c>
      <c r="DU882" s="2" t="n">
        <v>0</v>
      </c>
      <c r="DV882" s="2" t="n">
        <v>75.92</v>
      </c>
      <c r="DW882" s="2" t="n">
        <v>94.92</v>
      </c>
      <c r="DX882" s="2" t="n">
        <v>0</v>
      </c>
      <c r="DY882" s="2" t="n">
        <v>78.18000000000001</v>
      </c>
      <c r="DZ882" s="2" t="n">
        <v>97.18000000000001</v>
      </c>
      <c r="EA882" s="2" t="n">
        <v>0</v>
      </c>
      <c r="EB882" s="2" t="n">
        <v>79.58</v>
      </c>
      <c r="EC882" s="2" t="n">
        <v>98.58</v>
      </c>
      <c r="ED882" s="2" t="n">
        <v>0</v>
      </c>
      <c r="EE882" s="2" t="n">
        <v>80.45999999999999</v>
      </c>
      <c r="EF882" s="2" t="n">
        <v>99.45999999999999</v>
      </c>
      <c r="EG882" s="2" t="n">
        <v>0</v>
      </c>
      <c r="EH882" s="2" t="n">
        <v>81</v>
      </c>
      <c r="EI882" s="2" t="n">
        <v>100</v>
      </c>
      <c r="EJ882" s="2" t="n">
        <v>0</v>
      </c>
      <c r="EK882" s="2" t="n">
        <v>81</v>
      </c>
      <c r="EL882" s="2" t="n">
        <v>100</v>
      </c>
      <c r="EM882" s="2" t="n">
        <v>0</v>
      </c>
      <c r="EN882" s="2" t="n">
        <v>81</v>
      </c>
      <c r="EO882" s="2" t="n">
        <v>100</v>
      </c>
      <c r="EP882" s="2" t="n">
        <v>0</v>
      </c>
      <c r="EQ882" s="2" t="n">
        <v>81</v>
      </c>
      <c r="ER882" s="2" t="n">
        <v>100</v>
      </c>
      <c r="ES882" s="2" t="n">
        <v>0</v>
      </c>
      <c r="ET882" s="2" t="n">
        <v>81</v>
      </c>
      <c r="EU882" s="2" t="n">
        <v>100</v>
      </c>
      <c r="EV882" s="2" t="n">
        <v>0</v>
      </c>
      <c r="EW882" s="2" t="n">
        <v>81</v>
      </c>
      <c r="EX882" s="2" t="n">
        <v>100</v>
      </c>
      <c r="EY882" s="2" t="n">
        <v>0</v>
      </c>
      <c r="EZ882" s="2" t="n">
        <v>81</v>
      </c>
      <c r="FA882" s="2" t="n">
        <v>100</v>
      </c>
      <c r="FB882" s="2" t="n">
        <v>0</v>
      </c>
      <c r="FC882" s="2" t="n">
        <v>81</v>
      </c>
      <c r="FD882" s="2" t="n">
        <v>100</v>
      </c>
      <c r="FE882" s="2" t="n">
        <v>0</v>
      </c>
      <c r="FF882" s="2" t="n">
        <v>81</v>
      </c>
      <c r="FG882" s="2" t="n">
        <v>100</v>
      </c>
      <c r="FH882" s="2" t="n">
        <v>0</v>
      </c>
      <c r="FI882" s="2" t="n">
        <v>81</v>
      </c>
      <c r="FJ882" s="2" t="n">
        <v>100</v>
      </c>
      <c r="FK882" s="2" t="n">
        <v>0</v>
      </c>
      <c r="FL882" s="2" t="n">
        <v>81</v>
      </c>
      <c r="FM882" s="2" t="n">
        <v>100</v>
      </c>
      <c r="FN882" s="2" t="n">
        <v>0</v>
      </c>
      <c r="FO882" s="2" t="n">
        <v>81</v>
      </c>
      <c r="FP882" s="2" t="n">
        <v>100</v>
      </c>
      <c r="FQ882" s="2" t="n">
        <v>0</v>
      </c>
    </row>
    <row r="883">
      <c r="A883" s="2" t="n">
        <v>2</v>
      </c>
      <c r="B883" s="2" t="inlineStr">
        <is>
          <t>32.02</t>
        </is>
      </c>
      <c r="C883" s="2" t="inlineStr">
        <is>
          <t>Muros</t>
        </is>
      </c>
      <c r="D883" s="2" t="inlineStr">
        <is>
          <t>15/02/2027</t>
        </is>
      </c>
      <c r="E883" s="2" t="inlineStr">
        <is>
          <t>29/10/2027</t>
        </is>
      </c>
      <c r="F883" s="2" t="n">
        <v>330921.5619337967</v>
      </c>
      <c r="G883" s="2" t="n">
        <v>0</v>
      </c>
      <c r="H883" s="2" t="n">
        <v>330921.5619337967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5.56</v>
      </c>
      <c r="CV883" s="2" t="n">
        <v>5.56</v>
      </c>
      <c r="CW883" s="2" t="n">
        <v>0</v>
      </c>
      <c r="CX883" s="2" t="n">
        <v>17.78</v>
      </c>
      <c r="CY883" s="2" t="n">
        <v>17.78</v>
      </c>
      <c r="CZ883" s="2" t="n">
        <v>0</v>
      </c>
      <c r="DA883" s="2" t="n">
        <v>29.44</v>
      </c>
      <c r="DB883" s="2" t="n">
        <v>29.44</v>
      </c>
      <c r="DC883" s="2" t="n">
        <v>0</v>
      </c>
      <c r="DD883" s="2" t="n">
        <v>40.56</v>
      </c>
      <c r="DE883" s="2" t="n">
        <v>40.56</v>
      </c>
      <c r="DF883" s="2" t="n">
        <v>0</v>
      </c>
      <c r="DG883" s="2" t="n">
        <v>52.78</v>
      </c>
      <c r="DH883" s="2" t="n">
        <v>52.78</v>
      </c>
      <c r="DI883" s="2" t="n">
        <v>0</v>
      </c>
      <c r="DJ883" s="2" t="n">
        <v>65</v>
      </c>
      <c r="DK883" s="2" t="n">
        <v>65</v>
      </c>
      <c r="DL883" s="2" t="n">
        <v>0</v>
      </c>
      <c r="DM883" s="2" t="n">
        <v>77.22</v>
      </c>
      <c r="DN883" s="2" t="n">
        <v>77.22</v>
      </c>
      <c r="DO883" s="2" t="n">
        <v>0</v>
      </c>
      <c r="DP883" s="2" t="n">
        <v>88.89</v>
      </c>
      <c r="DQ883" s="2" t="n">
        <v>88.89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  <c r="ET883" s="2" t="n">
        <v>100</v>
      </c>
      <c r="EU883" s="2" t="n">
        <v>100</v>
      </c>
      <c r="EV883" s="2" t="n">
        <v>0</v>
      </c>
      <c r="EW883" s="2" t="n">
        <v>100</v>
      </c>
      <c r="EX883" s="2" t="n">
        <v>100</v>
      </c>
      <c r="EY883" s="2" t="n">
        <v>0</v>
      </c>
      <c r="EZ883" s="2" t="n">
        <v>100</v>
      </c>
      <c r="FA883" s="2" t="n">
        <v>100</v>
      </c>
      <c r="FB883" s="2" t="n">
        <v>0</v>
      </c>
      <c r="FC883" s="2" t="n">
        <v>100</v>
      </c>
      <c r="FD883" s="2" t="n">
        <v>100</v>
      </c>
      <c r="FE883" s="2" t="n">
        <v>0</v>
      </c>
      <c r="FF883" s="2" t="n">
        <v>100</v>
      </c>
      <c r="FG883" s="2" t="n">
        <v>100</v>
      </c>
      <c r="FH883" s="2" t="n">
        <v>0</v>
      </c>
      <c r="FI883" s="2" t="n">
        <v>100</v>
      </c>
      <c r="FJ883" s="2" t="n">
        <v>100</v>
      </c>
      <c r="FK883" s="2" t="n">
        <v>0</v>
      </c>
      <c r="FL883" s="2" t="n">
        <v>100</v>
      </c>
      <c r="FM883" s="2" t="n">
        <v>100</v>
      </c>
      <c r="FN883" s="2" t="n">
        <v>0</v>
      </c>
      <c r="FO883" s="2" t="n">
        <v>100</v>
      </c>
      <c r="FP883" s="2" t="n">
        <v>100</v>
      </c>
      <c r="FQ883" s="2" t="n">
        <v>0</v>
      </c>
    </row>
    <row r="884">
      <c r="A884" s="2" t="n">
        <v>3</v>
      </c>
      <c r="B884" s="2" t="inlineStr">
        <is>
          <t>32.02.01</t>
        </is>
      </c>
      <c r="C884" s="2" t="inlineStr">
        <is>
          <t>Fundações profundas - Estacas Ø20cm escavadas manualmente</t>
        </is>
      </c>
      <c r="D884" s="2" t="inlineStr">
        <is>
          <t>15/02/2027</t>
        </is>
      </c>
      <c r="E884" s="2" t="inlineStr">
        <is>
          <t>29/10/2027</t>
        </is>
      </c>
      <c r="F884" s="2" t="n">
        <v>63441.92182983561</v>
      </c>
      <c r="G884" s="2" t="n">
        <v>0</v>
      </c>
      <c r="H884" s="2" t="n">
        <v>63441.92182983561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5.56</v>
      </c>
      <c r="CV884" s="2" t="n">
        <v>5.56</v>
      </c>
      <c r="CW884" s="2" t="n">
        <v>0</v>
      </c>
      <c r="CX884" s="2" t="n">
        <v>17.78</v>
      </c>
      <c r="CY884" s="2" t="n">
        <v>17.78</v>
      </c>
      <c r="CZ884" s="2" t="n">
        <v>0</v>
      </c>
      <c r="DA884" s="2" t="n">
        <v>29.44</v>
      </c>
      <c r="DB884" s="2" t="n">
        <v>29.44</v>
      </c>
      <c r="DC884" s="2" t="n">
        <v>0</v>
      </c>
      <c r="DD884" s="2" t="n">
        <v>40.56</v>
      </c>
      <c r="DE884" s="2" t="n">
        <v>40.56</v>
      </c>
      <c r="DF884" s="2" t="n">
        <v>0</v>
      </c>
      <c r="DG884" s="2" t="n">
        <v>52.78</v>
      </c>
      <c r="DH884" s="2" t="n">
        <v>52.78</v>
      </c>
      <c r="DI884" s="2" t="n">
        <v>0</v>
      </c>
      <c r="DJ884" s="2" t="n">
        <v>65</v>
      </c>
      <c r="DK884" s="2" t="n">
        <v>65</v>
      </c>
      <c r="DL884" s="2" t="n">
        <v>0</v>
      </c>
      <c r="DM884" s="2" t="n">
        <v>77.22</v>
      </c>
      <c r="DN884" s="2" t="n">
        <v>77.22</v>
      </c>
      <c r="DO884" s="2" t="n">
        <v>0</v>
      </c>
      <c r="DP884" s="2" t="n">
        <v>88.89</v>
      </c>
      <c r="DQ884" s="2" t="n">
        <v>88.89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  <c r="ET884" s="2" t="n">
        <v>100</v>
      </c>
      <c r="EU884" s="2" t="n">
        <v>100</v>
      </c>
      <c r="EV884" s="2" t="n">
        <v>0</v>
      </c>
      <c r="EW884" s="2" t="n">
        <v>100</v>
      </c>
      <c r="EX884" s="2" t="n">
        <v>100</v>
      </c>
      <c r="EY884" s="2" t="n">
        <v>0</v>
      </c>
      <c r="EZ884" s="2" t="n">
        <v>100</v>
      </c>
      <c r="FA884" s="2" t="n">
        <v>100</v>
      </c>
      <c r="FB884" s="2" t="n">
        <v>0</v>
      </c>
      <c r="FC884" s="2" t="n">
        <v>100</v>
      </c>
      <c r="FD884" s="2" t="n">
        <v>100</v>
      </c>
      <c r="FE884" s="2" t="n">
        <v>0</v>
      </c>
      <c r="FF884" s="2" t="n">
        <v>100</v>
      </c>
      <c r="FG884" s="2" t="n">
        <v>100</v>
      </c>
      <c r="FH884" s="2" t="n">
        <v>0</v>
      </c>
      <c r="FI884" s="2" t="n">
        <v>100</v>
      </c>
      <c r="FJ884" s="2" t="n">
        <v>100</v>
      </c>
      <c r="FK884" s="2" t="n">
        <v>0</v>
      </c>
      <c r="FL884" s="2" t="n">
        <v>100</v>
      </c>
      <c r="FM884" s="2" t="n">
        <v>100</v>
      </c>
      <c r="FN884" s="2" t="n">
        <v>0</v>
      </c>
      <c r="FO884" s="2" t="n">
        <v>100</v>
      </c>
      <c r="FP884" s="2" t="n">
        <v>100</v>
      </c>
      <c r="FQ884" s="2" t="n">
        <v>0</v>
      </c>
    </row>
    <row r="885">
      <c r="A885" s="2" t="n">
        <v>4</v>
      </c>
      <c r="B885" s="2" t="inlineStr">
        <is>
          <t>32.02.01.01</t>
        </is>
      </c>
      <c r="C885" s="2" t="inlineStr">
        <is>
          <t>Escavação manual de fuste</t>
        </is>
      </c>
      <c r="D885" s="2" t="inlineStr">
        <is>
          <t>15/02/2027</t>
        </is>
      </c>
      <c r="E885" s="2" t="inlineStr">
        <is>
          <t>29/10/2027</t>
        </is>
      </c>
      <c r="F885" s="2" t="n">
        <v>15354.58241448679</v>
      </c>
      <c r="G885" s="2" t="n">
        <v>0</v>
      </c>
      <c r="H885" s="2" t="n">
        <v>15354.58241448679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5.56</v>
      </c>
      <c r="CV885" s="2" t="n">
        <v>5.56</v>
      </c>
      <c r="CW885" s="2" t="n">
        <v>0</v>
      </c>
      <c r="CX885" s="2" t="n">
        <v>17.78</v>
      </c>
      <c r="CY885" s="2" t="n">
        <v>17.78</v>
      </c>
      <c r="CZ885" s="2" t="n">
        <v>0</v>
      </c>
      <c r="DA885" s="2" t="n">
        <v>29.44</v>
      </c>
      <c r="DB885" s="2" t="n">
        <v>29.44</v>
      </c>
      <c r="DC885" s="2" t="n">
        <v>0</v>
      </c>
      <c r="DD885" s="2" t="n">
        <v>40.56</v>
      </c>
      <c r="DE885" s="2" t="n">
        <v>40.56</v>
      </c>
      <c r="DF885" s="2" t="n">
        <v>0</v>
      </c>
      <c r="DG885" s="2" t="n">
        <v>52.78</v>
      </c>
      <c r="DH885" s="2" t="n">
        <v>52.78</v>
      </c>
      <c r="DI885" s="2" t="n">
        <v>0</v>
      </c>
      <c r="DJ885" s="2" t="n">
        <v>65</v>
      </c>
      <c r="DK885" s="2" t="n">
        <v>65</v>
      </c>
      <c r="DL885" s="2" t="n">
        <v>0</v>
      </c>
      <c r="DM885" s="2" t="n">
        <v>77.22</v>
      </c>
      <c r="DN885" s="2" t="n">
        <v>77.22</v>
      </c>
      <c r="DO885" s="2" t="n">
        <v>0</v>
      </c>
      <c r="DP885" s="2" t="n">
        <v>88.89</v>
      </c>
      <c r="DQ885" s="2" t="n">
        <v>88.89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  <c r="ET885" s="2" t="n">
        <v>100</v>
      </c>
      <c r="EU885" s="2" t="n">
        <v>100</v>
      </c>
      <c r="EV885" s="2" t="n">
        <v>0</v>
      </c>
      <c r="EW885" s="2" t="n">
        <v>100</v>
      </c>
      <c r="EX885" s="2" t="n">
        <v>100</v>
      </c>
      <c r="EY885" s="2" t="n">
        <v>0</v>
      </c>
      <c r="EZ885" s="2" t="n">
        <v>100</v>
      </c>
      <c r="FA885" s="2" t="n">
        <v>100</v>
      </c>
      <c r="FB885" s="2" t="n">
        <v>0</v>
      </c>
      <c r="FC885" s="2" t="n">
        <v>100</v>
      </c>
      <c r="FD885" s="2" t="n">
        <v>100</v>
      </c>
      <c r="FE885" s="2" t="n">
        <v>0</v>
      </c>
      <c r="FF885" s="2" t="n">
        <v>100</v>
      </c>
      <c r="FG885" s="2" t="n">
        <v>100</v>
      </c>
      <c r="FH885" s="2" t="n">
        <v>0</v>
      </c>
      <c r="FI885" s="2" t="n">
        <v>100</v>
      </c>
      <c r="FJ885" s="2" t="n">
        <v>100</v>
      </c>
      <c r="FK885" s="2" t="n">
        <v>0</v>
      </c>
      <c r="FL885" s="2" t="n">
        <v>100</v>
      </c>
      <c r="FM885" s="2" t="n">
        <v>100</v>
      </c>
      <c r="FN885" s="2" t="n">
        <v>0</v>
      </c>
      <c r="FO885" s="2" t="n">
        <v>100</v>
      </c>
      <c r="FP885" s="2" t="n">
        <v>100</v>
      </c>
      <c r="FQ885" s="2" t="n">
        <v>0</v>
      </c>
    </row>
    <row r="886">
      <c r="A886" s="2" t="n">
        <v>4</v>
      </c>
      <c r="B886" s="2" t="inlineStr">
        <is>
          <t>32.02.01.02</t>
        </is>
      </c>
      <c r="C886" s="2" t="inlineStr">
        <is>
          <t>Concreto preparado na obra, controle "A", brita 1 e 2, fck 20 Mpa</t>
        </is>
      </c>
      <c r="D886" s="2" t="inlineStr">
        <is>
          <t>15/02/2027</t>
        </is>
      </c>
      <c r="E886" s="2" t="inlineStr">
        <is>
          <t>29/10/2027</t>
        </is>
      </c>
      <c r="F886" s="2" t="n">
        <v>37943.79041534881</v>
      </c>
      <c r="G886" s="2" t="n">
        <v>0</v>
      </c>
      <c r="H886" s="2" t="n">
        <v>37943.79041534881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5.56</v>
      </c>
      <c r="CV886" s="2" t="n">
        <v>5.56</v>
      </c>
      <c r="CW886" s="2" t="n">
        <v>0</v>
      </c>
      <c r="CX886" s="2" t="n">
        <v>17.78</v>
      </c>
      <c r="CY886" s="2" t="n">
        <v>17.78</v>
      </c>
      <c r="CZ886" s="2" t="n">
        <v>0</v>
      </c>
      <c r="DA886" s="2" t="n">
        <v>29.44</v>
      </c>
      <c r="DB886" s="2" t="n">
        <v>29.44</v>
      </c>
      <c r="DC886" s="2" t="n">
        <v>0</v>
      </c>
      <c r="DD886" s="2" t="n">
        <v>40.56</v>
      </c>
      <c r="DE886" s="2" t="n">
        <v>40.56</v>
      </c>
      <c r="DF886" s="2" t="n">
        <v>0</v>
      </c>
      <c r="DG886" s="2" t="n">
        <v>52.78</v>
      </c>
      <c r="DH886" s="2" t="n">
        <v>52.78</v>
      </c>
      <c r="DI886" s="2" t="n">
        <v>0</v>
      </c>
      <c r="DJ886" s="2" t="n">
        <v>65</v>
      </c>
      <c r="DK886" s="2" t="n">
        <v>65</v>
      </c>
      <c r="DL886" s="2" t="n">
        <v>0</v>
      </c>
      <c r="DM886" s="2" t="n">
        <v>77.22</v>
      </c>
      <c r="DN886" s="2" t="n">
        <v>77.22</v>
      </c>
      <c r="DO886" s="2" t="n">
        <v>0</v>
      </c>
      <c r="DP886" s="2" t="n">
        <v>88.89</v>
      </c>
      <c r="DQ886" s="2" t="n">
        <v>88.89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  <c r="ET886" s="2" t="n">
        <v>100</v>
      </c>
      <c r="EU886" s="2" t="n">
        <v>100</v>
      </c>
      <c r="EV886" s="2" t="n">
        <v>0</v>
      </c>
      <c r="EW886" s="2" t="n">
        <v>100</v>
      </c>
      <c r="EX886" s="2" t="n">
        <v>100</v>
      </c>
      <c r="EY886" s="2" t="n">
        <v>0</v>
      </c>
      <c r="EZ886" s="2" t="n">
        <v>100</v>
      </c>
      <c r="FA886" s="2" t="n">
        <v>100</v>
      </c>
      <c r="FB886" s="2" t="n">
        <v>0</v>
      </c>
      <c r="FC886" s="2" t="n">
        <v>100</v>
      </c>
      <c r="FD886" s="2" t="n">
        <v>100</v>
      </c>
      <c r="FE886" s="2" t="n">
        <v>0</v>
      </c>
      <c r="FF886" s="2" t="n">
        <v>100</v>
      </c>
      <c r="FG886" s="2" t="n">
        <v>100</v>
      </c>
      <c r="FH886" s="2" t="n">
        <v>0</v>
      </c>
      <c r="FI886" s="2" t="n">
        <v>100</v>
      </c>
      <c r="FJ886" s="2" t="n">
        <v>100</v>
      </c>
      <c r="FK886" s="2" t="n">
        <v>0</v>
      </c>
      <c r="FL886" s="2" t="n">
        <v>100</v>
      </c>
      <c r="FM886" s="2" t="n">
        <v>100</v>
      </c>
      <c r="FN886" s="2" t="n">
        <v>0</v>
      </c>
      <c r="FO886" s="2" t="n">
        <v>100</v>
      </c>
      <c r="FP886" s="2" t="n">
        <v>100</v>
      </c>
      <c r="FQ886" s="2" t="n">
        <v>0</v>
      </c>
    </row>
    <row r="887">
      <c r="A887" s="2" t="n">
        <v>4</v>
      </c>
      <c r="B887" s="2" t="inlineStr">
        <is>
          <t>32.02.01.03</t>
        </is>
      </c>
      <c r="C887" s="2" t="inlineStr">
        <is>
          <t>Retirada de Terra com caçamba</t>
        </is>
      </c>
      <c r="D887" s="2" t="inlineStr">
        <is>
          <t>15/02/2027</t>
        </is>
      </c>
      <c r="E887" s="2" t="inlineStr">
        <is>
          <t>29/10/2027</t>
        </is>
      </c>
      <c r="F887" s="2" t="n">
        <v>10143.549</v>
      </c>
      <c r="G887" s="2" t="n">
        <v>0</v>
      </c>
      <c r="H887" s="2" t="n">
        <v>10143.549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5.56</v>
      </c>
      <c r="CV887" s="2" t="n">
        <v>5.56</v>
      </c>
      <c r="CW887" s="2" t="n">
        <v>0</v>
      </c>
      <c r="CX887" s="2" t="n">
        <v>17.78</v>
      </c>
      <c r="CY887" s="2" t="n">
        <v>17.78</v>
      </c>
      <c r="CZ887" s="2" t="n">
        <v>0</v>
      </c>
      <c r="DA887" s="2" t="n">
        <v>29.44</v>
      </c>
      <c r="DB887" s="2" t="n">
        <v>29.44</v>
      </c>
      <c r="DC887" s="2" t="n">
        <v>0</v>
      </c>
      <c r="DD887" s="2" t="n">
        <v>40.56</v>
      </c>
      <c r="DE887" s="2" t="n">
        <v>40.56</v>
      </c>
      <c r="DF887" s="2" t="n">
        <v>0</v>
      </c>
      <c r="DG887" s="2" t="n">
        <v>52.78</v>
      </c>
      <c r="DH887" s="2" t="n">
        <v>52.78</v>
      </c>
      <c r="DI887" s="2" t="n">
        <v>0</v>
      </c>
      <c r="DJ887" s="2" t="n">
        <v>65</v>
      </c>
      <c r="DK887" s="2" t="n">
        <v>65</v>
      </c>
      <c r="DL887" s="2" t="n">
        <v>0</v>
      </c>
      <c r="DM887" s="2" t="n">
        <v>77.22</v>
      </c>
      <c r="DN887" s="2" t="n">
        <v>77.22</v>
      </c>
      <c r="DO887" s="2" t="n">
        <v>0</v>
      </c>
      <c r="DP887" s="2" t="n">
        <v>88.89</v>
      </c>
      <c r="DQ887" s="2" t="n">
        <v>88.89</v>
      </c>
      <c r="DR887" s="2" t="n">
        <v>0</v>
      </c>
      <c r="DS887" s="2" t="n">
        <v>100</v>
      </c>
      <c r="DT887" s="2" t="n">
        <v>100</v>
      </c>
      <c r="DU887" s="2" t="n">
        <v>0</v>
      </c>
      <c r="DV887" s="2" t="n">
        <v>100</v>
      </c>
      <c r="DW887" s="2" t="n">
        <v>100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  <c r="ET887" s="2" t="n">
        <v>100</v>
      </c>
      <c r="EU887" s="2" t="n">
        <v>100</v>
      </c>
      <c r="EV887" s="2" t="n">
        <v>0</v>
      </c>
      <c r="EW887" s="2" t="n">
        <v>100</v>
      </c>
      <c r="EX887" s="2" t="n">
        <v>100</v>
      </c>
      <c r="EY887" s="2" t="n">
        <v>0</v>
      </c>
      <c r="EZ887" s="2" t="n">
        <v>100</v>
      </c>
      <c r="FA887" s="2" t="n">
        <v>100</v>
      </c>
      <c r="FB887" s="2" t="n">
        <v>0</v>
      </c>
      <c r="FC887" s="2" t="n">
        <v>100</v>
      </c>
      <c r="FD887" s="2" t="n">
        <v>100</v>
      </c>
      <c r="FE887" s="2" t="n">
        <v>0</v>
      </c>
      <c r="FF887" s="2" t="n">
        <v>100</v>
      </c>
      <c r="FG887" s="2" t="n">
        <v>100</v>
      </c>
      <c r="FH887" s="2" t="n">
        <v>0</v>
      </c>
      <c r="FI887" s="2" t="n">
        <v>100</v>
      </c>
      <c r="FJ887" s="2" t="n">
        <v>100</v>
      </c>
      <c r="FK887" s="2" t="n">
        <v>0</v>
      </c>
      <c r="FL887" s="2" t="n">
        <v>100</v>
      </c>
      <c r="FM887" s="2" t="n">
        <v>100</v>
      </c>
      <c r="FN887" s="2" t="n">
        <v>0</v>
      </c>
      <c r="FO887" s="2" t="n">
        <v>100</v>
      </c>
      <c r="FP887" s="2" t="n">
        <v>100</v>
      </c>
      <c r="FQ887" s="2" t="n">
        <v>0</v>
      </c>
    </row>
    <row r="888">
      <c r="A888" s="2" t="n">
        <v>3</v>
      </c>
      <c r="B888" s="2" t="inlineStr">
        <is>
          <t>32.02.02</t>
        </is>
      </c>
      <c r="C888" s="2" t="inlineStr">
        <is>
          <t>Fundações superficiais - Sapata corrida seção 30x30cm</t>
        </is>
      </c>
      <c r="D888" s="2" t="inlineStr">
        <is>
          <t>15/02/2027</t>
        </is>
      </c>
      <c r="E888" s="2" t="inlineStr">
        <is>
          <t>29/10/2027</t>
        </is>
      </c>
      <c r="F888" s="2" t="n">
        <v>23479.23289914431</v>
      </c>
      <c r="G888" s="2" t="n">
        <v>0</v>
      </c>
      <c r="H888" s="2" t="n">
        <v>23479.23289914431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5.56</v>
      </c>
      <c r="CV888" s="2" t="n">
        <v>5.56</v>
      </c>
      <c r="CW888" s="2" t="n">
        <v>0</v>
      </c>
      <c r="CX888" s="2" t="n">
        <v>17.78</v>
      </c>
      <c r="CY888" s="2" t="n">
        <v>17.78</v>
      </c>
      <c r="CZ888" s="2" t="n">
        <v>0</v>
      </c>
      <c r="DA888" s="2" t="n">
        <v>29.44</v>
      </c>
      <c r="DB888" s="2" t="n">
        <v>29.44</v>
      </c>
      <c r="DC888" s="2" t="n">
        <v>0</v>
      </c>
      <c r="DD888" s="2" t="n">
        <v>40.56</v>
      </c>
      <c r="DE888" s="2" t="n">
        <v>40.56</v>
      </c>
      <c r="DF888" s="2" t="n">
        <v>0</v>
      </c>
      <c r="DG888" s="2" t="n">
        <v>52.78</v>
      </c>
      <c r="DH888" s="2" t="n">
        <v>52.78</v>
      </c>
      <c r="DI888" s="2" t="n">
        <v>0</v>
      </c>
      <c r="DJ888" s="2" t="n">
        <v>65</v>
      </c>
      <c r="DK888" s="2" t="n">
        <v>65</v>
      </c>
      <c r="DL888" s="2" t="n">
        <v>0</v>
      </c>
      <c r="DM888" s="2" t="n">
        <v>77.22</v>
      </c>
      <c r="DN888" s="2" t="n">
        <v>77.22</v>
      </c>
      <c r="DO888" s="2" t="n">
        <v>0</v>
      </c>
      <c r="DP888" s="2" t="n">
        <v>88.89</v>
      </c>
      <c r="DQ888" s="2" t="n">
        <v>88.89</v>
      </c>
      <c r="DR888" s="2" t="n">
        <v>0</v>
      </c>
      <c r="DS888" s="2" t="n">
        <v>100</v>
      </c>
      <c r="DT888" s="2" t="n">
        <v>100</v>
      </c>
      <c r="DU888" s="2" t="n">
        <v>0</v>
      </c>
      <c r="DV888" s="2" t="n">
        <v>100</v>
      </c>
      <c r="DW888" s="2" t="n">
        <v>100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  <c r="ET888" s="2" t="n">
        <v>100</v>
      </c>
      <c r="EU888" s="2" t="n">
        <v>100</v>
      </c>
      <c r="EV888" s="2" t="n">
        <v>0</v>
      </c>
      <c r="EW888" s="2" t="n">
        <v>100</v>
      </c>
      <c r="EX888" s="2" t="n">
        <v>100</v>
      </c>
      <c r="EY888" s="2" t="n">
        <v>0</v>
      </c>
      <c r="EZ888" s="2" t="n">
        <v>100</v>
      </c>
      <c r="FA888" s="2" t="n">
        <v>100</v>
      </c>
      <c r="FB888" s="2" t="n">
        <v>0</v>
      </c>
      <c r="FC888" s="2" t="n">
        <v>100</v>
      </c>
      <c r="FD888" s="2" t="n">
        <v>100</v>
      </c>
      <c r="FE888" s="2" t="n">
        <v>0</v>
      </c>
      <c r="FF888" s="2" t="n">
        <v>100</v>
      </c>
      <c r="FG888" s="2" t="n">
        <v>100</v>
      </c>
      <c r="FH888" s="2" t="n">
        <v>0</v>
      </c>
      <c r="FI888" s="2" t="n">
        <v>100</v>
      </c>
      <c r="FJ888" s="2" t="n">
        <v>100</v>
      </c>
      <c r="FK888" s="2" t="n">
        <v>0</v>
      </c>
      <c r="FL888" s="2" t="n">
        <v>100</v>
      </c>
      <c r="FM888" s="2" t="n">
        <v>100</v>
      </c>
      <c r="FN888" s="2" t="n">
        <v>0</v>
      </c>
      <c r="FO888" s="2" t="n">
        <v>100</v>
      </c>
      <c r="FP888" s="2" t="n">
        <v>100</v>
      </c>
      <c r="FQ888" s="2" t="n">
        <v>0</v>
      </c>
    </row>
    <row r="889">
      <c r="A889" s="2" t="n">
        <v>4</v>
      </c>
      <c r="B889" s="2" t="inlineStr">
        <is>
          <t>32.02.02.01</t>
        </is>
      </c>
      <c r="C889" s="2" t="inlineStr">
        <is>
          <t>Escavação manual</t>
        </is>
      </c>
      <c r="D889" s="2" t="inlineStr">
        <is>
          <t>15/02/2027</t>
        </is>
      </c>
      <c r="E889" s="2" t="inlineStr">
        <is>
          <t>29/10/2027</t>
        </is>
      </c>
      <c r="F889" s="2" t="n">
        <v>4763.814792839631</v>
      </c>
      <c r="G889" s="2" t="n">
        <v>0</v>
      </c>
      <c r="H889" s="2" t="n">
        <v>4763.814792839631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5.56</v>
      </c>
      <c r="CV889" s="2" t="n">
        <v>5.56</v>
      </c>
      <c r="CW889" s="2" t="n">
        <v>0</v>
      </c>
      <c r="CX889" s="2" t="n">
        <v>17.78</v>
      </c>
      <c r="CY889" s="2" t="n">
        <v>17.78</v>
      </c>
      <c r="CZ889" s="2" t="n">
        <v>0</v>
      </c>
      <c r="DA889" s="2" t="n">
        <v>29.44</v>
      </c>
      <c r="DB889" s="2" t="n">
        <v>29.44</v>
      </c>
      <c r="DC889" s="2" t="n">
        <v>0</v>
      </c>
      <c r="DD889" s="2" t="n">
        <v>40.56</v>
      </c>
      <c r="DE889" s="2" t="n">
        <v>40.56</v>
      </c>
      <c r="DF889" s="2" t="n">
        <v>0</v>
      </c>
      <c r="DG889" s="2" t="n">
        <v>52.78</v>
      </c>
      <c r="DH889" s="2" t="n">
        <v>52.78</v>
      </c>
      <c r="DI889" s="2" t="n">
        <v>0</v>
      </c>
      <c r="DJ889" s="2" t="n">
        <v>65</v>
      </c>
      <c r="DK889" s="2" t="n">
        <v>65</v>
      </c>
      <c r="DL889" s="2" t="n">
        <v>0</v>
      </c>
      <c r="DM889" s="2" t="n">
        <v>77.22</v>
      </c>
      <c r="DN889" s="2" t="n">
        <v>77.22</v>
      </c>
      <c r="DO889" s="2" t="n">
        <v>0</v>
      </c>
      <c r="DP889" s="2" t="n">
        <v>88.89</v>
      </c>
      <c r="DQ889" s="2" t="n">
        <v>88.89</v>
      </c>
      <c r="DR889" s="2" t="n">
        <v>0</v>
      </c>
      <c r="DS889" s="2" t="n">
        <v>100</v>
      </c>
      <c r="DT889" s="2" t="n">
        <v>100</v>
      </c>
      <c r="DU889" s="2" t="n">
        <v>0</v>
      </c>
      <c r="DV889" s="2" t="n">
        <v>100</v>
      </c>
      <c r="DW889" s="2" t="n">
        <v>100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  <c r="ET889" s="2" t="n">
        <v>100</v>
      </c>
      <c r="EU889" s="2" t="n">
        <v>100</v>
      </c>
      <c r="EV889" s="2" t="n">
        <v>0</v>
      </c>
      <c r="EW889" s="2" t="n">
        <v>100</v>
      </c>
      <c r="EX889" s="2" t="n">
        <v>100</v>
      </c>
      <c r="EY889" s="2" t="n">
        <v>0</v>
      </c>
      <c r="EZ889" s="2" t="n">
        <v>100</v>
      </c>
      <c r="FA889" s="2" t="n">
        <v>100</v>
      </c>
      <c r="FB889" s="2" t="n">
        <v>0</v>
      </c>
      <c r="FC889" s="2" t="n">
        <v>100</v>
      </c>
      <c r="FD889" s="2" t="n">
        <v>100</v>
      </c>
      <c r="FE889" s="2" t="n">
        <v>0</v>
      </c>
      <c r="FF889" s="2" t="n">
        <v>100</v>
      </c>
      <c r="FG889" s="2" t="n">
        <v>100</v>
      </c>
      <c r="FH889" s="2" t="n">
        <v>0</v>
      </c>
      <c r="FI889" s="2" t="n">
        <v>100</v>
      </c>
      <c r="FJ889" s="2" t="n">
        <v>100</v>
      </c>
      <c r="FK889" s="2" t="n">
        <v>0</v>
      </c>
      <c r="FL889" s="2" t="n">
        <v>100</v>
      </c>
      <c r="FM889" s="2" t="n">
        <v>100</v>
      </c>
      <c r="FN889" s="2" t="n">
        <v>0</v>
      </c>
      <c r="FO889" s="2" t="n">
        <v>100</v>
      </c>
      <c r="FP889" s="2" t="n">
        <v>100</v>
      </c>
      <c r="FQ889" s="2" t="n">
        <v>0</v>
      </c>
    </row>
    <row r="890">
      <c r="A890" s="2" t="n">
        <v>4</v>
      </c>
      <c r="B890" s="2" t="inlineStr">
        <is>
          <t>32.02.02.02</t>
        </is>
      </c>
      <c r="C890" s="2" t="inlineStr">
        <is>
          <t>Apiloamento</t>
        </is>
      </c>
      <c r="D890" s="2" t="inlineStr">
        <is>
          <t>15/02/2027</t>
        </is>
      </c>
      <c r="E890" s="2" t="inlineStr">
        <is>
          <t>29/10/2027</t>
        </is>
      </c>
      <c r="F890" s="2" t="n">
        <v>574.7733102985644</v>
      </c>
      <c r="G890" s="2" t="n">
        <v>0</v>
      </c>
      <c r="H890" s="2" t="n">
        <v>574.7733102985644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5.56</v>
      </c>
      <c r="CV890" s="2" t="n">
        <v>5.56</v>
      </c>
      <c r="CW890" s="2" t="n">
        <v>0</v>
      </c>
      <c r="CX890" s="2" t="n">
        <v>17.78</v>
      </c>
      <c r="CY890" s="2" t="n">
        <v>17.78</v>
      </c>
      <c r="CZ890" s="2" t="n">
        <v>0</v>
      </c>
      <c r="DA890" s="2" t="n">
        <v>29.44</v>
      </c>
      <c r="DB890" s="2" t="n">
        <v>29.44</v>
      </c>
      <c r="DC890" s="2" t="n">
        <v>0</v>
      </c>
      <c r="DD890" s="2" t="n">
        <v>40.56</v>
      </c>
      <c r="DE890" s="2" t="n">
        <v>40.56</v>
      </c>
      <c r="DF890" s="2" t="n">
        <v>0</v>
      </c>
      <c r="DG890" s="2" t="n">
        <v>52.78</v>
      </c>
      <c r="DH890" s="2" t="n">
        <v>52.78</v>
      </c>
      <c r="DI890" s="2" t="n">
        <v>0</v>
      </c>
      <c r="DJ890" s="2" t="n">
        <v>65</v>
      </c>
      <c r="DK890" s="2" t="n">
        <v>65</v>
      </c>
      <c r="DL890" s="2" t="n">
        <v>0</v>
      </c>
      <c r="DM890" s="2" t="n">
        <v>77.22</v>
      </c>
      <c r="DN890" s="2" t="n">
        <v>77.22</v>
      </c>
      <c r="DO890" s="2" t="n">
        <v>0</v>
      </c>
      <c r="DP890" s="2" t="n">
        <v>88.89</v>
      </c>
      <c r="DQ890" s="2" t="n">
        <v>88.89</v>
      </c>
      <c r="DR890" s="2" t="n">
        <v>0</v>
      </c>
      <c r="DS890" s="2" t="n">
        <v>100</v>
      </c>
      <c r="DT890" s="2" t="n">
        <v>100</v>
      </c>
      <c r="DU890" s="2" t="n">
        <v>0</v>
      </c>
      <c r="DV890" s="2" t="n">
        <v>100</v>
      </c>
      <c r="DW890" s="2" t="n">
        <v>100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  <c r="ET890" s="2" t="n">
        <v>100</v>
      </c>
      <c r="EU890" s="2" t="n">
        <v>100</v>
      </c>
      <c r="EV890" s="2" t="n">
        <v>0</v>
      </c>
      <c r="EW890" s="2" t="n">
        <v>100</v>
      </c>
      <c r="EX890" s="2" t="n">
        <v>100</v>
      </c>
      <c r="EY890" s="2" t="n">
        <v>0</v>
      </c>
      <c r="EZ890" s="2" t="n">
        <v>100</v>
      </c>
      <c r="FA890" s="2" t="n">
        <v>100</v>
      </c>
      <c r="FB890" s="2" t="n">
        <v>0</v>
      </c>
      <c r="FC890" s="2" t="n">
        <v>100</v>
      </c>
      <c r="FD890" s="2" t="n">
        <v>100</v>
      </c>
      <c r="FE890" s="2" t="n">
        <v>0</v>
      </c>
      <c r="FF890" s="2" t="n">
        <v>100</v>
      </c>
      <c r="FG890" s="2" t="n">
        <v>100</v>
      </c>
      <c r="FH890" s="2" t="n">
        <v>0</v>
      </c>
      <c r="FI890" s="2" t="n">
        <v>100</v>
      </c>
      <c r="FJ890" s="2" t="n">
        <v>100</v>
      </c>
      <c r="FK890" s="2" t="n">
        <v>0</v>
      </c>
      <c r="FL890" s="2" t="n">
        <v>100</v>
      </c>
      <c r="FM890" s="2" t="n">
        <v>100</v>
      </c>
      <c r="FN890" s="2" t="n">
        <v>0</v>
      </c>
      <c r="FO890" s="2" t="n">
        <v>100</v>
      </c>
      <c r="FP890" s="2" t="n">
        <v>100</v>
      </c>
      <c r="FQ890" s="2" t="n">
        <v>0</v>
      </c>
    </row>
    <row r="891">
      <c r="A891" s="2" t="n">
        <v>4</v>
      </c>
      <c r="B891" s="2" t="inlineStr">
        <is>
          <t>32.02.02.03</t>
        </is>
      </c>
      <c r="C891" s="2" t="inlineStr">
        <is>
          <t>Armadura Ca-50</t>
        </is>
      </c>
      <c r="D891" s="2" t="inlineStr">
        <is>
          <t>15/02/2027</t>
        </is>
      </c>
      <c r="E891" s="2" t="inlineStr">
        <is>
          <t>29/10/2027</t>
        </is>
      </c>
      <c r="F891" s="2" t="n">
        <v>7557.619826264433</v>
      </c>
      <c r="G891" s="2" t="n">
        <v>0</v>
      </c>
      <c r="H891" s="2" t="n">
        <v>7557.619826264433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5.56</v>
      </c>
      <c r="CV891" s="2" t="n">
        <v>5.56</v>
      </c>
      <c r="CW891" s="2" t="n">
        <v>0</v>
      </c>
      <c r="CX891" s="2" t="n">
        <v>17.78</v>
      </c>
      <c r="CY891" s="2" t="n">
        <v>17.78</v>
      </c>
      <c r="CZ891" s="2" t="n">
        <v>0</v>
      </c>
      <c r="DA891" s="2" t="n">
        <v>29.44</v>
      </c>
      <c r="DB891" s="2" t="n">
        <v>29.44</v>
      </c>
      <c r="DC891" s="2" t="n">
        <v>0</v>
      </c>
      <c r="DD891" s="2" t="n">
        <v>40.56</v>
      </c>
      <c r="DE891" s="2" t="n">
        <v>40.56</v>
      </c>
      <c r="DF891" s="2" t="n">
        <v>0</v>
      </c>
      <c r="DG891" s="2" t="n">
        <v>52.78</v>
      </c>
      <c r="DH891" s="2" t="n">
        <v>52.78</v>
      </c>
      <c r="DI891" s="2" t="n">
        <v>0</v>
      </c>
      <c r="DJ891" s="2" t="n">
        <v>65</v>
      </c>
      <c r="DK891" s="2" t="n">
        <v>65</v>
      </c>
      <c r="DL891" s="2" t="n">
        <v>0</v>
      </c>
      <c r="DM891" s="2" t="n">
        <v>77.22</v>
      </c>
      <c r="DN891" s="2" t="n">
        <v>77.22</v>
      </c>
      <c r="DO891" s="2" t="n">
        <v>0</v>
      </c>
      <c r="DP891" s="2" t="n">
        <v>88.89</v>
      </c>
      <c r="DQ891" s="2" t="n">
        <v>88.89</v>
      </c>
      <c r="DR891" s="2" t="n">
        <v>0</v>
      </c>
      <c r="DS891" s="2" t="n">
        <v>100</v>
      </c>
      <c r="DT891" s="2" t="n">
        <v>100</v>
      </c>
      <c r="DU891" s="2" t="n">
        <v>0</v>
      </c>
      <c r="DV891" s="2" t="n">
        <v>100</v>
      </c>
      <c r="DW891" s="2" t="n">
        <v>100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  <c r="ET891" s="2" t="n">
        <v>100</v>
      </c>
      <c r="EU891" s="2" t="n">
        <v>100</v>
      </c>
      <c r="EV891" s="2" t="n">
        <v>0</v>
      </c>
      <c r="EW891" s="2" t="n">
        <v>100</v>
      </c>
      <c r="EX891" s="2" t="n">
        <v>100</v>
      </c>
      <c r="EY891" s="2" t="n">
        <v>0</v>
      </c>
      <c r="EZ891" s="2" t="n">
        <v>100</v>
      </c>
      <c r="FA891" s="2" t="n">
        <v>100</v>
      </c>
      <c r="FB891" s="2" t="n">
        <v>0</v>
      </c>
      <c r="FC891" s="2" t="n">
        <v>100</v>
      </c>
      <c r="FD891" s="2" t="n">
        <v>100</v>
      </c>
      <c r="FE891" s="2" t="n">
        <v>0</v>
      </c>
      <c r="FF891" s="2" t="n">
        <v>100</v>
      </c>
      <c r="FG891" s="2" t="n">
        <v>100</v>
      </c>
      <c r="FH891" s="2" t="n">
        <v>0</v>
      </c>
      <c r="FI891" s="2" t="n">
        <v>100</v>
      </c>
      <c r="FJ891" s="2" t="n">
        <v>100</v>
      </c>
      <c r="FK891" s="2" t="n">
        <v>0</v>
      </c>
      <c r="FL891" s="2" t="n">
        <v>100</v>
      </c>
      <c r="FM891" s="2" t="n">
        <v>100</v>
      </c>
      <c r="FN891" s="2" t="n">
        <v>0</v>
      </c>
      <c r="FO891" s="2" t="n">
        <v>100</v>
      </c>
      <c r="FP891" s="2" t="n">
        <v>100</v>
      </c>
      <c r="FQ891" s="2" t="n">
        <v>0</v>
      </c>
    </row>
    <row r="892">
      <c r="A892" s="2" t="n">
        <v>4</v>
      </c>
      <c r="B892" s="2" t="inlineStr">
        <is>
          <t>32.02.02.04</t>
        </is>
      </c>
      <c r="C892" s="2" t="inlineStr">
        <is>
          <t>Armadura Ca-60</t>
        </is>
      </c>
      <c r="D892" s="2" t="inlineStr">
        <is>
          <t>15/02/2027</t>
        </is>
      </c>
      <c r="E892" s="2" t="inlineStr">
        <is>
          <t>29/10/2027</t>
        </is>
      </c>
      <c r="F892" s="2" t="n">
        <v>839.8231782488268</v>
      </c>
      <c r="G892" s="2" t="n">
        <v>0</v>
      </c>
      <c r="H892" s="2" t="n">
        <v>839.8231782488268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0</v>
      </c>
      <c r="CA892" s="2" t="n">
        <v>0</v>
      </c>
      <c r="CB892" s="2" t="n">
        <v>0</v>
      </c>
      <c r="CC892" s="2" t="n">
        <v>0</v>
      </c>
      <c r="CD892" s="2" t="n">
        <v>0</v>
      </c>
      <c r="CE892" s="2" t="n">
        <v>0</v>
      </c>
      <c r="CF892" s="2" t="n">
        <v>0</v>
      </c>
      <c r="CG892" s="2" t="n">
        <v>0</v>
      </c>
      <c r="CH892" s="2" t="n">
        <v>0</v>
      </c>
      <c r="CI892" s="2" t="n">
        <v>0</v>
      </c>
      <c r="CJ892" s="2" t="n">
        <v>0</v>
      </c>
      <c r="CK892" s="2" t="n">
        <v>0</v>
      </c>
      <c r="CL892" s="2" t="n">
        <v>0</v>
      </c>
      <c r="CM892" s="2" t="n">
        <v>0</v>
      </c>
      <c r="CN892" s="2" t="n">
        <v>0</v>
      </c>
      <c r="CO892" s="2" t="n">
        <v>0</v>
      </c>
      <c r="CP892" s="2" t="n">
        <v>0</v>
      </c>
      <c r="CQ892" s="2" t="n">
        <v>0</v>
      </c>
      <c r="CR892" s="2" t="n">
        <v>0</v>
      </c>
      <c r="CS892" s="2" t="n">
        <v>0</v>
      </c>
      <c r="CT892" s="2" t="n">
        <v>0</v>
      </c>
      <c r="CU892" s="2" t="n">
        <v>5.56</v>
      </c>
      <c r="CV892" s="2" t="n">
        <v>5.56</v>
      </c>
      <c r="CW892" s="2" t="n">
        <v>0</v>
      </c>
      <c r="CX892" s="2" t="n">
        <v>17.78</v>
      </c>
      <c r="CY892" s="2" t="n">
        <v>17.78</v>
      </c>
      <c r="CZ892" s="2" t="n">
        <v>0</v>
      </c>
      <c r="DA892" s="2" t="n">
        <v>29.44</v>
      </c>
      <c r="DB892" s="2" t="n">
        <v>29.44</v>
      </c>
      <c r="DC892" s="2" t="n">
        <v>0</v>
      </c>
      <c r="DD892" s="2" t="n">
        <v>40.56</v>
      </c>
      <c r="DE892" s="2" t="n">
        <v>40.56</v>
      </c>
      <c r="DF892" s="2" t="n">
        <v>0</v>
      </c>
      <c r="DG892" s="2" t="n">
        <v>52.78</v>
      </c>
      <c r="DH892" s="2" t="n">
        <v>52.78</v>
      </c>
      <c r="DI892" s="2" t="n">
        <v>0</v>
      </c>
      <c r="DJ892" s="2" t="n">
        <v>65</v>
      </c>
      <c r="DK892" s="2" t="n">
        <v>65</v>
      </c>
      <c r="DL892" s="2" t="n">
        <v>0</v>
      </c>
      <c r="DM892" s="2" t="n">
        <v>77.22</v>
      </c>
      <c r="DN892" s="2" t="n">
        <v>77.22</v>
      </c>
      <c r="DO892" s="2" t="n">
        <v>0</v>
      </c>
      <c r="DP892" s="2" t="n">
        <v>88.89</v>
      </c>
      <c r="DQ892" s="2" t="n">
        <v>88.89</v>
      </c>
      <c r="DR892" s="2" t="n">
        <v>0</v>
      </c>
      <c r="DS892" s="2" t="n">
        <v>100</v>
      </c>
      <c r="DT892" s="2" t="n">
        <v>100</v>
      </c>
      <c r="DU892" s="2" t="n">
        <v>0</v>
      </c>
      <c r="DV892" s="2" t="n">
        <v>100</v>
      </c>
      <c r="DW892" s="2" t="n">
        <v>100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  <c r="EQ892" s="2" t="n">
        <v>100</v>
      </c>
      <c r="ER892" s="2" t="n">
        <v>100</v>
      </c>
      <c r="ES892" s="2" t="n">
        <v>0</v>
      </c>
      <c r="ET892" s="2" t="n">
        <v>100</v>
      </c>
      <c r="EU892" s="2" t="n">
        <v>100</v>
      </c>
      <c r="EV892" s="2" t="n">
        <v>0</v>
      </c>
      <c r="EW892" s="2" t="n">
        <v>100</v>
      </c>
      <c r="EX892" s="2" t="n">
        <v>100</v>
      </c>
      <c r="EY892" s="2" t="n">
        <v>0</v>
      </c>
      <c r="EZ892" s="2" t="n">
        <v>100</v>
      </c>
      <c r="FA892" s="2" t="n">
        <v>100</v>
      </c>
      <c r="FB892" s="2" t="n">
        <v>0</v>
      </c>
      <c r="FC892" s="2" t="n">
        <v>100</v>
      </c>
      <c r="FD892" s="2" t="n">
        <v>100</v>
      </c>
      <c r="FE892" s="2" t="n">
        <v>0</v>
      </c>
      <c r="FF892" s="2" t="n">
        <v>100</v>
      </c>
      <c r="FG892" s="2" t="n">
        <v>100</v>
      </c>
      <c r="FH892" s="2" t="n">
        <v>0</v>
      </c>
      <c r="FI892" s="2" t="n">
        <v>100</v>
      </c>
      <c r="FJ892" s="2" t="n">
        <v>100</v>
      </c>
      <c r="FK892" s="2" t="n">
        <v>0</v>
      </c>
      <c r="FL892" s="2" t="n">
        <v>100</v>
      </c>
      <c r="FM892" s="2" t="n">
        <v>100</v>
      </c>
      <c r="FN892" s="2" t="n">
        <v>0</v>
      </c>
      <c r="FO892" s="2" t="n">
        <v>100</v>
      </c>
      <c r="FP892" s="2" t="n">
        <v>100</v>
      </c>
      <c r="FQ892" s="2" t="n">
        <v>0</v>
      </c>
    </row>
    <row r="893">
      <c r="A893" s="2" t="n">
        <v>4</v>
      </c>
      <c r="B893" s="2" t="inlineStr">
        <is>
          <t>32.02.02.05</t>
        </is>
      </c>
      <c r="C893" s="2" t="inlineStr">
        <is>
          <t>Concreto preparado na obra, controle "A", brita 1 e 2, fck 20 Mpa</t>
        </is>
      </c>
      <c r="D893" s="2" t="inlineStr">
        <is>
          <t>15/02/2027</t>
        </is>
      </c>
      <c r="E893" s="2" t="inlineStr">
        <is>
          <t>29/10/2027</t>
        </is>
      </c>
      <c r="F893" s="2" t="n">
        <v>6642.034318268653</v>
      </c>
      <c r="G893" s="2" t="n">
        <v>0</v>
      </c>
      <c r="H893" s="2" t="n">
        <v>6642.034318268653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5.56</v>
      </c>
      <c r="CV893" s="2" t="n">
        <v>5.56</v>
      </c>
      <c r="CW893" s="2" t="n">
        <v>0</v>
      </c>
      <c r="CX893" s="2" t="n">
        <v>17.78</v>
      </c>
      <c r="CY893" s="2" t="n">
        <v>17.78</v>
      </c>
      <c r="CZ893" s="2" t="n">
        <v>0</v>
      </c>
      <c r="DA893" s="2" t="n">
        <v>29.44</v>
      </c>
      <c r="DB893" s="2" t="n">
        <v>29.44</v>
      </c>
      <c r="DC893" s="2" t="n">
        <v>0</v>
      </c>
      <c r="DD893" s="2" t="n">
        <v>40.56</v>
      </c>
      <c r="DE893" s="2" t="n">
        <v>40.56</v>
      </c>
      <c r="DF893" s="2" t="n">
        <v>0</v>
      </c>
      <c r="DG893" s="2" t="n">
        <v>52.78</v>
      </c>
      <c r="DH893" s="2" t="n">
        <v>52.78</v>
      </c>
      <c r="DI893" s="2" t="n">
        <v>0</v>
      </c>
      <c r="DJ893" s="2" t="n">
        <v>65</v>
      </c>
      <c r="DK893" s="2" t="n">
        <v>65</v>
      </c>
      <c r="DL893" s="2" t="n">
        <v>0</v>
      </c>
      <c r="DM893" s="2" t="n">
        <v>77.22</v>
      </c>
      <c r="DN893" s="2" t="n">
        <v>77.22</v>
      </c>
      <c r="DO893" s="2" t="n">
        <v>0</v>
      </c>
      <c r="DP893" s="2" t="n">
        <v>88.89</v>
      </c>
      <c r="DQ893" s="2" t="n">
        <v>88.89</v>
      </c>
      <c r="DR893" s="2" t="n">
        <v>0</v>
      </c>
      <c r="DS893" s="2" t="n">
        <v>100</v>
      </c>
      <c r="DT893" s="2" t="n">
        <v>100</v>
      </c>
      <c r="DU893" s="2" t="n">
        <v>0</v>
      </c>
      <c r="DV893" s="2" t="n">
        <v>100</v>
      </c>
      <c r="DW893" s="2" t="n">
        <v>100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  <c r="EQ893" s="2" t="n">
        <v>100</v>
      </c>
      <c r="ER893" s="2" t="n">
        <v>100</v>
      </c>
      <c r="ES893" s="2" t="n">
        <v>0</v>
      </c>
      <c r="ET893" s="2" t="n">
        <v>100</v>
      </c>
      <c r="EU893" s="2" t="n">
        <v>100</v>
      </c>
      <c r="EV893" s="2" t="n">
        <v>0</v>
      </c>
      <c r="EW893" s="2" t="n">
        <v>100</v>
      </c>
      <c r="EX893" s="2" t="n">
        <v>100</v>
      </c>
      <c r="EY893" s="2" t="n">
        <v>0</v>
      </c>
      <c r="EZ893" s="2" t="n">
        <v>100</v>
      </c>
      <c r="FA893" s="2" t="n">
        <v>100</v>
      </c>
      <c r="FB893" s="2" t="n">
        <v>0</v>
      </c>
      <c r="FC893" s="2" t="n">
        <v>100</v>
      </c>
      <c r="FD893" s="2" t="n">
        <v>100</v>
      </c>
      <c r="FE893" s="2" t="n">
        <v>0</v>
      </c>
      <c r="FF893" s="2" t="n">
        <v>100</v>
      </c>
      <c r="FG893" s="2" t="n">
        <v>100</v>
      </c>
      <c r="FH893" s="2" t="n">
        <v>0</v>
      </c>
      <c r="FI893" s="2" t="n">
        <v>100</v>
      </c>
      <c r="FJ893" s="2" t="n">
        <v>100</v>
      </c>
      <c r="FK893" s="2" t="n">
        <v>0</v>
      </c>
      <c r="FL893" s="2" t="n">
        <v>100</v>
      </c>
      <c r="FM893" s="2" t="n">
        <v>100</v>
      </c>
      <c r="FN893" s="2" t="n">
        <v>0</v>
      </c>
      <c r="FO893" s="2" t="n">
        <v>100</v>
      </c>
      <c r="FP893" s="2" t="n">
        <v>100</v>
      </c>
      <c r="FQ893" s="2" t="n">
        <v>0</v>
      </c>
    </row>
    <row r="894">
      <c r="A894" s="2" t="n">
        <v>4</v>
      </c>
      <c r="B894" s="2" t="inlineStr">
        <is>
          <t>32.02.02.06</t>
        </is>
      </c>
      <c r="C894" s="2" t="inlineStr">
        <is>
          <t>Aterro manual</t>
        </is>
      </c>
      <c r="D894" s="2" t="inlineStr">
        <is>
          <t>15/02/2027</t>
        </is>
      </c>
      <c r="E894" s="2" t="inlineStr">
        <is>
          <t>29/10/2027</t>
        </is>
      </c>
      <c r="F894" s="2" t="n">
        <v>1108.803723224196</v>
      </c>
      <c r="G894" s="2" t="n">
        <v>0</v>
      </c>
      <c r="H894" s="2" t="n">
        <v>1108.803723224196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5.56</v>
      </c>
      <c r="CV894" s="2" t="n">
        <v>5.56</v>
      </c>
      <c r="CW894" s="2" t="n">
        <v>0</v>
      </c>
      <c r="CX894" s="2" t="n">
        <v>17.78</v>
      </c>
      <c r="CY894" s="2" t="n">
        <v>17.78</v>
      </c>
      <c r="CZ894" s="2" t="n">
        <v>0</v>
      </c>
      <c r="DA894" s="2" t="n">
        <v>29.44</v>
      </c>
      <c r="DB894" s="2" t="n">
        <v>29.44</v>
      </c>
      <c r="DC894" s="2" t="n">
        <v>0</v>
      </c>
      <c r="DD894" s="2" t="n">
        <v>40.56</v>
      </c>
      <c r="DE894" s="2" t="n">
        <v>40.56</v>
      </c>
      <c r="DF894" s="2" t="n">
        <v>0</v>
      </c>
      <c r="DG894" s="2" t="n">
        <v>52.78</v>
      </c>
      <c r="DH894" s="2" t="n">
        <v>52.78</v>
      </c>
      <c r="DI894" s="2" t="n">
        <v>0</v>
      </c>
      <c r="DJ894" s="2" t="n">
        <v>65</v>
      </c>
      <c r="DK894" s="2" t="n">
        <v>65</v>
      </c>
      <c r="DL894" s="2" t="n">
        <v>0</v>
      </c>
      <c r="DM894" s="2" t="n">
        <v>77.22</v>
      </c>
      <c r="DN894" s="2" t="n">
        <v>77.22</v>
      </c>
      <c r="DO894" s="2" t="n">
        <v>0</v>
      </c>
      <c r="DP894" s="2" t="n">
        <v>88.89</v>
      </c>
      <c r="DQ894" s="2" t="n">
        <v>88.89</v>
      </c>
      <c r="DR894" s="2" t="n">
        <v>0</v>
      </c>
      <c r="DS894" s="2" t="n">
        <v>100</v>
      </c>
      <c r="DT894" s="2" t="n">
        <v>100</v>
      </c>
      <c r="DU894" s="2" t="n">
        <v>0</v>
      </c>
      <c r="DV894" s="2" t="n">
        <v>100</v>
      </c>
      <c r="DW894" s="2" t="n">
        <v>100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  <c r="EQ894" s="2" t="n">
        <v>100</v>
      </c>
      <c r="ER894" s="2" t="n">
        <v>100</v>
      </c>
      <c r="ES894" s="2" t="n">
        <v>0</v>
      </c>
      <c r="ET894" s="2" t="n">
        <v>100</v>
      </c>
      <c r="EU894" s="2" t="n">
        <v>100</v>
      </c>
      <c r="EV894" s="2" t="n">
        <v>0</v>
      </c>
      <c r="EW894" s="2" t="n">
        <v>100</v>
      </c>
      <c r="EX894" s="2" t="n">
        <v>100</v>
      </c>
      <c r="EY894" s="2" t="n">
        <v>0</v>
      </c>
      <c r="EZ894" s="2" t="n">
        <v>100</v>
      </c>
      <c r="FA894" s="2" t="n">
        <v>100</v>
      </c>
      <c r="FB894" s="2" t="n">
        <v>0</v>
      </c>
      <c r="FC894" s="2" t="n">
        <v>100</v>
      </c>
      <c r="FD894" s="2" t="n">
        <v>100</v>
      </c>
      <c r="FE894" s="2" t="n">
        <v>0</v>
      </c>
      <c r="FF894" s="2" t="n">
        <v>100</v>
      </c>
      <c r="FG894" s="2" t="n">
        <v>100</v>
      </c>
      <c r="FH894" s="2" t="n">
        <v>0</v>
      </c>
      <c r="FI894" s="2" t="n">
        <v>100</v>
      </c>
      <c r="FJ894" s="2" t="n">
        <v>100</v>
      </c>
      <c r="FK894" s="2" t="n">
        <v>0</v>
      </c>
      <c r="FL894" s="2" t="n">
        <v>100</v>
      </c>
      <c r="FM894" s="2" t="n">
        <v>100</v>
      </c>
      <c r="FN894" s="2" t="n">
        <v>0</v>
      </c>
      <c r="FO894" s="2" t="n">
        <v>100</v>
      </c>
      <c r="FP894" s="2" t="n">
        <v>100</v>
      </c>
      <c r="FQ894" s="2" t="n">
        <v>0</v>
      </c>
    </row>
    <row r="895">
      <c r="A895" s="2" t="n">
        <v>4</v>
      </c>
      <c r="B895" s="2" t="inlineStr">
        <is>
          <t>32.02.02.07</t>
        </is>
      </c>
      <c r="C895" s="2" t="inlineStr">
        <is>
          <t>Retirada de Terra com caçamba</t>
        </is>
      </c>
      <c r="D895" s="2" t="inlineStr">
        <is>
          <t>15/02/2027</t>
        </is>
      </c>
      <c r="E895" s="2" t="inlineStr">
        <is>
          <t>29/10/2027</t>
        </is>
      </c>
      <c r="F895" s="2" t="n">
        <v>1992.36375</v>
      </c>
      <c r="G895" s="2" t="n">
        <v>0</v>
      </c>
      <c r="H895" s="2" t="n">
        <v>1992.36375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5.56</v>
      </c>
      <c r="CV895" s="2" t="n">
        <v>5.56</v>
      </c>
      <c r="CW895" s="2" t="n">
        <v>0</v>
      </c>
      <c r="CX895" s="2" t="n">
        <v>17.78</v>
      </c>
      <c r="CY895" s="2" t="n">
        <v>17.78</v>
      </c>
      <c r="CZ895" s="2" t="n">
        <v>0</v>
      </c>
      <c r="DA895" s="2" t="n">
        <v>29.44</v>
      </c>
      <c r="DB895" s="2" t="n">
        <v>29.44</v>
      </c>
      <c r="DC895" s="2" t="n">
        <v>0</v>
      </c>
      <c r="DD895" s="2" t="n">
        <v>40.56</v>
      </c>
      <c r="DE895" s="2" t="n">
        <v>40.56</v>
      </c>
      <c r="DF895" s="2" t="n">
        <v>0</v>
      </c>
      <c r="DG895" s="2" t="n">
        <v>52.78</v>
      </c>
      <c r="DH895" s="2" t="n">
        <v>52.78</v>
      </c>
      <c r="DI895" s="2" t="n">
        <v>0</v>
      </c>
      <c r="DJ895" s="2" t="n">
        <v>65</v>
      </c>
      <c r="DK895" s="2" t="n">
        <v>65</v>
      </c>
      <c r="DL895" s="2" t="n">
        <v>0</v>
      </c>
      <c r="DM895" s="2" t="n">
        <v>77.22</v>
      </c>
      <c r="DN895" s="2" t="n">
        <v>77.22</v>
      </c>
      <c r="DO895" s="2" t="n">
        <v>0</v>
      </c>
      <c r="DP895" s="2" t="n">
        <v>88.89</v>
      </c>
      <c r="DQ895" s="2" t="n">
        <v>88.89</v>
      </c>
      <c r="DR895" s="2" t="n">
        <v>0</v>
      </c>
      <c r="DS895" s="2" t="n">
        <v>100</v>
      </c>
      <c r="DT895" s="2" t="n">
        <v>100</v>
      </c>
      <c r="DU895" s="2" t="n">
        <v>0</v>
      </c>
      <c r="DV895" s="2" t="n">
        <v>100</v>
      </c>
      <c r="DW895" s="2" t="n">
        <v>100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  <c r="EQ895" s="2" t="n">
        <v>100</v>
      </c>
      <c r="ER895" s="2" t="n">
        <v>100</v>
      </c>
      <c r="ES895" s="2" t="n">
        <v>0</v>
      </c>
      <c r="ET895" s="2" t="n">
        <v>100</v>
      </c>
      <c r="EU895" s="2" t="n">
        <v>100</v>
      </c>
      <c r="EV895" s="2" t="n">
        <v>0</v>
      </c>
      <c r="EW895" s="2" t="n">
        <v>100</v>
      </c>
      <c r="EX895" s="2" t="n">
        <v>100</v>
      </c>
      <c r="EY895" s="2" t="n">
        <v>0</v>
      </c>
      <c r="EZ895" s="2" t="n">
        <v>100</v>
      </c>
      <c r="FA895" s="2" t="n">
        <v>100</v>
      </c>
      <c r="FB895" s="2" t="n">
        <v>0</v>
      </c>
      <c r="FC895" s="2" t="n">
        <v>100</v>
      </c>
      <c r="FD895" s="2" t="n">
        <v>100</v>
      </c>
      <c r="FE895" s="2" t="n">
        <v>0</v>
      </c>
      <c r="FF895" s="2" t="n">
        <v>100</v>
      </c>
      <c r="FG895" s="2" t="n">
        <v>100</v>
      </c>
      <c r="FH895" s="2" t="n">
        <v>0</v>
      </c>
      <c r="FI895" s="2" t="n">
        <v>100</v>
      </c>
      <c r="FJ895" s="2" t="n">
        <v>100</v>
      </c>
      <c r="FK895" s="2" t="n">
        <v>0</v>
      </c>
      <c r="FL895" s="2" t="n">
        <v>100</v>
      </c>
      <c r="FM895" s="2" t="n">
        <v>100</v>
      </c>
      <c r="FN895" s="2" t="n">
        <v>0</v>
      </c>
      <c r="FO895" s="2" t="n">
        <v>100</v>
      </c>
      <c r="FP895" s="2" t="n">
        <v>100</v>
      </c>
      <c r="FQ895" s="2" t="n">
        <v>0</v>
      </c>
    </row>
    <row r="896">
      <c r="A896" s="2" t="n">
        <v>3</v>
      </c>
      <c r="B896" s="2" t="inlineStr">
        <is>
          <t>32.02.03</t>
        </is>
      </c>
      <c r="C896" s="2" t="inlineStr">
        <is>
          <t>Pilaretes e cintas de concreto seção de 15x15cm</t>
        </is>
      </c>
      <c r="D896" s="2" t="inlineStr">
        <is>
          <t>15/02/2027</t>
        </is>
      </c>
      <c r="E896" s="2" t="inlineStr">
        <is>
          <t>29/10/2027</t>
        </is>
      </c>
      <c r="F896" s="2" t="n">
        <v>81734.81840786472</v>
      </c>
      <c r="G896" s="2" t="n">
        <v>0</v>
      </c>
      <c r="H896" s="2" t="n">
        <v>81734.81840786472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5.56</v>
      </c>
      <c r="CV896" s="2" t="n">
        <v>5.56</v>
      </c>
      <c r="CW896" s="2" t="n">
        <v>0</v>
      </c>
      <c r="CX896" s="2" t="n">
        <v>17.78</v>
      </c>
      <c r="CY896" s="2" t="n">
        <v>17.78</v>
      </c>
      <c r="CZ896" s="2" t="n">
        <v>0</v>
      </c>
      <c r="DA896" s="2" t="n">
        <v>29.44</v>
      </c>
      <c r="DB896" s="2" t="n">
        <v>29.44</v>
      </c>
      <c r="DC896" s="2" t="n">
        <v>0</v>
      </c>
      <c r="DD896" s="2" t="n">
        <v>40.56</v>
      </c>
      <c r="DE896" s="2" t="n">
        <v>40.56</v>
      </c>
      <c r="DF896" s="2" t="n">
        <v>0</v>
      </c>
      <c r="DG896" s="2" t="n">
        <v>52.78</v>
      </c>
      <c r="DH896" s="2" t="n">
        <v>52.78</v>
      </c>
      <c r="DI896" s="2" t="n">
        <v>0</v>
      </c>
      <c r="DJ896" s="2" t="n">
        <v>65</v>
      </c>
      <c r="DK896" s="2" t="n">
        <v>65</v>
      </c>
      <c r="DL896" s="2" t="n">
        <v>0</v>
      </c>
      <c r="DM896" s="2" t="n">
        <v>77.22</v>
      </c>
      <c r="DN896" s="2" t="n">
        <v>77.22</v>
      </c>
      <c r="DO896" s="2" t="n">
        <v>0</v>
      </c>
      <c r="DP896" s="2" t="n">
        <v>88.89</v>
      </c>
      <c r="DQ896" s="2" t="n">
        <v>88.89</v>
      </c>
      <c r="DR896" s="2" t="n">
        <v>0</v>
      </c>
      <c r="DS896" s="2" t="n">
        <v>100</v>
      </c>
      <c r="DT896" s="2" t="n">
        <v>100</v>
      </c>
      <c r="DU896" s="2" t="n">
        <v>0</v>
      </c>
      <c r="DV896" s="2" t="n">
        <v>100</v>
      </c>
      <c r="DW896" s="2" t="n">
        <v>100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  <c r="EQ896" s="2" t="n">
        <v>100</v>
      </c>
      <c r="ER896" s="2" t="n">
        <v>100</v>
      </c>
      <c r="ES896" s="2" t="n">
        <v>0</v>
      </c>
      <c r="ET896" s="2" t="n">
        <v>100</v>
      </c>
      <c r="EU896" s="2" t="n">
        <v>100</v>
      </c>
      <c r="EV896" s="2" t="n">
        <v>0</v>
      </c>
      <c r="EW896" s="2" t="n">
        <v>100</v>
      </c>
      <c r="EX896" s="2" t="n">
        <v>100</v>
      </c>
      <c r="EY896" s="2" t="n">
        <v>0</v>
      </c>
      <c r="EZ896" s="2" t="n">
        <v>100</v>
      </c>
      <c r="FA896" s="2" t="n">
        <v>100</v>
      </c>
      <c r="FB896" s="2" t="n">
        <v>0</v>
      </c>
      <c r="FC896" s="2" t="n">
        <v>100</v>
      </c>
      <c r="FD896" s="2" t="n">
        <v>100</v>
      </c>
      <c r="FE896" s="2" t="n">
        <v>0</v>
      </c>
      <c r="FF896" s="2" t="n">
        <v>100</v>
      </c>
      <c r="FG896" s="2" t="n">
        <v>100</v>
      </c>
      <c r="FH896" s="2" t="n">
        <v>0</v>
      </c>
      <c r="FI896" s="2" t="n">
        <v>100</v>
      </c>
      <c r="FJ896" s="2" t="n">
        <v>100</v>
      </c>
      <c r="FK896" s="2" t="n">
        <v>0</v>
      </c>
      <c r="FL896" s="2" t="n">
        <v>100</v>
      </c>
      <c r="FM896" s="2" t="n">
        <v>100</v>
      </c>
      <c r="FN896" s="2" t="n">
        <v>0</v>
      </c>
      <c r="FO896" s="2" t="n">
        <v>100</v>
      </c>
      <c r="FP896" s="2" t="n">
        <v>100</v>
      </c>
      <c r="FQ896" s="2" t="n">
        <v>0</v>
      </c>
    </row>
    <row r="897">
      <c r="A897" s="2" t="n">
        <v>4</v>
      </c>
      <c r="B897" s="2" t="inlineStr">
        <is>
          <t>32.02.03.01</t>
        </is>
      </c>
      <c r="C897" s="2" t="inlineStr">
        <is>
          <t>Armadura Ca-50</t>
        </is>
      </c>
      <c r="D897" s="2" t="inlineStr">
        <is>
          <t>15/02/2027</t>
        </is>
      </c>
      <c r="E897" s="2" t="inlineStr">
        <is>
          <t>29/10/2027</t>
        </is>
      </c>
      <c r="F897" s="2" t="n">
        <v>41078.76816049168</v>
      </c>
      <c r="G897" s="2" t="n">
        <v>0</v>
      </c>
      <c r="H897" s="2" t="n">
        <v>41078.76816049168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5.56</v>
      </c>
      <c r="CV897" s="2" t="n">
        <v>5.56</v>
      </c>
      <c r="CW897" s="2" t="n">
        <v>0</v>
      </c>
      <c r="CX897" s="2" t="n">
        <v>17.78</v>
      </c>
      <c r="CY897" s="2" t="n">
        <v>17.78</v>
      </c>
      <c r="CZ897" s="2" t="n">
        <v>0</v>
      </c>
      <c r="DA897" s="2" t="n">
        <v>29.44</v>
      </c>
      <c r="DB897" s="2" t="n">
        <v>29.44</v>
      </c>
      <c r="DC897" s="2" t="n">
        <v>0</v>
      </c>
      <c r="DD897" s="2" t="n">
        <v>40.56</v>
      </c>
      <c r="DE897" s="2" t="n">
        <v>40.56</v>
      </c>
      <c r="DF897" s="2" t="n">
        <v>0</v>
      </c>
      <c r="DG897" s="2" t="n">
        <v>52.78</v>
      </c>
      <c r="DH897" s="2" t="n">
        <v>52.78</v>
      </c>
      <c r="DI897" s="2" t="n">
        <v>0</v>
      </c>
      <c r="DJ897" s="2" t="n">
        <v>65</v>
      </c>
      <c r="DK897" s="2" t="n">
        <v>65</v>
      </c>
      <c r="DL897" s="2" t="n">
        <v>0</v>
      </c>
      <c r="DM897" s="2" t="n">
        <v>77.22</v>
      </c>
      <c r="DN897" s="2" t="n">
        <v>77.22</v>
      </c>
      <c r="DO897" s="2" t="n">
        <v>0</v>
      </c>
      <c r="DP897" s="2" t="n">
        <v>88.89</v>
      </c>
      <c r="DQ897" s="2" t="n">
        <v>88.89</v>
      </c>
      <c r="DR897" s="2" t="n">
        <v>0</v>
      </c>
      <c r="DS897" s="2" t="n">
        <v>100</v>
      </c>
      <c r="DT897" s="2" t="n">
        <v>100</v>
      </c>
      <c r="DU897" s="2" t="n">
        <v>0</v>
      </c>
      <c r="DV897" s="2" t="n">
        <v>100</v>
      </c>
      <c r="DW897" s="2" t="n">
        <v>100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  <c r="EQ897" s="2" t="n">
        <v>100</v>
      </c>
      <c r="ER897" s="2" t="n">
        <v>100</v>
      </c>
      <c r="ES897" s="2" t="n">
        <v>0</v>
      </c>
      <c r="ET897" s="2" t="n">
        <v>100</v>
      </c>
      <c r="EU897" s="2" t="n">
        <v>100</v>
      </c>
      <c r="EV897" s="2" t="n">
        <v>0</v>
      </c>
      <c r="EW897" s="2" t="n">
        <v>100</v>
      </c>
      <c r="EX897" s="2" t="n">
        <v>100</v>
      </c>
      <c r="EY897" s="2" t="n">
        <v>0</v>
      </c>
      <c r="EZ897" s="2" t="n">
        <v>100</v>
      </c>
      <c r="FA897" s="2" t="n">
        <v>100</v>
      </c>
      <c r="FB897" s="2" t="n">
        <v>0</v>
      </c>
      <c r="FC897" s="2" t="n">
        <v>100</v>
      </c>
      <c r="FD897" s="2" t="n">
        <v>100</v>
      </c>
      <c r="FE897" s="2" t="n">
        <v>0</v>
      </c>
      <c r="FF897" s="2" t="n">
        <v>100</v>
      </c>
      <c r="FG897" s="2" t="n">
        <v>100</v>
      </c>
      <c r="FH897" s="2" t="n">
        <v>0</v>
      </c>
      <c r="FI897" s="2" t="n">
        <v>100</v>
      </c>
      <c r="FJ897" s="2" t="n">
        <v>100</v>
      </c>
      <c r="FK897" s="2" t="n">
        <v>0</v>
      </c>
      <c r="FL897" s="2" t="n">
        <v>100</v>
      </c>
      <c r="FM897" s="2" t="n">
        <v>100</v>
      </c>
      <c r="FN897" s="2" t="n">
        <v>0</v>
      </c>
      <c r="FO897" s="2" t="n">
        <v>100</v>
      </c>
      <c r="FP897" s="2" t="n">
        <v>100</v>
      </c>
      <c r="FQ897" s="2" t="n">
        <v>0</v>
      </c>
    </row>
    <row r="898">
      <c r="A898" s="2" t="n">
        <v>4</v>
      </c>
      <c r="B898" s="2" t="inlineStr">
        <is>
          <t>32.02.03.02</t>
        </is>
      </c>
      <c r="C898" s="2" t="inlineStr">
        <is>
          <t>Armadura Ca-60</t>
        </is>
      </c>
      <c r="D898" s="2" t="inlineStr">
        <is>
          <t>15/02/2027</t>
        </is>
      </c>
      <c r="E898" s="2" t="inlineStr">
        <is>
          <t>29/10/2027</t>
        </is>
      </c>
      <c r="F898" s="2" t="n">
        <v>4564.545458809001</v>
      </c>
      <c r="G898" s="2" t="n">
        <v>0</v>
      </c>
      <c r="H898" s="2" t="n">
        <v>4564.545458809001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5.56</v>
      </c>
      <c r="CV898" s="2" t="n">
        <v>5.56</v>
      </c>
      <c r="CW898" s="2" t="n">
        <v>0</v>
      </c>
      <c r="CX898" s="2" t="n">
        <v>17.78</v>
      </c>
      <c r="CY898" s="2" t="n">
        <v>17.78</v>
      </c>
      <c r="CZ898" s="2" t="n">
        <v>0</v>
      </c>
      <c r="DA898" s="2" t="n">
        <v>29.44</v>
      </c>
      <c r="DB898" s="2" t="n">
        <v>29.44</v>
      </c>
      <c r="DC898" s="2" t="n">
        <v>0</v>
      </c>
      <c r="DD898" s="2" t="n">
        <v>40.56</v>
      </c>
      <c r="DE898" s="2" t="n">
        <v>40.56</v>
      </c>
      <c r="DF898" s="2" t="n">
        <v>0</v>
      </c>
      <c r="DG898" s="2" t="n">
        <v>52.78</v>
      </c>
      <c r="DH898" s="2" t="n">
        <v>52.78</v>
      </c>
      <c r="DI898" s="2" t="n">
        <v>0</v>
      </c>
      <c r="DJ898" s="2" t="n">
        <v>65</v>
      </c>
      <c r="DK898" s="2" t="n">
        <v>65</v>
      </c>
      <c r="DL898" s="2" t="n">
        <v>0</v>
      </c>
      <c r="DM898" s="2" t="n">
        <v>77.22</v>
      </c>
      <c r="DN898" s="2" t="n">
        <v>77.22</v>
      </c>
      <c r="DO898" s="2" t="n">
        <v>0</v>
      </c>
      <c r="DP898" s="2" t="n">
        <v>88.89</v>
      </c>
      <c r="DQ898" s="2" t="n">
        <v>88.89</v>
      </c>
      <c r="DR898" s="2" t="n">
        <v>0</v>
      </c>
      <c r="DS898" s="2" t="n">
        <v>100</v>
      </c>
      <c r="DT898" s="2" t="n">
        <v>100</v>
      </c>
      <c r="DU898" s="2" t="n">
        <v>0</v>
      </c>
      <c r="DV898" s="2" t="n">
        <v>100</v>
      </c>
      <c r="DW898" s="2" t="n">
        <v>100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  <c r="EQ898" s="2" t="n">
        <v>100</v>
      </c>
      <c r="ER898" s="2" t="n">
        <v>100</v>
      </c>
      <c r="ES898" s="2" t="n">
        <v>0</v>
      </c>
      <c r="ET898" s="2" t="n">
        <v>100</v>
      </c>
      <c r="EU898" s="2" t="n">
        <v>100</v>
      </c>
      <c r="EV898" s="2" t="n">
        <v>0</v>
      </c>
      <c r="EW898" s="2" t="n">
        <v>100</v>
      </c>
      <c r="EX898" s="2" t="n">
        <v>100</v>
      </c>
      <c r="EY898" s="2" t="n">
        <v>0</v>
      </c>
      <c r="EZ898" s="2" t="n">
        <v>100</v>
      </c>
      <c r="FA898" s="2" t="n">
        <v>100</v>
      </c>
      <c r="FB898" s="2" t="n">
        <v>0</v>
      </c>
      <c r="FC898" s="2" t="n">
        <v>100</v>
      </c>
      <c r="FD898" s="2" t="n">
        <v>100</v>
      </c>
      <c r="FE898" s="2" t="n">
        <v>0</v>
      </c>
      <c r="FF898" s="2" t="n">
        <v>100</v>
      </c>
      <c r="FG898" s="2" t="n">
        <v>100</v>
      </c>
      <c r="FH898" s="2" t="n">
        <v>0</v>
      </c>
      <c r="FI898" s="2" t="n">
        <v>100</v>
      </c>
      <c r="FJ898" s="2" t="n">
        <v>100</v>
      </c>
      <c r="FK898" s="2" t="n">
        <v>0</v>
      </c>
      <c r="FL898" s="2" t="n">
        <v>100</v>
      </c>
      <c r="FM898" s="2" t="n">
        <v>100</v>
      </c>
      <c r="FN898" s="2" t="n">
        <v>0</v>
      </c>
      <c r="FO898" s="2" t="n">
        <v>100</v>
      </c>
      <c r="FP898" s="2" t="n">
        <v>100</v>
      </c>
      <c r="FQ898" s="2" t="n">
        <v>0</v>
      </c>
    </row>
    <row r="899">
      <c r="A899" s="2" t="n">
        <v>4</v>
      </c>
      <c r="B899" s="2" t="inlineStr">
        <is>
          <t>32.02.03.03</t>
        </is>
      </c>
      <c r="C899" s="2" t="inlineStr">
        <is>
          <t>Concreto preparado na obra, controle "A", brita 1 e 2, fck 20 Mpa</t>
        </is>
      </c>
      <c r="D899" s="2" t="inlineStr">
        <is>
          <t>15/02/2027</t>
        </is>
      </c>
      <c r="E899" s="2" t="inlineStr">
        <is>
          <t>29/10/2027</t>
        </is>
      </c>
      <c r="F899" s="2" t="n">
        <v>36091.50478856403</v>
      </c>
      <c r="G899" s="2" t="n">
        <v>0</v>
      </c>
      <c r="H899" s="2" t="n">
        <v>36091.50478856403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5.56</v>
      </c>
      <c r="CV899" s="2" t="n">
        <v>5.56</v>
      </c>
      <c r="CW899" s="2" t="n">
        <v>0</v>
      </c>
      <c r="CX899" s="2" t="n">
        <v>17.78</v>
      </c>
      <c r="CY899" s="2" t="n">
        <v>17.78</v>
      </c>
      <c r="CZ899" s="2" t="n">
        <v>0</v>
      </c>
      <c r="DA899" s="2" t="n">
        <v>29.44</v>
      </c>
      <c r="DB899" s="2" t="n">
        <v>29.44</v>
      </c>
      <c r="DC899" s="2" t="n">
        <v>0</v>
      </c>
      <c r="DD899" s="2" t="n">
        <v>40.56</v>
      </c>
      <c r="DE899" s="2" t="n">
        <v>40.56</v>
      </c>
      <c r="DF899" s="2" t="n">
        <v>0</v>
      </c>
      <c r="DG899" s="2" t="n">
        <v>52.78</v>
      </c>
      <c r="DH899" s="2" t="n">
        <v>52.78</v>
      </c>
      <c r="DI899" s="2" t="n">
        <v>0</v>
      </c>
      <c r="DJ899" s="2" t="n">
        <v>65</v>
      </c>
      <c r="DK899" s="2" t="n">
        <v>65</v>
      </c>
      <c r="DL899" s="2" t="n">
        <v>0</v>
      </c>
      <c r="DM899" s="2" t="n">
        <v>77.22</v>
      </c>
      <c r="DN899" s="2" t="n">
        <v>77.22</v>
      </c>
      <c r="DO899" s="2" t="n">
        <v>0</v>
      </c>
      <c r="DP899" s="2" t="n">
        <v>88.89</v>
      </c>
      <c r="DQ899" s="2" t="n">
        <v>88.89</v>
      </c>
      <c r="DR899" s="2" t="n">
        <v>0</v>
      </c>
      <c r="DS899" s="2" t="n">
        <v>100</v>
      </c>
      <c r="DT899" s="2" t="n">
        <v>100</v>
      </c>
      <c r="DU899" s="2" t="n">
        <v>0</v>
      </c>
      <c r="DV899" s="2" t="n">
        <v>100</v>
      </c>
      <c r="DW899" s="2" t="n">
        <v>100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  <c r="EQ899" s="2" t="n">
        <v>100</v>
      </c>
      <c r="ER899" s="2" t="n">
        <v>100</v>
      </c>
      <c r="ES899" s="2" t="n">
        <v>0</v>
      </c>
      <c r="ET899" s="2" t="n">
        <v>100</v>
      </c>
      <c r="EU899" s="2" t="n">
        <v>100</v>
      </c>
      <c r="EV899" s="2" t="n">
        <v>0</v>
      </c>
      <c r="EW899" s="2" t="n">
        <v>100</v>
      </c>
      <c r="EX899" s="2" t="n">
        <v>100</v>
      </c>
      <c r="EY899" s="2" t="n">
        <v>0</v>
      </c>
      <c r="EZ899" s="2" t="n">
        <v>100</v>
      </c>
      <c r="FA899" s="2" t="n">
        <v>100</v>
      </c>
      <c r="FB899" s="2" t="n">
        <v>0</v>
      </c>
      <c r="FC899" s="2" t="n">
        <v>100</v>
      </c>
      <c r="FD899" s="2" t="n">
        <v>100</v>
      </c>
      <c r="FE899" s="2" t="n">
        <v>0</v>
      </c>
      <c r="FF899" s="2" t="n">
        <v>100</v>
      </c>
      <c r="FG899" s="2" t="n">
        <v>100</v>
      </c>
      <c r="FH899" s="2" t="n">
        <v>0</v>
      </c>
      <c r="FI899" s="2" t="n">
        <v>100</v>
      </c>
      <c r="FJ899" s="2" t="n">
        <v>100</v>
      </c>
      <c r="FK899" s="2" t="n">
        <v>0</v>
      </c>
      <c r="FL899" s="2" t="n">
        <v>100</v>
      </c>
      <c r="FM899" s="2" t="n">
        <v>100</v>
      </c>
      <c r="FN899" s="2" t="n">
        <v>0</v>
      </c>
      <c r="FO899" s="2" t="n">
        <v>100</v>
      </c>
      <c r="FP899" s="2" t="n">
        <v>100</v>
      </c>
      <c r="FQ899" s="2" t="n">
        <v>0</v>
      </c>
    </row>
    <row r="900">
      <c r="A900" s="2" t="n">
        <v>3</v>
      </c>
      <c r="B900" s="2" t="inlineStr">
        <is>
          <t>32.02.04</t>
        </is>
      </c>
      <c r="C900" s="2" t="inlineStr">
        <is>
          <t>Alvenaria de vedação com blocos de concreto esp. 14cm</t>
        </is>
      </c>
      <c r="D900" s="2" t="inlineStr">
        <is>
          <t>15/02/2027</t>
        </is>
      </c>
      <c r="E900" s="2" t="inlineStr">
        <is>
          <t>29/10/2027</t>
        </is>
      </c>
      <c r="F900" s="2" t="n">
        <v>157360.6542938622</v>
      </c>
      <c r="G900" s="2" t="n">
        <v>0</v>
      </c>
      <c r="H900" s="2" t="n">
        <v>157360.6542938622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5.56</v>
      </c>
      <c r="CV900" s="2" t="n">
        <v>5.56</v>
      </c>
      <c r="CW900" s="2" t="n">
        <v>0</v>
      </c>
      <c r="CX900" s="2" t="n">
        <v>17.78</v>
      </c>
      <c r="CY900" s="2" t="n">
        <v>17.78</v>
      </c>
      <c r="CZ900" s="2" t="n">
        <v>0</v>
      </c>
      <c r="DA900" s="2" t="n">
        <v>29.44</v>
      </c>
      <c r="DB900" s="2" t="n">
        <v>29.44</v>
      </c>
      <c r="DC900" s="2" t="n">
        <v>0</v>
      </c>
      <c r="DD900" s="2" t="n">
        <v>40.56</v>
      </c>
      <c r="DE900" s="2" t="n">
        <v>40.56</v>
      </c>
      <c r="DF900" s="2" t="n">
        <v>0</v>
      </c>
      <c r="DG900" s="2" t="n">
        <v>52.78</v>
      </c>
      <c r="DH900" s="2" t="n">
        <v>52.78</v>
      </c>
      <c r="DI900" s="2" t="n">
        <v>0</v>
      </c>
      <c r="DJ900" s="2" t="n">
        <v>65</v>
      </c>
      <c r="DK900" s="2" t="n">
        <v>65</v>
      </c>
      <c r="DL900" s="2" t="n">
        <v>0</v>
      </c>
      <c r="DM900" s="2" t="n">
        <v>77.22</v>
      </c>
      <c r="DN900" s="2" t="n">
        <v>77.22</v>
      </c>
      <c r="DO900" s="2" t="n">
        <v>0</v>
      </c>
      <c r="DP900" s="2" t="n">
        <v>88.89</v>
      </c>
      <c r="DQ900" s="2" t="n">
        <v>88.89</v>
      </c>
      <c r="DR900" s="2" t="n">
        <v>0</v>
      </c>
      <c r="DS900" s="2" t="n">
        <v>100</v>
      </c>
      <c r="DT900" s="2" t="n">
        <v>100</v>
      </c>
      <c r="DU900" s="2" t="n">
        <v>0</v>
      </c>
      <c r="DV900" s="2" t="n">
        <v>100</v>
      </c>
      <c r="DW900" s="2" t="n">
        <v>100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  <c r="EQ900" s="2" t="n">
        <v>100</v>
      </c>
      <c r="ER900" s="2" t="n">
        <v>100</v>
      </c>
      <c r="ES900" s="2" t="n">
        <v>0</v>
      </c>
      <c r="ET900" s="2" t="n">
        <v>100</v>
      </c>
      <c r="EU900" s="2" t="n">
        <v>100</v>
      </c>
      <c r="EV900" s="2" t="n">
        <v>0</v>
      </c>
      <c r="EW900" s="2" t="n">
        <v>100</v>
      </c>
      <c r="EX900" s="2" t="n">
        <v>100</v>
      </c>
      <c r="EY900" s="2" t="n">
        <v>0</v>
      </c>
      <c r="EZ900" s="2" t="n">
        <v>100</v>
      </c>
      <c r="FA900" s="2" t="n">
        <v>100</v>
      </c>
      <c r="FB900" s="2" t="n">
        <v>0</v>
      </c>
      <c r="FC900" s="2" t="n">
        <v>100</v>
      </c>
      <c r="FD900" s="2" t="n">
        <v>100</v>
      </c>
      <c r="FE900" s="2" t="n">
        <v>0</v>
      </c>
      <c r="FF900" s="2" t="n">
        <v>100</v>
      </c>
      <c r="FG900" s="2" t="n">
        <v>100</v>
      </c>
      <c r="FH900" s="2" t="n">
        <v>0</v>
      </c>
      <c r="FI900" s="2" t="n">
        <v>100</v>
      </c>
      <c r="FJ900" s="2" t="n">
        <v>100</v>
      </c>
      <c r="FK900" s="2" t="n">
        <v>0</v>
      </c>
      <c r="FL900" s="2" t="n">
        <v>100</v>
      </c>
      <c r="FM900" s="2" t="n">
        <v>100</v>
      </c>
      <c r="FN900" s="2" t="n">
        <v>0</v>
      </c>
      <c r="FO900" s="2" t="n">
        <v>100</v>
      </c>
      <c r="FP900" s="2" t="n">
        <v>100</v>
      </c>
      <c r="FQ900" s="2" t="n">
        <v>0</v>
      </c>
    </row>
    <row r="901">
      <c r="A901" s="2" t="n">
        <v>4</v>
      </c>
      <c r="B901" s="2" t="inlineStr">
        <is>
          <t>32.02.04.01</t>
        </is>
      </c>
      <c r="C901" s="2" t="inlineStr">
        <is>
          <t>Alvenaria de vedação com blocos de concreto esp. 14m</t>
        </is>
      </c>
      <c r="D901" s="2" t="inlineStr">
        <is>
          <t>15/02/2027</t>
        </is>
      </c>
      <c r="E901" s="2" t="inlineStr">
        <is>
          <t>29/10/2027</t>
        </is>
      </c>
      <c r="F901" s="2" t="n">
        <v>157360.6542938622</v>
      </c>
      <c r="G901" s="2" t="n">
        <v>0</v>
      </c>
      <c r="H901" s="2" t="n">
        <v>157360.6542938622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5.56</v>
      </c>
      <c r="CV901" s="2" t="n">
        <v>5.56</v>
      </c>
      <c r="CW901" s="2" t="n">
        <v>0</v>
      </c>
      <c r="CX901" s="2" t="n">
        <v>17.78</v>
      </c>
      <c r="CY901" s="2" t="n">
        <v>17.78</v>
      </c>
      <c r="CZ901" s="2" t="n">
        <v>0</v>
      </c>
      <c r="DA901" s="2" t="n">
        <v>29.44</v>
      </c>
      <c r="DB901" s="2" t="n">
        <v>29.44</v>
      </c>
      <c r="DC901" s="2" t="n">
        <v>0</v>
      </c>
      <c r="DD901" s="2" t="n">
        <v>40.56</v>
      </c>
      <c r="DE901" s="2" t="n">
        <v>40.56</v>
      </c>
      <c r="DF901" s="2" t="n">
        <v>0</v>
      </c>
      <c r="DG901" s="2" t="n">
        <v>52.78</v>
      </c>
      <c r="DH901" s="2" t="n">
        <v>52.78</v>
      </c>
      <c r="DI901" s="2" t="n">
        <v>0</v>
      </c>
      <c r="DJ901" s="2" t="n">
        <v>65</v>
      </c>
      <c r="DK901" s="2" t="n">
        <v>65</v>
      </c>
      <c r="DL901" s="2" t="n">
        <v>0</v>
      </c>
      <c r="DM901" s="2" t="n">
        <v>77.22</v>
      </c>
      <c r="DN901" s="2" t="n">
        <v>77.22</v>
      </c>
      <c r="DO901" s="2" t="n">
        <v>0</v>
      </c>
      <c r="DP901" s="2" t="n">
        <v>88.89</v>
      </c>
      <c r="DQ901" s="2" t="n">
        <v>88.89</v>
      </c>
      <c r="DR901" s="2" t="n">
        <v>0</v>
      </c>
      <c r="DS901" s="2" t="n">
        <v>100</v>
      </c>
      <c r="DT901" s="2" t="n">
        <v>100</v>
      </c>
      <c r="DU901" s="2" t="n">
        <v>0</v>
      </c>
      <c r="DV901" s="2" t="n">
        <v>100</v>
      </c>
      <c r="DW901" s="2" t="n">
        <v>100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  <c r="EQ901" s="2" t="n">
        <v>100</v>
      </c>
      <c r="ER901" s="2" t="n">
        <v>100</v>
      </c>
      <c r="ES901" s="2" t="n">
        <v>0</v>
      </c>
      <c r="ET901" s="2" t="n">
        <v>100</v>
      </c>
      <c r="EU901" s="2" t="n">
        <v>100</v>
      </c>
      <c r="EV901" s="2" t="n">
        <v>0</v>
      </c>
      <c r="EW901" s="2" t="n">
        <v>100</v>
      </c>
      <c r="EX901" s="2" t="n">
        <v>100</v>
      </c>
      <c r="EY901" s="2" t="n">
        <v>0</v>
      </c>
      <c r="EZ901" s="2" t="n">
        <v>100</v>
      </c>
      <c r="FA901" s="2" t="n">
        <v>100</v>
      </c>
      <c r="FB901" s="2" t="n">
        <v>0</v>
      </c>
      <c r="FC901" s="2" t="n">
        <v>100</v>
      </c>
      <c r="FD901" s="2" t="n">
        <v>100</v>
      </c>
      <c r="FE901" s="2" t="n">
        <v>0</v>
      </c>
      <c r="FF901" s="2" t="n">
        <v>100</v>
      </c>
      <c r="FG901" s="2" t="n">
        <v>100</v>
      </c>
      <c r="FH901" s="2" t="n">
        <v>0</v>
      </c>
      <c r="FI901" s="2" t="n">
        <v>100</v>
      </c>
      <c r="FJ901" s="2" t="n">
        <v>100</v>
      </c>
      <c r="FK901" s="2" t="n">
        <v>0</v>
      </c>
      <c r="FL901" s="2" t="n">
        <v>100</v>
      </c>
      <c r="FM901" s="2" t="n">
        <v>100</v>
      </c>
      <c r="FN901" s="2" t="n">
        <v>0</v>
      </c>
      <c r="FO901" s="2" t="n">
        <v>100</v>
      </c>
      <c r="FP901" s="2" t="n">
        <v>100</v>
      </c>
      <c r="FQ901" s="2" t="n">
        <v>0</v>
      </c>
    </row>
    <row r="902">
      <c r="A902" s="2" t="n">
        <v>3</v>
      </c>
      <c r="B902" s="2" t="inlineStr">
        <is>
          <t>32.02.05</t>
        </is>
      </c>
      <c r="C902" s="2" t="inlineStr">
        <is>
          <t>Revestimento do muro com argamassa de cimento e areia</t>
        </is>
      </c>
      <c r="D902" s="2" t="inlineStr">
        <is>
          <t>15/02/2027</t>
        </is>
      </c>
      <c r="E902" s="2" t="inlineStr">
        <is>
          <t>29/10/2027</t>
        </is>
      </c>
      <c r="F902" s="2" t="n">
        <v>4904.934503089954</v>
      </c>
      <c r="G902" s="2" t="n">
        <v>0</v>
      </c>
      <c r="H902" s="2" t="n">
        <v>4904.934503089954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5.56</v>
      </c>
      <c r="CV902" s="2" t="n">
        <v>5.56</v>
      </c>
      <c r="CW902" s="2" t="n">
        <v>0</v>
      </c>
      <c r="CX902" s="2" t="n">
        <v>17.78</v>
      </c>
      <c r="CY902" s="2" t="n">
        <v>17.78</v>
      </c>
      <c r="CZ902" s="2" t="n">
        <v>0</v>
      </c>
      <c r="DA902" s="2" t="n">
        <v>29.44</v>
      </c>
      <c r="DB902" s="2" t="n">
        <v>29.44</v>
      </c>
      <c r="DC902" s="2" t="n">
        <v>0</v>
      </c>
      <c r="DD902" s="2" t="n">
        <v>40.56</v>
      </c>
      <c r="DE902" s="2" t="n">
        <v>40.56</v>
      </c>
      <c r="DF902" s="2" t="n">
        <v>0</v>
      </c>
      <c r="DG902" s="2" t="n">
        <v>52.78</v>
      </c>
      <c r="DH902" s="2" t="n">
        <v>52.78</v>
      </c>
      <c r="DI902" s="2" t="n">
        <v>0</v>
      </c>
      <c r="DJ902" s="2" t="n">
        <v>65</v>
      </c>
      <c r="DK902" s="2" t="n">
        <v>65</v>
      </c>
      <c r="DL902" s="2" t="n">
        <v>0</v>
      </c>
      <c r="DM902" s="2" t="n">
        <v>77.22</v>
      </c>
      <c r="DN902" s="2" t="n">
        <v>77.22</v>
      </c>
      <c r="DO902" s="2" t="n">
        <v>0</v>
      </c>
      <c r="DP902" s="2" t="n">
        <v>88.89</v>
      </c>
      <c r="DQ902" s="2" t="n">
        <v>88.89</v>
      </c>
      <c r="DR902" s="2" t="n">
        <v>0</v>
      </c>
      <c r="DS902" s="2" t="n">
        <v>100</v>
      </c>
      <c r="DT902" s="2" t="n">
        <v>100</v>
      </c>
      <c r="DU902" s="2" t="n">
        <v>0</v>
      </c>
      <c r="DV902" s="2" t="n">
        <v>100</v>
      </c>
      <c r="DW902" s="2" t="n">
        <v>100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  <c r="ET902" s="2" t="n">
        <v>100</v>
      </c>
      <c r="EU902" s="2" t="n">
        <v>100</v>
      </c>
      <c r="EV902" s="2" t="n">
        <v>0</v>
      </c>
      <c r="EW902" s="2" t="n">
        <v>100</v>
      </c>
      <c r="EX902" s="2" t="n">
        <v>100</v>
      </c>
      <c r="EY902" s="2" t="n">
        <v>0</v>
      </c>
      <c r="EZ902" s="2" t="n">
        <v>100</v>
      </c>
      <c r="FA902" s="2" t="n">
        <v>100</v>
      </c>
      <c r="FB902" s="2" t="n">
        <v>0</v>
      </c>
      <c r="FC902" s="2" t="n">
        <v>100</v>
      </c>
      <c r="FD902" s="2" t="n">
        <v>100</v>
      </c>
      <c r="FE902" s="2" t="n">
        <v>0</v>
      </c>
      <c r="FF902" s="2" t="n">
        <v>100</v>
      </c>
      <c r="FG902" s="2" t="n">
        <v>100</v>
      </c>
      <c r="FH902" s="2" t="n">
        <v>0</v>
      </c>
      <c r="FI902" s="2" t="n">
        <v>100</v>
      </c>
      <c r="FJ902" s="2" t="n">
        <v>100</v>
      </c>
      <c r="FK902" s="2" t="n">
        <v>0</v>
      </c>
      <c r="FL902" s="2" t="n">
        <v>100</v>
      </c>
      <c r="FM902" s="2" t="n">
        <v>100</v>
      </c>
      <c r="FN902" s="2" t="n">
        <v>0</v>
      </c>
      <c r="FO902" s="2" t="n">
        <v>100</v>
      </c>
      <c r="FP902" s="2" t="n">
        <v>100</v>
      </c>
      <c r="FQ902" s="2" t="n">
        <v>0</v>
      </c>
    </row>
    <row r="903">
      <c r="A903" s="2" t="n">
        <v>4</v>
      </c>
      <c r="B903" s="2" t="inlineStr">
        <is>
          <t>32.02.05.01</t>
        </is>
      </c>
      <c r="C903" s="2" t="inlineStr">
        <is>
          <t>Chapéu de muro pré-moldado de concreto</t>
        </is>
      </c>
      <c r="D903" s="2" t="inlineStr">
        <is>
          <t>15/02/2027</t>
        </is>
      </c>
      <c r="E903" s="2" t="inlineStr">
        <is>
          <t>29/10/2027</t>
        </is>
      </c>
      <c r="F903" s="2" t="n">
        <v>4904.934503089954</v>
      </c>
      <c r="G903" s="2" t="n">
        <v>0</v>
      </c>
      <c r="H903" s="2" t="n">
        <v>4904.934503089954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5.56</v>
      </c>
      <c r="CV903" s="2" t="n">
        <v>5.56</v>
      </c>
      <c r="CW903" s="2" t="n">
        <v>0</v>
      </c>
      <c r="CX903" s="2" t="n">
        <v>17.78</v>
      </c>
      <c r="CY903" s="2" t="n">
        <v>17.78</v>
      </c>
      <c r="CZ903" s="2" t="n">
        <v>0</v>
      </c>
      <c r="DA903" s="2" t="n">
        <v>29.44</v>
      </c>
      <c r="DB903" s="2" t="n">
        <v>29.44</v>
      </c>
      <c r="DC903" s="2" t="n">
        <v>0</v>
      </c>
      <c r="DD903" s="2" t="n">
        <v>40.56</v>
      </c>
      <c r="DE903" s="2" t="n">
        <v>40.56</v>
      </c>
      <c r="DF903" s="2" t="n">
        <v>0</v>
      </c>
      <c r="DG903" s="2" t="n">
        <v>52.78</v>
      </c>
      <c r="DH903" s="2" t="n">
        <v>52.78</v>
      </c>
      <c r="DI903" s="2" t="n">
        <v>0</v>
      </c>
      <c r="DJ903" s="2" t="n">
        <v>65</v>
      </c>
      <c r="DK903" s="2" t="n">
        <v>65</v>
      </c>
      <c r="DL903" s="2" t="n">
        <v>0</v>
      </c>
      <c r="DM903" s="2" t="n">
        <v>77.22</v>
      </c>
      <c r="DN903" s="2" t="n">
        <v>77.22</v>
      </c>
      <c r="DO903" s="2" t="n">
        <v>0</v>
      </c>
      <c r="DP903" s="2" t="n">
        <v>88.89</v>
      </c>
      <c r="DQ903" s="2" t="n">
        <v>88.89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  <c r="ET903" s="2" t="n">
        <v>100</v>
      </c>
      <c r="EU903" s="2" t="n">
        <v>100</v>
      </c>
      <c r="EV903" s="2" t="n">
        <v>0</v>
      </c>
      <c r="EW903" s="2" t="n">
        <v>100</v>
      </c>
      <c r="EX903" s="2" t="n">
        <v>100</v>
      </c>
      <c r="EY903" s="2" t="n">
        <v>0</v>
      </c>
      <c r="EZ903" s="2" t="n">
        <v>100</v>
      </c>
      <c r="FA903" s="2" t="n">
        <v>100</v>
      </c>
      <c r="FB903" s="2" t="n">
        <v>0</v>
      </c>
      <c r="FC903" s="2" t="n">
        <v>100</v>
      </c>
      <c r="FD903" s="2" t="n">
        <v>100</v>
      </c>
      <c r="FE903" s="2" t="n">
        <v>0</v>
      </c>
      <c r="FF903" s="2" t="n">
        <v>100</v>
      </c>
      <c r="FG903" s="2" t="n">
        <v>100</v>
      </c>
      <c r="FH903" s="2" t="n">
        <v>0</v>
      </c>
      <c r="FI903" s="2" t="n">
        <v>100</v>
      </c>
      <c r="FJ903" s="2" t="n">
        <v>100</v>
      </c>
      <c r="FK903" s="2" t="n">
        <v>0</v>
      </c>
      <c r="FL903" s="2" t="n">
        <v>100</v>
      </c>
      <c r="FM903" s="2" t="n">
        <v>100</v>
      </c>
      <c r="FN903" s="2" t="n">
        <v>0</v>
      </c>
      <c r="FO903" s="2" t="n">
        <v>100</v>
      </c>
      <c r="FP903" s="2" t="n">
        <v>100</v>
      </c>
      <c r="FQ903" s="2" t="n">
        <v>0</v>
      </c>
    </row>
    <row r="904">
      <c r="A904" s="2" t="n">
        <v>1</v>
      </c>
      <c r="B904" s="2" t="inlineStr">
        <is>
          <t>33</t>
        </is>
      </c>
      <c r="C904" s="2" t="inlineStr">
        <is>
          <t>FORROS DIVERSOS</t>
        </is>
      </c>
      <c r="D904" s="2" t="inlineStr">
        <is>
          <t>30/03/2027</t>
        </is>
      </c>
      <c r="E904" s="2" t="inlineStr">
        <is>
          <t>09/11/2028</t>
        </is>
      </c>
      <c r="F904" s="2" t="n">
        <v>2024194.970734</v>
      </c>
      <c r="G904" s="2" t="n">
        <v>0</v>
      </c>
      <c r="H904" s="2" t="n">
        <v>2024194.970734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1.35</v>
      </c>
      <c r="CY904" s="2" t="n">
        <v>0.03</v>
      </c>
      <c r="CZ904" s="2" t="n">
        <v>0</v>
      </c>
      <c r="DA904" s="2" t="n">
        <v>3.75</v>
      </c>
      <c r="DB904" s="2" t="n">
        <v>1.81</v>
      </c>
      <c r="DC904" s="2" t="n">
        <v>0</v>
      </c>
      <c r="DD904" s="2" t="n">
        <v>6.31</v>
      </c>
      <c r="DE904" s="2" t="n">
        <v>3.41</v>
      </c>
      <c r="DF904" s="2" t="n">
        <v>0</v>
      </c>
      <c r="DG904" s="2" t="n">
        <v>11.5</v>
      </c>
      <c r="DH904" s="2" t="n">
        <v>5.81</v>
      </c>
      <c r="DI904" s="2" t="n">
        <v>0</v>
      </c>
      <c r="DJ904" s="2" t="n">
        <v>14.72</v>
      </c>
      <c r="DK904" s="2" t="n">
        <v>9.07</v>
      </c>
      <c r="DL904" s="2" t="n">
        <v>0</v>
      </c>
      <c r="DM904" s="2" t="n">
        <v>24.44</v>
      </c>
      <c r="DN904" s="2" t="n">
        <v>14.9</v>
      </c>
      <c r="DO904" s="2" t="n">
        <v>0</v>
      </c>
      <c r="DP904" s="2" t="n">
        <v>30.37</v>
      </c>
      <c r="DQ904" s="2" t="n">
        <v>19.13</v>
      </c>
      <c r="DR904" s="2" t="n">
        <v>0</v>
      </c>
      <c r="DS904" s="2" t="n">
        <v>37.17</v>
      </c>
      <c r="DT904" s="2" t="n">
        <v>28.06</v>
      </c>
      <c r="DU904" s="2" t="n">
        <v>0</v>
      </c>
      <c r="DV904" s="2" t="n">
        <v>46.77</v>
      </c>
      <c r="DW904" s="2" t="n">
        <v>38.55</v>
      </c>
      <c r="DX904" s="2" t="n">
        <v>0</v>
      </c>
      <c r="DY904" s="2" t="n">
        <v>53.79</v>
      </c>
      <c r="DZ904" s="2" t="n">
        <v>41.84</v>
      </c>
      <c r="EA904" s="2" t="n">
        <v>0</v>
      </c>
      <c r="EB904" s="2" t="n">
        <v>69.01000000000001</v>
      </c>
      <c r="EC904" s="2" t="n">
        <v>49.32</v>
      </c>
      <c r="ED904" s="2" t="n">
        <v>0</v>
      </c>
      <c r="EE904" s="2" t="n">
        <v>77.06</v>
      </c>
      <c r="EF904" s="2" t="n">
        <v>56.78</v>
      </c>
      <c r="EG904" s="2" t="n">
        <v>0</v>
      </c>
      <c r="EH904" s="2" t="n">
        <v>88.05</v>
      </c>
      <c r="EI904" s="2" t="n">
        <v>67.54000000000001</v>
      </c>
      <c r="EJ904" s="2" t="n">
        <v>0</v>
      </c>
      <c r="EK904" s="2" t="n">
        <v>92.95</v>
      </c>
      <c r="EL904" s="2" t="n">
        <v>74.67</v>
      </c>
      <c r="EM904" s="2" t="n">
        <v>0</v>
      </c>
      <c r="EN904" s="2" t="n">
        <v>99.69</v>
      </c>
      <c r="EO904" s="2" t="n">
        <v>79.41</v>
      </c>
      <c r="EP904" s="2" t="n">
        <v>0</v>
      </c>
      <c r="EQ904" s="2" t="n">
        <v>100</v>
      </c>
      <c r="ER904" s="2" t="n">
        <v>83.27</v>
      </c>
      <c r="ES904" s="2" t="n">
        <v>0</v>
      </c>
      <c r="ET904" s="2" t="n">
        <v>100</v>
      </c>
      <c r="EU904" s="2" t="n">
        <v>87.13</v>
      </c>
      <c r="EV904" s="2" t="n">
        <v>0</v>
      </c>
      <c r="EW904" s="2" t="n">
        <v>100</v>
      </c>
      <c r="EX904" s="2" t="n">
        <v>91.36</v>
      </c>
      <c r="EY904" s="2" t="n">
        <v>0</v>
      </c>
      <c r="EZ904" s="2" t="n">
        <v>100</v>
      </c>
      <c r="FA904" s="2" t="n">
        <v>95.04000000000001</v>
      </c>
      <c r="FB904" s="2" t="n">
        <v>0</v>
      </c>
      <c r="FC904" s="2" t="n">
        <v>100</v>
      </c>
      <c r="FD904" s="2" t="n">
        <v>98.90000000000001</v>
      </c>
      <c r="FE904" s="2" t="n">
        <v>0</v>
      </c>
      <c r="FF904" s="2" t="n">
        <v>100</v>
      </c>
      <c r="FG904" s="2" t="n">
        <v>100</v>
      </c>
      <c r="FH904" s="2" t="n">
        <v>0</v>
      </c>
      <c r="FI904" s="2" t="n">
        <v>100</v>
      </c>
      <c r="FJ904" s="2" t="n">
        <v>100</v>
      </c>
      <c r="FK904" s="2" t="n">
        <v>0</v>
      </c>
      <c r="FL904" s="2" t="n">
        <v>100</v>
      </c>
      <c r="FM904" s="2" t="n">
        <v>100</v>
      </c>
      <c r="FN904" s="2" t="n">
        <v>0</v>
      </c>
      <c r="FO904" s="2" t="n">
        <v>100</v>
      </c>
      <c r="FP904" s="2" t="n">
        <v>100</v>
      </c>
      <c r="FQ904" s="2" t="n">
        <v>0</v>
      </c>
    </row>
    <row r="905">
      <c r="A905" s="2" t="n">
        <v>2</v>
      </c>
      <c r="B905" s="2" t="inlineStr">
        <is>
          <t>33.01</t>
        </is>
      </c>
      <c r="C905" s="2" t="inlineStr">
        <is>
          <t>Forro de Gesso</t>
        </is>
      </c>
      <c r="D905" s="2" t="inlineStr">
        <is>
          <t>08/04/2027</t>
        </is>
      </c>
      <c r="E905" s="2" t="inlineStr">
        <is>
          <t>10/05/2028</t>
        </is>
      </c>
      <c r="F905" s="2" t="n">
        <v>672192.2131000001</v>
      </c>
      <c r="G905" s="2" t="n">
        <v>0</v>
      </c>
      <c r="H905" s="2" t="n">
        <v>672192.2131000001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4.07</v>
      </c>
      <c r="CY905" s="2" t="n">
        <v>0</v>
      </c>
      <c r="CZ905" s="2" t="n">
        <v>0</v>
      </c>
      <c r="DA905" s="2" t="n">
        <v>10.39</v>
      </c>
      <c r="DB905" s="2" t="n">
        <v>4.52</v>
      </c>
      <c r="DC905" s="2" t="n">
        <v>0</v>
      </c>
      <c r="DD905" s="2" t="n">
        <v>18.07</v>
      </c>
      <c r="DE905" s="2" t="n">
        <v>9.34</v>
      </c>
      <c r="DF905" s="2" t="n">
        <v>0</v>
      </c>
      <c r="DG905" s="2" t="n">
        <v>20.79</v>
      </c>
      <c r="DH905" s="2" t="n">
        <v>16.57</v>
      </c>
      <c r="DI905" s="2" t="n">
        <v>0</v>
      </c>
      <c r="DJ905" s="2" t="n">
        <v>26.79</v>
      </c>
      <c r="DK905" s="2" t="n">
        <v>18.07</v>
      </c>
      <c r="DL905" s="2" t="n">
        <v>0</v>
      </c>
      <c r="DM905" s="2" t="n">
        <v>39.45</v>
      </c>
      <c r="DN905" s="2" t="n">
        <v>27.33</v>
      </c>
      <c r="DO905" s="2" t="n">
        <v>0</v>
      </c>
      <c r="DP905" s="2" t="n">
        <v>50.3</v>
      </c>
      <c r="DQ905" s="2" t="n">
        <v>40.05</v>
      </c>
      <c r="DR905" s="2" t="n">
        <v>0</v>
      </c>
      <c r="DS905" s="2" t="n">
        <v>60.24</v>
      </c>
      <c r="DT905" s="2" t="n">
        <v>52.1</v>
      </c>
      <c r="DU905" s="2" t="n">
        <v>0</v>
      </c>
      <c r="DV905" s="2" t="n">
        <v>67.01000000000001</v>
      </c>
      <c r="DW905" s="2" t="n">
        <v>63.85</v>
      </c>
      <c r="DX905" s="2" t="n">
        <v>0</v>
      </c>
      <c r="DY905" s="2" t="n">
        <v>70.63</v>
      </c>
      <c r="DZ905" s="2" t="n">
        <v>66.56</v>
      </c>
      <c r="EA905" s="2" t="n">
        <v>0</v>
      </c>
      <c r="EB905" s="2" t="n">
        <v>85.09</v>
      </c>
      <c r="EC905" s="2" t="n">
        <v>74.7</v>
      </c>
      <c r="ED905" s="2" t="n">
        <v>0</v>
      </c>
      <c r="EE905" s="2" t="n">
        <v>94.58</v>
      </c>
      <c r="EF905" s="2" t="n">
        <v>85.54000000000001</v>
      </c>
      <c r="EG905" s="2" t="n">
        <v>0</v>
      </c>
      <c r="EH905" s="2" t="n">
        <v>100</v>
      </c>
      <c r="EI905" s="2" t="n">
        <v>92.47</v>
      </c>
      <c r="EJ905" s="2" t="n">
        <v>0</v>
      </c>
      <c r="EK905" s="2" t="n">
        <v>100</v>
      </c>
      <c r="EL905" s="2" t="n">
        <v>97.89</v>
      </c>
      <c r="EM905" s="2" t="n">
        <v>0</v>
      </c>
      <c r="EN905" s="2" t="n">
        <v>100</v>
      </c>
      <c r="EO905" s="2" t="n">
        <v>100</v>
      </c>
      <c r="EP905" s="2" t="n">
        <v>0</v>
      </c>
      <c r="EQ905" s="2" t="n">
        <v>100</v>
      </c>
      <c r="ER905" s="2" t="n">
        <v>100</v>
      </c>
      <c r="ES905" s="2" t="n">
        <v>0</v>
      </c>
      <c r="ET905" s="2" t="n">
        <v>100</v>
      </c>
      <c r="EU905" s="2" t="n">
        <v>100</v>
      </c>
      <c r="EV905" s="2" t="n">
        <v>0</v>
      </c>
      <c r="EW905" s="2" t="n">
        <v>100</v>
      </c>
      <c r="EX905" s="2" t="n">
        <v>100</v>
      </c>
      <c r="EY905" s="2" t="n">
        <v>0</v>
      </c>
      <c r="EZ905" s="2" t="n">
        <v>100</v>
      </c>
      <c r="FA905" s="2" t="n">
        <v>100</v>
      </c>
      <c r="FB905" s="2" t="n">
        <v>0</v>
      </c>
      <c r="FC905" s="2" t="n">
        <v>100</v>
      </c>
      <c r="FD905" s="2" t="n">
        <v>100</v>
      </c>
      <c r="FE905" s="2" t="n">
        <v>0</v>
      </c>
      <c r="FF905" s="2" t="n">
        <v>100</v>
      </c>
      <c r="FG905" s="2" t="n">
        <v>100</v>
      </c>
      <c r="FH905" s="2" t="n">
        <v>0</v>
      </c>
      <c r="FI905" s="2" t="n">
        <v>100</v>
      </c>
      <c r="FJ905" s="2" t="n">
        <v>100</v>
      </c>
      <c r="FK905" s="2" t="n">
        <v>0</v>
      </c>
      <c r="FL905" s="2" t="n">
        <v>100</v>
      </c>
      <c r="FM905" s="2" t="n">
        <v>100</v>
      </c>
      <c r="FN905" s="2" t="n">
        <v>0</v>
      </c>
      <c r="FO905" s="2" t="n">
        <v>100</v>
      </c>
      <c r="FP905" s="2" t="n">
        <v>100</v>
      </c>
      <c r="FQ905" s="2" t="n">
        <v>0</v>
      </c>
    </row>
    <row r="906">
      <c r="A906" s="2" t="n">
        <v>3</v>
      </c>
      <c r="B906" s="2" t="inlineStr">
        <is>
          <t>33.01.01</t>
        </is>
      </c>
      <c r="C906" s="2" t="inlineStr">
        <is>
          <t>INT - Fechamento rebaixado para sauna - revestimento em item específico</t>
        </is>
      </c>
      <c r="D906" s="2" t="inlineStr">
        <is>
          <t>08/04/2027</t>
        </is>
      </c>
      <c r="E906" s="2" t="inlineStr">
        <is>
          <t>10/05/2028</t>
        </is>
      </c>
      <c r="F906" s="2" t="n">
        <v>1128.3668</v>
      </c>
      <c r="G906" s="2" t="n">
        <v>0</v>
      </c>
      <c r="H906" s="2" t="n">
        <v>1128.3668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4.07</v>
      </c>
      <c r="CY906" s="2" t="n">
        <v>0</v>
      </c>
      <c r="CZ906" s="2" t="n">
        <v>0</v>
      </c>
      <c r="DA906" s="2" t="n">
        <v>10.39</v>
      </c>
      <c r="DB906" s="2" t="n">
        <v>4.52</v>
      </c>
      <c r="DC906" s="2" t="n">
        <v>0</v>
      </c>
      <c r="DD906" s="2" t="n">
        <v>18.07</v>
      </c>
      <c r="DE906" s="2" t="n">
        <v>9.34</v>
      </c>
      <c r="DF906" s="2" t="n">
        <v>0</v>
      </c>
      <c r="DG906" s="2" t="n">
        <v>20.79</v>
      </c>
      <c r="DH906" s="2" t="n">
        <v>16.57</v>
      </c>
      <c r="DI906" s="2" t="n">
        <v>0</v>
      </c>
      <c r="DJ906" s="2" t="n">
        <v>26.79</v>
      </c>
      <c r="DK906" s="2" t="n">
        <v>18.07</v>
      </c>
      <c r="DL906" s="2" t="n">
        <v>0</v>
      </c>
      <c r="DM906" s="2" t="n">
        <v>39.45</v>
      </c>
      <c r="DN906" s="2" t="n">
        <v>27.33</v>
      </c>
      <c r="DO906" s="2" t="n">
        <v>0</v>
      </c>
      <c r="DP906" s="2" t="n">
        <v>50.3</v>
      </c>
      <c r="DQ906" s="2" t="n">
        <v>40.05</v>
      </c>
      <c r="DR906" s="2" t="n">
        <v>0</v>
      </c>
      <c r="DS906" s="2" t="n">
        <v>60.24</v>
      </c>
      <c r="DT906" s="2" t="n">
        <v>52.1</v>
      </c>
      <c r="DU906" s="2" t="n">
        <v>0</v>
      </c>
      <c r="DV906" s="2" t="n">
        <v>67.01000000000001</v>
      </c>
      <c r="DW906" s="2" t="n">
        <v>63.85</v>
      </c>
      <c r="DX906" s="2" t="n">
        <v>0</v>
      </c>
      <c r="DY906" s="2" t="n">
        <v>70.63</v>
      </c>
      <c r="DZ906" s="2" t="n">
        <v>66.56</v>
      </c>
      <c r="EA906" s="2" t="n">
        <v>0</v>
      </c>
      <c r="EB906" s="2" t="n">
        <v>85.09</v>
      </c>
      <c r="EC906" s="2" t="n">
        <v>74.7</v>
      </c>
      <c r="ED906" s="2" t="n">
        <v>0</v>
      </c>
      <c r="EE906" s="2" t="n">
        <v>94.58</v>
      </c>
      <c r="EF906" s="2" t="n">
        <v>85.54000000000001</v>
      </c>
      <c r="EG906" s="2" t="n">
        <v>0</v>
      </c>
      <c r="EH906" s="2" t="n">
        <v>100</v>
      </c>
      <c r="EI906" s="2" t="n">
        <v>92.47</v>
      </c>
      <c r="EJ906" s="2" t="n">
        <v>0</v>
      </c>
      <c r="EK906" s="2" t="n">
        <v>100</v>
      </c>
      <c r="EL906" s="2" t="n">
        <v>97.89</v>
      </c>
      <c r="EM906" s="2" t="n">
        <v>0</v>
      </c>
      <c r="EN906" s="2" t="n">
        <v>100</v>
      </c>
      <c r="EO906" s="2" t="n">
        <v>100</v>
      </c>
      <c r="EP906" s="2" t="n">
        <v>0</v>
      </c>
      <c r="EQ906" s="2" t="n">
        <v>100</v>
      </c>
      <c r="ER906" s="2" t="n">
        <v>100</v>
      </c>
      <c r="ES906" s="2" t="n">
        <v>0</v>
      </c>
      <c r="ET906" s="2" t="n">
        <v>100</v>
      </c>
      <c r="EU906" s="2" t="n">
        <v>100</v>
      </c>
      <c r="EV906" s="2" t="n">
        <v>0</v>
      </c>
      <c r="EW906" s="2" t="n">
        <v>100</v>
      </c>
      <c r="EX906" s="2" t="n">
        <v>100</v>
      </c>
      <c r="EY906" s="2" t="n">
        <v>0</v>
      </c>
      <c r="EZ906" s="2" t="n">
        <v>100</v>
      </c>
      <c r="FA906" s="2" t="n">
        <v>100</v>
      </c>
      <c r="FB906" s="2" t="n">
        <v>0</v>
      </c>
      <c r="FC906" s="2" t="n">
        <v>100</v>
      </c>
      <c r="FD906" s="2" t="n">
        <v>100</v>
      </c>
      <c r="FE906" s="2" t="n">
        <v>0</v>
      </c>
      <c r="FF906" s="2" t="n">
        <v>100</v>
      </c>
      <c r="FG906" s="2" t="n">
        <v>100</v>
      </c>
      <c r="FH906" s="2" t="n">
        <v>0</v>
      </c>
      <c r="FI906" s="2" t="n">
        <v>100</v>
      </c>
      <c r="FJ906" s="2" t="n">
        <v>100</v>
      </c>
      <c r="FK906" s="2" t="n">
        <v>0</v>
      </c>
      <c r="FL906" s="2" t="n">
        <v>100</v>
      </c>
      <c r="FM906" s="2" t="n">
        <v>100</v>
      </c>
      <c r="FN906" s="2" t="n">
        <v>0</v>
      </c>
      <c r="FO906" s="2" t="n">
        <v>100</v>
      </c>
      <c r="FP906" s="2" t="n">
        <v>100</v>
      </c>
      <c r="FQ906" s="2" t="n">
        <v>0</v>
      </c>
    </row>
    <row r="907">
      <c r="A907" s="2" t="n">
        <v>3</v>
      </c>
      <c r="B907" s="2" t="inlineStr">
        <is>
          <t>33.01.02</t>
        </is>
      </c>
      <c r="C907" s="2" t="inlineStr">
        <is>
          <t>Forro de gesso acartonado  - FGA</t>
        </is>
      </c>
      <c r="D907" s="2" t="inlineStr">
        <is>
          <t>08/04/2027</t>
        </is>
      </c>
      <c r="E907" s="2" t="inlineStr">
        <is>
          <t>10/05/2028</t>
        </is>
      </c>
      <c r="F907" s="2" t="n">
        <v>248446.9562</v>
      </c>
      <c r="G907" s="2" t="n">
        <v>0</v>
      </c>
      <c r="H907" s="2" t="n">
        <v>248446.9562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4.07</v>
      </c>
      <c r="CY907" s="2" t="n">
        <v>0</v>
      </c>
      <c r="CZ907" s="2" t="n">
        <v>0</v>
      </c>
      <c r="DA907" s="2" t="n">
        <v>10.39</v>
      </c>
      <c r="DB907" s="2" t="n">
        <v>4.52</v>
      </c>
      <c r="DC907" s="2" t="n">
        <v>0</v>
      </c>
      <c r="DD907" s="2" t="n">
        <v>18.07</v>
      </c>
      <c r="DE907" s="2" t="n">
        <v>9.34</v>
      </c>
      <c r="DF907" s="2" t="n">
        <v>0</v>
      </c>
      <c r="DG907" s="2" t="n">
        <v>20.79</v>
      </c>
      <c r="DH907" s="2" t="n">
        <v>16.57</v>
      </c>
      <c r="DI907" s="2" t="n">
        <v>0</v>
      </c>
      <c r="DJ907" s="2" t="n">
        <v>26.79</v>
      </c>
      <c r="DK907" s="2" t="n">
        <v>18.07</v>
      </c>
      <c r="DL907" s="2" t="n">
        <v>0</v>
      </c>
      <c r="DM907" s="2" t="n">
        <v>39.45</v>
      </c>
      <c r="DN907" s="2" t="n">
        <v>27.33</v>
      </c>
      <c r="DO907" s="2" t="n">
        <v>0</v>
      </c>
      <c r="DP907" s="2" t="n">
        <v>50.3</v>
      </c>
      <c r="DQ907" s="2" t="n">
        <v>40.05</v>
      </c>
      <c r="DR907" s="2" t="n">
        <v>0</v>
      </c>
      <c r="DS907" s="2" t="n">
        <v>60.24</v>
      </c>
      <c r="DT907" s="2" t="n">
        <v>52.1</v>
      </c>
      <c r="DU907" s="2" t="n">
        <v>0</v>
      </c>
      <c r="DV907" s="2" t="n">
        <v>67.01000000000001</v>
      </c>
      <c r="DW907" s="2" t="n">
        <v>63.85</v>
      </c>
      <c r="DX907" s="2" t="n">
        <v>0</v>
      </c>
      <c r="DY907" s="2" t="n">
        <v>70.63</v>
      </c>
      <c r="DZ907" s="2" t="n">
        <v>66.56</v>
      </c>
      <c r="EA907" s="2" t="n">
        <v>0</v>
      </c>
      <c r="EB907" s="2" t="n">
        <v>85.09</v>
      </c>
      <c r="EC907" s="2" t="n">
        <v>74.7</v>
      </c>
      <c r="ED907" s="2" t="n">
        <v>0</v>
      </c>
      <c r="EE907" s="2" t="n">
        <v>94.58</v>
      </c>
      <c r="EF907" s="2" t="n">
        <v>85.54000000000001</v>
      </c>
      <c r="EG907" s="2" t="n">
        <v>0</v>
      </c>
      <c r="EH907" s="2" t="n">
        <v>100</v>
      </c>
      <c r="EI907" s="2" t="n">
        <v>92.47</v>
      </c>
      <c r="EJ907" s="2" t="n">
        <v>0</v>
      </c>
      <c r="EK907" s="2" t="n">
        <v>100</v>
      </c>
      <c r="EL907" s="2" t="n">
        <v>97.89</v>
      </c>
      <c r="EM907" s="2" t="n">
        <v>0</v>
      </c>
      <c r="EN907" s="2" t="n">
        <v>100</v>
      </c>
      <c r="EO907" s="2" t="n">
        <v>100</v>
      </c>
      <c r="EP907" s="2" t="n">
        <v>0</v>
      </c>
      <c r="EQ907" s="2" t="n">
        <v>100</v>
      </c>
      <c r="ER907" s="2" t="n">
        <v>100</v>
      </c>
      <c r="ES907" s="2" t="n">
        <v>0</v>
      </c>
      <c r="ET907" s="2" t="n">
        <v>100</v>
      </c>
      <c r="EU907" s="2" t="n">
        <v>100</v>
      </c>
      <c r="EV907" s="2" t="n">
        <v>0</v>
      </c>
      <c r="EW907" s="2" t="n">
        <v>100</v>
      </c>
      <c r="EX907" s="2" t="n">
        <v>100</v>
      </c>
      <c r="EY907" s="2" t="n">
        <v>0</v>
      </c>
      <c r="EZ907" s="2" t="n">
        <v>100</v>
      </c>
      <c r="FA907" s="2" t="n">
        <v>100</v>
      </c>
      <c r="FB907" s="2" t="n">
        <v>0</v>
      </c>
      <c r="FC907" s="2" t="n">
        <v>100</v>
      </c>
      <c r="FD907" s="2" t="n">
        <v>100</v>
      </c>
      <c r="FE907" s="2" t="n">
        <v>0</v>
      </c>
      <c r="FF907" s="2" t="n">
        <v>100</v>
      </c>
      <c r="FG907" s="2" t="n">
        <v>100</v>
      </c>
      <c r="FH907" s="2" t="n">
        <v>0</v>
      </c>
      <c r="FI907" s="2" t="n">
        <v>100</v>
      </c>
      <c r="FJ907" s="2" t="n">
        <v>100</v>
      </c>
      <c r="FK907" s="2" t="n">
        <v>0</v>
      </c>
      <c r="FL907" s="2" t="n">
        <v>100</v>
      </c>
      <c r="FM907" s="2" t="n">
        <v>100</v>
      </c>
      <c r="FN907" s="2" t="n">
        <v>0</v>
      </c>
      <c r="FO907" s="2" t="n">
        <v>100</v>
      </c>
      <c r="FP907" s="2" t="n">
        <v>100</v>
      </c>
      <c r="FQ907" s="2" t="n">
        <v>0</v>
      </c>
    </row>
    <row r="908">
      <c r="A908" s="2" t="n">
        <v>3</v>
      </c>
      <c r="B908" s="2" t="inlineStr">
        <is>
          <t>33.01.03</t>
        </is>
      </c>
      <c r="C908" s="2" t="inlineStr">
        <is>
          <t>Forro de gesso acartonado  - FGE</t>
        </is>
      </c>
      <c r="D908" s="2" t="inlineStr">
        <is>
          <t>08/04/2027</t>
        </is>
      </c>
      <c r="E908" s="2" t="inlineStr">
        <is>
          <t>10/05/2028</t>
        </is>
      </c>
      <c r="F908" s="2" t="n">
        <v>248206.8</v>
      </c>
      <c r="G908" s="2" t="n">
        <v>0</v>
      </c>
      <c r="H908" s="2" t="n">
        <v>248206.8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4.07</v>
      </c>
      <c r="CY908" s="2" t="n">
        <v>0</v>
      </c>
      <c r="CZ908" s="2" t="n">
        <v>0</v>
      </c>
      <c r="DA908" s="2" t="n">
        <v>10.39</v>
      </c>
      <c r="DB908" s="2" t="n">
        <v>4.52</v>
      </c>
      <c r="DC908" s="2" t="n">
        <v>0</v>
      </c>
      <c r="DD908" s="2" t="n">
        <v>18.07</v>
      </c>
      <c r="DE908" s="2" t="n">
        <v>9.34</v>
      </c>
      <c r="DF908" s="2" t="n">
        <v>0</v>
      </c>
      <c r="DG908" s="2" t="n">
        <v>20.79</v>
      </c>
      <c r="DH908" s="2" t="n">
        <v>16.57</v>
      </c>
      <c r="DI908" s="2" t="n">
        <v>0</v>
      </c>
      <c r="DJ908" s="2" t="n">
        <v>26.79</v>
      </c>
      <c r="DK908" s="2" t="n">
        <v>18.07</v>
      </c>
      <c r="DL908" s="2" t="n">
        <v>0</v>
      </c>
      <c r="DM908" s="2" t="n">
        <v>39.45</v>
      </c>
      <c r="DN908" s="2" t="n">
        <v>27.33</v>
      </c>
      <c r="DO908" s="2" t="n">
        <v>0</v>
      </c>
      <c r="DP908" s="2" t="n">
        <v>50.3</v>
      </c>
      <c r="DQ908" s="2" t="n">
        <v>40.05</v>
      </c>
      <c r="DR908" s="2" t="n">
        <v>0</v>
      </c>
      <c r="DS908" s="2" t="n">
        <v>60.24</v>
      </c>
      <c r="DT908" s="2" t="n">
        <v>52.1</v>
      </c>
      <c r="DU908" s="2" t="n">
        <v>0</v>
      </c>
      <c r="DV908" s="2" t="n">
        <v>67.01000000000001</v>
      </c>
      <c r="DW908" s="2" t="n">
        <v>63.85</v>
      </c>
      <c r="DX908" s="2" t="n">
        <v>0</v>
      </c>
      <c r="DY908" s="2" t="n">
        <v>70.63</v>
      </c>
      <c r="DZ908" s="2" t="n">
        <v>66.56</v>
      </c>
      <c r="EA908" s="2" t="n">
        <v>0</v>
      </c>
      <c r="EB908" s="2" t="n">
        <v>85.09</v>
      </c>
      <c r="EC908" s="2" t="n">
        <v>74.7</v>
      </c>
      <c r="ED908" s="2" t="n">
        <v>0</v>
      </c>
      <c r="EE908" s="2" t="n">
        <v>94.58</v>
      </c>
      <c r="EF908" s="2" t="n">
        <v>85.54000000000001</v>
      </c>
      <c r="EG908" s="2" t="n">
        <v>0</v>
      </c>
      <c r="EH908" s="2" t="n">
        <v>100</v>
      </c>
      <c r="EI908" s="2" t="n">
        <v>92.47</v>
      </c>
      <c r="EJ908" s="2" t="n">
        <v>0</v>
      </c>
      <c r="EK908" s="2" t="n">
        <v>100</v>
      </c>
      <c r="EL908" s="2" t="n">
        <v>97.89</v>
      </c>
      <c r="EM908" s="2" t="n">
        <v>0</v>
      </c>
      <c r="EN908" s="2" t="n">
        <v>100</v>
      </c>
      <c r="EO908" s="2" t="n">
        <v>100</v>
      </c>
      <c r="EP908" s="2" t="n">
        <v>0</v>
      </c>
      <c r="EQ908" s="2" t="n">
        <v>100</v>
      </c>
      <c r="ER908" s="2" t="n">
        <v>100</v>
      </c>
      <c r="ES908" s="2" t="n">
        <v>0</v>
      </c>
      <c r="ET908" s="2" t="n">
        <v>100</v>
      </c>
      <c r="EU908" s="2" t="n">
        <v>100</v>
      </c>
      <c r="EV908" s="2" t="n">
        <v>0</v>
      </c>
      <c r="EW908" s="2" t="n">
        <v>100</v>
      </c>
      <c r="EX908" s="2" t="n">
        <v>100</v>
      </c>
      <c r="EY908" s="2" t="n">
        <v>0</v>
      </c>
      <c r="EZ908" s="2" t="n">
        <v>100</v>
      </c>
      <c r="FA908" s="2" t="n">
        <v>100</v>
      </c>
      <c r="FB908" s="2" t="n">
        <v>0</v>
      </c>
      <c r="FC908" s="2" t="n">
        <v>100</v>
      </c>
      <c r="FD908" s="2" t="n">
        <v>100</v>
      </c>
      <c r="FE908" s="2" t="n">
        <v>0</v>
      </c>
      <c r="FF908" s="2" t="n">
        <v>100</v>
      </c>
      <c r="FG908" s="2" t="n">
        <v>100</v>
      </c>
      <c r="FH908" s="2" t="n">
        <v>0</v>
      </c>
      <c r="FI908" s="2" t="n">
        <v>100</v>
      </c>
      <c r="FJ908" s="2" t="n">
        <v>100</v>
      </c>
      <c r="FK908" s="2" t="n">
        <v>0</v>
      </c>
      <c r="FL908" s="2" t="n">
        <v>100</v>
      </c>
      <c r="FM908" s="2" t="n">
        <v>100</v>
      </c>
      <c r="FN908" s="2" t="n">
        <v>0</v>
      </c>
      <c r="FO908" s="2" t="n">
        <v>100</v>
      </c>
      <c r="FP908" s="2" t="n">
        <v>100</v>
      </c>
      <c r="FQ908" s="2" t="n">
        <v>0</v>
      </c>
    </row>
    <row r="909">
      <c r="A909" s="2" t="n">
        <v>3</v>
      </c>
      <c r="B909" s="2" t="inlineStr">
        <is>
          <t>33.01.04</t>
        </is>
      </c>
      <c r="C909" s="2" t="inlineStr">
        <is>
          <t>Sanca iluminada</t>
        </is>
      </c>
      <c r="D909" s="2" t="inlineStr">
        <is>
          <t>08/04/2027</t>
        </is>
      </c>
      <c r="E909" s="2" t="inlineStr">
        <is>
          <t>10/05/2028</t>
        </is>
      </c>
      <c r="F909" s="2" t="n">
        <v>2238.828</v>
      </c>
      <c r="G909" s="2" t="n">
        <v>0</v>
      </c>
      <c r="H909" s="2" t="n">
        <v>2238.828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4.07</v>
      </c>
      <c r="CY909" s="2" t="n">
        <v>0</v>
      </c>
      <c r="CZ909" s="2" t="n">
        <v>0</v>
      </c>
      <c r="DA909" s="2" t="n">
        <v>10.39</v>
      </c>
      <c r="DB909" s="2" t="n">
        <v>4.52</v>
      </c>
      <c r="DC909" s="2" t="n">
        <v>0</v>
      </c>
      <c r="DD909" s="2" t="n">
        <v>18.07</v>
      </c>
      <c r="DE909" s="2" t="n">
        <v>9.34</v>
      </c>
      <c r="DF909" s="2" t="n">
        <v>0</v>
      </c>
      <c r="DG909" s="2" t="n">
        <v>20.79</v>
      </c>
      <c r="DH909" s="2" t="n">
        <v>16.57</v>
      </c>
      <c r="DI909" s="2" t="n">
        <v>0</v>
      </c>
      <c r="DJ909" s="2" t="n">
        <v>26.79</v>
      </c>
      <c r="DK909" s="2" t="n">
        <v>18.07</v>
      </c>
      <c r="DL909" s="2" t="n">
        <v>0</v>
      </c>
      <c r="DM909" s="2" t="n">
        <v>39.45</v>
      </c>
      <c r="DN909" s="2" t="n">
        <v>27.33</v>
      </c>
      <c r="DO909" s="2" t="n">
        <v>0</v>
      </c>
      <c r="DP909" s="2" t="n">
        <v>50.3</v>
      </c>
      <c r="DQ909" s="2" t="n">
        <v>40.05</v>
      </c>
      <c r="DR909" s="2" t="n">
        <v>0</v>
      </c>
      <c r="DS909" s="2" t="n">
        <v>60.24</v>
      </c>
      <c r="DT909" s="2" t="n">
        <v>52.1</v>
      </c>
      <c r="DU909" s="2" t="n">
        <v>0</v>
      </c>
      <c r="DV909" s="2" t="n">
        <v>67.01000000000001</v>
      </c>
      <c r="DW909" s="2" t="n">
        <v>63.85</v>
      </c>
      <c r="DX909" s="2" t="n">
        <v>0</v>
      </c>
      <c r="DY909" s="2" t="n">
        <v>70.63</v>
      </c>
      <c r="DZ909" s="2" t="n">
        <v>66.56</v>
      </c>
      <c r="EA909" s="2" t="n">
        <v>0</v>
      </c>
      <c r="EB909" s="2" t="n">
        <v>85.09</v>
      </c>
      <c r="EC909" s="2" t="n">
        <v>74.7</v>
      </c>
      <c r="ED909" s="2" t="n">
        <v>0</v>
      </c>
      <c r="EE909" s="2" t="n">
        <v>94.58</v>
      </c>
      <c r="EF909" s="2" t="n">
        <v>85.54000000000001</v>
      </c>
      <c r="EG909" s="2" t="n">
        <v>0</v>
      </c>
      <c r="EH909" s="2" t="n">
        <v>100</v>
      </c>
      <c r="EI909" s="2" t="n">
        <v>92.47</v>
      </c>
      <c r="EJ909" s="2" t="n">
        <v>0</v>
      </c>
      <c r="EK909" s="2" t="n">
        <v>100</v>
      </c>
      <c r="EL909" s="2" t="n">
        <v>97.89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  <c r="ET909" s="2" t="n">
        <v>100</v>
      </c>
      <c r="EU909" s="2" t="n">
        <v>100</v>
      </c>
      <c r="EV909" s="2" t="n">
        <v>0</v>
      </c>
      <c r="EW909" s="2" t="n">
        <v>100</v>
      </c>
      <c r="EX909" s="2" t="n">
        <v>100</v>
      </c>
      <c r="EY909" s="2" t="n">
        <v>0</v>
      </c>
      <c r="EZ909" s="2" t="n">
        <v>100</v>
      </c>
      <c r="FA909" s="2" t="n">
        <v>100</v>
      </c>
      <c r="FB909" s="2" t="n">
        <v>0</v>
      </c>
      <c r="FC909" s="2" t="n">
        <v>100</v>
      </c>
      <c r="FD909" s="2" t="n">
        <v>100</v>
      </c>
      <c r="FE909" s="2" t="n">
        <v>0</v>
      </c>
      <c r="FF909" s="2" t="n">
        <v>100</v>
      </c>
      <c r="FG909" s="2" t="n">
        <v>100</v>
      </c>
      <c r="FH909" s="2" t="n">
        <v>0</v>
      </c>
      <c r="FI909" s="2" t="n">
        <v>100</v>
      </c>
      <c r="FJ909" s="2" t="n">
        <v>100</v>
      </c>
      <c r="FK909" s="2" t="n">
        <v>0</v>
      </c>
      <c r="FL909" s="2" t="n">
        <v>100</v>
      </c>
      <c r="FM909" s="2" t="n">
        <v>100</v>
      </c>
      <c r="FN909" s="2" t="n">
        <v>0</v>
      </c>
      <c r="FO909" s="2" t="n">
        <v>100</v>
      </c>
      <c r="FP909" s="2" t="n">
        <v>100</v>
      </c>
      <c r="FQ909" s="2" t="n">
        <v>0</v>
      </c>
    </row>
    <row r="910">
      <c r="A910" s="2" t="n">
        <v>3</v>
      </c>
      <c r="B910" s="2" t="inlineStr">
        <is>
          <t>33.01.05</t>
        </is>
      </c>
      <c r="C910" s="2" t="inlineStr">
        <is>
          <t>Cortineiro</t>
        </is>
      </c>
      <c r="D910" s="2" t="inlineStr">
        <is>
          <t>08/04/2027</t>
        </is>
      </c>
      <c r="E910" s="2" t="inlineStr">
        <is>
          <t>10/05/2028</t>
        </is>
      </c>
      <c r="F910" s="2" t="n">
        <v>7792.307999999999</v>
      </c>
      <c r="G910" s="2" t="n">
        <v>0</v>
      </c>
      <c r="H910" s="2" t="n">
        <v>7792.307999999999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4.07</v>
      </c>
      <c r="CY910" s="2" t="n">
        <v>0</v>
      </c>
      <c r="CZ910" s="2" t="n">
        <v>0</v>
      </c>
      <c r="DA910" s="2" t="n">
        <v>10.39</v>
      </c>
      <c r="DB910" s="2" t="n">
        <v>4.52</v>
      </c>
      <c r="DC910" s="2" t="n">
        <v>0</v>
      </c>
      <c r="DD910" s="2" t="n">
        <v>18.07</v>
      </c>
      <c r="DE910" s="2" t="n">
        <v>9.34</v>
      </c>
      <c r="DF910" s="2" t="n">
        <v>0</v>
      </c>
      <c r="DG910" s="2" t="n">
        <v>20.79</v>
      </c>
      <c r="DH910" s="2" t="n">
        <v>16.57</v>
      </c>
      <c r="DI910" s="2" t="n">
        <v>0</v>
      </c>
      <c r="DJ910" s="2" t="n">
        <v>26.79</v>
      </c>
      <c r="DK910" s="2" t="n">
        <v>18.07</v>
      </c>
      <c r="DL910" s="2" t="n">
        <v>0</v>
      </c>
      <c r="DM910" s="2" t="n">
        <v>39.45</v>
      </c>
      <c r="DN910" s="2" t="n">
        <v>27.33</v>
      </c>
      <c r="DO910" s="2" t="n">
        <v>0</v>
      </c>
      <c r="DP910" s="2" t="n">
        <v>50.3</v>
      </c>
      <c r="DQ910" s="2" t="n">
        <v>40.05</v>
      </c>
      <c r="DR910" s="2" t="n">
        <v>0</v>
      </c>
      <c r="DS910" s="2" t="n">
        <v>60.24</v>
      </c>
      <c r="DT910" s="2" t="n">
        <v>52.1</v>
      </c>
      <c r="DU910" s="2" t="n">
        <v>0</v>
      </c>
      <c r="DV910" s="2" t="n">
        <v>67.01000000000001</v>
      </c>
      <c r="DW910" s="2" t="n">
        <v>63.85</v>
      </c>
      <c r="DX910" s="2" t="n">
        <v>0</v>
      </c>
      <c r="DY910" s="2" t="n">
        <v>70.63</v>
      </c>
      <c r="DZ910" s="2" t="n">
        <v>66.56</v>
      </c>
      <c r="EA910" s="2" t="n">
        <v>0</v>
      </c>
      <c r="EB910" s="2" t="n">
        <v>85.09</v>
      </c>
      <c r="EC910" s="2" t="n">
        <v>74.7</v>
      </c>
      <c r="ED910" s="2" t="n">
        <v>0</v>
      </c>
      <c r="EE910" s="2" t="n">
        <v>94.58</v>
      </c>
      <c r="EF910" s="2" t="n">
        <v>85.54000000000001</v>
      </c>
      <c r="EG910" s="2" t="n">
        <v>0</v>
      </c>
      <c r="EH910" s="2" t="n">
        <v>100</v>
      </c>
      <c r="EI910" s="2" t="n">
        <v>92.47</v>
      </c>
      <c r="EJ910" s="2" t="n">
        <v>0</v>
      </c>
      <c r="EK910" s="2" t="n">
        <v>100</v>
      </c>
      <c r="EL910" s="2" t="n">
        <v>97.89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  <c r="ET910" s="2" t="n">
        <v>100</v>
      </c>
      <c r="EU910" s="2" t="n">
        <v>100</v>
      </c>
      <c r="EV910" s="2" t="n">
        <v>0</v>
      </c>
      <c r="EW910" s="2" t="n">
        <v>100</v>
      </c>
      <c r="EX910" s="2" t="n">
        <v>100</v>
      </c>
      <c r="EY910" s="2" t="n">
        <v>0</v>
      </c>
      <c r="EZ910" s="2" t="n">
        <v>100</v>
      </c>
      <c r="FA910" s="2" t="n">
        <v>100</v>
      </c>
      <c r="FB910" s="2" t="n">
        <v>0</v>
      </c>
      <c r="FC910" s="2" t="n">
        <v>100</v>
      </c>
      <c r="FD910" s="2" t="n">
        <v>100</v>
      </c>
      <c r="FE910" s="2" t="n">
        <v>0</v>
      </c>
      <c r="FF910" s="2" t="n">
        <v>100</v>
      </c>
      <c r="FG910" s="2" t="n">
        <v>100</v>
      </c>
      <c r="FH910" s="2" t="n">
        <v>0</v>
      </c>
      <c r="FI910" s="2" t="n">
        <v>100</v>
      </c>
      <c r="FJ910" s="2" t="n">
        <v>100</v>
      </c>
      <c r="FK910" s="2" t="n">
        <v>0</v>
      </c>
      <c r="FL910" s="2" t="n">
        <v>100</v>
      </c>
      <c r="FM910" s="2" t="n">
        <v>100</v>
      </c>
      <c r="FN910" s="2" t="n">
        <v>0</v>
      </c>
      <c r="FO910" s="2" t="n">
        <v>100</v>
      </c>
      <c r="FP910" s="2" t="n">
        <v>100</v>
      </c>
      <c r="FQ910" s="2" t="n">
        <v>0</v>
      </c>
    </row>
    <row r="911">
      <c r="A911" s="2" t="n">
        <v>3</v>
      </c>
      <c r="B911" s="2" t="inlineStr">
        <is>
          <t>33.01.06</t>
        </is>
      </c>
      <c r="C911" s="2" t="inlineStr">
        <is>
          <t>Tabica Metálica</t>
        </is>
      </c>
      <c r="D911" s="2" t="inlineStr">
        <is>
          <t>08/04/2027</t>
        </is>
      </c>
      <c r="E911" s="2" t="inlineStr">
        <is>
          <t>10/05/2028</t>
        </is>
      </c>
      <c r="F911" s="2" t="n">
        <v>164378.9541</v>
      </c>
      <c r="G911" s="2" t="n">
        <v>0</v>
      </c>
      <c r="H911" s="2" t="n">
        <v>164378.9541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4.07</v>
      </c>
      <c r="CY911" s="2" t="n">
        <v>0</v>
      </c>
      <c r="CZ911" s="2" t="n">
        <v>0</v>
      </c>
      <c r="DA911" s="2" t="n">
        <v>10.39</v>
      </c>
      <c r="DB911" s="2" t="n">
        <v>4.52</v>
      </c>
      <c r="DC911" s="2" t="n">
        <v>0</v>
      </c>
      <c r="DD911" s="2" t="n">
        <v>18.07</v>
      </c>
      <c r="DE911" s="2" t="n">
        <v>9.34</v>
      </c>
      <c r="DF911" s="2" t="n">
        <v>0</v>
      </c>
      <c r="DG911" s="2" t="n">
        <v>20.79</v>
      </c>
      <c r="DH911" s="2" t="n">
        <v>16.57</v>
      </c>
      <c r="DI911" s="2" t="n">
        <v>0</v>
      </c>
      <c r="DJ911" s="2" t="n">
        <v>26.79</v>
      </c>
      <c r="DK911" s="2" t="n">
        <v>18.07</v>
      </c>
      <c r="DL911" s="2" t="n">
        <v>0</v>
      </c>
      <c r="DM911" s="2" t="n">
        <v>39.45</v>
      </c>
      <c r="DN911" s="2" t="n">
        <v>27.33</v>
      </c>
      <c r="DO911" s="2" t="n">
        <v>0</v>
      </c>
      <c r="DP911" s="2" t="n">
        <v>50.3</v>
      </c>
      <c r="DQ911" s="2" t="n">
        <v>40.05</v>
      </c>
      <c r="DR911" s="2" t="n">
        <v>0</v>
      </c>
      <c r="DS911" s="2" t="n">
        <v>60.24</v>
      </c>
      <c r="DT911" s="2" t="n">
        <v>52.1</v>
      </c>
      <c r="DU911" s="2" t="n">
        <v>0</v>
      </c>
      <c r="DV911" s="2" t="n">
        <v>67.01000000000001</v>
      </c>
      <c r="DW911" s="2" t="n">
        <v>63.85</v>
      </c>
      <c r="DX911" s="2" t="n">
        <v>0</v>
      </c>
      <c r="DY911" s="2" t="n">
        <v>70.63</v>
      </c>
      <c r="DZ911" s="2" t="n">
        <v>66.56</v>
      </c>
      <c r="EA911" s="2" t="n">
        <v>0</v>
      </c>
      <c r="EB911" s="2" t="n">
        <v>85.09</v>
      </c>
      <c r="EC911" s="2" t="n">
        <v>74.7</v>
      </c>
      <c r="ED911" s="2" t="n">
        <v>0</v>
      </c>
      <c r="EE911" s="2" t="n">
        <v>94.58</v>
      </c>
      <c r="EF911" s="2" t="n">
        <v>85.54000000000001</v>
      </c>
      <c r="EG911" s="2" t="n">
        <v>0</v>
      </c>
      <c r="EH911" s="2" t="n">
        <v>100</v>
      </c>
      <c r="EI911" s="2" t="n">
        <v>92.47</v>
      </c>
      <c r="EJ911" s="2" t="n">
        <v>0</v>
      </c>
      <c r="EK911" s="2" t="n">
        <v>100</v>
      </c>
      <c r="EL911" s="2" t="n">
        <v>97.89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  <c r="ET911" s="2" t="n">
        <v>100</v>
      </c>
      <c r="EU911" s="2" t="n">
        <v>100</v>
      </c>
      <c r="EV911" s="2" t="n">
        <v>0</v>
      </c>
      <c r="EW911" s="2" t="n">
        <v>100</v>
      </c>
      <c r="EX911" s="2" t="n">
        <v>100</v>
      </c>
      <c r="EY911" s="2" t="n">
        <v>0</v>
      </c>
      <c r="EZ911" s="2" t="n">
        <v>100</v>
      </c>
      <c r="FA911" s="2" t="n">
        <v>100</v>
      </c>
      <c r="FB911" s="2" t="n">
        <v>0</v>
      </c>
      <c r="FC911" s="2" t="n">
        <v>100</v>
      </c>
      <c r="FD911" s="2" t="n">
        <v>100</v>
      </c>
      <c r="FE911" s="2" t="n">
        <v>0</v>
      </c>
      <c r="FF911" s="2" t="n">
        <v>100</v>
      </c>
      <c r="FG911" s="2" t="n">
        <v>100</v>
      </c>
      <c r="FH911" s="2" t="n">
        <v>0</v>
      </c>
      <c r="FI911" s="2" t="n">
        <v>100</v>
      </c>
      <c r="FJ911" s="2" t="n">
        <v>100</v>
      </c>
      <c r="FK911" s="2" t="n">
        <v>0</v>
      </c>
      <c r="FL911" s="2" t="n">
        <v>100</v>
      </c>
      <c r="FM911" s="2" t="n">
        <v>100</v>
      </c>
      <c r="FN911" s="2" t="n">
        <v>0</v>
      </c>
      <c r="FO911" s="2" t="n">
        <v>100</v>
      </c>
      <c r="FP911" s="2" t="n">
        <v>100</v>
      </c>
      <c r="FQ911" s="2" t="n">
        <v>0</v>
      </c>
    </row>
    <row r="912">
      <c r="A912" s="2" t="n">
        <v>2</v>
      </c>
      <c r="B912" s="2" t="inlineStr">
        <is>
          <t>33.02</t>
        </is>
      </c>
      <c r="C912" s="2" t="inlineStr">
        <is>
          <t>Forro acústico</t>
        </is>
      </c>
      <c r="D912" s="2" t="inlineStr">
        <is>
          <t>30/03/2027</t>
        </is>
      </c>
      <c r="E912" s="2" t="inlineStr">
        <is>
          <t>08/11/2027</t>
        </is>
      </c>
      <c r="F912" s="2" t="n">
        <v>4917.1185</v>
      </c>
      <c r="G912" s="2" t="n">
        <v>0</v>
      </c>
      <c r="H912" s="2" t="n">
        <v>4917.1185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4.55</v>
      </c>
      <c r="CZ912" s="2" t="n">
        <v>0</v>
      </c>
      <c r="DA912" s="2" t="n">
        <v>47.73</v>
      </c>
      <c r="DB912" s="2" t="n">
        <v>50</v>
      </c>
      <c r="DC912" s="2" t="n">
        <v>0</v>
      </c>
      <c r="DD912" s="2" t="n">
        <v>50</v>
      </c>
      <c r="DE912" s="2" t="n">
        <v>50</v>
      </c>
      <c r="DF912" s="2" t="n">
        <v>0</v>
      </c>
      <c r="DG912" s="2" t="n">
        <v>50</v>
      </c>
      <c r="DH912" s="2" t="n">
        <v>50</v>
      </c>
      <c r="DI912" s="2" t="n">
        <v>0</v>
      </c>
      <c r="DJ912" s="2" t="n">
        <v>50</v>
      </c>
      <c r="DK912" s="2" t="n">
        <v>50</v>
      </c>
      <c r="DL912" s="2" t="n">
        <v>0</v>
      </c>
      <c r="DM912" s="2" t="n">
        <v>50</v>
      </c>
      <c r="DN912" s="2" t="n">
        <v>50</v>
      </c>
      <c r="DO912" s="2" t="n">
        <v>0</v>
      </c>
      <c r="DP912" s="2" t="n">
        <v>80</v>
      </c>
      <c r="DQ912" s="2" t="n">
        <v>50</v>
      </c>
      <c r="DR912" s="2" t="n">
        <v>0</v>
      </c>
      <c r="DS912" s="2" t="n">
        <v>100</v>
      </c>
      <c r="DT912" s="2" t="n">
        <v>75</v>
      </c>
      <c r="DU912" s="2" t="n">
        <v>0</v>
      </c>
      <c r="DV912" s="2" t="n">
        <v>100</v>
      </c>
      <c r="DW912" s="2" t="n">
        <v>100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  <c r="ET912" s="2" t="n">
        <v>100</v>
      </c>
      <c r="EU912" s="2" t="n">
        <v>100</v>
      </c>
      <c r="EV912" s="2" t="n">
        <v>0</v>
      </c>
      <c r="EW912" s="2" t="n">
        <v>100</v>
      </c>
      <c r="EX912" s="2" t="n">
        <v>100</v>
      </c>
      <c r="EY912" s="2" t="n">
        <v>0</v>
      </c>
      <c r="EZ912" s="2" t="n">
        <v>100</v>
      </c>
      <c r="FA912" s="2" t="n">
        <v>100</v>
      </c>
      <c r="FB912" s="2" t="n">
        <v>0</v>
      </c>
      <c r="FC912" s="2" t="n">
        <v>100</v>
      </c>
      <c r="FD912" s="2" t="n">
        <v>100</v>
      </c>
      <c r="FE912" s="2" t="n">
        <v>0</v>
      </c>
      <c r="FF912" s="2" t="n">
        <v>100</v>
      </c>
      <c r="FG912" s="2" t="n">
        <v>100</v>
      </c>
      <c r="FH912" s="2" t="n">
        <v>0</v>
      </c>
      <c r="FI912" s="2" t="n">
        <v>100</v>
      </c>
      <c r="FJ912" s="2" t="n">
        <v>100</v>
      </c>
      <c r="FK912" s="2" t="n">
        <v>0</v>
      </c>
      <c r="FL912" s="2" t="n">
        <v>100</v>
      </c>
      <c r="FM912" s="2" t="n">
        <v>100</v>
      </c>
      <c r="FN912" s="2" t="n">
        <v>0</v>
      </c>
      <c r="FO912" s="2" t="n">
        <v>100</v>
      </c>
      <c r="FP912" s="2" t="n">
        <v>100</v>
      </c>
      <c r="FQ912" s="2" t="n">
        <v>0</v>
      </c>
    </row>
    <row r="913">
      <c r="A913" s="2" t="n">
        <v>3</v>
      </c>
      <c r="B913" s="2" t="inlineStr">
        <is>
          <t>33.02.01</t>
        </is>
      </c>
      <c r="C913" s="2" t="inlineStr">
        <is>
          <t>INT - Forro acústico em gesso perfurado Cleaneo furação redonda, acabamento na cor branca. Ref.: Knauf ou similar.</t>
        </is>
      </c>
      <c r="D913" s="2" t="inlineStr">
        <is>
          <t>30/03/2027</t>
        </is>
      </c>
      <c r="E913" s="2" t="inlineStr">
        <is>
          <t>08/11/2027</t>
        </is>
      </c>
      <c r="F913" s="2" t="n">
        <v>4917.1185</v>
      </c>
      <c r="G913" s="2" t="n">
        <v>0</v>
      </c>
      <c r="H913" s="2" t="n">
        <v>4917.1185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4.55</v>
      </c>
      <c r="CZ913" s="2" t="n">
        <v>0</v>
      </c>
      <c r="DA913" s="2" t="n">
        <v>47.73</v>
      </c>
      <c r="DB913" s="2" t="n">
        <v>50</v>
      </c>
      <c r="DC913" s="2" t="n">
        <v>0</v>
      </c>
      <c r="DD913" s="2" t="n">
        <v>50</v>
      </c>
      <c r="DE913" s="2" t="n">
        <v>50</v>
      </c>
      <c r="DF913" s="2" t="n">
        <v>0</v>
      </c>
      <c r="DG913" s="2" t="n">
        <v>50</v>
      </c>
      <c r="DH913" s="2" t="n">
        <v>50</v>
      </c>
      <c r="DI913" s="2" t="n">
        <v>0</v>
      </c>
      <c r="DJ913" s="2" t="n">
        <v>50</v>
      </c>
      <c r="DK913" s="2" t="n">
        <v>50</v>
      </c>
      <c r="DL913" s="2" t="n">
        <v>0</v>
      </c>
      <c r="DM913" s="2" t="n">
        <v>50</v>
      </c>
      <c r="DN913" s="2" t="n">
        <v>50</v>
      </c>
      <c r="DO913" s="2" t="n">
        <v>0</v>
      </c>
      <c r="DP913" s="2" t="n">
        <v>80</v>
      </c>
      <c r="DQ913" s="2" t="n">
        <v>50</v>
      </c>
      <c r="DR913" s="2" t="n">
        <v>0</v>
      </c>
      <c r="DS913" s="2" t="n">
        <v>100</v>
      </c>
      <c r="DT913" s="2" t="n">
        <v>75</v>
      </c>
      <c r="DU913" s="2" t="n">
        <v>0</v>
      </c>
      <c r="DV913" s="2" t="n">
        <v>100</v>
      </c>
      <c r="DW913" s="2" t="n">
        <v>100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  <c r="ET913" s="2" t="n">
        <v>100</v>
      </c>
      <c r="EU913" s="2" t="n">
        <v>100</v>
      </c>
      <c r="EV913" s="2" t="n">
        <v>0</v>
      </c>
      <c r="EW913" s="2" t="n">
        <v>100</v>
      </c>
      <c r="EX913" s="2" t="n">
        <v>100</v>
      </c>
      <c r="EY913" s="2" t="n">
        <v>0</v>
      </c>
      <c r="EZ913" s="2" t="n">
        <v>100</v>
      </c>
      <c r="FA913" s="2" t="n">
        <v>100</v>
      </c>
      <c r="FB913" s="2" t="n">
        <v>0</v>
      </c>
      <c r="FC913" s="2" t="n">
        <v>100</v>
      </c>
      <c r="FD913" s="2" t="n">
        <v>100</v>
      </c>
      <c r="FE913" s="2" t="n">
        <v>0</v>
      </c>
      <c r="FF913" s="2" t="n">
        <v>100</v>
      </c>
      <c r="FG913" s="2" t="n">
        <v>100</v>
      </c>
      <c r="FH913" s="2" t="n">
        <v>0</v>
      </c>
      <c r="FI913" s="2" t="n">
        <v>100</v>
      </c>
      <c r="FJ913" s="2" t="n">
        <v>100</v>
      </c>
      <c r="FK913" s="2" t="n">
        <v>0</v>
      </c>
      <c r="FL913" s="2" t="n">
        <v>100</v>
      </c>
      <c r="FM913" s="2" t="n">
        <v>100</v>
      </c>
      <c r="FN913" s="2" t="n">
        <v>0</v>
      </c>
      <c r="FO913" s="2" t="n">
        <v>100</v>
      </c>
      <c r="FP913" s="2" t="n">
        <v>100</v>
      </c>
      <c r="FQ913" s="2" t="n">
        <v>0</v>
      </c>
    </row>
    <row r="914">
      <c r="A914" s="2" t="n">
        <v>2</v>
      </c>
      <c r="B914" s="2" t="inlineStr">
        <is>
          <t>33.03</t>
        </is>
      </c>
      <c r="C914" s="2" t="inlineStr">
        <is>
          <t>Forro de Madeira</t>
        </is>
      </c>
      <c r="D914" s="2" t="inlineStr">
        <is>
          <t>12/07/2027</t>
        </is>
      </c>
      <c r="E914" s="2" t="inlineStr">
        <is>
          <t>09/11/2028</t>
        </is>
      </c>
      <c r="F914" s="2" t="n">
        <v>1339344.139134</v>
      </c>
      <c r="G914" s="2" t="n">
        <v>0</v>
      </c>
      <c r="H914" s="2" t="n">
        <v>1339344.139134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0</v>
      </c>
      <c r="CD914" s="2" t="n">
        <v>0</v>
      </c>
      <c r="CE914" s="2" t="n">
        <v>0</v>
      </c>
      <c r="CF914" s="2" t="n">
        <v>0</v>
      </c>
      <c r="CG914" s="2" t="n">
        <v>0</v>
      </c>
      <c r="CH914" s="2" t="n">
        <v>0</v>
      </c>
      <c r="CI914" s="2" t="n">
        <v>0</v>
      </c>
      <c r="CJ914" s="2" t="n">
        <v>0</v>
      </c>
      <c r="CK914" s="2" t="n">
        <v>0</v>
      </c>
      <c r="CL914" s="2" t="n">
        <v>0</v>
      </c>
      <c r="CM914" s="2" t="n">
        <v>0</v>
      </c>
      <c r="CN914" s="2" t="n">
        <v>0</v>
      </c>
      <c r="CO914" s="2" t="n">
        <v>0</v>
      </c>
      <c r="CP914" s="2" t="n">
        <v>0</v>
      </c>
      <c r="CQ914" s="2" t="n">
        <v>0</v>
      </c>
      <c r="CR914" s="2" t="n">
        <v>0</v>
      </c>
      <c r="CS914" s="2" t="n">
        <v>0</v>
      </c>
      <c r="CT914" s="2" t="n">
        <v>0</v>
      </c>
      <c r="CU914" s="2" t="n">
        <v>0</v>
      </c>
      <c r="CV914" s="2" t="n">
        <v>0</v>
      </c>
      <c r="CW914" s="2" t="n">
        <v>0</v>
      </c>
      <c r="CX914" s="2" t="n">
        <v>0</v>
      </c>
      <c r="CY914" s="2" t="n">
        <v>0</v>
      </c>
      <c r="CZ914" s="2" t="n">
        <v>0</v>
      </c>
      <c r="DA914" s="2" t="n">
        <v>0</v>
      </c>
      <c r="DB914" s="2" t="n">
        <v>0</v>
      </c>
      <c r="DC914" s="2" t="n">
        <v>0</v>
      </c>
      <c r="DD914" s="2" t="n">
        <v>0</v>
      </c>
      <c r="DE914" s="2" t="n">
        <v>0</v>
      </c>
      <c r="DF914" s="2" t="n">
        <v>0</v>
      </c>
      <c r="DG914" s="2" t="n">
        <v>6.48</v>
      </c>
      <c r="DH914" s="2" t="n">
        <v>0</v>
      </c>
      <c r="DI914" s="2" t="n">
        <v>0</v>
      </c>
      <c r="DJ914" s="2" t="n">
        <v>8.33</v>
      </c>
      <c r="DK914" s="2" t="n">
        <v>4.17</v>
      </c>
      <c r="DL914" s="2" t="n">
        <v>0</v>
      </c>
      <c r="DM914" s="2" t="n">
        <v>16.67</v>
      </c>
      <c r="DN914" s="2" t="n">
        <v>8.33</v>
      </c>
      <c r="DO914" s="2" t="n">
        <v>0</v>
      </c>
      <c r="DP914" s="2" t="n">
        <v>19.91</v>
      </c>
      <c r="DQ914" s="2" t="n">
        <v>8.33</v>
      </c>
      <c r="DR914" s="2" t="n">
        <v>0</v>
      </c>
      <c r="DS914" s="2" t="n">
        <v>25</v>
      </c>
      <c r="DT914" s="2" t="n">
        <v>15.56</v>
      </c>
      <c r="DU914" s="2" t="n">
        <v>0</v>
      </c>
      <c r="DV914" s="2" t="n">
        <v>36.11</v>
      </c>
      <c r="DW914" s="2" t="n">
        <v>25.28</v>
      </c>
      <c r="DX914" s="2" t="n">
        <v>0</v>
      </c>
      <c r="DY914" s="2" t="n">
        <v>44.91</v>
      </c>
      <c r="DZ914" s="2" t="n">
        <v>28.89</v>
      </c>
      <c r="EA914" s="2" t="n">
        <v>0</v>
      </c>
      <c r="EB914" s="2" t="n">
        <v>60.65</v>
      </c>
      <c r="EC914" s="2" t="n">
        <v>36.11</v>
      </c>
      <c r="ED914" s="2" t="n">
        <v>0</v>
      </c>
      <c r="EE914" s="2" t="n">
        <v>68.06</v>
      </c>
      <c r="EF914" s="2" t="n">
        <v>41.94</v>
      </c>
      <c r="EG914" s="2" t="n">
        <v>0</v>
      </c>
      <c r="EH914" s="2" t="n">
        <v>81.94</v>
      </c>
      <c r="EI914" s="2" t="n">
        <v>54.72</v>
      </c>
      <c r="EJ914" s="2" t="n">
        <v>0</v>
      </c>
      <c r="EK914" s="2" t="n">
        <v>89.34999999999999</v>
      </c>
      <c r="EL914" s="2" t="n">
        <v>62.78</v>
      </c>
      <c r="EM914" s="2" t="n">
        <v>0</v>
      </c>
      <c r="EN914" s="2" t="n">
        <v>99.54000000000001</v>
      </c>
      <c r="EO914" s="2" t="n">
        <v>68.89</v>
      </c>
      <c r="EP914" s="2" t="n">
        <v>0</v>
      </c>
      <c r="EQ914" s="2" t="n">
        <v>100</v>
      </c>
      <c r="ER914" s="2" t="n">
        <v>74.72</v>
      </c>
      <c r="ES914" s="2" t="n">
        <v>0</v>
      </c>
      <c r="ET914" s="2" t="n">
        <v>100</v>
      </c>
      <c r="EU914" s="2" t="n">
        <v>80.56</v>
      </c>
      <c r="EV914" s="2" t="n">
        <v>0</v>
      </c>
      <c r="EW914" s="2" t="n">
        <v>100</v>
      </c>
      <c r="EX914" s="2" t="n">
        <v>86.94</v>
      </c>
      <c r="EY914" s="2" t="n">
        <v>0</v>
      </c>
      <c r="EZ914" s="2" t="n">
        <v>100</v>
      </c>
      <c r="FA914" s="2" t="n">
        <v>92.5</v>
      </c>
      <c r="FB914" s="2" t="n">
        <v>0</v>
      </c>
      <c r="FC914" s="2" t="n">
        <v>100</v>
      </c>
      <c r="FD914" s="2" t="n">
        <v>98.33</v>
      </c>
      <c r="FE914" s="2" t="n">
        <v>0</v>
      </c>
      <c r="FF914" s="2" t="n">
        <v>100</v>
      </c>
      <c r="FG914" s="2" t="n">
        <v>100</v>
      </c>
      <c r="FH914" s="2" t="n">
        <v>0</v>
      </c>
      <c r="FI914" s="2" t="n">
        <v>100</v>
      </c>
      <c r="FJ914" s="2" t="n">
        <v>100</v>
      </c>
      <c r="FK914" s="2" t="n">
        <v>0</v>
      </c>
      <c r="FL914" s="2" t="n">
        <v>100</v>
      </c>
      <c r="FM914" s="2" t="n">
        <v>100</v>
      </c>
      <c r="FN914" s="2" t="n">
        <v>0</v>
      </c>
      <c r="FO914" s="2" t="n">
        <v>100</v>
      </c>
      <c r="FP914" s="2" t="n">
        <v>100</v>
      </c>
      <c r="FQ914" s="2" t="n">
        <v>0</v>
      </c>
    </row>
    <row r="915">
      <c r="A915" s="2" t="n">
        <v>3</v>
      </c>
      <c r="B915" s="2" t="inlineStr">
        <is>
          <t>33.03.01</t>
        </is>
      </c>
      <c r="C915" s="2" t="inlineStr">
        <is>
          <t>Forro em madeira Akaloor cumarú 10x100cm</t>
        </is>
      </c>
      <c r="D915" s="2" t="inlineStr">
        <is>
          <t>12/07/2027</t>
        </is>
      </c>
      <c r="E915" s="2" t="inlineStr">
        <is>
          <t>09/11/2028</t>
        </is>
      </c>
      <c r="F915" s="2" t="n">
        <v>994774.446</v>
      </c>
      <c r="G915" s="2" t="n">
        <v>0</v>
      </c>
      <c r="H915" s="2" t="n">
        <v>994774.446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0</v>
      </c>
      <c r="CD915" s="2" t="n">
        <v>0</v>
      </c>
      <c r="CE915" s="2" t="n">
        <v>0</v>
      </c>
      <c r="CF915" s="2" t="n">
        <v>0</v>
      </c>
      <c r="CG915" s="2" t="n">
        <v>0</v>
      </c>
      <c r="CH915" s="2" t="n">
        <v>0</v>
      </c>
      <c r="CI915" s="2" t="n">
        <v>0</v>
      </c>
      <c r="CJ915" s="2" t="n">
        <v>0</v>
      </c>
      <c r="CK915" s="2" t="n">
        <v>0</v>
      </c>
      <c r="CL915" s="2" t="n">
        <v>0</v>
      </c>
      <c r="CM915" s="2" t="n">
        <v>0</v>
      </c>
      <c r="CN915" s="2" t="n">
        <v>0</v>
      </c>
      <c r="CO915" s="2" t="n">
        <v>0</v>
      </c>
      <c r="CP915" s="2" t="n">
        <v>0</v>
      </c>
      <c r="CQ915" s="2" t="n">
        <v>0</v>
      </c>
      <c r="CR915" s="2" t="n">
        <v>0</v>
      </c>
      <c r="CS915" s="2" t="n">
        <v>0</v>
      </c>
      <c r="CT915" s="2" t="n">
        <v>0</v>
      </c>
      <c r="CU915" s="2" t="n">
        <v>0</v>
      </c>
      <c r="CV915" s="2" t="n">
        <v>0</v>
      </c>
      <c r="CW915" s="2" t="n">
        <v>0</v>
      </c>
      <c r="CX915" s="2" t="n">
        <v>0</v>
      </c>
      <c r="CY915" s="2" t="n">
        <v>0</v>
      </c>
      <c r="CZ915" s="2" t="n">
        <v>0</v>
      </c>
      <c r="DA915" s="2" t="n">
        <v>0</v>
      </c>
      <c r="DB915" s="2" t="n">
        <v>0</v>
      </c>
      <c r="DC915" s="2" t="n">
        <v>0</v>
      </c>
      <c r="DD915" s="2" t="n">
        <v>0</v>
      </c>
      <c r="DE915" s="2" t="n">
        <v>0</v>
      </c>
      <c r="DF915" s="2" t="n">
        <v>0</v>
      </c>
      <c r="DG915" s="2" t="n">
        <v>6.48</v>
      </c>
      <c r="DH915" s="2" t="n">
        <v>0</v>
      </c>
      <c r="DI915" s="2" t="n">
        <v>0</v>
      </c>
      <c r="DJ915" s="2" t="n">
        <v>8.33</v>
      </c>
      <c r="DK915" s="2" t="n">
        <v>4.17</v>
      </c>
      <c r="DL915" s="2" t="n">
        <v>0</v>
      </c>
      <c r="DM915" s="2" t="n">
        <v>16.67</v>
      </c>
      <c r="DN915" s="2" t="n">
        <v>8.33</v>
      </c>
      <c r="DO915" s="2" t="n">
        <v>0</v>
      </c>
      <c r="DP915" s="2" t="n">
        <v>19.91</v>
      </c>
      <c r="DQ915" s="2" t="n">
        <v>8.33</v>
      </c>
      <c r="DR915" s="2" t="n">
        <v>0</v>
      </c>
      <c r="DS915" s="2" t="n">
        <v>25</v>
      </c>
      <c r="DT915" s="2" t="n">
        <v>15.56</v>
      </c>
      <c r="DU915" s="2" t="n">
        <v>0</v>
      </c>
      <c r="DV915" s="2" t="n">
        <v>36.11</v>
      </c>
      <c r="DW915" s="2" t="n">
        <v>25.28</v>
      </c>
      <c r="DX915" s="2" t="n">
        <v>0</v>
      </c>
      <c r="DY915" s="2" t="n">
        <v>44.91</v>
      </c>
      <c r="DZ915" s="2" t="n">
        <v>28.89</v>
      </c>
      <c r="EA915" s="2" t="n">
        <v>0</v>
      </c>
      <c r="EB915" s="2" t="n">
        <v>60.65</v>
      </c>
      <c r="EC915" s="2" t="n">
        <v>36.11</v>
      </c>
      <c r="ED915" s="2" t="n">
        <v>0</v>
      </c>
      <c r="EE915" s="2" t="n">
        <v>68.06</v>
      </c>
      <c r="EF915" s="2" t="n">
        <v>41.94</v>
      </c>
      <c r="EG915" s="2" t="n">
        <v>0</v>
      </c>
      <c r="EH915" s="2" t="n">
        <v>81.94</v>
      </c>
      <c r="EI915" s="2" t="n">
        <v>54.72</v>
      </c>
      <c r="EJ915" s="2" t="n">
        <v>0</v>
      </c>
      <c r="EK915" s="2" t="n">
        <v>89.34999999999999</v>
      </c>
      <c r="EL915" s="2" t="n">
        <v>62.78</v>
      </c>
      <c r="EM915" s="2" t="n">
        <v>0</v>
      </c>
      <c r="EN915" s="2" t="n">
        <v>99.54000000000001</v>
      </c>
      <c r="EO915" s="2" t="n">
        <v>68.89</v>
      </c>
      <c r="EP915" s="2" t="n">
        <v>0</v>
      </c>
      <c r="EQ915" s="2" t="n">
        <v>100</v>
      </c>
      <c r="ER915" s="2" t="n">
        <v>74.72</v>
      </c>
      <c r="ES915" s="2" t="n">
        <v>0</v>
      </c>
      <c r="ET915" s="2" t="n">
        <v>100</v>
      </c>
      <c r="EU915" s="2" t="n">
        <v>80.56</v>
      </c>
      <c r="EV915" s="2" t="n">
        <v>0</v>
      </c>
      <c r="EW915" s="2" t="n">
        <v>100</v>
      </c>
      <c r="EX915" s="2" t="n">
        <v>86.94</v>
      </c>
      <c r="EY915" s="2" t="n">
        <v>0</v>
      </c>
      <c r="EZ915" s="2" t="n">
        <v>100</v>
      </c>
      <c r="FA915" s="2" t="n">
        <v>92.5</v>
      </c>
      <c r="FB915" s="2" t="n">
        <v>0</v>
      </c>
      <c r="FC915" s="2" t="n">
        <v>100</v>
      </c>
      <c r="FD915" s="2" t="n">
        <v>98.33</v>
      </c>
      <c r="FE915" s="2" t="n">
        <v>0</v>
      </c>
      <c r="FF915" s="2" t="n">
        <v>100</v>
      </c>
      <c r="FG915" s="2" t="n">
        <v>100</v>
      </c>
      <c r="FH915" s="2" t="n">
        <v>0</v>
      </c>
      <c r="FI915" s="2" t="n">
        <v>100</v>
      </c>
      <c r="FJ915" s="2" t="n">
        <v>100</v>
      </c>
      <c r="FK915" s="2" t="n">
        <v>0</v>
      </c>
      <c r="FL915" s="2" t="n">
        <v>100</v>
      </c>
      <c r="FM915" s="2" t="n">
        <v>100</v>
      </c>
      <c r="FN915" s="2" t="n">
        <v>0</v>
      </c>
      <c r="FO915" s="2" t="n">
        <v>100</v>
      </c>
      <c r="FP915" s="2" t="n">
        <v>100</v>
      </c>
      <c r="FQ915" s="2" t="n">
        <v>0</v>
      </c>
    </row>
    <row r="916">
      <c r="A916" s="2" t="n">
        <v>3</v>
      </c>
      <c r="B916" s="2" t="inlineStr">
        <is>
          <t>33.03.02</t>
        </is>
      </c>
      <c r="C916" s="2" t="inlineStr">
        <is>
          <t>Forro em madeira Akaloor cumarú 10x100cm - Pilotis</t>
        </is>
      </c>
      <c r="D916" s="2" t="inlineStr">
        <is>
          <t>12/07/2027</t>
        </is>
      </c>
      <c r="E916" s="2" t="inlineStr">
        <is>
          <t>09/11/2028</t>
        </is>
      </c>
      <c r="F916" s="2" t="n">
        <v>344569.6931340001</v>
      </c>
      <c r="G916" s="2" t="n">
        <v>0</v>
      </c>
      <c r="H916" s="2" t="n">
        <v>344569.6931340001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6.48</v>
      </c>
      <c r="DH916" s="2" t="n">
        <v>0</v>
      </c>
      <c r="DI916" s="2" t="n">
        <v>0</v>
      </c>
      <c r="DJ916" s="2" t="n">
        <v>8.33</v>
      </c>
      <c r="DK916" s="2" t="n">
        <v>4.17</v>
      </c>
      <c r="DL916" s="2" t="n">
        <v>0</v>
      </c>
      <c r="DM916" s="2" t="n">
        <v>16.67</v>
      </c>
      <c r="DN916" s="2" t="n">
        <v>8.33</v>
      </c>
      <c r="DO916" s="2" t="n">
        <v>0</v>
      </c>
      <c r="DP916" s="2" t="n">
        <v>19.91</v>
      </c>
      <c r="DQ916" s="2" t="n">
        <v>8.33</v>
      </c>
      <c r="DR916" s="2" t="n">
        <v>0</v>
      </c>
      <c r="DS916" s="2" t="n">
        <v>25</v>
      </c>
      <c r="DT916" s="2" t="n">
        <v>15.56</v>
      </c>
      <c r="DU916" s="2" t="n">
        <v>0</v>
      </c>
      <c r="DV916" s="2" t="n">
        <v>36.11</v>
      </c>
      <c r="DW916" s="2" t="n">
        <v>25.28</v>
      </c>
      <c r="DX916" s="2" t="n">
        <v>0</v>
      </c>
      <c r="DY916" s="2" t="n">
        <v>44.91</v>
      </c>
      <c r="DZ916" s="2" t="n">
        <v>28.89</v>
      </c>
      <c r="EA916" s="2" t="n">
        <v>0</v>
      </c>
      <c r="EB916" s="2" t="n">
        <v>60.65</v>
      </c>
      <c r="EC916" s="2" t="n">
        <v>36.11</v>
      </c>
      <c r="ED916" s="2" t="n">
        <v>0</v>
      </c>
      <c r="EE916" s="2" t="n">
        <v>68.06</v>
      </c>
      <c r="EF916" s="2" t="n">
        <v>41.94</v>
      </c>
      <c r="EG916" s="2" t="n">
        <v>0</v>
      </c>
      <c r="EH916" s="2" t="n">
        <v>81.94</v>
      </c>
      <c r="EI916" s="2" t="n">
        <v>54.72</v>
      </c>
      <c r="EJ916" s="2" t="n">
        <v>0</v>
      </c>
      <c r="EK916" s="2" t="n">
        <v>89.34999999999999</v>
      </c>
      <c r="EL916" s="2" t="n">
        <v>62.78</v>
      </c>
      <c r="EM916" s="2" t="n">
        <v>0</v>
      </c>
      <c r="EN916" s="2" t="n">
        <v>99.54000000000001</v>
      </c>
      <c r="EO916" s="2" t="n">
        <v>68.89</v>
      </c>
      <c r="EP916" s="2" t="n">
        <v>0</v>
      </c>
      <c r="EQ916" s="2" t="n">
        <v>100</v>
      </c>
      <c r="ER916" s="2" t="n">
        <v>74.72</v>
      </c>
      <c r="ES916" s="2" t="n">
        <v>0</v>
      </c>
      <c r="ET916" s="2" t="n">
        <v>100</v>
      </c>
      <c r="EU916" s="2" t="n">
        <v>80.56</v>
      </c>
      <c r="EV916" s="2" t="n">
        <v>0</v>
      </c>
      <c r="EW916" s="2" t="n">
        <v>100</v>
      </c>
      <c r="EX916" s="2" t="n">
        <v>86.94</v>
      </c>
      <c r="EY916" s="2" t="n">
        <v>0</v>
      </c>
      <c r="EZ916" s="2" t="n">
        <v>100</v>
      </c>
      <c r="FA916" s="2" t="n">
        <v>92.5</v>
      </c>
      <c r="FB916" s="2" t="n">
        <v>0</v>
      </c>
      <c r="FC916" s="2" t="n">
        <v>100</v>
      </c>
      <c r="FD916" s="2" t="n">
        <v>98.33</v>
      </c>
      <c r="FE916" s="2" t="n">
        <v>0</v>
      </c>
      <c r="FF916" s="2" t="n">
        <v>100</v>
      </c>
      <c r="FG916" s="2" t="n">
        <v>100</v>
      </c>
      <c r="FH916" s="2" t="n">
        <v>0</v>
      </c>
      <c r="FI916" s="2" t="n">
        <v>100</v>
      </c>
      <c r="FJ916" s="2" t="n">
        <v>100</v>
      </c>
      <c r="FK916" s="2" t="n">
        <v>0</v>
      </c>
      <c r="FL916" s="2" t="n">
        <v>100</v>
      </c>
      <c r="FM916" s="2" t="n">
        <v>100</v>
      </c>
      <c r="FN916" s="2" t="n">
        <v>0</v>
      </c>
      <c r="FO916" s="2" t="n">
        <v>100</v>
      </c>
      <c r="FP916" s="2" t="n">
        <v>100</v>
      </c>
      <c r="FQ916" s="2" t="n">
        <v>0</v>
      </c>
    </row>
    <row r="917">
      <c r="A917" s="2" t="n">
        <v>2</v>
      </c>
      <c r="B917" s="2" t="inlineStr">
        <is>
          <t>33.04</t>
        </is>
      </c>
      <c r="C917" s="2" t="inlineStr">
        <is>
          <t>Metálicos</t>
        </is>
      </c>
      <c r="D917" s="2" t="inlineStr">
        <is>
          <t>30/03/2027</t>
        </is>
      </c>
      <c r="E917" s="2" t="inlineStr">
        <is>
          <t>08/11/2027</t>
        </is>
      </c>
      <c r="F917" s="2" t="n">
        <v>7741.5</v>
      </c>
      <c r="G917" s="2" t="n">
        <v>0</v>
      </c>
      <c r="H917" s="2" t="n">
        <v>7741.5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4.55</v>
      </c>
      <c r="CZ917" s="2" t="n">
        <v>0</v>
      </c>
      <c r="DA917" s="2" t="n">
        <v>47.73</v>
      </c>
      <c r="DB917" s="2" t="n">
        <v>50</v>
      </c>
      <c r="DC917" s="2" t="n">
        <v>0</v>
      </c>
      <c r="DD917" s="2" t="n">
        <v>50</v>
      </c>
      <c r="DE917" s="2" t="n">
        <v>50</v>
      </c>
      <c r="DF917" s="2" t="n">
        <v>0</v>
      </c>
      <c r="DG917" s="2" t="n">
        <v>50</v>
      </c>
      <c r="DH917" s="2" t="n">
        <v>50</v>
      </c>
      <c r="DI917" s="2" t="n">
        <v>0</v>
      </c>
      <c r="DJ917" s="2" t="n">
        <v>50</v>
      </c>
      <c r="DK917" s="2" t="n">
        <v>50</v>
      </c>
      <c r="DL917" s="2" t="n">
        <v>0</v>
      </c>
      <c r="DM917" s="2" t="n">
        <v>50</v>
      </c>
      <c r="DN917" s="2" t="n">
        <v>50</v>
      </c>
      <c r="DO917" s="2" t="n">
        <v>0</v>
      </c>
      <c r="DP917" s="2" t="n">
        <v>80</v>
      </c>
      <c r="DQ917" s="2" t="n">
        <v>50</v>
      </c>
      <c r="DR917" s="2" t="n">
        <v>0</v>
      </c>
      <c r="DS917" s="2" t="n">
        <v>100</v>
      </c>
      <c r="DT917" s="2" t="n">
        <v>75</v>
      </c>
      <c r="DU917" s="2" t="n">
        <v>0</v>
      </c>
      <c r="DV917" s="2" t="n">
        <v>100</v>
      </c>
      <c r="DW917" s="2" t="n">
        <v>100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  <c r="ET917" s="2" t="n">
        <v>100</v>
      </c>
      <c r="EU917" s="2" t="n">
        <v>100</v>
      </c>
      <c r="EV917" s="2" t="n">
        <v>0</v>
      </c>
      <c r="EW917" s="2" t="n">
        <v>100</v>
      </c>
      <c r="EX917" s="2" t="n">
        <v>100</v>
      </c>
      <c r="EY917" s="2" t="n">
        <v>0</v>
      </c>
      <c r="EZ917" s="2" t="n">
        <v>100</v>
      </c>
      <c r="FA917" s="2" t="n">
        <v>100</v>
      </c>
      <c r="FB917" s="2" t="n">
        <v>0</v>
      </c>
      <c r="FC917" s="2" t="n">
        <v>100</v>
      </c>
      <c r="FD917" s="2" t="n">
        <v>100</v>
      </c>
      <c r="FE917" s="2" t="n">
        <v>0</v>
      </c>
      <c r="FF917" s="2" t="n">
        <v>100</v>
      </c>
      <c r="FG917" s="2" t="n">
        <v>100</v>
      </c>
      <c r="FH917" s="2" t="n">
        <v>0</v>
      </c>
      <c r="FI917" s="2" t="n">
        <v>100</v>
      </c>
      <c r="FJ917" s="2" t="n">
        <v>100</v>
      </c>
      <c r="FK917" s="2" t="n">
        <v>0</v>
      </c>
      <c r="FL917" s="2" t="n">
        <v>100</v>
      </c>
      <c r="FM917" s="2" t="n">
        <v>100</v>
      </c>
      <c r="FN917" s="2" t="n">
        <v>0</v>
      </c>
      <c r="FO917" s="2" t="n">
        <v>100</v>
      </c>
      <c r="FP917" s="2" t="n">
        <v>100</v>
      </c>
      <c r="FQ917" s="2" t="n">
        <v>0</v>
      </c>
    </row>
    <row r="918">
      <c r="A918" s="2" t="n">
        <v>3</v>
      </c>
      <c r="B918" s="2" t="inlineStr">
        <is>
          <t>33.04.01</t>
        </is>
      </c>
      <c r="C918" s="2" t="inlineStr">
        <is>
          <t>INT - Forro metálico (no balanço do segundo pavimento), segue acabamento esquadrias - antecâmara. Paginação conforme detalhamento. Amostra a ser aprovada pela GPA&amp;A</t>
        </is>
      </c>
      <c r="D918" s="2" t="inlineStr">
        <is>
          <t>30/03/2027</t>
        </is>
      </c>
      <c r="E918" s="2" t="inlineStr">
        <is>
          <t>08/11/2027</t>
        </is>
      </c>
      <c r="F918" s="2" t="n">
        <v>7741.5</v>
      </c>
      <c r="G918" s="2" t="n">
        <v>0</v>
      </c>
      <c r="H918" s="2" t="n">
        <v>7741.5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4.55</v>
      </c>
      <c r="CZ918" s="2" t="n">
        <v>0</v>
      </c>
      <c r="DA918" s="2" t="n">
        <v>47.73</v>
      </c>
      <c r="DB918" s="2" t="n">
        <v>50</v>
      </c>
      <c r="DC918" s="2" t="n">
        <v>0</v>
      </c>
      <c r="DD918" s="2" t="n">
        <v>50</v>
      </c>
      <c r="DE918" s="2" t="n">
        <v>50</v>
      </c>
      <c r="DF918" s="2" t="n">
        <v>0</v>
      </c>
      <c r="DG918" s="2" t="n">
        <v>50</v>
      </c>
      <c r="DH918" s="2" t="n">
        <v>50</v>
      </c>
      <c r="DI918" s="2" t="n">
        <v>0</v>
      </c>
      <c r="DJ918" s="2" t="n">
        <v>50</v>
      </c>
      <c r="DK918" s="2" t="n">
        <v>50</v>
      </c>
      <c r="DL918" s="2" t="n">
        <v>0</v>
      </c>
      <c r="DM918" s="2" t="n">
        <v>50</v>
      </c>
      <c r="DN918" s="2" t="n">
        <v>50</v>
      </c>
      <c r="DO918" s="2" t="n">
        <v>0</v>
      </c>
      <c r="DP918" s="2" t="n">
        <v>80</v>
      </c>
      <c r="DQ918" s="2" t="n">
        <v>50</v>
      </c>
      <c r="DR918" s="2" t="n">
        <v>0</v>
      </c>
      <c r="DS918" s="2" t="n">
        <v>100</v>
      </c>
      <c r="DT918" s="2" t="n">
        <v>75</v>
      </c>
      <c r="DU918" s="2" t="n">
        <v>0</v>
      </c>
      <c r="DV918" s="2" t="n">
        <v>100</v>
      </c>
      <c r="DW918" s="2" t="n">
        <v>100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  <c r="ET918" s="2" t="n">
        <v>100</v>
      </c>
      <c r="EU918" s="2" t="n">
        <v>100</v>
      </c>
      <c r="EV918" s="2" t="n">
        <v>0</v>
      </c>
      <c r="EW918" s="2" t="n">
        <v>100</v>
      </c>
      <c r="EX918" s="2" t="n">
        <v>100</v>
      </c>
      <c r="EY918" s="2" t="n">
        <v>0</v>
      </c>
      <c r="EZ918" s="2" t="n">
        <v>100</v>
      </c>
      <c r="FA918" s="2" t="n">
        <v>100</v>
      </c>
      <c r="FB918" s="2" t="n">
        <v>0</v>
      </c>
      <c r="FC918" s="2" t="n">
        <v>100</v>
      </c>
      <c r="FD918" s="2" t="n">
        <v>100</v>
      </c>
      <c r="FE918" s="2" t="n">
        <v>0</v>
      </c>
      <c r="FF918" s="2" t="n">
        <v>100</v>
      </c>
      <c r="FG918" s="2" t="n">
        <v>100</v>
      </c>
      <c r="FH918" s="2" t="n">
        <v>0</v>
      </c>
      <c r="FI918" s="2" t="n">
        <v>100</v>
      </c>
      <c r="FJ918" s="2" t="n">
        <v>100</v>
      </c>
      <c r="FK918" s="2" t="n">
        <v>0</v>
      </c>
      <c r="FL918" s="2" t="n">
        <v>100</v>
      </c>
      <c r="FM918" s="2" t="n">
        <v>100</v>
      </c>
      <c r="FN918" s="2" t="n">
        <v>0</v>
      </c>
      <c r="FO918" s="2" t="n">
        <v>100</v>
      </c>
      <c r="FP918" s="2" t="n">
        <v>100</v>
      </c>
      <c r="FQ918" s="2" t="n">
        <v>0</v>
      </c>
    </row>
    <row r="919">
      <c r="A919" s="2" t="n">
        <v>1</v>
      </c>
      <c r="B919" s="2" t="inlineStr">
        <is>
          <t>34</t>
        </is>
      </c>
      <c r="C919" s="2" t="inlineStr">
        <is>
          <t>LOUÇAS E METAIS</t>
        </is>
      </c>
      <c r="D919" s="2" t="inlineStr">
        <is>
          <t>14/09/2027</t>
        </is>
      </c>
      <c r="E919" s="2" t="inlineStr">
        <is>
          <t>09/01/2029</t>
        </is>
      </c>
      <c r="F919" s="2" t="n">
        <v>1131097.38957953</v>
      </c>
      <c r="G919" s="2" t="n">
        <v>0</v>
      </c>
      <c r="H919" s="2" t="n">
        <v>1131097.38957953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4.92</v>
      </c>
      <c r="DN919" s="2" t="n">
        <v>0</v>
      </c>
      <c r="DO919" s="2" t="n">
        <v>0</v>
      </c>
      <c r="DP919" s="2" t="n">
        <v>9.369999999999999</v>
      </c>
      <c r="DQ919" s="2" t="n">
        <v>1.33</v>
      </c>
      <c r="DR919" s="2" t="n">
        <v>0</v>
      </c>
      <c r="DS919" s="2" t="n">
        <v>15.43</v>
      </c>
      <c r="DT919" s="2" t="n">
        <v>4.96</v>
      </c>
      <c r="DU919" s="2" t="n">
        <v>0</v>
      </c>
      <c r="DV919" s="2" t="n">
        <v>18.8</v>
      </c>
      <c r="DW919" s="2" t="n">
        <v>10.76</v>
      </c>
      <c r="DX919" s="2" t="n">
        <v>0</v>
      </c>
      <c r="DY919" s="2" t="n">
        <v>24.41</v>
      </c>
      <c r="DZ919" s="2" t="n">
        <v>11.6</v>
      </c>
      <c r="EA919" s="2" t="n">
        <v>0</v>
      </c>
      <c r="EB919" s="2" t="n">
        <v>35.9</v>
      </c>
      <c r="EC919" s="2" t="n">
        <v>14.84</v>
      </c>
      <c r="ED919" s="2" t="n">
        <v>0</v>
      </c>
      <c r="EE919" s="2" t="n">
        <v>49.97</v>
      </c>
      <c r="EF919" s="2" t="n">
        <v>29.86</v>
      </c>
      <c r="EG919" s="2" t="n">
        <v>0</v>
      </c>
      <c r="EH919" s="2" t="n">
        <v>64.23999999999999</v>
      </c>
      <c r="EI919" s="2" t="n">
        <v>37.51</v>
      </c>
      <c r="EJ919" s="2" t="n">
        <v>0</v>
      </c>
      <c r="EK919" s="2" t="n">
        <v>72.73999999999999</v>
      </c>
      <c r="EL919" s="2" t="n">
        <v>42.74</v>
      </c>
      <c r="EM919" s="2" t="n">
        <v>0</v>
      </c>
      <c r="EN919" s="2" t="n">
        <v>86.14</v>
      </c>
      <c r="EO919" s="2" t="n">
        <v>47.97</v>
      </c>
      <c r="EP919" s="2" t="n">
        <v>0</v>
      </c>
      <c r="EQ919" s="2" t="n">
        <v>94.64</v>
      </c>
      <c r="ER919" s="2" t="n">
        <v>58.02</v>
      </c>
      <c r="ES919" s="2" t="n">
        <v>0</v>
      </c>
      <c r="ET919" s="2" t="n">
        <v>100</v>
      </c>
      <c r="EU919" s="2" t="n">
        <v>69.83</v>
      </c>
      <c r="EV919" s="2" t="n">
        <v>0</v>
      </c>
      <c r="EW919" s="2" t="n">
        <v>100</v>
      </c>
      <c r="EX919" s="2" t="n">
        <v>75.86</v>
      </c>
      <c r="EY919" s="2" t="n">
        <v>0</v>
      </c>
      <c r="EZ919" s="2" t="n">
        <v>100</v>
      </c>
      <c r="FA919" s="2" t="n">
        <v>81.09</v>
      </c>
      <c r="FB919" s="2" t="n">
        <v>0</v>
      </c>
      <c r="FC919" s="2" t="n">
        <v>100</v>
      </c>
      <c r="FD919" s="2" t="n">
        <v>87.53</v>
      </c>
      <c r="FE919" s="2" t="n">
        <v>0</v>
      </c>
      <c r="FF919" s="2" t="n">
        <v>100</v>
      </c>
      <c r="FG919" s="2" t="n">
        <v>91.95</v>
      </c>
      <c r="FH919" s="2" t="n">
        <v>0</v>
      </c>
      <c r="FI919" s="2" t="n">
        <v>100</v>
      </c>
      <c r="FJ919" s="2" t="n">
        <v>97.59</v>
      </c>
      <c r="FK919" s="2" t="n">
        <v>0</v>
      </c>
      <c r="FL919" s="2" t="n">
        <v>100</v>
      </c>
      <c r="FM919" s="2" t="n">
        <v>100</v>
      </c>
      <c r="FN919" s="2" t="n">
        <v>0</v>
      </c>
      <c r="FO919" s="2" t="n">
        <v>100</v>
      </c>
      <c r="FP919" s="2" t="n">
        <v>100</v>
      </c>
      <c r="FQ919" s="2" t="n">
        <v>0</v>
      </c>
    </row>
    <row r="920">
      <c r="A920" s="2" t="n">
        <v>2</v>
      </c>
      <c r="B920" s="2" t="inlineStr">
        <is>
          <t>34.01</t>
        </is>
      </c>
      <c r="C920" s="2" t="inlineStr">
        <is>
          <t>Vaso sanitario</t>
        </is>
      </c>
      <c r="D920" s="2" t="inlineStr">
        <is>
          <t>14/09/2027</t>
        </is>
      </c>
      <c r="E920" s="2" t="inlineStr">
        <is>
          <t>09/01/2029</t>
        </is>
      </c>
      <c r="F920" s="2" t="n">
        <v>321726.2487430395</v>
      </c>
      <c r="G920" s="2" t="n">
        <v>0</v>
      </c>
      <c r="H920" s="2" t="n">
        <v>321726.2487430395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4.94</v>
      </c>
      <c r="DN920" s="2" t="n">
        <v>0</v>
      </c>
      <c r="DO920" s="2" t="n">
        <v>0</v>
      </c>
      <c r="DP920" s="2" t="n">
        <v>10.68</v>
      </c>
      <c r="DQ920" s="2" t="n">
        <v>2.6</v>
      </c>
      <c r="DR920" s="2" t="n">
        <v>0</v>
      </c>
      <c r="DS920" s="2" t="n">
        <v>16.07</v>
      </c>
      <c r="DT920" s="2" t="n">
        <v>5.83</v>
      </c>
      <c r="DU920" s="2" t="n">
        <v>0</v>
      </c>
      <c r="DV920" s="2" t="n">
        <v>18.76</v>
      </c>
      <c r="DW920" s="2" t="n">
        <v>10.68</v>
      </c>
      <c r="DX920" s="2" t="n">
        <v>0</v>
      </c>
      <c r="DY920" s="2" t="n">
        <v>24.93</v>
      </c>
      <c r="DZ920" s="2" t="n">
        <v>11.99</v>
      </c>
      <c r="EA920" s="2" t="n">
        <v>0</v>
      </c>
      <c r="EB920" s="2" t="n">
        <v>35.64</v>
      </c>
      <c r="EC920" s="2" t="n">
        <v>14.4</v>
      </c>
      <c r="ED920" s="2" t="n">
        <v>0</v>
      </c>
      <c r="EE920" s="2" t="n">
        <v>49.75</v>
      </c>
      <c r="EF920" s="2" t="n">
        <v>29.58</v>
      </c>
      <c r="EG920" s="2" t="n">
        <v>0</v>
      </c>
      <c r="EH920" s="2" t="n">
        <v>64.09</v>
      </c>
      <c r="EI920" s="2" t="n">
        <v>37.26</v>
      </c>
      <c r="EJ920" s="2" t="n">
        <v>0</v>
      </c>
      <c r="EK920" s="2" t="n">
        <v>72.62</v>
      </c>
      <c r="EL920" s="2" t="n">
        <v>42.51</v>
      </c>
      <c r="EM920" s="2" t="n">
        <v>0</v>
      </c>
      <c r="EN920" s="2" t="n">
        <v>86.08</v>
      </c>
      <c r="EO920" s="2" t="n">
        <v>47.76</v>
      </c>
      <c r="EP920" s="2" t="n">
        <v>0</v>
      </c>
      <c r="EQ920" s="2" t="n">
        <v>94.61</v>
      </c>
      <c r="ER920" s="2" t="n">
        <v>57.86</v>
      </c>
      <c r="ES920" s="2" t="n">
        <v>0</v>
      </c>
      <c r="ET920" s="2" t="n">
        <v>100</v>
      </c>
      <c r="EU920" s="2" t="n">
        <v>69.7</v>
      </c>
      <c r="EV920" s="2" t="n">
        <v>0</v>
      </c>
      <c r="EW920" s="2" t="n">
        <v>100</v>
      </c>
      <c r="EX920" s="2" t="n">
        <v>75.76000000000001</v>
      </c>
      <c r="EY920" s="2" t="n">
        <v>0</v>
      </c>
      <c r="EZ920" s="2" t="n">
        <v>100</v>
      </c>
      <c r="FA920" s="2" t="n">
        <v>81.01000000000001</v>
      </c>
      <c r="FB920" s="2" t="n">
        <v>0</v>
      </c>
      <c r="FC920" s="2" t="n">
        <v>100</v>
      </c>
      <c r="FD920" s="2" t="n">
        <v>87.48</v>
      </c>
      <c r="FE920" s="2" t="n">
        <v>0</v>
      </c>
      <c r="FF920" s="2" t="n">
        <v>100</v>
      </c>
      <c r="FG920" s="2" t="n">
        <v>91.92</v>
      </c>
      <c r="FH920" s="2" t="n">
        <v>0</v>
      </c>
      <c r="FI920" s="2" t="n">
        <v>100</v>
      </c>
      <c r="FJ920" s="2" t="n">
        <v>97.58</v>
      </c>
      <c r="FK920" s="2" t="n">
        <v>0</v>
      </c>
      <c r="FL920" s="2" t="n">
        <v>100</v>
      </c>
      <c r="FM920" s="2" t="n">
        <v>100</v>
      </c>
      <c r="FN920" s="2" t="n">
        <v>0</v>
      </c>
      <c r="FO920" s="2" t="n">
        <v>100</v>
      </c>
      <c r="FP920" s="2" t="n">
        <v>100</v>
      </c>
      <c r="FQ920" s="2" t="n">
        <v>0</v>
      </c>
    </row>
    <row r="921">
      <c r="A921" s="2" t="n">
        <v>3</v>
      </c>
      <c r="B921" s="2" t="inlineStr">
        <is>
          <t>34.01.01</t>
        </is>
      </c>
      <c r="C921" s="2" t="inlineStr">
        <is>
          <t>Bacia convencional carrara branco | deca | código: p.60.17 caixa acoplada com acionamento duo branco/cromado | deca | código: cd.11f.17   - Suites</t>
        </is>
      </c>
      <c r="D921" s="2" t="inlineStr">
        <is>
          <t>14/09/2027</t>
        </is>
      </c>
      <c r="E921" s="2" t="inlineStr">
        <is>
          <t>09/01/2029</t>
        </is>
      </c>
      <c r="F921" s="2" t="n">
        <v>135072.36</v>
      </c>
      <c r="G921" s="2" t="n">
        <v>0</v>
      </c>
      <c r="H921" s="2" t="n">
        <v>135072.36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4.94</v>
      </c>
      <c r="DN921" s="2" t="n">
        <v>0</v>
      </c>
      <c r="DO921" s="2" t="n">
        <v>0</v>
      </c>
      <c r="DP921" s="2" t="n">
        <v>10.68</v>
      </c>
      <c r="DQ921" s="2" t="n">
        <v>2.6</v>
      </c>
      <c r="DR921" s="2" t="n">
        <v>0</v>
      </c>
      <c r="DS921" s="2" t="n">
        <v>16.07</v>
      </c>
      <c r="DT921" s="2" t="n">
        <v>5.83</v>
      </c>
      <c r="DU921" s="2" t="n">
        <v>0</v>
      </c>
      <c r="DV921" s="2" t="n">
        <v>18.76</v>
      </c>
      <c r="DW921" s="2" t="n">
        <v>10.68</v>
      </c>
      <c r="DX921" s="2" t="n">
        <v>0</v>
      </c>
      <c r="DY921" s="2" t="n">
        <v>24.93</v>
      </c>
      <c r="DZ921" s="2" t="n">
        <v>11.99</v>
      </c>
      <c r="EA921" s="2" t="n">
        <v>0</v>
      </c>
      <c r="EB921" s="2" t="n">
        <v>35.64</v>
      </c>
      <c r="EC921" s="2" t="n">
        <v>14.4</v>
      </c>
      <c r="ED921" s="2" t="n">
        <v>0</v>
      </c>
      <c r="EE921" s="2" t="n">
        <v>49.75</v>
      </c>
      <c r="EF921" s="2" t="n">
        <v>29.58</v>
      </c>
      <c r="EG921" s="2" t="n">
        <v>0</v>
      </c>
      <c r="EH921" s="2" t="n">
        <v>64.09</v>
      </c>
      <c r="EI921" s="2" t="n">
        <v>37.26</v>
      </c>
      <c r="EJ921" s="2" t="n">
        <v>0</v>
      </c>
      <c r="EK921" s="2" t="n">
        <v>72.62</v>
      </c>
      <c r="EL921" s="2" t="n">
        <v>42.51</v>
      </c>
      <c r="EM921" s="2" t="n">
        <v>0</v>
      </c>
      <c r="EN921" s="2" t="n">
        <v>86.08</v>
      </c>
      <c r="EO921" s="2" t="n">
        <v>47.76</v>
      </c>
      <c r="EP921" s="2" t="n">
        <v>0</v>
      </c>
      <c r="EQ921" s="2" t="n">
        <v>94.61</v>
      </c>
      <c r="ER921" s="2" t="n">
        <v>57.86</v>
      </c>
      <c r="ES921" s="2" t="n">
        <v>0</v>
      </c>
      <c r="ET921" s="2" t="n">
        <v>100</v>
      </c>
      <c r="EU921" s="2" t="n">
        <v>69.7</v>
      </c>
      <c r="EV921" s="2" t="n">
        <v>0</v>
      </c>
      <c r="EW921" s="2" t="n">
        <v>100</v>
      </c>
      <c r="EX921" s="2" t="n">
        <v>75.76000000000001</v>
      </c>
      <c r="EY921" s="2" t="n">
        <v>0</v>
      </c>
      <c r="EZ921" s="2" t="n">
        <v>100</v>
      </c>
      <c r="FA921" s="2" t="n">
        <v>81.01000000000001</v>
      </c>
      <c r="FB921" s="2" t="n">
        <v>0</v>
      </c>
      <c r="FC921" s="2" t="n">
        <v>100</v>
      </c>
      <c r="FD921" s="2" t="n">
        <v>87.48</v>
      </c>
      <c r="FE921" s="2" t="n">
        <v>0</v>
      </c>
      <c r="FF921" s="2" t="n">
        <v>100</v>
      </c>
      <c r="FG921" s="2" t="n">
        <v>91.92</v>
      </c>
      <c r="FH921" s="2" t="n">
        <v>0</v>
      </c>
      <c r="FI921" s="2" t="n">
        <v>100</v>
      </c>
      <c r="FJ921" s="2" t="n">
        <v>97.58</v>
      </c>
      <c r="FK921" s="2" t="n">
        <v>0</v>
      </c>
      <c r="FL921" s="2" t="n">
        <v>100</v>
      </c>
      <c r="FM921" s="2" t="n">
        <v>100</v>
      </c>
      <c r="FN921" s="2" t="n">
        <v>0</v>
      </c>
      <c r="FO921" s="2" t="n">
        <v>100</v>
      </c>
      <c r="FP921" s="2" t="n">
        <v>100</v>
      </c>
      <c r="FQ921" s="2" t="n">
        <v>0</v>
      </c>
    </row>
    <row r="922">
      <c r="A922" s="2" t="n">
        <v>3</v>
      </c>
      <c r="B922" s="2" t="inlineStr">
        <is>
          <t>34.01.02</t>
        </is>
      </c>
      <c r="C922" s="2" t="inlineStr">
        <is>
          <t>Bacia convencional suspensa lk branco | deca | código: p.232.17 | caixa de descarga embutida para alvenaria - Lavabo</t>
        </is>
      </c>
      <c r="D922" s="2" t="inlineStr">
        <is>
          <t>14/09/2027</t>
        </is>
      </c>
      <c r="E922" s="2" t="inlineStr">
        <is>
          <t>09/01/2029</t>
        </is>
      </c>
      <c r="F922" s="2" t="n">
        <v>64481.13</v>
      </c>
      <c r="G922" s="2" t="n">
        <v>0</v>
      </c>
      <c r="H922" s="2" t="n">
        <v>64481.13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4.94</v>
      </c>
      <c r="DN922" s="2" t="n">
        <v>0</v>
      </c>
      <c r="DO922" s="2" t="n">
        <v>0</v>
      </c>
      <c r="DP922" s="2" t="n">
        <v>10.68</v>
      </c>
      <c r="DQ922" s="2" t="n">
        <v>2.6</v>
      </c>
      <c r="DR922" s="2" t="n">
        <v>0</v>
      </c>
      <c r="DS922" s="2" t="n">
        <v>16.07</v>
      </c>
      <c r="DT922" s="2" t="n">
        <v>5.83</v>
      </c>
      <c r="DU922" s="2" t="n">
        <v>0</v>
      </c>
      <c r="DV922" s="2" t="n">
        <v>18.76</v>
      </c>
      <c r="DW922" s="2" t="n">
        <v>10.68</v>
      </c>
      <c r="DX922" s="2" t="n">
        <v>0</v>
      </c>
      <c r="DY922" s="2" t="n">
        <v>24.93</v>
      </c>
      <c r="DZ922" s="2" t="n">
        <v>11.99</v>
      </c>
      <c r="EA922" s="2" t="n">
        <v>0</v>
      </c>
      <c r="EB922" s="2" t="n">
        <v>35.64</v>
      </c>
      <c r="EC922" s="2" t="n">
        <v>14.4</v>
      </c>
      <c r="ED922" s="2" t="n">
        <v>0</v>
      </c>
      <c r="EE922" s="2" t="n">
        <v>49.75</v>
      </c>
      <c r="EF922" s="2" t="n">
        <v>29.58</v>
      </c>
      <c r="EG922" s="2" t="n">
        <v>0</v>
      </c>
      <c r="EH922" s="2" t="n">
        <v>64.09</v>
      </c>
      <c r="EI922" s="2" t="n">
        <v>37.26</v>
      </c>
      <c r="EJ922" s="2" t="n">
        <v>0</v>
      </c>
      <c r="EK922" s="2" t="n">
        <v>72.62</v>
      </c>
      <c r="EL922" s="2" t="n">
        <v>42.51</v>
      </c>
      <c r="EM922" s="2" t="n">
        <v>0</v>
      </c>
      <c r="EN922" s="2" t="n">
        <v>86.08</v>
      </c>
      <c r="EO922" s="2" t="n">
        <v>47.76</v>
      </c>
      <c r="EP922" s="2" t="n">
        <v>0</v>
      </c>
      <c r="EQ922" s="2" t="n">
        <v>94.61</v>
      </c>
      <c r="ER922" s="2" t="n">
        <v>57.86</v>
      </c>
      <c r="ES922" s="2" t="n">
        <v>0</v>
      </c>
      <c r="ET922" s="2" t="n">
        <v>100</v>
      </c>
      <c r="EU922" s="2" t="n">
        <v>69.7</v>
      </c>
      <c r="EV922" s="2" t="n">
        <v>0</v>
      </c>
      <c r="EW922" s="2" t="n">
        <v>100</v>
      </c>
      <c r="EX922" s="2" t="n">
        <v>75.76000000000001</v>
      </c>
      <c r="EY922" s="2" t="n">
        <v>0</v>
      </c>
      <c r="EZ922" s="2" t="n">
        <v>100</v>
      </c>
      <c r="FA922" s="2" t="n">
        <v>81.01000000000001</v>
      </c>
      <c r="FB922" s="2" t="n">
        <v>0</v>
      </c>
      <c r="FC922" s="2" t="n">
        <v>100</v>
      </c>
      <c r="FD922" s="2" t="n">
        <v>87.48</v>
      </c>
      <c r="FE922" s="2" t="n">
        <v>0</v>
      </c>
      <c r="FF922" s="2" t="n">
        <v>100</v>
      </c>
      <c r="FG922" s="2" t="n">
        <v>91.92</v>
      </c>
      <c r="FH922" s="2" t="n">
        <v>0</v>
      </c>
      <c r="FI922" s="2" t="n">
        <v>100</v>
      </c>
      <c r="FJ922" s="2" t="n">
        <v>97.58</v>
      </c>
      <c r="FK922" s="2" t="n">
        <v>0</v>
      </c>
      <c r="FL922" s="2" t="n">
        <v>100</v>
      </c>
      <c r="FM922" s="2" t="n">
        <v>100</v>
      </c>
      <c r="FN922" s="2" t="n">
        <v>0</v>
      </c>
      <c r="FO922" s="2" t="n">
        <v>100</v>
      </c>
      <c r="FP922" s="2" t="n">
        <v>100</v>
      </c>
      <c r="FQ922" s="2" t="n">
        <v>0</v>
      </c>
    </row>
    <row r="923">
      <c r="A923" s="2" t="n">
        <v>3</v>
      </c>
      <c r="B923" s="2" t="inlineStr">
        <is>
          <t>34.01.03</t>
        </is>
      </c>
      <c r="C923" s="2" t="inlineStr">
        <is>
          <t>Bacia para caixa acoplada deca axis branco | deca | código: p.470.17 | caixa acoplada com acionamento duo branco/cromado | deca | código cd.21f.17 - Funcionários apto</t>
        </is>
      </c>
      <c r="D923" s="2" t="inlineStr">
        <is>
          <t>14/09/2027</t>
        </is>
      </c>
      <c r="E923" s="2" t="inlineStr">
        <is>
          <t>09/01/2029</t>
        </is>
      </c>
      <c r="F923" s="2" t="n">
        <v>19542.81</v>
      </c>
      <c r="G923" s="2" t="n">
        <v>0</v>
      </c>
      <c r="H923" s="2" t="n">
        <v>19542.81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4.94</v>
      </c>
      <c r="DN923" s="2" t="n">
        <v>0</v>
      </c>
      <c r="DO923" s="2" t="n">
        <v>0</v>
      </c>
      <c r="DP923" s="2" t="n">
        <v>10.68</v>
      </c>
      <c r="DQ923" s="2" t="n">
        <v>2.6</v>
      </c>
      <c r="DR923" s="2" t="n">
        <v>0</v>
      </c>
      <c r="DS923" s="2" t="n">
        <v>16.07</v>
      </c>
      <c r="DT923" s="2" t="n">
        <v>5.83</v>
      </c>
      <c r="DU923" s="2" t="n">
        <v>0</v>
      </c>
      <c r="DV923" s="2" t="n">
        <v>18.76</v>
      </c>
      <c r="DW923" s="2" t="n">
        <v>10.68</v>
      </c>
      <c r="DX923" s="2" t="n">
        <v>0</v>
      </c>
      <c r="DY923" s="2" t="n">
        <v>24.93</v>
      </c>
      <c r="DZ923" s="2" t="n">
        <v>11.99</v>
      </c>
      <c r="EA923" s="2" t="n">
        <v>0</v>
      </c>
      <c r="EB923" s="2" t="n">
        <v>35.64</v>
      </c>
      <c r="EC923" s="2" t="n">
        <v>14.4</v>
      </c>
      <c r="ED923" s="2" t="n">
        <v>0</v>
      </c>
      <c r="EE923" s="2" t="n">
        <v>49.75</v>
      </c>
      <c r="EF923" s="2" t="n">
        <v>29.58</v>
      </c>
      <c r="EG923" s="2" t="n">
        <v>0</v>
      </c>
      <c r="EH923" s="2" t="n">
        <v>64.09</v>
      </c>
      <c r="EI923" s="2" t="n">
        <v>37.26</v>
      </c>
      <c r="EJ923" s="2" t="n">
        <v>0</v>
      </c>
      <c r="EK923" s="2" t="n">
        <v>72.62</v>
      </c>
      <c r="EL923" s="2" t="n">
        <v>42.51</v>
      </c>
      <c r="EM923" s="2" t="n">
        <v>0</v>
      </c>
      <c r="EN923" s="2" t="n">
        <v>86.08</v>
      </c>
      <c r="EO923" s="2" t="n">
        <v>47.76</v>
      </c>
      <c r="EP923" s="2" t="n">
        <v>0</v>
      </c>
      <c r="EQ923" s="2" t="n">
        <v>94.61</v>
      </c>
      <c r="ER923" s="2" t="n">
        <v>57.86</v>
      </c>
      <c r="ES923" s="2" t="n">
        <v>0</v>
      </c>
      <c r="ET923" s="2" t="n">
        <v>100</v>
      </c>
      <c r="EU923" s="2" t="n">
        <v>69.7</v>
      </c>
      <c r="EV923" s="2" t="n">
        <v>0</v>
      </c>
      <c r="EW923" s="2" t="n">
        <v>100</v>
      </c>
      <c r="EX923" s="2" t="n">
        <v>75.76000000000001</v>
      </c>
      <c r="EY923" s="2" t="n">
        <v>0</v>
      </c>
      <c r="EZ923" s="2" t="n">
        <v>100</v>
      </c>
      <c r="FA923" s="2" t="n">
        <v>81.01000000000001</v>
      </c>
      <c r="FB923" s="2" t="n">
        <v>0</v>
      </c>
      <c r="FC923" s="2" t="n">
        <v>100</v>
      </c>
      <c r="FD923" s="2" t="n">
        <v>87.48</v>
      </c>
      <c r="FE923" s="2" t="n">
        <v>0</v>
      </c>
      <c r="FF923" s="2" t="n">
        <v>100</v>
      </c>
      <c r="FG923" s="2" t="n">
        <v>91.92</v>
      </c>
      <c r="FH923" s="2" t="n">
        <v>0</v>
      </c>
      <c r="FI923" s="2" t="n">
        <v>100</v>
      </c>
      <c r="FJ923" s="2" t="n">
        <v>97.58</v>
      </c>
      <c r="FK923" s="2" t="n">
        <v>0</v>
      </c>
      <c r="FL923" s="2" t="n">
        <v>100</v>
      </c>
      <c r="FM923" s="2" t="n">
        <v>100</v>
      </c>
      <c r="FN923" s="2" t="n">
        <v>0</v>
      </c>
      <c r="FO923" s="2" t="n">
        <v>100</v>
      </c>
      <c r="FP923" s="2" t="n">
        <v>100</v>
      </c>
      <c r="FQ923" s="2" t="n">
        <v>0</v>
      </c>
    </row>
    <row r="924">
      <c r="A924" s="2" t="n">
        <v>3</v>
      </c>
      <c r="B924" s="2" t="inlineStr">
        <is>
          <t>34.01.04</t>
        </is>
      </c>
      <c r="C924" s="2" t="inlineStr">
        <is>
          <t>Bacia convencional suspensa, linha lk, acabamento branco, cód:p.232.17.ref.: deca obs.: caixa acoplada embutida na parede - pdc</t>
        </is>
      </c>
      <c r="D924" s="2" t="inlineStr">
        <is>
          <t>14/09/2027</t>
        </is>
      </c>
      <c r="E924" s="2" t="inlineStr">
        <is>
          <t>09/01/2029</t>
        </is>
      </c>
      <c r="F924" s="2" t="n">
        <v>12282.12</v>
      </c>
      <c r="G924" s="2" t="n">
        <v>0</v>
      </c>
      <c r="H924" s="2" t="n">
        <v>12282.12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4.94</v>
      </c>
      <c r="DN924" s="2" t="n">
        <v>0</v>
      </c>
      <c r="DO924" s="2" t="n">
        <v>0</v>
      </c>
      <c r="DP924" s="2" t="n">
        <v>10.68</v>
      </c>
      <c r="DQ924" s="2" t="n">
        <v>2.6</v>
      </c>
      <c r="DR924" s="2" t="n">
        <v>0</v>
      </c>
      <c r="DS924" s="2" t="n">
        <v>16.07</v>
      </c>
      <c r="DT924" s="2" t="n">
        <v>5.83</v>
      </c>
      <c r="DU924" s="2" t="n">
        <v>0</v>
      </c>
      <c r="DV924" s="2" t="n">
        <v>18.76</v>
      </c>
      <c r="DW924" s="2" t="n">
        <v>10.68</v>
      </c>
      <c r="DX924" s="2" t="n">
        <v>0</v>
      </c>
      <c r="DY924" s="2" t="n">
        <v>24.93</v>
      </c>
      <c r="DZ924" s="2" t="n">
        <v>11.99</v>
      </c>
      <c r="EA924" s="2" t="n">
        <v>0</v>
      </c>
      <c r="EB924" s="2" t="n">
        <v>35.64</v>
      </c>
      <c r="EC924" s="2" t="n">
        <v>14.4</v>
      </c>
      <c r="ED924" s="2" t="n">
        <v>0</v>
      </c>
      <c r="EE924" s="2" t="n">
        <v>49.75</v>
      </c>
      <c r="EF924" s="2" t="n">
        <v>29.58</v>
      </c>
      <c r="EG924" s="2" t="n">
        <v>0</v>
      </c>
      <c r="EH924" s="2" t="n">
        <v>64.09</v>
      </c>
      <c r="EI924" s="2" t="n">
        <v>37.26</v>
      </c>
      <c r="EJ924" s="2" t="n">
        <v>0</v>
      </c>
      <c r="EK924" s="2" t="n">
        <v>72.62</v>
      </c>
      <c r="EL924" s="2" t="n">
        <v>42.51</v>
      </c>
      <c r="EM924" s="2" t="n">
        <v>0</v>
      </c>
      <c r="EN924" s="2" t="n">
        <v>86.08</v>
      </c>
      <c r="EO924" s="2" t="n">
        <v>47.76</v>
      </c>
      <c r="EP924" s="2" t="n">
        <v>0</v>
      </c>
      <c r="EQ924" s="2" t="n">
        <v>94.61</v>
      </c>
      <c r="ER924" s="2" t="n">
        <v>57.86</v>
      </c>
      <c r="ES924" s="2" t="n">
        <v>0</v>
      </c>
      <c r="ET924" s="2" t="n">
        <v>100</v>
      </c>
      <c r="EU924" s="2" t="n">
        <v>69.7</v>
      </c>
      <c r="EV924" s="2" t="n">
        <v>0</v>
      </c>
      <c r="EW924" s="2" t="n">
        <v>100</v>
      </c>
      <c r="EX924" s="2" t="n">
        <v>75.76000000000001</v>
      </c>
      <c r="EY924" s="2" t="n">
        <v>0</v>
      </c>
      <c r="EZ924" s="2" t="n">
        <v>100</v>
      </c>
      <c r="FA924" s="2" t="n">
        <v>81.01000000000001</v>
      </c>
      <c r="FB924" s="2" t="n">
        <v>0</v>
      </c>
      <c r="FC924" s="2" t="n">
        <v>100</v>
      </c>
      <c r="FD924" s="2" t="n">
        <v>87.48</v>
      </c>
      <c r="FE924" s="2" t="n">
        <v>0</v>
      </c>
      <c r="FF924" s="2" t="n">
        <v>100</v>
      </c>
      <c r="FG924" s="2" t="n">
        <v>91.92</v>
      </c>
      <c r="FH924" s="2" t="n">
        <v>0</v>
      </c>
      <c r="FI924" s="2" t="n">
        <v>100</v>
      </c>
      <c r="FJ924" s="2" t="n">
        <v>97.58</v>
      </c>
      <c r="FK924" s="2" t="n">
        <v>0</v>
      </c>
      <c r="FL924" s="2" t="n">
        <v>100</v>
      </c>
      <c r="FM924" s="2" t="n">
        <v>100</v>
      </c>
      <c r="FN924" s="2" t="n">
        <v>0</v>
      </c>
      <c r="FO924" s="2" t="n">
        <v>100</v>
      </c>
      <c r="FP924" s="2" t="n">
        <v>100</v>
      </c>
      <c r="FQ924" s="2" t="n">
        <v>0</v>
      </c>
    </row>
    <row r="925">
      <c r="A925" s="2" t="n">
        <v>3</v>
      </c>
      <c r="B925" s="2" t="inlineStr">
        <is>
          <t>34.01.05</t>
        </is>
      </c>
      <c r="C925" s="2" t="inlineStr">
        <is>
          <t>Bacia para caixa acoplada, branco. ref.: cód. p.380.17; linha flex; deca| caixa acoplada branca com acionamento duo cromado. ref.: cód. cd.00f.17; linha flex; deca</t>
        </is>
      </c>
      <c r="D925" s="2" t="inlineStr">
        <is>
          <t>14/09/2027</t>
        </is>
      </c>
      <c r="E925" s="2" t="inlineStr">
        <is>
          <t>09/01/2029</t>
        </is>
      </c>
      <c r="F925" s="2" t="n">
        <v>2277.96</v>
      </c>
      <c r="G925" s="2" t="n">
        <v>0</v>
      </c>
      <c r="H925" s="2" t="n">
        <v>2277.96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4.94</v>
      </c>
      <c r="DN925" s="2" t="n">
        <v>0</v>
      </c>
      <c r="DO925" s="2" t="n">
        <v>0</v>
      </c>
      <c r="DP925" s="2" t="n">
        <v>10.68</v>
      </c>
      <c r="DQ925" s="2" t="n">
        <v>2.6</v>
      </c>
      <c r="DR925" s="2" t="n">
        <v>0</v>
      </c>
      <c r="DS925" s="2" t="n">
        <v>16.07</v>
      </c>
      <c r="DT925" s="2" t="n">
        <v>5.83</v>
      </c>
      <c r="DU925" s="2" t="n">
        <v>0</v>
      </c>
      <c r="DV925" s="2" t="n">
        <v>18.76</v>
      </c>
      <c r="DW925" s="2" t="n">
        <v>10.68</v>
      </c>
      <c r="DX925" s="2" t="n">
        <v>0</v>
      </c>
      <c r="DY925" s="2" t="n">
        <v>24.93</v>
      </c>
      <c r="DZ925" s="2" t="n">
        <v>11.99</v>
      </c>
      <c r="EA925" s="2" t="n">
        <v>0</v>
      </c>
      <c r="EB925" s="2" t="n">
        <v>35.64</v>
      </c>
      <c r="EC925" s="2" t="n">
        <v>14.4</v>
      </c>
      <c r="ED925" s="2" t="n">
        <v>0</v>
      </c>
      <c r="EE925" s="2" t="n">
        <v>49.75</v>
      </c>
      <c r="EF925" s="2" t="n">
        <v>29.58</v>
      </c>
      <c r="EG925" s="2" t="n">
        <v>0</v>
      </c>
      <c r="EH925" s="2" t="n">
        <v>64.09</v>
      </c>
      <c r="EI925" s="2" t="n">
        <v>37.26</v>
      </c>
      <c r="EJ925" s="2" t="n">
        <v>0</v>
      </c>
      <c r="EK925" s="2" t="n">
        <v>72.62</v>
      </c>
      <c r="EL925" s="2" t="n">
        <v>42.51</v>
      </c>
      <c r="EM925" s="2" t="n">
        <v>0</v>
      </c>
      <c r="EN925" s="2" t="n">
        <v>86.08</v>
      </c>
      <c r="EO925" s="2" t="n">
        <v>47.76</v>
      </c>
      <c r="EP925" s="2" t="n">
        <v>0</v>
      </c>
      <c r="EQ925" s="2" t="n">
        <v>94.61</v>
      </c>
      <c r="ER925" s="2" t="n">
        <v>57.86</v>
      </c>
      <c r="ES925" s="2" t="n">
        <v>0</v>
      </c>
      <c r="ET925" s="2" t="n">
        <v>100</v>
      </c>
      <c r="EU925" s="2" t="n">
        <v>69.7</v>
      </c>
      <c r="EV925" s="2" t="n">
        <v>0</v>
      </c>
      <c r="EW925" s="2" t="n">
        <v>100</v>
      </c>
      <c r="EX925" s="2" t="n">
        <v>75.76000000000001</v>
      </c>
      <c r="EY925" s="2" t="n">
        <v>0</v>
      </c>
      <c r="EZ925" s="2" t="n">
        <v>100</v>
      </c>
      <c r="FA925" s="2" t="n">
        <v>81.01000000000001</v>
      </c>
      <c r="FB925" s="2" t="n">
        <v>0</v>
      </c>
      <c r="FC925" s="2" t="n">
        <v>100</v>
      </c>
      <c r="FD925" s="2" t="n">
        <v>87.48</v>
      </c>
      <c r="FE925" s="2" t="n">
        <v>0</v>
      </c>
      <c r="FF925" s="2" t="n">
        <v>100</v>
      </c>
      <c r="FG925" s="2" t="n">
        <v>91.92</v>
      </c>
      <c r="FH925" s="2" t="n">
        <v>0</v>
      </c>
      <c r="FI925" s="2" t="n">
        <v>100</v>
      </c>
      <c r="FJ925" s="2" t="n">
        <v>97.58</v>
      </c>
      <c r="FK925" s="2" t="n">
        <v>0</v>
      </c>
      <c r="FL925" s="2" t="n">
        <v>100</v>
      </c>
      <c r="FM925" s="2" t="n">
        <v>100</v>
      </c>
      <c r="FN925" s="2" t="n">
        <v>0</v>
      </c>
      <c r="FO925" s="2" t="n">
        <v>100</v>
      </c>
      <c r="FP925" s="2" t="n">
        <v>100</v>
      </c>
      <c r="FQ925" s="2" t="n">
        <v>0</v>
      </c>
    </row>
    <row r="926">
      <c r="A926" s="2" t="n">
        <v>3</v>
      </c>
      <c r="B926" s="2" t="inlineStr">
        <is>
          <t>34.01.06</t>
        </is>
      </c>
      <c r="C926" s="2" t="inlineStr">
        <is>
          <t>Bacia acessível para caixa acoplada, branca. ref.: cód. p.515.17; linha vogue plus; deca.</t>
        </is>
      </c>
      <c r="D926" s="2" t="inlineStr">
        <is>
          <t>14/09/2027</t>
        </is>
      </c>
      <c r="E926" s="2" t="inlineStr">
        <is>
          <t>09/01/2029</t>
        </is>
      </c>
      <c r="F926" s="2" t="n">
        <v>2943.7</v>
      </c>
      <c r="G926" s="2" t="n">
        <v>0</v>
      </c>
      <c r="H926" s="2" t="n">
        <v>2943.7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4.94</v>
      </c>
      <c r="DN926" s="2" t="n">
        <v>0</v>
      </c>
      <c r="DO926" s="2" t="n">
        <v>0</v>
      </c>
      <c r="DP926" s="2" t="n">
        <v>10.68</v>
      </c>
      <c r="DQ926" s="2" t="n">
        <v>2.6</v>
      </c>
      <c r="DR926" s="2" t="n">
        <v>0</v>
      </c>
      <c r="DS926" s="2" t="n">
        <v>16.07</v>
      </c>
      <c r="DT926" s="2" t="n">
        <v>5.83</v>
      </c>
      <c r="DU926" s="2" t="n">
        <v>0</v>
      </c>
      <c r="DV926" s="2" t="n">
        <v>18.76</v>
      </c>
      <c r="DW926" s="2" t="n">
        <v>10.68</v>
      </c>
      <c r="DX926" s="2" t="n">
        <v>0</v>
      </c>
      <c r="DY926" s="2" t="n">
        <v>24.93</v>
      </c>
      <c r="DZ926" s="2" t="n">
        <v>11.99</v>
      </c>
      <c r="EA926" s="2" t="n">
        <v>0</v>
      </c>
      <c r="EB926" s="2" t="n">
        <v>35.64</v>
      </c>
      <c r="EC926" s="2" t="n">
        <v>14.4</v>
      </c>
      <c r="ED926" s="2" t="n">
        <v>0</v>
      </c>
      <c r="EE926" s="2" t="n">
        <v>49.75</v>
      </c>
      <c r="EF926" s="2" t="n">
        <v>29.58</v>
      </c>
      <c r="EG926" s="2" t="n">
        <v>0</v>
      </c>
      <c r="EH926" s="2" t="n">
        <v>64.09</v>
      </c>
      <c r="EI926" s="2" t="n">
        <v>37.26</v>
      </c>
      <c r="EJ926" s="2" t="n">
        <v>0</v>
      </c>
      <c r="EK926" s="2" t="n">
        <v>72.62</v>
      </c>
      <c r="EL926" s="2" t="n">
        <v>42.51</v>
      </c>
      <c r="EM926" s="2" t="n">
        <v>0</v>
      </c>
      <c r="EN926" s="2" t="n">
        <v>86.08</v>
      </c>
      <c r="EO926" s="2" t="n">
        <v>47.76</v>
      </c>
      <c r="EP926" s="2" t="n">
        <v>0</v>
      </c>
      <c r="EQ926" s="2" t="n">
        <v>94.61</v>
      </c>
      <c r="ER926" s="2" t="n">
        <v>57.86</v>
      </c>
      <c r="ES926" s="2" t="n">
        <v>0</v>
      </c>
      <c r="ET926" s="2" t="n">
        <v>100</v>
      </c>
      <c r="EU926" s="2" t="n">
        <v>69.7</v>
      </c>
      <c r="EV926" s="2" t="n">
        <v>0</v>
      </c>
      <c r="EW926" s="2" t="n">
        <v>100</v>
      </c>
      <c r="EX926" s="2" t="n">
        <v>75.76000000000001</v>
      </c>
      <c r="EY926" s="2" t="n">
        <v>0</v>
      </c>
      <c r="EZ926" s="2" t="n">
        <v>100</v>
      </c>
      <c r="FA926" s="2" t="n">
        <v>81.01000000000001</v>
      </c>
      <c r="FB926" s="2" t="n">
        <v>0</v>
      </c>
      <c r="FC926" s="2" t="n">
        <v>100</v>
      </c>
      <c r="FD926" s="2" t="n">
        <v>87.48</v>
      </c>
      <c r="FE926" s="2" t="n">
        <v>0</v>
      </c>
      <c r="FF926" s="2" t="n">
        <v>100</v>
      </c>
      <c r="FG926" s="2" t="n">
        <v>91.92</v>
      </c>
      <c r="FH926" s="2" t="n">
        <v>0</v>
      </c>
      <c r="FI926" s="2" t="n">
        <v>100</v>
      </c>
      <c r="FJ926" s="2" t="n">
        <v>97.58</v>
      </c>
      <c r="FK926" s="2" t="n">
        <v>0</v>
      </c>
      <c r="FL926" s="2" t="n">
        <v>100</v>
      </c>
      <c r="FM926" s="2" t="n">
        <v>100</v>
      </c>
      <c r="FN926" s="2" t="n">
        <v>0</v>
      </c>
      <c r="FO926" s="2" t="n">
        <v>100</v>
      </c>
      <c r="FP926" s="2" t="n">
        <v>100</v>
      </c>
      <c r="FQ926" s="2" t="n">
        <v>0</v>
      </c>
    </row>
    <row r="927">
      <c r="A927" s="2" t="n">
        <v>3</v>
      </c>
      <c r="B927" s="2" t="inlineStr">
        <is>
          <t>34.01.07</t>
        </is>
      </c>
      <c r="C927" s="2" t="inlineStr">
        <is>
          <t>Bidê 3 furos carrara branco carrara | deca | b.60.17 - 2º Opção - Bidê Deca LK branco (seguir mesma linha)</t>
        </is>
      </c>
      <c r="D927" s="2" t="inlineStr">
        <is>
          <t>14/09/2027</t>
        </is>
      </c>
      <c r="E927" s="2" t="inlineStr">
        <is>
          <t>09/01/2029</t>
        </is>
      </c>
      <c r="F927" s="2" t="n">
        <v>25882.08</v>
      </c>
      <c r="G927" s="2" t="n">
        <v>0</v>
      </c>
      <c r="H927" s="2" t="n">
        <v>25882.08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0</v>
      </c>
      <c r="DE927" s="2" t="n">
        <v>0</v>
      </c>
      <c r="DF927" s="2" t="n">
        <v>0</v>
      </c>
      <c r="DG927" s="2" t="n">
        <v>0</v>
      </c>
      <c r="DH927" s="2" t="n">
        <v>0</v>
      </c>
      <c r="DI927" s="2" t="n">
        <v>0</v>
      </c>
      <c r="DJ927" s="2" t="n">
        <v>0</v>
      </c>
      <c r="DK927" s="2" t="n">
        <v>0</v>
      </c>
      <c r="DL927" s="2" t="n">
        <v>0</v>
      </c>
      <c r="DM927" s="2" t="n">
        <v>4.94</v>
      </c>
      <c r="DN927" s="2" t="n">
        <v>0</v>
      </c>
      <c r="DO927" s="2" t="n">
        <v>0</v>
      </c>
      <c r="DP927" s="2" t="n">
        <v>10.68</v>
      </c>
      <c r="DQ927" s="2" t="n">
        <v>2.6</v>
      </c>
      <c r="DR927" s="2" t="n">
        <v>0</v>
      </c>
      <c r="DS927" s="2" t="n">
        <v>16.07</v>
      </c>
      <c r="DT927" s="2" t="n">
        <v>5.83</v>
      </c>
      <c r="DU927" s="2" t="n">
        <v>0</v>
      </c>
      <c r="DV927" s="2" t="n">
        <v>18.76</v>
      </c>
      <c r="DW927" s="2" t="n">
        <v>10.68</v>
      </c>
      <c r="DX927" s="2" t="n">
        <v>0</v>
      </c>
      <c r="DY927" s="2" t="n">
        <v>24.93</v>
      </c>
      <c r="DZ927" s="2" t="n">
        <v>11.99</v>
      </c>
      <c r="EA927" s="2" t="n">
        <v>0</v>
      </c>
      <c r="EB927" s="2" t="n">
        <v>35.64</v>
      </c>
      <c r="EC927" s="2" t="n">
        <v>14.4</v>
      </c>
      <c r="ED927" s="2" t="n">
        <v>0</v>
      </c>
      <c r="EE927" s="2" t="n">
        <v>49.75</v>
      </c>
      <c r="EF927" s="2" t="n">
        <v>29.58</v>
      </c>
      <c r="EG927" s="2" t="n">
        <v>0</v>
      </c>
      <c r="EH927" s="2" t="n">
        <v>64.09</v>
      </c>
      <c r="EI927" s="2" t="n">
        <v>37.26</v>
      </c>
      <c r="EJ927" s="2" t="n">
        <v>0</v>
      </c>
      <c r="EK927" s="2" t="n">
        <v>72.62</v>
      </c>
      <c r="EL927" s="2" t="n">
        <v>42.51</v>
      </c>
      <c r="EM927" s="2" t="n">
        <v>0</v>
      </c>
      <c r="EN927" s="2" t="n">
        <v>86.08</v>
      </c>
      <c r="EO927" s="2" t="n">
        <v>47.76</v>
      </c>
      <c r="EP927" s="2" t="n">
        <v>0</v>
      </c>
      <c r="EQ927" s="2" t="n">
        <v>94.61</v>
      </c>
      <c r="ER927" s="2" t="n">
        <v>57.86</v>
      </c>
      <c r="ES927" s="2" t="n">
        <v>0</v>
      </c>
      <c r="ET927" s="2" t="n">
        <v>100</v>
      </c>
      <c r="EU927" s="2" t="n">
        <v>69.7</v>
      </c>
      <c r="EV927" s="2" t="n">
        <v>0</v>
      </c>
      <c r="EW927" s="2" t="n">
        <v>100</v>
      </c>
      <c r="EX927" s="2" t="n">
        <v>75.76000000000001</v>
      </c>
      <c r="EY927" s="2" t="n">
        <v>0</v>
      </c>
      <c r="EZ927" s="2" t="n">
        <v>100</v>
      </c>
      <c r="FA927" s="2" t="n">
        <v>81.01000000000001</v>
      </c>
      <c r="FB927" s="2" t="n">
        <v>0</v>
      </c>
      <c r="FC927" s="2" t="n">
        <v>100</v>
      </c>
      <c r="FD927" s="2" t="n">
        <v>87.48</v>
      </c>
      <c r="FE927" s="2" t="n">
        <v>0</v>
      </c>
      <c r="FF927" s="2" t="n">
        <v>100</v>
      </c>
      <c r="FG927" s="2" t="n">
        <v>91.92</v>
      </c>
      <c r="FH927" s="2" t="n">
        <v>0</v>
      </c>
      <c r="FI927" s="2" t="n">
        <v>100</v>
      </c>
      <c r="FJ927" s="2" t="n">
        <v>97.58</v>
      </c>
      <c r="FK927" s="2" t="n">
        <v>0</v>
      </c>
      <c r="FL927" s="2" t="n">
        <v>100</v>
      </c>
      <c r="FM927" s="2" t="n">
        <v>100</v>
      </c>
      <c r="FN927" s="2" t="n">
        <v>0</v>
      </c>
      <c r="FO927" s="2" t="n">
        <v>100</v>
      </c>
      <c r="FP927" s="2" t="n">
        <v>100</v>
      </c>
      <c r="FQ927" s="2" t="n">
        <v>0</v>
      </c>
    </row>
    <row r="928">
      <c r="A928" s="2" t="n">
        <v>3</v>
      </c>
      <c r="B928" s="2" t="inlineStr">
        <is>
          <t>34.01.08</t>
        </is>
      </c>
      <c r="C928" s="2" t="inlineStr">
        <is>
          <t>Válvula de descarga de parede, linha Flat, acabamento grafite serrado, cód.: 00931770. Ref.: Docol</t>
        </is>
      </c>
      <c r="D928" s="2" t="inlineStr">
        <is>
          <t>14/09/2027</t>
        </is>
      </c>
      <c r="E928" s="2" t="inlineStr">
        <is>
          <t>09/01/2029</t>
        </is>
      </c>
      <c r="F928" s="2" t="n">
        <v>1522.638243828676</v>
      </c>
      <c r="G928" s="2" t="n">
        <v>0</v>
      </c>
      <c r="H928" s="2" t="n">
        <v>1522.638243828676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4.94</v>
      </c>
      <c r="DN928" s="2" t="n">
        <v>0</v>
      </c>
      <c r="DO928" s="2" t="n">
        <v>0</v>
      </c>
      <c r="DP928" s="2" t="n">
        <v>10.68</v>
      </c>
      <c r="DQ928" s="2" t="n">
        <v>2.6</v>
      </c>
      <c r="DR928" s="2" t="n">
        <v>0</v>
      </c>
      <c r="DS928" s="2" t="n">
        <v>16.07</v>
      </c>
      <c r="DT928" s="2" t="n">
        <v>5.83</v>
      </c>
      <c r="DU928" s="2" t="n">
        <v>0</v>
      </c>
      <c r="DV928" s="2" t="n">
        <v>18.76</v>
      </c>
      <c r="DW928" s="2" t="n">
        <v>10.68</v>
      </c>
      <c r="DX928" s="2" t="n">
        <v>0</v>
      </c>
      <c r="DY928" s="2" t="n">
        <v>24.93</v>
      </c>
      <c r="DZ928" s="2" t="n">
        <v>11.99</v>
      </c>
      <c r="EA928" s="2" t="n">
        <v>0</v>
      </c>
      <c r="EB928" s="2" t="n">
        <v>35.64</v>
      </c>
      <c r="EC928" s="2" t="n">
        <v>14.4</v>
      </c>
      <c r="ED928" s="2" t="n">
        <v>0</v>
      </c>
      <c r="EE928" s="2" t="n">
        <v>49.75</v>
      </c>
      <c r="EF928" s="2" t="n">
        <v>29.58</v>
      </c>
      <c r="EG928" s="2" t="n">
        <v>0</v>
      </c>
      <c r="EH928" s="2" t="n">
        <v>64.09</v>
      </c>
      <c r="EI928" s="2" t="n">
        <v>37.26</v>
      </c>
      <c r="EJ928" s="2" t="n">
        <v>0</v>
      </c>
      <c r="EK928" s="2" t="n">
        <v>72.62</v>
      </c>
      <c r="EL928" s="2" t="n">
        <v>42.51</v>
      </c>
      <c r="EM928" s="2" t="n">
        <v>0</v>
      </c>
      <c r="EN928" s="2" t="n">
        <v>86.08</v>
      </c>
      <c r="EO928" s="2" t="n">
        <v>47.76</v>
      </c>
      <c r="EP928" s="2" t="n">
        <v>0</v>
      </c>
      <c r="EQ928" s="2" t="n">
        <v>94.61</v>
      </c>
      <c r="ER928" s="2" t="n">
        <v>57.86</v>
      </c>
      <c r="ES928" s="2" t="n">
        <v>0</v>
      </c>
      <c r="ET928" s="2" t="n">
        <v>100</v>
      </c>
      <c r="EU928" s="2" t="n">
        <v>69.7</v>
      </c>
      <c r="EV928" s="2" t="n">
        <v>0</v>
      </c>
      <c r="EW928" s="2" t="n">
        <v>100</v>
      </c>
      <c r="EX928" s="2" t="n">
        <v>75.76000000000001</v>
      </c>
      <c r="EY928" s="2" t="n">
        <v>0</v>
      </c>
      <c r="EZ928" s="2" t="n">
        <v>100</v>
      </c>
      <c r="FA928" s="2" t="n">
        <v>81.01000000000001</v>
      </c>
      <c r="FB928" s="2" t="n">
        <v>0</v>
      </c>
      <c r="FC928" s="2" t="n">
        <v>100</v>
      </c>
      <c r="FD928" s="2" t="n">
        <v>87.48</v>
      </c>
      <c r="FE928" s="2" t="n">
        <v>0</v>
      </c>
      <c r="FF928" s="2" t="n">
        <v>100</v>
      </c>
      <c r="FG928" s="2" t="n">
        <v>91.92</v>
      </c>
      <c r="FH928" s="2" t="n">
        <v>0</v>
      </c>
      <c r="FI928" s="2" t="n">
        <v>100</v>
      </c>
      <c r="FJ928" s="2" t="n">
        <v>97.58</v>
      </c>
      <c r="FK928" s="2" t="n">
        <v>0</v>
      </c>
      <c r="FL928" s="2" t="n">
        <v>100</v>
      </c>
      <c r="FM928" s="2" t="n">
        <v>100</v>
      </c>
      <c r="FN928" s="2" t="n">
        <v>0</v>
      </c>
      <c r="FO928" s="2" t="n">
        <v>100</v>
      </c>
      <c r="FP928" s="2" t="n">
        <v>100</v>
      </c>
      <c r="FQ928" s="2" t="n">
        <v>0</v>
      </c>
    </row>
    <row r="929">
      <c r="A929" s="2" t="n">
        <v>3</v>
      </c>
      <c r="B929" s="2" t="inlineStr">
        <is>
          <t>34.01.09</t>
        </is>
      </c>
      <c r="C929" s="2" t="inlineStr">
        <is>
          <t>Ligação flexível cromada 40cm</t>
        </is>
      </c>
      <c r="D929" s="2" t="inlineStr">
        <is>
          <t>14/09/2027</t>
        </is>
      </c>
      <c r="E929" s="2" t="inlineStr">
        <is>
          <t>09/01/2029</t>
        </is>
      </c>
      <c r="F929" s="2" t="n">
        <v>9205.103823833733</v>
      </c>
      <c r="G929" s="2" t="n">
        <v>0</v>
      </c>
      <c r="H929" s="2" t="n">
        <v>9205.103823833733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4.94</v>
      </c>
      <c r="DN929" s="2" t="n">
        <v>0</v>
      </c>
      <c r="DO929" s="2" t="n">
        <v>0</v>
      </c>
      <c r="DP929" s="2" t="n">
        <v>10.68</v>
      </c>
      <c r="DQ929" s="2" t="n">
        <v>2.6</v>
      </c>
      <c r="DR929" s="2" t="n">
        <v>0</v>
      </c>
      <c r="DS929" s="2" t="n">
        <v>16.07</v>
      </c>
      <c r="DT929" s="2" t="n">
        <v>5.83</v>
      </c>
      <c r="DU929" s="2" t="n">
        <v>0</v>
      </c>
      <c r="DV929" s="2" t="n">
        <v>18.76</v>
      </c>
      <c r="DW929" s="2" t="n">
        <v>10.68</v>
      </c>
      <c r="DX929" s="2" t="n">
        <v>0</v>
      </c>
      <c r="DY929" s="2" t="n">
        <v>24.93</v>
      </c>
      <c r="DZ929" s="2" t="n">
        <v>11.99</v>
      </c>
      <c r="EA929" s="2" t="n">
        <v>0</v>
      </c>
      <c r="EB929" s="2" t="n">
        <v>35.64</v>
      </c>
      <c r="EC929" s="2" t="n">
        <v>14.4</v>
      </c>
      <c r="ED929" s="2" t="n">
        <v>0</v>
      </c>
      <c r="EE929" s="2" t="n">
        <v>49.75</v>
      </c>
      <c r="EF929" s="2" t="n">
        <v>29.58</v>
      </c>
      <c r="EG929" s="2" t="n">
        <v>0</v>
      </c>
      <c r="EH929" s="2" t="n">
        <v>64.09</v>
      </c>
      <c r="EI929" s="2" t="n">
        <v>37.26</v>
      </c>
      <c r="EJ929" s="2" t="n">
        <v>0</v>
      </c>
      <c r="EK929" s="2" t="n">
        <v>72.62</v>
      </c>
      <c r="EL929" s="2" t="n">
        <v>42.51</v>
      </c>
      <c r="EM929" s="2" t="n">
        <v>0</v>
      </c>
      <c r="EN929" s="2" t="n">
        <v>86.08</v>
      </c>
      <c r="EO929" s="2" t="n">
        <v>47.76</v>
      </c>
      <c r="EP929" s="2" t="n">
        <v>0</v>
      </c>
      <c r="EQ929" s="2" t="n">
        <v>94.61</v>
      </c>
      <c r="ER929" s="2" t="n">
        <v>57.86</v>
      </c>
      <c r="ES929" s="2" t="n">
        <v>0</v>
      </c>
      <c r="ET929" s="2" t="n">
        <v>100</v>
      </c>
      <c r="EU929" s="2" t="n">
        <v>69.7</v>
      </c>
      <c r="EV929" s="2" t="n">
        <v>0</v>
      </c>
      <c r="EW929" s="2" t="n">
        <v>100</v>
      </c>
      <c r="EX929" s="2" t="n">
        <v>75.76000000000001</v>
      </c>
      <c r="EY929" s="2" t="n">
        <v>0</v>
      </c>
      <c r="EZ929" s="2" t="n">
        <v>100</v>
      </c>
      <c r="FA929" s="2" t="n">
        <v>81.01000000000001</v>
      </c>
      <c r="FB929" s="2" t="n">
        <v>0</v>
      </c>
      <c r="FC929" s="2" t="n">
        <v>100</v>
      </c>
      <c r="FD929" s="2" t="n">
        <v>87.48</v>
      </c>
      <c r="FE929" s="2" t="n">
        <v>0</v>
      </c>
      <c r="FF929" s="2" t="n">
        <v>100</v>
      </c>
      <c r="FG929" s="2" t="n">
        <v>91.92</v>
      </c>
      <c r="FH929" s="2" t="n">
        <v>0</v>
      </c>
      <c r="FI929" s="2" t="n">
        <v>100</v>
      </c>
      <c r="FJ929" s="2" t="n">
        <v>97.58</v>
      </c>
      <c r="FK929" s="2" t="n">
        <v>0</v>
      </c>
      <c r="FL929" s="2" t="n">
        <v>100</v>
      </c>
      <c r="FM929" s="2" t="n">
        <v>100</v>
      </c>
      <c r="FN929" s="2" t="n">
        <v>0</v>
      </c>
      <c r="FO929" s="2" t="n">
        <v>100</v>
      </c>
      <c r="FP929" s="2" t="n">
        <v>100</v>
      </c>
      <c r="FQ929" s="2" t="n">
        <v>0</v>
      </c>
    </row>
    <row r="930">
      <c r="A930" s="2" t="n">
        <v>3</v>
      </c>
      <c r="B930" s="2" t="inlineStr">
        <is>
          <t>34.01.10</t>
        </is>
      </c>
      <c r="C930" s="2" t="inlineStr">
        <is>
          <t>'Assento plástico com slow close branco. Ref.: cód. AP.385.17; Linha Flex; Deca.</t>
        </is>
      </c>
      <c r="D930" s="2" t="inlineStr">
        <is>
          <t>14/09/2027</t>
        </is>
      </c>
      <c r="E930" s="2" t="inlineStr">
        <is>
          <t>09/01/2029</t>
        </is>
      </c>
      <c r="F930" s="2" t="n">
        <v>917.8</v>
      </c>
      <c r="G930" s="2" t="n">
        <v>0</v>
      </c>
      <c r="H930" s="2" t="n">
        <v>917.8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4.94</v>
      </c>
      <c r="DN930" s="2" t="n">
        <v>0</v>
      </c>
      <c r="DO930" s="2" t="n">
        <v>0</v>
      </c>
      <c r="DP930" s="2" t="n">
        <v>10.68</v>
      </c>
      <c r="DQ930" s="2" t="n">
        <v>2.6</v>
      </c>
      <c r="DR930" s="2" t="n">
        <v>0</v>
      </c>
      <c r="DS930" s="2" t="n">
        <v>16.07</v>
      </c>
      <c r="DT930" s="2" t="n">
        <v>5.83</v>
      </c>
      <c r="DU930" s="2" t="n">
        <v>0</v>
      </c>
      <c r="DV930" s="2" t="n">
        <v>18.76</v>
      </c>
      <c r="DW930" s="2" t="n">
        <v>10.68</v>
      </c>
      <c r="DX930" s="2" t="n">
        <v>0</v>
      </c>
      <c r="DY930" s="2" t="n">
        <v>24.93</v>
      </c>
      <c r="DZ930" s="2" t="n">
        <v>11.99</v>
      </c>
      <c r="EA930" s="2" t="n">
        <v>0</v>
      </c>
      <c r="EB930" s="2" t="n">
        <v>35.64</v>
      </c>
      <c r="EC930" s="2" t="n">
        <v>14.4</v>
      </c>
      <c r="ED930" s="2" t="n">
        <v>0</v>
      </c>
      <c r="EE930" s="2" t="n">
        <v>49.75</v>
      </c>
      <c r="EF930" s="2" t="n">
        <v>29.58</v>
      </c>
      <c r="EG930" s="2" t="n">
        <v>0</v>
      </c>
      <c r="EH930" s="2" t="n">
        <v>64.09</v>
      </c>
      <c r="EI930" s="2" t="n">
        <v>37.26</v>
      </c>
      <c r="EJ930" s="2" t="n">
        <v>0</v>
      </c>
      <c r="EK930" s="2" t="n">
        <v>72.62</v>
      </c>
      <c r="EL930" s="2" t="n">
        <v>42.51</v>
      </c>
      <c r="EM930" s="2" t="n">
        <v>0</v>
      </c>
      <c r="EN930" s="2" t="n">
        <v>86.08</v>
      </c>
      <c r="EO930" s="2" t="n">
        <v>47.76</v>
      </c>
      <c r="EP930" s="2" t="n">
        <v>0</v>
      </c>
      <c r="EQ930" s="2" t="n">
        <v>94.61</v>
      </c>
      <c r="ER930" s="2" t="n">
        <v>57.86</v>
      </c>
      <c r="ES930" s="2" t="n">
        <v>0</v>
      </c>
      <c r="ET930" s="2" t="n">
        <v>100</v>
      </c>
      <c r="EU930" s="2" t="n">
        <v>69.7</v>
      </c>
      <c r="EV930" s="2" t="n">
        <v>0</v>
      </c>
      <c r="EW930" s="2" t="n">
        <v>100</v>
      </c>
      <c r="EX930" s="2" t="n">
        <v>75.76000000000001</v>
      </c>
      <c r="EY930" s="2" t="n">
        <v>0</v>
      </c>
      <c r="EZ930" s="2" t="n">
        <v>100</v>
      </c>
      <c r="FA930" s="2" t="n">
        <v>81.01000000000001</v>
      </c>
      <c r="FB930" s="2" t="n">
        <v>0</v>
      </c>
      <c r="FC930" s="2" t="n">
        <v>100</v>
      </c>
      <c r="FD930" s="2" t="n">
        <v>87.48</v>
      </c>
      <c r="FE930" s="2" t="n">
        <v>0</v>
      </c>
      <c r="FF930" s="2" t="n">
        <v>100</v>
      </c>
      <c r="FG930" s="2" t="n">
        <v>91.92</v>
      </c>
      <c r="FH930" s="2" t="n">
        <v>0</v>
      </c>
      <c r="FI930" s="2" t="n">
        <v>100</v>
      </c>
      <c r="FJ930" s="2" t="n">
        <v>97.58</v>
      </c>
      <c r="FK930" s="2" t="n">
        <v>0</v>
      </c>
      <c r="FL930" s="2" t="n">
        <v>100</v>
      </c>
      <c r="FM930" s="2" t="n">
        <v>100</v>
      </c>
      <c r="FN930" s="2" t="n">
        <v>0</v>
      </c>
      <c r="FO930" s="2" t="n">
        <v>100</v>
      </c>
      <c r="FP930" s="2" t="n">
        <v>100</v>
      </c>
      <c r="FQ930" s="2" t="n">
        <v>0</v>
      </c>
    </row>
    <row r="931">
      <c r="A931" s="2" t="n">
        <v>3</v>
      </c>
      <c r="B931" s="2" t="inlineStr">
        <is>
          <t>34.01.11</t>
        </is>
      </c>
      <c r="C931" s="2" t="inlineStr">
        <is>
          <t>Assento poliéster com slow close, branco. Ref.: cód. AP.51.17; Linha Vogue Plus; Deca.</t>
        </is>
      </c>
      <c r="D931" s="2" t="inlineStr">
        <is>
          <t>14/09/2027</t>
        </is>
      </c>
      <c r="E931" s="2" t="inlineStr">
        <is>
          <t>09/01/2029</t>
        </is>
      </c>
      <c r="F931" s="2" t="n">
        <v>3961.08</v>
      </c>
      <c r="G931" s="2" t="n">
        <v>0</v>
      </c>
      <c r="H931" s="2" t="n">
        <v>3961.08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4.94</v>
      </c>
      <c r="DN931" s="2" t="n">
        <v>0</v>
      </c>
      <c r="DO931" s="2" t="n">
        <v>0</v>
      </c>
      <c r="DP931" s="2" t="n">
        <v>10.68</v>
      </c>
      <c r="DQ931" s="2" t="n">
        <v>2.6</v>
      </c>
      <c r="DR931" s="2" t="n">
        <v>0</v>
      </c>
      <c r="DS931" s="2" t="n">
        <v>16.07</v>
      </c>
      <c r="DT931" s="2" t="n">
        <v>5.83</v>
      </c>
      <c r="DU931" s="2" t="n">
        <v>0</v>
      </c>
      <c r="DV931" s="2" t="n">
        <v>18.76</v>
      </c>
      <c r="DW931" s="2" t="n">
        <v>10.68</v>
      </c>
      <c r="DX931" s="2" t="n">
        <v>0</v>
      </c>
      <c r="DY931" s="2" t="n">
        <v>24.93</v>
      </c>
      <c r="DZ931" s="2" t="n">
        <v>11.99</v>
      </c>
      <c r="EA931" s="2" t="n">
        <v>0</v>
      </c>
      <c r="EB931" s="2" t="n">
        <v>35.64</v>
      </c>
      <c r="EC931" s="2" t="n">
        <v>14.4</v>
      </c>
      <c r="ED931" s="2" t="n">
        <v>0</v>
      </c>
      <c r="EE931" s="2" t="n">
        <v>49.75</v>
      </c>
      <c r="EF931" s="2" t="n">
        <v>29.58</v>
      </c>
      <c r="EG931" s="2" t="n">
        <v>0</v>
      </c>
      <c r="EH931" s="2" t="n">
        <v>64.09</v>
      </c>
      <c r="EI931" s="2" t="n">
        <v>37.26</v>
      </c>
      <c r="EJ931" s="2" t="n">
        <v>0</v>
      </c>
      <c r="EK931" s="2" t="n">
        <v>72.62</v>
      </c>
      <c r="EL931" s="2" t="n">
        <v>42.51</v>
      </c>
      <c r="EM931" s="2" t="n">
        <v>0</v>
      </c>
      <c r="EN931" s="2" t="n">
        <v>86.08</v>
      </c>
      <c r="EO931" s="2" t="n">
        <v>47.76</v>
      </c>
      <c r="EP931" s="2" t="n">
        <v>0</v>
      </c>
      <c r="EQ931" s="2" t="n">
        <v>94.61</v>
      </c>
      <c r="ER931" s="2" t="n">
        <v>57.86</v>
      </c>
      <c r="ES931" s="2" t="n">
        <v>0</v>
      </c>
      <c r="ET931" s="2" t="n">
        <v>100</v>
      </c>
      <c r="EU931" s="2" t="n">
        <v>69.7</v>
      </c>
      <c r="EV931" s="2" t="n">
        <v>0</v>
      </c>
      <c r="EW931" s="2" t="n">
        <v>100</v>
      </c>
      <c r="EX931" s="2" t="n">
        <v>75.76000000000001</v>
      </c>
      <c r="EY931" s="2" t="n">
        <v>0</v>
      </c>
      <c r="EZ931" s="2" t="n">
        <v>100</v>
      </c>
      <c r="FA931" s="2" t="n">
        <v>81.01000000000001</v>
      </c>
      <c r="FB931" s="2" t="n">
        <v>0</v>
      </c>
      <c r="FC931" s="2" t="n">
        <v>100</v>
      </c>
      <c r="FD931" s="2" t="n">
        <v>87.48</v>
      </c>
      <c r="FE931" s="2" t="n">
        <v>0</v>
      </c>
      <c r="FF931" s="2" t="n">
        <v>100</v>
      </c>
      <c r="FG931" s="2" t="n">
        <v>91.92</v>
      </c>
      <c r="FH931" s="2" t="n">
        <v>0</v>
      </c>
      <c r="FI931" s="2" t="n">
        <v>100</v>
      </c>
      <c r="FJ931" s="2" t="n">
        <v>97.58</v>
      </c>
      <c r="FK931" s="2" t="n">
        <v>0</v>
      </c>
      <c r="FL931" s="2" t="n">
        <v>100</v>
      </c>
      <c r="FM931" s="2" t="n">
        <v>100</v>
      </c>
      <c r="FN931" s="2" t="n">
        <v>0</v>
      </c>
      <c r="FO931" s="2" t="n">
        <v>100</v>
      </c>
      <c r="FP931" s="2" t="n">
        <v>100</v>
      </c>
      <c r="FQ931" s="2" t="n">
        <v>0</v>
      </c>
    </row>
    <row r="932">
      <c r="A932" s="2" t="n">
        <v>3</v>
      </c>
      <c r="B932" s="2" t="inlineStr">
        <is>
          <t>34.01.12</t>
        </is>
      </c>
      <c r="C932" s="2" t="inlineStr">
        <is>
          <t>Ducha higiênica universal despressurizada - cromada | deca | código 1948.c.act.cr</t>
        </is>
      </c>
      <c r="D932" s="2" t="inlineStr">
        <is>
          <t>14/09/2027</t>
        </is>
      </c>
      <c r="E932" s="2" t="inlineStr">
        <is>
          <t>09/01/2029</t>
        </is>
      </c>
      <c r="F932" s="2" t="n">
        <v>43637.46667537705</v>
      </c>
      <c r="G932" s="2" t="n">
        <v>0</v>
      </c>
      <c r="H932" s="2" t="n">
        <v>43637.46667537705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0</v>
      </c>
      <c r="DI932" s="2" t="n">
        <v>0</v>
      </c>
      <c r="DJ932" s="2" t="n">
        <v>0</v>
      </c>
      <c r="DK932" s="2" t="n">
        <v>0</v>
      </c>
      <c r="DL932" s="2" t="n">
        <v>0</v>
      </c>
      <c r="DM932" s="2" t="n">
        <v>4.94</v>
      </c>
      <c r="DN932" s="2" t="n">
        <v>0</v>
      </c>
      <c r="DO932" s="2" t="n">
        <v>0</v>
      </c>
      <c r="DP932" s="2" t="n">
        <v>10.68</v>
      </c>
      <c r="DQ932" s="2" t="n">
        <v>2.6</v>
      </c>
      <c r="DR932" s="2" t="n">
        <v>0</v>
      </c>
      <c r="DS932" s="2" t="n">
        <v>16.07</v>
      </c>
      <c r="DT932" s="2" t="n">
        <v>5.83</v>
      </c>
      <c r="DU932" s="2" t="n">
        <v>0</v>
      </c>
      <c r="DV932" s="2" t="n">
        <v>18.76</v>
      </c>
      <c r="DW932" s="2" t="n">
        <v>10.68</v>
      </c>
      <c r="DX932" s="2" t="n">
        <v>0</v>
      </c>
      <c r="DY932" s="2" t="n">
        <v>24.93</v>
      </c>
      <c r="DZ932" s="2" t="n">
        <v>11.99</v>
      </c>
      <c r="EA932" s="2" t="n">
        <v>0</v>
      </c>
      <c r="EB932" s="2" t="n">
        <v>35.64</v>
      </c>
      <c r="EC932" s="2" t="n">
        <v>14.4</v>
      </c>
      <c r="ED932" s="2" t="n">
        <v>0</v>
      </c>
      <c r="EE932" s="2" t="n">
        <v>49.75</v>
      </c>
      <c r="EF932" s="2" t="n">
        <v>29.58</v>
      </c>
      <c r="EG932" s="2" t="n">
        <v>0</v>
      </c>
      <c r="EH932" s="2" t="n">
        <v>64.09</v>
      </c>
      <c r="EI932" s="2" t="n">
        <v>37.26</v>
      </c>
      <c r="EJ932" s="2" t="n">
        <v>0</v>
      </c>
      <c r="EK932" s="2" t="n">
        <v>72.62</v>
      </c>
      <c r="EL932" s="2" t="n">
        <v>42.51</v>
      </c>
      <c r="EM932" s="2" t="n">
        <v>0</v>
      </c>
      <c r="EN932" s="2" t="n">
        <v>86.08</v>
      </c>
      <c r="EO932" s="2" t="n">
        <v>47.76</v>
      </c>
      <c r="EP932" s="2" t="n">
        <v>0</v>
      </c>
      <c r="EQ932" s="2" t="n">
        <v>94.61</v>
      </c>
      <c r="ER932" s="2" t="n">
        <v>57.86</v>
      </c>
      <c r="ES932" s="2" t="n">
        <v>0</v>
      </c>
      <c r="ET932" s="2" t="n">
        <v>100</v>
      </c>
      <c r="EU932" s="2" t="n">
        <v>69.7</v>
      </c>
      <c r="EV932" s="2" t="n">
        <v>0</v>
      </c>
      <c r="EW932" s="2" t="n">
        <v>100</v>
      </c>
      <c r="EX932" s="2" t="n">
        <v>75.76000000000001</v>
      </c>
      <c r="EY932" s="2" t="n">
        <v>0</v>
      </c>
      <c r="EZ932" s="2" t="n">
        <v>100</v>
      </c>
      <c r="FA932" s="2" t="n">
        <v>81.01000000000001</v>
      </c>
      <c r="FB932" s="2" t="n">
        <v>0</v>
      </c>
      <c r="FC932" s="2" t="n">
        <v>100</v>
      </c>
      <c r="FD932" s="2" t="n">
        <v>87.48</v>
      </c>
      <c r="FE932" s="2" t="n">
        <v>0</v>
      </c>
      <c r="FF932" s="2" t="n">
        <v>100</v>
      </c>
      <c r="FG932" s="2" t="n">
        <v>91.92</v>
      </c>
      <c r="FH932" s="2" t="n">
        <v>0</v>
      </c>
      <c r="FI932" s="2" t="n">
        <v>100</v>
      </c>
      <c r="FJ932" s="2" t="n">
        <v>97.58</v>
      </c>
      <c r="FK932" s="2" t="n">
        <v>0</v>
      </c>
      <c r="FL932" s="2" t="n">
        <v>100</v>
      </c>
      <c r="FM932" s="2" t="n">
        <v>100</v>
      </c>
      <c r="FN932" s="2" t="n">
        <v>0</v>
      </c>
      <c r="FO932" s="2" t="n">
        <v>100</v>
      </c>
      <c r="FP932" s="2" t="n">
        <v>100</v>
      </c>
      <c r="FQ932" s="2" t="n">
        <v>0</v>
      </c>
    </row>
    <row r="933">
      <c r="A933" s="2" t="n">
        <v>2</v>
      </c>
      <c r="B933" s="2" t="inlineStr">
        <is>
          <t>34.02</t>
        </is>
      </c>
      <c r="C933" s="2" t="inlineStr">
        <is>
          <t>Lavatorio</t>
        </is>
      </c>
      <c r="D933" s="2" t="inlineStr">
        <is>
          <t>14/09/2027</t>
        </is>
      </c>
      <c r="E933" s="2" t="inlineStr">
        <is>
          <t>09/01/2029</t>
        </is>
      </c>
      <c r="F933" s="2" t="n">
        <v>353828.7693997136</v>
      </c>
      <c r="G933" s="2" t="n">
        <v>0</v>
      </c>
      <c r="H933" s="2" t="n">
        <v>353828.7693997136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0</v>
      </c>
      <c r="DI933" s="2" t="n">
        <v>0</v>
      </c>
      <c r="DJ933" s="2" t="n">
        <v>0</v>
      </c>
      <c r="DK933" s="2" t="n">
        <v>0</v>
      </c>
      <c r="DL933" s="2" t="n">
        <v>0</v>
      </c>
      <c r="DM933" s="2" t="n">
        <v>4.94</v>
      </c>
      <c r="DN933" s="2" t="n">
        <v>0</v>
      </c>
      <c r="DO933" s="2" t="n">
        <v>0</v>
      </c>
      <c r="DP933" s="2" t="n">
        <v>8.890000000000001</v>
      </c>
      <c r="DQ933" s="2" t="n">
        <v>0.8100000000000001</v>
      </c>
      <c r="DR933" s="2" t="n">
        <v>0</v>
      </c>
      <c r="DS933" s="2" t="n">
        <v>15.17</v>
      </c>
      <c r="DT933" s="2" t="n">
        <v>4.58</v>
      </c>
      <c r="DU933" s="2" t="n">
        <v>0</v>
      </c>
      <c r="DV933" s="2" t="n">
        <v>18.76</v>
      </c>
      <c r="DW933" s="2" t="n">
        <v>10.68</v>
      </c>
      <c r="DX933" s="2" t="n">
        <v>0</v>
      </c>
      <c r="DY933" s="2" t="n">
        <v>24.2</v>
      </c>
      <c r="DZ933" s="2" t="n">
        <v>11.27</v>
      </c>
      <c r="EA933" s="2" t="n">
        <v>0</v>
      </c>
      <c r="EB933" s="2" t="n">
        <v>35.64</v>
      </c>
      <c r="EC933" s="2" t="n">
        <v>14.4</v>
      </c>
      <c r="ED933" s="2" t="n">
        <v>0</v>
      </c>
      <c r="EE933" s="2" t="n">
        <v>49.75</v>
      </c>
      <c r="EF933" s="2" t="n">
        <v>29.58</v>
      </c>
      <c r="EG933" s="2" t="n">
        <v>0</v>
      </c>
      <c r="EH933" s="2" t="n">
        <v>64.09</v>
      </c>
      <c r="EI933" s="2" t="n">
        <v>37.26</v>
      </c>
      <c r="EJ933" s="2" t="n">
        <v>0</v>
      </c>
      <c r="EK933" s="2" t="n">
        <v>72.62</v>
      </c>
      <c r="EL933" s="2" t="n">
        <v>42.51</v>
      </c>
      <c r="EM933" s="2" t="n">
        <v>0</v>
      </c>
      <c r="EN933" s="2" t="n">
        <v>86.08</v>
      </c>
      <c r="EO933" s="2" t="n">
        <v>47.76</v>
      </c>
      <c r="EP933" s="2" t="n">
        <v>0</v>
      </c>
      <c r="EQ933" s="2" t="n">
        <v>94.61</v>
      </c>
      <c r="ER933" s="2" t="n">
        <v>57.86</v>
      </c>
      <c r="ES933" s="2" t="n">
        <v>0</v>
      </c>
      <c r="ET933" s="2" t="n">
        <v>100</v>
      </c>
      <c r="EU933" s="2" t="n">
        <v>69.7</v>
      </c>
      <c r="EV933" s="2" t="n">
        <v>0</v>
      </c>
      <c r="EW933" s="2" t="n">
        <v>100</v>
      </c>
      <c r="EX933" s="2" t="n">
        <v>75.76000000000001</v>
      </c>
      <c r="EY933" s="2" t="n">
        <v>0</v>
      </c>
      <c r="EZ933" s="2" t="n">
        <v>100</v>
      </c>
      <c r="FA933" s="2" t="n">
        <v>81.01000000000001</v>
      </c>
      <c r="FB933" s="2" t="n">
        <v>0</v>
      </c>
      <c r="FC933" s="2" t="n">
        <v>100</v>
      </c>
      <c r="FD933" s="2" t="n">
        <v>87.48</v>
      </c>
      <c r="FE933" s="2" t="n">
        <v>0</v>
      </c>
      <c r="FF933" s="2" t="n">
        <v>100</v>
      </c>
      <c r="FG933" s="2" t="n">
        <v>91.92</v>
      </c>
      <c r="FH933" s="2" t="n">
        <v>0</v>
      </c>
      <c r="FI933" s="2" t="n">
        <v>100</v>
      </c>
      <c r="FJ933" s="2" t="n">
        <v>97.58</v>
      </c>
      <c r="FK933" s="2" t="n">
        <v>0</v>
      </c>
      <c r="FL933" s="2" t="n">
        <v>100</v>
      </c>
      <c r="FM933" s="2" t="n">
        <v>100</v>
      </c>
      <c r="FN933" s="2" t="n">
        <v>0</v>
      </c>
      <c r="FO933" s="2" t="n">
        <v>100</v>
      </c>
      <c r="FP933" s="2" t="n">
        <v>100</v>
      </c>
      <c r="FQ933" s="2" t="n">
        <v>0</v>
      </c>
    </row>
    <row r="934">
      <c r="A934" s="2" t="n">
        <v>3</v>
      </c>
      <c r="B934" s="2" t="inlineStr">
        <is>
          <t>34.02.01</t>
        </is>
      </c>
      <c r="C934" s="2" t="inlineStr">
        <is>
          <t>Lavatório suspenso branco. Ref.: cód. L.51.17; Linha Vogue Plus; Deca.</t>
        </is>
      </c>
      <c r="D934" s="2" t="inlineStr">
        <is>
          <t>14/09/2027</t>
        </is>
      </c>
      <c r="E934" s="2" t="inlineStr">
        <is>
          <t>09/01/2029</t>
        </is>
      </c>
      <c r="F934" s="2" t="n">
        <v>698.72</v>
      </c>
      <c r="G934" s="2" t="n">
        <v>0</v>
      </c>
      <c r="H934" s="2" t="n">
        <v>698.72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0</v>
      </c>
      <c r="DI934" s="2" t="n">
        <v>0</v>
      </c>
      <c r="DJ934" s="2" t="n">
        <v>0</v>
      </c>
      <c r="DK934" s="2" t="n">
        <v>0</v>
      </c>
      <c r="DL934" s="2" t="n">
        <v>0</v>
      </c>
      <c r="DM934" s="2" t="n">
        <v>4.94</v>
      </c>
      <c r="DN934" s="2" t="n">
        <v>0</v>
      </c>
      <c r="DO934" s="2" t="n">
        <v>0</v>
      </c>
      <c r="DP934" s="2" t="n">
        <v>10.68</v>
      </c>
      <c r="DQ934" s="2" t="n">
        <v>2.6</v>
      </c>
      <c r="DR934" s="2" t="n">
        <v>0</v>
      </c>
      <c r="DS934" s="2" t="n">
        <v>16.07</v>
      </c>
      <c r="DT934" s="2" t="n">
        <v>5.83</v>
      </c>
      <c r="DU934" s="2" t="n">
        <v>0</v>
      </c>
      <c r="DV934" s="2" t="n">
        <v>18.76</v>
      </c>
      <c r="DW934" s="2" t="n">
        <v>10.68</v>
      </c>
      <c r="DX934" s="2" t="n">
        <v>0</v>
      </c>
      <c r="DY934" s="2" t="n">
        <v>24.93</v>
      </c>
      <c r="DZ934" s="2" t="n">
        <v>11.99</v>
      </c>
      <c r="EA934" s="2" t="n">
        <v>0</v>
      </c>
      <c r="EB934" s="2" t="n">
        <v>35.64</v>
      </c>
      <c r="EC934" s="2" t="n">
        <v>14.4</v>
      </c>
      <c r="ED934" s="2" t="n">
        <v>0</v>
      </c>
      <c r="EE934" s="2" t="n">
        <v>49.75</v>
      </c>
      <c r="EF934" s="2" t="n">
        <v>29.58</v>
      </c>
      <c r="EG934" s="2" t="n">
        <v>0</v>
      </c>
      <c r="EH934" s="2" t="n">
        <v>64.09</v>
      </c>
      <c r="EI934" s="2" t="n">
        <v>37.26</v>
      </c>
      <c r="EJ934" s="2" t="n">
        <v>0</v>
      </c>
      <c r="EK934" s="2" t="n">
        <v>72.62</v>
      </c>
      <c r="EL934" s="2" t="n">
        <v>42.51</v>
      </c>
      <c r="EM934" s="2" t="n">
        <v>0</v>
      </c>
      <c r="EN934" s="2" t="n">
        <v>86.08</v>
      </c>
      <c r="EO934" s="2" t="n">
        <v>47.76</v>
      </c>
      <c r="EP934" s="2" t="n">
        <v>0</v>
      </c>
      <c r="EQ934" s="2" t="n">
        <v>94.61</v>
      </c>
      <c r="ER934" s="2" t="n">
        <v>57.86</v>
      </c>
      <c r="ES934" s="2" t="n">
        <v>0</v>
      </c>
      <c r="ET934" s="2" t="n">
        <v>100</v>
      </c>
      <c r="EU934" s="2" t="n">
        <v>69.7</v>
      </c>
      <c r="EV934" s="2" t="n">
        <v>0</v>
      </c>
      <c r="EW934" s="2" t="n">
        <v>100</v>
      </c>
      <c r="EX934" s="2" t="n">
        <v>75.76000000000001</v>
      </c>
      <c r="EY934" s="2" t="n">
        <v>0</v>
      </c>
      <c r="EZ934" s="2" t="n">
        <v>100</v>
      </c>
      <c r="FA934" s="2" t="n">
        <v>81.01000000000001</v>
      </c>
      <c r="FB934" s="2" t="n">
        <v>0</v>
      </c>
      <c r="FC934" s="2" t="n">
        <v>100</v>
      </c>
      <c r="FD934" s="2" t="n">
        <v>87.48</v>
      </c>
      <c r="FE934" s="2" t="n">
        <v>0</v>
      </c>
      <c r="FF934" s="2" t="n">
        <v>100</v>
      </c>
      <c r="FG934" s="2" t="n">
        <v>91.92</v>
      </c>
      <c r="FH934" s="2" t="n">
        <v>0</v>
      </c>
      <c r="FI934" s="2" t="n">
        <v>100</v>
      </c>
      <c r="FJ934" s="2" t="n">
        <v>97.58</v>
      </c>
      <c r="FK934" s="2" t="n">
        <v>0</v>
      </c>
      <c r="FL934" s="2" t="n">
        <v>100</v>
      </c>
      <c r="FM934" s="2" t="n">
        <v>100</v>
      </c>
      <c r="FN934" s="2" t="n">
        <v>0</v>
      </c>
      <c r="FO934" s="2" t="n">
        <v>100</v>
      </c>
      <c r="FP934" s="2" t="n">
        <v>100</v>
      </c>
      <c r="FQ934" s="2" t="n">
        <v>0</v>
      </c>
    </row>
    <row r="935">
      <c r="A935" s="2" t="n">
        <v>3</v>
      </c>
      <c r="B935" s="2" t="inlineStr">
        <is>
          <t>34.02.02</t>
        </is>
      </c>
      <c r="C935" s="2" t="inlineStr">
        <is>
          <t>Coluna suspensa branca para lavatório. Ref.: cód. C.510.17.; Linha Vogue Plus; Deca.</t>
        </is>
      </c>
      <c r="D935" s="2" t="inlineStr">
        <is>
          <t>14/09/2027</t>
        </is>
      </c>
      <c r="E935" s="2" t="inlineStr">
        <is>
          <t>09/01/2029</t>
        </is>
      </c>
      <c r="F935" s="2" t="n">
        <v>558.9</v>
      </c>
      <c r="G935" s="2" t="n">
        <v>0</v>
      </c>
      <c r="H935" s="2" t="n">
        <v>558.9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0</v>
      </c>
      <c r="DI935" s="2" t="n">
        <v>0</v>
      </c>
      <c r="DJ935" s="2" t="n">
        <v>0</v>
      </c>
      <c r="DK935" s="2" t="n">
        <v>0</v>
      </c>
      <c r="DL935" s="2" t="n">
        <v>0</v>
      </c>
      <c r="DM935" s="2" t="n">
        <v>4.94</v>
      </c>
      <c r="DN935" s="2" t="n">
        <v>0</v>
      </c>
      <c r="DO935" s="2" t="n">
        <v>0</v>
      </c>
      <c r="DP935" s="2" t="n">
        <v>10.68</v>
      </c>
      <c r="DQ935" s="2" t="n">
        <v>2.6</v>
      </c>
      <c r="DR935" s="2" t="n">
        <v>0</v>
      </c>
      <c r="DS935" s="2" t="n">
        <v>16.07</v>
      </c>
      <c r="DT935" s="2" t="n">
        <v>5.83</v>
      </c>
      <c r="DU935" s="2" t="n">
        <v>0</v>
      </c>
      <c r="DV935" s="2" t="n">
        <v>18.76</v>
      </c>
      <c r="DW935" s="2" t="n">
        <v>10.68</v>
      </c>
      <c r="DX935" s="2" t="n">
        <v>0</v>
      </c>
      <c r="DY935" s="2" t="n">
        <v>24.93</v>
      </c>
      <c r="DZ935" s="2" t="n">
        <v>11.99</v>
      </c>
      <c r="EA935" s="2" t="n">
        <v>0</v>
      </c>
      <c r="EB935" s="2" t="n">
        <v>35.64</v>
      </c>
      <c r="EC935" s="2" t="n">
        <v>14.4</v>
      </c>
      <c r="ED935" s="2" t="n">
        <v>0</v>
      </c>
      <c r="EE935" s="2" t="n">
        <v>49.75</v>
      </c>
      <c r="EF935" s="2" t="n">
        <v>29.58</v>
      </c>
      <c r="EG935" s="2" t="n">
        <v>0</v>
      </c>
      <c r="EH935" s="2" t="n">
        <v>64.09</v>
      </c>
      <c r="EI935" s="2" t="n">
        <v>37.26</v>
      </c>
      <c r="EJ935" s="2" t="n">
        <v>0</v>
      </c>
      <c r="EK935" s="2" t="n">
        <v>72.62</v>
      </c>
      <c r="EL935" s="2" t="n">
        <v>42.51</v>
      </c>
      <c r="EM935" s="2" t="n">
        <v>0</v>
      </c>
      <c r="EN935" s="2" t="n">
        <v>86.08</v>
      </c>
      <c r="EO935" s="2" t="n">
        <v>47.76</v>
      </c>
      <c r="EP935" s="2" t="n">
        <v>0</v>
      </c>
      <c r="EQ935" s="2" t="n">
        <v>94.61</v>
      </c>
      <c r="ER935" s="2" t="n">
        <v>57.86</v>
      </c>
      <c r="ES935" s="2" t="n">
        <v>0</v>
      </c>
      <c r="ET935" s="2" t="n">
        <v>100</v>
      </c>
      <c r="EU935" s="2" t="n">
        <v>69.7</v>
      </c>
      <c r="EV935" s="2" t="n">
        <v>0</v>
      </c>
      <c r="EW935" s="2" t="n">
        <v>100</v>
      </c>
      <c r="EX935" s="2" t="n">
        <v>75.76000000000001</v>
      </c>
      <c r="EY935" s="2" t="n">
        <v>0</v>
      </c>
      <c r="EZ935" s="2" t="n">
        <v>100</v>
      </c>
      <c r="FA935" s="2" t="n">
        <v>81.01000000000001</v>
      </c>
      <c r="FB935" s="2" t="n">
        <v>0</v>
      </c>
      <c r="FC935" s="2" t="n">
        <v>100</v>
      </c>
      <c r="FD935" s="2" t="n">
        <v>87.48</v>
      </c>
      <c r="FE935" s="2" t="n">
        <v>0</v>
      </c>
      <c r="FF935" s="2" t="n">
        <v>100</v>
      </c>
      <c r="FG935" s="2" t="n">
        <v>91.92</v>
      </c>
      <c r="FH935" s="2" t="n">
        <v>0</v>
      </c>
      <c r="FI935" s="2" t="n">
        <v>100</v>
      </c>
      <c r="FJ935" s="2" t="n">
        <v>97.58</v>
      </c>
      <c r="FK935" s="2" t="n">
        <v>0</v>
      </c>
      <c r="FL935" s="2" t="n">
        <v>100</v>
      </c>
      <c r="FM935" s="2" t="n">
        <v>100</v>
      </c>
      <c r="FN935" s="2" t="n">
        <v>0</v>
      </c>
      <c r="FO935" s="2" t="n">
        <v>100</v>
      </c>
      <c r="FP935" s="2" t="n">
        <v>100</v>
      </c>
      <c r="FQ935" s="2" t="n">
        <v>0</v>
      </c>
    </row>
    <row r="936">
      <c r="A936" s="2" t="n">
        <v>3</v>
      </c>
      <c r="B936" s="2" t="inlineStr">
        <is>
          <t>34.02.03</t>
        </is>
      </c>
      <c r="C936" s="2" t="inlineStr">
        <is>
          <t>Lavatório suspenso com mesa, linha Cosmos, cor branco, 88,5x15x46,5cm ref.: Valvé</t>
        </is>
      </c>
      <c r="D936" s="2" t="inlineStr">
        <is>
          <t>14/09/2027</t>
        </is>
      </c>
      <c r="E936" s="2" t="inlineStr">
        <is>
          <t>09/01/2029</t>
        </is>
      </c>
      <c r="F936" s="2" t="n">
        <v>30193.2</v>
      </c>
      <c r="G936" s="2" t="n">
        <v>0</v>
      </c>
      <c r="H936" s="2" t="n">
        <v>30193.2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0</v>
      </c>
      <c r="DI936" s="2" t="n">
        <v>0</v>
      </c>
      <c r="DJ936" s="2" t="n">
        <v>0</v>
      </c>
      <c r="DK936" s="2" t="n">
        <v>0</v>
      </c>
      <c r="DL936" s="2" t="n">
        <v>0</v>
      </c>
      <c r="DM936" s="2" t="n">
        <v>4.94</v>
      </c>
      <c r="DN936" s="2" t="n">
        <v>0</v>
      </c>
      <c r="DO936" s="2" t="n">
        <v>0</v>
      </c>
      <c r="DP936" s="2" t="n">
        <v>10.68</v>
      </c>
      <c r="DQ936" s="2" t="n">
        <v>2.6</v>
      </c>
      <c r="DR936" s="2" t="n">
        <v>0</v>
      </c>
      <c r="DS936" s="2" t="n">
        <v>16.07</v>
      </c>
      <c r="DT936" s="2" t="n">
        <v>5.83</v>
      </c>
      <c r="DU936" s="2" t="n">
        <v>0</v>
      </c>
      <c r="DV936" s="2" t="n">
        <v>18.76</v>
      </c>
      <c r="DW936" s="2" t="n">
        <v>10.68</v>
      </c>
      <c r="DX936" s="2" t="n">
        <v>0</v>
      </c>
      <c r="DY936" s="2" t="n">
        <v>24.93</v>
      </c>
      <c r="DZ936" s="2" t="n">
        <v>11.99</v>
      </c>
      <c r="EA936" s="2" t="n">
        <v>0</v>
      </c>
      <c r="EB936" s="2" t="n">
        <v>35.64</v>
      </c>
      <c r="EC936" s="2" t="n">
        <v>14.4</v>
      </c>
      <c r="ED936" s="2" t="n">
        <v>0</v>
      </c>
      <c r="EE936" s="2" t="n">
        <v>49.75</v>
      </c>
      <c r="EF936" s="2" t="n">
        <v>29.58</v>
      </c>
      <c r="EG936" s="2" t="n">
        <v>0</v>
      </c>
      <c r="EH936" s="2" t="n">
        <v>64.09</v>
      </c>
      <c r="EI936" s="2" t="n">
        <v>37.26</v>
      </c>
      <c r="EJ936" s="2" t="n">
        <v>0</v>
      </c>
      <c r="EK936" s="2" t="n">
        <v>72.62</v>
      </c>
      <c r="EL936" s="2" t="n">
        <v>42.51</v>
      </c>
      <c r="EM936" s="2" t="n">
        <v>0</v>
      </c>
      <c r="EN936" s="2" t="n">
        <v>86.08</v>
      </c>
      <c r="EO936" s="2" t="n">
        <v>47.76</v>
      </c>
      <c r="EP936" s="2" t="n">
        <v>0</v>
      </c>
      <c r="EQ936" s="2" t="n">
        <v>94.61</v>
      </c>
      <c r="ER936" s="2" t="n">
        <v>57.86</v>
      </c>
      <c r="ES936" s="2" t="n">
        <v>0</v>
      </c>
      <c r="ET936" s="2" t="n">
        <v>100</v>
      </c>
      <c r="EU936" s="2" t="n">
        <v>69.7</v>
      </c>
      <c r="EV936" s="2" t="n">
        <v>0</v>
      </c>
      <c r="EW936" s="2" t="n">
        <v>100</v>
      </c>
      <c r="EX936" s="2" t="n">
        <v>75.76000000000001</v>
      </c>
      <c r="EY936" s="2" t="n">
        <v>0</v>
      </c>
      <c r="EZ936" s="2" t="n">
        <v>100</v>
      </c>
      <c r="FA936" s="2" t="n">
        <v>81.01000000000001</v>
      </c>
      <c r="FB936" s="2" t="n">
        <v>0</v>
      </c>
      <c r="FC936" s="2" t="n">
        <v>100</v>
      </c>
      <c r="FD936" s="2" t="n">
        <v>87.48</v>
      </c>
      <c r="FE936" s="2" t="n">
        <v>0</v>
      </c>
      <c r="FF936" s="2" t="n">
        <v>100</v>
      </c>
      <c r="FG936" s="2" t="n">
        <v>91.92</v>
      </c>
      <c r="FH936" s="2" t="n">
        <v>0</v>
      </c>
      <c r="FI936" s="2" t="n">
        <v>100</v>
      </c>
      <c r="FJ936" s="2" t="n">
        <v>97.58</v>
      </c>
      <c r="FK936" s="2" t="n">
        <v>0</v>
      </c>
      <c r="FL936" s="2" t="n">
        <v>100</v>
      </c>
      <c r="FM936" s="2" t="n">
        <v>100</v>
      </c>
      <c r="FN936" s="2" t="n">
        <v>0</v>
      </c>
      <c r="FO936" s="2" t="n">
        <v>100</v>
      </c>
      <c r="FP936" s="2" t="n">
        <v>100</v>
      </c>
      <c r="FQ936" s="2" t="n">
        <v>0</v>
      </c>
    </row>
    <row r="937">
      <c r="A937" s="2" t="n">
        <v>3</v>
      </c>
      <c r="B937" s="2" t="inlineStr">
        <is>
          <t>34.02.04</t>
        </is>
      </c>
      <c r="C937" s="2" t="inlineStr">
        <is>
          <t>Lavatório suspenso com mesa, linha Cuore, cor Branco, 35x40x44cm. Ref.: Vallvé</t>
        </is>
      </c>
      <c r="D937" s="2" t="inlineStr">
        <is>
          <t>14/09/2027</t>
        </is>
      </c>
      <c r="E937" s="2" t="inlineStr">
        <is>
          <t>09/01/2029</t>
        </is>
      </c>
      <c r="F937" s="2" t="n">
        <v>8224.860000000001</v>
      </c>
      <c r="G937" s="2" t="n">
        <v>0</v>
      </c>
      <c r="H937" s="2" t="n">
        <v>8224.860000000001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0</v>
      </c>
      <c r="DI937" s="2" t="n">
        <v>0</v>
      </c>
      <c r="DJ937" s="2" t="n">
        <v>0</v>
      </c>
      <c r="DK937" s="2" t="n">
        <v>0</v>
      </c>
      <c r="DL937" s="2" t="n">
        <v>0</v>
      </c>
      <c r="DM937" s="2" t="n">
        <v>4.94</v>
      </c>
      <c r="DN937" s="2" t="n">
        <v>0</v>
      </c>
      <c r="DO937" s="2" t="n">
        <v>0</v>
      </c>
      <c r="DP937" s="2" t="n">
        <v>10.68</v>
      </c>
      <c r="DQ937" s="2" t="n">
        <v>2.6</v>
      </c>
      <c r="DR937" s="2" t="n">
        <v>0</v>
      </c>
      <c r="DS937" s="2" t="n">
        <v>16.07</v>
      </c>
      <c r="DT937" s="2" t="n">
        <v>5.83</v>
      </c>
      <c r="DU937" s="2" t="n">
        <v>0</v>
      </c>
      <c r="DV937" s="2" t="n">
        <v>18.76</v>
      </c>
      <c r="DW937" s="2" t="n">
        <v>10.68</v>
      </c>
      <c r="DX937" s="2" t="n">
        <v>0</v>
      </c>
      <c r="DY937" s="2" t="n">
        <v>24.93</v>
      </c>
      <c r="DZ937" s="2" t="n">
        <v>11.99</v>
      </c>
      <c r="EA937" s="2" t="n">
        <v>0</v>
      </c>
      <c r="EB937" s="2" t="n">
        <v>35.64</v>
      </c>
      <c r="EC937" s="2" t="n">
        <v>14.4</v>
      </c>
      <c r="ED937" s="2" t="n">
        <v>0</v>
      </c>
      <c r="EE937" s="2" t="n">
        <v>49.75</v>
      </c>
      <c r="EF937" s="2" t="n">
        <v>29.58</v>
      </c>
      <c r="EG937" s="2" t="n">
        <v>0</v>
      </c>
      <c r="EH937" s="2" t="n">
        <v>64.09</v>
      </c>
      <c r="EI937" s="2" t="n">
        <v>37.26</v>
      </c>
      <c r="EJ937" s="2" t="n">
        <v>0</v>
      </c>
      <c r="EK937" s="2" t="n">
        <v>72.62</v>
      </c>
      <c r="EL937" s="2" t="n">
        <v>42.51</v>
      </c>
      <c r="EM937" s="2" t="n">
        <v>0</v>
      </c>
      <c r="EN937" s="2" t="n">
        <v>86.08</v>
      </c>
      <c r="EO937" s="2" t="n">
        <v>47.76</v>
      </c>
      <c r="EP937" s="2" t="n">
        <v>0</v>
      </c>
      <c r="EQ937" s="2" t="n">
        <v>94.61</v>
      </c>
      <c r="ER937" s="2" t="n">
        <v>57.86</v>
      </c>
      <c r="ES937" s="2" t="n">
        <v>0</v>
      </c>
      <c r="ET937" s="2" t="n">
        <v>100</v>
      </c>
      <c r="EU937" s="2" t="n">
        <v>69.7</v>
      </c>
      <c r="EV937" s="2" t="n">
        <v>0</v>
      </c>
      <c r="EW937" s="2" t="n">
        <v>100</v>
      </c>
      <c r="EX937" s="2" t="n">
        <v>75.76000000000001</v>
      </c>
      <c r="EY937" s="2" t="n">
        <v>0</v>
      </c>
      <c r="EZ937" s="2" t="n">
        <v>100</v>
      </c>
      <c r="FA937" s="2" t="n">
        <v>81.01000000000001</v>
      </c>
      <c r="FB937" s="2" t="n">
        <v>0</v>
      </c>
      <c r="FC937" s="2" t="n">
        <v>100</v>
      </c>
      <c r="FD937" s="2" t="n">
        <v>87.48</v>
      </c>
      <c r="FE937" s="2" t="n">
        <v>0</v>
      </c>
      <c r="FF937" s="2" t="n">
        <v>100</v>
      </c>
      <c r="FG937" s="2" t="n">
        <v>91.92</v>
      </c>
      <c r="FH937" s="2" t="n">
        <v>0</v>
      </c>
      <c r="FI937" s="2" t="n">
        <v>100</v>
      </c>
      <c r="FJ937" s="2" t="n">
        <v>97.58</v>
      </c>
      <c r="FK937" s="2" t="n">
        <v>0</v>
      </c>
      <c r="FL937" s="2" t="n">
        <v>100</v>
      </c>
      <c r="FM937" s="2" t="n">
        <v>100</v>
      </c>
      <c r="FN937" s="2" t="n">
        <v>0</v>
      </c>
      <c r="FO937" s="2" t="n">
        <v>100</v>
      </c>
      <c r="FP937" s="2" t="n">
        <v>100</v>
      </c>
      <c r="FQ937" s="2" t="n">
        <v>0</v>
      </c>
    </row>
    <row r="938">
      <c r="A938" s="2" t="n">
        <v>3</v>
      </c>
      <c r="B938" s="2" t="inlineStr">
        <is>
          <t>34.02.05</t>
        </is>
      </c>
      <c r="C938" s="2" t="inlineStr">
        <is>
          <t>Cuba de apoio retangular jader almeida 670x495x120 branco | Deca | código: l.310.17</t>
        </is>
      </c>
      <c r="D938" s="2" t="inlineStr">
        <is>
          <t>14/09/2027</t>
        </is>
      </c>
      <c r="E938" s="2" t="inlineStr">
        <is>
          <t>09/01/2029</t>
        </is>
      </c>
      <c r="F938" s="2" t="n">
        <v>29784.3</v>
      </c>
      <c r="G938" s="2" t="n">
        <v>0</v>
      </c>
      <c r="H938" s="2" t="n">
        <v>29784.3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0</v>
      </c>
      <c r="DE938" s="2" t="n">
        <v>0</v>
      </c>
      <c r="DF938" s="2" t="n">
        <v>0</v>
      </c>
      <c r="DG938" s="2" t="n">
        <v>0</v>
      </c>
      <c r="DH938" s="2" t="n">
        <v>0</v>
      </c>
      <c r="DI938" s="2" t="n">
        <v>0</v>
      </c>
      <c r="DJ938" s="2" t="n">
        <v>0</v>
      </c>
      <c r="DK938" s="2" t="n">
        <v>0</v>
      </c>
      <c r="DL938" s="2" t="n">
        <v>0</v>
      </c>
      <c r="DM938" s="2" t="n">
        <v>4.94</v>
      </c>
      <c r="DN938" s="2" t="n">
        <v>0</v>
      </c>
      <c r="DO938" s="2" t="n">
        <v>0</v>
      </c>
      <c r="DP938" s="2" t="n">
        <v>10.68</v>
      </c>
      <c r="DQ938" s="2" t="n">
        <v>2.6</v>
      </c>
      <c r="DR938" s="2" t="n">
        <v>0</v>
      </c>
      <c r="DS938" s="2" t="n">
        <v>16.07</v>
      </c>
      <c r="DT938" s="2" t="n">
        <v>5.83</v>
      </c>
      <c r="DU938" s="2" t="n">
        <v>0</v>
      </c>
      <c r="DV938" s="2" t="n">
        <v>18.76</v>
      </c>
      <c r="DW938" s="2" t="n">
        <v>10.68</v>
      </c>
      <c r="DX938" s="2" t="n">
        <v>0</v>
      </c>
      <c r="DY938" s="2" t="n">
        <v>24.93</v>
      </c>
      <c r="DZ938" s="2" t="n">
        <v>11.99</v>
      </c>
      <c r="EA938" s="2" t="n">
        <v>0</v>
      </c>
      <c r="EB938" s="2" t="n">
        <v>35.64</v>
      </c>
      <c r="EC938" s="2" t="n">
        <v>14.4</v>
      </c>
      <c r="ED938" s="2" t="n">
        <v>0</v>
      </c>
      <c r="EE938" s="2" t="n">
        <v>49.75</v>
      </c>
      <c r="EF938" s="2" t="n">
        <v>29.58</v>
      </c>
      <c r="EG938" s="2" t="n">
        <v>0</v>
      </c>
      <c r="EH938" s="2" t="n">
        <v>64.09</v>
      </c>
      <c r="EI938" s="2" t="n">
        <v>37.26</v>
      </c>
      <c r="EJ938" s="2" t="n">
        <v>0</v>
      </c>
      <c r="EK938" s="2" t="n">
        <v>72.62</v>
      </c>
      <c r="EL938" s="2" t="n">
        <v>42.51</v>
      </c>
      <c r="EM938" s="2" t="n">
        <v>0</v>
      </c>
      <c r="EN938" s="2" t="n">
        <v>86.08</v>
      </c>
      <c r="EO938" s="2" t="n">
        <v>47.76</v>
      </c>
      <c r="EP938" s="2" t="n">
        <v>0</v>
      </c>
      <c r="EQ938" s="2" t="n">
        <v>94.61</v>
      </c>
      <c r="ER938" s="2" t="n">
        <v>57.86</v>
      </c>
      <c r="ES938" s="2" t="n">
        <v>0</v>
      </c>
      <c r="ET938" s="2" t="n">
        <v>100</v>
      </c>
      <c r="EU938" s="2" t="n">
        <v>69.7</v>
      </c>
      <c r="EV938" s="2" t="n">
        <v>0</v>
      </c>
      <c r="EW938" s="2" t="n">
        <v>100</v>
      </c>
      <c r="EX938" s="2" t="n">
        <v>75.76000000000001</v>
      </c>
      <c r="EY938" s="2" t="n">
        <v>0</v>
      </c>
      <c r="EZ938" s="2" t="n">
        <v>100</v>
      </c>
      <c r="FA938" s="2" t="n">
        <v>81.01000000000001</v>
      </c>
      <c r="FB938" s="2" t="n">
        <v>0</v>
      </c>
      <c r="FC938" s="2" t="n">
        <v>100</v>
      </c>
      <c r="FD938" s="2" t="n">
        <v>87.48</v>
      </c>
      <c r="FE938" s="2" t="n">
        <v>0</v>
      </c>
      <c r="FF938" s="2" t="n">
        <v>100</v>
      </c>
      <c r="FG938" s="2" t="n">
        <v>91.92</v>
      </c>
      <c r="FH938" s="2" t="n">
        <v>0</v>
      </c>
      <c r="FI938" s="2" t="n">
        <v>100</v>
      </c>
      <c r="FJ938" s="2" t="n">
        <v>97.58</v>
      </c>
      <c r="FK938" s="2" t="n">
        <v>0</v>
      </c>
      <c r="FL938" s="2" t="n">
        <v>100</v>
      </c>
      <c r="FM938" s="2" t="n">
        <v>100</v>
      </c>
      <c r="FN938" s="2" t="n">
        <v>0</v>
      </c>
      <c r="FO938" s="2" t="n">
        <v>100</v>
      </c>
      <c r="FP938" s="2" t="n">
        <v>100</v>
      </c>
      <c r="FQ938" s="2" t="n">
        <v>0</v>
      </c>
    </row>
    <row r="939">
      <c r="A939" s="2" t="n">
        <v>3</v>
      </c>
      <c r="B939" s="2" t="inlineStr">
        <is>
          <t>34.02.06</t>
        </is>
      </c>
      <c r="C939" s="2" t="inlineStr">
        <is>
          <t>cuba retangular de apoio 60cm com deck branco | Deca | código: l.13060.m.17</t>
        </is>
      </c>
      <c r="D939" s="2" t="inlineStr">
        <is>
          <t>14/09/2027</t>
        </is>
      </c>
      <c r="E939" s="2" t="inlineStr">
        <is>
          <t>09/01/2029</t>
        </is>
      </c>
      <c r="F939" s="2" t="n">
        <v>26270.37</v>
      </c>
      <c r="G939" s="2" t="n">
        <v>0</v>
      </c>
      <c r="H939" s="2" t="n">
        <v>26270.37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0</v>
      </c>
      <c r="DE939" s="2" t="n">
        <v>0</v>
      </c>
      <c r="DF939" s="2" t="n">
        <v>0</v>
      </c>
      <c r="DG939" s="2" t="n">
        <v>0</v>
      </c>
      <c r="DH939" s="2" t="n">
        <v>0</v>
      </c>
      <c r="DI939" s="2" t="n">
        <v>0</v>
      </c>
      <c r="DJ939" s="2" t="n">
        <v>0</v>
      </c>
      <c r="DK939" s="2" t="n">
        <v>0</v>
      </c>
      <c r="DL939" s="2" t="n">
        <v>0</v>
      </c>
      <c r="DM939" s="2" t="n">
        <v>4.94</v>
      </c>
      <c r="DN939" s="2" t="n">
        <v>0</v>
      </c>
      <c r="DO939" s="2" t="n">
        <v>0</v>
      </c>
      <c r="DP939" s="2" t="n">
        <v>10.68</v>
      </c>
      <c r="DQ939" s="2" t="n">
        <v>2.6</v>
      </c>
      <c r="DR939" s="2" t="n">
        <v>0</v>
      </c>
      <c r="DS939" s="2" t="n">
        <v>16.07</v>
      </c>
      <c r="DT939" s="2" t="n">
        <v>5.83</v>
      </c>
      <c r="DU939" s="2" t="n">
        <v>0</v>
      </c>
      <c r="DV939" s="2" t="n">
        <v>18.76</v>
      </c>
      <c r="DW939" s="2" t="n">
        <v>10.68</v>
      </c>
      <c r="DX939" s="2" t="n">
        <v>0</v>
      </c>
      <c r="DY939" s="2" t="n">
        <v>24.93</v>
      </c>
      <c r="DZ939" s="2" t="n">
        <v>11.99</v>
      </c>
      <c r="EA939" s="2" t="n">
        <v>0</v>
      </c>
      <c r="EB939" s="2" t="n">
        <v>35.64</v>
      </c>
      <c r="EC939" s="2" t="n">
        <v>14.4</v>
      </c>
      <c r="ED939" s="2" t="n">
        <v>0</v>
      </c>
      <c r="EE939" s="2" t="n">
        <v>49.75</v>
      </c>
      <c r="EF939" s="2" t="n">
        <v>29.58</v>
      </c>
      <c r="EG939" s="2" t="n">
        <v>0</v>
      </c>
      <c r="EH939" s="2" t="n">
        <v>64.09</v>
      </c>
      <c r="EI939" s="2" t="n">
        <v>37.26</v>
      </c>
      <c r="EJ939" s="2" t="n">
        <v>0</v>
      </c>
      <c r="EK939" s="2" t="n">
        <v>72.62</v>
      </c>
      <c r="EL939" s="2" t="n">
        <v>42.51</v>
      </c>
      <c r="EM939" s="2" t="n">
        <v>0</v>
      </c>
      <c r="EN939" s="2" t="n">
        <v>86.08</v>
      </c>
      <c r="EO939" s="2" t="n">
        <v>47.76</v>
      </c>
      <c r="EP939" s="2" t="n">
        <v>0</v>
      </c>
      <c r="EQ939" s="2" t="n">
        <v>94.61</v>
      </c>
      <c r="ER939" s="2" t="n">
        <v>57.86</v>
      </c>
      <c r="ES939" s="2" t="n">
        <v>0</v>
      </c>
      <c r="ET939" s="2" t="n">
        <v>100</v>
      </c>
      <c r="EU939" s="2" t="n">
        <v>69.7</v>
      </c>
      <c r="EV939" s="2" t="n">
        <v>0</v>
      </c>
      <c r="EW939" s="2" t="n">
        <v>100</v>
      </c>
      <c r="EX939" s="2" t="n">
        <v>75.76000000000001</v>
      </c>
      <c r="EY939" s="2" t="n">
        <v>0</v>
      </c>
      <c r="EZ939" s="2" t="n">
        <v>100</v>
      </c>
      <c r="FA939" s="2" t="n">
        <v>81.01000000000001</v>
      </c>
      <c r="FB939" s="2" t="n">
        <v>0</v>
      </c>
      <c r="FC939" s="2" t="n">
        <v>100</v>
      </c>
      <c r="FD939" s="2" t="n">
        <v>87.48</v>
      </c>
      <c r="FE939" s="2" t="n">
        <v>0</v>
      </c>
      <c r="FF939" s="2" t="n">
        <v>100</v>
      </c>
      <c r="FG939" s="2" t="n">
        <v>91.92</v>
      </c>
      <c r="FH939" s="2" t="n">
        <v>0</v>
      </c>
      <c r="FI939" s="2" t="n">
        <v>100</v>
      </c>
      <c r="FJ939" s="2" t="n">
        <v>97.58</v>
      </c>
      <c r="FK939" s="2" t="n">
        <v>0</v>
      </c>
      <c r="FL939" s="2" t="n">
        <v>100</v>
      </c>
      <c r="FM939" s="2" t="n">
        <v>100</v>
      </c>
      <c r="FN939" s="2" t="n">
        <v>0</v>
      </c>
      <c r="FO939" s="2" t="n">
        <v>100</v>
      </c>
      <c r="FP939" s="2" t="n">
        <v>100</v>
      </c>
      <c r="FQ939" s="2" t="n">
        <v>0</v>
      </c>
    </row>
    <row r="940">
      <c r="A940" s="2" t="n">
        <v>3</v>
      </c>
      <c r="B940" s="2" t="inlineStr">
        <is>
          <t>34.02.07</t>
        </is>
      </c>
      <c r="C940" s="2" t="inlineStr">
        <is>
          <t>Cuba de semiencaixe, linha Slim, cor branco, cód.: L.61040.M.17. Ref.: Deca</t>
        </is>
      </c>
      <c r="D940" s="2" t="inlineStr">
        <is>
          <t>14/09/2027</t>
        </is>
      </c>
      <c r="E940" s="2" t="inlineStr">
        <is>
          <t>09/01/2029</t>
        </is>
      </c>
      <c r="F940" s="2" t="n">
        <v>399.54</v>
      </c>
      <c r="G940" s="2" t="n">
        <v>0</v>
      </c>
      <c r="H940" s="2" t="n">
        <v>399.54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0</v>
      </c>
      <c r="DE940" s="2" t="n">
        <v>0</v>
      </c>
      <c r="DF940" s="2" t="n">
        <v>0</v>
      </c>
      <c r="DG940" s="2" t="n">
        <v>0</v>
      </c>
      <c r="DH940" s="2" t="n">
        <v>0</v>
      </c>
      <c r="DI940" s="2" t="n">
        <v>0</v>
      </c>
      <c r="DJ940" s="2" t="n">
        <v>0</v>
      </c>
      <c r="DK940" s="2" t="n">
        <v>0</v>
      </c>
      <c r="DL940" s="2" t="n">
        <v>0</v>
      </c>
      <c r="DM940" s="2" t="n">
        <v>4.94</v>
      </c>
      <c r="DN940" s="2" t="n">
        <v>0</v>
      </c>
      <c r="DO940" s="2" t="n">
        <v>0</v>
      </c>
      <c r="DP940" s="2" t="n">
        <v>10.68</v>
      </c>
      <c r="DQ940" s="2" t="n">
        <v>2.6</v>
      </c>
      <c r="DR940" s="2" t="n">
        <v>0</v>
      </c>
      <c r="DS940" s="2" t="n">
        <v>16.07</v>
      </c>
      <c r="DT940" s="2" t="n">
        <v>5.83</v>
      </c>
      <c r="DU940" s="2" t="n">
        <v>0</v>
      </c>
      <c r="DV940" s="2" t="n">
        <v>18.76</v>
      </c>
      <c r="DW940" s="2" t="n">
        <v>10.68</v>
      </c>
      <c r="DX940" s="2" t="n">
        <v>0</v>
      </c>
      <c r="DY940" s="2" t="n">
        <v>24.93</v>
      </c>
      <c r="DZ940" s="2" t="n">
        <v>11.99</v>
      </c>
      <c r="EA940" s="2" t="n">
        <v>0</v>
      </c>
      <c r="EB940" s="2" t="n">
        <v>35.64</v>
      </c>
      <c r="EC940" s="2" t="n">
        <v>14.4</v>
      </c>
      <c r="ED940" s="2" t="n">
        <v>0</v>
      </c>
      <c r="EE940" s="2" t="n">
        <v>49.75</v>
      </c>
      <c r="EF940" s="2" t="n">
        <v>29.58</v>
      </c>
      <c r="EG940" s="2" t="n">
        <v>0</v>
      </c>
      <c r="EH940" s="2" t="n">
        <v>64.09</v>
      </c>
      <c r="EI940" s="2" t="n">
        <v>37.26</v>
      </c>
      <c r="EJ940" s="2" t="n">
        <v>0</v>
      </c>
      <c r="EK940" s="2" t="n">
        <v>72.62</v>
      </c>
      <c r="EL940" s="2" t="n">
        <v>42.51</v>
      </c>
      <c r="EM940" s="2" t="n">
        <v>0</v>
      </c>
      <c r="EN940" s="2" t="n">
        <v>86.08</v>
      </c>
      <c r="EO940" s="2" t="n">
        <v>47.76</v>
      </c>
      <c r="EP940" s="2" t="n">
        <v>0</v>
      </c>
      <c r="EQ940" s="2" t="n">
        <v>94.61</v>
      </c>
      <c r="ER940" s="2" t="n">
        <v>57.86</v>
      </c>
      <c r="ES940" s="2" t="n">
        <v>0</v>
      </c>
      <c r="ET940" s="2" t="n">
        <v>100</v>
      </c>
      <c r="EU940" s="2" t="n">
        <v>69.7</v>
      </c>
      <c r="EV940" s="2" t="n">
        <v>0</v>
      </c>
      <c r="EW940" s="2" t="n">
        <v>100</v>
      </c>
      <c r="EX940" s="2" t="n">
        <v>75.76000000000001</v>
      </c>
      <c r="EY940" s="2" t="n">
        <v>0</v>
      </c>
      <c r="EZ940" s="2" t="n">
        <v>100</v>
      </c>
      <c r="FA940" s="2" t="n">
        <v>81.01000000000001</v>
      </c>
      <c r="FB940" s="2" t="n">
        <v>0</v>
      </c>
      <c r="FC940" s="2" t="n">
        <v>100</v>
      </c>
      <c r="FD940" s="2" t="n">
        <v>87.48</v>
      </c>
      <c r="FE940" s="2" t="n">
        <v>0</v>
      </c>
      <c r="FF940" s="2" t="n">
        <v>100</v>
      </c>
      <c r="FG940" s="2" t="n">
        <v>91.92</v>
      </c>
      <c r="FH940" s="2" t="n">
        <v>0</v>
      </c>
      <c r="FI940" s="2" t="n">
        <v>100</v>
      </c>
      <c r="FJ940" s="2" t="n">
        <v>97.58</v>
      </c>
      <c r="FK940" s="2" t="n">
        <v>0</v>
      </c>
      <c r="FL940" s="2" t="n">
        <v>100</v>
      </c>
      <c r="FM940" s="2" t="n">
        <v>100</v>
      </c>
      <c r="FN940" s="2" t="n">
        <v>0</v>
      </c>
      <c r="FO940" s="2" t="n">
        <v>100</v>
      </c>
      <c r="FP940" s="2" t="n">
        <v>100</v>
      </c>
      <c r="FQ940" s="2" t="n">
        <v>0</v>
      </c>
    </row>
    <row r="941">
      <c r="A941" s="2" t="n">
        <v>3</v>
      </c>
      <c r="B941" s="2" t="inlineStr">
        <is>
          <t>34.02.08</t>
        </is>
      </c>
      <c r="C941" s="2" t="inlineStr">
        <is>
          <t>Cuba de louça de semi-encaixe Deca retangular com mesa L.733.17</t>
        </is>
      </c>
      <c r="D941" s="2" t="inlineStr">
        <is>
          <t>14/09/2027</t>
        </is>
      </c>
      <c r="E941" s="2" t="inlineStr">
        <is>
          <t>09/01/2029</t>
        </is>
      </c>
      <c r="F941" s="2" t="n">
        <v>7943.25</v>
      </c>
      <c r="G941" s="2" t="n">
        <v>0</v>
      </c>
      <c r="H941" s="2" t="n">
        <v>7943.25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0</v>
      </c>
      <c r="DE941" s="2" t="n">
        <v>0</v>
      </c>
      <c r="DF941" s="2" t="n">
        <v>0</v>
      </c>
      <c r="DG941" s="2" t="n">
        <v>0</v>
      </c>
      <c r="DH941" s="2" t="n">
        <v>0</v>
      </c>
      <c r="DI941" s="2" t="n">
        <v>0</v>
      </c>
      <c r="DJ941" s="2" t="n">
        <v>0</v>
      </c>
      <c r="DK941" s="2" t="n">
        <v>0</v>
      </c>
      <c r="DL941" s="2" t="n">
        <v>0</v>
      </c>
      <c r="DM941" s="2" t="n">
        <v>4.94</v>
      </c>
      <c r="DN941" s="2" t="n">
        <v>0</v>
      </c>
      <c r="DO941" s="2" t="n">
        <v>0</v>
      </c>
      <c r="DP941" s="2" t="n">
        <v>10.68</v>
      </c>
      <c r="DQ941" s="2" t="n">
        <v>2.6</v>
      </c>
      <c r="DR941" s="2" t="n">
        <v>0</v>
      </c>
      <c r="DS941" s="2" t="n">
        <v>16.07</v>
      </c>
      <c r="DT941" s="2" t="n">
        <v>5.83</v>
      </c>
      <c r="DU941" s="2" t="n">
        <v>0</v>
      </c>
      <c r="DV941" s="2" t="n">
        <v>18.76</v>
      </c>
      <c r="DW941" s="2" t="n">
        <v>10.68</v>
      </c>
      <c r="DX941" s="2" t="n">
        <v>0</v>
      </c>
      <c r="DY941" s="2" t="n">
        <v>24.93</v>
      </c>
      <c r="DZ941" s="2" t="n">
        <v>11.99</v>
      </c>
      <c r="EA941" s="2" t="n">
        <v>0</v>
      </c>
      <c r="EB941" s="2" t="n">
        <v>35.64</v>
      </c>
      <c r="EC941" s="2" t="n">
        <v>14.4</v>
      </c>
      <c r="ED941" s="2" t="n">
        <v>0</v>
      </c>
      <c r="EE941" s="2" t="n">
        <v>49.75</v>
      </c>
      <c r="EF941" s="2" t="n">
        <v>29.58</v>
      </c>
      <c r="EG941" s="2" t="n">
        <v>0</v>
      </c>
      <c r="EH941" s="2" t="n">
        <v>64.09</v>
      </c>
      <c r="EI941" s="2" t="n">
        <v>37.26</v>
      </c>
      <c r="EJ941" s="2" t="n">
        <v>0</v>
      </c>
      <c r="EK941" s="2" t="n">
        <v>72.62</v>
      </c>
      <c r="EL941" s="2" t="n">
        <v>42.51</v>
      </c>
      <c r="EM941" s="2" t="n">
        <v>0</v>
      </c>
      <c r="EN941" s="2" t="n">
        <v>86.08</v>
      </c>
      <c r="EO941" s="2" t="n">
        <v>47.76</v>
      </c>
      <c r="EP941" s="2" t="n">
        <v>0</v>
      </c>
      <c r="EQ941" s="2" t="n">
        <v>94.61</v>
      </c>
      <c r="ER941" s="2" t="n">
        <v>57.86</v>
      </c>
      <c r="ES941" s="2" t="n">
        <v>0</v>
      </c>
      <c r="ET941" s="2" t="n">
        <v>100</v>
      </c>
      <c r="EU941" s="2" t="n">
        <v>69.7</v>
      </c>
      <c r="EV941" s="2" t="n">
        <v>0</v>
      </c>
      <c r="EW941" s="2" t="n">
        <v>100</v>
      </c>
      <c r="EX941" s="2" t="n">
        <v>75.76000000000001</v>
      </c>
      <c r="EY941" s="2" t="n">
        <v>0</v>
      </c>
      <c r="EZ941" s="2" t="n">
        <v>100</v>
      </c>
      <c r="FA941" s="2" t="n">
        <v>81.01000000000001</v>
      </c>
      <c r="FB941" s="2" t="n">
        <v>0</v>
      </c>
      <c r="FC941" s="2" t="n">
        <v>100</v>
      </c>
      <c r="FD941" s="2" t="n">
        <v>87.48</v>
      </c>
      <c r="FE941" s="2" t="n">
        <v>0</v>
      </c>
      <c r="FF941" s="2" t="n">
        <v>100</v>
      </c>
      <c r="FG941" s="2" t="n">
        <v>91.92</v>
      </c>
      <c r="FH941" s="2" t="n">
        <v>0</v>
      </c>
      <c r="FI941" s="2" t="n">
        <v>100</v>
      </c>
      <c r="FJ941" s="2" t="n">
        <v>97.58</v>
      </c>
      <c r="FK941" s="2" t="n">
        <v>0</v>
      </c>
      <c r="FL941" s="2" t="n">
        <v>100</v>
      </c>
      <c r="FM941" s="2" t="n">
        <v>100</v>
      </c>
      <c r="FN941" s="2" t="n">
        <v>0</v>
      </c>
      <c r="FO941" s="2" t="n">
        <v>100</v>
      </c>
      <c r="FP941" s="2" t="n">
        <v>100</v>
      </c>
      <c r="FQ941" s="2" t="n">
        <v>0</v>
      </c>
    </row>
    <row r="942">
      <c r="A942" s="2" t="n">
        <v>3</v>
      </c>
      <c r="B942" s="2" t="inlineStr">
        <is>
          <t>34.02.09</t>
        </is>
      </c>
      <c r="C942" s="2" t="inlineStr">
        <is>
          <t>Cuba de apoio quadrada com mesa, branca. Ref.: cód. L.73.17; Linha L; Deca</t>
        </is>
      </c>
      <c r="D942" s="2" t="inlineStr">
        <is>
          <t>14/09/2027</t>
        </is>
      </c>
      <c r="E942" s="2" t="inlineStr">
        <is>
          <t>09/01/2029</t>
        </is>
      </c>
      <c r="F942" s="2" t="n">
        <v>1198.32</v>
      </c>
      <c r="G942" s="2" t="n">
        <v>0</v>
      </c>
      <c r="H942" s="2" t="n">
        <v>1198.32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0</v>
      </c>
      <c r="DE942" s="2" t="n">
        <v>0</v>
      </c>
      <c r="DF942" s="2" t="n">
        <v>0</v>
      </c>
      <c r="DG942" s="2" t="n">
        <v>0</v>
      </c>
      <c r="DH942" s="2" t="n">
        <v>0</v>
      </c>
      <c r="DI942" s="2" t="n">
        <v>0</v>
      </c>
      <c r="DJ942" s="2" t="n">
        <v>0</v>
      </c>
      <c r="DK942" s="2" t="n">
        <v>0</v>
      </c>
      <c r="DL942" s="2" t="n">
        <v>0</v>
      </c>
      <c r="DM942" s="2" t="n">
        <v>4.94</v>
      </c>
      <c r="DN942" s="2" t="n">
        <v>0</v>
      </c>
      <c r="DO942" s="2" t="n">
        <v>0</v>
      </c>
      <c r="DP942" s="2" t="n">
        <v>10.68</v>
      </c>
      <c r="DQ942" s="2" t="n">
        <v>2.6</v>
      </c>
      <c r="DR942" s="2" t="n">
        <v>0</v>
      </c>
      <c r="DS942" s="2" t="n">
        <v>16.07</v>
      </c>
      <c r="DT942" s="2" t="n">
        <v>5.83</v>
      </c>
      <c r="DU942" s="2" t="n">
        <v>0</v>
      </c>
      <c r="DV942" s="2" t="n">
        <v>18.76</v>
      </c>
      <c r="DW942" s="2" t="n">
        <v>10.68</v>
      </c>
      <c r="DX942" s="2" t="n">
        <v>0</v>
      </c>
      <c r="DY942" s="2" t="n">
        <v>24.93</v>
      </c>
      <c r="DZ942" s="2" t="n">
        <v>11.99</v>
      </c>
      <c r="EA942" s="2" t="n">
        <v>0</v>
      </c>
      <c r="EB942" s="2" t="n">
        <v>35.64</v>
      </c>
      <c r="EC942" s="2" t="n">
        <v>14.4</v>
      </c>
      <c r="ED942" s="2" t="n">
        <v>0</v>
      </c>
      <c r="EE942" s="2" t="n">
        <v>49.75</v>
      </c>
      <c r="EF942" s="2" t="n">
        <v>29.58</v>
      </c>
      <c r="EG942" s="2" t="n">
        <v>0</v>
      </c>
      <c r="EH942" s="2" t="n">
        <v>64.09</v>
      </c>
      <c r="EI942" s="2" t="n">
        <v>37.26</v>
      </c>
      <c r="EJ942" s="2" t="n">
        <v>0</v>
      </c>
      <c r="EK942" s="2" t="n">
        <v>72.62</v>
      </c>
      <c r="EL942" s="2" t="n">
        <v>42.51</v>
      </c>
      <c r="EM942" s="2" t="n">
        <v>0</v>
      </c>
      <c r="EN942" s="2" t="n">
        <v>86.08</v>
      </c>
      <c r="EO942" s="2" t="n">
        <v>47.76</v>
      </c>
      <c r="EP942" s="2" t="n">
        <v>0</v>
      </c>
      <c r="EQ942" s="2" t="n">
        <v>94.61</v>
      </c>
      <c r="ER942" s="2" t="n">
        <v>57.86</v>
      </c>
      <c r="ES942" s="2" t="n">
        <v>0</v>
      </c>
      <c r="ET942" s="2" t="n">
        <v>100</v>
      </c>
      <c r="EU942" s="2" t="n">
        <v>69.7</v>
      </c>
      <c r="EV942" s="2" t="n">
        <v>0</v>
      </c>
      <c r="EW942" s="2" t="n">
        <v>100</v>
      </c>
      <c r="EX942" s="2" t="n">
        <v>75.76000000000001</v>
      </c>
      <c r="EY942" s="2" t="n">
        <v>0</v>
      </c>
      <c r="EZ942" s="2" t="n">
        <v>100</v>
      </c>
      <c r="FA942" s="2" t="n">
        <v>81.01000000000001</v>
      </c>
      <c r="FB942" s="2" t="n">
        <v>0</v>
      </c>
      <c r="FC942" s="2" t="n">
        <v>100</v>
      </c>
      <c r="FD942" s="2" t="n">
        <v>87.48</v>
      </c>
      <c r="FE942" s="2" t="n">
        <v>0</v>
      </c>
      <c r="FF942" s="2" t="n">
        <v>100</v>
      </c>
      <c r="FG942" s="2" t="n">
        <v>91.92</v>
      </c>
      <c r="FH942" s="2" t="n">
        <v>0</v>
      </c>
      <c r="FI942" s="2" t="n">
        <v>100</v>
      </c>
      <c r="FJ942" s="2" t="n">
        <v>97.58</v>
      </c>
      <c r="FK942" s="2" t="n">
        <v>0</v>
      </c>
      <c r="FL942" s="2" t="n">
        <v>100</v>
      </c>
      <c r="FM942" s="2" t="n">
        <v>100</v>
      </c>
      <c r="FN942" s="2" t="n">
        <v>0</v>
      </c>
      <c r="FO942" s="2" t="n">
        <v>100</v>
      </c>
      <c r="FP942" s="2" t="n">
        <v>100</v>
      </c>
      <c r="FQ942" s="2" t="n">
        <v>0</v>
      </c>
    </row>
    <row r="943">
      <c r="A943" s="2" t="n">
        <v>3</v>
      </c>
      <c r="B943" s="2" t="inlineStr">
        <is>
          <t>34.02.10</t>
        </is>
      </c>
      <c r="C943" s="2" t="inlineStr">
        <is>
          <t>Cuba de apoio, modelo Ametista, acabamento branco. Ref.: Sabbia</t>
        </is>
      </c>
      <c r="D943" s="2" t="inlineStr">
        <is>
          <t>14/09/2027</t>
        </is>
      </c>
      <c r="E943" s="2" t="inlineStr">
        <is>
          <t>09/01/2029</t>
        </is>
      </c>
      <c r="F943" s="2" t="n">
        <v>2558.23</v>
      </c>
      <c r="G943" s="2" t="n">
        <v>0</v>
      </c>
      <c r="H943" s="2" t="n">
        <v>2558.23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0</v>
      </c>
      <c r="DE943" s="2" t="n">
        <v>0</v>
      </c>
      <c r="DF943" s="2" t="n">
        <v>0</v>
      </c>
      <c r="DG943" s="2" t="n">
        <v>0</v>
      </c>
      <c r="DH943" s="2" t="n">
        <v>0</v>
      </c>
      <c r="DI943" s="2" t="n">
        <v>0</v>
      </c>
      <c r="DJ943" s="2" t="n">
        <v>0</v>
      </c>
      <c r="DK943" s="2" t="n">
        <v>0</v>
      </c>
      <c r="DL943" s="2" t="n">
        <v>0</v>
      </c>
      <c r="DM943" s="2" t="n">
        <v>4.94</v>
      </c>
      <c r="DN943" s="2" t="n">
        <v>0</v>
      </c>
      <c r="DO943" s="2" t="n">
        <v>0</v>
      </c>
      <c r="DP943" s="2" t="n">
        <v>10.68</v>
      </c>
      <c r="DQ943" s="2" t="n">
        <v>2.6</v>
      </c>
      <c r="DR943" s="2" t="n">
        <v>0</v>
      </c>
      <c r="DS943" s="2" t="n">
        <v>16.07</v>
      </c>
      <c r="DT943" s="2" t="n">
        <v>5.83</v>
      </c>
      <c r="DU943" s="2" t="n">
        <v>0</v>
      </c>
      <c r="DV943" s="2" t="n">
        <v>18.76</v>
      </c>
      <c r="DW943" s="2" t="n">
        <v>10.68</v>
      </c>
      <c r="DX943" s="2" t="n">
        <v>0</v>
      </c>
      <c r="DY943" s="2" t="n">
        <v>24.93</v>
      </c>
      <c r="DZ943" s="2" t="n">
        <v>11.99</v>
      </c>
      <c r="EA943" s="2" t="n">
        <v>0</v>
      </c>
      <c r="EB943" s="2" t="n">
        <v>35.64</v>
      </c>
      <c r="EC943" s="2" t="n">
        <v>14.4</v>
      </c>
      <c r="ED943" s="2" t="n">
        <v>0</v>
      </c>
      <c r="EE943" s="2" t="n">
        <v>49.75</v>
      </c>
      <c r="EF943" s="2" t="n">
        <v>29.58</v>
      </c>
      <c r="EG943" s="2" t="n">
        <v>0</v>
      </c>
      <c r="EH943" s="2" t="n">
        <v>64.09</v>
      </c>
      <c r="EI943" s="2" t="n">
        <v>37.26</v>
      </c>
      <c r="EJ943" s="2" t="n">
        <v>0</v>
      </c>
      <c r="EK943" s="2" t="n">
        <v>72.62</v>
      </c>
      <c r="EL943" s="2" t="n">
        <v>42.51</v>
      </c>
      <c r="EM943" s="2" t="n">
        <v>0</v>
      </c>
      <c r="EN943" s="2" t="n">
        <v>86.08</v>
      </c>
      <c r="EO943" s="2" t="n">
        <v>47.76</v>
      </c>
      <c r="EP943" s="2" t="n">
        <v>0</v>
      </c>
      <c r="EQ943" s="2" t="n">
        <v>94.61</v>
      </c>
      <c r="ER943" s="2" t="n">
        <v>57.86</v>
      </c>
      <c r="ES943" s="2" t="n">
        <v>0</v>
      </c>
      <c r="ET943" s="2" t="n">
        <v>100</v>
      </c>
      <c r="EU943" s="2" t="n">
        <v>69.7</v>
      </c>
      <c r="EV943" s="2" t="n">
        <v>0</v>
      </c>
      <c r="EW943" s="2" t="n">
        <v>100</v>
      </c>
      <c r="EX943" s="2" t="n">
        <v>75.76000000000001</v>
      </c>
      <c r="EY943" s="2" t="n">
        <v>0</v>
      </c>
      <c r="EZ943" s="2" t="n">
        <v>100</v>
      </c>
      <c r="FA943" s="2" t="n">
        <v>81.01000000000001</v>
      </c>
      <c r="FB943" s="2" t="n">
        <v>0</v>
      </c>
      <c r="FC943" s="2" t="n">
        <v>100</v>
      </c>
      <c r="FD943" s="2" t="n">
        <v>87.48</v>
      </c>
      <c r="FE943" s="2" t="n">
        <v>0</v>
      </c>
      <c r="FF943" s="2" t="n">
        <v>100</v>
      </c>
      <c r="FG943" s="2" t="n">
        <v>91.92</v>
      </c>
      <c r="FH943" s="2" t="n">
        <v>0</v>
      </c>
      <c r="FI943" s="2" t="n">
        <v>100</v>
      </c>
      <c r="FJ943" s="2" t="n">
        <v>97.58</v>
      </c>
      <c r="FK943" s="2" t="n">
        <v>0</v>
      </c>
      <c r="FL943" s="2" t="n">
        <v>100</v>
      </c>
      <c r="FM943" s="2" t="n">
        <v>100</v>
      </c>
      <c r="FN943" s="2" t="n">
        <v>0</v>
      </c>
      <c r="FO943" s="2" t="n">
        <v>100</v>
      </c>
      <c r="FP943" s="2" t="n">
        <v>100</v>
      </c>
      <c r="FQ943" s="2" t="n">
        <v>0</v>
      </c>
    </row>
    <row r="944">
      <c r="A944" s="2" t="n">
        <v>3</v>
      </c>
      <c r="B944" s="2" t="inlineStr">
        <is>
          <t>34.02.11</t>
        </is>
      </c>
      <c r="C944" s="2" t="inlineStr">
        <is>
          <t>Cuba de embutir retangular com vávula, em aço inox. Ref.: Bell Franke BCX 110-55; Franke. - Carwash</t>
        </is>
      </c>
      <c r="D944" s="2" t="inlineStr">
        <is>
          <t>14/09/2027</t>
        </is>
      </c>
      <c r="E944" s="2" t="inlineStr">
        <is>
          <t>09/01/2029</t>
        </is>
      </c>
      <c r="F944" s="2" t="n">
        <v>1699.8</v>
      </c>
      <c r="G944" s="2" t="n">
        <v>0</v>
      </c>
      <c r="H944" s="2" t="n">
        <v>1699.8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0</v>
      </c>
      <c r="DE944" s="2" t="n">
        <v>0</v>
      </c>
      <c r="DF944" s="2" t="n">
        <v>0</v>
      </c>
      <c r="DG944" s="2" t="n">
        <v>0</v>
      </c>
      <c r="DH944" s="2" t="n">
        <v>0</v>
      </c>
      <c r="DI944" s="2" t="n">
        <v>0</v>
      </c>
      <c r="DJ944" s="2" t="n">
        <v>0</v>
      </c>
      <c r="DK944" s="2" t="n">
        <v>0</v>
      </c>
      <c r="DL944" s="2" t="n">
        <v>0</v>
      </c>
      <c r="DM944" s="2" t="n">
        <v>4.94</v>
      </c>
      <c r="DN944" s="2" t="n">
        <v>0</v>
      </c>
      <c r="DO944" s="2" t="n">
        <v>0</v>
      </c>
      <c r="DP944" s="2" t="n">
        <v>10.68</v>
      </c>
      <c r="DQ944" s="2" t="n">
        <v>2.6</v>
      </c>
      <c r="DR944" s="2" t="n">
        <v>0</v>
      </c>
      <c r="DS944" s="2" t="n">
        <v>16.07</v>
      </c>
      <c r="DT944" s="2" t="n">
        <v>5.83</v>
      </c>
      <c r="DU944" s="2" t="n">
        <v>0</v>
      </c>
      <c r="DV944" s="2" t="n">
        <v>18.76</v>
      </c>
      <c r="DW944" s="2" t="n">
        <v>10.68</v>
      </c>
      <c r="DX944" s="2" t="n">
        <v>0</v>
      </c>
      <c r="DY944" s="2" t="n">
        <v>24.93</v>
      </c>
      <c r="DZ944" s="2" t="n">
        <v>11.99</v>
      </c>
      <c r="EA944" s="2" t="n">
        <v>0</v>
      </c>
      <c r="EB944" s="2" t="n">
        <v>35.64</v>
      </c>
      <c r="EC944" s="2" t="n">
        <v>14.4</v>
      </c>
      <c r="ED944" s="2" t="n">
        <v>0</v>
      </c>
      <c r="EE944" s="2" t="n">
        <v>49.75</v>
      </c>
      <c r="EF944" s="2" t="n">
        <v>29.58</v>
      </c>
      <c r="EG944" s="2" t="n">
        <v>0</v>
      </c>
      <c r="EH944" s="2" t="n">
        <v>64.09</v>
      </c>
      <c r="EI944" s="2" t="n">
        <v>37.26</v>
      </c>
      <c r="EJ944" s="2" t="n">
        <v>0</v>
      </c>
      <c r="EK944" s="2" t="n">
        <v>72.62</v>
      </c>
      <c r="EL944" s="2" t="n">
        <v>42.51</v>
      </c>
      <c r="EM944" s="2" t="n">
        <v>0</v>
      </c>
      <c r="EN944" s="2" t="n">
        <v>86.08</v>
      </c>
      <c r="EO944" s="2" t="n">
        <v>47.76</v>
      </c>
      <c r="EP944" s="2" t="n">
        <v>0</v>
      </c>
      <c r="EQ944" s="2" t="n">
        <v>94.61</v>
      </c>
      <c r="ER944" s="2" t="n">
        <v>57.86</v>
      </c>
      <c r="ES944" s="2" t="n">
        <v>0</v>
      </c>
      <c r="ET944" s="2" t="n">
        <v>100</v>
      </c>
      <c r="EU944" s="2" t="n">
        <v>69.7</v>
      </c>
      <c r="EV944" s="2" t="n">
        <v>0</v>
      </c>
      <c r="EW944" s="2" t="n">
        <v>100</v>
      </c>
      <c r="EX944" s="2" t="n">
        <v>75.76000000000001</v>
      </c>
      <c r="EY944" s="2" t="n">
        <v>0</v>
      </c>
      <c r="EZ944" s="2" t="n">
        <v>100</v>
      </c>
      <c r="FA944" s="2" t="n">
        <v>81.01000000000001</v>
      </c>
      <c r="FB944" s="2" t="n">
        <v>0</v>
      </c>
      <c r="FC944" s="2" t="n">
        <v>100</v>
      </c>
      <c r="FD944" s="2" t="n">
        <v>87.48</v>
      </c>
      <c r="FE944" s="2" t="n">
        <v>0</v>
      </c>
      <c r="FF944" s="2" t="n">
        <v>100</v>
      </c>
      <c r="FG944" s="2" t="n">
        <v>91.92</v>
      </c>
      <c r="FH944" s="2" t="n">
        <v>0</v>
      </c>
      <c r="FI944" s="2" t="n">
        <v>100</v>
      </c>
      <c r="FJ944" s="2" t="n">
        <v>97.58</v>
      </c>
      <c r="FK944" s="2" t="n">
        <v>0</v>
      </c>
      <c r="FL944" s="2" t="n">
        <v>100</v>
      </c>
      <c r="FM944" s="2" t="n">
        <v>100</v>
      </c>
      <c r="FN944" s="2" t="n">
        <v>0</v>
      </c>
      <c r="FO944" s="2" t="n">
        <v>100</v>
      </c>
      <c r="FP944" s="2" t="n">
        <v>100</v>
      </c>
      <c r="FQ944" s="2" t="n">
        <v>0</v>
      </c>
    </row>
    <row r="945">
      <c r="A945" s="2" t="n">
        <v>3</v>
      </c>
      <c r="B945" s="2" t="inlineStr">
        <is>
          <t>34.02.12</t>
        </is>
      </c>
      <c r="C945" s="2" t="inlineStr">
        <is>
          <t>Cuba de semiencaixe, linha Slim, cor branco, cód.: L.61040.M.17. Ref.: Deca</t>
        </is>
      </c>
      <c r="D945" s="2" t="inlineStr">
        <is>
          <t>14/09/2027</t>
        </is>
      </c>
      <c r="E945" s="2" t="inlineStr">
        <is>
          <t>09/01/2029</t>
        </is>
      </c>
      <c r="F945" s="2" t="n">
        <v>799.08</v>
      </c>
      <c r="G945" s="2" t="n">
        <v>0</v>
      </c>
      <c r="H945" s="2" t="n">
        <v>799.08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4.94</v>
      </c>
      <c r="DN945" s="2" t="n">
        <v>0</v>
      </c>
      <c r="DO945" s="2" t="n">
        <v>0</v>
      </c>
      <c r="DP945" s="2" t="n">
        <v>10.68</v>
      </c>
      <c r="DQ945" s="2" t="n">
        <v>2.6</v>
      </c>
      <c r="DR945" s="2" t="n">
        <v>0</v>
      </c>
      <c r="DS945" s="2" t="n">
        <v>16.07</v>
      </c>
      <c r="DT945" s="2" t="n">
        <v>5.83</v>
      </c>
      <c r="DU945" s="2" t="n">
        <v>0</v>
      </c>
      <c r="DV945" s="2" t="n">
        <v>18.76</v>
      </c>
      <c r="DW945" s="2" t="n">
        <v>10.68</v>
      </c>
      <c r="DX945" s="2" t="n">
        <v>0</v>
      </c>
      <c r="DY945" s="2" t="n">
        <v>24.93</v>
      </c>
      <c r="DZ945" s="2" t="n">
        <v>11.99</v>
      </c>
      <c r="EA945" s="2" t="n">
        <v>0</v>
      </c>
      <c r="EB945" s="2" t="n">
        <v>35.64</v>
      </c>
      <c r="EC945" s="2" t="n">
        <v>14.4</v>
      </c>
      <c r="ED945" s="2" t="n">
        <v>0</v>
      </c>
      <c r="EE945" s="2" t="n">
        <v>49.75</v>
      </c>
      <c r="EF945" s="2" t="n">
        <v>29.58</v>
      </c>
      <c r="EG945" s="2" t="n">
        <v>0</v>
      </c>
      <c r="EH945" s="2" t="n">
        <v>64.09</v>
      </c>
      <c r="EI945" s="2" t="n">
        <v>37.26</v>
      </c>
      <c r="EJ945" s="2" t="n">
        <v>0</v>
      </c>
      <c r="EK945" s="2" t="n">
        <v>72.62</v>
      </c>
      <c r="EL945" s="2" t="n">
        <v>42.51</v>
      </c>
      <c r="EM945" s="2" t="n">
        <v>0</v>
      </c>
      <c r="EN945" s="2" t="n">
        <v>86.08</v>
      </c>
      <c r="EO945" s="2" t="n">
        <v>47.76</v>
      </c>
      <c r="EP945" s="2" t="n">
        <v>0</v>
      </c>
      <c r="EQ945" s="2" t="n">
        <v>94.61</v>
      </c>
      <c r="ER945" s="2" t="n">
        <v>57.86</v>
      </c>
      <c r="ES945" s="2" t="n">
        <v>0</v>
      </c>
      <c r="ET945" s="2" t="n">
        <v>100</v>
      </c>
      <c r="EU945" s="2" t="n">
        <v>69.7</v>
      </c>
      <c r="EV945" s="2" t="n">
        <v>0</v>
      </c>
      <c r="EW945" s="2" t="n">
        <v>100</v>
      </c>
      <c r="EX945" s="2" t="n">
        <v>75.76000000000001</v>
      </c>
      <c r="EY945" s="2" t="n">
        <v>0</v>
      </c>
      <c r="EZ945" s="2" t="n">
        <v>100</v>
      </c>
      <c r="FA945" s="2" t="n">
        <v>81.01000000000001</v>
      </c>
      <c r="FB945" s="2" t="n">
        <v>0</v>
      </c>
      <c r="FC945" s="2" t="n">
        <v>100</v>
      </c>
      <c r="FD945" s="2" t="n">
        <v>87.48</v>
      </c>
      <c r="FE945" s="2" t="n">
        <v>0</v>
      </c>
      <c r="FF945" s="2" t="n">
        <v>100</v>
      </c>
      <c r="FG945" s="2" t="n">
        <v>91.92</v>
      </c>
      <c r="FH945" s="2" t="n">
        <v>0</v>
      </c>
      <c r="FI945" s="2" t="n">
        <v>100</v>
      </c>
      <c r="FJ945" s="2" t="n">
        <v>97.58</v>
      </c>
      <c r="FK945" s="2" t="n">
        <v>0</v>
      </c>
      <c r="FL945" s="2" t="n">
        <v>100</v>
      </c>
      <c r="FM945" s="2" t="n">
        <v>100</v>
      </c>
      <c r="FN945" s="2" t="n">
        <v>0</v>
      </c>
      <c r="FO945" s="2" t="n">
        <v>100</v>
      </c>
      <c r="FP945" s="2" t="n">
        <v>100</v>
      </c>
      <c r="FQ945" s="2" t="n">
        <v>0</v>
      </c>
    </row>
    <row r="946">
      <c r="A946" s="2" t="n">
        <v>3</v>
      </c>
      <c r="B946" s="2" t="inlineStr">
        <is>
          <t>34.02.13</t>
        </is>
      </c>
      <c r="C946" s="2" t="inlineStr">
        <is>
          <t>Torneira de mesa bica baixa para lavatório unic cromado | deca | código 1197.c90 |   restritor de 6,0 l/mim (código: 4224.000)</t>
        </is>
      </c>
      <c r="D946" s="2" t="inlineStr">
        <is>
          <t>20/10/2027</t>
        </is>
      </c>
      <c r="E946" s="2" t="inlineStr">
        <is>
          <t>09/01/2029</t>
        </is>
      </c>
      <c r="F946" s="2" t="n">
        <v>31786.65</v>
      </c>
      <c r="G946" s="2" t="n">
        <v>0</v>
      </c>
      <c r="H946" s="2" t="n">
        <v>31786.65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4.94</v>
      </c>
      <c r="DN946" s="2" t="n">
        <v>0</v>
      </c>
      <c r="DO946" s="2" t="n">
        <v>0</v>
      </c>
      <c r="DP946" s="2" t="n">
        <v>8.08</v>
      </c>
      <c r="DQ946" s="2" t="n">
        <v>0</v>
      </c>
      <c r="DR946" s="2" t="n">
        <v>0</v>
      </c>
      <c r="DS946" s="2" t="n">
        <v>14.77</v>
      </c>
      <c r="DT946" s="2" t="n">
        <v>4.01</v>
      </c>
      <c r="DU946" s="2" t="n">
        <v>0</v>
      </c>
      <c r="DV946" s="2" t="n">
        <v>18.76</v>
      </c>
      <c r="DW946" s="2" t="n">
        <v>10.68</v>
      </c>
      <c r="DX946" s="2" t="n">
        <v>0</v>
      </c>
      <c r="DY946" s="2" t="n">
        <v>23.88</v>
      </c>
      <c r="DZ946" s="2" t="n">
        <v>10.94</v>
      </c>
      <c r="EA946" s="2" t="n">
        <v>0</v>
      </c>
      <c r="EB946" s="2" t="n">
        <v>35.64</v>
      </c>
      <c r="EC946" s="2" t="n">
        <v>14.4</v>
      </c>
      <c r="ED946" s="2" t="n">
        <v>0</v>
      </c>
      <c r="EE946" s="2" t="n">
        <v>49.75</v>
      </c>
      <c r="EF946" s="2" t="n">
        <v>29.58</v>
      </c>
      <c r="EG946" s="2" t="n">
        <v>0</v>
      </c>
      <c r="EH946" s="2" t="n">
        <v>64.09</v>
      </c>
      <c r="EI946" s="2" t="n">
        <v>37.26</v>
      </c>
      <c r="EJ946" s="2" t="n">
        <v>0</v>
      </c>
      <c r="EK946" s="2" t="n">
        <v>72.62</v>
      </c>
      <c r="EL946" s="2" t="n">
        <v>42.51</v>
      </c>
      <c r="EM946" s="2" t="n">
        <v>0</v>
      </c>
      <c r="EN946" s="2" t="n">
        <v>86.08</v>
      </c>
      <c r="EO946" s="2" t="n">
        <v>47.76</v>
      </c>
      <c r="EP946" s="2" t="n">
        <v>0</v>
      </c>
      <c r="EQ946" s="2" t="n">
        <v>94.61</v>
      </c>
      <c r="ER946" s="2" t="n">
        <v>57.86</v>
      </c>
      <c r="ES946" s="2" t="n">
        <v>0</v>
      </c>
      <c r="ET946" s="2" t="n">
        <v>100</v>
      </c>
      <c r="EU946" s="2" t="n">
        <v>69.7</v>
      </c>
      <c r="EV946" s="2" t="n">
        <v>0</v>
      </c>
      <c r="EW946" s="2" t="n">
        <v>100</v>
      </c>
      <c r="EX946" s="2" t="n">
        <v>75.76000000000001</v>
      </c>
      <c r="EY946" s="2" t="n">
        <v>0</v>
      </c>
      <c r="EZ946" s="2" t="n">
        <v>100</v>
      </c>
      <c r="FA946" s="2" t="n">
        <v>81.01000000000001</v>
      </c>
      <c r="FB946" s="2" t="n">
        <v>0</v>
      </c>
      <c r="FC946" s="2" t="n">
        <v>100</v>
      </c>
      <c r="FD946" s="2" t="n">
        <v>87.48</v>
      </c>
      <c r="FE946" s="2" t="n">
        <v>0</v>
      </c>
      <c r="FF946" s="2" t="n">
        <v>100</v>
      </c>
      <c r="FG946" s="2" t="n">
        <v>91.92</v>
      </c>
      <c r="FH946" s="2" t="n">
        <v>0</v>
      </c>
      <c r="FI946" s="2" t="n">
        <v>100</v>
      </c>
      <c r="FJ946" s="2" t="n">
        <v>97.58</v>
      </c>
      <c r="FK946" s="2" t="n">
        <v>0</v>
      </c>
      <c r="FL946" s="2" t="n">
        <v>100</v>
      </c>
      <c r="FM946" s="2" t="n">
        <v>100</v>
      </c>
      <c r="FN946" s="2" t="n">
        <v>0</v>
      </c>
      <c r="FO946" s="2" t="n">
        <v>100</v>
      </c>
      <c r="FP946" s="2" t="n">
        <v>100</v>
      </c>
      <c r="FQ946" s="2" t="n">
        <v>0</v>
      </c>
    </row>
    <row r="947">
      <c r="A947" s="2" t="n">
        <v>3</v>
      </c>
      <c r="B947" s="2" t="inlineStr">
        <is>
          <t>34.02.14</t>
        </is>
      </c>
      <c r="C947" s="2" t="inlineStr">
        <is>
          <t>Torneira de mesa bica baixa para lavatório link cromado | deca | código 1197.c.lnk |  restritor de 6,0 l/mim |</t>
        </is>
      </c>
      <c r="D947" s="2" t="inlineStr">
        <is>
          <t>20/10/2027</t>
        </is>
      </c>
      <c r="E947" s="2" t="inlineStr">
        <is>
          <t>09/01/2029</t>
        </is>
      </c>
      <c r="F947" s="2" t="n">
        <v>3261.3</v>
      </c>
      <c r="G947" s="2" t="n">
        <v>0</v>
      </c>
      <c r="H947" s="2" t="n">
        <v>3261.3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</v>
      </c>
      <c r="CA947" s="2" t="n">
        <v>0</v>
      </c>
      <c r="CB947" s="2" t="n">
        <v>0</v>
      </c>
      <c r="CC947" s="2" t="n">
        <v>0</v>
      </c>
      <c r="CD947" s="2" t="n">
        <v>0</v>
      </c>
      <c r="CE947" s="2" t="n">
        <v>0</v>
      </c>
      <c r="CF947" s="2" t="n">
        <v>0</v>
      </c>
      <c r="CG947" s="2" t="n">
        <v>0</v>
      </c>
      <c r="CH947" s="2" t="n">
        <v>0</v>
      </c>
      <c r="CI947" s="2" t="n">
        <v>0</v>
      </c>
      <c r="CJ947" s="2" t="n">
        <v>0</v>
      </c>
      <c r="CK947" s="2" t="n">
        <v>0</v>
      </c>
      <c r="CL947" s="2" t="n">
        <v>0</v>
      </c>
      <c r="CM947" s="2" t="n">
        <v>0</v>
      </c>
      <c r="CN947" s="2" t="n">
        <v>0</v>
      </c>
      <c r="CO947" s="2" t="n">
        <v>0</v>
      </c>
      <c r="CP947" s="2" t="n">
        <v>0</v>
      </c>
      <c r="CQ947" s="2" t="n">
        <v>0</v>
      </c>
      <c r="CR947" s="2" t="n">
        <v>0</v>
      </c>
      <c r="CS947" s="2" t="n">
        <v>0</v>
      </c>
      <c r="CT947" s="2" t="n">
        <v>0</v>
      </c>
      <c r="CU947" s="2" t="n">
        <v>0</v>
      </c>
      <c r="CV947" s="2" t="n">
        <v>0</v>
      </c>
      <c r="CW947" s="2" t="n">
        <v>0</v>
      </c>
      <c r="CX947" s="2" t="n">
        <v>0</v>
      </c>
      <c r="CY947" s="2" t="n">
        <v>0</v>
      </c>
      <c r="CZ947" s="2" t="n">
        <v>0</v>
      </c>
      <c r="DA947" s="2" t="n">
        <v>0</v>
      </c>
      <c r="DB947" s="2" t="n">
        <v>0</v>
      </c>
      <c r="DC947" s="2" t="n">
        <v>0</v>
      </c>
      <c r="DD947" s="2" t="n">
        <v>0</v>
      </c>
      <c r="DE947" s="2" t="n">
        <v>0</v>
      </c>
      <c r="DF947" s="2" t="n">
        <v>0</v>
      </c>
      <c r="DG947" s="2" t="n">
        <v>0</v>
      </c>
      <c r="DH947" s="2" t="n">
        <v>0</v>
      </c>
      <c r="DI947" s="2" t="n">
        <v>0</v>
      </c>
      <c r="DJ947" s="2" t="n">
        <v>0</v>
      </c>
      <c r="DK947" s="2" t="n">
        <v>0</v>
      </c>
      <c r="DL947" s="2" t="n">
        <v>0</v>
      </c>
      <c r="DM947" s="2" t="n">
        <v>4.94</v>
      </c>
      <c r="DN947" s="2" t="n">
        <v>0</v>
      </c>
      <c r="DO947" s="2" t="n">
        <v>0</v>
      </c>
      <c r="DP947" s="2" t="n">
        <v>8.08</v>
      </c>
      <c r="DQ947" s="2" t="n">
        <v>0</v>
      </c>
      <c r="DR947" s="2" t="n">
        <v>0</v>
      </c>
      <c r="DS947" s="2" t="n">
        <v>14.77</v>
      </c>
      <c r="DT947" s="2" t="n">
        <v>4.01</v>
      </c>
      <c r="DU947" s="2" t="n">
        <v>0</v>
      </c>
      <c r="DV947" s="2" t="n">
        <v>18.76</v>
      </c>
      <c r="DW947" s="2" t="n">
        <v>10.68</v>
      </c>
      <c r="DX947" s="2" t="n">
        <v>0</v>
      </c>
      <c r="DY947" s="2" t="n">
        <v>23.88</v>
      </c>
      <c r="DZ947" s="2" t="n">
        <v>10.94</v>
      </c>
      <c r="EA947" s="2" t="n">
        <v>0</v>
      </c>
      <c r="EB947" s="2" t="n">
        <v>35.64</v>
      </c>
      <c r="EC947" s="2" t="n">
        <v>14.4</v>
      </c>
      <c r="ED947" s="2" t="n">
        <v>0</v>
      </c>
      <c r="EE947" s="2" t="n">
        <v>49.75</v>
      </c>
      <c r="EF947" s="2" t="n">
        <v>29.58</v>
      </c>
      <c r="EG947" s="2" t="n">
        <v>0</v>
      </c>
      <c r="EH947" s="2" t="n">
        <v>64.09</v>
      </c>
      <c r="EI947" s="2" t="n">
        <v>37.26</v>
      </c>
      <c r="EJ947" s="2" t="n">
        <v>0</v>
      </c>
      <c r="EK947" s="2" t="n">
        <v>72.62</v>
      </c>
      <c r="EL947" s="2" t="n">
        <v>42.51</v>
      </c>
      <c r="EM947" s="2" t="n">
        <v>0</v>
      </c>
      <c r="EN947" s="2" t="n">
        <v>86.08</v>
      </c>
      <c r="EO947" s="2" t="n">
        <v>47.76</v>
      </c>
      <c r="EP947" s="2" t="n">
        <v>0</v>
      </c>
      <c r="EQ947" s="2" t="n">
        <v>94.61</v>
      </c>
      <c r="ER947" s="2" t="n">
        <v>57.86</v>
      </c>
      <c r="ES947" s="2" t="n">
        <v>0</v>
      </c>
      <c r="ET947" s="2" t="n">
        <v>100</v>
      </c>
      <c r="EU947" s="2" t="n">
        <v>69.7</v>
      </c>
      <c r="EV947" s="2" t="n">
        <v>0</v>
      </c>
      <c r="EW947" s="2" t="n">
        <v>100</v>
      </c>
      <c r="EX947" s="2" t="n">
        <v>75.76000000000001</v>
      </c>
      <c r="EY947" s="2" t="n">
        <v>0</v>
      </c>
      <c r="EZ947" s="2" t="n">
        <v>100</v>
      </c>
      <c r="FA947" s="2" t="n">
        <v>81.01000000000001</v>
      </c>
      <c r="FB947" s="2" t="n">
        <v>0</v>
      </c>
      <c r="FC947" s="2" t="n">
        <v>100</v>
      </c>
      <c r="FD947" s="2" t="n">
        <v>87.48</v>
      </c>
      <c r="FE947" s="2" t="n">
        <v>0</v>
      </c>
      <c r="FF947" s="2" t="n">
        <v>100</v>
      </c>
      <c r="FG947" s="2" t="n">
        <v>91.92</v>
      </c>
      <c r="FH947" s="2" t="n">
        <v>0</v>
      </c>
      <c r="FI947" s="2" t="n">
        <v>100</v>
      </c>
      <c r="FJ947" s="2" t="n">
        <v>97.58</v>
      </c>
      <c r="FK947" s="2" t="n">
        <v>0</v>
      </c>
      <c r="FL947" s="2" t="n">
        <v>100</v>
      </c>
      <c r="FM947" s="2" t="n">
        <v>100</v>
      </c>
      <c r="FN947" s="2" t="n">
        <v>0</v>
      </c>
      <c r="FO947" s="2" t="n">
        <v>100</v>
      </c>
      <c r="FP947" s="2" t="n">
        <v>100</v>
      </c>
      <c r="FQ947" s="2" t="n">
        <v>0</v>
      </c>
    </row>
    <row r="948">
      <c r="A948" s="2" t="n">
        <v>3</v>
      </c>
      <c r="B948" s="2" t="inlineStr">
        <is>
          <t>34.02.15</t>
        </is>
      </c>
      <c r="C948" s="2" t="inlineStr">
        <is>
          <t>Torneira de mesa, linha Level, bica baixa, acabamento cromado, cód.:1197.C26. Ref.: Deca</t>
        </is>
      </c>
      <c r="D948" s="2" t="inlineStr">
        <is>
          <t>20/10/2027</t>
        </is>
      </c>
      <c r="E948" s="2" t="inlineStr">
        <is>
          <t>09/01/2029</t>
        </is>
      </c>
      <c r="F948" s="2" t="n">
        <v>439.67</v>
      </c>
      <c r="G948" s="2" t="n">
        <v>0</v>
      </c>
      <c r="H948" s="2" t="n">
        <v>439.67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</v>
      </c>
      <c r="CA948" s="2" t="n">
        <v>0</v>
      </c>
      <c r="CB948" s="2" t="n">
        <v>0</v>
      </c>
      <c r="CC948" s="2" t="n">
        <v>0</v>
      </c>
      <c r="CD948" s="2" t="n">
        <v>0</v>
      </c>
      <c r="CE948" s="2" t="n">
        <v>0</v>
      </c>
      <c r="CF948" s="2" t="n">
        <v>0</v>
      </c>
      <c r="CG948" s="2" t="n">
        <v>0</v>
      </c>
      <c r="CH948" s="2" t="n">
        <v>0</v>
      </c>
      <c r="CI948" s="2" t="n">
        <v>0</v>
      </c>
      <c r="CJ948" s="2" t="n">
        <v>0</v>
      </c>
      <c r="CK948" s="2" t="n">
        <v>0</v>
      </c>
      <c r="CL948" s="2" t="n">
        <v>0</v>
      </c>
      <c r="CM948" s="2" t="n">
        <v>0</v>
      </c>
      <c r="CN948" s="2" t="n">
        <v>0</v>
      </c>
      <c r="CO948" s="2" t="n">
        <v>0</v>
      </c>
      <c r="CP948" s="2" t="n">
        <v>0</v>
      </c>
      <c r="CQ948" s="2" t="n">
        <v>0</v>
      </c>
      <c r="CR948" s="2" t="n">
        <v>0</v>
      </c>
      <c r="CS948" s="2" t="n">
        <v>0</v>
      </c>
      <c r="CT948" s="2" t="n">
        <v>0</v>
      </c>
      <c r="CU948" s="2" t="n">
        <v>0</v>
      </c>
      <c r="CV948" s="2" t="n">
        <v>0</v>
      </c>
      <c r="CW948" s="2" t="n">
        <v>0</v>
      </c>
      <c r="CX948" s="2" t="n">
        <v>0</v>
      </c>
      <c r="CY948" s="2" t="n">
        <v>0</v>
      </c>
      <c r="CZ948" s="2" t="n">
        <v>0</v>
      </c>
      <c r="DA948" s="2" t="n">
        <v>0</v>
      </c>
      <c r="DB948" s="2" t="n">
        <v>0</v>
      </c>
      <c r="DC948" s="2" t="n">
        <v>0</v>
      </c>
      <c r="DD948" s="2" t="n">
        <v>0</v>
      </c>
      <c r="DE948" s="2" t="n">
        <v>0</v>
      </c>
      <c r="DF948" s="2" t="n">
        <v>0</v>
      </c>
      <c r="DG948" s="2" t="n">
        <v>0</v>
      </c>
      <c r="DH948" s="2" t="n">
        <v>0</v>
      </c>
      <c r="DI948" s="2" t="n">
        <v>0</v>
      </c>
      <c r="DJ948" s="2" t="n">
        <v>0</v>
      </c>
      <c r="DK948" s="2" t="n">
        <v>0</v>
      </c>
      <c r="DL948" s="2" t="n">
        <v>0</v>
      </c>
      <c r="DM948" s="2" t="n">
        <v>4.94</v>
      </c>
      <c r="DN948" s="2" t="n">
        <v>0</v>
      </c>
      <c r="DO948" s="2" t="n">
        <v>0</v>
      </c>
      <c r="DP948" s="2" t="n">
        <v>8.08</v>
      </c>
      <c r="DQ948" s="2" t="n">
        <v>0</v>
      </c>
      <c r="DR948" s="2" t="n">
        <v>0</v>
      </c>
      <c r="DS948" s="2" t="n">
        <v>14.77</v>
      </c>
      <c r="DT948" s="2" t="n">
        <v>4.01</v>
      </c>
      <c r="DU948" s="2" t="n">
        <v>0</v>
      </c>
      <c r="DV948" s="2" t="n">
        <v>18.76</v>
      </c>
      <c r="DW948" s="2" t="n">
        <v>10.68</v>
      </c>
      <c r="DX948" s="2" t="n">
        <v>0</v>
      </c>
      <c r="DY948" s="2" t="n">
        <v>23.88</v>
      </c>
      <c r="DZ948" s="2" t="n">
        <v>10.94</v>
      </c>
      <c r="EA948" s="2" t="n">
        <v>0</v>
      </c>
      <c r="EB948" s="2" t="n">
        <v>35.64</v>
      </c>
      <c r="EC948" s="2" t="n">
        <v>14.4</v>
      </c>
      <c r="ED948" s="2" t="n">
        <v>0</v>
      </c>
      <c r="EE948" s="2" t="n">
        <v>49.75</v>
      </c>
      <c r="EF948" s="2" t="n">
        <v>29.58</v>
      </c>
      <c r="EG948" s="2" t="n">
        <v>0</v>
      </c>
      <c r="EH948" s="2" t="n">
        <v>64.09</v>
      </c>
      <c r="EI948" s="2" t="n">
        <v>37.26</v>
      </c>
      <c r="EJ948" s="2" t="n">
        <v>0</v>
      </c>
      <c r="EK948" s="2" t="n">
        <v>72.62</v>
      </c>
      <c r="EL948" s="2" t="n">
        <v>42.51</v>
      </c>
      <c r="EM948" s="2" t="n">
        <v>0</v>
      </c>
      <c r="EN948" s="2" t="n">
        <v>86.08</v>
      </c>
      <c r="EO948" s="2" t="n">
        <v>47.76</v>
      </c>
      <c r="EP948" s="2" t="n">
        <v>0</v>
      </c>
      <c r="EQ948" s="2" t="n">
        <v>94.61</v>
      </c>
      <c r="ER948" s="2" t="n">
        <v>57.86</v>
      </c>
      <c r="ES948" s="2" t="n">
        <v>0</v>
      </c>
      <c r="ET948" s="2" t="n">
        <v>100</v>
      </c>
      <c r="EU948" s="2" t="n">
        <v>69.7</v>
      </c>
      <c r="EV948" s="2" t="n">
        <v>0</v>
      </c>
      <c r="EW948" s="2" t="n">
        <v>100</v>
      </c>
      <c r="EX948" s="2" t="n">
        <v>75.76000000000001</v>
      </c>
      <c r="EY948" s="2" t="n">
        <v>0</v>
      </c>
      <c r="EZ948" s="2" t="n">
        <v>100</v>
      </c>
      <c r="FA948" s="2" t="n">
        <v>81.01000000000001</v>
      </c>
      <c r="FB948" s="2" t="n">
        <v>0</v>
      </c>
      <c r="FC948" s="2" t="n">
        <v>100</v>
      </c>
      <c r="FD948" s="2" t="n">
        <v>87.48</v>
      </c>
      <c r="FE948" s="2" t="n">
        <v>0</v>
      </c>
      <c r="FF948" s="2" t="n">
        <v>100</v>
      </c>
      <c r="FG948" s="2" t="n">
        <v>91.92</v>
      </c>
      <c r="FH948" s="2" t="n">
        <v>0</v>
      </c>
      <c r="FI948" s="2" t="n">
        <v>100</v>
      </c>
      <c r="FJ948" s="2" t="n">
        <v>97.58</v>
      </c>
      <c r="FK948" s="2" t="n">
        <v>0</v>
      </c>
      <c r="FL948" s="2" t="n">
        <v>100</v>
      </c>
      <c r="FM948" s="2" t="n">
        <v>100</v>
      </c>
      <c r="FN948" s="2" t="n">
        <v>0</v>
      </c>
      <c r="FO948" s="2" t="n">
        <v>100</v>
      </c>
      <c r="FP948" s="2" t="n">
        <v>100</v>
      </c>
      <c r="FQ948" s="2" t="n">
        <v>0</v>
      </c>
    </row>
    <row r="949">
      <c r="A949" s="2" t="n">
        <v>3</v>
      </c>
      <c r="B949" s="2" t="inlineStr">
        <is>
          <t>34.02.16</t>
        </is>
      </c>
      <c r="C949" s="2" t="inlineStr">
        <is>
          <t>Torneira de mesa cromada com fechamento automático para lavatório. Ref.: cód. 1173.C.CONF.H2O; Linha Decamatic; Deca.</t>
        </is>
      </c>
      <c r="D949" s="2" t="inlineStr">
        <is>
          <t>20/10/2027</t>
        </is>
      </c>
      <c r="E949" s="2" t="inlineStr">
        <is>
          <t>09/01/2029</t>
        </is>
      </c>
      <c r="F949" s="2" t="n">
        <v>4172.46</v>
      </c>
      <c r="G949" s="2" t="n">
        <v>0</v>
      </c>
      <c r="H949" s="2" t="n">
        <v>4172.46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</v>
      </c>
      <c r="CA949" s="2" t="n">
        <v>0</v>
      </c>
      <c r="CB949" s="2" t="n">
        <v>0</v>
      </c>
      <c r="CC949" s="2" t="n">
        <v>0</v>
      </c>
      <c r="CD949" s="2" t="n">
        <v>0</v>
      </c>
      <c r="CE949" s="2" t="n">
        <v>0</v>
      </c>
      <c r="CF949" s="2" t="n">
        <v>0</v>
      </c>
      <c r="CG949" s="2" t="n">
        <v>0</v>
      </c>
      <c r="CH949" s="2" t="n">
        <v>0</v>
      </c>
      <c r="CI949" s="2" t="n">
        <v>0</v>
      </c>
      <c r="CJ949" s="2" t="n">
        <v>0</v>
      </c>
      <c r="CK949" s="2" t="n">
        <v>0</v>
      </c>
      <c r="CL949" s="2" t="n">
        <v>0</v>
      </c>
      <c r="CM949" s="2" t="n">
        <v>0</v>
      </c>
      <c r="CN949" s="2" t="n">
        <v>0</v>
      </c>
      <c r="CO949" s="2" t="n">
        <v>0</v>
      </c>
      <c r="CP949" s="2" t="n">
        <v>0</v>
      </c>
      <c r="CQ949" s="2" t="n">
        <v>0</v>
      </c>
      <c r="CR949" s="2" t="n">
        <v>0</v>
      </c>
      <c r="CS949" s="2" t="n">
        <v>0</v>
      </c>
      <c r="CT949" s="2" t="n">
        <v>0</v>
      </c>
      <c r="CU949" s="2" t="n">
        <v>0</v>
      </c>
      <c r="CV949" s="2" t="n">
        <v>0</v>
      </c>
      <c r="CW949" s="2" t="n">
        <v>0</v>
      </c>
      <c r="CX949" s="2" t="n">
        <v>0</v>
      </c>
      <c r="CY949" s="2" t="n">
        <v>0</v>
      </c>
      <c r="CZ949" s="2" t="n">
        <v>0</v>
      </c>
      <c r="DA949" s="2" t="n">
        <v>0</v>
      </c>
      <c r="DB949" s="2" t="n">
        <v>0</v>
      </c>
      <c r="DC949" s="2" t="n">
        <v>0</v>
      </c>
      <c r="DD949" s="2" t="n">
        <v>0</v>
      </c>
      <c r="DE949" s="2" t="n">
        <v>0</v>
      </c>
      <c r="DF949" s="2" t="n">
        <v>0</v>
      </c>
      <c r="DG949" s="2" t="n">
        <v>0</v>
      </c>
      <c r="DH949" s="2" t="n">
        <v>0</v>
      </c>
      <c r="DI949" s="2" t="n">
        <v>0</v>
      </c>
      <c r="DJ949" s="2" t="n">
        <v>0</v>
      </c>
      <c r="DK949" s="2" t="n">
        <v>0</v>
      </c>
      <c r="DL949" s="2" t="n">
        <v>0</v>
      </c>
      <c r="DM949" s="2" t="n">
        <v>4.94</v>
      </c>
      <c r="DN949" s="2" t="n">
        <v>0</v>
      </c>
      <c r="DO949" s="2" t="n">
        <v>0</v>
      </c>
      <c r="DP949" s="2" t="n">
        <v>8.08</v>
      </c>
      <c r="DQ949" s="2" t="n">
        <v>0</v>
      </c>
      <c r="DR949" s="2" t="n">
        <v>0</v>
      </c>
      <c r="DS949" s="2" t="n">
        <v>14.77</v>
      </c>
      <c r="DT949" s="2" t="n">
        <v>4.01</v>
      </c>
      <c r="DU949" s="2" t="n">
        <v>0</v>
      </c>
      <c r="DV949" s="2" t="n">
        <v>18.76</v>
      </c>
      <c r="DW949" s="2" t="n">
        <v>10.68</v>
      </c>
      <c r="DX949" s="2" t="n">
        <v>0</v>
      </c>
      <c r="DY949" s="2" t="n">
        <v>23.88</v>
      </c>
      <c r="DZ949" s="2" t="n">
        <v>10.94</v>
      </c>
      <c r="EA949" s="2" t="n">
        <v>0</v>
      </c>
      <c r="EB949" s="2" t="n">
        <v>35.64</v>
      </c>
      <c r="EC949" s="2" t="n">
        <v>14.4</v>
      </c>
      <c r="ED949" s="2" t="n">
        <v>0</v>
      </c>
      <c r="EE949" s="2" t="n">
        <v>49.75</v>
      </c>
      <c r="EF949" s="2" t="n">
        <v>29.58</v>
      </c>
      <c r="EG949" s="2" t="n">
        <v>0</v>
      </c>
      <c r="EH949" s="2" t="n">
        <v>64.09</v>
      </c>
      <c r="EI949" s="2" t="n">
        <v>37.26</v>
      </c>
      <c r="EJ949" s="2" t="n">
        <v>0</v>
      </c>
      <c r="EK949" s="2" t="n">
        <v>72.62</v>
      </c>
      <c r="EL949" s="2" t="n">
        <v>42.51</v>
      </c>
      <c r="EM949" s="2" t="n">
        <v>0</v>
      </c>
      <c r="EN949" s="2" t="n">
        <v>86.08</v>
      </c>
      <c r="EO949" s="2" t="n">
        <v>47.76</v>
      </c>
      <c r="EP949" s="2" t="n">
        <v>0</v>
      </c>
      <c r="EQ949" s="2" t="n">
        <v>94.61</v>
      </c>
      <c r="ER949" s="2" t="n">
        <v>57.86</v>
      </c>
      <c r="ES949" s="2" t="n">
        <v>0</v>
      </c>
      <c r="ET949" s="2" t="n">
        <v>100</v>
      </c>
      <c r="EU949" s="2" t="n">
        <v>69.7</v>
      </c>
      <c r="EV949" s="2" t="n">
        <v>0</v>
      </c>
      <c r="EW949" s="2" t="n">
        <v>100</v>
      </c>
      <c r="EX949" s="2" t="n">
        <v>75.76000000000001</v>
      </c>
      <c r="EY949" s="2" t="n">
        <v>0</v>
      </c>
      <c r="EZ949" s="2" t="n">
        <v>100</v>
      </c>
      <c r="FA949" s="2" t="n">
        <v>81.01000000000001</v>
      </c>
      <c r="FB949" s="2" t="n">
        <v>0</v>
      </c>
      <c r="FC949" s="2" t="n">
        <v>100</v>
      </c>
      <c r="FD949" s="2" t="n">
        <v>87.48</v>
      </c>
      <c r="FE949" s="2" t="n">
        <v>0</v>
      </c>
      <c r="FF949" s="2" t="n">
        <v>100</v>
      </c>
      <c r="FG949" s="2" t="n">
        <v>91.92</v>
      </c>
      <c r="FH949" s="2" t="n">
        <v>0</v>
      </c>
      <c r="FI949" s="2" t="n">
        <v>100</v>
      </c>
      <c r="FJ949" s="2" t="n">
        <v>97.58</v>
      </c>
      <c r="FK949" s="2" t="n">
        <v>0</v>
      </c>
      <c r="FL949" s="2" t="n">
        <v>100</v>
      </c>
      <c r="FM949" s="2" t="n">
        <v>100</v>
      </c>
      <c r="FN949" s="2" t="n">
        <v>0</v>
      </c>
      <c r="FO949" s="2" t="n">
        <v>100</v>
      </c>
      <c r="FP949" s="2" t="n">
        <v>100</v>
      </c>
      <c r="FQ949" s="2" t="n">
        <v>0</v>
      </c>
    </row>
    <row r="950">
      <c r="A950" s="2" t="n">
        <v>3</v>
      </c>
      <c r="B950" s="2" t="inlineStr">
        <is>
          <t>34.02.17</t>
        </is>
      </c>
      <c r="C950" s="2" t="inlineStr">
        <is>
          <t>Torneira de mesa com sensor bivolt e bateria, linha Decalux, acabamento cromado, cód.: 1188.C.N. Ref.: Deca</t>
        </is>
      </c>
      <c r="D950" s="2" t="inlineStr">
        <is>
          <t>20/10/2027</t>
        </is>
      </c>
      <c r="E950" s="2" t="inlineStr">
        <is>
          <t>09/01/2029</t>
        </is>
      </c>
      <c r="F950" s="2" t="n">
        <v>4020</v>
      </c>
      <c r="G950" s="2" t="n">
        <v>0</v>
      </c>
      <c r="H950" s="2" t="n">
        <v>4020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</v>
      </c>
      <c r="CA950" s="2" t="n">
        <v>0</v>
      </c>
      <c r="CB950" s="2" t="n">
        <v>0</v>
      </c>
      <c r="CC950" s="2" t="n">
        <v>0</v>
      </c>
      <c r="CD950" s="2" t="n">
        <v>0</v>
      </c>
      <c r="CE950" s="2" t="n">
        <v>0</v>
      </c>
      <c r="CF950" s="2" t="n">
        <v>0</v>
      </c>
      <c r="CG950" s="2" t="n">
        <v>0</v>
      </c>
      <c r="CH950" s="2" t="n">
        <v>0</v>
      </c>
      <c r="CI950" s="2" t="n">
        <v>0</v>
      </c>
      <c r="CJ950" s="2" t="n">
        <v>0</v>
      </c>
      <c r="CK950" s="2" t="n">
        <v>0</v>
      </c>
      <c r="CL950" s="2" t="n">
        <v>0</v>
      </c>
      <c r="CM950" s="2" t="n">
        <v>0</v>
      </c>
      <c r="CN950" s="2" t="n">
        <v>0</v>
      </c>
      <c r="CO950" s="2" t="n">
        <v>0</v>
      </c>
      <c r="CP950" s="2" t="n">
        <v>0</v>
      </c>
      <c r="CQ950" s="2" t="n">
        <v>0</v>
      </c>
      <c r="CR950" s="2" t="n">
        <v>0</v>
      </c>
      <c r="CS950" s="2" t="n">
        <v>0</v>
      </c>
      <c r="CT950" s="2" t="n">
        <v>0</v>
      </c>
      <c r="CU950" s="2" t="n">
        <v>0</v>
      </c>
      <c r="CV950" s="2" t="n">
        <v>0</v>
      </c>
      <c r="CW950" s="2" t="n">
        <v>0</v>
      </c>
      <c r="CX950" s="2" t="n">
        <v>0</v>
      </c>
      <c r="CY950" s="2" t="n">
        <v>0</v>
      </c>
      <c r="CZ950" s="2" t="n">
        <v>0</v>
      </c>
      <c r="DA950" s="2" t="n">
        <v>0</v>
      </c>
      <c r="DB950" s="2" t="n">
        <v>0</v>
      </c>
      <c r="DC950" s="2" t="n">
        <v>0</v>
      </c>
      <c r="DD950" s="2" t="n">
        <v>0</v>
      </c>
      <c r="DE950" s="2" t="n">
        <v>0</v>
      </c>
      <c r="DF950" s="2" t="n">
        <v>0</v>
      </c>
      <c r="DG950" s="2" t="n">
        <v>0</v>
      </c>
      <c r="DH950" s="2" t="n">
        <v>0</v>
      </c>
      <c r="DI950" s="2" t="n">
        <v>0</v>
      </c>
      <c r="DJ950" s="2" t="n">
        <v>0</v>
      </c>
      <c r="DK950" s="2" t="n">
        <v>0</v>
      </c>
      <c r="DL950" s="2" t="n">
        <v>0</v>
      </c>
      <c r="DM950" s="2" t="n">
        <v>4.94</v>
      </c>
      <c r="DN950" s="2" t="n">
        <v>0</v>
      </c>
      <c r="DO950" s="2" t="n">
        <v>0</v>
      </c>
      <c r="DP950" s="2" t="n">
        <v>8.08</v>
      </c>
      <c r="DQ950" s="2" t="n">
        <v>0</v>
      </c>
      <c r="DR950" s="2" t="n">
        <v>0</v>
      </c>
      <c r="DS950" s="2" t="n">
        <v>14.77</v>
      </c>
      <c r="DT950" s="2" t="n">
        <v>4.01</v>
      </c>
      <c r="DU950" s="2" t="n">
        <v>0</v>
      </c>
      <c r="DV950" s="2" t="n">
        <v>18.76</v>
      </c>
      <c r="DW950" s="2" t="n">
        <v>10.68</v>
      </c>
      <c r="DX950" s="2" t="n">
        <v>0</v>
      </c>
      <c r="DY950" s="2" t="n">
        <v>23.88</v>
      </c>
      <c r="DZ950" s="2" t="n">
        <v>10.94</v>
      </c>
      <c r="EA950" s="2" t="n">
        <v>0</v>
      </c>
      <c r="EB950" s="2" t="n">
        <v>35.64</v>
      </c>
      <c r="EC950" s="2" t="n">
        <v>14.4</v>
      </c>
      <c r="ED950" s="2" t="n">
        <v>0</v>
      </c>
      <c r="EE950" s="2" t="n">
        <v>49.75</v>
      </c>
      <c r="EF950" s="2" t="n">
        <v>29.58</v>
      </c>
      <c r="EG950" s="2" t="n">
        <v>0</v>
      </c>
      <c r="EH950" s="2" t="n">
        <v>64.09</v>
      </c>
      <c r="EI950" s="2" t="n">
        <v>37.26</v>
      </c>
      <c r="EJ950" s="2" t="n">
        <v>0</v>
      </c>
      <c r="EK950" s="2" t="n">
        <v>72.62</v>
      </c>
      <c r="EL950" s="2" t="n">
        <v>42.51</v>
      </c>
      <c r="EM950" s="2" t="n">
        <v>0</v>
      </c>
      <c r="EN950" s="2" t="n">
        <v>86.08</v>
      </c>
      <c r="EO950" s="2" t="n">
        <v>47.76</v>
      </c>
      <c r="EP950" s="2" t="n">
        <v>0</v>
      </c>
      <c r="EQ950" s="2" t="n">
        <v>94.61</v>
      </c>
      <c r="ER950" s="2" t="n">
        <v>57.86</v>
      </c>
      <c r="ES950" s="2" t="n">
        <v>0</v>
      </c>
      <c r="ET950" s="2" t="n">
        <v>100</v>
      </c>
      <c r="EU950" s="2" t="n">
        <v>69.7</v>
      </c>
      <c r="EV950" s="2" t="n">
        <v>0</v>
      </c>
      <c r="EW950" s="2" t="n">
        <v>100</v>
      </c>
      <c r="EX950" s="2" t="n">
        <v>75.76000000000001</v>
      </c>
      <c r="EY950" s="2" t="n">
        <v>0</v>
      </c>
      <c r="EZ950" s="2" t="n">
        <v>100</v>
      </c>
      <c r="FA950" s="2" t="n">
        <v>81.01000000000001</v>
      </c>
      <c r="FB950" s="2" t="n">
        <v>0</v>
      </c>
      <c r="FC950" s="2" t="n">
        <v>100</v>
      </c>
      <c r="FD950" s="2" t="n">
        <v>87.48</v>
      </c>
      <c r="FE950" s="2" t="n">
        <v>0</v>
      </c>
      <c r="FF950" s="2" t="n">
        <v>100</v>
      </c>
      <c r="FG950" s="2" t="n">
        <v>91.92</v>
      </c>
      <c r="FH950" s="2" t="n">
        <v>0</v>
      </c>
      <c r="FI950" s="2" t="n">
        <v>100</v>
      </c>
      <c r="FJ950" s="2" t="n">
        <v>97.58</v>
      </c>
      <c r="FK950" s="2" t="n">
        <v>0</v>
      </c>
      <c r="FL950" s="2" t="n">
        <v>100</v>
      </c>
      <c r="FM950" s="2" t="n">
        <v>100</v>
      </c>
      <c r="FN950" s="2" t="n">
        <v>0</v>
      </c>
      <c r="FO950" s="2" t="n">
        <v>100</v>
      </c>
      <c r="FP950" s="2" t="n">
        <v>100</v>
      </c>
      <c r="FQ950" s="2" t="n">
        <v>0</v>
      </c>
    </row>
    <row r="951">
      <c r="A951" s="2" t="n">
        <v>3</v>
      </c>
      <c r="B951" s="2" t="inlineStr">
        <is>
          <t>34.02.18</t>
        </is>
      </c>
      <c r="C951" s="2" t="inlineStr">
        <is>
          <t>Misturador monocomando de mesa bica alta para lavatório level cromado | deca | código 2885.c26 restritor de 6,0 l/mim (código: 4224.000) |Suite master</t>
        </is>
      </c>
      <c r="D951" s="2" t="inlineStr">
        <is>
          <t>20/10/2027</t>
        </is>
      </c>
      <c r="E951" s="2" t="inlineStr">
        <is>
          <t>09/01/2029</t>
        </is>
      </c>
      <c r="F951" s="2" t="n">
        <v>33713.82</v>
      </c>
      <c r="G951" s="2" t="n">
        <v>0</v>
      </c>
      <c r="H951" s="2" t="n">
        <v>33713.82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</v>
      </c>
      <c r="CA951" s="2" t="n">
        <v>0</v>
      </c>
      <c r="CB951" s="2" t="n">
        <v>0</v>
      </c>
      <c r="CC951" s="2" t="n">
        <v>0</v>
      </c>
      <c r="CD951" s="2" t="n">
        <v>0</v>
      </c>
      <c r="CE951" s="2" t="n">
        <v>0</v>
      </c>
      <c r="CF951" s="2" t="n">
        <v>0</v>
      </c>
      <c r="CG951" s="2" t="n">
        <v>0</v>
      </c>
      <c r="CH951" s="2" t="n">
        <v>0</v>
      </c>
      <c r="CI951" s="2" t="n">
        <v>0</v>
      </c>
      <c r="CJ951" s="2" t="n">
        <v>0</v>
      </c>
      <c r="CK951" s="2" t="n">
        <v>0</v>
      </c>
      <c r="CL951" s="2" t="n">
        <v>0</v>
      </c>
      <c r="CM951" s="2" t="n">
        <v>0</v>
      </c>
      <c r="CN951" s="2" t="n">
        <v>0</v>
      </c>
      <c r="CO951" s="2" t="n">
        <v>0</v>
      </c>
      <c r="CP951" s="2" t="n">
        <v>0</v>
      </c>
      <c r="CQ951" s="2" t="n">
        <v>0</v>
      </c>
      <c r="CR951" s="2" t="n">
        <v>0</v>
      </c>
      <c r="CS951" s="2" t="n">
        <v>0</v>
      </c>
      <c r="CT951" s="2" t="n">
        <v>0</v>
      </c>
      <c r="CU951" s="2" t="n">
        <v>0</v>
      </c>
      <c r="CV951" s="2" t="n">
        <v>0</v>
      </c>
      <c r="CW951" s="2" t="n">
        <v>0</v>
      </c>
      <c r="CX951" s="2" t="n">
        <v>0</v>
      </c>
      <c r="CY951" s="2" t="n">
        <v>0</v>
      </c>
      <c r="CZ951" s="2" t="n">
        <v>0</v>
      </c>
      <c r="DA951" s="2" t="n">
        <v>0</v>
      </c>
      <c r="DB951" s="2" t="n">
        <v>0</v>
      </c>
      <c r="DC951" s="2" t="n">
        <v>0</v>
      </c>
      <c r="DD951" s="2" t="n">
        <v>0</v>
      </c>
      <c r="DE951" s="2" t="n">
        <v>0</v>
      </c>
      <c r="DF951" s="2" t="n">
        <v>0</v>
      </c>
      <c r="DG951" s="2" t="n">
        <v>0</v>
      </c>
      <c r="DH951" s="2" t="n">
        <v>0</v>
      </c>
      <c r="DI951" s="2" t="n">
        <v>0</v>
      </c>
      <c r="DJ951" s="2" t="n">
        <v>0</v>
      </c>
      <c r="DK951" s="2" t="n">
        <v>0</v>
      </c>
      <c r="DL951" s="2" t="n">
        <v>0</v>
      </c>
      <c r="DM951" s="2" t="n">
        <v>4.94</v>
      </c>
      <c r="DN951" s="2" t="n">
        <v>0</v>
      </c>
      <c r="DO951" s="2" t="n">
        <v>0</v>
      </c>
      <c r="DP951" s="2" t="n">
        <v>8.08</v>
      </c>
      <c r="DQ951" s="2" t="n">
        <v>0</v>
      </c>
      <c r="DR951" s="2" t="n">
        <v>0</v>
      </c>
      <c r="DS951" s="2" t="n">
        <v>14.77</v>
      </c>
      <c r="DT951" s="2" t="n">
        <v>4.01</v>
      </c>
      <c r="DU951" s="2" t="n">
        <v>0</v>
      </c>
      <c r="DV951" s="2" t="n">
        <v>18.76</v>
      </c>
      <c r="DW951" s="2" t="n">
        <v>10.68</v>
      </c>
      <c r="DX951" s="2" t="n">
        <v>0</v>
      </c>
      <c r="DY951" s="2" t="n">
        <v>23.88</v>
      </c>
      <c r="DZ951" s="2" t="n">
        <v>10.94</v>
      </c>
      <c r="EA951" s="2" t="n">
        <v>0</v>
      </c>
      <c r="EB951" s="2" t="n">
        <v>35.64</v>
      </c>
      <c r="EC951" s="2" t="n">
        <v>14.4</v>
      </c>
      <c r="ED951" s="2" t="n">
        <v>0</v>
      </c>
      <c r="EE951" s="2" t="n">
        <v>49.75</v>
      </c>
      <c r="EF951" s="2" t="n">
        <v>29.58</v>
      </c>
      <c r="EG951" s="2" t="n">
        <v>0</v>
      </c>
      <c r="EH951" s="2" t="n">
        <v>64.09</v>
      </c>
      <c r="EI951" s="2" t="n">
        <v>37.26</v>
      </c>
      <c r="EJ951" s="2" t="n">
        <v>0</v>
      </c>
      <c r="EK951" s="2" t="n">
        <v>72.62</v>
      </c>
      <c r="EL951" s="2" t="n">
        <v>42.51</v>
      </c>
      <c r="EM951" s="2" t="n">
        <v>0</v>
      </c>
      <c r="EN951" s="2" t="n">
        <v>86.08</v>
      </c>
      <c r="EO951" s="2" t="n">
        <v>47.76</v>
      </c>
      <c r="EP951" s="2" t="n">
        <v>0</v>
      </c>
      <c r="EQ951" s="2" t="n">
        <v>94.61</v>
      </c>
      <c r="ER951" s="2" t="n">
        <v>57.86</v>
      </c>
      <c r="ES951" s="2" t="n">
        <v>0</v>
      </c>
      <c r="ET951" s="2" t="n">
        <v>100</v>
      </c>
      <c r="EU951" s="2" t="n">
        <v>69.7</v>
      </c>
      <c r="EV951" s="2" t="n">
        <v>0</v>
      </c>
      <c r="EW951" s="2" t="n">
        <v>100</v>
      </c>
      <c r="EX951" s="2" t="n">
        <v>75.76000000000001</v>
      </c>
      <c r="EY951" s="2" t="n">
        <v>0</v>
      </c>
      <c r="EZ951" s="2" t="n">
        <v>100</v>
      </c>
      <c r="FA951" s="2" t="n">
        <v>81.01000000000001</v>
      </c>
      <c r="FB951" s="2" t="n">
        <v>0</v>
      </c>
      <c r="FC951" s="2" t="n">
        <v>100</v>
      </c>
      <c r="FD951" s="2" t="n">
        <v>87.48</v>
      </c>
      <c r="FE951" s="2" t="n">
        <v>0</v>
      </c>
      <c r="FF951" s="2" t="n">
        <v>100</v>
      </c>
      <c r="FG951" s="2" t="n">
        <v>91.92</v>
      </c>
      <c r="FH951" s="2" t="n">
        <v>0</v>
      </c>
      <c r="FI951" s="2" t="n">
        <v>100</v>
      </c>
      <c r="FJ951" s="2" t="n">
        <v>97.58</v>
      </c>
      <c r="FK951" s="2" t="n">
        <v>0</v>
      </c>
      <c r="FL951" s="2" t="n">
        <v>100</v>
      </c>
      <c r="FM951" s="2" t="n">
        <v>100</v>
      </c>
      <c r="FN951" s="2" t="n">
        <v>0</v>
      </c>
      <c r="FO951" s="2" t="n">
        <v>100</v>
      </c>
      <c r="FP951" s="2" t="n">
        <v>100</v>
      </c>
      <c r="FQ951" s="2" t="n">
        <v>0</v>
      </c>
    </row>
    <row r="952">
      <c r="A952" s="2" t="n">
        <v>3</v>
      </c>
      <c r="B952" s="2" t="inlineStr">
        <is>
          <t>34.02.19</t>
        </is>
      </c>
      <c r="C952" s="2" t="inlineStr">
        <is>
          <t>misturador monocomando de mesa bica baixa para lavatório level cromado | deca | código 2875.c26 restritor de 6,0 l/mim (código: 4224.000) - Demais suites</t>
        </is>
      </c>
      <c r="D952" s="2" t="inlineStr">
        <is>
          <t>20/10/2027</t>
        </is>
      </c>
      <c r="E952" s="2" t="inlineStr">
        <is>
          <t>09/01/2029</t>
        </is>
      </c>
      <c r="F952" s="2" t="n">
        <v>24205.86</v>
      </c>
      <c r="G952" s="2" t="n">
        <v>0</v>
      </c>
      <c r="H952" s="2" t="n">
        <v>24205.86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</v>
      </c>
      <c r="CA952" s="2" t="n">
        <v>0</v>
      </c>
      <c r="CB952" s="2" t="n">
        <v>0</v>
      </c>
      <c r="CC952" s="2" t="n">
        <v>0</v>
      </c>
      <c r="CD952" s="2" t="n">
        <v>0</v>
      </c>
      <c r="CE952" s="2" t="n">
        <v>0</v>
      </c>
      <c r="CF952" s="2" t="n">
        <v>0</v>
      </c>
      <c r="CG952" s="2" t="n">
        <v>0</v>
      </c>
      <c r="CH952" s="2" t="n">
        <v>0</v>
      </c>
      <c r="CI952" s="2" t="n">
        <v>0</v>
      </c>
      <c r="CJ952" s="2" t="n">
        <v>0</v>
      </c>
      <c r="CK952" s="2" t="n">
        <v>0</v>
      </c>
      <c r="CL952" s="2" t="n">
        <v>0</v>
      </c>
      <c r="CM952" s="2" t="n">
        <v>0</v>
      </c>
      <c r="CN952" s="2" t="n">
        <v>0</v>
      </c>
      <c r="CO952" s="2" t="n">
        <v>0</v>
      </c>
      <c r="CP952" s="2" t="n">
        <v>0</v>
      </c>
      <c r="CQ952" s="2" t="n">
        <v>0</v>
      </c>
      <c r="CR952" s="2" t="n">
        <v>0</v>
      </c>
      <c r="CS952" s="2" t="n">
        <v>0</v>
      </c>
      <c r="CT952" s="2" t="n">
        <v>0</v>
      </c>
      <c r="CU952" s="2" t="n">
        <v>0</v>
      </c>
      <c r="CV952" s="2" t="n">
        <v>0</v>
      </c>
      <c r="CW952" s="2" t="n">
        <v>0</v>
      </c>
      <c r="CX952" s="2" t="n">
        <v>0</v>
      </c>
      <c r="CY952" s="2" t="n">
        <v>0</v>
      </c>
      <c r="CZ952" s="2" t="n">
        <v>0</v>
      </c>
      <c r="DA952" s="2" t="n">
        <v>0</v>
      </c>
      <c r="DB952" s="2" t="n">
        <v>0</v>
      </c>
      <c r="DC952" s="2" t="n">
        <v>0</v>
      </c>
      <c r="DD952" s="2" t="n">
        <v>0</v>
      </c>
      <c r="DE952" s="2" t="n">
        <v>0</v>
      </c>
      <c r="DF952" s="2" t="n">
        <v>0</v>
      </c>
      <c r="DG952" s="2" t="n">
        <v>0</v>
      </c>
      <c r="DH952" s="2" t="n">
        <v>0</v>
      </c>
      <c r="DI952" s="2" t="n">
        <v>0</v>
      </c>
      <c r="DJ952" s="2" t="n">
        <v>0</v>
      </c>
      <c r="DK952" s="2" t="n">
        <v>0</v>
      </c>
      <c r="DL952" s="2" t="n">
        <v>0</v>
      </c>
      <c r="DM952" s="2" t="n">
        <v>4.94</v>
      </c>
      <c r="DN952" s="2" t="n">
        <v>0</v>
      </c>
      <c r="DO952" s="2" t="n">
        <v>0</v>
      </c>
      <c r="DP952" s="2" t="n">
        <v>8.08</v>
      </c>
      <c r="DQ952" s="2" t="n">
        <v>0</v>
      </c>
      <c r="DR952" s="2" t="n">
        <v>0</v>
      </c>
      <c r="DS952" s="2" t="n">
        <v>14.77</v>
      </c>
      <c r="DT952" s="2" t="n">
        <v>4.01</v>
      </c>
      <c r="DU952" s="2" t="n">
        <v>0</v>
      </c>
      <c r="DV952" s="2" t="n">
        <v>18.76</v>
      </c>
      <c r="DW952" s="2" t="n">
        <v>10.68</v>
      </c>
      <c r="DX952" s="2" t="n">
        <v>0</v>
      </c>
      <c r="DY952" s="2" t="n">
        <v>23.88</v>
      </c>
      <c r="DZ952" s="2" t="n">
        <v>10.94</v>
      </c>
      <c r="EA952" s="2" t="n">
        <v>0</v>
      </c>
      <c r="EB952" s="2" t="n">
        <v>35.64</v>
      </c>
      <c r="EC952" s="2" t="n">
        <v>14.4</v>
      </c>
      <c r="ED952" s="2" t="n">
        <v>0</v>
      </c>
      <c r="EE952" s="2" t="n">
        <v>49.75</v>
      </c>
      <c r="EF952" s="2" t="n">
        <v>29.58</v>
      </c>
      <c r="EG952" s="2" t="n">
        <v>0</v>
      </c>
      <c r="EH952" s="2" t="n">
        <v>64.09</v>
      </c>
      <c r="EI952" s="2" t="n">
        <v>37.26</v>
      </c>
      <c r="EJ952" s="2" t="n">
        <v>0</v>
      </c>
      <c r="EK952" s="2" t="n">
        <v>72.62</v>
      </c>
      <c r="EL952" s="2" t="n">
        <v>42.51</v>
      </c>
      <c r="EM952" s="2" t="n">
        <v>0</v>
      </c>
      <c r="EN952" s="2" t="n">
        <v>86.08</v>
      </c>
      <c r="EO952" s="2" t="n">
        <v>47.76</v>
      </c>
      <c r="EP952" s="2" t="n">
        <v>0</v>
      </c>
      <c r="EQ952" s="2" t="n">
        <v>94.61</v>
      </c>
      <c r="ER952" s="2" t="n">
        <v>57.86</v>
      </c>
      <c r="ES952" s="2" t="n">
        <v>0</v>
      </c>
      <c r="ET952" s="2" t="n">
        <v>100</v>
      </c>
      <c r="EU952" s="2" t="n">
        <v>69.7</v>
      </c>
      <c r="EV952" s="2" t="n">
        <v>0</v>
      </c>
      <c r="EW952" s="2" t="n">
        <v>100</v>
      </c>
      <c r="EX952" s="2" t="n">
        <v>75.76000000000001</v>
      </c>
      <c r="EY952" s="2" t="n">
        <v>0</v>
      </c>
      <c r="EZ952" s="2" t="n">
        <v>100</v>
      </c>
      <c r="FA952" s="2" t="n">
        <v>81.01000000000001</v>
      </c>
      <c r="FB952" s="2" t="n">
        <v>0</v>
      </c>
      <c r="FC952" s="2" t="n">
        <v>100</v>
      </c>
      <c r="FD952" s="2" t="n">
        <v>87.48</v>
      </c>
      <c r="FE952" s="2" t="n">
        <v>0</v>
      </c>
      <c r="FF952" s="2" t="n">
        <v>100</v>
      </c>
      <c r="FG952" s="2" t="n">
        <v>91.92</v>
      </c>
      <c r="FH952" s="2" t="n">
        <v>0</v>
      </c>
      <c r="FI952" s="2" t="n">
        <v>100</v>
      </c>
      <c r="FJ952" s="2" t="n">
        <v>97.58</v>
      </c>
      <c r="FK952" s="2" t="n">
        <v>0</v>
      </c>
      <c r="FL952" s="2" t="n">
        <v>100</v>
      </c>
      <c r="FM952" s="2" t="n">
        <v>100</v>
      </c>
      <c r="FN952" s="2" t="n">
        <v>0</v>
      </c>
      <c r="FO952" s="2" t="n">
        <v>100</v>
      </c>
      <c r="FP952" s="2" t="n">
        <v>100</v>
      </c>
      <c r="FQ952" s="2" t="n">
        <v>0</v>
      </c>
    </row>
    <row r="953">
      <c r="A953" s="2" t="n">
        <v>3</v>
      </c>
      <c r="B953" s="2" t="inlineStr">
        <is>
          <t>34.02.20</t>
        </is>
      </c>
      <c r="C953" s="2" t="inlineStr">
        <is>
          <t>Misturador para bidê level cromado | deca | código 1895.c26 - Demais suites</t>
        </is>
      </c>
      <c r="D953" s="2" t="inlineStr">
        <is>
          <t>20/10/2027</t>
        </is>
      </c>
      <c r="E953" s="2" t="inlineStr">
        <is>
          <t>09/01/2029</t>
        </is>
      </c>
      <c r="F953" s="2" t="n">
        <v>12550.23</v>
      </c>
      <c r="G953" s="2" t="n">
        <v>0</v>
      </c>
      <c r="H953" s="2" t="n">
        <v>12550.23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</v>
      </c>
      <c r="CA953" s="2" t="n">
        <v>0</v>
      </c>
      <c r="CB953" s="2" t="n">
        <v>0</v>
      </c>
      <c r="CC953" s="2" t="n">
        <v>0</v>
      </c>
      <c r="CD953" s="2" t="n">
        <v>0</v>
      </c>
      <c r="CE953" s="2" t="n">
        <v>0</v>
      </c>
      <c r="CF953" s="2" t="n">
        <v>0</v>
      </c>
      <c r="CG953" s="2" t="n">
        <v>0</v>
      </c>
      <c r="CH953" s="2" t="n">
        <v>0</v>
      </c>
      <c r="CI953" s="2" t="n">
        <v>0</v>
      </c>
      <c r="CJ953" s="2" t="n">
        <v>0</v>
      </c>
      <c r="CK953" s="2" t="n">
        <v>0</v>
      </c>
      <c r="CL953" s="2" t="n">
        <v>0</v>
      </c>
      <c r="CM953" s="2" t="n">
        <v>0</v>
      </c>
      <c r="CN953" s="2" t="n">
        <v>0</v>
      </c>
      <c r="CO953" s="2" t="n">
        <v>0</v>
      </c>
      <c r="CP953" s="2" t="n">
        <v>0</v>
      </c>
      <c r="CQ953" s="2" t="n">
        <v>0</v>
      </c>
      <c r="CR953" s="2" t="n">
        <v>0</v>
      </c>
      <c r="CS953" s="2" t="n">
        <v>0</v>
      </c>
      <c r="CT953" s="2" t="n">
        <v>0</v>
      </c>
      <c r="CU953" s="2" t="n">
        <v>0</v>
      </c>
      <c r="CV953" s="2" t="n">
        <v>0</v>
      </c>
      <c r="CW953" s="2" t="n">
        <v>0</v>
      </c>
      <c r="CX953" s="2" t="n">
        <v>0</v>
      </c>
      <c r="CY953" s="2" t="n">
        <v>0</v>
      </c>
      <c r="CZ953" s="2" t="n">
        <v>0</v>
      </c>
      <c r="DA953" s="2" t="n">
        <v>0</v>
      </c>
      <c r="DB953" s="2" t="n">
        <v>0</v>
      </c>
      <c r="DC953" s="2" t="n">
        <v>0</v>
      </c>
      <c r="DD953" s="2" t="n">
        <v>0</v>
      </c>
      <c r="DE953" s="2" t="n">
        <v>0</v>
      </c>
      <c r="DF953" s="2" t="n">
        <v>0</v>
      </c>
      <c r="DG953" s="2" t="n">
        <v>0</v>
      </c>
      <c r="DH953" s="2" t="n">
        <v>0</v>
      </c>
      <c r="DI953" s="2" t="n">
        <v>0</v>
      </c>
      <c r="DJ953" s="2" t="n">
        <v>0</v>
      </c>
      <c r="DK953" s="2" t="n">
        <v>0</v>
      </c>
      <c r="DL953" s="2" t="n">
        <v>0</v>
      </c>
      <c r="DM953" s="2" t="n">
        <v>4.94</v>
      </c>
      <c r="DN953" s="2" t="n">
        <v>0</v>
      </c>
      <c r="DO953" s="2" t="n">
        <v>0</v>
      </c>
      <c r="DP953" s="2" t="n">
        <v>8.08</v>
      </c>
      <c r="DQ953" s="2" t="n">
        <v>0</v>
      </c>
      <c r="DR953" s="2" t="n">
        <v>0</v>
      </c>
      <c r="DS953" s="2" t="n">
        <v>14.77</v>
      </c>
      <c r="DT953" s="2" t="n">
        <v>4.01</v>
      </c>
      <c r="DU953" s="2" t="n">
        <v>0</v>
      </c>
      <c r="DV953" s="2" t="n">
        <v>18.76</v>
      </c>
      <c r="DW953" s="2" t="n">
        <v>10.68</v>
      </c>
      <c r="DX953" s="2" t="n">
        <v>0</v>
      </c>
      <c r="DY953" s="2" t="n">
        <v>23.88</v>
      </c>
      <c r="DZ953" s="2" t="n">
        <v>10.94</v>
      </c>
      <c r="EA953" s="2" t="n">
        <v>0</v>
      </c>
      <c r="EB953" s="2" t="n">
        <v>35.64</v>
      </c>
      <c r="EC953" s="2" t="n">
        <v>14.4</v>
      </c>
      <c r="ED953" s="2" t="n">
        <v>0</v>
      </c>
      <c r="EE953" s="2" t="n">
        <v>49.75</v>
      </c>
      <c r="EF953" s="2" t="n">
        <v>29.58</v>
      </c>
      <c r="EG953" s="2" t="n">
        <v>0</v>
      </c>
      <c r="EH953" s="2" t="n">
        <v>64.09</v>
      </c>
      <c r="EI953" s="2" t="n">
        <v>37.26</v>
      </c>
      <c r="EJ953" s="2" t="n">
        <v>0</v>
      </c>
      <c r="EK953" s="2" t="n">
        <v>72.62</v>
      </c>
      <c r="EL953" s="2" t="n">
        <v>42.51</v>
      </c>
      <c r="EM953" s="2" t="n">
        <v>0</v>
      </c>
      <c r="EN953" s="2" t="n">
        <v>86.08</v>
      </c>
      <c r="EO953" s="2" t="n">
        <v>47.76</v>
      </c>
      <c r="EP953" s="2" t="n">
        <v>0</v>
      </c>
      <c r="EQ953" s="2" t="n">
        <v>94.61</v>
      </c>
      <c r="ER953" s="2" t="n">
        <v>57.86</v>
      </c>
      <c r="ES953" s="2" t="n">
        <v>0</v>
      </c>
      <c r="ET953" s="2" t="n">
        <v>100</v>
      </c>
      <c r="EU953" s="2" t="n">
        <v>69.7</v>
      </c>
      <c r="EV953" s="2" t="n">
        <v>0</v>
      </c>
      <c r="EW953" s="2" t="n">
        <v>100</v>
      </c>
      <c r="EX953" s="2" t="n">
        <v>75.76000000000001</v>
      </c>
      <c r="EY953" s="2" t="n">
        <v>0</v>
      </c>
      <c r="EZ953" s="2" t="n">
        <v>100</v>
      </c>
      <c r="FA953" s="2" t="n">
        <v>81.01000000000001</v>
      </c>
      <c r="FB953" s="2" t="n">
        <v>0</v>
      </c>
      <c r="FC953" s="2" t="n">
        <v>100</v>
      </c>
      <c r="FD953" s="2" t="n">
        <v>87.48</v>
      </c>
      <c r="FE953" s="2" t="n">
        <v>0</v>
      </c>
      <c r="FF953" s="2" t="n">
        <v>100</v>
      </c>
      <c r="FG953" s="2" t="n">
        <v>91.92</v>
      </c>
      <c r="FH953" s="2" t="n">
        <v>0</v>
      </c>
      <c r="FI953" s="2" t="n">
        <v>100</v>
      </c>
      <c r="FJ953" s="2" t="n">
        <v>97.58</v>
      </c>
      <c r="FK953" s="2" t="n">
        <v>0</v>
      </c>
      <c r="FL953" s="2" t="n">
        <v>100</v>
      </c>
      <c r="FM953" s="2" t="n">
        <v>100</v>
      </c>
      <c r="FN953" s="2" t="n">
        <v>0</v>
      </c>
      <c r="FO953" s="2" t="n">
        <v>100</v>
      </c>
      <c r="FP953" s="2" t="n">
        <v>100</v>
      </c>
      <c r="FQ953" s="2" t="n">
        <v>0</v>
      </c>
    </row>
    <row r="954">
      <c r="A954" s="2" t="n">
        <v>3</v>
      </c>
      <c r="B954" s="2" t="inlineStr">
        <is>
          <t>34.02.21</t>
        </is>
      </c>
      <c r="C954" s="2" t="inlineStr">
        <is>
          <t>Monocomando de mesa para lavatório, linha Mix&amp;Match, bica alta, acabamento grafite serrado, cód.: 01739770</t>
        </is>
      </c>
      <c r="D954" s="2" t="inlineStr">
        <is>
          <t>20/10/2027</t>
        </is>
      </c>
      <c r="E954" s="2" t="inlineStr">
        <is>
          <t>09/01/2029</t>
        </is>
      </c>
      <c r="F954" s="2" t="n">
        <v>12940.08</v>
      </c>
      <c r="G954" s="2" t="n">
        <v>0</v>
      </c>
      <c r="H954" s="2" t="n">
        <v>12940.08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</v>
      </c>
      <c r="CG954" s="2" t="n">
        <v>0</v>
      </c>
      <c r="CH954" s="2" t="n">
        <v>0</v>
      </c>
      <c r="CI954" s="2" t="n">
        <v>0</v>
      </c>
      <c r="CJ954" s="2" t="n">
        <v>0</v>
      </c>
      <c r="CK954" s="2" t="n">
        <v>0</v>
      </c>
      <c r="CL954" s="2" t="n">
        <v>0</v>
      </c>
      <c r="CM954" s="2" t="n">
        <v>0</v>
      </c>
      <c r="CN954" s="2" t="n">
        <v>0</v>
      </c>
      <c r="CO954" s="2" t="n">
        <v>0</v>
      </c>
      <c r="CP954" s="2" t="n">
        <v>0</v>
      </c>
      <c r="CQ954" s="2" t="n">
        <v>0</v>
      </c>
      <c r="CR954" s="2" t="n">
        <v>0</v>
      </c>
      <c r="CS954" s="2" t="n">
        <v>0</v>
      </c>
      <c r="CT954" s="2" t="n">
        <v>0</v>
      </c>
      <c r="CU954" s="2" t="n">
        <v>0</v>
      </c>
      <c r="CV954" s="2" t="n">
        <v>0</v>
      </c>
      <c r="CW954" s="2" t="n">
        <v>0</v>
      </c>
      <c r="CX954" s="2" t="n">
        <v>0</v>
      </c>
      <c r="CY954" s="2" t="n">
        <v>0</v>
      </c>
      <c r="CZ954" s="2" t="n">
        <v>0</v>
      </c>
      <c r="DA954" s="2" t="n">
        <v>0</v>
      </c>
      <c r="DB954" s="2" t="n">
        <v>0</v>
      </c>
      <c r="DC954" s="2" t="n">
        <v>0</v>
      </c>
      <c r="DD954" s="2" t="n">
        <v>0</v>
      </c>
      <c r="DE954" s="2" t="n">
        <v>0</v>
      </c>
      <c r="DF954" s="2" t="n">
        <v>0</v>
      </c>
      <c r="DG954" s="2" t="n">
        <v>0</v>
      </c>
      <c r="DH954" s="2" t="n">
        <v>0</v>
      </c>
      <c r="DI954" s="2" t="n">
        <v>0</v>
      </c>
      <c r="DJ954" s="2" t="n">
        <v>0</v>
      </c>
      <c r="DK954" s="2" t="n">
        <v>0</v>
      </c>
      <c r="DL954" s="2" t="n">
        <v>0</v>
      </c>
      <c r="DM954" s="2" t="n">
        <v>4.94</v>
      </c>
      <c r="DN954" s="2" t="n">
        <v>0</v>
      </c>
      <c r="DO954" s="2" t="n">
        <v>0</v>
      </c>
      <c r="DP954" s="2" t="n">
        <v>8.08</v>
      </c>
      <c r="DQ954" s="2" t="n">
        <v>0</v>
      </c>
      <c r="DR954" s="2" t="n">
        <v>0</v>
      </c>
      <c r="DS954" s="2" t="n">
        <v>14.77</v>
      </c>
      <c r="DT954" s="2" t="n">
        <v>4.01</v>
      </c>
      <c r="DU954" s="2" t="n">
        <v>0</v>
      </c>
      <c r="DV954" s="2" t="n">
        <v>18.76</v>
      </c>
      <c r="DW954" s="2" t="n">
        <v>10.68</v>
      </c>
      <c r="DX954" s="2" t="n">
        <v>0</v>
      </c>
      <c r="DY954" s="2" t="n">
        <v>23.88</v>
      </c>
      <c r="DZ954" s="2" t="n">
        <v>10.94</v>
      </c>
      <c r="EA954" s="2" t="n">
        <v>0</v>
      </c>
      <c r="EB954" s="2" t="n">
        <v>35.64</v>
      </c>
      <c r="EC954" s="2" t="n">
        <v>14.4</v>
      </c>
      <c r="ED954" s="2" t="n">
        <v>0</v>
      </c>
      <c r="EE954" s="2" t="n">
        <v>49.75</v>
      </c>
      <c r="EF954" s="2" t="n">
        <v>29.58</v>
      </c>
      <c r="EG954" s="2" t="n">
        <v>0</v>
      </c>
      <c r="EH954" s="2" t="n">
        <v>64.09</v>
      </c>
      <c r="EI954" s="2" t="n">
        <v>37.26</v>
      </c>
      <c r="EJ954" s="2" t="n">
        <v>0</v>
      </c>
      <c r="EK954" s="2" t="n">
        <v>72.62</v>
      </c>
      <c r="EL954" s="2" t="n">
        <v>42.51</v>
      </c>
      <c r="EM954" s="2" t="n">
        <v>0</v>
      </c>
      <c r="EN954" s="2" t="n">
        <v>86.08</v>
      </c>
      <c r="EO954" s="2" t="n">
        <v>47.76</v>
      </c>
      <c r="EP954" s="2" t="n">
        <v>0</v>
      </c>
      <c r="EQ954" s="2" t="n">
        <v>94.61</v>
      </c>
      <c r="ER954" s="2" t="n">
        <v>57.86</v>
      </c>
      <c r="ES954" s="2" t="n">
        <v>0</v>
      </c>
      <c r="ET954" s="2" t="n">
        <v>100</v>
      </c>
      <c r="EU954" s="2" t="n">
        <v>69.7</v>
      </c>
      <c r="EV954" s="2" t="n">
        <v>0</v>
      </c>
      <c r="EW954" s="2" t="n">
        <v>100</v>
      </c>
      <c r="EX954" s="2" t="n">
        <v>75.76000000000001</v>
      </c>
      <c r="EY954" s="2" t="n">
        <v>0</v>
      </c>
      <c r="EZ954" s="2" t="n">
        <v>100</v>
      </c>
      <c r="FA954" s="2" t="n">
        <v>81.01000000000001</v>
      </c>
      <c r="FB954" s="2" t="n">
        <v>0</v>
      </c>
      <c r="FC954" s="2" t="n">
        <v>100</v>
      </c>
      <c r="FD954" s="2" t="n">
        <v>87.48</v>
      </c>
      <c r="FE954" s="2" t="n">
        <v>0</v>
      </c>
      <c r="FF954" s="2" t="n">
        <v>100</v>
      </c>
      <c r="FG954" s="2" t="n">
        <v>91.92</v>
      </c>
      <c r="FH954" s="2" t="n">
        <v>0</v>
      </c>
      <c r="FI954" s="2" t="n">
        <v>100</v>
      </c>
      <c r="FJ954" s="2" t="n">
        <v>97.58</v>
      </c>
      <c r="FK954" s="2" t="n">
        <v>0</v>
      </c>
      <c r="FL954" s="2" t="n">
        <v>100</v>
      </c>
      <c r="FM954" s="2" t="n">
        <v>100</v>
      </c>
      <c r="FN954" s="2" t="n">
        <v>0</v>
      </c>
      <c r="FO954" s="2" t="n">
        <v>100</v>
      </c>
      <c r="FP954" s="2" t="n">
        <v>100</v>
      </c>
      <c r="FQ954" s="2" t="n">
        <v>0</v>
      </c>
    </row>
    <row r="955">
      <c r="A955" s="2" t="n">
        <v>3</v>
      </c>
      <c r="B955" s="2" t="inlineStr">
        <is>
          <t>34.02.22</t>
        </is>
      </c>
      <c r="C955" s="2" t="inlineStr">
        <is>
          <t>Monocomando de mesa para lavatório, linha Mix&amp;Match, bica baixa, acabamento grafite escovado, cód.: 01739870
Obs.: Instalar Cardal para aquecimento de água</t>
        </is>
      </c>
      <c r="D955" s="2" t="inlineStr">
        <is>
          <t>20/10/2027</t>
        </is>
      </c>
      <c r="E955" s="2" t="inlineStr">
        <is>
          <t>09/01/2029</t>
        </is>
      </c>
      <c r="F955" s="2" t="n">
        <v>6112.58</v>
      </c>
      <c r="G955" s="2" t="n">
        <v>0</v>
      </c>
      <c r="H955" s="2" t="n">
        <v>6112.58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</v>
      </c>
      <c r="CG955" s="2" t="n">
        <v>0</v>
      </c>
      <c r="CH955" s="2" t="n">
        <v>0</v>
      </c>
      <c r="CI955" s="2" t="n">
        <v>0</v>
      </c>
      <c r="CJ955" s="2" t="n">
        <v>0</v>
      </c>
      <c r="CK955" s="2" t="n">
        <v>0</v>
      </c>
      <c r="CL955" s="2" t="n">
        <v>0</v>
      </c>
      <c r="CM955" s="2" t="n">
        <v>0</v>
      </c>
      <c r="CN955" s="2" t="n">
        <v>0</v>
      </c>
      <c r="CO955" s="2" t="n">
        <v>0</v>
      </c>
      <c r="CP955" s="2" t="n">
        <v>0</v>
      </c>
      <c r="CQ955" s="2" t="n">
        <v>0</v>
      </c>
      <c r="CR955" s="2" t="n">
        <v>0</v>
      </c>
      <c r="CS955" s="2" t="n">
        <v>0</v>
      </c>
      <c r="CT955" s="2" t="n">
        <v>0</v>
      </c>
      <c r="CU955" s="2" t="n">
        <v>0</v>
      </c>
      <c r="CV955" s="2" t="n">
        <v>0</v>
      </c>
      <c r="CW955" s="2" t="n">
        <v>0</v>
      </c>
      <c r="CX955" s="2" t="n">
        <v>0</v>
      </c>
      <c r="CY955" s="2" t="n">
        <v>0</v>
      </c>
      <c r="CZ955" s="2" t="n">
        <v>0</v>
      </c>
      <c r="DA955" s="2" t="n">
        <v>0</v>
      </c>
      <c r="DB955" s="2" t="n">
        <v>0</v>
      </c>
      <c r="DC955" s="2" t="n">
        <v>0</v>
      </c>
      <c r="DD955" s="2" t="n">
        <v>0</v>
      </c>
      <c r="DE955" s="2" t="n">
        <v>0</v>
      </c>
      <c r="DF955" s="2" t="n">
        <v>0</v>
      </c>
      <c r="DG955" s="2" t="n">
        <v>0</v>
      </c>
      <c r="DH955" s="2" t="n">
        <v>0</v>
      </c>
      <c r="DI955" s="2" t="n">
        <v>0</v>
      </c>
      <c r="DJ955" s="2" t="n">
        <v>0</v>
      </c>
      <c r="DK955" s="2" t="n">
        <v>0</v>
      </c>
      <c r="DL955" s="2" t="n">
        <v>0</v>
      </c>
      <c r="DM955" s="2" t="n">
        <v>4.94</v>
      </c>
      <c r="DN955" s="2" t="n">
        <v>0</v>
      </c>
      <c r="DO955" s="2" t="n">
        <v>0</v>
      </c>
      <c r="DP955" s="2" t="n">
        <v>8.08</v>
      </c>
      <c r="DQ955" s="2" t="n">
        <v>0</v>
      </c>
      <c r="DR955" s="2" t="n">
        <v>0</v>
      </c>
      <c r="DS955" s="2" t="n">
        <v>14.77</v>
      </c>
      <c r="DT955" s="2" t="n">
        <v>4.01</v>
      </c>
      <c r="DU955" s="2" t="n">
        <v>0</v>
      </c>
      <c r="DV955" s="2" t="n">
        <v>18.76</v>
      </c>
      <c r="DW955" s="2" t="n">
        <v>10.68</v>
      </c>
      <c r="DX955" s="2" t="n">
        <v>0</v>
      </c>
      <c r="DY955" s="2" t="n">
        <v>23.88</v>
      </c>
      <c r="DZ955" s="2" t="n">
        <v>10.94</v>
      </c>
      <c r="EA955" s="2" t="n">
        <v>0</v>
      </c>
      <c r="EB955" s="2" t="n">
        <v>35.64</v>
      </c>
      <c r="EC955" s="2" t="n">
        <v>14.4</v>
      </c>
      <c r="ED955" s="2" t="n">
        <v>0</v>
      </c>
      <c r="EE955" s="2" t="n">
        <v>49.75</v>
      </c>
      <c r="EF955" s="2" t="n">
        <v>29.58</v>
      </c>
      <c r="EG955" s="2" t="n">
        <v>0</v>
      </c>
      <c r="EH955" s="2" t="n">
        <v>64.09</v>
      </c>
      <c r="EI955" s="2" t="n">
        <v>37.26</v>
      </c>
      <c r="EJ955" s="2" t="n">
        <v>0</v>
      </c>
      <c r="EK955" s="2" t="n">
        <v>72.62</v>
      </c>
      <c r="EL955" s="2" t="n">
        <v>42.51</v>
      </c>
      <c r="EM955" s="2" t="n">
        <v>0</v>
      </c>
      <c r="EN955" s="2" t="n">
        <v>86.08</v>
      </c>
      <c r="EO955" s="2" t="n">
        <v>47.76</v>
      </c>
      <c r="EP955" s="2" t="n">
        <v>0</v>
      </c>
      <c r="EQ955" s="2" t="n">
        <v>94.61</v>
      </c>
      <c r="ER955" s="2" t="n">
        <v>57.86</v>
      </c>
      <c r="ES955" s="2" t="n">
        <v>0</v>
      </c>
      <c r="ET955" s="2" t="n">
        <v>100</v>
      </c>
      <c r="EU955" s="2" t="n">
        <v>69.7</v>
      </c>
      <c r="EV955" s="2" t="n">
        <v>0</v>
      </c>
      <c r="EW955" s="2" t="n">
        <v>100</v>
      </c>
      <c r="EX955" s="2" t="n">
        <v>75.76000000000001</v>
      </c>
      <c r="EY955" s="2" t="n">
        <v>0</v>
      </c>
      <c r="EZ955" s="2" t="n">
        <v>100</v>
      </c>
      <c r="FA955" s="2" t="n">
        <v>81.01000000000001</v>
      </c>
      <c r="FB955" s="2" t="n">
        <v>0</v>
      </c>
      <c r="FC955" s="2" t="n">
        <v>100</v>
      </c>
      <c r="FD955" s="2" t="n">
        <v>87.48</v>
      </c>
      <c r="FE955" s="2" t="n">
        <v>0</v>
      </c>
      <c r="FF955" s="2" t="n">
        <v>100</v>
      </c>
      <c r="FG955" s="2" t="n">
        <v>91.92</v>
      </c>
      <c r="FH955" s="2" t="n">
        <v>0</v>
      </c>
      <c r="FI955" s="2" t="n">
        <v>100</v>
      </c>
      <c r="FJ955" s="2" t="n">
        <v>97.58</v>
      </c>
      <c r="FK955" s="2" t="n">
        <v>0</v>
      </c>
      <c r="FL955" s="2" t="n">
        <v>100</v>
      </c>
      <c r="FM955" s="2" t="n">
        <v>100</v>
      </c>
      <c r="FN955" s="2" t="n">
        <v>0</v>
      </c>
      <c r="FO955" s="2" t="n">
        <v>100</v>
      </c>
      <c r="FP955" s="2" t="n">
        <v>100</v>
      </c>
      <c r="FQ955" s="2" t="n">
        <v>0</v>
      </c>
    </row>
    <row r="956">
      <c r="A956" s="2" t="n">
        <v>3</v>
      </c>
      <c r="B956" s="2" t="inlineStr">
        <is>
          <t>34.02.23</t>
        </is>
      </c>
      <c r="C956" s="2" t="inlineStr">
        <is>
          <t>Bica de mesa para lavatório, linha Mix&amp;Match, modelo 305, acabamento grafite escovado cód.:00916470 Ref.: Docol</t>
        </is>
      </c>
      <c r="D956" s="2" t="inlineStr">
        <is>
          <t>20/10/2027</t>
        </is>
      </c>
      <c r="E956" s="2" t="inlineStr">
        <is>
          <t>09/01/2029</t>
        </is>
      </c>
      <c r="F956" s="2" t="n">
        <v>1327.9</v>
      </c>
      <c r="G956" s="2" t="n">
        <v>0</v>
      </c>
      <c r="H956" s="2" t="n">
        <v>1327.9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0</v>
      </c>
      <c r="CS956" s="2" t="n">
        <v>0</v>
      </c>
      <c r="CT956" s="2" t="n">
        <v>0</v>
      </c>
      <c r="CU956" s="2" t="n">
        <v>0</v>
      </c>
      <c r="CV956" s="2" t="n">
        <v>0</v>
      </c>
      <c r="CW956" s="2" t="n">
        <v>0</v>
      </c>
      <c r="CX956" s="2" t="n">
        <v>0</v>
      </c>
      <c r="CY956" s="2" t="n">
        <v>0</v>
      </c>
      <c r="CZ956" s="2" t="n">
        <v>0</v>
      </c>
      <c r="DA956" s="2" t="n">
        <v>0</v>
      </c>
      <c r="DB956" s="2" t="n">
        <v>0</v>
      </c>
      <c r="DC956" s="2" t="n">
        <v>0</v>
      </c>
      <c r="DD956" s="2" t="n">
        <v>0</v>
      </c>
      <c r="DE956" s="2" t="n">
        <v>0</v>
      </c>
      <c r="DF956" s="2" t="n">
        <v>0</v>
      </c>
      <c r="DG956" s="2" t="n">
        <v>0</v>
      </c>
      <c r="DH956" s="2" t="n">
        <v>0</v>
      </c>
      <c r="DI956" s="2" t="n">
        <v>0</v>
      </c>
      <c r="DJ956" s="2" t="n">
        <v>0</v>
      </c>
      <c r="DK956" s="2" t="n">
        <v>0</v>
      </c>
      <c r="DL956" s="2" t="n">
        <v>0</v>
      </c>
      <c r="DM956" s="2" t="n">
        <v>4.94</v>
      </c>
      <c r="DN956" s="2" t="n">
        <v>0</v>
      </c>
      <c r="DO956" s="2" t="n">
        <v>0</v>
      </c>
      <c r="DP956" s="2" t="n">
        <v>8.08</v>
      </c>
      <c r="DQ956" s="2" t="n">
        <v>0</v>
      </c>
      <c r="DR956" s="2" t="n">
        <v>0</v>
      </c>
      <c r="DS956" s="2" t="n">
        <v>14.77</v>
      </c>
      <c r="DT956" s="2" t="n">
        <v>4.01</v>
      </c>
      <c r="DU956" s="2" t="n">
        <v>0</v>
      </c>
      <c r="DV956" s="2" t="n">
        <v>18.76</v>
      </c>
      <c r="DW956" s="2" t="n">
        <v>10.68</v>
      </c>
      <c r="DX956" s="2" t="n">
        <v>0</v>
      </c>
      <c r="DY956" s="2" t="n">
        <v>23.88</v>
      </c>
      <c r="DZ956" s="2" t="n">
        <v>10.94</v>
      </c>
      <c r="EA956" s="2" t="n">
        <v>0</v>
      </c>
      <c r="EB956" s="2" t="n">
        <v>35.64</v>
      </c>
      <c r="EC956" s="2" t="n">
        <v>14.4</v>
      </c>
      <c r="ED956" s="2" t="n">
        <v>0</v>
      </c>
      <c r="EE956" s="2" t="n">
        <v>49.75</v>
      </c>
      <c r="EF956" s="2" t="n">
        <v>29.58</v>
      </c>
      <c r="EG956" s="2" t="n">
        <v>0</v>
      </c>
      <c r="EH956" s="2" t="n">
        <v>64.09</v>
      </c>
      <c r="EI956" s="2" t="n">
        <v>37.26</v>
      </c>
      <c r="EJ956" s="2" t="n">
        <v>0</v>
      </c>
      <c r="EK956" s="2" t="n">
        <v>72.62</v>
      </c>
      <c r="EL956" s="2" t="n">
        <v>42.51</v>
      </c>
      <c r="EM956" s="2" t="n">
        <v>0</v>
      </c>
      <c r="EN956" s="2" t="n">
        <v>86.08</v>
      </c>
      <c r="EO956" s="2" t="n">
        <v>47.76</v>
      </c>
      <c r="EP956" s="2" t="n">
        <v>0</v>
      </c>
      <c r="EQ956" s="2" t="n">
        <v>94.61</v>
      </c>
      <c r="ER956" s="2" t="n">
        <v>57.86</v>
      </c>
      <c r="ES956" s="2" t="n">
        <v>0</v>
      </c>
      <c r="ET956" s="2" t="n">
        <v>100</v>
      </c>
      <c r="EU956" s="2" t="n">
        <v>69.7</v>
      </c>
      <c r="EV956" s="2" t="n">
        <v>0</v>
      </c>
      <c r="EW956" s="2" t="n">
        <v>100</v>
      </c>
      <c r="EX956" s="2" t="n">
        <v>75.76000000000001</v>
      </c>
      <c r="EY956" s="2" t="n">
        <v>0</v>
      </c>
      <c r="EZ956" s="2" t="n">
        <v>100</v>
      </c>
      <c r="FA956" s="2" t="n">
        <v>81.01000000000001</v>
      </c>
      <c r="FB956" s="2" t="n">
        <v>0</v>
      </c>
      <c r="FC956" s="2" t="n">
        <v>100</v>
      </c>
      <c r="FD956" s="2" t="n">
        <v>87.48</v>
      </c>
      <c r="FE956" s="2" t="n">
        <v>0</v>
      </c>
      <c r="FF956" s="2" t="n">
        <v>100</v>
      </c>
      <c r="FG956" s="2" t="n">
        <v>91.92</v>
      </c>
      <c r="FH956" s="2" t="n">
        <v>0</v>
      </c>
      <c r="FI956" s="2" t="n">
        <v>100</v>
      </c>
      <c r="FJ956" s="2" t="n">
        <v>97.58</v>
      </c>
      <c r="FK956" s="2" t="n">
        <v>0</v>
      </c>
      <c r="FL956" s="2" t="n">
        <v>100</v>
      </c>
      <c r="FM956" s="2" t="n">
        <v>100</v>
      </c>
      <c r="FN956" s="2" t="n">
        <v>0</v>
      </c>
      <c r="FO956" s="2" t="n">
        <v>100</v>
      </c>
      <c r="FP956" s="2" t="n">
        <v>100</v>
      </c>
      <c r="FQ956" s="2" t="n">
        <v>0</v>
      </c>
    </row>
    <row r="957">
      <c r="A957" s="2" t="n">
        <v>3</v>
      </c>
      <c r="B957" s="2" t="inlineStr">
        <is>
          <t>34.02.24</t>
        </is>
      </c>
      <c r="C957" s="2" t="inlineStr">
        <is>
          <t>Acionador Mix&amp;Match 305, acab.: Grafite escovado</t>
        </is>
      </c>
      <c r="D957" s="2" t="inlineStr">
        <is>
          <t>20/10/2027</t>
        </is>
      </c>
      <c r="E957" s="2" t="inlineStr">
        <is>
          <t>09/01/2029</t>
        </is>
      </c>
      <c r="F957" s="2" t="n">
        <v>2862.35</v>
      </c>
      <c r="G957" s="2" t="n">
        <v>0</v>
      </c>
      <c r="H957" s="2" t="n">
        <v>2862.35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</v>
      </c>
      <c r="CG957" s="2" t="n">
        <v>0</v>
      </c>
      <c r="CH957" s="2" t="n">
        <v>0</v>
      </c>
      <c r="CI957" s="2" t="n">
        <v>0</v>
      </c>
      <c r="CJ957" s="2" t="n">
        <v>0</v>
      </c>
      <c r="CK957" s="2" t="n">
        <v>0</v>
      </c>
      <c r="CL957" s="2" t="n">
        <v>0</v>
      </c>
      <c r="CM957" s="2" t="n">
        <v>0</v>
      </c>
      <c r="CN957" s="2" t="n">
        <v>0</v>
      </c>
      <c r="CO957" s="2" t="n">
        <v>0</v>
      </c>
      <c r="CP957" s="2" t="n">
        <v>0</v>
      </c>
      <c r="CQ957" s="2" t="n">
        <v>0</v>
      </c>
      <c r="CR957" s="2" t="n">
        <v>0</v>
      </c>
      <c r="CS957" s="2" t="n">
        <v>0</v>
      </c>
      <c r="CT957" s="2" t="n">
        <v>0</v>
      </c>
      <c r="CU957" s="2" t="n">
        <v>0</v>
      </c>
      <c r="CV957" s="2" t="n">
        <v>0</v>
      </c>
      <c r="CW957" s="2" t="n">
        <v>0</v>
      </c>
      <c r="CX957" s="2" t="n">
        <v>0</v>
      </c>
      <c r="CY957" s="2" t="n">
        <v>0</v>
      </c>
      <c r="CZ957" s="2" t="n">
        <v>0</v>
      </c>
      <c r="DA957" s="2" t="n">
        <v>0</v>
      </c>
      <c r="DB957" s="2" t="n">
        <v>0</v>
      </c>
      <c r="DC957" s="2" t="n">
        <v>0</v>
      </c>
      <c r="DD957" s="2" t="n">
        <v>0</v>
      </c>
      <c r="DE957" s="2" t="n">
        <v>0</v>
      </c>
      <c r="DF957" s="2" t="n">
        <v>0</v>
      </c>
      <c r="DG957" s="2" t="n">
        <v>0</v>
      </c>
      <c r="DH957" s="2" t="n">
        <v>0</v>
      </c>
      <c r="DI957" s="2" t="n">
        <v>0</v>
      </c>
      <c r="DJ957" s="2" t="n">
        <v>0</v>
      </c>
      <c r="DK957" s="2" t="n">
        <v>0</v>
      </c>
      <c r="DL957" s="2" t="n">
        <v>0</v>
      </c>
      <c r="DM957" s="2" t="n">
        <v>4.94</v>
      </c>
      <c r="DN957" s="2" t="n">
        <v>0</v>
      </c>
      <c r="DO957" s="2" t="n">
        <v>0</v>
      </c>
      <c r="DP957" s="2" t="n">
        <v>8.08</v>
      </c>
      <c r="DQ957" s="2" t="n">
        <v>0</v>
      </c>
      <c r="DR957" s="2" t="n">
        <v>0</v>
      </c>
      <c r="DS957" s="2" t="n">
        <v>14.77</v>
      </c>
      <c r="DT957" s="2" t="n">
        <v>4.01</v>
      </c>
      <c r="DU957" s="2" t="n">
        <v>0</v>
      </c>
      <c r="DV957" s="2" t="n">
        <v>18.76</v>
      </c>
      <c r="DW957" s="2" t="n">
        <v>10.68</v>
      </c>
      <c r="DX957" s="2" t="n">
        <v>0</v>
      </c>
      <c r="DY957" s="2" t="n">
        <v>23.88</v>
      </c>
      <c r="DZ957" s="2" t="n">
        <v>10.94</v>
      </c>
      <c r="EA957" s="2" t="n">
        <v>0</v>
      </c>
      <c r="EB957" s="2" t="n">
        <v>35.64</v>
      </c>
      <c r="EC957" s="2" t="n">
        <v>14.4</v>
      </c>
      <c r="ED957" s="2" t="n">
        <v>0</v>
      </c>
      <c r="EE957" s="2" t="n">
        <v>49.75</v>
      </c>
      <c r="EF957" s="2" t="n">
        <v>29.58</v>
      </c>
      <c r="EG957" s="2" t="n">
        <v>0</v>
      </c>
      <c r="EH957" s="2" t="n">
        <v>64.09</v>
      </c>
      <c r="EI957" s="2" t="n">
        <v>37.26</v>
      </c>
      <c r="EJ957" s="2" t="n">
        <v>0</v>
      </c>
      <c r="EK957" s="2" t="n">
        <v>72.62</v>
      </c>
      <c r="EL957" s="2" t="n">
        <v>42.51</v>
      </c>
      <c r="EM957" s="2" t="n">
        <v>0</v>
      </c>
      <c r="EN957" s="2" t="n">
        <v>86.08</v>
      </c>
      <c r="EO957" s="2" t="n">
        <v>47.76</v>
      </c>
      <c r="EP957" s="2" t="n">
        <v>0</v>
      </c>
      <c r="EQ957" s="2" t="n">
        <v>94.61</v>
      </c>
      <c r="ER957" s="2" t="n">
        <v>57.86</v>
      </c>
      <c r="ES957" s="2" t="n">
        <v>0</v>
      </c>
      <c r="ET957" s="2" t="n">
        <v>100</v>
      </c>
      <c r="EU957" s="2" t="n">
        <v>69.7</v>
      </c>
      <c r="EV957" s="2" t="n">
        <v>0</v>
      </c>
      <c r="EW957" s="2" t="n">
        <v>100</v>
      </c>
      <c r="EX957" s="2" t="n">
        <v>75.76000000000001</v>
      </c>
      <c r="EY957" s="2" t="n">
        <v>0</v>
      </c>
      <c r="EZ957" s="2" t="n">
        <v>100</v>
      </c>
      <c r="FA957" s="2" t="n">
        <v>81.01000000000001</v>
      </c>
      <c r="FB957" s="2" t="n">
        <v>0</v>
      </c>
      <c r="FC957" s="2" t="n">
        <v>100</v>
      </c>
      <c r="FD957" s="2" t="n">
        <v>87.48</v>
      </c>
      <c r="FE957" s="2" t="n">
        <v>0</v>
      </c>
      <c r="FF957" s="2" t="n">
        <v>100</v>
      </c>
      <c r="FG957" s="2" t="n">
        <v>91.92</v>
      </c>
      <c r="FH957" s="2" t="n">
        <v>0</v>
      </c>
      <c r="FI957" s="2" t="n">
        <v>100</v>
      </c>
      <c r="FJ957" s="2" t="n">
        <v>97.58</v>
      </c>
      <c r="FK957" s="2" t="n">
        <v>0</v>
      </c>
      <c r="FL957" s="2" t="n">
        <v>100</v>
      </c>
      <c r="FM957" s="2" t="n">
        <v>100</v>
      </c>
      <c r="FN957" s="2" t="n">
        <v>0</v>
      </c>
      <c r="FO957" s="2" t="n">
        <v>100</v>
      </c>
      <c r="FP957" s="2" t="n">
        <v>100</v>
      </c>
      <c r="FQ957" s="2" t="n">
        <v>0</v>
      </c>
    </row>
    <row r="958">
      <c r="A958" s="2" t="n">
        <v>3</v>
      </c>
      <c r="B958" s="2" t="inlineStr">
        <is>
          <t>34.02.25</t>
        </is>
      </c>
      <c r="C958" s="2" t="inlineStr">
        <is>
          <t>Misturador de piso, linha Arthur Casas, acabamento cromado, cód.: 1871.C101. Ref.: Deca</t>
        </is>
      </c>
      <c r="D958" s="2" t="inlineStr">
        <is>
          <t>20/10/2027</t>
        </is>
      </c>
      <c r="E958" s="2" t="inlineStr">
        <is>
          <t>09/01/2029</t>
        </is>
      </c>
      <c r="F958" s="2" t="n">
        <v>6200</v>
      </c>
      <c r="G958" s="2" t="n">
        <v>0</v>
      </c>
      <c r="H958" s="2" t="n">
        <v>6200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</v>
      </c>
      <c r="CG958" s="2" t="n">
        <v>0</v>
      </c>
      <c r="CH958" s="2" t="n">
        <v>0</v>
      </c>
      <c r="CI958" s="2" t="n">
        <v>0</v>
      </c>
      <c r="CJ958" s="2" t="n">
        <v>0</v>
      </c>
      <c r="CK958" s="2" t="n">
        <v>0</v>
      </c>
      <c r="CL958" s="2" t="n">
        <v>0</v>
      </c>
      <c r="CM958" s="2" t="n">
        <v>0</v>
      </c>
      <c r="CN958" s="2" t="n">
        <v>0</v>
      </c>
      <c r="CO958" s="2" t="n">
        <v>0</v>
      </c>
      <c r="CP958" s="2" t="n">
        <v>0</v>
      </c>
      <c r="CQ958" s="2" t="n">
        <v>0</v>
      </c>
      <c r="CR958" s="2" t="n">
        <v>0</v>
      </c>
      <c r="CS958" s="2" t="n">
        <v>0</v>
      </c>
      <c r="CT958" s="2" t="n">
        <v>0</v>
      </c>
      <c r="CU958" s="2" t="n">
        <v>0</v>
      </c>
      <c r="CV958" s="2" t="n">
        <v>0</v>
      </c>
      <c r="CW958" s="2" t="n">
        <v>0</v>
      </c>
      <c r="CX958" s="2" t="n">
        <v>0</v>
      </c>
      <c r="CY958" s="2" t="n">
        <v>0</v>
      </c>
      <c r="CZ958" s="2" t="n">
        <v>0</v>
      </c>
      <c r="DA958" s="2" t="n">
        <v>0</v>
      </c>
      <c r="DB958" s="2" t="n">
        <v>0</v>
      </c>
      <c r="DC958" s="2" t="n">
        <v>0</v>
      </c>
      <c r="DD958" s="2" t="n">
        <v>0</v>
      </c>
      <c r="DE958" s="2" t="n">
        <v>0</v>
      </c>
      <c r="DF958" s="2" t="n">
        <v>0</v>
      </c>
      <c r="DG958" s="2" t="n">
        <v>0</v>
      </c>
      <c r="DH958" s="2" t="n">
        <v>0</v>
      </c>
      <c r="DI958" s="2" t="n">
        <v>0</v>
      </c>
      <c r="DJ958" s="2" t="n">
        <v>0</v>
      </c>
      <c r="DK958" s="2" t="n">
        <v>0</v>
      </c>
      <c r="DL958" s="2" t="n">
        <v>0</v>
      </c>
      <c r="DM958" s="2" t="n">
        <v>4.94</v>
      </c>
      <c r="DN958" s="2" t="n">
        <v>0</v>
      </c>
      <c r="DO958" s="2" t="n">
        <v>0</v>
      </c>
      <c r="DP958" s="2" t="n">
        <v>8.08</v>
      </c>
      <c r="DQ958" s="2" t="n">
        <v>0</v>
      </c>
      <c r="DR958" s="2" t="n">
        <v>0</v>
      </c>
      <c r="DS958" s="2" t="n">
        <v>14.77</v>
      </c>
      <c r="DT958" s="2" t="n">
        <v>4.01</v>
      </c>
      <c r="DU958" s="2" t="n">
        <v>0</v>
      </c>
      <c r="DV958" s="2" t="n">
        <v>18.76</v>
      </c>
      <c r="DW958" s="2" t="n">
        <v>10.68</v>
      </c>
      <c r="DX958" s="2" t="n">
        <v>0</v>
      </c>
      <c r="DY958" s="2" t="n">
        <v>23.88</v>
      </c>
      <c r="DZ958" s="2" t="n">
        <v>10.94</v>
      </c>
      <c r="EA958" s="2" t="n">
        <v>0</v>
      </c>
      <c r="EB958" s="2" t="n">
        <v>35.64</v>
      </c>
      <c r="EC958" s="2" t="n">
        <v>14.4</v>
      </c>
      <c r="ED958" s="2" t="n">
        <v>0</v>
      </c>
      <c r="EE958" s="2" t="n">
        <v>49.75</v>
      </c>
      <c r="EF958" s="2" t="n">
        <v>29.58</v>
      </c>
      <c r="EG958" s="2" t="n">
        <v>0</v>
      </c>
      <c r="EH958" s="2" t="n">
        <v>64.09</v>
      </c>
      <c r="EI958" s="2" t="n">
        <v>37.26</v>
      </c>
      <c r="EJ958" s="2" t="n">
        <v>0</v>
      </c>
      <c r="EK958" s="2" t="n">
        <v>72.62</v>
      </c>
      <c r="EL958" s="2" t="n">
        <v>42.51</v>
      </c>
      <c r="EM958" s="2" t="n">
        <v>0</v>
      </c>
      <c r="EN958" s="2" t="n">
        <v>86.08</v>
      </c>
      <c r="EO958" s="2" t="n">
        <v>47.76</v>
      </c>
      <c r="EP958" s="2" t="n">
        <v>0</v>
      </c>
      <c r="EQ958" s="2" t="n">
        <v>94.61</v>
      </c>
      <c r="ER958" s="2" t="n">
        <v>57.86</v>
      </c>
      <c r="ES958" s="2" t="n">
        <v>0</v>
      </c>
      <c r="ET958" s="2" t="n">
        <v>100</v>
      </c>
      <c r="EU958" s="2" t="n">
        <v>69.7</v>
      </c>
      <c r="EV958" s="2" t="n">
        <v>0</v>
      </c>
      <c r="EW958" s="2" t="n">
        <v>100</v>
      </c>
      <c r="EX958" s="2" t="n">
        <v>75.76000000000001</v>
      </c>
      <c r="EY958" s="2" t="n">
        <v>0</v>
      </c>
      <c r="EZ958" s="2" t="n">
        <v>100</v>
      </c>
      <c r="FA958" s="2" t="n">
        <v>81.01000000000001</v>
      </c>
      <c r="FB958" s="2" t="n">
        <v>0</v>
      </c>
      <c r="FC958" s="2" t="n">
        <v>100</v>
      </c>
      <c r="FD958" s="2" t="n">
        <v>87.48</v>
      </c>
      <c r="FE958" s="2" t="n">
        <v>0</v>
      </c>
      <c r="FF958" s="2" t="n">
        <v>100</v>
      </c>
      <c r="FG958" s="2" t="n">
        <v>91.92</v>
      </c>
      <c r="FH958" s="2" t="n">
        <v>0</v>
      </c>
      <c r="FI958" s="2" t="n">
        <v>100</v>
      </c>
      <c r="FJ958" s="2" t="n">
        <v>97.58</v>
      </c>
      <c r="FK958" s="2" t="n">
        <v>0</v>
      </c>
      <c r="FL958" s="2" t="n">
        <v>100</v>
      </c>
      <c r="FM958" s="2" t="n">
        <v>100</v>
      </c>
      <c r="FN958" s="2" t="n">
        <v>0</v>
      </c>
      <c r="FO958" s="2" t="n">
        <v>100</v>
      </c>
      <c r="FP958" s="2" t="n">
        <v>100</v>
      </c>
      <c r="FQ958" s="2" t="n">
        <v>0</v>
      </c>
    </row>
    <row r="959">
      <c r="A959" s="2" t="n">
        <v>3</v>
      </c>
      <c r="B959" s="2" t="inlineStr">
        <is>
          <t>34.02.26</t>
        </is>
      </c>
      <c r="C959" s="2" t="inlineStr">
        <is>
          <t>Ligação flexível cromada 40cm</t>
        </is>
      </c>
      <c r="D959" s="2" t="inlineStr">
        <is>
          <t>20/10/2027</t>
        </is>
      </c>
      <c r="E959" s="2" t="inlineStr">
        <is>
          <t>09/01/2029</t>
        </is>
      </c>
      <c r="F959" s="2" t="n">
        <v>7426.33979990451</v>
      </c>
      <c r="G959" s="2" t="n">
        <v>0</v>
      </c>
      <c r="H959" s="2" t="n">
        <v>7426.33979990451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</v>
      </c>
      <c r="CG959" s="2" t="n">
        <v>0</v>
      </c>
      <c r="CH959" s="2" t="n">
        <v>0</v>
      </c>
      <c r="CI959" s="2" t="n">
        <v>0</v>
      </c>
      <c r="CJ959" s="2" t="n">
        <v>0</v>
      </c>
      <c r="CK959" s="2" t="n">
        <v>0</v>
      </c>
      <c r="CL959" s="2" t="n">
        <v>0</v>
      </c>
      <c r="CM959" s="2" t="n">
        <v>0</v>
      </c>
      <c r="CN959" s="2" t="n">
        <v>0</v>
      </c>
      <c r="CO959" s="2" t="n">
        <v>0</v>
      </c>
      <c r="CP959" s="2" t="n">
        <v>0</v>
      </c>
      <c r="CQ959" s="2" t="n">
        <v>0</v>
      </c>
      <c r="CR959" s="2" t="n">
        <v>0</v>
      </c>
      <c r="CS959" s="2" t="n">
        <v>0</v>
      </c>
      <c r="CT959" s="2" t="n">
        <v>0</v>
      </c>
      <c r="CU959" s="2" t="n">
        <v>0</v>
      </c>
      <c r="CV959" s="2" t="n">
        <v>0</v>
      </c>
      <c r="CW959" s="2" t="n">
        <v>0</v>
      </c>
      <c r="CX959" s="2" t="n">
        <v>0</v>
      </c>
      <c r="CY959" s="2" t="n">
        <v>0</v>
      </c>
      <c r="CZ959" s="2" t="n">
        <v>0</v>
      </c>
      <c r="DA959" s="2" t="n">
        <v>0</v>
      </c>
      <c r="DB959" s="2" t="n">
        <v>0</v>
      </c>
      <c r="DC959" s="2" t="n">
        <v>0</v>
      </c>
      <c r="DD959" s="2" t="n">
        <v>0</v>
      </c>
      <c r="DE959" s="2" t="n">
        <v>0</v>
      </c>
      <c r="DF959" s="2" t="n">
        <v>0</v>
      </c>
      <c r="DG959" s="2" t="n">
        <v>0</v>
      </c>
      <c r="DH959" s="2" t="n">
        <v>0</v>
      </c>
      <c r="DI959" s="2" t="n">
        <v>0</v>
      </c>
      <c r="DJ959" s="2" t="n">
        <v>0</v>
      </c>
      <c r="DK959" s="2" t="n">
        <v>0</v>
      </c>
      <c r="DL959" s="2" t="n">
        <v>0</v>
      </c>
      <c r="DM959" s="2" t="n">
        <v>4.94</v>
      </c>
      <c r="DN959" s="2" t="n">
        <v>0</v>
      </c>
      <c r="DO959" s="2" t="n">
        <v>0</v>
      </c>
      <c r="DP959" s="2" t="n">
        <v>8.08</v>
      </c>
      <c r="DQ959" s="2" t="n">
        <v>0</v>
      </c>
      <c r="DR959" s="2" t="n">
        <v>0</v>
      </c>
      <c r="DS959" s="2" t="n">
        <v>14.77</v>
      </c>
      <c r="DT959" s="2" t="n">
        <v>4.01</v>
      </c>
      <c r="DU959" s="2" t="n">
        <v>0</v>
      </c>
      <c r="DV959" s="2" t="n">
        <v>18.76</v>
      </c>
      <c r="DW959" s="2" t="n">
        <v>10.68</v>
      </c>
      <c r="DX959" s="2" t="n">
        <v>0</v>
      </c>
      <c r="DY959" s="2" t="n">
        <v>23.88</v>
      </c>
      <c r="DZ959" s="2" t="n">
        <v>10.94</v>
      </c>
      <c r="EA959" s="2" t="n">
        <v>0</v>
      </c>
      <c r="EB959" s="2" t="n">
        <v>35.64</v>
      </c>
      <c r="EC959" s="2" t="n">
        <v>14.4</v>
      </c>
      <c r="ED959" s="2" t="n">
        <v>0</v>
      </c>
      <c r="EE959" s="2" t="n">
        <v>49.75</v>
      </c>
      <c r="EF959" s="2" t="n">
        <v>29.58</v>
      </c>
      <c r="EG959" s="2" t="n">
        <v>0</v>
      </c>
      <c r="EH959" s="2" t="n">
        <v>64.09</v>
      </c>
      <c r="EI959" s="2" t="n">
        <v>37.26</v>
      </c>
      <c r="EJ959" s="2" t="n">
        <v>0</v>
      </c>
      <c r="EK959" s="2" t="n">
        <v>72.62</v>
      </c>
      <c r="EL959" s="2" t="n">
        <v>42.51</v>
      </c>
      <c r="EM959" s="2" t="n">
        <v>0</v>
      </c>
      <c r="EN959" s="2" t="n">
        <v>86.08</v>
      </c>
      <c r="EO959" s="2" t="n">
        <v>47.76</v>
      </c>
      <c r="EP959" s="2" t="n">
        <v>0</v>
      </c>
      <c r="EQ959" s="2" t="n">
        <v>94.61</v>
      </c>
      <c r="ER959" s="2" t="n">
        <v>57.86</v>
      </c>
      <c r="ES959" s="2" t="n">
        <v>0</v>
      </c>
      <c r="ET959" s="2" t="n">
        <v>100</v>
      </c>
      <c r="EU959" s="2" t="n">
        <v>69.7</v>
      </c>
      <c r="EV959" s="2" t="n">
        <v>0</v>
      </c>
      <c r="EW959" s="2" t="n">
        <v>100</v>
      </c>
      <c r="EX959" s="2" t="n">
        <v>75.76000000000001</v>
      </c>
      <c r="EY959" s="2" t="n">
        <v>0</v>
      </c>
      <c r="EZ959" s="2" t="n">
        <v>100</v>
      </c>
      <c r="FA959" s="2" t="n">
        <v>81.01000000000001</v>
      </c>
      <c r="FB959" s="2" t="n">
        <v>0</v>
      </c>
      <c r="FC959" s="2" t="n">
        <v>100</v>
      </c>
      <c r="FD959" s="2" t="n">
        <v>87.48</v>
      </c>
      <c r="FE959" s="2" t="n">
        <v>0</v>
      </c>
      <c r="FF959" s="2" t="n">
        <v>100</v>
      </c>
      <c r="FG959" s="2" t="n">
        <v>91.92</v>
      </c>
      <c r="FH959" s="2" t="n">
        <v>0</v>
      </c>
      <c r="FI959" s="2" t="n">
        <v>100</v>
      </c>
      <c r="FJ959" s="2" t="n">
        <v>97.58</v>
      </c>
      <c r="FK959" s="2" t="n">
        <v>0</v>
      </c>
      <c r="FL959" s="2" t="n">
        <v>100</v>
      </c>
      <c r="FM959" s="2" t="n">
        <v>100</v>
      </c>
      <c r="FN959" s="2" t="n">
        <v>0</v>
      </c>
      <c r="FO959" s="2" t="n">
        <v>100</v>
      </c>
      <c r="FP959" s="2" t="n">
        <v>100</v>
      </c>
      <c r="FQ959" s="2" t="n">
        <v>0</v>
      </c>
    </row>
    <row r="960">
      <c r="A960" s="2" t="n">
        <v>3</v>
      </c>
      <c r="B960" s="2" t="inlineStr">
        <is>
          <t>34.02.27</t>
        </is>
      </c>
      <c r="C960" s="2" t="inlineStr">
        <is>
          <t>Válvula cromada para lavatório</t>
        </is>
      </c>
      <c r="D960" s="2" t="inlineStr">
        <is>
          <t>20/10/2027</t>
        </is>
      </c>
      <c r="E960" s="2" t="inlineStr">
        <is>
          <t>09/01/2029</t>
        </is>
      </c>
      <c r="F960" s="2" t="n">
        <v>6858.539799904509</v>
      </c>
      <c r="G960" s="2" t="n">
        <v>0</v>
      </c>
      <c r="H960" s="2" t="n">
        <v>6858.539799904509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</v>
      </c>
      <c r="CG960" s="2" t="n">
        <v>0</v>
      </c>
      <c r="CH960" s="2" t="n">
        <v>0</v>
      </c>
      <c r="CI960" s="2" t="n">
        <v>0</v>
      </c>
      <c r="CJ960" s="2" t="n">
        <v>0</v>
      </c>
      <c r="CK960" s="2" t="n">
        <v>0</v>
      </c>
      <c r="CL960" s="2" t="n">
        <v>0</v>
      </c>
      <c r="CM960" s="2" t="n">
        <v>0</v>
      </c>
      <c r="CN960" s="2" t="n">
        <v>0</v>
      </c>
      <c r="CO960" s="2" t="n">
        <v>0</v>
      </c>
      <c r="CP960" s="2" t="n">
        <v>0</v>
      </c>
      <c r="CQ960" s="2" t="n">
        <v>0</v>
      </c>
      <c r="CR960" s="2" t="n">
        <v>0</v>
      </c>
      <c r="CS960" s="2" t="n">
        <v>0</v>
      </c>
      <c r="CT960" s="2" t="n">
        <v>0</v>
      </c>
      <c r="CU960" s="2" t="n">
        <v>0</v>
      </c>
      <c r="CV960" s="2" t="n">
        <v>0</v>
      </c>
      <c r="CW960" s="2" t="n">
        <v>0</v>
      </c>
      <c r="CX960" s="2" t="n">
        <v>0</v>
      </c>
      <c r="CY960" s="2" t="n">
        <v>0</v>
      </c>
      <c r="CZ960" s="2" t="n">
        <v>0</v>
      </c>
      <c r="DA960" s="2" t="n">
        <v>0</v>
      </c>
      <c r="DB960" s="2" t="n">
        <v>0</v>
      </c>
      <c r="DC960" s="2" t="n">
        <v>0</v>
      </c>
      <c r="DD960" s="2" t="n">
        <v>0</v>
      </c>
      <c r="DE960" s="2" t="n">
        <v>0</v>
      </c>
      <c r="DF960" s="2" t="n">
        <v>0</v>
      </c>
      <c r="DG960" s="2" t="n">
        <v>0</v>
      </c>
      <c r="DH960" s="2" t="n">
        <v>0</v>
      </c>
      <c r="DI960" s="2" t="n">
        <v>0</v>
      </c>
      <c r="DJ960" s="2" t="n">
        <v>0</v>
      </c>
      <c r="DK960" s="2" t="n">
        <v>0</v>
      </c>
      <c r="DL960" s="2" t="n">
        <v>0</v>
      </c>
      <c r="DM960" s="2" t="n">
        <v>4.94</v>
      </c>
      <c r="DN960" s="2" t="n">
        <v>0</v>
      </c>
      <c r="DO960" s="2" t="n">
        <v>0</v>
      </c>
      <c r="DP960" s="2" t="n">
        <v>8.08</v>
      </c>
      <c r="DQ960" s="2" t="n">
        <v>0</v>
      </c>
      <c r="DR960" s="2" t="n">
        <v>0</v>
      </c>
      <c r="DS960" s="2" t="n">
        <v>14.77</v>
      </c>
      <c r="DT960" s="2" t="n">
        <v>4.01</v>
      </c>
      <c r="DU960" s="2" t="n">
        <v>0</v>
      </c>
      <c r="DV960" s="2" t="n">
        <v>18.76</v>
      </c>
      <c r="DW960" s="2" t="n">
        <v>10.68</v>
      </c>
      <c r="DX960" s="2" t="n">
        <v>0</v>
      </c>
      <c r="DY960" s="2" t="n">
        <v>23.88</v>
      </c>
      <c r="DZ960" s="2" t="n">
        <v>10.94</v>
      </c>
      <c r="EA960" s="2" t="n">
        <v>0</v>
      </c>
      <c r="EB960" s="2" t="n">
        <v>35.64</v>
      </c>
      <c r="EC960" s="2" t="n">
        <v>14.4</v>
      </c>
      <c r="ED960" s="2" t="n">
        <v>0</v>
      </c>
      <c r="EE960" s="2" t="n">
        <v>49.75</v>
      </c>
      <c r="EF960" s="2" t="n">
        <v>29.58</v>
      </c>
      <c r="EG960" s="2" t="n">
        <v>0</v>
      </c>
      <c r="EH960" s="2" t="n">
        <v>64.09</v>
      </c>
      <c r="EI960" s="2" t="n">
        <v>37.26</v>
      </c>
      <c r="EJ960" s="2" t="n">
        <v>0</v>
      </c>
      <c r="EK960" s="2" t="n">
        <v>72.62</v>
      </c>
      <c r="EL960" s="2" t="n">
        <v>42.51</v>
      </c>
      <c r="EM960" s="2" t="n">
        <v>0</v>
      </c>
      <c r="EN960" s="2" t="n">
        <v>86.08</v>
      </c>
      <c r="EO960" s="2" t="n">
        <v>47.76</v>
      </c>
      <c r="EP960" s="2" t="n">
        <v>0</v>
      </c>
      <c r="EQ960" s="2" t="n">
        <v>94.61</v>
      </c>
      <c r="ER960" s="2" t="n">
        <v>57.86</v>
      </c>
      <c r="ES960" s="2" t="n">
        <v>0</v>
      </c>
      <c r="ET960" s="2" t="n">
        <v>100</v>
      </c>
      <c r="EU960" s="2" t="n">
        <v>69.7</v>
      </c>
      <c r="EV960" s="2" t="n">
        <v>0</v>
      </c>
      <c r="EW960" s="2" t="n">
        <v>100</v>
      </c>
      <c r="EX960" s="2" t="n">
        <v>75.76000000000001</v>
      </c>
      <c r="EY960" s="2" t="n">
        <v>0</v>
      </c>
      <c r="EZ960" s="2" t="n">
        <v>100</v>
      </c>
      <c r="FA960" s="2" t="n">
        <v>81.01000000000001</v>
      </c>
      <c r="FB960" s="2" t="n">
        <v>0</v>
      </c>
      <c r="FC960" s="2" t="n">
        <v>100</v>
      </c>
      <c r="FD960" s="2" t="n">
        <v>87.48</v>
      </c>
      <c r="FE960" s="2" t="n">
        <v>0</v>
      </c>
      <c r="FF960" s="2" t="n">
        <v>100</v>
      </c>
      <c r="FG960" s="2" t="n">
        <v>91.92</v>
      </c>
      <c r="FH960" s="2" t="n">
        <v>0</v>
      </c>
      <c r="FI960" s="2" t="n">
        <v>100</v>
      </c>
      <c r="FJ960" s="2" t="n">
        <v>97.58</v>
      </c>
      <c r="FK960" s="2" t="n">
        <v>0</v>
      </c>
      <c r="FL960" s="2" t="n">
        <v>100</v>
      </c>
      <c r="FM960" s="2" t="n">
        <v>100</v>
      </c>
      <c r="FN960" s="2" t="n">
        <v>0</v>
      </c>
      <c r="FO960" s="2" t="n">
        <v>100</v>
      </c>
      <c r="FP960" s="2" t="n">
        <v>100</v>
      </c>
      <c r="FQ960" s="2" t="n">
        <v>0</v>
      </c>
    </row>
    <row r="961">
      <c r="A961" s="2" t="n">
        <v>3</v>
      </c>
      <c r="B961" s="2" t="inlineStr">
        <is>
          <t>34.02.28</t>
        </is>
      </c>
      <c r="C961" s="2" t="inlineStr">
        <is>
          <t>Sifão para lavatório cromado. Ref.: cód. 1684.C.100.112; Deca</t>
        </is>
      </c>
      <c r="D961" s="2" t="inlineStr">
        <is>
          <t>20/10/2027</t>
        </is>
      </c>
      <c r="E961" s="2" t="inlineStr">
        <is>
          <t>09/01/2029</t>
        </is>
      </c>
      <c r="F961" s="2" t="n">
        <v>85622.41979990451</v>
      </c>
      <c r="G961" s="2" t="n">
        <v>0</v>
      </c>
      <c r="H961" s="2" t="n">
        <v>85622.41979990451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</v>
      </c>
      <c r="CG961" s="2" t="n">
        <v>0</v>
      </c>
      <c r="CH961" s="2" t="n">
        <v>0</v>
      </c>
      <c r="CI961" s="2" t="n">
        <v>0</v>
      </c>
      <c r="CJ961" s="2" t="n">
        <v>0</v>
      </c>
      <c r="CK961" s="2" t="n">
        <v>0</v>
      </c>
      <c r="CL961" s="2" t="n">
        <v>0</v>
      </c>
      <c r="CM961" s="2" t="n">
        <v>0</v>
      </c>
      <c r="CN961" s="2" t="n">
        <v>0</v>
      </c>
      <c r="CO961" s="2" t="n">
        <v>0</v>
      </c>
      <c r="CP961" s="2" t="n">
        <v>0</v>
      </c>
      <c r="CQ961" s="2" t="n">
        <v>0</v>
      </c>
      <c r="CR961" s="2" t="n">
        <v>0</v>
      </c>
      <c r="CS961" s="2" t="n">
        <v>0</v>
      </c>
      <c r="CT961" s="2" t="n">
        <v>0</v>
      </c>
      <c r="CU961" s="2" t="n">
        <v>0</v>
      </c>
      <c r="CV961" s="2" t="n">
        <v>0</v>
      </c>
      <c r="CW961" s="2" t="n">
        <v>0</v>
      </c>
      <c r="CX961" s="2" t="n">
        <v>0</v>
      </c>
      <c r="CY961" s="2" t="n">
        <v>0</v>
      </c>
      <c r="CZ961" s="2" t="n">
        <v>0</v>
      </c>
      <c r="DA961" s="2" t="n">
        <v>0</v>
      </c>
      <c r="DB961" s="2" t="n">
        <v>0</v>
      </c>
      <c r="DC961" s="2" t="n">
        <v>0</v>
      </c>
      <c r="DD961" s="2" t="n">
        <v>0</v>
      </c>
      <c r="DE961" s="2" t="n">
        <v>0</v>
      </c>
      <c r="DF961" s="2" t="n">
        <v>0</v>
      </c>
      <c r="DG961" s="2" t="n">
        <v>0</v>
      </c>
      <c r="DH961" s="2" t="n">
        <v>0</v>
      </c>
      <c r="DI961" s="2" t="n">
        <v>0</v>
      </c>
      <c r="DJ961" s="2" t="n">
        <v>0</v>
      </c>
      <c r="DK961" s="2" t="n">
        <v>0</v>
      </c>
      <c r="DL961" s="2" t="n">
        <v>0</v>
      </c>
      <c r="DM961" s="2" t="n">
        <v>4.94</v>
      </c>
      <c r="DN961" s="2" t="n">
        <v>0</v>
      </c>
      <c r="DO961" s="2" t="n">
        <v>0</v>
      </c>
      <c r="DP961" s="2" t="n">
        <v>8.08</v>
      </c>
      <c r="DQ961" s="2" t="n">
        <v>0</v>
      </c>
      <c r="DR961" s="2" t="n">
        <v>0</v>
      </c>
      <c r="DS961" s="2" t="n">
        <v>14.77</v>
      </c>
      <c r="DT961" s="2" t="n">
        <v>4.01</v>
      </c>
      <c r="DU961" s="2" t="n">
        <v>0</v>
      </c>
      <c r="DV961" s="2" t="n">
        <v>18.76</v>
      </c>
      <c r="DW961" s="2" t="n">
        <v>10.68</v>
      </c>
      <c r="DX961" s="2" t="n">
        <v>0</v>
      </c>
      <c r="DY961" s="2" t="n">
        <v>23.88</v>
      </c>
      <c r="DZ961" s="2" t="n">
        <v>10.94</v>
      </c>
      <c r="EA961" s="2" t="n">
        <v>0</v>
      </c>
      <c r="EB961" s="2" t="n">
        <v>35.64</v>
      </c>
      <c r="EC961" s="2" t="n">
        <v>14.4</v>
      </c>
      <c r="ED961" s="2" t="n">
        <v>0</v>
      </c>
      <c r="EE961" s="2" t="n">
        <v>49.75</v>
      </c>
      <c r="EF961" s="2" t="n">
        <v>29.58</v>
      </c>
      <c r="EG961" s="2" t="n">
        <v>0</v>
      </c>
      <c r="EH961" s="2" t="n">
        <v>64.09</v>
      </c>
      <c r="EI961" s="2" t="n">
        <v>37.26</v>
      </c>
      <c r="EJ961" s="2" t="n">
        <v>0</v>
      </c>
      <c r="EK961" s="2" t="n">
        <v>72.62</v>
      </c>
      <c r="EL961" s="2" t="n">
        <v>42.51</v>
      </c>
      <c r="EM961" s="2" t="n">
        <v>0</v>
      </c>
      <c r="EN961" s="2" t="n">
        <v>86.08</v>
      </c>
      <c r="EO961" s="2" t="n">
        <v>47.76</v>
      </c>
      <c r="EP961" s="2" t="n">
        <v>0</v>
      </c>
      <c r="EQ961" s="2" t="n">
        <v>94.61</v>
      </c>
      <c r="ER961" s="2" t="n">
        <v>57.86</v>
      </c>
      <c r="ES961" s="2" t="n">
        <v>0</v>
      </c>
      <c r="ET961" s="2" t="n">
        <v>100</v>
      </c>
      <c r="EU961" s="2" t="n">
        <v>69.7</v>
      </c>
      <c r="EV961" s="2" t="n">
        <v>0</v>
      </c>
      <c r="EW961" s="2" t="n">
        <v>100</v>
      </c>
      <c r="EX961" s="2" t="n">
        <v>75.76000000000001</v>
      </c>
      <c r="EY961" s="2" t="n">
        <v>0</v>
      </c>
      <c r="EZ961" s="2" t="n">
        <v>100</v>
      </c>
      <c r="FA961" s="2" t="n">
        <v>81.01000000000001</v>
      </c>
      <c r="FB961" s="2" t="n">
        <v>0</v>
      </c>
      <c r="FC961" s="2" t="n">
        <v>100</v>
      </c>
      <c r="FD961" s="2" t="n">
        <v>87.48</v>
      </c>
      <c r="FE961" s="2" t="n">
        <v>0</v>
      </c>
      <c r="FF961" s="2" t="n">
        <v>100</v>
      </c>
      <c r="FG961" s="2" t="n">
        <v>91.92</v>
      </c>
      <c r="FH961" s="2" t="n">
        <v>0</v>
      </c>
      <c r="FI961" s="2" t="n">
        <v>100</v>
      </c>
      <c r="FJ961" s="2" t="n">
        <v>97.58</v>
      </c>
      <c r="FK961" s="2" t="n">
        <v>0</v>
      </c>
      <c r="FL961" s="2" t="n">
        <v>100</v>
      </c>
      <c r="FM961" s="2" t="n">
        <v>100</v>
      </c>
      <c r="FN961" s="2" t="n">
        <v>0</v>
      </c>
      <c r="FO961" s="2" t="n">
        <v>100</v>
      </c>
      <c r="FP961" s="2" t="n">
        <v>100</v>
      </c>
      <c r="FQ961" s="2" t="n">
        <v>0</v>
      </c>
    </row>
    <row r="962">
      <c r="A962" s="2" t="n">
        <v>2</v>
      </c>
      <c r="B962" s="2" t="inlineStr">
        <is>
          <t>34.03</t>
        </is>
      </c>
      <c r="C962" s="2" t="inlineStr">
        <is>
          <t>Pias</t>
        </is>
      </c>
      <c r="D962" s="2" t="inlineStr">
        <is>
          <t>14/09/2027</t>
        </is>
      </c>
      <c r="E962" s="2" t="inlineStr">
        <is>
          <t>09/01/2029</t>
        </is>
      </c>
      <c r="F962" s="2" t="n">
        <v>196127.7353159613</v>
      </c>
      <c r="G962" s="2" t="n">
        <v>0</v>
      </c>
      <c r="H962" s="2" t="n">
        <v>196127.7353159613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</v>
      </c>
      <c r="CG962" s="2" t="n">
        <v>0</v>
      </c>
      <c r="CH962" s="2" t="n">
        <v>0</v>
      </c>
      <c r="CI962" s="2" t="n">
        <v>0</v>
      </c>
      <c r="CJ962" s="2" t="n">
        <v>0</v>
      </c>
      <c r="CK962" s="2" t="n">
        <v>0</v>
      </c>
      <c r="CL962" s="2" t="n">
        <v>0</v>
      </c>
      <c r="CM962" s="2" t="n">
        <v>0</v>
      </c>
      <c r="CN962" s="2" t="n">
        <v>0</v>
      </c>
      <c r="CO962" s="2" t="n">
        <v>0</v>
      </c>
      <c r="CP962" s="2" t="n">
        <v>0</v>
      </c>
      <c r="CQ962" s="2" t="n">
        <v>0</v>
      </c>
      <c r="CR962" s="2" t="n">
        <v>0</v>
      </c>
      <c r="CS962" s="2" t="n">
        <v>0</v>
      </c>
      <c r="CT962" s="2" t="n">
        <v>0</v>
      </c>
      <c r="CU962" s="2" t="n">
        <v>0</v>
      </c>
      <c r="CV962" s="2" t="n">
        <v>0</v>
      </c>
      <c r="CW962" s="2" t="n">
        <v>0</v>
      </c>
      <c r="CX962" s="2" t="n">
        <v>0</v>
      </c>
      <c r="CY962" s="2" t="n">
        <v>0</v>
      </c>
      <c r="CZ962" s="2" t="n">
        <v>0</v>
      </c>
      <c r="DA962" s="2" t="n">
        <v>0</v>
      </c>
      <c r="DB962" s="2" t="n">
        <v>0</v>
      </c>
      <c r="DC962" s="2" t="n">
        <v>0</v>
      </c>
      <c r="DD962" s="2" t="n">
        <v>0</v>
      </c>
      <c r="DE962" s="2" t="n">
        <v>0</v>
      </c>
      <c r="DF962" s="2" t="n">
        <v>0</v>
      </c>
      <c r="DG962" s="2" t="n">
        <v>0</v>
      </c>
      <c r="DH962" s="2" t="n">
        <v>0</v>
      </c>
      <c r="DI962" s="2" t="n">
        <v>0</v>
      </c>
      <c r="DJ962" s="2" t="n">
        <v>0</v>
      </c>
      <c r="DK962" s="2" t="n">
        <v>0</v>
      </c>
      <c r="DL962" s="2" t="n">
        <v>0</v>
      </c>
      <c r="DM962" s="2" t="n">
        <v>4.94</v>
      </c>
      <c r="DN962" s="2" t="n">
        <v>0</v>
      </c>
      <c r="DO962" s="2" t="n">
        <v>0</v>
      </c>
      <c r="DP962" s="2" t="n">
        <v>9.19</v>
      </c>
      <c r="DQ962" s="2" t="n">
        <v>1.11</v>
      </c>
      <c r="DR962" s="2" t="n">
        <v>0</v>
      </c>
      <c r="DS962" s="2" t="n">
        <v>15.32</v>
      </c>
      <c r="DT962" s="2" t="n">
        <v>4.79</v>
      </c>
      <c r="DU962" s="2" t="n">
        <v>0</v>
      </c>
      <c r="DV962" s="2" t="n">
        <v>18.76</v>
      </c>
      <c r="DW962" s="2" t="n">
        <v>10.68</v>
      </c>
      <c r="DX962" s="2" t="n">
        <v>0</v>
      </c>
      <c r="DY962" s="2" t="n">
        <v>24.33</v>
      </c>
      <c r="DZ962" s="2" t="n">
        <v>11.39</v>
      </c>
      <c r="EA962" s="2" t="n">
        <v>0</v>
      </c>
      <c r="EB962" s="2" t="n">
        <v>35.64</v>
      </c>
      <c r="EC962" s="2" t="n">
        <v>14.4</v>
      </c>
      <c r="ED962" s="2" t="n">
        <v>0</v>
      </c>
      <c r="EE962" s="2" t="n">
        <v>49.75</v>
      </c>
      <c r="EF962" s="2" t="n">
        <v>29.58</v>
      </c>
      <c r="EG962" s="2" t="n">
        <v>0</v>
      </c>
      <c r="EH962" s="2" t="n">
        <v>64.09</v>
      </c>
      <c r="EI962" s="2" t="n">
        <v>37.26</v>
      </c>
      <c r="EJ962" s="2" t="n">
        <v>0</v>
      </c>
      <c r="EK962" s="2" t="n">
        <v>72.62</v>
      </c>
      <c r="EL962" s="2" t="n">
        <v>42.51</v>
      </c>
      <c r="EM962" s="2" t="n">
        <v>0</v>
      </c>
      <c r="EN962" s="2" t="n">
        <v>86.08</v>
      </c>
      <c r="EO962" s="2" t="n">
        <v>47.76</v>
      </c>
      <c r="EP962" s="2" t="n">
        <v>0</v>
      </c>
      <c r="EQ962" s="2" t="n">
        <v>94.61</v>
      </c>
      <c r="ER962" s="2" t="n">
        <v>57.86</v>
      </c>
      <c r="ES962" s="2" t="n">
        <v>0</v>
      </c>
      <c r="ET962" s="2" t="n">
        <v>100</v>
      </c>
      <c r="EU962" s="2" t="n">
        <v>69.7</v>
      </c>
      <c r="EV962" s="2" t="n">
        <v>0</v>
      </c>
      <c r="EW962" s="2" t="n">
        <v>100</v>
      </c>
      <c r="EX962" s="2" t="n">
        <v>75.76000000000001</v>
      </c>
      <c r="EY962" s="2" t="n">
        <v>0</v>
      </c>
      <c r="EZ962" s="2" t="n">
        <v>100</v>
      </c>
      <c r="FA962" s="2" t="n">
        <v>81.01000000000001</v>
      </c>
      <c r="FB962" s="2" t="n">
        <v>0</v>
      </c>
      <c r="FC962" s="2" t="n">
        <v>100</v>
      </c>
      <c r="FD962" s="2" t="n">
        <v>87.48</v>
      </c>
      <c r="FE962" s="2" t="n">
        <v>0</v>
      </c>
      <c r="FF962" s="2" t="n">
        <v>100</v>
      </c>
      <c r="FG962" s="2" t="n">
        <v>91.92</v>
      </c>
      <c r="FH962" s="2" t="n">
        <v>0</v>
      </c>
      <c r="FI962" s="2" t="n">
        <v>100</v>
      </c>
      <c r="FJ962" s="2" t="n">
        <v>97.58</v>
      </c>
      <c r="FK962" s="2" t="n">
        <v>0</v>
      </c>
      <c r="FL962" s="2" t="n">
        <v>100</v>
      </c>
      <c r="FM962" s="2" t="n">
        <v>100</v>
      </c>
      <c r="FN962" s="2" t="n">
        <v>0</v>
      </c>
      <c r="FO962" s="2" t="n">
        <v>100</v>
      </c>
      <c r="FP962" s="2" t="n">
        <v>100</v>
      </c>
      <c r="FQ962" s="2" t="n">
        <v>0</v>
      </c>
    </row>
    <row r="963">
      <c r="A963" s="2" t="n">
        <v>3</v>
      </c>
      <c r="B963" s="2" t="inlineStr">
        <is>
          <t>34.03.01</t>
        </is>
      </c>
      <c r="C963" s="2" t="inlineStr">
        <is>
          <t>Cuba de embutir mekal LR-70 70x40x23 cm aço escovado, linha rett</t>
        </is>
      </c>
      <c r="D963" s="2" t="inlineStr">
        <is>
          <t>14/09/2027</t>
        </is>
      </c>
      <c r="E963" s="2" t="inlineStr">
        <is>
          <t>09/01/2029</t>
        </is>
      </c>
      <c r="F963" s="2" t="n">
        <v>68251.67999999999</v>
      </c>
      <c r="G963" s="2" t="n">
        <v>0</v>
      </c>
      <c r="H963" s="2" t="n">
        <v>68251.67999999999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</v>
      </c>
      <c r="CG963" s="2" t="n">
        <v>0</v>
      </c>
      <c r="CH963" s="2" t="n">
        <v>0</v>
      </c>
      <c r="CI963" s="2" t="n">
        <v>0</v>
      </c>
      <c r="CJ963" s="2" t="n">
        <v>0</v>
      </c>
      <c r="CK963" s="2" t="n">
        <v>0</v>
      </c>
      <c r="CL963" s="2" t="n">
        <v>0</v>
      </c>
      <c r="CM963" s="2" t="n">
        <v>0</v>
      </c>
      <c r="CN963" s="2" t="n">
        <v>0</v>
      </c>
      <c r="CO963" s="2" t="n">
        <v>0</v>
      </c>
      <c r="CP963" s="2" t="n">
        <v>0</v>
      </c>
      <c r="CQ963" s="2" t="n">
        <v>0</v>
      </c>
      <c r="CR963" s="2" t="n">
        <v>0</v>
      </c>
      <c r="CS963" s="2" t="n">
        <v>0</v>
      </c>
      <c r="CT963" s="2" t="n">
        <v>0</v>
      </c>
      <c r="CU963" s="2" t="n">
        <v>0</v>
      </c>
      <c r="CV963" s="2" t="n">
        <v>0</v>
      </c>
      <c r="CW963" s="2" t="n">
        <v>0</v>
      </c>
      <c r="CX963" s="2" t="n">
        <v>0</v>
      </c>
      <c r="CY963" s="2" t="n">
        <v>0</v>
      </c>
      <c r="CZ963" s="2" t="n">
        <v>0</v>
      </c>
      <c r="DA963" s="2" t="n">
        <v>0</v>
      </c>
      <c r="DB963" s="2" t="n">
        <v>0</v>
      </c>
      <c r="DC963" s="2" t="n">
        <v>0</v>
      </c>
      <c r="DD963" s="2" t="n">
        <v>0</v>
      </c>
      <c r="DE963" s="2" t="n">
        <v>0</v>
      </c>
      <c r="DF963" s="2" t="n">
        <v>0</v>
      </c>
      <c r="DG963" s="2" t="n">
        <v>0</v>
      </c>
      <c r="DH963" s="2" t="n">
        <v>0</v>
      </c>
      <c r="DI963" s="2" t="n">
        <v>0</v>
      </c>
      <c r="DJ963" s="2" t="n">
        <v>0</v>
      </c>
      <c r="DK963" s="2" t="n">
        <v>0</v>
      </c>
      <c r="DL963" s="2" t="n">
        <v>0</v>
      </c>
      <c r="DM963" s="2" t="n">
        <v>4.94</v>
      </c>
      <c r="DN963" s="2" t="n">
        <v>0</v>
      </c>
      <c r="DO963" s="2" t="n">
        <v>0</v>
      </c>
      <c r="DP963" s="2" t="n">
        <v>10.68</v>
      </c>
      <c r="DQ963" s="2" t="n">
        <v>2.6</v>
      </c>
      <c r="DR963" s="2" t="n">
        <v>0</v>
      </c>
      <c r="DS963" s="2" t="n">
        <v>16.07</v>
      </c>
      <c r="DT963" s="2" t="n">
        <v>5.83</v>
      </c>
      <c r="DU963" s="2" t="n">
        <v>0</v>
      </c>
      <c r="DV963" s="2" t="n">
        <v>18.76</v>
      </c>
      <c r="DW963" s="2" t="n">
        <v>10.68</v>
      </c>
      <c r="DX963" s="2" t="n">
        <v>0</v>
      </c>
      <c r="DY963" s="2" t="n">
        <v>24.93</v>
      </c>
      <c r="DZ963" s="2" t="n">
        <v>11.99</v>
      </c>
      <c r="EA963" s="2" t="n">
        <v>0</v>
      </c>
      <c r="EB963" s="2" t="n">
        <v>35.64</v>
      </c>
      <c r="EC963" s="2" t="n">
        <v>14.4</v>
      </c>
      <c r="ED963" s="2" t="n">
        <v>0</v>
      </c>
      <c r="EE963" s="2" t="n">
        <v>49.75</v>
      </c>
      <c r="EF963" s="2" t="n">
        <v>29.58</v>
      </c>
      <c r="EG963" s="2" t="n">
        <v>0</v>
      </c>
      <c r="EH963" s="2" t="n">
        <v>64.09</v>
      </c>
      <c r="EI963" s="2" t="n">
        <v>37.26</v>
      </c>
      <c r="EJ963" s="2" t="n">
        <v>0</v>
      </c>
      <c r="EK963" s="2" t="n">
        <v>72.62</v>
      </c>
      <c r="EL963" s="2" t="n">
        <v>42.51</v>
      </c>
      <c r="EM963" s="2" t="n">
        <v>0</v>
      </c>
      <c r="EN963" s="2" t="n">
        <v>86.08</v>
      </c>
      <c r="EO963" s="2" t="n">
        <v>47.76</v>
      </c>
      <c r="EP963" s="2" t="n">
        <v>0</v>
      </c>
      <c r="EQ963" s="2" t="n">
        <v>94.61</v>
      </c>
      <c r="ER963" s="2" t="n">
        <v>57.86</v>
      </c>
      <c r="ES963" s="2" t="n">
        <v>0</v>
      </c>
      <c r="ET963" s="2" t="n">
        <v>100</v>
      </c>
      <c r="EU963" s="2" t="n">
        <v>69.7</v>
      </c>
      <c r="EV963" s="2" t="n">
        <v>0</v>
      </c>
      <c r="EW963" s="2" t="n">
        <v>100</v>
      </c>
      <c r="EX963" s="2" t="n">
        <v>75.76000000000001</v>
      </c>
      <c r="EY963" s="2" t="n">
        <v>0</v>
      </c>
      <c r="EZ963" s="2" t="n">
        <v>100</v>
      </c>
      <c r="FA963" s="2" t="n">
        <v>81.01000000000001</v>
      </c>
      <c r="FB963" s="2" t="n">
        <v>0</v>
      </c>
      <c r="FC963" s="2" t="n">
        <v>100</v>
      </c>
      <c r="FD963" s="2" t="n">
        <v>87.48</v>
      </c>
      <c r="FE963" s="2" t="n">
        <v>0</v>
      </c>
      <c r="FF963" s="2" t="n">
        <v>100</v>
      </c>
      <c r="FG963" s="2" t="n">
        <v>91.92</v>
      </c>
      <c r="FH963" s="2" t="n">
        <v>0</v>
      </c>
      <c r="FI963" s="2" t="n">
        <v>100</v>
      </c>
      <c r="FJ963" s="2" t="n">
        <v>97.58</v>
      </c>
      <c r="FK963" s="2" t="n">
        <v>0</v>
      </c>
      <c r="FL963" s="2" t="n">
        <v>100</v>
      </c>
      <c r="FM963" s="2" t="n">
        <v>100</v>
      </c>
      <c r="FN963" s="2" t="n">
        <v>0</v>
      </c>
      <c r="FO963" s="2" t="n">
        <v>100</v>
      </c>
      <c r="FP963" s="2" t="n">
        <v>100</v>
      </c>
      <c r="FQ963" s="2" t="n">
        <v>0</v>
      </c>
    </row>
    <row r="964">
      <c r="A964" s="2" t="n">
        <v>3</v>
      </c>
      <c r="B964" s="2" t="inlineStr">
        <is>
          <t>34.03.02</t>
        </is>
      </c>
      <c r="C964" s="2" t="inlineStr">
        <is>
          <t>Cuba redonda para bar ou cozinha cr38 | 38x38 | escovada | mekal</t>
        </is>
      </c>
      <c r="D964" s="2" t="inlineStr">
        <is>
          <t>14/09/2027</t>
        </is>
      </c>
      <c r="E964" s="2" t="inlineStr">
        <is>
          <t>09/01/2029</t>
        </is>
      </c>
      <c r="F964" s="2" t="n">
        <v>7459.41</v>
      </c>
      <c r="G964" s="2" t="n">
        <v>0</v>
      </c>
      <c r="H964" s="2" t="n">
        <v>7459.41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</v>
      </c>
      <c r="CG964" s="2" t="n">
        <v>0</v>
      </c>
      <c r="CH964" s="2" t="n">
        <v>0</v>
      </c>
      <c r="CI964" s="2" t="n">
        <v>0</v>
      </c>
      <c r="CJ964" s="2" t="n">
        <v>0</v>
      </c>
      <c r="CK964" s="2" t="n">
        <v>0</v>
      </c>
      <c r="CL964" s="2" t="n">
        <v>0</v>
      </c>
      <c r="CM964" s="2" t="n">
        <v>0</v>
      </c>
      <c r="CN964" s="2" t="n">
        <v>0</v>
      </c>
      <c r="CO964" s="2" t="n">
        <v>0</v>
      </c>
      <c r="CP964" s="2" t="n">
        <v>0</v>
      </c>
      <c r="CQ964" s="2" t="n">
        <v>0</v>
      </c>
      <c r="CR964" s="2" t="n">
        <v>0</v>
      </c>
      <c r="CS964" s="2" t="n">
        <v>0</v>
      </c>
      <c r="CT964" s="2" t="n">
        <v>0</v>
      </c>
      <c r="CU964" s="2" t="n">
        <v>0</v>
      </c>
      <c r="CV964" s="2" t="n">
        <v>0</v>
      </c>
      <c r="CW964" s="2" t="n">
        <v>0</v>
      </c>
      <c r="CX964" s="2" t="n">
        <v>0</v>
      </c>
      <c r="CY964" s="2" t="n">
        <v>0</v>
      </c>
      <c r="CZ964" s="2" t="n">
        <v>0</v>
      </c>
      <c r="DA964" s="2" t="n">
        <v>0</v>
      </c>
      <c r="DB964" s="2" t="n">
        <v>0</v>
      </c>
      <c r="DC964" s="2" t="n">
        <v>0</v>
      </c>
      <c r="DD964" s="2" t="n">
        <v>0</v>
      </c>
      <c r="DE964" s="2" t="n">
        <v>0</v>
      </c>
      <c r="DF964" s="2" t="n">
        <v>0</v>
      </c>
      <c r="DG964" s="2" t="n">
        <v>0</v>
      </c>
      <c r="DH964" s="2" t="n">
        <v>0</v>
      </c>
      <c r="DI964" s="2" t="n">
        <v>0</v>
      </c>
      <c r="DJ964" s="2" t="n">
        <v>0</v>
      </c>
      <c r="DK964" s="2" t="n">
        <v>0</v>
      </c>
      <c r="DL964" s="2" t="n">
        <v>0</v>
      </c>
      <c r="DM964" s="2" t="n">
        <v>4.94</v>
      </c>
      <c r="DN964" s="2" t="n">
        <v>0</v>
      </c>
      <c r="DO964" s="2" t="n">
        <v>0</v>
      </c>
      <c r="DP964" s="2" t="n">
        <v>10.68</v>
      </c>
      <c r="DQ964" s="2" t="n">
        <v>2.6</v>
      </c>
      <c r="DR964" s="2" t="n">
        <v>0</v>
      </c>
      <c r="DS964" s="2" t="n">
        <v>16.07</v>
      </c>
      <c r="DT964" s="2" t="n">
        <v>5.83</v>
      </c>
      <c r="DU964" s="2" t="n">
        <v>0</v>
      </c>
      <c r="DV964" s="2" t="n">
        <v>18.76</v>
      </c>
      <c r="DW964" s="2" t="n">
        <v>10.68</v>
      </c>
      <c r="DX964" s="2" t="n">
        <v>0</v>
      </c>
      <c r="DY964" s="2" t="n">
        <v>24.93</v>
      </c>
      <c r="DZ964" s="2" t="n">
        <v>11.99</v>
      </c>
      <c r="EA964" s="2" t="n">
        <v>0</v>
      </c>
      <c r="EB964" s="2" t="n">
        <v>35.64</v>
      </c>
      <c r="EC964" s="2" t="n">
        <v>14.4</v>
      </c>
      <c r="ED964" s="2" t="n">
        <v>0</v>
      </c>
      <c r="EE964" s="2" t="n">
        <v>49.75</v>
      </c>
      <c r="EF964" s="2" t="n">
        <v>29.58</v>
      </c>
      <c r="EG964" s="2" t="n">
        <v>0</v>
      </c>
      <c r="EH964" s="2" t="n">
        <v>64.09</v>
      </c>
      <c r="EI964" s="2" t="n">
        <v>37.26</v>
      </c>
      <c r="EJ964" s="2" t="n">
        <v>0</v>
      </c>
      <c r="EK964" s="2" t="n">
        <v>72.62</v>
      </c>
      <c r="EL964" s="2" t="n">
        <v>42.51</v>
      </c>
      <c r="EM964" s="2" t="n">
        <v>0</v>
      </c>
      <c r="EN964" s="2" t="n">
        <v>86.08</v>
      </c>
      <c r="EO964" s="2" t="n">
        <v>47.76</v>
      </c>
      <c r="EP964" s="2" t="n">
        <v>0</v>
      </c>
      <c r="EQ964" s="2" t="n">
        <v>94.61</v>
      </c>
      <c r="ER964" s="2" t="n">
        <v>57.86</v>
      </c>
      <c r="ES964" s="2" t="n">
        <v>0</v>
      </c>
      <c r="ET964" s="2" t="n">
        <v>100</v>
      </c>
      <c r="EU964" s="2" t="n">
        <v>69.7</v>
      </c>
      <c r="EV964" s="2" t="n">
        <v>0</v>
      </c>
      <c r="EW964" s="2" t="n">
        <v>100</v>
      </c>
      <c r="EX964" s="2" t="n">
        <v>75.76000000000001</v>
      </c>
      <c r="EY964" s="2" t="n">
        <v>0</v>
      </c>
      <c r="EZ964" s="2" t="n">
        <v>100</v>
      </c>
      <c r="FA964" s="2" t="n">
        <v>81.01000000000001</v>
      </c>
      <c r="FB964" s="2" t="n">
        <v>0</v>
      </c>
      <c r="FC964" s="2" t="n">
        <v>100</v>
      </c>
      <c r="FD964" s="2" t="n">
        <v>87.48</v>
      </c>
      <c r="FE964" s="2" t="n">
        <v>0</v>
      </c>
      <c r="FF964" s="2" t="n">
        <v>100</v>
      </c>
      <c r="FG964" s="2" t="n">
        <v>91.92</v>
      </c>
      <c r="FH964" s="2" t="n">
        <v>0</v>
      </c>
      <c r="FI964" s="2" t="n">
        <v>100</v>
      </c>
      <c r="FJ964" s="2" t="n">
        <v>97.58</v>
      </c>
      <c r="FK964" s="2" t="n">
        <v>0</v>
      </c>
      <c r="FL964" s="2" t="n">
        <v>100</v>
      </c>
      <c r="FM964" s="2" t="n">
        <v>100</v>
      </c>
      <c r="FN964" s="2" t="n">
        <v>0</v>
      </c>
      <c r="FO964" s="2" t="n">
        <v>100</v>
      </c>
      <c r="FP964" s="2" t="n">
        <v>100</v>
      </c>
      <c r="FQ964" s="2" t="n">
        <v>0</v>
      </c>
    </row>
    <row r="965">
      <c r="A965" s="2" t="n">
        <v>3</v>
      </c>
      <c r="B965" s="2" t="inlineStr">
        <is>
          <t>34.03.03</t>
        </is>
      </c>
      <c r="C965" s="2" t="inlineStr">
        <is>
          <t>Cuba de embutir retangular com vávula, em aço inox. Ref.: Bell Franke BCX 110-55; Franke.</t>
        </is>
      </c>
      <c r="D965" s="2" t="inlineStr">
        <is>
          <t>14/09/2027</t>
        </is>
      </c>
      <c r="E965" s="2" t="inlineStr">
        <is>
          <t>09/01/2029</t>
        </is>
      </c>
      <c r="F965" s="2" t="n">
        <v>3399.6</v>
      </c>
      <c r="G965" s="2" t="n">
        <v>0</v>
      </c>
      <c r="H965" s="2" t="n">
        <v>3399.6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0</v>
      </c>
      <c r="CS965" s="2" t="n">
        <v>0</v>
      </c>
      <c r="CT965" s="2" t="n">
        <v>0</v>
      </c>
      <c r="CU965" s="2" t="n">
        <v>0</v>
      </c>
      <c r="CV965" s="2" t="n">
        <v>0</v>
      </c>
      <c r="CW965" s="2" t="n">
        <v>0</v>
      </c>
      <c r="CX965" s="2" t="n">
        <v>0</v>
      </c>
      <c r="CY965" s="2" t="n">
        <v>0</v>
      </c>
      <c r="CZ965" s="2" t="n">
        <v>0</v>
      </c>
      <c r="DA965" s="2" t="n">
        <v>0</v>
      </c>
      <c r="DB965" s="2" t="n">
        <v>0</v>
      </c>
      <c r="DC965" s="2" t="n">
        <v>0</v>
      </c>
      <c r="DD965" s="2" t="n">
        <v>0</v>
      </c>
      <c r="DE965" s="2" t="n">
        <v>0</v>
      </c>
      <c r="DF965" s="2" t="n">
        <v>0</v>
      </c>
      <c r="DG965" s="2" t="n">
        <v>0</v>
      </c>
      <c r="DH965" s="2" t="n">
        <v>0</v>
      </c>
      <c r="DI965" s="2" t="n">
        <v>0</v>
      </c>
      <c r="DJ965" s="2" t="n">
        <v>0</v>
      </c>
      <c r="DK965" s="2" t="n">
        <v>0</v>
      </c>
      <c r="DL965" s="2" t="n">
        <v>0</v>
      </c>
      <c r="DM965" s="2" t="n">
        <v>4.94</v>
      </c>
      <c r="DN965" s="2" t="n">
        <v>0</v>
      </c>
      <c r="DO965" s="2" t="n">
        <v>0</v>
      </c>
      <c r="DP965" s="2" t="n">
        <v>10.68</v>
      </c>
      <c r="DQ965" s="2" t="n">
        <v>2.6</v>
      </c>
      <c r="DR965" s="2" t="n">
        <v>0</v>
      </c>
      <c r="DS965" s="2" t="n">
        <v>16.07</v>
      </c>
      <c r="DT965" s="2" t="n">
        <v>5.83</v>
      </c>
      <c r="DU965" s="2" t="n">
        <v>0</v>
      </c>
      <c r="DV965" s="2" t="n">
        <v>18.76</v>
      </c>
      <c r="DW965" s="2" t="n">
        <v>10.68</v>
      </c>
      <c r="DX965" s="2" t="n">
        <v>0</v>
      </c>
      <c r="DY965" s="2" t="n">
        <v>24.93</v>
      </c>
      <c r="DZ965" s="2" t="n">
        <v>11.99</v>
      </c>
      <c r="EA965" s="2" t="n">
        <v>0</v>
      </c>
      <c r="EB965" s="2" t="n">
        <v>35.64</v>
      </c>
      <c r="EC965" s="2" t="n">
        <v>14.4</v>
      </c>
      <c r="ED965" s="2" t="n">
        <v>0</v>
      </c>
      <c r="EE965" s="2" t="n">
        <v>49.75</v>
      </c>
      <c r="EF965" s="2" t="n">
        <v>29.58</v>
      </c>
      <c r="EG965" s="2" t="n">
        <v>0</v>
      </c>
      <c r="EH965" s="2" t="n">
        <v>64.09</v>
      </c>
      <c r="EI965" s="2" t="n">
        <v>37.26</v>
      </c>
      <c r="EJ965" s="2" t="n">
        <v>0</v>
      </c>
      <c r="EK965" s="2" t="n">
        <v>72.62</v>
      </c>
      <c r="EL965" s="2" t="n">
        <v>42.51</v>
      </c>
      <c r="EM965" s="2" t="n">
        <v>0</v>
      </c>
      <c r="EN965" s="2" t="n">
        <v>86.08</v>
      </c>
      <c r="EO965" s="2" t="n">
        <v>47.76</v>
      </c>
      <c r="EP965" s="2" t="n">
        <v>0</v>
      </c>
      <c r="EQ965" s="2" t="n">
        <v>94.61</v>
      </c>
      <c r="ER965" s="2" t="n">
        <v>57.86</v>
      </c>
      <c r="ES965" s="2" t="n">
        <v>0</v>
      </c>
      <c r="ET965" s="2" t="n">
        <v>100</v>
      </c>
      <c r="EU965" s="2" t="n">
        <v>69.7</v>
      </c>
      <c r="EV965" s="2" t="n">
        <v>0</v>
      </c>
      <c r="EW965" s="2" t="n">
        <v>100</v>
      </c>
      <c r="EX965" s="2" t="n">
        <v>75.76000000000001</v>
      </c>
      <c r="EY965" s="2" t="n">
        <v>0</v>
      </c>
      <c r="EZ965" s="2" t="n">
        <v>100</v>
      </c>
      <c r="FA965" s="2" t="n">
        <v>81.01000000000001</v>
      </c>
      <c r="FB965" s="2" t="n">
        <v>0</v>
      </c>
      <c r="FC965" s="2" t="n">
        <v>100</v>
      </c>
      <c r="FD965" s="2" t="n">
        <v>87.48</v>
      </c>
      <c r="FE965" s="2" t="n">
        <v>0</v>
      </c>
      <c r="FF965" s="2" t="n">
        <v>100</v>
      </c>
      <c r="FG965" s="2" t="n">
        <v>91.92</v>
      </c>
      <c r="FH965" s="2" t="n">
        <v>0</v>
      </c>
      <c r="FI965" s="2" t="n">
        <v>100</v>
      </c>
      <c r="FJ965" s="2" t="n">
        <v>97.58</v>
      </c>
      <c r="FK965" s="2" t="n">
        <v>0</v>
      </c>
      <c r="FL965" s="2" t="n">
        <v>100</v>
      </c>
      <c r="FM965" s="2" t="n">
        <v>100</v>
      </c>
      <c r="FN965" s="2" t="n">
        <v>0</v>
      </c>
      <c r="FO965" s="2" t="n">
        <v>100</v>
      </c>
      <c r="FP965" s="2" t="n">
        <v>100</v>
      </c>
      <c r="FQ965" s="2" t="n">
        <v>0</v>
      </c>
    </row>
    <row r="966">
      <c r="A966" s="2" t="n">
        <v>3</v>
      </c>
      <c r="B966" s="2" t="inlineStr">
        <is>
          <t>34.03.04</t>
        </is>
      </c>
      <c r="C966" s="2" t="inlineStr">
        <is>
          <t>Cuba dupla de embutir em aço inox. Ref.: Bell Franke BCX 120-35; Franke.</t>
        </is>
      </c>
      <c r="D966" s="2" t="inlineStr">
        <is>
          <t>14/09/2027</t>
        </is>
      </c>
      <c r="E966" s="2" t="inlineStr">
        <is>
          <t>09/01/2029</t>
        </is>
      </c>
      <c r="F966" s="2" t="n">
        <v>1990.27</v>
      </c>
      <c r="G966" s="2" t="n">
        <v>0</v>
      </c>
      <c r="H966" s="2" t="n">
        <v>1990.27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0</v>
      </c>
      <c r="CS966" s="2" t="n">
        <v>0</v>
      </c>
      <c r="CT966" s="2" t="n">
        <v>0</v>
      </c>
      <c r="CU966" s="2" t="n">
        <v>0</v>
      </c>
      <c r="CV966" s="2" t="n">
        <v>0</v>
      </c>
      <c r="CW966" s="2" t="n">
        <v>0</v>
      </c>
      <c r="CX966" s="2" t="n">
        <v>0</v>
      </c>
      <c r="CY966" s="2" t="n">
        <v>0</v>
      </c>
      <c r="CZ966" s="2" t="n">
        <v>0</v>
      </c>
      <c r="DA966" s="2" t="n">
        <v>0</v>
      </c>
      <c r="DB966" s="2" t="n">
        <v>0</v>
      </c>
      <c r="DC966" s="2" t="n">
        <v>0</v>
      </c>
      <c r="DD966" s="2" t="n">
        <v>0</v>
      </c>
      <c r="DE966" s="2" t="n">
        <v>0</v>
      </c>
      <c r="DF966" s="2" t="n">
        <v>0</v>
      </c>
      <c r="DG966" s="2" t="n">
        <v>0</v>
      </c>
      <c r="DH966" s="2" t="n">
        <v>0</v>
      </c>
      <c r="DI966" s="2" t="n">
        <v>0</v>
      </c>
      <c r="DJ966" s="2" t="n">
        <v>0</v>
      </c>
      <c r="DK966" s="2" t="n">
        <v>0</v>
      </c>
      <c r="DL966" s="2" t="n">
        <v>0</v>
      </c>
      <c r="DM966" s="2" t="n">
        <v>4.94</v>
      </c>
      <c r="DN966" s="2" t="n">
        <v>0</v>
      </c>
      <c r="DO966" s="2" t="n">
        <v>0</v>
      </c>
      <c r="DP966" s="2" t="n">
        <v>10.68</v>
      </c>
      <c r="DQ966" s="2" t="n">
        <v>2.6</v>
      </c>
      <c r="DR966" s="2" t="n">
        <v>0</v>
      </c>
      <c r="DS966" s="2" t="n">
        <v>16.07</v>
      </c>
      <c r="DT966" s="2" t="n">
        <v>5.83</v>
      </c>
      <c r="DU966" s="2" t="n">
        <v>0</v>
      </c>
      <c r="DV966" s="2" t="n">
        <v>18.76</v>
      </c>
      <c r="DW966" s="2" t="n">
        <v>10.68</v>
      </c>
      <c r="DX966" s="2" t="n">
        <v>0</v>
      </c>
      <c r="DY966" s="2" t="n">
        <v>24.93</v>
      </c>
      <c r="DZ966" s="2" t="n">
        <v>11.99</v>
      </c>
      <c r="EA966" s="2" t="n">
        <v>0</v>
      </c>
      <c r="EB966" s="2" t="n">
        <v>35.64</v>
      </c>
      <c r="EC966" s="2" t="n">
        <v>14.4</v>
      </c>
      <c r="ED966" s="2" t="n">
        <v>0</v>
      </c>
      <c r="EE966" s="2" t="n">
        <v>49.75</v>
      </c>
      <c r="EF966" s="2" t="n">
        <v>29.58</v>
      </c>
      <c r="EG966" s="2" t="n">
        <v>0</v>
      </c>
      <c r="EH966" s="2" t="n">
        <v>64.09</v>
      </c>
      <c r="EI966" s="2" t="n">
        <v>37.26</v>
      </c>
      <c r="EJ966" s="2" t="n">
        <v>0</v>
      </c>
      <c r="EK966" s="2" t="n">
        <v>72.62</v>
      </c>
      <c r="EL966" s="2" t="n">
        <v>42.51</v>
      </c>
      <c r="EM966" s="2" t="n">
        <v>0</v>
      </c>
      <c r="EN966" s="2" t="n">
        <v>86.08</v>
      </c>
      <c r="EO966" s="2" t="n">
        <v>47.76</v>
      </c>
      <c r="EP966" s="2" t="n">
        <v>0</v>
      </c>
      <c r="EQ966" s="2" t="n">
        <v>94.61</v>
      </c>
      <c r="ER966" s="2" t="n">
        <v>57.86</v>
      </c>
      <c r="ES966" s="2" t="n">
        <v>0</v>
      </c>
      <c r="ET966" s="2" t="n">
        <v>100</v>
      </c>
      <c r="EU966" s="2" t="n">
        <v>69.7</v>
      </c>
      <c r="EV966" s="2" t="n">
        <v>0</v>
      </c>
      <c r="EW966" s="2" t="n">
        <v>100</v>
      </c>
      <c r="EX966" s="2" t="n">
        <v>75.76000000000001</v>
      </c>
      <c r="EY966" s="2" t="n">
        <v>0</v>
      </c>
      <c r="EZ966" s="2" t="n">
        <v>100</v>
      </c>
      <c r="FA966" s="2" t="n">
        <v>81.01000000000001</v>
      </c>
      <c r="FB966" s="2" t="n">
        <v>0</v>
      </c>
      <c r="FC966" s="2" t="n">
        <v>100</v>
      </c>
      <c r="FD966" s="2" t="n">
        <v>87.48</v>
      </c>
      <c r="FE966" s="2" t="n">
        <v>0</v>
      </c>
      <c r="FF966" s="2" t="n">
        <v>100</v>
      </c>
      <c r="FG966" s="2" t="n">
        <v>91.92</v>
      </c>
      <c r="FH966" s="2" t="n">
        <v>0</v>
      </c>
      <c r="FI966" s="2" t="n">
        <v>100</v>
      </c>
      <c r="FJ966" s="2" t="n">
        <v>97.58</v>
      </c>
      <c r="FK966" s="2" t="n">
        <v>0</v>
      </c>
      <c r="FL966" s="2" t="n">
        <v>100</v>
      </c>
      <c r="FM966" s="2" t="n">
        <v>100</v>
      </c>
      <c r="FN966" s="2" t="n">
        <v>0</v>
      </c>
      <c r="FO966" s="2" t="n">
        <v>100</v>
      </c>
      <c r="FP966" s="2" t="n">
        <v>100</v>
      </c>
      <c r="FQ966" s="2" t="n">
        <v>0</v>
      </c>
    </row>
    <row r="967">
      <c r="A967" s="2" t="n">
        <v>3</v>
      </c>
      <c r="B967" s="2" t="inlineStr">
        <is>
          <t>34.03.05</t>
        </is>
      </c>
      <c r="C967" s="2" t="inlineStr">
        <is>
          <t>Cuba Design Collection Quadrum 50 em Aço Inox com Acabamento Scotch Brite. Cód Ref.: REF 94007103. Ref.: Tramontina</t>
        </is>
      </c>
      <c r="D967" s="2" t="inlineStr">
        <is>
          <t>14/09/2027</t>
        </is>
      </c>
      <c r="E967" s="2" t="inlineStr">
        <is>
          <t>09/01/2029</t>
        </is>
      </c>
      <c r="F967" s="2" t="n">
        <v>1167.17</v>
      </c>
      <c r="G967" s="2" t="n">
        <v>0</v>
      </c>
      <c r="H967" s="2" t="n">
        <v>1167.17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0</v>
      </c>
      <c r="CS967" s="2" t="n">
        <v>0</v>
      </c>
      <c r="CT967" s="2" t="n">
        <v>0</v>
      </c>
      <c r="CU967" s="2" t="n">
        <v>0</v>
      </c>
      <c r="CV967" s="2" t="n">
        <v>0</v>
      </c>
      <c r="CW967" s="2" t="n">
        <v>0</v>
      </c>
      <c r="CX967" s="2" t="n">
        <v>0</v>
      </c>
      <c r="CY967" s="2" t="n">
        <v>0</v>
      </c>
      <c r="CZ967" s="2" t="n">
        <v>0</v>
      </c>
      <c r="DA967" s="2" t="n">
        <v>0</v>
      </c>
      <c r="DB967" s="2" t="n">
        <v>0</v>
      </c>
      <c r="DC967" s="2" t="n">
        <v>0</v>
      </c>
      <c r="DD967" s="2" t="n">
        <v>0</v>
      </c>
      <c r="DE967" s="2" t="n">
        <v>0</v>
      </c>
      <c r="DF967" s="2" t="n">
        <v>0</v>
      </c>
      <c r="DG967" s="2" t="n">
        <v>0</v>
      </c>
      <c r="DH967" s="2" t="n">
        <v>0</v>
      </c>
      <c r="DI967" s="2" t="n">
        <v>0</v>
      </c>
      <c r="DJ967" s="2" t="n">
        <v>0</v>
      </c>
      <c r="DK967" s="2" t="n">
        <v>0</v>
      </c>
      <c r="DL967" s="2" t="n">
        <v>0</v>
      </c>
      <c r="DM967" s="2" t="n">
        <v>4.94</v>
      </c>
      <c r="DN967" s="2" t="n">
        <v>0</v>
      </c>
      <c r="DO967" s="2" t="n">
        <v>0</v>
      </c>
      <c r="DP967" s="2" t="n">
        <v>10.68</v>
      </c>
      <c r="DQ967" s="2" t="n">
        <v>2.6</v>
      </c>
      <c r="DR967" s="2" t="n">
        <v>0</v>
      </c>
      <c r="DS967" s="2" t="n">
        <v>16.07</v>
      </c>
      <c r="DT967" s="2" t="n">
        <v>5.83</v>
      </c>
      <c r="DU967" s="2" t="n">
        <v>0</v>
      </c>
      <c r="DV967" s="2" t="n">
        <v>18.76</v>
      </c>
      <c r="DW967" s="2" t="n">
        <v>10.68</v>
      </c>
      <c r="DX967" s="2" t="n">
        <v>0</v>
      </c>
      <c r="DY967" s="2" t="n">
        <v>24.93</v>
      </c>
      <c r="DZ967" s="2" t="n">
        <v>11.99</v>
      </c>
      <c r="EA967" s="2" t="n">
        <v>0</v>
      </c>
      <c r="EB967" s="2" t="n">
        <v>35.64</v>
      </c>
      <c r="EC967" s="2" t="n">
        <v>14.4</v>
      </c>
      <c r="ED967" s="2" t="n">
        <v>0</v>
      </c>
      <c r="EE967" s="2" t="n">
        <v>49.75</v>
      </c>
      <c r="EF967" s="2" t="n">
        <v>29.58</v>
      </c>
      <c r="EG967" s="2" t="n">
        <v>0</v>
      </c>
      <c r="EH967" s="2" t="n">
        <v>64.09</v>
      </c>
      <c r="EI967" s="2" t="n">
        <v>37.26</v>
      </c>
      <c r="EJ967" s="2" t="n">
        <v>0</v>
      </c>
      <c r="EK967" s="2" t="n">
        <v>72.62</v>
      </c>
      <c r="EL967" s="2" t="n">
        <v>42.51</v>
      </c>
      <c r="EM967" s="2" t="n">
        <v>0</v>
      </c>
      <c r="EN967" s="2" t="n">
        <v>86.08</v>
      </c>
      <c r="EO967" s="2" t="n">
        <v>47.76</v>
      </c>
      <c r="EP967" s="2" t="n">
        <v>0</v>
      </c>
      <c r="EQ967" s="2" t="n">
        <v>94.61</v>
      </c>
      <c r="ER967" s="2" t="n">
        <v>57.86</v>
      </c>
      <c r="ES967" s="2" t="n">
        <v>0</v>
      </c>
      <c r="ET967" s="2" t="n">
        <v>100</v>
      </c>
      <c r="EU967" s="2" t="n">
        <v>69.7</v>
      </c>
      <c r="EV967" s="2" t="n">
        <v>0</v>
      </c>
      <c r="EW967" s="2" t="n">
        <v>100</v>
      </c>
      <c r="EX967" s="2" t="n">
        <v>75.76000000000001</v>
      </c>
      <c r="EY967" s="2" t="n">
        <v>0</v>
      </c>
      <c r="EZ967" s="2" t="n">
        <v>100</v>
      </c>
      <c r="FA967" s="2" t="n">
        <v>81.01000000000001</v>
      </c>
      <c r="FB967" s="2" t="n">
        <v>0</v>
      </c>
      <c r="FC967" s="2" t="n">
        <v>100</v>
      </c>
      <c r="FD967" s="2" t="n">
        <v>87.48</v>
      </c>
      <c r="FE967" s="2" t="n">
        <v>0</v>
      </c>
      <c r="FF967" s="2" t="n">
        <v>100</v>
      </c>
      <c r="FG967" s="2" t="n">
        <v>91.92</v>
      </c>
      <c r="FH967" s="2" t="n">
        <v>0</v>
      </c>
      <c r="FI967" s="2" t="n">
        <v>100</v>
      </c>
      <c r="FJ967" s="2" t="n">
        <v>97.58</v>
      </c>
      <c r="FK967" s="2" t="n">
        <v>0</v>
      </c>
      <c r="FL967" s="2" t="n">
        <v>100</v>
      </c>
      <c r="FM967" s="2" t="n">
        <v>100</v>
      </c>
      <c r="FN967" s="2" t="n">
        <v>0</v>
      </c>
      <c r="FO967" s="2" t="n">
        <v>100</v>
      </c>
      <c r="FP967" s="2" t="n">
        <v>100</v>
      </c>
      <c r="FQ967" s="2" t="n">
        <v>0</v>
      </c>
    </row>
    <row r="968">
      <c r="A968" s="2" t="n">
        <v>3</v>
      </c>
      <c r="B968" s="2" t="inlineStr">
        <is>
          <t>34.03.06</t>
        </is>
      </c>
      <c r="C968" s="2" t="inlineStr">
        <is>
          <t>Cuba Design Collection Quadrum 70 Edição Especial. Cód Ref.: REF 94000109. Ref.: Tramontina.</t>
        </is>
      </c>
      <c r="D968" s="2" t="inlineStr">
        <is>
          <t>14/09/2027</t>
        </is>
      </c>
      <c r="E968" s="2" t="inlineStr">
        <is>
          <t>09/01/2029</t>
        </is>
      </c>
      <c r="F968" s="2" t="n">
        <v>1497.57</v>
      </c>
      <c r="G968" s="2" t="n">
        <v>0</v>
      </c>
      <c r="H968" s="2" t="n">
        <v>1497.57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0</v>
      </c>
      <c r="AW968" s="2" t="n">
        <v>0</v>
      </c>
      <c r="AX968" s="2" t="n">
        <v>0</v>
      </c>
      <c r="AY968" s="2" t="n">
        <v>0</v>
      </c>
      <c r="AZ968" s="2" t="n">
        <v>0</v>
      </c>
      <c r="BA968" s="2" t="n">
        <v>0</v>
      </c>
      <c r="BB968" s="2" t="n">
        <v>0</v>
      </c>
      <c r="BC968" s="2" t="n">
        <v>0</v>
      </c>
      <c r="BD968" s="2" t="n">
        <v>0</v>
      </c>
      <c r="BE968" s="2" t="n">
        <v>0</v>
      </c>
      <c r="BF968" s="2" t="n">
        <v>0</v>
      </c>
      <c r="BG968" s="2" t="n">
        <v>0</v>
      </c>
      <c r="BH968" s="2" t="n">
        <v>0</v>
      </c>
      <c r="BI968" s="2" t="n">
        <v>0</v>
      </c>
      <c r="BJ968" s="2" t="n">
        <v>0</v>
      </c>
      <c r="BK968" s="2" t="n">
        <v>0</v>
      </c>
      <c r="BL968" s="2" t="n">
        <v>0</v>
      </c>
      <c r="BM968" s="2" t="n">
        <v>0</v>
      </c>
      <c r="BN968" s="2" t="n">
        <v>0</v>
      </c>
      <c r="BO968" s="2" t="n">
        <v>0</v>
      </c>
      <c r="BP968" s="2" t="n">
        <v>0</v>
      </c>
      <c r="BQ968" s="2" t="n">
        <v>0</v>
      </c>
      <c r="BR968" s="2" t="n">
        <v>0</v>
      </c>
      <c r="BS968" s="2" t="n">
        <v>0</v>
      </c>
      <c r="BT968" s="2" t="n">
        <v>0</v>
      </c>
      <c r="BU968" s="2" t="n">
        <v>0</v>
      </c>
      <c r="BV968" s="2" t="n">
        <v>0</v>
      </c>
      <c r="BW968" s="2" t="n">
        <v>0</v>
      </c>
      <c r="BX968" s="2" t="n">
        <v>0</v>
      </c>
      <c r="BY968" s="2" t="n">
        <v>0</v>
      </c>
      <c r="BZ968" s="2" t="n">
        <v>0</v>
      </c>
      <c r="CA968" s="2" t="n">
        <v>0</v>
      </c>
      <c r="CB968" s="2" t="n">
        <v>0</v>
      </c>
      <c r="CC968" s="2" t="n">
        <v>0</v>
      </c>
      <c r="CD968" s="2" t="n">
        <v>0</v>
      </c>
      <c r="CE968" s="2" t="n">
        <v>0</v>
      </c>
      <c r="CF968" s="2" t="n">
        <v>0</v>
      </c>
      <c r="CG968" s="2" t="n">
        <v>0</v>
      </c>
      <c r="CH968" s="2" t="n">
        <v>0</v>
      </c>
      <c r="CI968" s="2" t="n">
        <v>0</v>
      </c>
      <c r="CJ968" s="2" t="n">
        <v>0</v>
      </c>
      <c r="CK968" s="2" t="n">
        <v>0</v>
      </c>
      <c r="CL968" s="2" t="n">
        <v>0</v>
      </c>
      <c r="CM968" s="2" t="n">
        <v>0</v>
      </c>
      <c r="CN968" s="2" t="n">
        <v>0</v>
      </c>
      <c r="CO968" s="2" t="n">
        <v>0</v>
      </c>
      <c r="CP968" s="2" t="n">
        <v>0</v>
      </c>
      <c r="CQ968" s="2" t="n">
        <v>0</v>
      </c>
      <c r="CR968" s="2" t="n">
        <v>0</v>
      </c>
      <c r="CS968" s="2" t="n">
        <v>0</v>
      </c>
      <c r="CT968" s="2" t="n">
        <v>0</v>
      </c>
      <c r="CU968" s="2" t="n">
        <v>0</v>
      </c>
      <c r="CV968" s="2" t="n">
        <v>0</v>
      </c>
      <c r="CW968" s="2" t="n">
        <v>0</v>
      </c>
      <c r="CX968" s="2" t="n">
        <v>0</v>
      </c>
      <c r="CY968" s="2" t="n">
        <v>0</v>
      </c>
      <c r="CZ968" s="2" t="n">
        <v>0</v>
      </c>
      <c r="DA968" s="2" t="n">
        <v>0</v>
      </c>
      <c r="DB968" s="2" t="n">
        <v>0</v>
      </c>
      <c r="DC968" s="2" t="n">
        <v>0</v>
      </c>
      <c r="DD968" s="2" t="n">
        <v>0</v>
      </c>
      <c r="DE968" s="2" t="n">
        <v>0</v>
      </c>
      <c r="DF968" s="2" t="n">
        <v>0</v>
      </c>
      <c r="DG968" s="2" t="n">
        <v>0</v>
      </c>
      <c r="DH968" s="2" t="n">
        <v>0</v>
      </c>
      <c r="DI968" s="2" t="n">
        <v>0</v>
      </c>
      <c r="DJ968" s="2" t="n">
        <v>0</v>
      </c>
      <c r="DK968" s="2" t="n">
        <v>0</v>
      </c>
      <c r="DL968" s="2" t="n">
        <v>0</v>
      </c>
      <c r="DM968" s="2" t="n">
        <v>4.94</v>
      </c>
      <c r="DN968" s="2" t="n">
        <v>0</v>
      </c>
      <c r="DO968" s="2" t="n">
        <v>0</v>
      </c>
      <c r="DP968" s="2" t="n">
        <v>10.68</v>
      </c>
      <c r="DQ968" s="2" t="n">
        <v>2.6</v>
      </c>
      <c r="DR968" s="2" t="n">
        <v>0</v>
      </c>
      <c r="DS968" s="2" t="n">
        <v>16.07</v>
      </c>
      <c r="DT968" s="2" t="n">
        <v>5.83</v>
      </c>
      <c r="DU968" s="2" t="n">
        <v>0</v>
      </c>
      <c r="DV968" s="2" t="n">
        <v>18.76</v>
      </c>
      <c r="DW968" s="2" t="n">
        <v>10.68</v>
      </c>
      <c r="DX968" s="2" t="n">
        <v>0</v>
      </c>
      <c r="DY968" s="2" t="n">
        <v>24.93</v>
      </c>
      <c r="DZ968" s="2" t="n">
        <v>11.99</v>
      </c>
      <c r="EA968" s="2" t="n">
        <v>0</v>
      </c>
      <c r="EB968" s="2" t="n">
        <v>35.64</v>
      </c>
      <c r="EC968" s="2" t="n">
        <v>14.4</v>
      </c>
      <c r="ED968" s="2" t="n">
        <v>0</v>
      </c>
      <c r="EE968" s="2" t="n">
        <v>49.75</v>
      </c>
      <c r="EF968" s="2" t="n">
        <v>29.58</v>
      </c>
      <c r="EG968" s="2" t="n">
        <v>0</v>
      </c>
      <c r="EH968" s="2" t="n">
        <v>64.09</v>
      </c>
      <c r="EI968" s="2" t="n">
        <v>37.26</v>
      </c>
      <c r="EJ968" s="2" t="n">
        <v>0</v>
      </c>
      <c r="EK968" s="2" t="n">
        <v>72.62</v>
      </c>
      <c r="EL968" s="2" t="n">
        <v>42.51</v>
      </c>
      <c r="EM968" s="2" t="n">
        <v>0</v>
      </c>
      <c r="EN968" s="2" t="n">
        <v>86.08</v>
      </c>
      <c r="EO968" s="2" t="n">
        <v>47.76</v>
      </c>
      <c r="EP968" s="2" t="n">
        <v>0</v>
      </c>
      <c r="EQ968" s="2" t="n">
        <v>94.61</v>
      </c>
      <c r="ER968" s="2" t="n">
        <v>57.86</v>
      </c>
      <c r="ES968" s="2" t="n">
        <v>0</v>
      </c>
      <c r="ET968" s="2" t="n">
        <v>100</v>
      </c>
      <c r="EU968" s="2" t="n">
        <v>69.7</v>
      </c>
      <c r="EV968" s="2" t="n">
        <v>0</v>
      </c>
      <c r="EW968" s="2" t="n">
        <v>100</v>
      </c>
      <c r="EX968" s="2" t="n">
        <v>75.76000000000001</v>
      </c>
      <c r="EY968" s="2" t="n">
        <v>0</v>
      </c>
      <c r="EZ968" s="2" t="n">
        <v>100</v>
      </c>
      <c r="FA968" s="2" t="n">
        <v>81.01000000000001</v>
      </c>
      <c r="FB968" s="2" t="n">
        <v>0</v>
      </c>
      <c r="FC968" s="2" t="n">
        <v>100</v>
      </c>
      <c r="FD968" s="2" t="n">
        <v>87.48</v>
      </c>
      <c r="FE968" s="2" t="n">
        <v>0</v>
      </c>
      <c r="FF968" s="2" t="n">
        <v>100</v>
      </c>
      <c r="FG968" s="2" t="n">
        <v>91.92</v>
      </c>
      <c r="FH968" s="2" t="n">
        <v>0</v>
      </c>
      <c r="FI968" s="2" t="n">
        <v>100</v>
      </c>
      <c r="FJ968" s="2" t="n">
        <v>97.58</v>
      </c>
      <c r="FK968" s="2" t="n">
        <v>0</v>
      </c>
      <c r="FL968" s="2" t="n">
        <v>100</v>
      </c>
      <c r="FM968" s="2" t="n">
        <v>100</v>
      </c>
      <c r="FN968" s="2" t="n">
        <v>0</v>
      </c>
      <c r="FO968" s="2" t="n">
        <v>100</v>
      </c>
      <c r="FP968" s="2" t="n">
        <v>100</v>
      </c>
      <c r="FQ968" s="2" t="n">
        <v>0</v>
      </c>
    </row>
    <row r="969">
      <c r="A969" s="2" t="n">
        <v>3</v>
      </c>
      <c r="B969" s="2" t="inlineStr">
        <is>
          <t>34.03.07</t>
        </is>
      </c>
      <c r="C969" s="2" t="inlineStr">
        <is>
          <t>Misturador monocomando de mesa para cozinha level | cromado | deca | código: 2271.c26 - Circ. Estar intimo</t>
        </is>
      </c>
      <c r="D969" s="2" t="inlineStr">
        <is>
          <t>20/10/2027</t>
        </is>
      </c>
      <c r="E969" s="2" t="inlineStr">
        <is>
          <t>09/01/2029</t>
        </is>
      </c>
      <c r="F969" s="2" t="n">
        <v>10571.80111256284</v>
      </c>
      <c r="G969" s="2" t="n">
        <v>0</v>
      </c>
      <c r="H969" s="2" t="n">
        <v>10571.80111256284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0</v>
      </c>
      <c r="AW969" s="2" t="n">
        <v>0</v>
      </c>
      <c r="AX969" s="2" t="n">
        <v>0</v>
      </c>
      <c r="AY969" s="2" t="n">
        <v>0</v>
      </c>
      <c r="AZ969" s="2" t="n">
        <v>0</v>
      </c>
      <c r="BA969" s="2" t="n">
        <v>0</v>
      </c>
      <c r="BB969" s="2" t="n">
        <v>0</v>
      </c>
      <c r="BC969" s="2" t="n">
        <v>0</v>
      </c>
      <c r="BD969" s="2" t="n">
        <v>0</v>
      </c>
      <c r="BE969" s="2" t="n">
        <v>0</v>
      </c>
      <c r="BF969" s="2" t="n">
        <v>0</v>
      </c>
      <c r="BG969" s="2" t="n">
        <v>0</v>
      </c>
      <c r="BH969" s="2" t="n">
        <v>0</v>
      </c>
      <c r="BI969" s="2" t="n">
        <v>0</v>
      </c>
      <c r="BJ969" s="2" t="n">
        <v>0</v>
      </c>
      <c r="BK969" s="2" t="n">
        <v>0</v>
      </c>
      <c r="BL969" s="2" t="n">
        <v>0</v>
      </c>
      <c r="BM969" s="2" t="n">
        <v>0</v>
      </c>
      <c r="BN969" s="2" t="n">
        <v>0</v>
      </c>
      <c r="BO969" s="2" t="n">
        <v>0</v>
      </c>
      <c r="BP969" s="2" t="n">
        <v>0</v>
      </c>
      <c r="BQ969" s="2" t="n">
        <v>0</v>
      </c>
      <c r="BR969" s="2" t="n">
        <v>0</v>
      </c>
      <c r="BS969" s="2" t="n">
        <v>0</v>
      </c>
      <c r="BT969" s="2" t="n">
        <v>0</v>
      </c>
      <c r="BU969" s="2" t="n">
        <v>0</v>
      </c>
      <c r="BV969" s="2" t="n">
        <v>0</v>
      </c>
      <c r="BW969" s="2" t="n">
        <v>0</v>
      </c>
      <c r="BX969" s="2" t="n">
        <v>0</v>
      </c>
      <c r="BY969" s="2" t="n">
        <v>0</v>
      </c>
      <c r="BZ969" s="2" t="n">
        <v>0</v>
      </c>
      <c r="CA969" s="2" t="n">
        <v>0</v>
      </c>
      <c r="CB969" s="2" t="n">
        <v>0</v>
      </c>
      <c r="CC969" s="2" t="n">
        <v>0</v>
      </c>
      <c r="CD969" s="2" t="n">
        <v>0</v>
      </c>
      <c r="CE969" s="2" t="n">
        <v>0</v>
      </c>
      <c r="CF969" s="2" t="n">
        <v>0</v>
      </c>
      <c r="CG969" s="2" t="n">
        <v>0</v>
      </c>
      <c r="CH969" s="2" t="n">
        <v>0</v>
      </c>
      <c r="CI969" s="2" t="n">
        <v>0</v>
      </c>
      <c r="CJ969" s="2" t="n">
        <v>0</v>
      </c>
      <c r="CK969" s="2" t="n">
        <v>0</v>
      </c>
      <c r="CL969" s="2" t="n">
        <v>0</v>
      </c>
      <c r="CM969" s="2" t="n">
        <v>0</v>
      </c>
      <c r="CN969" s="2" t="n">
        <v>0</v>
      </c>
      <c r="CO969" s="2" t="n">
        <v>0</v>
      </c>
      <c r="CP969" s="2" t="n">
        <v>0</v>
      </c>
      <c r="CQ969" s="2" t="n">
        <v>0</v>
      </c>
      <c r="CR969" s="2" t="n">
        <v>0</v>
      </c>
      <c r="CS969" s="2" t="n">
        <v>0</v>
      </c>
      <c r="CT969" s="2" t="n">
        <v>0</v>
      </c>
      <c r="CU969" s="2" t="n">
        <v>0</v>
      </c>
      <c r="CV969" s="2" t="n">
        <v>0</v>
      </c>
      <c r="CW969" s="2" t="n">
        <v>0</v>
      </c>
      <c r="CX969" s="2" t="n">
        <v>0</v>
      </c>
      <c r="CY969" s="2" t="n">
        <v>0</v>
      </c>
      <c r="CZ969" s="2" t="n">
        <v>0</v>
      </c>
      <c r="DA969" s="2" t="n">
        <v>0</v>
      </c>
      <c r="DB969" s="2" t="n">
        <v>0</v>
      </c>
      <c r="DC969" s="2" t="n">
        <v>0</v>
      </c>
      <c r="DD969" s="2" t="n">
        <v>0</v>
      </c>
      <c r="DE969" s="2" t="n">
        <v>0</v>
      </c>
      <c r="DF969" s="2" t="n">
        <v>0</v>
      </c>
      <c r="DG969" s="2" t="n">
        <v>0</v>
      </c>
      <c r="DH969" s="2" t="n">
        <v>0</v>
      </c>
      <c r="DI969" s="2" t="n">
        <v>0</v>
      </c>
      <c r="DJ969" s="2" t="n">
        <v>0</v>
      </c>
      <c r="DK969" s="2" t="n">
        <v>0</v>
      </c>
      <c r="DL969" s="2" t="n">
        <v>0</v>
      </c>
      <c r="DM969" s="2" t="n">
        <v>4.94</v>
      </c>
      <c r="DN969" s="2" t="n">
        <v>0</v>
      </c>
      <c r="DO969" s="2" t="n">
        <v>0</v>
      </c>
      <c r="DP969" s="2" t="n">
        <v>8.08</v>
      </c>
      <c r="DQ969" s="2" t="n">
        <v>0</v>
      </c>
      <c r="DR969" s="2" t="n">
        <v>0</v>
      </c>
      <c r="DS969" s="2" t="n">
        <v>14.77</v>
      </c>
      <c r="DT969" s="2" t="n">
        <v>4.01</v>
      </c>
      <c r="DU969" s="2" t="n">
        <v>0</v>
      </c>
      <c r="DV969" s="2" t="n">
        <v>18.76</v>
      </c>
      <c r="DW969" s="2" t="n">
        <v>10.68</v>
      </c>
      <c r="DX969" s="2" t="n">
        <v>0</v>
      </c>
      <c r="DY969" s="2" t="n">
        <v>23.88</v>
      </c>
      <c r="DZ969" s="2" t="n">
        <v>10.94</v>
      </c>
      <c r="EA969" s="2" t="n">
        <v>0</v>
      </c>
      <c r="EB969" s="2" t="n">
        <v>35.64</v>
      </c>
      <c r="EC969" s="2" t="n">
        <v>14.4</v>
      </c>
      <c r="ED969" s="2" t="n">
        <v>0</v>
      </c>
      <c r="EE969" s="2" t="n">
        <v>49.75</v>
      </c>
      <c r="EF969" s="2" t="n">
        <v>29.58</v>
      </c>
      <c r="EG969" s="2" t="n">
        <v>0</v>
      </c>
      <c r="EH969" s="2" t="n">
        <v>64.09</v>
      </c>
      <c r="EI969" s="2" t="n">
        <v>37.26</v>
      </c>
      <c r="EJ969" s="2" t="n">
        <v>0</v>
      </c>
      <c r="EK969" s="2" t="n">
        <v>72.62</v>
      </c>
      <c r="EL969" s="2" t="n">
        <v>42.51</v>
      </c>
      <c r="EM969" s="2" t="n">
        <v>0</v>
      </c>
      <c r="EN969" s="2" t="n">
        <v>86.08</v>
      </c>
      <c r="EO969" s="2" t="n">
        <v>47.76</v>
      </c>
      <c r="EP969" s="2" t="n">
        <v>0</v>
      </c>
      <c r="EQ969" s="2" t="n">
        <v>94.61</v>
      </c>
      <c r="ER969" s="2" t="n">
        <v>57.86</v>
      </c>
      <c r="ES969" s="2" t="n">
        <v>0</v>
      </c>
      <c r="ET969" s="2" t="n">
        <v>100</v>
      </c>
      <c r="EU969" s="2" t="n">
        <v>69.7</v>
      </c>
      <c r="EV969" s="2" t="n">
        <v>0</v>
      </c>
      <c r="EW969" s="2" t="n">
        <v>100</v>
      </c>
      <c r="EX969" s="2" t="n">
        <v>75.76000000000001</v>
      </c>
      <c r="EY969" s="2" t="n">
        <v>0</v>
      </c>
      <c r="EZ969" s="2" t="n">
        <v>100</v>
      </c>
      <c r="FA969" s="2" t="n">
        <v>81.01000000000001</v>
      </c>
      <c r="FB969" s="2" t="n">
        <v>0</v>
      </c>
      <c r="FC969" s="2" t="n">
        <v>100</v>
      </c>
      <c r="FD969" s="2" t="n">
        <v>87.48</v>
      </c>
      <c r="FE969" s="2" t="n">
        <v>0</v>
      </c>
      <c r="FF969" s="2" t="n">
        <v>100</v>
      </c>
      <c r="FG969" s="2" t="n">
        <v>91.92</v>
      </c>
      <c r="FH969" s="2" t="n">
        <v>0</v>
      </c>
      <c r="FI969" s="2" t="n">
        <v>100</v>
      </c>
      <c r="FJ969" s="2" t="n">
        <v>97.58</v>
      </c>
      <c r="FK969" s="2" t="n">
        <v>0</v>
      </c>
      <c r="FL969" s="2" t="n">
        <v>100</v>
      </c>
      <c r="FM969" s="2" t="n">
        <v>100</v>
      </c>
      <c r="FN969" s="2" t="n">
        <v>0</v>
      </c>
      <c r="FO969" s="2" t="n">
        <v>100</v>
      </c>
      <c r="FP969" s="2" t="n">
        <v>100</v>
      </c>
      <c r="FQ969" s="2" t="n">
        <v>0</v>
      </c>
    </row>
    <row r="970">
      <c r="A970" s="2" t="n">
        <v>3</v>
      </c>
      <c r="B970" s="2" t="inlineStr">
        <is>
          <t>34.03.08</t>
        </is>
      </c>
      <c r="C970" s="2" t="inlineStr">
        <is>
          <t>'Torneira de parede com arejador, para Jardim e Tanque, cromado. Ref.: cód. 1154.C37; Linha Izy; Deca.</t>
        </is>
      </c>
      <c r="D970" s="2" t="inlineStr">
        <is>
          <t>20/10/2027</t>
        </is>
      </c>
      <c r="E970" s="2" t="inlineStr">
        <is>
          <t>09/01/2029</t>
        </is>
      </c>
      <c r="F970" s="2" t="n">
        <v>143.6091005982306</v>
      </c>
      <c r="G970" s="2" t="n">
        <v>0</v>
      </c>
      <c r="H970" s="2" t="n">
        <v>143.6091005982306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0</v>
      </c>
      <c r="AW970" s="2" t="n">
        <v>0</v>
      </c>
      <c r="AX970" s="2" t="n">
        <v>0</v>
      </c>
      <c r="AY970" s="2" t="n">
        <v>0</v>
      </c>
      <c r="AZ970" s="2" t="n">
        <v>0</v>
      </c>
      <c r="BA970" s="2" t="n">
        <v>0</v>
      </c>
      <c r="BB970" s="2" t="n">
        <v>0</v>
      </c>
      <c r="BC970" s="2" t="n">
        <v>0</v>
      </c>
      <c r="BD970" s="2" t="n">
        <v>0</v>
      </c>
      <c r="BE970" s="2" t="n">
        <v>0</v>
      </c>
      <c r="BF970" s="2" t="n">
        <v>0</v>
      </c>
      <c r="BG970" s="2" t="n">
        <v>0</v>
      </c>
      <c r="BH970" s="2" t="n">
        <v>0</v>
      </c>
      <c r="BI970" s="2" t="n">
        <v>0</v>
      </c>
      <c r="BJ970" s="2" t="n">
        <v>0</v>
      </c>
      <c r="BK970" s="2" t="n">
        <v>0</v>
      </c>
      <c r="BL970" s="2" t="n">
        <v>0</v>
      </c>
      <c r="BM970" s="2" t="n">
        <v>0</v>
      </c>
      <c r="BN970" s="2" t="n">
        <v>0</v>
      </c>
      <c r="BO970" s="2" t="n">
        <v>0</v>
      </c>
      <c r="BP970" s="2" t="n">
        <v>0</v>
      </c>
      <c r="BQ970" s="2" t="n">
        <v>0</v>
      </c>
      <c r="BR970" s="2" t="n">
        <v>0</v>
      </c>
      <c r="BS970" s="2" t="n">
        <v>0</v>
      </c>
      <c r="BT970" s="2" t="n">
        <v>0</v>
      </c>
      <c r="BU970" s="2" t="n">
        <v>0</v>
      </c>
      <c r="BV970" s="2" t="n">
        <v>0</v>
      </c>
      <c r="BW970" s="2" t="n">
        <v>0</v>
      </c>
      <c r="BX970" s="2" t="n">
        <v>0</v>
      </c>
      <c r="BY970" s="2" t="n">
        <v>0</v>
      </c>
      <c r="BZ970" s="2" t="n">
        <v>0</v>
      </c>
      <c r="CA970" s="2" t="n">
        <v>0</v>
      </c>
      <c r="CB970" s="2" t="n">
        <v>0</v>
      </c>
      <c r="CC970" s="2" t="n">
        <v>0</v>
      </c>
      <c r="CD970" s="2" t="n">
        <v>0</v>
      </c>
      <c r="CE970" s="2" t="n">
        <v>0</v>
      </c>
      <c r="CF970" s="2" t="n">
        <v>0</v>
      </c>
      <c r="CG970" s="2" t="n">
        <v>0</v>
      </c>
      <c r="CH970" s="2" t="n">
        <v>0</v>
      </c>
      <c r="CI970" s="2" t="n">
        <v>0</v>
      </c>
      <c r="CJ970" s="2" t="n">
        <v>0</v>
      </c>
      <c r="CK970" s="2" t="n">
        <v>0</v>
      </c>
      <c r="CL970" s="2" t="n">
        <v>0</v>
      </c>
      <c r="CM970" s="2" t="n">
        <v>0</v>
      </c>
      <c r="CN970" s="2" t="n">
        <v>0</v>
      </c>
      <c r="CO970" s="2" t="n">
        <v>0</v>
      </c>
      <c r="CP970" s="2" t="n">
        <v>0</v>
      </c>
      <c r="CQ970" s="2" t="n">
        <v>0</v>
      </c>
      <c r="CR970" s="2" t="n">
        <v>0</v>
      </c>
      <c r="CS970" s="2" t="n">
        <v>0</v>
      </c>
      <c r="CT970" s="2" t="n">
        <v>0</v>
      </c>
      <c r="CU970" s="2" t="n">
        <v>0</v>
      </c>
      <c r="CV970" s="2" t="n">
        <v>0</v>
      </c>
      <c r="CW970" s="2" t="n">
        <v>0</v>
      </c>
      <c r="CX970" s="2" t="n">
        <v>0</v>
      </c>
      <c r="CY970" s="2" t="n">
        <v>0</v>
      </c>
      <c r="CZ970" s="2" t="n">
        <v>0</v>
      </c>
      <c r="DA970" s="2" t="n">
        <v>0</v>
      </c>
      <c r="DB970" s="2" t="n">
        <v>0</v>
      </c>
      <c r="DC970" s="2" t="n">
        <v>0</v>
      </c>
      <c r="DD970" s="2" t="n">
        <v>0</v>
      </c>
      <c r="DE970" s="2" t="n">
        <v>0</v>
      </c>
      <c r="DF970" s="2" t="n">
        <v>0</v>
      </c>
      <c r="DG970" s="2" t="n">
        <v>0</v>
      </c>
      <c r="DH970" s="2" t="n">
        <v>0</v>
      </c>
      <c r="DI970" s="2" t="n">
        <v>0</v>
      </c>
      <c r="DJ970" s="2" t="n">
        <v>0</v>
      </c>
      <c r="DK970" s="2" t="n">
        <v>0</v>
      </c>
      <c r="DL970" s="2" t="n">
        <v>0</v>
      </c>
      <c r="DM970" s="2" t="n">
        <v>4.94</v>
      </c>
      <c r="DN970" s="2" t="n">
        <v>0</v>
      </c>
      <c r="DO970" s="2" t="n">
        <v>0</v>
      </c>
      <c r="DP970" s="2" t="n">
        <v>8.08</v>
      </c>
      <c r="DQ970" s="2" t="n">
        <v>0</v>
      </c>
      <c r="DR970" s="2" t="n">
        <v>0</v>
      </c>
      <c r="DS970" s="2" t="n">
        <v>14.77</v>
      </c>
      <c r="DT970" s="2" t="n">
        <v>4.01</v>
      </c>
      <c r="DU970" s="2" t="n">
        <v>0</v>
      </c>
      <c r="DV970" s="2" t="n">
        <v>18.76</v>
      </c>
      <c r="DW970" s="2" t="n">
        <v>10.68</v>
      </c>
      <c r="DX970" s="2" t="n">
        <v>0</v>
      </c>
      <c r="DY970" s="2" t="n">
        <v>23.88</v>
      </c>
      <c r="DZ970" s="2" t="n">
        <v>10.94</v>
      </c>
      <c r="EA970" s="2" t="n">
        <v>0</v>
      </c>
      <c r="EB970" s="2" t="n">
        <v>35.64</v>
      </c>
      <c r="EC970" s="2" t="n">
        <v>14.4</v>
      </c>
      <c r="ED970" s="2" t="n">
        <v>0</v>
      </c>
      <c r="EE970" s="2" t="n">
        <v>49.75</v>
      </c>
      <c r="EF970" s="2" t="n">
        <v>29.58</v>
      </c>
      <c r="EG970" s="2" t="n">
        <v>0</v>
      </c>
      <c r="EH970" s="2" t="n">
        <v>64.09</v>
      </c>
      <c r="EI970" s="2" t="n">
        <v>37.26</v>
      </c>
      <c r="EJ970" s="2" t="n">
        <v>0</v>
      </c>
      <c r="EK970" s="2" t="n">
        <v>72.62</v>
      </c>
      <c r="EL970" s="2" t="n">
        <v>42.51</v>
      </c>
      <c r="EM970" s="2" t="n">
        <v>0</v>
      </c>
      <c r="EN970" s="2" t="n">
        <v>86.08</v>
      </c>
      <c r="EO970" s="2" t="n">
        <v>47.76</v>
      </c>
      <c r="EP970" s="2" t="n">
        <v>0</v>
      </c>
      <c r="EQ970" s="2" t="n">
        <v>94.61</v>
      </c>
      <c r="ER970" s="2" t="n">
        <v>57.86</v>
      </c>
      <c r="ES970" s="2" t="n">
        <v>0</v>
      </c>
      <c r="ET970" s="2" t="n">
        <v>100</v>
      </c>
      <c r="EU970" s="2" t="n">
        <v>69.7</v>
      </c>
      <c r="EV970" s="2" t="n">
        <v>0</v>
      </c>
      <c r="EW970" s="2" t="n">
        <v>100</v>
      </c>
      <c r="EX970" s="2" t="n">
        <v>75.76000000000001</v>
      </c>
      <c r="EY970" s="2" t="n">
        <v>0</v>
      </c>
      <c r="EZ970" s="2" t="n">
        <v>100</v>
      </c>
      <c r="FA970" s="2" t="n">
        <v>81.01000000000001</v>
      </c>
      <c r="FB970" s="2" t="n">
        <v>0</v>
      </c>
      <c r="FC970" s="2" t="n">
        <v>100</v>
      </c>
      <c r="FD970" s="2" t="n">
        <v>87.48</v>
      </c>
      <c r="FE970" s="2" t="n">
        <v>0</v>
      </c>
      <c r="FF970" s="2" t="n">
        <v>100</v>
      </c>
      <c r="FG970" s="2" t="n">
        <v>91.92</v>
      </c>
      <c r="FH970" s="2" t="n">
        <v>0</v>
      </c>
      <c r="FI970" s="2" t="n">
        <v>100</v>
      </c>
      <c r="FJ970" s="2" t="n">
        <v>97.58</v>
      </c>
      <c r="FK970" s="2" t="n">
        <v>0</v>
      </c>
      <c r="FL970" s="2" t="n">
        <v>100</v>
      </c>
      <c r="FM970" s="2" t="n">
        <v>100</v>
      </c>
      <c r="FN970" s="2" t="n">
        <v>0</v>
      </c>
      <c r="FO970" s="2" t="n">
        <v>100</v>
      </c>
      <c r="FP970" s="2" t="n">
        <v>100</v>
      </c>
      <c r="FQ970" s="2" t="n">
        <v>0</v>
      </c>
    </row>
    <row r="971">
      <c r="A971" s="2" t="n">
        <v>3</v>
      </c>
      <c r="B971" s="2" t="inlineStr">
        <is>
          <t>34.03.09</t>
        </is>
      </c>
      <c r="C971" s="2" t="inlineStr">
        <is>
          <t>Torneira de mesa de 90° com bica móvel para Cozinha, cromada. Ref.: cód. 1166.C.LNK; Linha Link, Deca.</t>
        </is>
      </c>
      <c r="D971" s="2" t="inlineStr">
        <is>
          <t>20/10/2027</t>
        </is>
      </c>
      <c r="E971" s="2" t="inlineStr">
        <is>
          <t>09/01/2029</t>
        </is>
      </c>
      <c r="F971" s="2" t="n">
        <v>880.3199999999999</v>
      </c>
      <c r="G971" s="2" t="n">
        <v>0</v>
      </c>
      <c r="H971" s="2" t="n">
        <v>880.3199999999999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0</v>
      </c>
      <c r="CS971" s="2" t="n">
        <v>0</v>
      </c>
      <c r="CT971" s="2" t="n">
        <v>0</v>
      </c>
      <c r="CU971" s="2" t="n">
        <v>0</v>
      </c>
      <c r="CV971" s="2" t="n">
        <v>0</v>
      </c>
      <c r="CW971" s="2" t="n">
        <v>0</v>
      </c>
      <c r="CX971" s="2" t="n">
        <v>0</v>
      </c>
      <c r="CY971" s="2" t="n">
        <v>0</v>
      </c>
      <c r="CZ971" s="2" t="n">
        <v>0</v>
      </c>
      <c r="DA971" s="2" t="n">
        <v>0</v>
      </c>
      <c r="DB971" s="2" t="n">
        <v>0</v>
      </c>
      <c r="DC971" s="2" t="n">
        <v>0</v>
      </c>
      <c r="DD971" s="2" t="n">
        <v>0</v>
      </c>
      <c r="DE971" s="2" t="n">
        <v>0</v>
      </c>
      <c r="DF971" s="2" t="n">
        <v>0</v>
      </c>
      <c r="DG971" s="2" t="n">
        <v>0</v>
      </c>
      <c r="DH971" s="2" t="n">
        <v>0</v>
      </c>
      <c r="DI971" s="2" t="n">
        <v>0</v>
      </c>
      <c r="DJ971" s="2" t="n">
        <v>0</v>
      </c>
      <c r="DK971" s="2" t="n">
        <v>0</v>
      </c>
      <c r="DL971" s="2" t="n">
        <v>0</v>
      </c>
      <c r="DM971" s="2" t="n">
        <v>4.94</v>
      </c>
      <c r="DN971" s="2" t="n">
        <v>0</v>
      </c>
      <c r="DO971" s="2" t="n">
        <v>0</v>
      </c>
      <c r="DP971" s="2" t="n">
        <v>8.08</v>
      </c>
      <c r="DQ971" s="2" t="n">
        <v>0</v>
      </c>
      <c r="DR971" s="2" t="n">
        <v>0</v>
      </c>
      <c r="DS971" s="2" t="n">
        <v>14.77</v>
      </c>
      <c r="DT971" s="2" t="n">
        <v>4.01</v>
      </c>
      <c r="DU971" s="2" t="n">
        <v>0</v>
      </c>
      <c r="DV971" s="2" t="n">
        <v>18.76</v>
      </c>
      <c r="DW971" s="2" t="n">
        <v>10.68</v>
      </c>
      <c r="DX971" s="2" t="n">
        <v>0</v>
      </c>
      <c r="DY971" s="2" t="n">
        <v>23.88</v>
      </c>
      <c r="DZ971" s="2" t="n">
        <v>10.94</v>
      </c>
      <c r="EA971" s="2" t="n">
        <v>0</v>
      </c>
      <c r="EB971" s="2" t="n">
        <v>35.64</v>
      </c>
      <c r="EC971" s="2" t="n">
        <v>14.4</v>
      </c>
      <c r="ED971" s="2" t="n">
        <v>0</v>
      </c>
      <c r="EE971" s="2" t="n">
        <v>49.75</v>
      </c>
      <c r="EF971" s="2" t="n">
        <v>29.58</v>
      </c>
      <c r="EG971" s="2" t="n">
        <v>0</v>
      </c>
      <c r="EH971" s="2" t="n">
        <v>64.09</v>
      </c>
      <c r="EI971" s="2" t="n">
        <v>37.26</v>
      </c>
      <c r="EJ971" s="2" t="n">
        <v>0</v>
      </c>
      <c r="EK971" s="2" t="n">
        <v>72.62</v>
      </c>
      <c r="EL971" s="2" t="n">
        <v>42.51</v>
      </c>
      <c r="EM971" s="2" t="n">
        <v>0</v>
      </c>
      <c r="EN971" s="2" t="n">
        <v>86.08</v>
      </c>
      <c r="EO971" s="2" t="n">
        <v>47.76</v>
      </c>
      <c r="EP971" s="2" t="n">
        <v>0</v>
      </c>
      <c r="EQ971" s="2" t="n">
        <v>94.61</v>
      </c>
      <c r="ER971" s="2" t="n">
        <v>57.86</v>
      </c>
      <c r="ES971" s="2" t="n">
        <v>0</v>
      </c>
      <c r="ET971" s="2" t="n">
        <v>100</v>
      </c>
      <c r="EU971" s="2" t="n">
        <v>69.7</v>
      </c>
      <c r="EV971" s="2" t="n">
        <v>0</v>
      </c>
      <c r="EW971" s="2" t="n">
        <v>100</v>
      </c>
      <c r="EX971" s="2" t="n">
        <v>75.76000000000001</v>
      </c>
      <c r="EY971" s="2" t="n">
        <v>0</v>
      </c>
      <c r="EZ971" s="2" t="n">
        <v>100</v>
      </c>
      <c r="FA971" s="2" t="n">
        <v>81.01000000000001</v>
      </c>
      <c r="FB971" s="2" t="n">
        <v>0</v>
      </c>
      <c r="FC971" s="2" t="n">
        <v>100</v>
      </c>
      <c r="FD971" s="2" t="n">
        <v>87.48</v>
      </c>
      <c r="FE971" s="2" t="n">
        <v>0</v>
      </c>
      <c r="FF971" s="2" t="n">
        <v>100</v>
      </c>
      <c r="FG971" s="2" t="n">
        <v>91.92</v>
      </c>
      <c r="FH971" s="2" t="n">
        <v>0</v>
      </c>
      <c r="FI971" s="2" t="n">
        <v>100</v>
      </c>
      <c r="FJ971" s="2" t="n">
        <v>97.58</v>
      </c>
      <c r="FK971" s="2" t="n">
        <v>0</v>
      </c>
      <c r="FL971" s="2" t="n">
        <v>100</v>
      </c>
      <c r="FM971" s="2" t="n">
        <v>100</v>
      </c>
      <c r="FN971" s="2" t="n">
        <v>0</v>
      </c>
      <c r="FO971" s="2" t="n">
        <v>100</v>
      </c>
      <c r="FP971" s="2" t="n">
        <v>100</v>
      </c>
      <c r="FQ971" s="2" t="n">
        <v>0</v>
      </c>
    </row>
    <row r="972">
      <c r="A972" s="2" t="n">
        <v>3</v>
      </c>
      <c r="B972" s="2" t="inlineStr">
        <is>
          <t>34.03.10</t>
        </is>
      </c>
      <c r="C972" s="2" t="inlineStr">
        <is>
          <t>Misturador monocomando deca de mesa para cozinha level cromado | deca | código 2271.c26</t>
        </is>
      </c>
      <c r="D972" s="2" t="inlineStr">
        <is>
          <t>20/10/2027</t>
        </is>
      </c>
      <c r="E972" s="2" t="inlineStr">
        <is>
          <t>09/01/2029</t>
        </is>
      </c>
      <c r="F972" s="2" t="n">
        <v>20483.82</v>
      </c>
      <c r="G972" s="2" t="n">
        <v>0</v>
      </c>
      <c r="H972" s="2" t="n">
        <v>20483.82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0</v>
      </c>
      <c r="CS972" s="2" t="n">
        <v>0</v>
      </c>
      <c r="CT972" s="2" t="n">
        <v>0</v>
      </c>
      <c r="CU972" s="2" t="n">
        <v>0</v>
      </c>
      <c r="CV972" s="2" t="n">
        <v>0</v>
      </c>
      <c r="CW972" s="2" t="n">
        <v>0</v>
      </c>
      <c r="CX972" s="2" t="n">
        <v>0</v>
      </c>
      <c r="CY972" s="2" t="n">
        <v>0</v>
      </c>
      <c r="CZ972" s="2" t="n">
        <v>0</v>
      </c>
      <c r="DA972" s="2" t="n">
        <v>0</v>
      </c>
      <c r="DB972" s="2" t="n">
        <v>0</v>
      </c>
      <c r="DC972" s="2" t="n">
        <v>0</v>
      </c>
      <c r="DD972" s="2" t="n">
        <v>0</v>
      </c>
      <c r="DE972" s="2" t="n">
        <v>0</v>
      </c>
      <c r="DF972" s="2" t="n">
        <v>0</v>
      </c>
      <c r="DG972" s="2" t="n">
        <v>0</v>
      </c>
      <c r="DH972" s="2" t="n">
        <v>0</v>
      </c>
      <c r="DI972" s="2" t="n">
        <v>0</v>
      </c>
      <c r="DJ972" s="2" t="n">
        <v>0</v>
      </c>
      <c r="DK972" s="2" t="n">
        <v>0</v>
      </c>
      <c r="DL972" s="2" t="n">
        <v>0</v>
      </c>
      <c r="DM972" s="2" t="n">
        <v>4.94</v>
      </c>
      <c r="DN972" s="2" t="n">
        <v>0</v>
      </c>
      <c r="DO972" s="2" t="n">
        <v>0</v>
      </c>
      <c r="DP972" s="2" t="n">
        <v>8.08</v>
      </c>
      <c r="DQ972" s="2" t="n">
        <v>0</v>
      </c>
      <c r="DR972" s="2" t="n">
        <v>0</v>
      </c>
      <c r="DS972" s="2" t="n">
        <v>14.77</v>
      </c>
      <c r="DT972" s="2" t="n">
        <v>4.01</v>
      </c>
      <c r="DU972" s="2" t="n">
        <v>0</v>
      </c>
      <c r="DV972" s="2" t="n">
        <v>18.76</v>
      </c>
      <c r="DW972" s="2" t="n">
        <v>10.68</v>
      </c>
      <c r="DX972" s="2" t="n">
        <v>0</v>
      </c>
      <c r="DY972" s="2" t="n">
        <v>23.88</v>
      </c>
      <c r="DZ972" s="2" t="n">
        <v>10.94</v>
      </c>
      <c r="EA972" s="2" t="n">
        <v>0</v>
      </c>
      <c r="EB972" s="2" t="n">
        <v>35.64</v>
      </c>
      <c r="EC972" s="2" t="n">
        <v>14.4</v>
      </c>
      <c r="ED972" s="2" t="n">
        <v>0</v>
      </c>
      <c r="EE972" s="2" t="n">
        <v>49.75</v>
      </c>
      <c r="EF972" s="2" t="n">
        <v>29.58</v>
      </c>
      <c r="EG972" s="2" t="n">
        <v>0</v>
      </c>
      <c r="EH972" s="2" t="n">
        <v>64.09</v>
      </c>
      <c r="EI972" s="2" t="n">
        <v>37.26</v>
      </c>
      <c r="EJ972" s="2" t="n">
        <v>0</v>
      </c>
      <c r="EK972" s="2" t="n">
        <v>72.62</v>
      </c>
      <c r="EL972" s="2" t="n">
        <v>42.51</v>
      </c>
      <c r="EM972" s="2" t="n">
        <v>0</v>
      </c>
      <c r="EN972" s="2" t="n">
        <v>86.08</v>
      </c>
      <c r="EO972" s="2" t="n">
        <v>47.76</v>
      </c>
      <c r="EP972" s="2" t="n">
        <v>0</v>
      </c>
      <c r="EQ972" s="2" t="n">
        <v>94.61</v>
      </c>
      <c r="ER972" s="2" t="n">
        <v>57.86</v>
      </c>
      <c r="ES972" s="2" t="n">
        <v>0</v>
      </c>
      <c r="ET972" s="2" t="n">
        <v>100</v>
      </c>
      <c r="EU972" s="2" t="n">
        <v>69.7</v>
      </c>
      <c r="EV972" s="2" t="n">
        <v>0</v>
      </c>
      <c r="EW972" s="2" t="n">
        <v>100</v>
      </c>
      <c r="EX972" s="2" t="n">
        <v>75.76000000000001</v>
      </c>
      <c r="EY972" s="2" t="n">
        <v>0</v>
      </c>
      <c r="EZ972" s="2" t="n">
        <v>100</v>
      </c>
      <c r="FA972" s="2" t="n">
        <v>81.01000000000001</v>
      </c>
      <c r="FB972" s="2" t="n">
        <v>0</v>
      </c>
      <c r="FC972" s="2" t="n">
        <v>100</v>
      </c>
      <c r="FD972" s="2" t="n">
        <v>87.48</v>
      </c>
      <c r="FE972" s="2" t="n">
        <v>0</v>
      </c>
      <c r="FF972" s="2" t="n">
        <v>100</v>
      </c>
      <c r="FG972" s="2" t="n">
        <v>91.92</v>
      </c>
      <c r="FH972" s="2" t="n">
        <v>0</v>
      </c>
      <c r="FI972" s="2" t="n">
        <v>100</v>
      </c>
      <c r="FJ972" s="2" t="n">
        <v>97.58</v>
      </c>
      <c r="FK972" s="2" t="n">
        <v>0</v>
      </c>
      <c r="FL972" s="2" t="n">
        <v>100</v>
      </c>
      <c r="FM972" s="2" t="n">
        <v>100</v>
      </c>
      <c r="FN972" s="2" t="n">
        <v>0</v>
      </c>
      <c r="FO972" s="2" t="n">
        <v>100</v>
      </c>
      <c r="FP972" s="2" t="n">
        <v>100</v>
      </c>
      <c r="FQ972" s="2" t="n">
        <v>0</v>
      </c>
    </row>
    <row r="973">
      <c r="A973" s="2" t="n">
        <v>3</v>
      </c>
      <c r="B973" s="2" t="inlineStr">
        <is>
          <t>34.03.11</t>
        </is>
      </c>
      <c r="C973" s="2" t="inlineStr">
        <is>
          <t>Monocomando de mesa, modelo Angolare, acabamento Scoth Brite, cód.: 94520022. Ref.: Tramontina</t>
        </is>
      </c>
      <c r="D973" s="2" t="inlineStr">
        <is>
          <t>20/10/2027</t>
        </is>
      </c>
      <c r="E973" s="2" t="inlineStr">
        <is>
          <t>09/01/2029</t>
        </is>
      </c>
      <c r="F973" s="2" t="n">
        <v>744.55</v>
      </c>
      <c r="G973" s="2" t="n">
        <v>0</v>
      </c>
      <c r="H973" s="2" t="n">
        <v>744.55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</v>
      </c>
      <c r="CA973" s="2" t="n">
        <v>0</v>
      </c>
      <c r="CB973" s="2" t="n">
        <v>0</v>
      </c>
      <c r="CC973" s="2" t="n">
        <v>0</v>
      </c>
      <c r="CD973" s="2" t="n">
        <v>0</v>
      </c>
      <c r="CE973" s="2" t="n">
        <v>0</v>
      </c>
      <c r="CF973" s="2" t="n">
        <v>0</v>
      </c>
      <c r="CG973" s="2" t="n">
        <v>0</v>
      </c>
      <c r="CH973" s="2" t="n">
        <v>0</v>
      </c>
      <c r="CI973" s="2" t="n">
        <v>0</v>
      </c>
      <c r="CJ973" s="2" t="n">
        <v>0</v>
      </c>
      <c r="CK973" s="2" t="n">
        <v>0</v>
      </c>
      <c r="CL973" s="2" t="n">
        <v>0</v>
      </c>
      <c r="CM973" s="2" t="n">
        <v>0</v>
      </c>
      <c r="CN973" s="2" t="n">
        <v>0</v>
      </c>
      <c r="CO973" s="2" t="n">
        <v>0</v>
      </c>
      <c r="CP973" s="2" t="n">
        <v>0</v>
      </c>
      <c r="CQ973" s="2" t="n">
        <v>0</v>
      </c>
      <c r="CR973" s="2" t="n">
        <v>0</v>
      </c>
      <c r="CS973" s="2" t="n">
        <v>0</v>
      </c>
      <c r="CT973" s="2" t="n">
        <v>0</v>
      </c>
      <c r="CU973" s="2" t="n">
        <v>0</v>
      </c>
      <c r="CV973" s="2" t="n">
        <v>0</v>
      </c>
      <c r="CW973" s="2" t="n">
        <v>0</v>
      </c>
      <c r="CX973" s="2" t="n">
        <v>0</v>
      </c>
      <c r="CY973" s="2" t="n">
        <v>0</v>
      </c>
      <c r="CZ973" s="2" t="n">
        <v>0</v>
      </c>
      <c r="DA973" s="2" t="n">
        <v>0</v>
      </c>
      <c r="DB973" s="2" t="n">
        <v>0</v>
      </c>
      <c r="DC973" s="2" t="n">
        <v>0</v>
      </c>
      <c r="DD973" s="2" t="n">
        <v>0</v>
      </c>
      <c r="DE973" s="2" t="n">
        <v>0</v>
      </c>
      <c r="DF973" s="2" t="n">
        <v>0</v>
      </c>
      <c r="DG973" s="2" t="n">
        <v>0</v>
      </c>
      <c r="DH973" s="2" t="n">
        <v>0</v>
      </c>
      <c r="DI973" s="2" t="n">
        <v>0</v>
      </c>
      <c r="DJ973" s="2" t="n">
        <v>0</v>
      </c>
      <c r="DK973" s="2" t="n">
        <v>0</v>
      </c>
      <c r="DL973" s="2" t="n">
        <v>0</v>
      </c>
      <c r="DM973" s="2" t="n">
        <v>4.94</v>
      </c>
      <c r="DN973" s="2" t="n">
        <v>0</v>
      </c>
      <c r="DO973" s="2" t="n">
        <v>0</v>
      </c>
      <c r="DP973" s="2" t="n">
        <v>8.08</v>
      </c>
      <c r="DQ973" s="2" t="n">
        <v>0</v>
      </c>
      <c r="DR973" s="2" t="n">
        <v>0</v>
      </c>
      <c r="DS973" s="2" t="n">
        <v>14.77</v>
      </c>
      <c r="DT973" s="2" t="n">
        <v>4.01</v>
      </c>
      <c r="DU973" s="2" t="n">
        <v>0</v>
      </c>
      <c r="DV973" s="2" t="n">
        <v>18.76</v>
      </c>
      <c r="DW973" s="2" t="n">
        <v>10.68</v>
      </c>
      <c r="DX973" s="2" t="n">
        <v>0</v>
      </c>
      <c r="DY973" s="2" t="n">
        <v>23.88</v>
      </c>
      <c r="DZ973" s="2" t="n">
        <v>10.94</v>
      </c>
      <c r="EA973" s="2" t="n">
        <v>0</v>
      </c>
      <c r="EB973" s="2" t="n">
        <v>35.64</v>
      </c>
      <c r="EC973" s="2" t="n">
        <v>14.4</v>
      </c>
      <c r="ED973" s="2" t="n">
        <v>0</v>
      </c>
      <c r="EE973" s="2" t="n">
        <v>49.75</v>
      </c>
      <c r="EF973" s="2" t="n">
        <v>29.58</v>
      </c>
      <c r="EG973" s="2" t="n">
        <v>0</v>
      </c>
      <c r="EH973" s="2" t="n">
        <v>64.09</v>
      </c>
      <c r="EI973" s="2" t="n">
        <v>37.26</v>
      </c>
      <c r="EJ973" s="2" t="n">
        <v>0</v>
      </c>
      <c r="EK973" s="2" t="n">
        <v>72.62</v>
      </c>
      <c r="EL973" s="2" t="n">
        <v>42.51</v>
      </c>
      <c r="EM973" s="2" t="n">
        <v>0</v>
      </c>
      <c r="EN973" s="2" t="n">
        <v>86.08</v>
      </c>
      <c r="EO973" s="2" t="n">
        <v>47.76</v>
      </c>
      <c r="EP973" s="2" t="n">
        <v>0</v>
      </c>
      <c r="EQ973" s="2" t="n">
        <v>94.61</v>
      </c>
      <c r="ER973" s="2" t="n">
        <v>57.86</v>
      </c>
      <c r="ES973" s="2" t="n">
        <v>0</v>
      </c>
      <c r="ET973" s="2" t="n">
        <v>100</v>
      </c>
      <c r="EU973" s="2" t="n">
        <v>69.7</v>
      </c>
      <c r="EV973" s="2" t="n">
        <v>0</v>
      </c>
      <c r="EW973" s="2" t="n">
        <v>100</v>
      </c>
      <c r="EX973" s="2" t="n">
        <v>75.76000000000001</v>
      </c>
      <c r="EY973" s="2" t="n">
        <v>0</v>
      </c>
      <c r="EZ973" s="2" t="n">
        <v>100</v>
      </c>
      <c r="FA973" s="2" t="n">
        <v>81.01000000000001</v>
      </c>
      <c r="FB973" s="2" t="n">
        <v>0</v>
      </c>
      <c r="FC973" s="2" t="n">
        <v>100</v>
      </c>
      <c r="FD973" s="2" t="n">
        <v>87.48</v>
      </c>
      <c r="FE973" s="2" t="n">
        <v>0</v>
      </c>
      <c r="FF973" s="2" t="n">
        <v>100</v>
      </c>
      <c r="FG973" s="2" t="n">
        <v>91.92</v>
      </c>
      <c r="FH973" s="2" t="n">
        <v>0</v>
      </c>
      <c r="FI973" s="2" t="n">
        <v>100</v>
      </c>
      <c r="FJ973" s="2" t="n">
        <v>97.58</v>
      </c>
      <c r="FK973" s="2" t="n">
        <v>0</v>
      </c>
      <c r="FL973" s="2" t="n">
        <v>100</v>
      </c>
      <c r="FM973" s="2" t="n">
        <v>100</v>
      </c>
      <c r="FN973" s="2" t="n">
        <v>0</v>
      </c>
      <c r="FO973" s="2" t="n">
        <v>100</v>
      </c>
      <c r="FP973" s="2" t="n">
        <v>100</v>
      </c>
      <c r="FQ973" s="2" t="n">
        <v>0</v>
      </c>
    </row>
    <row r="974">
      <c r="A974" s="2" t="n">
        <v>3</v>
      </c>
      <c r="B974" s="2" t="inlineStr">
        <is>
          <t>34.03.12</t>
        </is>
      </c>
      <c r="C974" s="2" t="inlineStr">
        <is>
          <t>Misturador Monocomando Monde Filter Plus em Aço Inox com Saída Adicional para Água Filtrada + Filtro 3M. Cód Ref.:  REF 94520025. Ref.: Tramontina</t>
        </is>
      </c>
      <c r="D974" s="2" t="inlineStr">
        <is>
          <t>20/10/2027</t>
        </is>
      </c>
      <c r="E974" s="2" t="inlineStr">
        <is>
          <t>09/01/2029</t>
        </is>
      </c>
      <c r="F974" s="2" t="n">
        <v>1906.21</v>
      </c>
      <c r="G974" s="2" t="n">
        <v>0</v>
      </c>
      <c r="H974" s="2" t="n">
        <v>1906.21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</v>
      </c>
      <c r="CA974" s="2" t="n">
        <v>0</v>
      </c>
      <c r="CB974" s="2" t="n">
        <v>0</v>
      </c>
      <c r="CC974" s="2" t="n">
        <v>0</v>
      </c>
      <c r="CD974" s="2" t="n">
        <v>0</v>
      </c>
      <c r="CE974" s="2" t="n">
        <v>0</v>
      </c>
      <c r="CF974" s="2" t="n">
        <v>0</v>
      </c>
      <c r="CG974" s="2" t="n">
        <v>0</v>
      </c>
      <c r="CH974" s="2" t="n">
        <v>0</v>
      </c>
      <c r="CI974" s="2" t="n">
        <v>0</v>
      </c>
      <c r="CJ974" s="2" t="n">
        <v>0</v>
      </c>
      <c r="CK974" s="2" t="n">
        <v>0</v>
      </c>
      <c r="CL974" s="2" t="n">
        <v>0</v>
      </c>
      <c r="CM974" s="2" t="n">
        <v>0</v>
      </c>
      <c r="CN974" s="2" t="n">
        <v>0</v>
      </c>
      <c r="CO974" s="2" t="n">
        <v>0</v>
      </c>
      <c r="CP974" s="2" t="n">
        <v>0</v>
      </c>
      <c r="CQ974" s="2" t="n">
        <v>0</v>
      </c>
      <c r="CR974" s="2" t="n">
        <v>0</v>
      </c>
      <c r="CS974" s="2" t="n">
        <v>0</v>
      </c>
      <c r="CT974" s="2" t="n">
        <v>0</v>
      </c>
      <c r="CU974" s="2" t="n">
        <v>0</v>
      </c>
      <c r="CV974" s="2" t="n">
        <v>0</v>
      </c>
      <c r="CW974" s="2" t="n">
        <v>0</v>
      </c>
      <c r="CX974" s="2" t="n">
        <v>0</v>
      </c>
      <c r="CY974" s="2" t="n">
        <v>0</v>
      </c>
      <c r="CZ974" s="2" t="n">
        <v>0</v>
      </c>
      <c r="DA974" s="2" t="n">
        <v>0</v>
      </c>
      <c r="DB974" s="2" t="n">
        <v>0</v>
      </c>
      <c r="DC974" s="2" t="n">
        <v>0</v>
      </c>
      <c r="DD974" s="2" t="n">
        <v>0</v>
      </c>
      <c r="DE974" s="2" t="n">
        <v>0</v>
      </c>
      <c r="DF974" s="2" t="n">
        <v>0</v>
      </c>
      <c r="DG974" s="2" t="n">
        <v>0</v>
      </c>
      <c r="DH974" s="2" t="n">
        <v>0</v>
      </c>
      <c r="DI974" s="2" t="n">
        <v>0</v>
      </c>
      <c r="DJ974" s="2" t="n">
        <v>0</v>
      </c>
      <c r="DK974" s="2" t="n">
        <v>0</v>
      </c>
      <c r="DL974" s="2" t="n">
        <v>0</v>
      </c>
      <c r="DM974" s="2" t="n">
        <v>4.94</v>
      </c>
      <c r="DN974" s="2" t="n">
        <v>0</v>
      </c>
      <c r="DO974" s="2" t="n">
        <v>0</v>
      </c>
      <c r="DP974" s="2" t="n">
        <v>8.08</v>
      </c>
      <c r="DQ974" s="2" t="n">
        <v>0</v>
      </c>
      <c r="DR974" s="2" t="n">
        <v>0</v>
      </c>
      <c r="DS974" s="2" t="n">
        <v>14.77</v>
      </c>
      <c r="DT974" s="2" t="n">
        <v>4.01</v>
      </c>
      <c r="DU974" s="2" t="n">
        <v>0</v>
      </c>
      <c r="DV974" s="2" t="n">
        <v>18.76</v>
      </c>
      <c r="DW974" s="2" t="n">
        <v>10.68</v>
      </c>
      <c r="DX974" s="2" t="n">
        <v>0</v>
      </c>
      <c r="DY974" s="2" t="n">
        <v>23.88</v>
      </c>
      <c r="DZ974" s="2" t="n">
        <v>10.94</v>
      </c>
      <c r="EA974" s="2" t="n">
        <v>0</v>
      </c>
      <c r="EB974" s="2" t="n">
        <v>35.64</v>
      </c>
      <c r="EC974" s="2" t="n">
        <v>14.4</v>
      </c>
      <c r="ED974" s="2" t="n">
        <v>0</v>
      </c>
      <c r="EE974" s="2" t="n">
        <v>49.75</v>
      </c>
      <c r="EF974" s="2" t="n">
        <v>29.58</v>
      </c>
      <c r="EG974" s="2" t="n">
        <v>0</v>
      </c>
      <c r="EH974" s="2" t="n">
        <v>64.09</v>
      </c>
      <c r="EI974" s="2" t="n">
        <v>37.26</v>
      </c>
      <c r="EJ974" s="2" t="n">
        <v>0</v>
      </c>
      <c r="EK974" s="2" t="n">
        <v>72.62</v>
      </c>
      <c r="EL974" s="2" t="n">
        <v>42.51</v>
      </c>
      <c r="EM974" s="2" t="n">
        <v>0</v>
      </c>
      <c r="EN974" s="2" t="n">
        <v>86.08</v>
      </c>
      <c r="EO974" s="2" t="n">
        <v>47.76</v>
      </c>
      <c r="EP974" s="2" t="n">
        <v>0</v>
      </c>
      <c r="EQ974" s="2" t="n">
        <v>94.61</v>
      </c>
      <c r="ER974" s="2" t="n">
        <v>57.86</v>
      </c>
      <c r="ES974" s="2" t="n">
        <v>0</v>
      </c>
      <c r="ET974" s="2" t="n">
        <v>100</v>
      </c>
      <c r="EU974" s="2" t="n">
        <v>69.7</v>
      </c>
      <c r="EV974" s="2" t="n">
        <v>0</v>
      </c>
      <c r="EW974" s="2" t="n">
        <v>100</v>
      </c>
      <c r="EX974" s="2" t="n">
        <v>75.76000000000001</v>
      </c>
      <c r="EY974" s="2" t="n">
        <v>0</v>
      </c>
      <c r="EZ974" s="2" t="n">
        <v>100</v>
      </c>
      <c r="FA974" s="2" t="n">
        <v>81.01000000000001</v>
      </c>
      <c r="FB974" s="2" t="n">
        <v>0</v>
      </c>
      <c r="FC974" s="2" t="n">
        <v>100</v>
      </c>
      <c r="FD974" s="2" t="n">
        <v>87.48</v>
      </c>
      <c r="FE974" s="2" t="n">
        <v>0</v>
      </c>
      <c r="FF974" s="2" t="n">
        <v>100</v>
      </c>
      <c r="FG974" s="2" t="n">
        <v>91.92</v>
      </c>
      <c r="FH974" s="2" t="n">
        <v>0</v>
      </c>
      <c r="FI974" s="2" t="n">
        <v>100</v>
      </c>
      <c r="FJ974" s="2" t="n">
        <v>97.58</v>
      </c>
      <c r="FK974" s="2" t="n">
        <v>0</v>
      </c>
      <c r="FL974" s="2" t="n">
        <v>100</v>
      </c>
      <c r="FM974" s="2" t="n">
        <v>100</v>
      </c>
      <c r="FN974" s="2" t="n">
        <v>0</v>
      </c>
      <c r="FO974" s="2" t="n">
        <v>100</v>
      </c>
      <c r="FP974" s="2" t="n">
        <v>100</v>
      </c>
      <c r="FQ974" s="2" t="n">
        <v>0</v>
      </c>
    </row>
    <row r="975">
      <c r="A975" s="2" t="n">
        <v>3</v>
      </c>
      <c r="B975" s="2" t="inlineStr">
        <is>
          <t>34.03.13</t>
        </is>
      </c>
      <c r="C975" s="2" t="inlineStr">
        <is>
          <t>Misturador Monocomando Monde Filter Plus em Aço Inox com Saída Adicional para Água Filtrada + Filtro 3M. Cód Ref.:  REF 94520025. Ref.: Tramontina.</t>
        </is>
      </c>
      <c r="D975" s="2" t="inlineStr">
        <is>
          <t>20/10/2027</t>
        </is>
      </c>
      <c r="E975" s="2" t="inlineStr">
        <is>
          <t>09/01/2029</t>
        </is>
      </c>
      <c r="F975" s="2" t="n">
        <v>1906.21</v>
      </c>
      <c r="G975" s="2" t="n">
        <v>0</v>
      </c>
      <c r="H975" s="2" t="n">
        <v>1906.21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</v>
      </c>
      <c r="CA975" s="2" t="n">
        <v>0</v>
      </c>
      <c r="CB975" s="2" t="n">
        <v>0</v>
      </c>
      <c r="CC975" s="2" t="n">
        <v>0</v>
      </c>
      <c r="CD975" s="2" t="n">
        <v>0</v>
      </c>
      <c r="CE975" s="2" t="n">
        <v>0</v>
      </c>
      <c r="CF975" s="2" t="n">
        <v>0</v>
      </c>
      <c r="CG975" s="2" t="n">
        <v>0</v>
      </c>
      <c r="CH975" s="2" t="n">
        <v>0</v>
      </c>
      <c r="CI975" s="2" t="n">
        <v>0</v>
      </c>
      <c r="CJ975" s="2" t="n">
        <v>0</v>
      </c>
      <c r="CK975" s="2" t="n">
        <v>0</v>
      </c>
      <c r="CL975" s="2" t="n">
        <v>0</v>
      </c>
      <c r="CM975" s="2" t="n">
        <v>0</v>
      </c>
      <c r="CN975" s="2" t="n">
        <v>0</v>
      </c>
      <c r="CO975" s="2" t="n">
        <v>0</v>
      </c>
      <c r="CP975" s="2" t="n">
        <v>0</v>
      </c>
      <c r="CQ975" s="2" t="n">
        <v>0</v>
      </c>
      <c r="CR975" s="2" t="n">
        <v>0</v>
      </c>
      <c r="CS975" s="2" t="n">
        <v>0</v>
      </c>
      <c r="CT975" s="2" t="n">
        <v>0</v>
      </c>
      <c r="CU975" s="2" t="n">
        <v>0</v>
      </c>
      <c r="CV975" s="2" t="n">
        <v>0</v>
      </c>
      <c r="CW975" s="2" t="n">
        <v>0</v>
      </c>
      <c r="CX975" s="2" t="n">
        <v>0</v>
      </c>
      <c r="CY975" s="2" t="n">
        <v>0</v>
      </c>
      <c r="CZ975" s="2" t="n">
        <v>0</v>
      </c>
      <c r="DA975" s="2" t="n">
        <v>0</v>
      </c>
      <c r="DB975" s="2" t="n">
        <v>0</v>
      </c>
      <c r="DC975" s="2" t="n">
        <v>0</v>
      </c>
      <c r="DD975" s="2" t="n">
        <v>0</v>
      </c>
      <c r="DE975" s="2" t="n">
        <v>0</v>
      </c>
      <c r="DF975" s="2" t="n">
        <v>0</v>
      </c>
      <c r="DG975" s="2" t="n">
        <v>0</v>
      </c>
      <c r="DH975" s="2" t="n">
        <v>0</v>
      </c>
      <c r="DI975" s="2" t="n">
        <v>0</v>
      </c>
      <c r="DJ975" s="2" t="n">
        <v>0</v>
      </c>
      <c r="DK975" s="2" t="n">
        <v>0</v>
      </c>
      <c r="DL975" s="2" t="n">
        <v>0</v>
      </c>
      <c r="DM975" s="2" t="n">
        <v>4.94</v>
      </c>
      <c r="DN975" s="2" t="n">
        <v>0</v>
      </c>
      <c r="DO975" s="2" t="n">
        <v>0</v>
      </c>
      <c r="DP975" s="2" t="n">
        <v>8.08</v>
      </c>
      <c r="DQ975" s="2" t="n">
        <v>0</v>
      </c>
      <c r="DR975" s="2" t="n">
        <v>0</v>
      </c>
      <c r="DS975" s="2" t="n">
        <v>14.77</v>
      </c>
      <c r="DT975" s="2" t="n">
        <v>4.01</v>
      </c>
      <c r="DU975" s="2" t="n">
        <v>0</v>
      </c>
      <c r="DV975" s="2" t="n">
        <v>18.76</v>
      </c>
      <c r="DW975" s="2" t="n">
        <v>10.68</v>
      </c>
      <c r="DX975" s="2" t="n">
        <v>0</v>
      </c>
      <c r="DY975" s="2" t="n">
        <v>23.88</v>
      </c>
      <c r="DZ975" s="2" t="n">
        <v>10.94</v>
      </c>
      <c r="EA975" s="2" t="n">
        <v>0</v>
      </c>
      <c r="EB975" s="2" t="n">
        <v>35.64</v>
      </c>
      <c r="EC975" s="2" t="n">
        <v>14.4</v>
      </c>
      <c r="ED975" s="2" t="n">
        <v>0</v>
      </c>
      <c r="EE975" s="2" t="n">
        <v>49.75</v>
      </c>
      <c r="EF975" s="2" t="n">
        <v>29.58</v>
      </c>
      <c r="EG975" s="2" t="n">
        <v>0</v>
      </c>
      <c r="EH975" s="2" t="n">
        <v>64.09</v>
      </c>
      <c r="EI975" s="2" t="n">
        <v>37.26</v>
      </c>
      <c r="EJ975" s="2" t="n">
        <v>0</v>
      </c>
      <c r="EK975" s="2" t="n">
        <v>72.62</v>
      </c>
      <c r="EL975" s="2" t="n">
        <v>42.51</v>
      </c>
      <c r="EM975" s="2" t="n">
        <v>0</v>
      </c>
      <c r="EN975" s="2" t="n">
        <v>86.08</v>
      </c>
      <c r="EO975" s="2" t="n">
        <v>47.76</v>
      </c>
      <c r="EP975" s="2" t="n">
        <v>0</v>
      </c>
      <c r="EQ975" s="2" t="n">
        <v>94.61</v>
      </c>
      <c r="ER975" s="2" t="n">
        <v>57.86</v>
      </c>
      <c r="ES975" s="2" t="n">
        <v>0</v>
      </c>
      <c r="ET975" s="2" t="n">
        <v>100</v>
      </c>
      <c r="EU975" s="2" t="n">
        <v>69.7</v>
      </c>
      <c r="EV975" s="2" t="n">
        <v>0</v>
      </c>
      <c r="EW975" s="2" t="n">
        <v>100</v>
      </c>
      <c r="EX975" s="2" t="n">
        <v>75.76000000000001</v>
      </c>
      <c r="EY975" s="2" t="n">
        <v>0</v>
      </c>
      <c r="EZ975" s="2" t="n">
        <v>100</v>
      </c>
      <c r="FA975" s="2" t="n">
        <v>81.01000000000001</v>
      </c>
      <c r="FB975" s="2" t="n">
        <v>0</v>
      </c>
      <c r="FC975" s="2" t="n">
        <v>100</v>
      </c>
      <c r="FD975" s="2" t="n">
        <v>87.48</v>
      </c>
      <c r="FE975" s="2" t="n">
        <v>0</v>
      </c>
      <c r="FF975" s="2" t="n">
        <v>100</v>
      </c>
      <c r="FG975" s="2" t="n">
        <v>91.92</v>
      </c>
      <c r="FH975" s="2" t="n">
        <v>0</v>
      </c>
      <c r="FI975" s="2" t="n">
        <v>100</v>
      </c>
      <c r="FJ975" s="2" t="n">
        <v>97.58</v>
      </c>
      <c r="FK975" s="2" t="n">
        <v>0</v>
      </c>
      <c r="FL975" s="2" t="n">
        <v>100</v>
      </c>
      <c r="FM975" s="2" t="n">
        <v>100</v>
      </c>
      <c r="FN975" s="2" t="n">
        <v>0</v>
      </c>
      <c r="FO975" s="2" t="n">
        <v>100</v>
      </c>
      <c r="FP975" s="2" t="n">
        <v>100</v>
      </c>
      <c r="FQ975" s="2" t="n">
        <v>0</v>
      </c>
    </row>
    <row r="976">
      <c r="A976" s="2" t="n">
        <v>3</v>
      </c>
      <c r="B976" s="2" t="inlineStr">
        <is>
          <t>34.03.14</t>
        </is>
      </c>
      <c r="C976" s="2" t="inlineStr">
        <is>
          <t>Ligação flexível cromada 40cm</t>
        </is>
      </c>
      <c r="D976" s="2" t="inlineStr">
        <is>
          <t>20/10/2027</t>
        </is>
      </c>
      <c r="E976" s="2" t="inlineStr">
        <is>
          <t>09/01/2029</t>
        </is>
      </c>
      <c r="F976" s="2" t="n">
        <v>5025.008367600058</v>
      </c>
      <c r="G976" s="2" t="n">
        <v>0</v>
      </c>
      <c r="H976" s="2" t="n">
        <v>5025.008367600058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0</v>
      </c>
      <c r="P976" s="2" t="n">
        <v>0</v>
      </c>
      <c r="Q976" s="2" t="n">
        <v>0</v>
      </c>
      <c r="R976" s="2" t="n">
        <v>0</v>
      </c>
      <c r="S976" s="2" t="n">
        <v>0</v>
      </c>
      <c r="T976" s="2" t="n">
        <v>0</v>
      </c>
      <c r="U976" s="2" t="n">
        <v>0</v>
      </c>
      <c r="V976" s="2" t="n">
        <v>0</v>
      </c>
      <c r="W976" s="2" t="n">
        <v>0</v>
      </c>
      <c r="X976" s="2" t="n">
        <v>0</v>
      </c>
      <c r="Y976" s="2" t="n">
        <v>0</v>
      </c>
      <c r="Z976" s="2" t="n">
        <v>0</v>
      </c>
      <c r="AA976" s="2" t="n">
        <v>0</v>
      </c>
      <c r="AB976" s="2" t="n">
        <v>0</v>
      </c>
      <c r="AC976" s="2" t="n">
        <v>0</v>
      </c>
      <c r="AD976" s="2" t="n">
        <v>0</v>
      </c>
      <c r="AE976" s="2" t="n">
        <v>0</v>
      </c>
      <c r="AF976" s="2" t="n">
        <v>0</v>
      </c>
      <c r="AG976" s="2" t="n">
        <v>0</v>
      </c>
      <c r="AH976" s="2" t="n">
        <v>0</v>
      </c>
      <c r="AI976" s="2" t="n">
        <v>0</v>
      </c>
      <c r="AJ976" s="2" t="n">
        <v>0</v>
      </c>
      <c r="AK976" s="2" t="n">
        <v>0</v>
      </c>
      <c r="AL976" s="2" t="n">
        <v>0</v>
      </c>
      <c r="AM976" s="2" t="n">
        <v>0</v>
      </c>
      <c r="AN976" s="2" t="n">
        <v>0</v>
      </c>
      <c r="AO976" s="2" t="n">
        <v>0</v>
      </c>
      <c r="AP976" s="2" t="n">
        <v>0</v>
      </c>
      <c r="AQ976" s="2" t="n">
        <v>0</v>
      </c>
      <c r="AR976" s="2" t="n">
        <v>0</v>
      </c>
      <c r="AS976" s="2" t="n">
        <v>0</v>
      </c>
      <c r="AT976" s="2" t="n">
        <v>0</v>
      </c>
      <c r="AU976" s="2" t="n">
        <v>0</v>
      </c>
      <c r="AV976" s="2" t="n">
        <v>0</v>
      </c>
      <c r="AW976" s="2" t="n">
        <v>0</v>
      </c>
      <c r="AX976" s="2" t="n">
        <v>0</v>
      </c>
      <c r="AY976" s="2" t="n">
        <v>0</v>
      </c>
      <c r="AZ976" s="2" t="n">
        <v>0</v>
      </c>
      <c r="BA976" s="2" t="n">
        <v>0</v>
      </c>
      <c r="BB976" s="2" t="n">
        <v>0</v>
      </c>
      <c r="BC976" s="2" t="n">
        <v>0</v>
      </c>
      <c r="BD976" s="2" t="n">
        <v>0</v>
      </c>
      <c r="BE976" s="2" t="n">
        <v>0</v>
      </c>
      <c r="BF976" s="2" t="n">
        <v>0</v>
      </c>
      <c r="BG976" s="2" t="n">
        <v>0</v>
      </c>
      <c r="BH976" s="2" t="n">
        <v>0</v>
      </c>
      <c r="BI976" s="2" t="n">
        <v>0</v>
      </c>
      <c r="BJ976" s="2" t="n">
        <v>0</v>
      </c>
      <c r="BK976" s="2" t="n">
        <v>0</v>
      </c>
      <c r="BL976" s="2" t="n">
        <v>0</v>
      </c>
      <c r="BM976" s="2" t="n">
        <v>0</v>
      </c>
      <c r="BN976" s="2" t="n">
        <v>0</v>
      </c>
      <c r="BO976" s="2" t="n">
        <v>0</v>
      </c>
      <c r="BP976" s="2" t="n">
        <v>0</v>
      </c>
      <c r="BQ976" s="2" t="n">
        <v>0</v>
      </c>
      <c r="BR976" s="2" t="n">
        <v>0</v>
      </c>
      <c r="BS976" s="2" t="n">
        <v>0</v>
      </c>
      <c r="BT976" s="2" t="n">
        <v>0</v>
      </c>
      <c r="BU976" s="2" t="n">
        <v>0</v>
      </c>
      <c r="BV976" s="2" t="n">
        <v>0</v>
      </c>
      <c r="BW976" s="2" t="n">
        <v>0</v>
      </c>
      <c r="BX976" s="2" t="n">
        <v>0</v>
      </c>
      <c r="BY976" s="2" t="n">
        <v>0</v>
      </c>
      <c r="BZ976" s="2" t="n">
        <v>0</v>
      </c>
      <c r="CA976" s="2" t="n">
        <v>0</v>
      </c>
      <c r="CB976" s="2" t="n">
        <v>0</v>
      </c>
      <c r="CC976" s="2" t="n">
        <v>0</v>
      </c>
      <c r="CD976" s="2" t="n">
        <v>0</v>
      </c>
      <c r="CE976" s="2" t="n">
        <v>0</v>
      </c>
      <c r="CF976" s="2" t="n">
        <v>0</v>
      </c>
      <c r="CG976" s="2" t="n">
        <v>0</v>
      </c>
      <c r="CH976" s="2" t="n">
        <v>0</v>
      </c>
      <c r="CI976" s="2" t="n">
        <v>0</v>
      </c>
      <c r="CJ976" s="2" t="n">
        <v>0</v>
      </c>
      <c r="CK976" s="2" t="n">
        <v>0</v>
      </c>
      <c r="CL976" s="2" t="n">
        <v>0</v>
      </c>
      <c r="CM976" s="2" t="n">
        <v>0</v>
      </c>
      <c r="CN976" s="2" t="n">
        <v>0</v>
      </c>
      <c r="CO976" s="2" t="n">
        <v>0</v>
      </c>
      <c r="CP976" s="2" t="n">
        <v>0</v>
      </c>
      <c r="CQ976" s="2" t="n">
        <v>0</v>
      </c>
      <c r="CR976" s="2" t="n">
        <v>0</v>
      </c>
      <c r="CS976" s="2" t="n">
        <v>0</v>
      </c>
      <c r="CT976" s="2" t="n">
        <v>0</v>
      </c>
      <c r="CU976" s="2" t="n">
        <v>0</v>
      </c>
      <c r="CV976" s="2" t="n">
        <v>0</v>
      </c>
      <c r="CW976" s="2" t="n">
        <v>0</v>
      </c>
      <c r="CX976" s="2" t="n">
        <v>0</v>
      </c>
      <c r="CY976" s="2" t="n">
        <v>0</v>
      </c>
      <c r="CZ976" s="2" t="n">
        <v>0</v>
      </c>
      <c r="DA976" s="2" t="n">
        <v>0</v>
      </c>
      <c r="DB976" s="2" t="n">
        <v>0</v>
      </c>
      <c r="DC976" s="2" t="n">
        <v>0</v>
      </c>
      <c r="DD976" s="2" t="n">
        <v>0</v>
      </c>
      <c r="DE976" s="2" t="n">
        <v>0</v>
      </c>
      <c r="DF976" s="2" t="n">
        <v>0</v>
      </c>
      <c r="DG976" s="2" t="n">
        <v>0</v>
      </c>
      <c r="DH976" s="2" t="n">
        <v>0</v>
      </c>
      <c r="DI976" s="2" t="n">
        <v>0</v>
      </c>
      <c r="DJ976" s="2" t="n">
        <v>0</v>
      </c>
      <c r="DK976" s="2" t="n">
        <v>0</v>
      </c>
      <c r="DL976" s="2" t="n">
        <v>0</v>
      </c>
      <c r="DM976" s="2" t="n">
        <v>4.94</v>
      </c>
      <c r="DN976" s="2" t="n">
        <v>0</v>
      </c>
      <c r="DO976" s="2" t="n">
        <v>0</v>
      </c>
      <c r="DP976" s="2" t="n">
        <v>8.08</v>
      </c>
      <c r="DQ976" s="2" t="n">
        <v>0</v>
      </c>
      <c r="DR976" s="2" t="n">
        <v>0</v>
      </c>
      <c r="DS976" s="2" t="n">
        <v>14.77</v>
      </c>
      <c r="DT976" s="2" t="n">
        <v>4.01</v>
      </c>
      <c r="DU976" s="2" t="n">
        <v>0</v>
      </c>
      <c r="DV976" s="2" t="n">
        <v>18.76</v>
      </c>
      <c r="DW976" s="2" t="n">
        <v>10.68</v>
      </c>
      <c r="DX976" s="2" t="n">
        <v>0</v>
      </c>
      <c r="DY976" s="2" t="n">
        <v>23.88</v>
      </c>
      <c r="DZ976" s="2" t="n">
        <v>10.94</v>
      </c>
      <c r="EA976" s="2" t="n">
        <v>0</v>
      </c>
      <c r="EB976" s="2" t="n">
        <v>35.64</v>
      </c>
      <c r="EC976" s="2" t="n">
        <v>14.4</v>
      </c>
      <c r="ED976" s="2" t="n">
        <v>0</v>
      </c>
      <c r="EE976" s="2" t="n">
        <v>49.75</v>
      </c>
      <c r="EF976" s="2" t="n">
        <v>29.58</v>
      </c>
      <c r="EG976" s="2" t="n">
        <v>0</v>
      </c>
      <c r="EH976" s="2" t="n">
        <v>64.09</v>
      </c>
      <c r="EI976" s="2" t="n">
        <v>37.26</v>
      </c>
      <c r="EJ976" s="2" t="n">
        <v>0</v>
      </c>
      <c r="EK976" s="2" t="n">
        <v>72.62</v>
      </c>
      <c r="EL976" s="2" t="n">
        <v>42.51</v>
      </c>
      <c r="EM976" s="2" t="n">
        <v>0</v>
      </c>
      <c r="EN976" s="2" t="n">
        <v>86.08</v>
      </c>
      <c r="EO976" s="2" t="n">
        <v>47.76</v>
      </c>
      <c r="EP976" s="2" t="n">
        <v>0</v>
      </c>
      <c r="EQ976" s="2" t="n">
        <v>94.61</v>
      </c>
      <c r="ER976" s="2" t="n">
        <v>57.86</v>
      </c>
      <c r="ES976" s="2" t="n">
        <v>0</v>
      </c>
      <c r="ET976" s="2" t="n">
        <v>100</v>
      </c>
      <c r="EU976" s="2" t="n">
        <v>69.7</v>
      </c>
      <c r="EV976" s="2" t="n">
        <v>0</v>
      </c>
      <c r="EW976" s="2" t="n">
        <v>100</v>
      </c>
      <c r="EX976" s="2" t="n">
        <v>75.76000000000001</v>
      </c>
      <c r="EY976" s="2" t="n">
        <v>0</v>
      </c>
      <c r="EZ976" s="2" t="n">
        <v>100</v>
      </c>
      <c r="FA976" s="2" t="n">
        <v>81.01000000000001</v>
      </c>
      <c r="FB976" s="2" t="n">
        <v>0</v>
      </c>
      <c r="FC976" s="2" t="n">
        <v>100</v>
      </c>
      <c r="FD976" s="2" t="n">
        <v>87.48</v>
      </c>
      <c r="FE976" s="2" t="n">
        <v>0</v>
      </c>
      <c r="FF976" s="2" t="n">
        <v>100</v>
      </c>
      <c r="FG976" s="2" t="n">
        <v>91.92</v>
      </c>
      <c r="FH976" s="2" t="n">
        <v>0</v>
      </c>
      <c r="FI976" s="2" t="n">
        <v>100</v>
      </c>
      <c r="FJ976" s="2" t="n">
        <v>97.58</v>
      </c>
      <c r="FK976" s="2" t="n">
        <v>0</v>
      </c>
      <c r="FL976" s="2" t="n">
        <v>100</v>
      </c>
      <c r="FM976" s="2" t="n">
        <v>100</v>
      </c>
      <c r="FN976" s="2" t="n">
        <v>0</v>
      </c>
      <c r="FO976" s="2" t="n">
        <v>100</v>
      </c>
      <c r="FP976" s="2" t="n">
        <v>100</v>
      </c>
      <c r="FQ976" s="2" t="n">
        <v>0</v>
      </c>
    </row>
    <row r="977">
      <c r="A977" s="2" t="n">
        <v>3</v>
      </c>
      <c r="B977" s="2" t="inlineStr">
        <is>
          <t>34.03.15</t>
        </is>
      </c>
      <c r="C977" s="2" t="inlineStr">
        <is>
          <t>Válvula cromada para pia americana</t>
        </is>
      </c>
      <c r="D977" s="2" t="inlineStr">
        <is>
          <t>20/10/2027</t>
        </is>
      </c>
      <c r="E977" s="2" t="inlineStr">
        <is>
          <t>09/01/2029</t>
        </is>
      </c>
      <c r="F977" s="2" t="n">
        <v>12764.37836760006</v>
      </c>
      <c r="G977" s="2" t="n">
        <v>0</v>
      </c>
      <c r="H977" s="2" t="n">
        <v>12764.37836760006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0</v>
      </c>
      <c r="Y977" s="2" t="n">
        <v>0</v>
      </c>
      <c r="Z977" s="2" t="n">
        <v>0</v>
      </c>
      <c r="AA977" s="2" t="n">
        <v>0</v>
      </c>
      <c r="AB977" s="2" t="n">
        <v>0</v>
      </c>
      <c r="AC977" s="2" t="n">
        <v>0</v>
      </c>
      <c r="AD977" s="2" t="n">
        <v>0</v>
      </c>
      <c r="AE977" s="2" t="n">
        <v>0</v>
      </c>
      <c r="AF977" s="2" t="n">
        <v>0</v>
      </c>
      <c r="AG977" s="2" t="n">
        <v>0</v>
      </c>
      <c r="AH977" s="2" t="n">
        <v>0</v>
      </c>
      <c r="AI977" s="2" t="n">
        <v>0</v>
      </c>
      <c r="AJ977" s="2" t="n">
        <v>0</v>
      </c>
      <c r="AK977" s="2" t="n">
        <v>0</v>
      </c>
      <c r="AL977" s="2" t="n">
        <v>0</v>
      </c>
      <c r="AM977" s="2" t="n">
        <v>0</v>
      </c>
      <c r="AN977" s="2" t="n">
        <v>0</v>
      </c>
      <c r="AO977" s="2" t="n">
        <v>0</v>
      </c>
      <c r="AP977" s="2" t="n">
        <v>0</v>
      </c>
      <c r="AQ977" s="2" t="n">
        <v>0</v>
      </c>
      <c r="AR977" s="2" t="n">
        <v>0</v>
      </c>
      <c r="AS977" s="2" t="n">
        <v>0</v>
      </c>
      <c r="AT977" s="2" t="n">
        <v>0</v>
      </c>
      <c r="AU977" s="2" t="n">
        <v>0</v>
      </c>
      <c r="AV977" s="2" t="n">
        <v>0</v>
      </c>
      <c r="AW977" s="2" t="n">
        <v>0</v>
      </c>
      <c r="AX977" s="2" t="n">
        <v>0</v>
      </c>
      <c r="AY977" s="2" t="n">
        <v>0</v>
      </c>
      <c r="AZ977" s="2" t="n">
        <v>0</v>
      </c>
      <c r="BA977" s="2" t="n">
        <v>0</v>
      </c>
      <c r="BB977" s="2" t="n">
        <v>0</v>
      </c>
      <c r="BC977" s="2" t="n">
        <v>0</v>
      </c>
      <c r="BD977" s="2" t="n">
        <v>0</v>
      </c>
      <c r="BE977" s="2" t="n">
        <v>0</v>
      </c>
      <c r="BF977" s="2" t="n">
        <v>0</v>
      </c>
      <c r="BG977" s="2" t="n">
        <v>0</v>
      </c>
      <c r="BH977" s="2" t="n">
        <v>0</v>
      </c>
      <c r="BI977" s="2" t="n">
        <v>0</v>
      </c>
      <c r="BJ977" s="2" t="n">
        <v>0</v>
      </c>
      <c r="BK977" s="2" t="n">
        <v>0</v>
      </c>
      <c r="BL977" s="2" t="n">
        <v>0</v>
      </c>
      <c r="BM977" s="2" t="n">
        <v>0</v>
      </c>
      <c r="BN977" s="2" t="n">
        <v>0</v>
      </c>
      <c r="BO977" s="2" t="n">
        <v>0</v>
      </c>
      <c r="BP977" s="2" t="n">
        <v>0</v>
      </c>
      <c r="BQ977" s="2" t="n">
        <v>0</v>
      </c>
      <c r="BR977" s="2" t="n">
        <v>0</v>
      </c>
      <c r="BS977" s="2" t="n">
        <v>0</v>
      </c>
      <c r="BT977" s="2" t="n">
        <v>0</v>
      </c>
      <c r="BU977" s="2" t="n">
        <v>0</v>
      </c>
      <c r="BV977" s="2" t="n">
        <v>0</v>
      </c>
      <c r="BW977" s="2" t="n">
        <v>0</v>
      </c>
      <c r="BX977" s="2" t="n">
        <v>0</v>
      </c>
      <c r="BY977" s="2" t="n">
        <v>0</v>
      </c>
      <c r="BZ977" s="2" t="n">
        <v>0</v>
      </c>
      <c r="CA977" s="2" t="n">
        <v>0</v>
      </c>
      <c r="CB977" s="2" t="n">
        <v>0</v>
      </c>
      <c r="CC977" s="2" t="n">
        <v>0</v>
      </c>
      <c r="CD977" s="2" t="n">
        <v>0</v>
      </c>
      <c r="CE977" s="2" t="n">
        <v>0</v>
      </c>
      <c r="CF977" s="2" t="n">
        <v>0</v>
      </c>
      <c r="CG977" s="2" t="n">
        <v>0</v>
      </c>
      <c r="CH977" s="2" t="n">
        <v>0</v>
      </c>
      <c r="CI977" s="2" t="n">
        <v>0</v>
      </c>
      <c r="CJ977" s="2" t="n">
        <v>0</v>
      </c>
      <c r="CK977" s="2" t="n">
        <v>0</v>
      </c>
      <c r="CL977" s="2" t="n">
        <v>0</v>
      </c>
      <c r="CM977" s="2" t="n">
        <v>0</v>
      </c>
      <c r="CN977" s="2" t="n">
        <v>0</v>
      </c>
      <c r="CO977" s="2" t="n">
        <v>0</v>
      </c>
      <c r="CP977" s="2" t="n">
        <v>0</v>
      </c>
      <c r="CQ977" s="2" t="n">
        <v>0</v>
      </c>
      <c r="CR977" s="2" t="n">
        <v>0</v>
      </c>
      <c r="CS977" s="2" t="n">
        <v>0</v>
      </c>
      <c r="CT977" s="2" t="n">
        <v>0</v>
      </c>
      <c r="CU977" s="2" t="n">
        <v>0</v>
      </c>
      <c r="CV977" s="2" t="n">
        <v>0</v>
      </c>
      <c r="CW977" s="2" t="n">
        <v>0</v>
      </c>
      <c r="CX977" s="2" t="n">
        <v>0</v>
      </c>
      <c r="CY977" s="2" t="n">
        <v>0</v>
      </c>
      <c r="CZ977" s="2" t="n">
        <v>0</v>
      </c>
      <c r="DA977" s="2" t="n">
        <v>0</v>
      </c>
      <c r="DB977" s="2" t="n">
        <v>0</v>
      </c>
      <c r="DC977" s="2" t="n">
        <v>0</v>
      </c>
      <c r="DD977" s="2" t="n">
        <v>0</v>
      </c>
      <c r="DE977" s="2" t="n">
        <v>0</v>
      </c>
      <c r="DF977" s="2" t="n">
        <v>0</v>
      </c>
      <c r="DG977" s="2" t="n">
        <v>0</v>
      </c>
      <c r="DH977" s="2" t="n">
        <v>0</v>
      </c>
      <c r="DI977" s="2" t="n">
        <v>0</v>
      </c>
      <c r="DJ977" s="2" t="n">
        <v>0</v>
      </c>
      <c r="DK977" s="2" t="n">
        <v>0</v>
      </c>
      <c r="DL977" s="2" t="n">
        <v>0</v>
      </c>
      <c r="DM977" s="2" t="n">
        <v>4.94</v>
      </c>
      <c r="DN977" s="2" t="n">
        <v>0</v>
      </c>
      <c r="DO977" s="2" t="n">
        <v>0</v>
      </c>
      <c r="DP977" s="2" t="n">
        <v>8.08</v>
      </c>
      <c r="DQ977" s="2" t="n">
        <v>0</v>
      </c>
      <c r="DR977" s="2" t="n">
        <v>0</v>
      </c>
      <c r="DS977" s="2" t="n">
        <v>14.77</v>
      </c>
      <c r="DT977" s="2" t="n">
        <v>4.01</v>
      </c>
      <c r="DU977" s="2" t="n">
        <v>0</v>
      </c>
      <c r="DV977" s="2" t="n">
        <v>18.76</v>
      </c>
      <c r="DW977" s="2" t="n">
        <v>10.68</v>
      </c>
      <c r="DX977" s="2" t="n">
        <v>0</v>
      </c>
      <c r="DY977" s="2" t="n">
        <v>23.88</v>
      </c>
      <c r="DZ977" s="2" t="n">
        <v>10.94</v>
      </c>
      <c r="EA977" s="2" t="n">
        <v>0</v>
      </c>
      <c r="EB977" s="2" t="n">
        <v>35.64</v>
      </c>
      <c r="EC977" s="2" t="n">
        <v>14.4</v>
      </c>
      <c r="ED977" s="2" t="n">
        <v>0</v>
      </c>
      <c r="EE977" s="2" t="n">
        <v>49.75</v>
      </c>
      <c r="EF977" s="2" t="n">
        <v>29.58</v>
      </c>
      <c r="EG977" s="2" t="n">
        <v>0</v>
      </c>
      <c r="EH977" s="2" t="n">
        <v>64.09</v>
      </c>
      <c r="EI977" s="2" t="n">
        <v>37.26</v>
      </c>
      <c r="EJ977" s="2" t="n">
        <v>0</v>
      </c>
      <c r="EK977" s="2" t="n">
        <v>72.62</v>
      </c>
      <c r="EL977" s="2" t="n">
        <v>42.51</v>
      </c>
      <c r="EM977" s="2" t="n">
        <v>0</v>
      </c>
      <c r="EN977" s="2" t="n">
        <v>86.08</v>
      </c>
      <c r="EO977" s="2" t="n">
        <v>47.76</v>
      </c>
      <c r="EP977" s="2" t="n">
        <v>0</v>
      </c>
      <c r="EQ977" s="2" t="n">
        <v>94.61</v>
      </c>
      <c r="ER977" s="2" t="n">
        <v>57.86</v>
      </c>
      <c r="ES977" s="2" t="n">
        <v>0</v>
      </c>
      <c r="ET977" s="2" t="n">
        <v>100</v>
      </c>
      <c r="EU977" s="2" t="n">
        <v>69.7</v>
      </c>
      <c r="EV977" s="2" t="n">
        <v>0</v>
      </c>
      <c r="EW977" s="2" t="n">
        <v>100</v>
      </c>
      <c r="EX977" s="2" t="n">
        <v>75.76000000000001</v>
      </c>
      <c r="EY977" s="2" t="n">
        <v>0</v>
      </c>
      <c r="EZ977" s="2" t="n">
        <v>100</v>
      </c>
      <c r="FA977" s="2" t="n">
        <v>81.01000000000001</v>
      </c>
      <c r="FB977" s="2" t="n">
        <v>0</v>
      </c>
      <c r="FC977" s="2" t="n">
        <v>100</v>
      </c>
      <c r="FD977" s="2" t="n">
        <v>87.48</v>
      </c>
      <c r="FE977" s="2" t="n">
        <v>0</v>
      </c>
      <c r="FF977" s="2" t="n">
        <v>100</v>
      </c>
      <c r="FG977" s="2" t="n">
        <v>91.92</v>
      </c>
      <c r="FH977" s="2" t="n">
        <v>0</v>
      </c>
      <c r="FI977" s="2" t="n">
        <v>100</v>
      </c>
      <c r="FJ977" s="2" t="n">
        <v>97.58</v>
      </c>
      <c r="FK977" s="2" t="n">
        <v>0</v>
      </c>
      <c r="FL977" s="2" t="n">
        <v>100</v>
      </c>
      <c r="FM977" s="2" t="n">
        <v>100</v>
      </c>
      <c r="FN977" s="2" t="n">
        <v>0</v>
      </c>
      <c r="FO977" s="2" t="n">
        <v>100</v>
      </c>
      <c r="FP977" s="2" t="n">
        <v>100</v>
      </c>
      <c r="FQ977" s="2" t="n">
        <v>0</v>
      </c>
    </row>
    <row r="978">
      <c r="A978" s="2" t="n">
        <v>3</v>
      </c>
      <c r="B978" s="2" t="inlineStr">
        <is>
          <t>34.03.16</t>
        </is>
      </c>
      <c r="C978" s="2" t="inlineStr">
        <is>
          <t>Sifão cromado para pia de cozinha</t>
        </is>
      </c>
      <c r="D978" s="2" t="inlineStr">
        <is>
          <t>20/10/2027</t>
        </is>
      </c>
      <c r="E978" s="2" t="inlineStr">
        <is>
          <t>09/01/2029</t>
        </is>
      </c>
      <c r="F978" s="2" t="n">
        <v>57936.12836760006</v>
      </c>
      <c r="G978" s="2" t="n">
        <v>0</v>
      </c>
      <c r="H978" s="2" t="n">
        <v>57936.12836760006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0</v>
      </c>
      <c r="Y978" s="2" t="n">
        <v>0</v>
      </c>
      <c r="Z978" s="2" t="n">
        <v>0</v>
      </c>
      <c r="AA978" s="2" t="n">
        <v>0</v>
      </c>
      <c r="AB978" s="2" t="n">
        <v>0</v>
      </c>
      <c r="AC978" s="2" t="n">
        <v>0</v>
      </c>
      <c r="AD978" s="2" t="n">
        <v>0</v>
      </c>
      <c r="AE978" s="2" t="n">
        <v>0</v>
      </c>
      <c r="AF978" s="2" t="n">
        <v>0</v>
      </c>
      <c r="AG978" s="2" t="n">
        <v>0</v>
      </c>
      <c r="AH978" s="2" t="n">
        <v>0</v>
      </c>
      <c r="AI978" s="2" t="n">
        <v>0</v>
      </c>
      <c r="AJ978" s="2" t="n">
        <v>0</v>
      </c>
      <c r="AK978" s="2" t="n">
        <v>0</v>
      </c>
      <c r="AL978" s="2" t="n">
        <v>0</v>
      </c>
      <c r="AM978" s="2" t="n">
        <v>0</v>
      </c>
      <c r="AN978" s="2" t="n">
        <v>0</v>
      </c>
      <c r="AO978" s="2" t="n">
        <v>0</v>
      </c>
      <c r="AP978" s="2" t="n">
        <v>0</v>
      </c>
      <c r="AQ978" s="2" t="n">
        <v>0</v>
      </c>
      <c r="AR978" s="2" t="n">
        <v>0</v>
      </c>
      <c r="AS978" s="2" t="n">
        <v>0</v>
      </c>
      <c r="AT978" s="2" t="n">
        <v>0</v>
      </c>
      <c r="AU978" s="2" t="n">
        <v>0</v>
      </c>
      <c r="AV978" s="2" t="n">
        <v>0</v>
      </c>
      <c r="AW978" s="2" t="n">
        <v>0</v>
      </c>
      <c r="AX978" s="2" t="n">
        <v>0</v>
      </c>
      <c r="AY978" s="2" t="n">
        <v>0</v>
      </c>
      <c r="AZ978" s="2" t="n">
        <v>0</v>
      </c>
      <c r="BA978" s="2" t="n">
        <v>0</v>
      </c>
      <c r="BB978" s="2" t="n">
        <v>0</v>
      </c>
      <c r="BC978" s="2" t="n">
        <v>0</v>
      </c>
      <c r="BD978" s="2" t="n">
        <v>0</v>
      </c>
      <c r="BE978" s="2" t="n">
        <v>0</v>
      </c>
      <c r="BF978" s="2" t="n">
        <v>0</v>
      </c>
      <c r="BG978" s="2" t="n">
        <v>0</v>
      </c>
      <c r="BH978" s="2" t="n">
        <v>0</v>
      </c>
      <c r="BI978" s="2" t="n">
        <v>0</v>
      </c>
      <c r="BJ978" s="2" t="n">
        <v>0</v>
      </c>
      <c r="BK978" s="2" t="n">
        <v>0</v>
      </c>
      <c r="BL978" s="2" t="n">
        <v>0</v>
      </c>
      <c r="BM978" s="2" t="n">
        <v>0</v>
      </c>
      <c r="BN978" s="2" t="n">
        <v>0</v>
      </c>
      <c r="BO978" s="2" t="n">
        <v>0</v>
      </c>
      <c r="BP978" s="2" t="n">
        <v>0</v>
      </c>
      <c r="BQ978" s="2" t="n">
        <v>0</v>
      </c>
      <c r="BR978" s="2" t="n">
        <v>0</v>
      </c>
      <c r="BS978" s="2" t="n">
        <v>0</v>
      </c>
      <c r="BT978" s="2" t="n">
        <v>0</v>
      </c>
      <c r="BU978" s="2" t="n">
        <v>0</v>
      </c>
      <c r="BV978" s="2" t="n">
        <v>0</v>
      </c>
      <c r="BW978" s="2" t="n">
        <v>0</v>
      </c>
      <c r="BX978" s="2" t="n">
        <v>0</v>
      </c>
      <c r="BY978" s="2" t="n">
        <v>0</v>
      </c>
      <c r="BZ978" s="2" t="n">
        <v>0</v>
      </c>
      <c r="CA978" s="2" t="n">
        <v>0</v>
      </c>
      <c r="CB978" s="2" t="n">
        <v>0</v>
      </c>
      <c r="CC978" s="2" t="n">
        <v>0</v>
      </c>
      <c r="CD978" s="2" t="n">
        <v>0</v>
      </c>
      <c r="CE978" s="2" t="n">
        <v>0</v>
      </c>
      <c r="CF978" s="2" t="n">
        <v>0</v>
      </c>
      <c r="CG978" s="2" t="n">
        <v>0</v>
      </c>
      <c r="CH978" s="2" t="n">
        <v>0</v>
      </c>
      <c r="CI978" s="2" t="n">
        <v>0</v>
      </c>
      <c r="CJ978" s="2" t="n">
        <v>0</v>
      </c>
      <c r="CK978" s="2" t="n">
        <v>0</v>
      </c>
      <c r="CL978" s="2" t="n">
        <v>0</v>
      </c>
      <c r="CM978" s="2" t="n">
        <v>0</v>
      </c>
      <c r="CN978" s="2" t="n">
        <v>0</v>
      </c>
      <c r="CO978" s="2" t="n">
        <v>0</v>
      </c>
      <c r="CP978" s="2" t="n">
        <v>0</v>
      </c>
      <c r="CQ978" s="2" t="n">
        <v>0</v>
      </c>
      <c r="CR978" s="2" t="n">
        <v>0</v>
      </c>
      <c r="CS978" s="2" t="n">
        <v>0</v>
      </c>
      <c r="CT978" s="2" t="n">
        <v>0</v>
      </c>
      <c r="CU978" s="2" t="n">
        <v>0</v>
      </c>
      <c r="CV978" s="2" t="n">
        <v>0</v>
      </c>
      <c r="CW978" s="2" t="n">
        <v>0</v>
      </c>
      <c r="CX978" s="2" t="n">
        <v>0</v>
      </c>
      <c r="CY978" s="2" t="n">
        <v>0</v>
      </c>
      <c r="CZ978" s="2" t="n">
        <v>0</v>
      </c>
      <c r="DA978" s="2" t="n">
        <v>0</v>
      </c>
      <c r="DB978" s="2" t="n">
        <v>0</v>
      </c>
      <c r="DC978" s="2" t="n">
        <v>0</v>
      </c>
      <c r="DD978" s="2" t="n">
        <v>0</v>
      </c>
      <c r="DE978" s="2" t="n">
        <v>0</v>
      </c>
      <c r="DF978" s="2" t="n">
        <v>0</v>
      </c>
      <c r="DG978" s="2" t="n">
        <v>0</v>
      </c>
      <c r="DH978" s="2" t="n">
        <v>0</v>
      </c>
      <c r="DI978" s="2" t="n">
        <v>0</v>
      </c>
      <c r="DJ978" s="2" t="n">
        <v>0</v>
      </c>
      <c r="DK978" s="2" t="n">
        <v>0</v>
      </c>
      <c r="DL978" s="2" t="n">
        <v>0</v>
      </c>
      <c r="DM978" s="2" t="n">
        <v>4.94</v>
      </c>
      <c r="DN978" s="2" t="n">
        <v>0</v>
      </c>
      <c r="DO978" s="2" t="n">
        <v>0</v>
      </c>
      <c r="DP978" s="2" t="n">
        <v>8.08</v>
      </c>
      <c r="DQ978" s="2" t="n">
        <v>0</v>
      </c>
      <c r="DR978" s="2" t="n">
        <v>0</v>
      </c>
      <c r="DS978" s="2" t="n">
        <v>14.77</v>
      </c>
      <c r="DT978" s="2" t="n">
        <v>4.01</v>
      </c>
      <c r="DU978" s="2" t="n">
        <v>0</v>
      </c>
      <c r="DV978" s="2" t="n">
        <v>18.76</v>
      </c>
      <c r="DW978" s="2" t="n">
        <v>10.68</v>
      </c>
      <c r="DX978" s="2" t="n">
        <v>0</v>
      </c>
      <c r="DY978" s="2" t="n">
        <v>23.88</v>
      </c>
      <c r="DZ978" s="2" t="n">
        <v>10.94</v>
      </c>
      <c r="EA978" s="2" t="n">
        <v>0</v>
      </c>
      <c r="EB978" s="2" t="n">
        <v>35.64</v>
      </c>
      <c r="EC978" s="2" t="n">
        <v>14.4</v>
      </c>
      <c r="ED978" s="2" t="n">
        <v>0</v>
      </c>
      <c r="EE978" s="2" t="n">
        <v>49.75</v>
      </c>
      <c r="EF978" s="2" t="n">
        <v>29.58</v>
      </c>
      <c r="EG978" s="2" t="n">
        <v>0</v>
      </c>
      <c r="EH978" s="2" t="n">
        <v>64.09</v>
      </c>
      <c r="EI978" s="2" t="n">
        <v>37.26</v>
      </c>
      <c r="EJ978" s="2" t="n">
        <v>0</v>
      </c>
      <c r="EK978" s="2" t="n">
        <v>72.62</v>
      </c>
      <c r="EL978" s="2" t="n">
        <v>42.51</v>
      </c>
      <c r="EM978" s="2" t="n">
        <v>0</v>
      </c>
      <c r="EN978" s="2" t="n">
        <v>86.08</v>
      </c>
      <c r="EO978" s="2" t="n">
        <v>47.76</v>
      </c>
      <c r="EP978" s="2" t="n">
        <v>0</v>
      </c>
      <c r="EQ978" s="2" t="n">
        <v>94.61</v>
      </c>
      <c r="ER978" s="2" t="n">
        <v>57.86</v>
      </c>
      <c r="ES978" s="2" t="n">
        <v>0</v>
      </c>
      <c r="ET978" s="2" t="n">
        <v>100</v>
      </c>
      <c r="EU978" s="2" t="n">
        <v>69.7</v>
      </c>
      <c r="EV978" s="2" t="n">
        <v>0</v>
      </c>
      <c r="EW978" s="2" t="n">
        <v>100</v>
      </c>
      <c r="EX978" s="2" t="n">
        <v>75.76000000000001</v>
      </c>
      <c r="EY978" s="2" t="n">
        <v>0</v>
      </c>
      <c r="EZ978" s="2" t="n">
        <v>100</v>
      </c>
      <c r="FA978" s="2" t="n">
        <v>81.01000000000001</v>
      </c>
      <c r="FB978" s="2" t="n">
        <v>0</v>
      </c>
      <c r="FC978" s="2" t="n">
        <v>100</v>
      </c>
      <c r="FD978" s="2" t="n">
        <v>87.48</v>
      </c>
      <c r="FE978" s="2" t="n">
        <v>0</v>
      </c>
      <c r="FF978" s="2" t="n">
        <v>100</v>
      </c>
      <c r="FG978" s="2" t="n">
        <v>91.92</v>
      </c>
      <c r="FH978" s="2" t="n">
        <v>0</v>
      </c>
      <c r="FI978" s="2" t="n">
        <v>100</v>
      </c>
      <c r="FJ978" s="2" t="n">
        <v>97.58</v>
      </c>
      <c r="FK978" s="2" t="n">
        <v>0</v>
      </c>
      <c r="FL978" s="2" t="n">
        <v>100</v>
      </c>
      <c r="FM978" s="2" t="n">
        <v>100</v>
      </c>
      <c r="FN978" s="2" t="n">
        <v>0</v>
      </c>
      <c r="FO978" s="2" t="n">
        <v>100</v>
      </c>
      <c r="FP978" s="2" t="n">
        <v>100</v>
      </c>
      <c r="FQ978" s="2" t="n">
        <v>0</v>
      </c>
    </row>
    <row r="979">
      <c r="A979" s="2" t="n">
        <v>2</v>
      </c>
      <c r="B979" s="2" t="inlineStr">
        <is>
          <t>34.04</t>
        </is>
      </c>
      <c r="C979" s="2" t="inlineStr">
        <is>
          <t>Tanque</t>
        </is>
      </c>
      <c r="D979" s="2" t="inlineStr">
        <is>
          <t>14/09/2027</t>
        </is>
      </c>
      <c r="E979" s="2" t="inlineStr">
        <is>
          <t>09/01/2029</t>
        </is>
      </c>
      <c r="F979" s="2" t="n">
        <v>69131.81326548968</v>
      </c>
      <c r="G979" s="2" t="n">
        <v>0</v>
      </c>
      <c r="H979" s="2" t="n">
        <v>69131.81326548968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0</v>
      </c>
      <c r="Y979" s="2" t="n">
        <v>0</v>
      </c>
      <c r="Z979" s="2" t="n">
        <v>0</v>
      </c>
      <c r="AA979" s="2" t="n">
        <v>0</v>
      </c>
      <c r="AB979" s="2" t="n">
        <v>0</v>
      </c>
      <c r="AC979" s="2" t="n">
        <v>0</v>
      </c>
      <c r="AD979" s="2" t="n">
        <v>0</v>
      </c>
      <c r="AE979" s="2" t="n">
        <v>0</v>
      </c>
      <c r="AF979" s="2" t="n">
        <v>0</v>
      </c>
      <c r="AG979" s="2" t="n">
        <v>0</v>
      </c>
      <c r="AH979" s="2" t="n">
        <v>0</v>
      </c>
      <c r="AI979" s="2" t="n">
        <v>0</v>
      </c>
      <c r="AJ979" s="2" t="n">
        <v>0</v>
      </c>
      <c r="AK979" s="2" t="n">
        <v>0</v>
      </c>
      <c r="AL979" s="2" t="n">
        <v>0</v>
      </c>
      <c r="AM979" s="2" t="n">
        <v>0</v>
      </c>
      <c r="AN979" s="2" t="n">
        <v>0</v>
      </c>
      <c r="AO979" s="2" t="n">
        <v>0</v>
      </c>
      <c r="AP979" s="2" t="n">
        <v>0</v>
      </c>
      <c r="AQ979" s="2" t="n">
        <v>0</v>
      </c>
      <c r="AR979" s="2" t="n">
        <v>0</v>
      </c>
      <c r="AS979" s="2" t="n">
        <v>0</v>
      </c>
      <c r="AT979" s="2" t="n">
        <v>0</v>
      </c>
      <c r="AU979" s="2" t="n">
        <v>0</v>
      </c>
      <c r="AV979" s="2" t="n">
        <v>0</v>
      </c>
      <c r="AW979" s="2" t="n">
        <v>0</v>
      </c>
      <c r="AX979" s="2" t="n">
        <v>0</v>
      </c>
      <c r="AY979" s="2" t="n">
        <v>0</v>
      </c>
      <c r="AZ979" s="2" t="n">
        <v>0</v>
      </c>
      <c r="BA979" s="2" t="n">
        <v>0</v>
      </c>
      <c r="BB979" s="2" t="n">
        <v>0</v>
      </c>
      <c r="BC979" s="2" t="n">
        <v>0</v>
      </c>
      <c r="BD979" s="2" t="n">
        <v>0</v>
      </c>
      <c r="BE979" s="2" t="n">
        <v>0</v>
      </c>
      <c r="BF979" s="2" t="n">
        <v>0</v>
      </c>
      <c r="BG979" s="2" t="n">
        <v>0</v>
      </c>
      <c r="BH979" s="2" t="n">
        <v>0</v>
      </c>
      <c r="BI979" s="2" t="n">
        <v>0</v>
      </c>
      <c r="BJ979" s="2" t="n">
        <v>0</v>
      </c>
      <c r="BK979" s="2" t="n">
        <v>0</v>
      </c>
      <c r="BL979" s="2" t="n">
        <v>0</v>
      </c>
      <c r="BM979" s="2" t="n">
        <v>0</v>
      </c>
      <c r="BN979" s="2" t="n">
        <v>0</v>
      </c>
      <c r="BO979" s="2" t="n">
        <v>0</v>
      </c>
      <c r="BP979" s="2" t="n">
        <v>0</v>
      </c>
      <c r="BQ979" s="2" t="n">
        <v>0</v>
      </c>
      <c r="BR979" s="2" t="n">
        <v>0</v>
      </c>
      <c r="BS979" s="2" t="n">
        <v>0</v>
      </c>
      <c r="BT979" s="2" t="n">
        <v>0</v>
      </c>
      <c r="BU979" s="2" t="n">
        <v>0</v>
      </c>
      <c r="BV979" s="2" t="n">
        <v>0</v>
      </c>
      <c r="BW979" s="2" t="n">
        <v>0</v>
      </c>
      <c r="BX979" s="2" t="n">
        <v>0</v>
      </c>
      <c r="BY979" s="2" t="n">
        <v>0</v>
      </c>
      <c r="BZ979" s="2" t="n">
        <v>0</v>
      </c>
      <c r="CA979" s="2" t="n">
        <v>0</v>
      </c>
      <c r="CB979" s="2" t="n">
        <v>0</v>
      </c>
      <c r="CC979" s="2" t="n">
        <v>0</v>
      </c>
      <c r="CD979" s="2" t="n">
        <v>0</v>
      </c>
      <c r="CE979" s="2" t="n">
        <v>0</v>
      </c>
      <c r="CF979" s="2" t="n">
        <v>0</v>
      </c>
      <c r="CG979" s="2" t="n">
        <v>0</v>
      </c>
      <c r="CH979" s="2" t="n">
        <v>0</v>
      </c>
      <c r="CI979" s="2" t="n">
        <v>0</v>
      </c>
      <c r="CJ979" s="2" t="n">
        <v>0</v>
      </c>
      <c r="CK979" s="2" t="n">
        <v>0</v>
      </c>
      <c r="CL979" s="2" t="n">
        <v>0</v>
      </c>
      <c r="CM979" s="2" t="n">
        <v>0</v>
      </c>
      <c r="CN979" s="2" t="n">
        <v>0</v>
      </c>
      <c r="CO979" s="2" t="n">
        <v>0</v>
      </c>
      <c r="CP979" s="2" t="n">
        <v>0</v>
      </c>
      <c r="CQ979" s="2" t="n">
        <v>0</v>
      </c>
      <c r="CR979" s="2" t="n">
        <v>0</v>
      </c>
      <c r="CS979" s="2" t="n">
        <v>0</v>
      </c>
      <c r="CT979" s="2" t="n">
        <v>0</v>
      </c>
      <c r="CU979" s="2" t="n">
        <v>0</v>
      </c>
      <c r="CV979" s="2" t="n">
        <v>0</v>
      </c>
      <c r="CW979" s="2" t="n">
        <v>0</v>
      </c>
      <c r="CX979" s="2" t="n">
        <v>0</v>
      </c>
      <c r="CY979" s="2" t="n">
        <v>0</v>
      </c>
      <c r="CZ979" s="2" t="n">
        <v>0</v>
      </c>
      <c r="DA979" s="2" t="n">
        <v>0</v>
      </c>
      <c r="DB979" s="2" t="n">
        <v>0</v>
      </c>
      <c r="DC979" s="2" t="n">
        <v>0</v>
      </c>
      <c r="DD979" s="2" t="n">
        <v>0</v>
      </c>
      <c r="DE979" s="2" t="n">
        <v>0</v>
      </c>
      <c r="DF979" s="2" t="n">
        <v>0</v>
      </c>
      <c r="DG979" s="2" t="n">
        <v>0</v>
      </c>
      <c r="DH979" s="2" t="n">
        <v>0</v>
      </c>
      <c r="DI979" s="2" t="n">
        <v>0</v>
      </c>
      <c r="DJ979" s="2" t="n">
        <v>0</v>
      </c>
      <c r="DK979" s="2" t="n">
        <v>0</v>
      </c>
      <c r="DL979" s="2" t="n">
        <v>0</v>
      </c>
      <c r="DM979" s="2" t="n">
        <v>4.94</v>
      </c>
      <c r="DN979" s="2" t="n">
        <v>0</v>
      </c>
      <c r="DO979" s="2" t="n">
        <v>0</v>
      </c>
      <c r="DP979" s="2" t="n">
        <v>9.48</v>
      </c>
      <c r="DQ979" s="2" t="n">
        <v>1.4</v>
      </c>
      <c r="DR979" s="2" t="n">
        <v>0</v>
      </c>
      <c r="DS979" s="2" t="n">
        <v>15.47</v>
      </c>
      <c r="DT979" s="2" t="n">
        <v>4.99</v>
      </c>
      <c r="DU979" s="2" t="n">
        <v>0</v>
      </c>
      <c r="DV979" s="2" t="n">
        <v>18.76</v>
      </c>
      <c r="DW979" s="2" t="n">
        <v>10.68</v>
      </c>
      <c r="DX979" s="2" t="n">
        <v>0</v>
      </c>
      <c r="DY979" s="2" t="n">
        <v>24.44</v>
      </c>
      <c r="DZ979" s="2" t="n">
        <v>11.51</v>
      </c>
      <c r="EA979" s="2" t="n">
        <v>0</v>
      </c>
      <c r="EB979" s="2" t="n">
        <v>35.64</v>
      </c>
      <c r="EC979" s="2" t="n">
        <v>14.4</v>
      </c>
      <c r="ED979" s="2" t="n">
        <v>0</v>
      </c>
      <c r="EE979" s="2" t="n">
        <v>49.75</v>
      </c>
      <c r="EF979" s="2" t="n">
        <v>29.58</v>
      </c>
      <c r="EG979" s="2" t="n">
        <v>0</v>
      </c>
      <c r="EH979" s="2" t="n">
        <v>64.09</v>
      </c>
      <c r="EI979" s="2" t="n">
        <v>37.26</v>
      </c>
      <c r="EJ979" s="2" t="n">
        <v>0</v>
      </c>
      <c r="EK979" s="2" t="n">
        <v>72.62</v>
      </c>
      <c r="EL979" s="2" t="n">
        <v>42.51</v>
      </c>
      <c r="EM979" s="2" t="n">
        <v>0</v>
      </c>
      <c r="EN979" s="2" t="n">
        <v>86.08</v>
      </c>
      <c r="EO979" s="2" t="n">
        <v>47.76</v>
      </c>
      <c r="EP979" s="2" t="n">
        <v>0</v>
      </c>
      <c r="EQ979" s="2" t="n">
        <v>94.61</v>
      </c>
      <c r="ER979" s="2" t="n">
        <v>57.86</v>
      </c>
      <c r="ES979" s="2" t="n">
        <v>0</v>
      </c>
      <c r="ET979" s="2" t="n">
        <v>100</v>
      </c>
      <c r="EU979" s="2" t="n">
        <v>69.7</v>
      </c>
      <c r="EV979" s="2" t="n">
        <v>0</v>
      </c>
      <c r="EW979" s="2" t="n">
        <v>100</v>
      </c>
      <c r="EX979" s="2" t="n">
        <v>75.76000000000001</v>
      </c>
      <c r="EY979" s="2" t="n">
        <v>0</v>
      </c>
      <c r="EZ979" s="2" t="n">
        <v>100</v>
      </c>
      <c r="FA979" s="2" t="n">
        <v>81.01000000000001</v>
      </c>
      <c r="FB979" s="2" t="n">
        <v>0</v>
      </c>
      <c r="FC979" s="2" t="n">
        <v>100</v>
      </c>
      <c r="FD979" s="2" t="n">
        <v>87.48</v>
      </c>
      <c r="FE979" s="2" t="n">
        <v>0</v>
      </c>
      <c r="FF979" s="2" t="n">
        <v>100</v>
      </c>
      <c r="FG979" s="2" t="n">
        <v>91.92</v>
      </c>
      <c r="FH979" s="2" t="n">
        <v>0</v>
      </c>
      <c r="FI979" s="2" t="n">
        <v>100</v>
      </c>
      <c r="FJ979" s="2" t="n">
        <v>97.58</v>
      </c>
      <c r="FK979" s="2" t="n">
        <v>0</v>
      </c>
      <c r="FL979" s="2" t="n">
        <v>100</v>
      </c>
      <c r="FM979" s="2" t="n">
        <v>100</v>
      </c>
      <c r="FN979" s="2" t="n">
        <v>0</v>
      </c>
      <c r="FO979" s="2" t="n">
        <v>100</v>
      </c>
      <c r="FP979" s="2" t="n">
        <v>100</v>
      </c>
      <c r="FQ979" s="2" t="n">
        <v>0</v>
      </c>
    </row>
    <row r="980">
      <c r="A980" s="2" t="n">
        <v>3</v>
      </c>
      <c r="B980" s="2" t="inlineStr">
        <is>
          <t>34.04.01</t>
        </is>
      </c>
      <c r="C980" s="2" t="inlineStr">
        <is>
          <t>Tanque de aço inox de embutir CT-60 escovado mekal</t>
        </is>
      </c>
      <c r="D980" s="2" t="inlineStr">
        <is>
          <t>14/09/2027</t>
        </is>
      </c>
      <c r="E980" s="2" t="inlineStr">
        <is>
          <t>09/01/2029</t>
        </is>
      </c>
      <c r="F980" s="2" t="n">
        <v>35027.12312040219</v>
      </c>
      <c r="G980" s="2" t="n">
        <v>0</v>
      </c>
      <c r="H980" s="2" t="n">
        <v>35027.12312040219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0</v>
      </c>
      <c r="Y980" s="2" t="n">
        <v>0</v>
      </c>
      <c r="Z980" s="2" t="n">
        <v>0</v>
      </c>
      <c r="AA980" s="2" t="n">
        <v>0</v>
      </c>
      <c r="AB980" s="2" t="n">
        <v>0</v>
      </c>
      <c r="AC980" s="2" t="n">
        <v>0</v>
      </c>
      <c r="AD980" s="2" t="n">
        <v>0</v>
      </c>
      <c r="AE980" s="2" t="n">
        <v>0</v>
      </c>
      <c r="AF980" s="2" t="n">
        <v>0</v>
      </c>
      <c r="AG980" s="2" t="n">
        <v>0</v>
      </c>
      <c r="AH980" s="2" t="n">
        <v>0</v>
      </c>
      <c r="AI980" s="2" t="n">
        <v>0</v>
      </c>
      <c r="AJ980" s="2" t="n">
        <v>0</v>
      </c>
      <c r="AK980" s="2" t="n">
        <v>0</v>
      </c>
      <c r="AL980" s="2" t="n">
        <v>0</v>
      </c>
      <c r="AM980" s="2" t="n">
        <v>0</v>
      </c>
      <c r="AN980" s="2" t="n">
        <v>0</v>
      </c>
      <c r="AO980" s="2" t="n">
        <v>0</v>
      </c>
      <c r="AP980" s="2" t="n">
        <v>0</v>
      </c>
      <c r="AQ980" s="2" t="n">
        <v>0</v>
      </c>
      <c r="AR980" s="2" t="n">
        <v>0</v>
      </c>
      <c r="AS980" s="2" t="n">
        <v>0</v>
      </c>
      <c r="AT980" s="2" t="n">
        <v>0</v>
      </c>
      <c r="AU980" s="2" t="n">
        <v>0</v>
      </c>
      <c r="AV980" s="2" t="n">
        <v>0</v>
      </c>
      <c r="AW980" s="2" t="n">
        <v>0</v>
      </c>
      <c r="AX980" s="2" t="n">
        <v>0</v>
      </c>
      <c r="AY980" s="2" t="n">
        <v>0</v>
      </c>
      <c r="AZ980" s="2" t="n">
        <v>0</v>
      </c>
      <c r="BA980" s="2" t="n">
        <v>0</v>
      </c>
      <c r="BB980" s="2" t="n">
        <v>0</v>
      </c>
      <c r="BC980" s="2" t="n">
        <v>0</v>
      </c>
      <c r="BD980" s="2" t="n">
        <v>0</v>
      </c>
      <c r="BE980" s="2" t="n">
        <v>0</v>
      </c>
      <c r="BF980" s="2" t="n">
        <v>0</v>
      </c>
      <c r="BG980" s="2" t="n">
        <v>0</v>
      </c>
      <c r="BH980" s="2" t="n">
        <v>0</v>
      </c>
      <c r="BI980" s="2" t="n">
        <v>0</v>
      </c>
      <c r="BJ980" s="2" t="n">
        <v>0</v>
      </c>
      <c r="BK980" s="2" t="n">
        <v>0</v>
      </c>
      <c r="BL980" s="2" t="n">
        <v>0</v>
      </c>
      <c r="BM980" s="2" t="n">
        <v>0</v>
      </c>
      <c r="BN980" s="2" t="n">
        <v>0</v>
      </c>
      <c r="BO980" s="2" t="n">
        <v>0</v>
      </c>
      <c r="BP980" s="2" t="n">
        <v>0</v>
      </c>
      <c r="BQ980" s="2" t="n">
        <v>0</v>
      </c>
      <c r="BR980" s="2" t="n">
        <v>0</v>
      </c>
      <c r="BS980" s="2" t="n">
        <v>0</v>
      </c>
      <c r="BT980" s="2" t="n">
        <v>0</v>
      </c>
      <c r="BU980" s="2" t="n">
        <v>0</v>
      </c>
      <c r="BV980" s="2" t="n">
        <v>0</v>
      </c>
      <c r="BW980" s="2" t="n">
        <v>0</v>
      </c>
      <c r="BX980" s="2" t="n">
        <v>0</v>
      </c>
      <c r="BY980" s="2" t="n">
        <v>0</v>
      </c>
      <c r="BZ980" s="2" t="n">
        <v>0</v>
      </c>
      <c r="CA980" s="2" t="n">
        <v>0</v>
      </c>
      <c r="CB980" s="2" t="n">
        <v>0</v>
      </c>
      <c r="CC980" s="2" t="n">
        <v>0</v>
      </c>
      <c r="CD980" s="2" t="n">
        <v>0</v>
      </c>
      <c r="CE980" s="2" t="n">
        <v>0</v>
      </c>
      <c r="CF980" s="2" t="n">
        <v>0</v>
      </c>
      <c r="CG980" s="2" t="n">
        <v>0</v>
      </c>
      <c r="CH980" s="2" t="n">
        <v>0</v>
      </c>
      <c r="CI980" s="2" t="n">
        <v>0</v>
      </c>
      <c r="CJ980" s="2" t="n">
        <v>0</v>
      </c>
      <c r="CK980" s="2" t="n">
        <v>0</v>
      </c>
      <c r="CL980" s="2" t="n">
        <v>0</v>
      </c>
      <c r="CM980" s="2" t="n">
        <v>0</v>
      </c>
      <c r="CN980" s="2" t="n">
        <v>0</v>
      </c>
      <c r="CO980" s="2" t="n">
        <v>0</v>
      </c>
      <c r="CP980" s="2" t="n">
        <v>0</v>
      </c>
      <c r="CQ980" s="2" t="n">
        <v>0</v>
      </c>
      <c r="CR980" s="2" t="n">
        <v>0</v>
      </c>
      <c r="CS980" s="2" t="n">
        <v>0</v>
      </c>
      <c r="CT980" s="2" t="n">
        <v>0</v>
      </c>
      <c r="CU980" s="2" t="n">
        <v>0</v>
      </c>
      <c r="CV980" s="2" t="n">
        <v>0</v>
      </c>
      <c r="CW980" s="2" t="n">
        <v>0</v>
      </c>
      <c r="CX980" s="2" t="n">
        <v>0</v>
      </c>
      <c r="CY980" s="2" t="n">
        <v>0</v>
      </c>
      <c r="CZ980" s="2" t="n">
        <v>0</v>
      </c>
      <c r="DA980" s="2" t="n">
        <v>0</v>
      </c>
      <c r="DB980" s="2" t="n">
        <v>0</v>
      </c>
      <c r="DC980" s="2" t="n">
        <v>0</v>
      </c>
      <c r="DD980" s="2" t="n">
        <v>0</v>
      </c>
      <c r="DE980" s="2" t="n">
        <v>0</v>
      </c>
      <c r="DF980" s="2" t="n">
        <v>0</v>
      </c>
      <c r="DG980" s="2" t="n">
        <v>0</v>
      </c>
      <c r="DH980" s="2" t="n">
        <v>0</v>
      </c>
      <c r="DI980" s="2" t="n">
        <v>0</v>
      </c>
      <c r="DJ980" s="2" t="n">
        <v>0</v>
      </c>
      <c r="DK980" s="2" t="n">
        <v>0</v>
      </c>
      <c r="DL980" s="2" t="n">
        <v>0</v>
      </c>
      <c r="DM980" s="2" t="n">
        <v>4.94</v>
      </c>
      <c r="DN980" s="2" t="n">
        <v>0</v>
      </c>
      <c r="DO980" s="2" t="n">
        <v>0</v>
      </c>
      <c r="DP980" s="2" t="n">
        <v>10.68</v>
      </c>
      <c r="DQ980" s="2" t="n">
        <v>2.6</v>
      </c>
      <c r="DR980" s="2" t="n">
        <v>0</v>
      </c>
      <c r="DS980" s="2" t="n">
        <v>16.07</v>
      </c>
      <c r="DT980" s="2" t="n">
        <v>5.83</v>
      </c>
      <c r="DU980" s="2" t="n">
        <v>0</v>
      </c>
      <c r="DV980" s="2" t="n">
        <v>18.76</v>
      </c>
      <c r="DW980" s="2" t="n">
        <v>10.68</v>
      </c>
      <c r="DX980" s="2" t="n">
        <v>0</v>
      </c>
      <c r="DY980" s="2" t="n">
        <v>24.93</v>
      </c>
      <c r="DZ980" s="2" t="n">
        <v>11.99</v>
      </c>
      <c r="EA980" s="2" t="n">
        <v>0</v>
      </c>
      <c r="EB980" s="2" t="n">
        <v>35.64</v>
      </c>
      <c r="EC980" s="2" t="n">
        <v>14.4</v>
      </c>
      <c r="ED980" s="2" t="n">
        <v>0</v>
      </c>
      <c r="EE980" s="2" t="n">
        <v>49.75</v>
      </c>
      <c r="EF980" s="2" t="n">
        <v>29.58</v>
      </c>
      <c r="EG980" s="2" t="n">
        <v>0</v>
      </c>
      <c r="EH980" s="2" t="n">
        <v>64.09</v>
      </c>
      <c r="EI980" s="2" t="n">
        <v>37.26</v>
      </c>
      <c r="EJ980" s="2" t="n">
        <v>0</v>
      </c>
      <c r="EK980" s="2" t="n">
        <v>72.62</v>
      </c>
      <c r="EL980" s="2" t="n">
        <v>42.51</v>
      </c>
      <c r="EM980" s="2" t="n">
        <v>0</v>
      </c>
      <c r="EN980" s="2" t="n">
        <v>86.08</v>
      </c>
      <c r="EO980" s="2" t="n">
        <v>47.76</v>
      </c>
      <c r="EP980" s="2" t="n">
        <v>0</v>
      </c>
      <c r="EQ980" s="2" t="n">
        <v>94.61</v>
      </c>
      <c r="ER980" s="2" t="n">
        <v>57.86</v>
      </c>
      <c r="ES980" s="2" t="n">
        <v>0</v>
      </c>
      <c r="ET980" s="2" t="n">
        <v>100</v>
      </c>
      <c r="EU980" s="2" t="n">
        <v>69.7</v>
      </c>
      <c r="EV980" s="2" t="n">
        <v>0</v>
      </c>
      <c r="EW980" s="2" t="n">
        <v>100</v>
      </c>
      <c r="EX980" s="2" t="n">
        <v>75.76000000000001</v>
      </c>
      <c r="EY980" s="2" t="n">
        <v>0</v>
      </c>
      <c r="EZ980" s="2" t="n">
        <v>100</v>
      </c>
      <c r="FA980" s="2" t="n">
        <v>81.01000000000001</v>
      </c>
      <c r="FB980" s="2" t="n">
        <v>0</v>
      </c>
      <c r="FC980" s="2" t="n">
        <v>100</v>
      </c>
      <c r="FD980" s="2" t="n">
        <v>87.48</v>
      </c>
      <c r="FE980" s="2" t="n">
        <v>0</v>
      </c>
      <c r="FF980" s="2" t="n">
        <v>100</v>
      </c>
      <c r="FG980" s="2" t="n">
        <v>91.92</v>
      </c>
      <c r="FH980" s="2" t="n">
        <v>0</v>
      </c>
      <c r="FI980" s="2" t="n">
        <v>100</v>
      </c>
      <c r="FJ980" s="2" t="n">
        <v>97.58</v>
      </c>
      <c r="FK980" s="2" t="n">
        <v>0</v>
      </c>
      <c r="FL980" s="2" t="n">
        <v>100</v>
      </c>
      <c r="FM980" s="2" t="n">
        <v>100</v>
      </c>
      <c r="FN980" s="2" t="n">
        <v>0</v>
      </c>
      <c r="FO980" s="2" t="n">
        <v>100</v>
      </c>
      <c r="FP980" s="2" t="n">
        <v>100</v>
      </c>
      <c r="FQ980" s="2" t="n">
        <v>0</v>
      </c>
    </row>
    <row r="981">
      <c r="A981" s="2" t="n">
        <v>3</v>
      </c>
      <c r="B981" s="2" t="inlineStr">
        <is>
          <t>34.04.02</t>
        </is>
      </c>
      <c r="C981" s="2" t="inlineStr">
        <is>
          <t>Tanque em cerâmica 18L cor branco fosco. Ref.: cód.TQ.01.17.; Deca.</t>
        </is>
      </c>
      <c r="D981" s="2" t="inlineStr">
        <is>
          <t>14/09/2027</t>
        </is>
      </c>
      <c r="E981" s="2" t="inlineStr">
        <is>
          <t>09/01/2029</t>
        </is>
      </c>
      <c r="F981" s="2" t="n">
        <v>2178.876487657351</v>
      </c>
      <c r="G981" s="2" t="n">
        <v>0</v>
      </c>
      <c r="H981" s="2" t="n">
        <v>2178.876487657351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0</v>
      </c>
      <c r="P981" s="2" t="n">
        <v>0</v>
      </c>
      <c r="Q981" s="2" t="n">
        <v>0</v>
      </c>
      <c r="R981" s="2" t="n">
        <v>0</v>
      </c>
      <c r="S981" s="2" t="n">
        <v>0</v>
      </c>
      <c r="T981" s="2" t="n">
        <v>0</v>
      </c>
      <c r="U981" s="2" t="n">
        <v>0</v>
      </c>
      <c r="V981" s="2" t="n">
        <v>0</v>
      </c>
      <c r="W981" s="2" t="n">
        <v>0</v>
      </c>
      <c r="X981" s="2" t="n">
        <v>0</v>
      </c>
      <c r="Y981" s="2" t="n">
        <v>0</v>
      </c>
      <c r="Z981" s="2" t="n">
        <v>0</v>
      </c>
      <c r="AA981" s="2" t="n">
        <v>0</v>
      </c>
      <c r="AB981" s="2" t="n">
        <v>0</v>
      </c>
      <c r="AC981" s="2" t="n">
        <v>0</v>
      </c>
      <c r="AD981" s="2" t="n">
        <v>0</v>
      </c>
      <c r="AE981" s="2" t="n">
        <v>0</v>
      </c>
      <c r="AF981" s="2" t="n">
        <v>0</v>
      </c>
      <c r="AG981" s="2" t="n">
        <v>0</v>
      </c>
      <c r="AH981" s="2" t="n">
        <v>0</v>
      </c>
      <c r="AI981" s="2" t="n">
        <v>0</v>
      </c>
      <c r="AJ981" s="2" t="n">
        <v>0</v>
      </c>
      <c r="AK981" s="2" t="n">
        <v>0</v>
      </c>
      <c r="AL981" s="2" t="n">
        <v>0</v>
      </c>
      <c r="AM981" s="2" t="n">
        <v>0</v>
      </c>
      <c r="AN981" s="2" t="n">
        <v>0</v>
      </c>
      <c r="AO981" s="2" t="n">
        <v>0</v>
      </c>
      <c r="AP981" s="2" t="n">
        <v>0</v>
      </c>
      <c r="AQ981" s="2" t="n">
        <v>0</v>
      </c>
      <c r="AR981" s="2" t="n">
        <v>0</v>
      </c>
      <c r="AS981" s="2" t="n">
        <v>0</v>
      </c>
      <c r="AT981" s="2" t="n">
        <v>0</v>
      </c>
      <c r="AU981" s="2" t="n">
        <v>0</v>
      </c>
      <c r="AV981" s="2" t="n">
        <v>0</v>
      </c>
      <c r="AW981" s="2" t="n">
        <v>0</v>
      </c>
      <c r="AX981" s="2" t="n">
        <v>0</v>
      </c>
      <c r="AY981" s="2" t="n">
        <v>0</v>
      </c>
      <c r="AZ981" s="2" t="n">
        <v>0</v>
      </c>
      <c r="BA981" s="2" t="n">
        <v>0</v>
      </c>
      <c r="BB981" s="2" t="n">
        <v>0</v>
      </c>
      <c r="BC981" s="2" t="n">
        <v>0</v>
      </c>
      <c r="BD981" s="2" t="n">
        <v>0</v>
      </c>
      <c r="BE981" s="2" t="n">
        <v>0</v>
      </c>
      <c r="BF981" s="2" t="n">
        <v>0</v>
      </c>
      <c r="BG981" s="2" t="n">
        <v>0</v>
      </c>
      <c r="BH981" s="2" t="n">
        <v>0</v>
      </c>
      <c r="BI981" s="2" t="n">
        <v>0</v>
      </c>
      <c r="BJ981" s="2" t="n">
        <v>0</v>
      </c>
      <c r="BK981" s="2" t="n">
        <v>0</v>
      </c>
      <c r="BL981" s="2" t="n">
        <v>0</v>
      </c>
      <c r="BM981" s="2" t="n">
        <v>0</v>
      </c>
      <c r="BN981" s="2" t="n">
        <v>0</v>
      </c>
      <c r="BO981" s="2" t="n">
        <v>0</v>
      </c>
      <c r="BP981" s="2" t="n">
        <v>0</v>
      </c>
      <c r="BQ981" s="2" t="n">
        <v>0</v>
      </c>
      <c r="BR981" s="2" t="n">
        <v>0</v>
      </c>
      <c r="BS981" s="2" t="n">
        <v>0</v>
      </c>
      <c r="BT981" s="2" t="n">
        <v>0</v>
      </c>
      <c r="BU981" s="2" t="n">
        <v>0</v>
      </c>
      <c r="BV981" s="2" t="n">
        <v>0</v>
      </c>
      <c r="BW981" s="2" t="n">
        <v>0</v>
      </c>
      <c r="BX981" s="2" t="n">
        <v>0</v>
      </c>
      <c r="BY981" s="2" t="n">
        <v>0</v>
      </c>
      <c r="BZ981" s="2" t="n">
        <v>0</v>
      </c>
      <c r="CA981" s="2" t="n">
        <v>0</v>
      </c>
      <c r="CB981" s="2" t="n">
        <v>0</v>
      </c>
      <c r="CC981" s="2" t="n">
        <v>0</v>
      </c>
      <c r="CD981" s="2" t="n">
        <v>0</v>
      </c>
      <c r="CE981" s="2" t="n">
        <v>0</v>
      </c>
      <c r="CF981" s="2" t="n">
        <v>0</v>
      </c>
      <c r="CG981" s="2" t="n">
        <v>0</v>
      </c>
      <c r="CH981" s="2" t="n">
        <v>0</v>
      </c>
      <c r="CI981" s="2" t="n">
        <v>0</v>
      </c>
      <c r="CJ981" s="2" t="n">
        <v>0</v>
      </c>
      <c r="CK981" s="2" t="n">
        <v>0</v>
      </c>
      <c r="CL981" s="2" t="n">
        <v>0</v>
      </c>
      <c r="CM981" s="2" t="n">
        <v>0</v>
      </c>
      <c r="CN981" s="2" t="n">
        <v>0</v>
      </c>
      <c r="CO981" s="2" t="n">
        <v>0</v>
      </c>
      <c r="CP981" s="2" t="n">
        <v>0</v>
      </c>
      <c r="CQ981" s="2" t="n">
        <v>0</v>
      </c>
      <c r="CR981" s="2" t="n">
        <v>0</v>
      </c>
      <c r="CS981" s="2" t="n">
        <v>0</v>
      </c>
      <c r="CT981" s="2" t="n">
        <v>0</v>
      </c>
      <c r="CU981" s="2" t="n">
        <v>0</v>
      </c>
      <c r="CV981" s="2" t="n">
        <v>0</v>
      </c>
      <c r="CW981" s="2" t="n">
        <v>0</v>
      </c>
      <c r="CX981" s="2" t="n">
        <v>0</v>
      </c>
      <c r="CY981" s="2" t="n">
        <v>0</v>
      </c>
      <c r="CZ981" s="2" t="n">
        <v>0</v>
      </c>
      <c r="DA981" s="2" t="n">
        <v>0</v>
      </c>
      <c r="DB981" s="2" t="n">
        <v>0</v>
      </c>
      <c r="DC981" s="2" t="n">
        <v>0</v>
      </c>
      <c r="DD981" s="2" t="n">
        <v>0</v>
      </c>
      <c r="DE981" s="2" t="n">
        <v>0</v>
      </c>
      <c r="DF981" s="2" t="n">
        <v>0</v>
      </c>
      <c r="DG981" s="2" t="n">
        <v>0</v>
      </c>
      <c r="DH981" s="2" t="n">
        <v>0</v>
      </c>
      <c r="DI981" s="2" t="n">
        <v>0</v>
      </c>
      <c r="DJ981" s="2" t="n">
        <v>0</v>
      </c>
      <c r="DK981" s="2" t="n">
        <v>0</v>
      </c>
      <c r="DL981" s="2" t="n">
        <v>0</v>
      </c>
      <c r="DM981" s="2" t="n">
        <v>4.94</v>
      </c>
      <c r="DN981" s="2" t="n">
        <v>0</v>
      </c>
      <c r="DO981" s="2" t="n">
        <v>0</v>
      </c>
      <c r="DP981" s="2" t="n">
        <v>10.68</v>
      </c>
      <c r="DQ981" s="2" t="n">
        <v>2.6</v>
      </c>
      <c r="DR981" s="2" t="n">
        <v>0</v>
      </c>
      <c r="DS981" s="2" t="n">
        <v>16.07</v>
      </c>
      <c r="DT981" s="2" t="n">
        <v>5.83</v>
      </c>
      <c r="DU981" s="2" t="n">
        <v>0</v>
      </c>
      <c r="DV981" s="2" t="n">
        <v>18.76</v>
      </c>
      <c r="DW981" s="2" t="n">
        <v>10.68</v>
      </c>
      <c r="DX981" s="2" t="n">
        <v>0</v>
      </c>
      <c r="DY981" s="2" t="n">
        <v>24.93</v>
      </c>
      <c r="DZ981" s="2" t="n">
        <v>11.99</v>
      </c>
      <c r="EA981" s="2" t="n">
        <v>0</v>
      </c>
      <c r="EB981" s="2" t="n">
        <v>35.64</v>
      </c>
      <c r="EC981" s="2" t="n">
        <v>14.4</v>
      </c>
      <c r="ED981" s="2" t="n">
        <v>0</v>
      </c>
      <c r="EE981" s="2" t="n">
        <v>49.75</v>
      </c>
      <c r="EF981" s="2" t="n">
        <v>29.58</v>
      </c>
      <c r="EG981" s="2" t="n">
        <v>0</v>
      </c>
      <c r="EH981" s="2" t="n">
        <v>64.09</v>
      </c>
      <c r="EI981" s="2" t="n">
        <v>37.26</v>
      </c>
      <c r="EJ981" s="2" t="n">
        <v>0</v>
      </c>
      <c r="EK981" s="2" t="n">
        <v>72.62</v>
      </c>
      <c r="EL981" s="2" t="n">
        <v>42.51</v>
      </c>
      <c r="EM981" s="2" t="n">
        <v>0</v>
      </c>
      <c r="EN981" s="2" t="n">
        <v>86.08</v>
      </c>
      <c r="EO981" s="2" t="n">
        <v>47.76</v>
      </c>
      <c r="EP981" s="2" t="n">
        <v>0</v>
      </c>
      <c r="EQ981" s="2" t="n">
        <v>94.61</v>
      </c>
      <c r="ER981" s="2" t="n">
        <v>57.86</v>
      </c>
      <c r="ES981" s="2" t="n">
        <v>0</v>
      </c>
      <c r="ET981" s="2" t="n">
        <v>100</v>
      </c>
      <c r="EU981" s="2" t="n">
        <v>69.7</v>
      </c>
      <c r="EV981" s="2" t="n">
        <v>0</v>
      </c>
      <c r="EW981" s="2" t="n">
        <v>100</v>
      </c>
      <c r="EX981" s="2" t="n">
        <v>75.76000000000001</v>
      </c>
      <c r="EY981" s="2" t="n">
        <v>0</v>
      </c>
      <c r="EZ981" s="2" t="n">
        <v>100</v>
      </c>
      <c r="FA981" s="2" t="n">
        <v>81.01000000000001</v>
      </c>
      <c r="FB981" s="2" t="n">
        <v>0</v>
      </c>
      <c r="FC981" s="2" t="n">
        <v>100</v>
      </c>
      <c r="FD981" s="2" t="n">
        <v>87.48</v>
      </c>
      <c r="FE981" s="2" t="n">
        <v>0</v>
      </c>
      <c r="FF981" s="2" t="n">
        <v>100</v>
      </c>
      <c r="FG981" s="2" t="n">
        <v>91.92</v>
      </c>
      <c r="FH981" s="2" t="n">
        <v>0</v>
      </c>
      <c r="FI981" s="2" t="n">
        <v>100</v>
      </c>
      <c r="FJ981" s="2" t="n">
        <v>97.58</v>
      </c>
      <c r="FK981" s="2" t="n">
        <v>0</v>
      </c>
      <c r="FL981" s="2" t="n">
        <v>100</v>
      </c>
      <c r="FM981" s="2" t="n">
        <v>100</v>
      </c>
      <c r="FN981" s="2" t="n">
        <v>0</v>
      </c>
      <c r="FO981" s="2" t="n">
        <v>100</v>
      </c>
      <c r="FP981" s="2" t="n">
        <v>100</v>
      </c>
      <c r="FQ981" s="2" t="n">
        <v>0</v>
      </c>
    </row>
    <row r="982">
      <c r="A982" s="2" t="n">
        <v>3</v>
      </c>
      <c r="B982" s="2" t="inlineStr">
        <is>
          <t>34.04.03</t>
        </is>
      </c>
      <c r="C982" s="2" t="inlineStr">
        <is>
          <t>Torneira de mesa de 90 graus com bica móvel para cozinha link cromado | deca | código: 1166.c.lnk</t>
        </is>
      </c>
      <c r="D982" s="2" t="inlineStr">
        <is>
          <t>20/10/2027</t>
        </is>
      </c>
      <c r="E982" s="2" t="inlineStr">
        <is>
          <t>09/01/2029</t>
        </is>
      </c>
      <c r="F982" s="2" t="n">
        <v>12324.48</v>
      </c>
      <c r="G982" s="2" t="n">
        <v>0</v>
      </c>
      <c r="H982" s="2" t="n">
        <v>12324.48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0</v>
      </c>
      <c r="P982" s="2" t="n">
        <v>0</v>
      </c>
      <c r="Q982" s="2" t="n">
        <v>0</v>
      </c>
      <c r="R982" s="2" t="n">
        <v>0</v>
      </c>
      <c r="S982" s="2" t="n">
        <v>0</v>
      </c>
      <c r="T982" s="2" t="n">
        <v>0</v>
      </c>
      <c r="U982" s="2" t="n">
        <v>0</v>
      </c>
      <c r="V982" s="2" t="n">
        <v>0</v>
      </c>
      <c r="W982" s="2" t="n">
        <v>0</v>
      </c>
      <c r="X982" s="2" t="n">
        <v>0</v>
      </c>
      <c r="Y982" s="2" t="n">
        <v>0</v>
      </c>
      <c r="Z982" s="2" t="n">
        <v>0</v>
      </c>
      <c r="AA982" s="2" t="n">
        <v>0</v>
      </c>
      <c r="AB982" s="2" t="n">
        <v>0</v>
      </c>
      <c r="AC982" s="2" t="n">
        <v>0</v>
      </c>
      <c r="AD982" s="2" t="n">
        <v>0</v>
      </c>
      <c r="AE982" s="2" t="n">
        <v>0</v>
      </c>
      <c r="AF982" s="2" t="n">
        <v>0</v>
      </c>
      <c r="AG982" s="2" t="n">
        <v>0</v>
      </c>
      <c r="AH982" s="2" t="n">
        <v>0</v>
      </c>
      <c r="AI982" s="2" t="n">
        <v>0</v>
      </c>
      <c r="AJ982" s="2" t="n">
        <v>0</v>
      </c>
      <c r="AK982" s="2" t="n">
        <v>0</v>
      </c>
      <c r="AL982" s="2" t="n">
        <v>0</v>
      </c>
      <c r="AM982" s="2" t="n">
        <v>0</v>
      </c>
      <c r="AN982" s="2" t="n">
        <v>0</v>
      </c>
      <c r="AO982" s="2" t="n">
        <v>0</v>
      </c>
      <c r="AP982" s="2" t="n">
        <v>0</v>
      </c>
      <c r="AQ982" s="2" t="n">
        <v>0</v>
      </c>
      <c r="AR982" s="2" t="n">
        <v>0</v>
      </c>
      <c r="AS982" s="2" t="n">
        <v>0</v>
      </c>
      <c r="AT982" s="2" t="n">
        <v>0</v>
      </c>
      <c r="AU982" s="2" t="n">
        <v>0</v>
      </c>
      <c r="AV982" s="2" t="n">
        <v>0</v>
      </c>
      <c r="AW982" s="2" t="n">
        <v>0</v>
      </c>
      <c r="AX982" s="2" t="n">
        <v>0</v>
      </c>
      <c r="AY982" s="2" t="n">
        <v>0</v>
      </c>
      <c r="AZ982" s="2" t="n">
        <v>0</v>
      </c>
      <c r="BA982" s="2" t="n">
        <v>0</v>
      </c>
      <c r="BB982" s="2" t="n">
        <v>0</v>
      </c>
      <c r="BC982" s="2" t="n">
        <v>0</v>
      </c>
      <c r="BD982" s="2" t="n">
        <v>0</v>
      </c>
      <c r="BE982" s="2" t="n">
        <v>0</v>
      </c>
      <c r="BF982" s="2" t="n">
        <v>0</v>
      </c>
      <c r="BG982" s="2" t="n">
        <v>0</v>
      </c>
      <c r="BH982" s="2" t="n">
        <v>0</v>
      </c>
      <c r="BI982" s="2" t="n">
        <v>0</v>
      </c>
      <c r="BJ982" s="2" t="n">
        <v>0</v>
      </c>
      <c r="BK982" s="2" t="n">
        <v>0</v>
      </c>
      <c r="BL982" s="2" t="n">
        <v>0</v>
      </c>
      <c r="BM982" s="2" t="n">
        <v>0</v>
      </c>
      <c r="BN982" s="2" t="n">
        <v>0</v>
      </c>
      <c r="BO982" s="2" t="n">
        <v>0</v>
      </c>
      <c r="BP982" s="2" t="n">
        <v>0</v>
      </c>
      <c r="BQ982" s="2" t="n">
        <v>0</v>
      </c>
      <c r="BR982" s="2" t="n">
        <v>0</v>
      </c>
      <c r="BS982" s="2" t="n">
        <v>0</v>
      </c>
      <c r="BT982" s="2" t="n">
        <v>0</v>
      </c>
      <c r="BU982" s="2" t="n">
        <v>0</v>
      </c>
      <c r="BV982" s="2" t="n">
        <v>0</v>
      </c>
      <c r="BW982" s="2" t="n">
        <v>0</v>
      </c>
      <c r="BX982" s="2" t="n">
        <v>0</v>
      </c>
      <c r="BY982" s="2" t="n">
        <v>0</v>
      </c>
      <c r="BZ982" s="2" t="n">
        <v>0</v>
      </c>
      <c r="CA982" s="2" t="n">
        <v>0</v>
      </c>
      <c r="CB982" s="2" t="n">
        <v>0</v>
      </c>
      <c r="CC982" s="2" t="n">
        <v>0</v>
      </c>
      <c r="CD982" s="2" t="n">
        <v>0</v>
      </c>
      <c r="CE982" s="2" t="n">
        <v>0</v>
      </c>
      <c r="CF982" s="2" t="n">
        <v>0</v>
      </c>
      <c r="CG982" s="2" t="n">
        <v>0</v>
      </c>
      <c r="CH982" s="2" t="n">
        <v>0</v>
      </c>
      <c r="CI982" s="2" t="n">
        <v>0</v>
      </c>
      <c r="CJ982" s="2" t="n">
        <v>0</v>
      </c>
      <c r="CK982" s="2" t="n">
        <v>0</v>
      </c>
      <c r="CL982" s="2" t="n">
        <v>0</v>
      </c>
      <c r="CM982" s="2" t="n">
        <v>0</v>
      </c>
      <c r="CN982" s="2" t="n">
        <v>0</v>
      </c>
      <c r="CO982" s="2" t="n">
        <v>0</v>
      </c>
      <c r="CP982" s="2" t="n">
        <v>0</v>
      </c>
      <c r="CQ982" s="2" t="n">
        <v>0</v>
      </c>
      <c r="CR982" s="2" t="n">
        <v>0</v>
      </c>
      <c r="CS982" s="2" t="n">
        <v>0</v>
      </c>
      <c r="CT982" s="2" t="n">
        <v>0</v>
      </c>
      <c r="CU982" s="2" t="n">
        <v>0</v>
      </c>
      <c r="CV982" s="2" t="n">
        <v>0</v>
      </c>
      <c r="CW982" s="2" t="n">
        <v>0</v>
      </c>
      <c r="CX982" s="2" t="n">
        <v>0</v>
      </c>
      <c r="CY982" s="2" t="n">
        <v>0</v>
      </c>
      <c r="CZ982" s="2" t="n">
        <v>0</v>
      </c>
      <c r="DA982" s="2" t="n">
        <v>0</v>
      </c>
      <c r="DB982" s="2" t="n">
        <v>0</v>
      </c>
      <c r="DC982" s="2" t="n">
        <v>0</v>
      </c>
      <c r="DD982" s="2" t="n">
        <v>0</v>
      </c>
      <c r="DE982" s="2" t="n">
        <v>0</v>
      </c>
      <c r="DF982" s="2" t="n">
        <v>0</v>
      </c>
      <c r="DG982" s="2" t="n">
        <v>0</v>
      </c>
      <c r="DH982" s="2" t="n">
        <v>0</v>
      </c>
      <c r="DI982" s="2" t="n">
        <v>0</v>
      </c>
      <c r="DJ982" s="2" t="n">
        <v>0</v>
      </c>
      <c r="DK982" s="2" t="n">
        <v>0</v>
      </c>
      <c r="DL982" s="2" t="n">
        <v>0</v>
      </c>
      <c r="DM982" s="2" t="n">
        <v>4.94</v>
      </c>
      <c r="DN982" s="2" t="n">
        <v>0</v>
      </c>
      <c r="DO982" s="2" t="n">
        <v>0</v>
      </c>
      <c r="DP982" s="2" t="n">
        <v>8.08</v>
      </c>
      <c r="DQ982" s="2" t="n">
        <v>0</v>
      </c>
      <c r="DR982" s="2" t="n">
        <v>0</v>
      </c>
      <c r="DS982" s="2" t="n">
        <v>14.77</v>
      </c>
      <c r="DT982" s="2" t="n">
        <v>4.01</v>
      </c>
      <c r="DU982" s="2" t="n">
        <v>0</v>
      </c>
      <c r="DV982" s="2" t="n">
        <v>18.76</v>
      </c>
      <c r="DW982" s="2" t="n">
        <v>10.68</v>
      </c>
      <c r="DX982" s="2" t="n">
        <v>0</v>
      </c>
      <c r="DY982" s="2" t="n">
        <v>23.88</v>
      </c>
      <c r="DZ982" s="2" t="n">
        <v>10.94</v>
      </c>
      <c r="EA982" s="2" t="n">
        <v>0</v>
      </c>
      <c r="EB982" s="2" t="n">
        <v>35.64</v>
      </c>
      <c r="EC982" s="2" t="n">
        <v>14.4</v>
      </c>
      <c r="ED982" s="2" t="n">
        <v>0</v>
      </c>
      <c r="EE982" s="2" t="n">
        <v>49.75</v>
      </c>
      <c r="EF982" s="2" t="n">
        <v>29.58</v>
      </c>
      <c r="EG982" s="2" t="n">
        <v>0</v>
      </c>
      <c r="EH982" s="2" t="n">
        <v>64.09</v>
      </c>
      <c r="EI982" s="2" t="n">
        <v>37.26</v>
      </c>
      <c r="EJ982" s="2" t="n">
        <v>0</v>
      </c>
      <c r="EK982" s="2" t="n">
        <v>72.62</v>
      </c>
      <c r="EL982" s="2" t="n">
        <v>42.51</v>
      </c>
      <c r="EM982" s="2" t="n">
        <v>0</v>
      </c>
      <c r="EN982" s="2" t="n">
        <v>86.08</v>
      </c>
      <c r="EO982" s="2" t="n">
        <v>47.76</v>
      </c>
      <c r="EP982" s="2" t="n">
        <v>0</v>
      </c>
      <c r="EQ982" s="2" t="n">
        <v>94.61</v>
      </c>
      <c r="ER982" s="2" t="n">
        <v>57.86</v>
      </c>
      <c r="ES982" s="2" t="n">
        <v>0</v>
      </c>
      <c r="ET982" s="2" t="n">
        <v>100</v>
      </c>
      <c r="EU982" s="2" t="n">
        <v>69.7</v>
      </c>
      <c r="EV982" s="2" t="n">
        <v>0</v>
      </c>
      <c r="EW982" s="2" t="n">
        <v>100</v>
      </c>
      <c r="EX982" s="2" t="n">
        <v>75.76000000000001</v>
      </c>
      <c r="EY982" s="2" t="n">
        <v>0</v>
      </c>
      <c r="EZ982" s="2" t="n">
        <v>100</v>
      </c>
      <c r="FA982" s="2" t="n">
        <v>81.01000000000001</v>
      </c>
      <c r="FB982" s="2" t="n">
        <v>0</v>
      </c>
      <c r="FC982" s="2" t="n">
        <v>100</v>
      </c>
      <c r="FD982" s="2" t="n">
        <v>87.48</v>
      </c>
      <c r="FE982" s="2" t="n">
        <v>0</v>
      </c>
      <c r="FF982" s="2" t="n">
        <v>100</v>
      </c>
      <c r="FG982" s="2" t="n">
        <v>91.92</v>
      </c>
      <c r="FH982" s="2" t="n">
        <v>0</v>
      </c>
      <c r="FI982" s="2" t="n">
        <v>100</v>
      </c>
      <c r="FJ982" s="2" t="n">
        <v>97.58</v>
      </c>
      <c r="FK982" s="2" t="n">
        <v>0</v>
      </c>
      <c r="FL982" s="2" t="n">
        <v>100</v>
      </c>
      <c r="FM982" s="2" t="n">
        <v>100</v>
      </c>
      <c r="FN982" s="2" t="n">
        <v>0</v>
      </c>
      <c r="FO982" s="2" t="n">
        <v>100</v>
      </c>
      <c r="FP982" s="2" t="n">
        <v>100</v>
      </c>
      <c r="FQ982" s="2" t="n">
        <v>0</v>
      </c>
    </row>
    <row r="983">
      <c r="A983" s="2" t="n">
        <v>3</v>
      </c>
      <c r="B983" s="2" t="inlineStr">
        <is>
          <t>34.04.04</t>
        </is>
      </c>
      <c r="C983" s="2" t="inlineStr">
        <is>
          <t>'Torneira de parede com arejador, para Jardim e Tanque, cromado. Ref.: cód. 1154.C37; Linha Izy; Deca.</t>
        </is>
      </c>
      <c r="D983" s="2" t="inlineStr">
        <is>
          <t>20/10/2027</t>
        </is>
      </c>
      <c r="E983" s="2" t="inlineStr">
        <is>
          <t>09/01/2029</t>
        </is>
      </c>
      <c r="F983" s="2" t="n">
        <v>574.4364023929224</v>
      </c>
      <c r="G983" s="2" t="n">
        <v>0</v>
      </c>
      <c r="H983" s="2" t="n">
        <v>574.4364023929224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0</v>
      </c>
      <c r="P983" s="2" t="n">
        <v>0</v>
      </c>
      <c r="Q983" s="2" t="n">
        <v>0</v>
      </c>
      <c r="R983" s="2" t="n">
        <v>0</v>
      </c>
      <c r="S983" s="2" t="n">
        <v>0</v>
      </c>
      <c r="T983" s="2" t="n">
        <v>0</v>
      </c>
      <c r="U983" s="2" t="n">
        <v>0</v>
      </c>
      <c r="V983" s="2" t="n">
        <v>0</v>
      </c>
      <c r="W983" s="2" t="n">
        <v>0</v>
      </c>
      <c r="X983" s="2" t="n">
        <v>0</v>
      </c>
      <c r="Y983" s="2" t="n">
        <v>0</v>
      </c>
      <c r="Z983" s="2" t="n">
        <v>0</v>
      </c>
      <c r="AA983" s="2" t="n">
        <v>0</v>
      </c>
      <c r="AB983" s="2" t="n">
        <v>0</v>
      </c>
      <c r="AC983" s="2" t="n">
        <v>0</v>
      </c>
      <c r="AD983" s="2" t="n">
        <v>0</v>
      </c>
      <c r="AE983" s="2" t="n">
        <v>0</v>
      </c>
      <c r="AF983" s="2" t="n">
        <v>0</v>
      </c>
      <c r="AG983" s="2" t="n">
        <v>0</v>
      </c>
      <c r="AH983" s="2" t="n">
        <v>0</v>
      </c>
      <c r="AI983" s="2" t="n">
        <v>0</v>
      </c>
      <c r="AJ983" s="2" t="n">
        <v>0</v>
      </c>
      <c r="AK983" s="2" t="n">
        <v>0</v>
      </c>
      <c r="AL983" s="2" t="n">
        <v>0</v>
      </c>
      <c r="AM983" s="2" t="n">
        <v>0</v>
      </c>
      <c r="AN983" s="2" t="n">
        <v>0</v>
      </c>
      <c r="AO983" s="2" t="n">
        <v>0</v>
      </c>
      <c r="AP983" s="2" t="n">
        <v>0</v>
      </c>
      <c r="AQ983" s="2" t="n">
        <v>0</v>
      </c>
      <c r="AR983" s="2" t="n">
        <v>0</v>
      </c>
      <c r="AS983" s="2" t="n">
        <v>0</v>
      </c>
      <c r="AT983" s="2" t="n">
        <v>0</v>
      </c>
      <c r="AU983" s="2" t="n">
        <v>0</v>
      </c>
      <c r="AV983" s="2" t="n">
        <v>0</v>
      </c>
      <c r="AW983" s="2" t="n">
        <v>0</v>
      </c>
      <c r="AX983" s="2" t="n">
        <v>0</v>
      </c>
      <c r="AY983" s="2" t="n">
        <v>0</v>
      </c>
      <c r="AZ983" s="2" t="n">
        <v>0</v>
      </c>
      <c r="BA983" s="2" t="n">
        <v>0</v>
      </c>
      <c r="BB983" s="2" t="n">
        <v>0</v>
      </c>
      <c r="BC983" s="2" t="n">
        <v>0</v>
      </c>
      <c r="BD983" s="2" t="n">
        <v>0</v>
      </c>
      <c r="BE983" s="2" t="n">
        <v>0</v>
      </c>
      <c r="BF983" s="2" t="n">
        <v>0</v>
      </c>
      <c r="BG983" s="2" t="n">
        <v>0</v>
      </c>
      <c r="BH983" s="2" t="n">
        <v>0</v>
      </c>
      <c r="BI983" s="2" t="n">
        <v>0</v>
      </c>
      <c r="BJ983" s="2" t="n">
        <v>0</v>
      </c>
      <c r="BK983" s="2" t="n">
        <v>0</v>
      </c>
      <c r="BL983" s="2" t="n">
        <v>0</v>
      </c>
      <c r="BM983" s="2" t="n">
        <v>0</v>
      </c>
      <c r="BN983" s="2" t="n">
        <v>0</v>
      </c>
      <c r="BO983" s="2" t="n">
        <v>0</v>
      </c>
      <c r="BP983" s="2" t="n">
        <v>0</v>
      </c>
      <c r="BQ983" s="2" t="n">
        <v>0</v>
      </c>
      <c r="BR983" s="2" t="n">
        <v>0</v>
      </c>
      <c r="BS983" s="2" t="n">
        <v>0</v>
      </c>
      <c r="BT983" s="2" t="n">
        <v>0</v>
      </c>
      <c r="BU983" s="2" t="n">
        <v>0</v>
      </c>
      <c r="BV983" s="2" t="n">
        <v>0</v>
      </c>
      <c r="BW983" s="2" t="n">
        <v>0</v>
      </c>
      <c r="BX983" s="2" t="n">
        <v>0</v>
      </c>
      <c r="BY983" s="2" t="n">
        <v>0</v>
      </c>
      <c r="BZ983" s="2" t="n">
        <v>0</v>
      </c>
      <c r="CA983" s="2" t="n">
        <v>0</v>
      </c>
      <c r="CB983" s="2" t="n">
        <v>0</v>
      </c>
      <c r="CC983" s="2" t="n">
        <v>0</v>
      </c>
      <c r="CD983" s="2" t="n">
        <v>0</v>
      </c>
      <c r="CE983" s="2" t="n">
        <v>0</v>
      </c>
      <c r="CF983" s="2" t="n">
        <v>0</v>
      </c>
      <c r="CG983" s="2" t="n">
        <v>0</v>
      </c>
      <c r="CH983" s="2" t="n">
        <v>0</v>
      </c>
      <c r="CI983" s="2" t="n">
        <v>0</v>
      </c>
      <c r="CJ983" s="2" t="n">
        <v>0</v>
      </c>
      <c r="CK983" s="2" t="n">
        <v>0</v>
      </c>
      <c r="CL983" s="2" t="n">
        <v>0</v>
      </c>
      <c r="CM983" s="2" t="n">
        <v>0</v>
      </c>
      <c r="CN983" s="2" t="n">
        <v>0</v>
      </c>
      <c r="CO983" s="2" t="n">
        <v>0</v>
      </c>
      <c r="CP983" s="2" t="n">
        <v>0</v>
      </c>
      <c r="CQ983" s="2" t="n">
        <v>0</v>
      </c>
      <c r="CR983" s="2" t="n">
        <v>0</v>
      </c>
      <c r="CS983" s="2" t="n">
        <v>0</v>
      </c>
      <c r="CT983" s="2" t="n">
        <v>0</v>
      </c>
      <c r="CU983" s="2" t="n">
        <v>0</v>
      </c>
      <c r="CV983" s="2" t="n">
        <v>0</v>
      </c>
      <c r="CW983" s="2" t="n">
        <v>0</v>
      </c>
      <c r="CX983" s="2" t="n">
        <v>0</v>
      </c>
      <c r="CY983" s="2" t="n">
        <v>0</v>
      </c>
      <c r="CZ983" s="2" t="n">
        <v>0</v>
      </c>
      <c r="DA983" s="2" t="n">
        <v>0</v>
      </c>
      <c r="DB983" s="2" t="n">
        <v>0</v>
      </c>
      <c r="DC983" s="2" t="n">
        <v>0</v>
      </c>
      <c r="DD983" s="2" t="n">
        <v>0</v>
      </c>
      <c r="DE983" s="2" t="n">
        <v>0</v>
      </c>
      <c r="DF983" s="2" t="n">
        <v>0</v>
      </c>
      <c r="DG983" s="2" t="n">
        <v>0</v>
      </c>
      <c r="DH983" s="2" t="n">
        <v>0</v>
      </c>
      <c r="DI983" s="2" t="n">
        <v>0</v>
      </c>
      <c r="DJ983" s="2" t="n">
        <v>0</v>
      </c>
      <c r="DK983" s="2" t="n">
        <v>0</v>
      </c>
      <c r="DL983" s="2" t="n">
        <v>0</v>
      </c>
      <c r="DM983" s="2" t="n">
        <v>4.94</v>
      </c>
      <c r="DN983" s="2" t="n">
        <v>0</v>
      </c>
      <c r="DO983" s="2" t="n">
        <v>0</v>
      </c>
      <c r="DP983" s="2" t="n">
        <v>8.08</v>
      </c>
      <c r="DQ983" s="2" t="n">
        <v>0</v>
      </c>
      <c r="DR983" s="2" t="n">
        <v>0</v>
      </c>
      <c r="DS983" s="2" t="n">
        <v>14.77</v>
      </c>
      <c r="DT983" s="2" t="n">
        <v>4.01</v>
      </c>
      <c r="DU983" s="2" t="n">
        <v>0</v>
      </c>
      <c r="DV983" s="2" t="n">
        <v>18.76</v>
      </c>
      <c r="DW983" s="2" t="n">
        <v>10.68</v>
      </c>
      <c r="DX983" s="2" t="n">
        <v>0</v>
      </c>
      <c r="DY983" s="2" t="n">
        <v>23.88</v>
      </c>
      <c r="DZ983" s="2" t="n">
        <v>10.94</v>
      </c>
      <c r="EA983" s="2" t="n">
        <v>0</v>
      </c>
      <c r="EB983" s="2" t="n">
        <v>35.64</v>
      </c>
      <c r="EC983" s="2" t="n">
        <v>14.4</v>
      </c>
      <c r="ED983" s="2" t="n">
        <v>0</v>
      </c>
      <c r="EE983" s="2" t="n">
        <v>49.75</v>
      </c>
      <c r="EF983" s="2" t="n">
        <v>29.58</v>
      </c>
      <c r="EG983" s="2" t="n">
        <v>0</v>
      </c>
      <c r="EH983" s="2" t="n">
        <v>64.09</v>
      </c>
      <c r="EI983" s="2" t="n">
        <v>37.26</v>
      </c>
      <c r="EJ983" s="2" t="n">
        <v>0</v>
      </c>
      <c r="EK983" s="2" t="n">
        <v>72.62</v>
      </c>
      <c r="EL983" s="2" t="n">
        <v>42.51</v>
      </c>
      <c r="EM983" s="2" t="n">
        <v>0</v>
      </c>
      <c r="EN983" s="2" t="n">
        <v>86.08</v>
      </c>
      <c r="EO983" s="2" t="n">
        <v>47.76</v>
      </c>
      <c r="EP983" s="2" t="n">
        <v>0</v>
      </c>
      <c r="EQ983" s="2" t="n">
        <v>94.61</v>
      </c>
      <c r="ER983" s="2" t="n">
        <v>57.86</v>
      </c>
      <c r="ES983" s="2" t="n">
        <v>0</v>
      </c>
      <c r="ET983" s="2" t="n">
        <v>100</v>
      </c>
      <c r="EU983" s="2" t="n">
        <v>69.7</v>
      </c>
      <c r="EV983" s="2" t="n">
        <v>0</v>
      </c>
      <c r="EW983" s="2" t="n">
        <v>100</v>
      </c>
      <c r="EX983" s="2" t="n">
        <v>75.76000000000001</v>
      </c>
      <c r="EY983" s="2" t="n">
        <v>0</v>
      </c>
      <c r="EZ983" s="2" t="n">
        <v>100</v>
      </c>
      <c r="FA983" s="2" t="n">
        <v>81.01000000000001</v>
      </c>
      <c r="FB983" s="2" t="n">
        <v>0</v>
      </c>
      <c r="FC983" s="2" t="n">
        <v>100</v>
      </c>
      <c r="FD983" s="2" t="n">
        <v>87.48</v>
      </c>
      <c r="FE983" s="2" t="n">
        <v>0</v>
      </c>
      <c r="FF983" s="2" t="n">
        <v>100</v>
      </c>
      <c r="FG983" s="2" t="n">
        <v>91.92</v>
      </c>
      <c r="FH983" s="2" t="n">
        <v>0</v>
      </c>
      <c r="FI983" s="2" t="n">
        <v>100</v>
      </c>
      <c r="FJ983" s="2" t="n">
        <v>97.58</v>
      </c>
      <c r="FK983" s="2" t="n">
        <v>0</v>
      </c>
      <c r="FL983" s="2" t="n">
        <v>100</v>
      </c>
      <c r="FM983" s="2" t="n">
        <v>100</v>
      </c>
      <c r="FN983" s="2" t="n">
        <v>0</v>
      </c>
      <c r="FO983" s="2" t="n">
        <v>100</v>
      </c>
      <c r="FP983" s="2" t="n">
        <v>100</v>
      </c>
      <c r="FQ983" s="2" t="n">
        <v>0</v>
      </c>
    </row>
    <row r="984">
      <c r="A984" s="2" t="n">
        <v>3</v>
      </c>
      <c r="B984" s="2" t="inlineStr">
        <is>
          <t>34.04.05</t>
        </is>
      </c>
      <c r="C984" s="2" t="inlineStr">
        <is>
          <t>Válvula cromada para tanque</t>
        </is>
      </c>
      <c r="D984" s="2" t="inlineStr">
        <is>
          <t>20/10/2027</t>
        </is>
      </c>
      <c r="E984" s="2" t="inlineStr">
        <is>
          <t>09/01/2029</t>
        </is>
      </c>
      <c r="F984" s="2" t="n">
        <v>4186.878627518608</v>
      </c>
      <c r="G984" s="2" t="n">
        <v>0</v>
      </c>
      <c r="H984" s="2" t="n">
        <v>4186.878627518608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0</v>
      </c>
      <c r="P984" s="2" t="n">
        <v>0</v>
      </c>
      <c r="Q984" s="2" t="n">
        <v>0</v>
      </c>
      <c r="R984" s="2" t="n">
        <v>0</v>
      </c>
      <c r="S984" s="2" t="n">
        <v>0</v>
      </c>
      <c r="T984" s="2" t="n">
        <v>0</v>
      </c>
      <c r="U984" s="2" t="n">
        <v>0</v>
      </c>
      <c r="V984" s="2" t="n">
        <v>0</v>
      </c>
      <c r="W984" s="2" t="n">
        <v>0</v>
      </c>
      <c r="X984" s="2" t="n">
        <v>0</v>
      </c>
      <c r="Y984" s="2" t="n">
        <v>0</v>
      </c>
      <c r="Z984" s="2" t="n">
        <v>0</v>
      </c>
      <c r="AA984" s="2" t="n">
        <v>0</v>
      </c>
      <c r="AB984" s="2" t="n">
        <v>0</v>
      </c>
      <c r="AC984" s="2" t="n">
        <v>0</v>
      </c>
      <c r="AD984" s="2" t="n">
        <v>0</v>
      </c>
      <c r="AE984" s="2" t="n">
        <v>0</v>
      </c>
      <c r="AF984" s="2" t="n">
        <v>0</v>
      </c>
      <c r="AG984" s="2" t="n">
        <v>0</v>
      </c>
      <c r="AH984" s="2" t="n">
        <v>0</v>
      </c>
      <c r="AI984" s="2" t="n">
        <v>0</v>
      </c>
      <c r="AJ984" s="2" t="n">
        <v>0</v>
      </c>
      <c r="AK984" s="2" t="n">
        <v>0</v>
      </c>
      <c r="AL984" s="2" t="n">
        <v>0</v>
      </c>
      <c r="AM984" s="2" t="n">
        <v>0</v>
      </c>
      <c r="AN984" s="2" t="n">
        <v>0</v>
      </c>
      <c r="AO984" s="2" t="n">
        <v>0</v>
      </c>
      <c r="AP984" s="2" t="n">
        <v>0</v>
      </c>
      <c r="AQ984" s="2" t="n">
        <v>0</v>
      </c>
      <c r="AR984" s="2" t="n">
        <v>0</v>
      </c>
      <c r="AS984" s="2" t="n">
        <v>0</v>
      </c>
      <c r="AT984" s="2" t="n">
        <v>0</v>
      </c>
      <c r="AU984" s="2" t="n">
        <v>0</v>
      </c>
      <c r="AV984" s="2" t="n">
        <v>0</v>
      </c>
      <c r="AW984" s="2" t="n">
        <v>0</v>
      </c>
      <c r="AX984" s="2" t="n">
        <v>0</v>
      </c>
      <c r="AY984" s="2" t="n">
        <v>0</v>
      </c>
      <c r="AZ984" s="2" t="n">
        <v>0</v>
      </c>
      <c r="BA984" s="2" t="n">
        <v>0</v>
      </c>
      <c r="BB984" s="2" t="n">
        <v>0</v>
      </c>
      <c r="BC984" s="2" t="n">
        <v>0</v>
      </c>
      <c r="BD984" s="2" t="n">
        <v>0</v>
      </c>
      <c r="BE984" s="2" t="n">
        <v>0</v>
      </c>
      <c r="BF984" s="2" t="n">
        <v>0</v>
      </c>
      <c r="BG984" s="2" t="n">
        <v>0</v>
      </c>
      <c r="BH984" s="2" t="n">
        <v>0</v>
      </c>
      <c r="BI984" s="2" t="n">
        <v>0</v>
      </c>
      <c r="BJ984" s="2" t="n">
        <v>0</v>
      </c>
      <c r="BK984" s="2" t="n">
        <v>0</v>
      </c>
      <c r="BL984" s="2" t="n">
        <v>0</v>
      </c>
      <c r="BM984" s="2" t="n">
        <v>0</v>
      </c>
      <c r="BN984" s="2" t="n">
        <v>0</v>
      </c>
      <c r="BO984" s="2" t="n">
        <v>0</v>
      </c>
      <c r="BP984" s="2" t="n">
        <v>0</v>
      </c>
      <c r="BQ984" s="2" t="n">
        <v>0</v>
      </c>
      <c r="BR984" s="2" t="n">
        <v>0</v>
      </c>
      <c r="BS984" s="2" t="n">
        <v>0</v>
      </c>
      <c r="BT984" s="2" t="n">
        <v>0</v>
      </c>
      <c r="BU984" s="2" t="n">
        <v>0</v>
      </c>
      <c r="BV984" s="2" t="n">
        <v>0</v>
      </c>
      <c r="BW984" s="2" t="n">
        <v>0</v>
      </c>
      <c r="BX984" s="2" t="n">
        <v>0</v>
      </c>
      <c r="BY984" s="2" t="n">
        <v>0</v>
      </c>
      <c r="BZ984" s="2" t="n">
        <v>0</v>
      </c>
      <c r="CA984" s="2" t="n">
        <v>0</v>
      </c>
      <c r="CB984" s="2" t="n">
        <v>0</v>
      </c>
      <c r="CC984" s="2" t="n">
        <v>0</v>
      </c>
      <c r="CD984" s="2" t="n">
        <v>0</v>
      </c>
      <c r="CE984" s="2" t="n">
        <v>0</v>
      </c>
      <c r="CF984" s="2" t="n">
        <v>0</v>
      </c>
      <c r="CG984" s="2" t="n">
        <v>0</v>
      </c>
      <c r="CH984" s="2" t="n">
        <v>0</v>
      </c>
      <c r="CI984" s="2" t="n">
        <v>0</v>
      </c>
      <c r="CJ984" s="2" t="n">
        <v>0</v>
      </c>
      <c r="CK984" s="2" t="n">
        <v>0</v>
      </c>
      <c r="CL984" s="2" t="n">
        <v>0</v>
      </c>
      <c r="CM984" s="2" t="n">
        <v>0</v>
      </c>
      <c r="CN984" s="2" t="n">
        <v>0</v>
      </c>
      <c r="CO984" s="2" t="n">
        <v>0</v>
      </c>
      <c r="CP984" s="2" t="n">
        <v>0</v>
      </c>
      <c r="CQ984" s="2" t="n">
        <v>0</v>
      </c>
      <c r="CR984" s="2" t="n">
        <v>0</v>
      </c>
      <c r="CS984" s="2" t="n">
        <v>0</v>
      </c>
      <c r="CT984" s="2" t="n">
        <v>0</v>
      </c>
      <c r="CU984" s="2" t="n">
        <v>0</v>
      </c>
      <c r="CV984" s="2" t="n">
        <v>0</v>
      </c>
      <c r="CW984" s="2" t="n">
        <v>0</v>
      </c>
      <c r="CX984" s="2" t="n">
        <v>0</v>
      </c>
      <c r="CY984" s="2" t="n">
        <v>0</v>
      </c>
      <c r="CZ984" s="2" t="n">
        <v>0</v>
      </c>
      <c r="DA984" s="2" t="n">
        <v>0</v>
      </c>
      <c r="DB984" s="2" t="n">
        <v>0</v>
      </c>
      <c r="DC984" s="2" t="n">
        <v>0</v>
      </c>
      <c r="DD984" s="2" t="n">
        <v>0</v>
      </c>
      <c r="DE984" s="2" t="n">
        <v>0</v>
      </c>
      <c r="DF984" s="2" t="n">
        <v>0</v>
      </c>
      <c r="DG984" s="2" t="n">
        <v>0</v>
      </c>
      <c r="DH984" s="2" t="n">
        <v>0</v>
      </c>
      <c r="DI984" s="2" t="n">
        <v>0</v>
      </c>
      <c r="DJ984" s="2" t="n">
        <v>0</v>
      </c>
      <c r="DK984" s="2" t="n">
        <v>0</v>
      </c>
      <c r="DL984" s="2" t="n">
        <v>0</v>
      </c>
      <c r="DM984" s="2" t="n">
        <v>4.94</v>
      </c>
      <c r="DN984" s="2" t="n">
        <v>0</v>
      </c>
      <c r="DO984" s="2" t="n">
        <v>0</v>
      </c>
      <c r="DP984" s="2" t="n">
        <v>8.08</v>
      </c>
      <c r="DQ984" s="2" t="n">
        <v>0</v>
      </c>
      <c r="DR984" s="2" t="n">
        <v>0</v>
      </c>
      <c r="DS984" s="2" t="n">
        <v>14.77</v>
      </c>
      <c r="DT984" s="2" t="n">
        <v>4.01</v>
      </c>
      <c r="DU984" s="2" t="n">
        <v>0</v>
      </c>
      <c r="DV984" s="2" t="n">
        <v>18.76</v>
      </c>
      <c r="DW984" s="2" t="n">
        <v>10.68</v>
      </c>
      <c r="DX984" s="2" t="n">
        <v>0</v>
      </c>
      <c r="DY984" s="2" t="n">
        <v>23.88</v>
      </c>
      <c r="DZ984" s="2" t="n">
        <v>10.94</v>
      </c>
      <c r="EA984" s="2" t="n">
        <v>0</v>
      </c>
      <c r="EB984" s="2" t="n">
        <v>35.64</v>
      </c>
      <c r="EC984" s="2" t="n">
        <v>14.4</v>
      </c>
      <c r="ED984" s="2" t="n">
        <v>0</v>
      </c>
      <c r="EE984" s="2" t="n">
        <v>49.75</v>
      </c>
      <c r="EF984" s="2" t="n">
        <v>29.58</v>
      </c>
      <c r="EG984" s="2" t="n">
        <v>0</v>
      </c>
      <c r="EH984" s="2" t="n">
        <v>64.09</v>
      </c>
      <c r="EI984" s="2" t="n">
        <v>37.26</v>
      </c>
      <c r="EJ984" s="2" t="n">
        <v>0</v>
      </c>
      <c r="EK984" s="2" t="n">
        <v>72.62</v>
      </c>
      <c r="EL984" s="2" t="n">
        <v>42.51</v>
      </c>
      <c r="EM984" s="2" t="n">
        <v>0</v>
      </c>
      <c r="EN984" s="2" t="n">
        <v>86.08</v>
      </c>
      <c r="EO984" s="2" t="n">
        <v>47.76</v>
      </c>
      <c r="EP984" s="2" t="n">
        <v>0</v>
      </c>
      <c r="EQ984" s="2" t="n">
        <v>94.61</v>
      </c>
      <c r="ER984" s="2" t="n">
        <v>57.86</v>
      </c>
      <c r="ES984" s="2" t="n">
        <v>0</v>
      </c>
      <c r="ET984" s="2" t="n">
        <v>100</v>
      </c>
      <c r="EU984" s="2" t="n">
        <v>69.7</v>
      </c>
      <c r="EV984" s="2" t="n">
        <v>0</v>
      </c>
      <c r="EW984" s="2" t="n">
        <v>100</v>
      </c>
      <c r="EX984" s="2" t="n">
        <v>75.76000000000001</v>
      </c>
      <c r="EY984" s="2" t="n">
        <v>0</v>
      </c>
      <c r="EZ984" s="2" t="n">
        <v>100</v>
      </c>
      <c r="FA984" s="2" t="n">
        <v>81.01000000000001</v>
      </c>
      <c r="FB984" s="2" t="n">
        <v>0</v>
      </c>
      <c r="FC984" s="2" t="n">
        <v>100</v>
      </c>
      <c r="FD984" s="2" t="n">
        <v>87.48</v>
      </c>
      <c r="FE984" s="2" t="n">
        <v>0</v>
      </c>
      <c r="FF984" s="2" t="n">
        <v>100</v>
      </c>
      <c r="FG984" s="2" t="n">
        <v>91.92</v>
      </c>
      <c r="FH984" s="2" t="n">
        <v>0</v>
      </c>
      <c r="FI984" s="2" t="n">
        <v>100</v>
      </c>
      <c r="FJ984" s="2" t="n">
        <v>97.58</v>
      </c>
      <c r="FK984" s="2" t="n">
        <v>0</v>
      </c>
      <c r="FL984" s="2" t="n">
        <v>100</v>
      </c>
      <c r="FM984" s="2" t="n">
        <v>100</v>
      </c>
      <c r="FN984" s="2" t="n">
        <v>0</v>
      </c>
      <c r="FO984" s="2" t="n">
        <v>100</v>
      </c>
      <c r="FP984" s="2" t="n">
        <v>100</v>
      </c>
      <c r="FQ984" s="2" t="n">
        <v>0</v>
      </c>
    </row>
    <row r="985">
      <c r="A985" s="2" t="n">
        <v>3</v>
      </c>
      <c r="B985" s="2" t="inlineStr">
        <is>
          <t>34.04.06</t>
        </is>
      </c>
      <c r="C985" s="2" t="inlineStr">
        <is>
          <t>Sifão cromado para tanque</t>
        </is>
      </c>
      <c r="D985" s="2" t="inlineStr">
        <is>
          <t>20/10/2027</t>
        </is>
      </c>
      <c r="E985" s="2" t="inlineStr">
        <is>
          <t>09/01/2029</t>
        </is>
      </c>
      <c r="F985" s="2" t="n">
        <v>13549.58222512568</v>
      </c>
      <c r="G985" s="2" t="n">
        <v>0</v>
      </c>
      <c r="H985" s="2" t="n">
        <v>13549.58222512568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0</v>
      </c>
      <c r="P985" s="2" t="n">
        <v>0</v>
      </c>
      <c r="Q985" s="2" t="n">
        <v>0</v>
      </c>
      <c r="R985" s="2" t="n">
        <v>0</v>
      </c>
      <c r="S985" s="2" t="n">
        <v>0</v>
      </c>
      <c r="T985" s="2" t="n">
        <v>0</v>
      </c>
      <c r="U985" s="2" t="n">
        <v>0</v>
      </c>
      <c r="V985" s="2" t="n">
        <v>0</v>
      </c>
      <c r="W985" s="2" t="n">
        <v>0</v>
      </c>
      <c r="X985" s="2" t="n">
        <v>0</v>
      </c>
      <c r="Y985" s="2" t="n">
        <v>0</v>
      </c>
      <c r="Z985" s="2" t="n">
        <v>0</v>
      </c>
      <c r="AA985" s="2" t="n">
        <v>0</v>
      </c>
      <c r="AB985" s="2" t="n">
        <v>0</v>
      </c>
      <c r="AC985" s="2" t="n">
        <v>0</v>
      </c>
      <c r="AD985" s="2" t="n">
        <v>0</v>
      </c>
      <c r="AE985" s="2" t="n">
        <v>0</v>
      </c>
      <c r="AF985" s="2" t="n">
        <v>0</v>
      </c>
      <c r="AG985" s="2" t="n">
        <v>0</v>
      </c>
      <c r="AH985" s="2" t="n">
        <v>0</v>
      </c>
      <c r="AI985" s="2" t="n">
        <v>0</v>
      </c>
      <c r="AJ985" s="2" t="n">
        <v>0</v>
      </c>
      <c r="AK985" s="2" t="n">
        <v>0</v>
      </c>
      <c r="AL985" s="2" t="n">
        <v>0</v>
      </c>
      <c r="AM985" s="2" t="n">
        <v>0</v>
      </c>
      <c r="AN985" s="2" t="n">
        <v>0</v>
      </c>
      <c r="AO985" s="2" t="n">
        <v>0</v>
      </c>
      <c r="AP985" s="2" t="n">
        <v>0</v>
      </c>
      <c r="AQ985" s="2" t="n">
        <v>0</v>
      </c>
      <c r="AR985" s="2" t="n">
        <v>0</v>
      </c>
      <c r="AS985" s="2" t="n">
        <v>0</v>
      </c>
      <c r="AT985" s="2" t="n">
        <v>0</v>
      </c>
      <c r="AU985" s="2" t="n">
        <v>0</v>
      </c>
      <c r="AV985" s="2" t="n">
        <v>0</v>
      </c>
      <c r="AW985" s="2" t="n">
        <v>0</v>
      </c>
      <c r="AX985" s="2" t="n">
        <v>0</v>
      </c>
      <c r="AY985" s="2" t="n">
        <v>0</v>
      </c>
      <c r="AZ985" s="2" t="n">
        <v>0</v>
      </c>
      <c r="BA985" s="2" t="n">
        <v>0</v>
      </c>
      <c r="BB985" s="2" t="n">
        <v>0</v>
      </c>
      <c r="BC985" s="2" t="n">
        <v>0</v>
      </c>
      <c r="BD985" s="2" t="n">
        <v>0</v>
      </c>
      <c r="BE985" s="2" t="n">
        <v>0</v>
      </c>
      <c r="BF985" s="2" t="n">
        <v>0</v>
      </c>
      <c r="BG985" s="2" t="n">
        <v>0</v>
      </c>
      <c r="BH985" s="2" t="n">
        <v>0</v>
      </c>
      <c r="BI985" s="2" t="n">
        <v>0</v>
      </c>
      <c r="BJ985" s="2" t="n">
        <v>0</v>
      </c>
      <c r="BK985" s="2" t="n">
        <v>0</v>
      </c>
      <c r="BL985" s="2" t="n">
        <v>0</v>
      </c>
      <c r="BM985" s="2" t="n">
        <v>0</v>
      </c>
      <c r="BN985" s="2" t="n">
        <v>0</v>
      </c>
      <c r="BO985" s="2" t="n">
        <v>0</v>
      </c>
      <c r="BP985" s="2" t="n">
        <v>0</v>
      </c>
      <c r="BQ985" s="2" t="n">
        <v>0</v>
      </c>
      <c r="BR985" s="2" t="n">
        <v>0</v>
      </c>
      <c r="BS985" s="2" t="n">
        <v>0</v>
      </c>
      <c r="BT985" s="2" t="n">
        <v>0</v>
      </c>
      <c r="BU985" s="2" t="n">
        <v>0</v>
      </c>
      <c r="BV985" s="2" t="n">
        <v>0</v>
      </c>
      <c r="BW985" s="2" t="n">
        <v>0</v>
      </c>
      <c r="BX985" s="2" t="n">
        <v>0</v>
      </c>
      <c r="BY985" s="2" t="n">
        <v>0</v>
      </c>
      <c r="BZ985" s="2" t="n">
        <v>0</v>
      </c>
      <c r="CA985" s="2" t="n">
        <v>0</v>
      </c>
      <c r="CB985" s="2" t="n">
        <v>0</v>
      </c>
      <c r="CC985" s="2" t="n">
        <v>0</v>
      </c>
      <c r="CD985" s="2" t="n">
        <v>0</v>
      </c>
      <c r="CE985" s="2" t="n">
        <v>0</v>
      </c>
      <c r="CF985" s="2" t="n">
        <v>0</v>
      </c>
      <c r="CG985" s="2" t="n">
        <v>0</v>
      </c>
      <c r="CH985" s="2" t="n">
        <v>0</v>
      </c>
      <c r="CI985" s="2" t="n">
        <v>0</v>
      </c>
      <c r="CJ985" s="2" t="n">
        <v>0</v>
      </c>
      <c r="CK985" s="2" t="n">
        <v>0</v>
      </c>
      <c r="CL985" s="2" t="n">
        <v>0</v>
      </c>
      <c r="CM985" s="2" t="n">
        <v>0</v>
      </c>
      <c r="CN985" s="2" t="n">
        <v>0</v>
      </c>
      <c r="CO985" s="2" t="n">
        <v>0</v>
      </c>
      <c r="CP985" s="2" t="n">
        <v>0</v>
      </c>
      <c r="CQ985" s="2" t="n">
        <v>0</v>
      </c>
      <c r="CR985" s="2" t="n">
        <v>0</v>
      </c>
      <c r="CS985" s="2" t="n">
        <v>0</v>
      </c>
      <c r="CT985" s="2" t="n">
        <v>0</v>
      </c>
      <c r="CU985" s="2" t="n">
        <v>0</v>
      </c>
      <c r="CV985" s="2" t="n">
        <v>0</v>
      </c>
      <c r="CW985" s="2" t="n">
        <v>0</v>
      </c>
      <c r="CX985" s="2" t="n">
        <v>0</v>
      </c>
      <c r="CY985" s="2" t="n">
        <v>0</v>
      </c>
      <c r="CZ985" s="2" t="n">
        <v>0</v>
      </c>
      <c r="DA985" s="2" t="n">
        <v>0</v>
      </c>
      <c r="DB985" s="2" t="n">
        <v>0</v>
      </c>
      <c r="DC985" s="2" t="n">
        <v>0</v>
      </c>
      <c r="DD985" s="2" t="n">
        <v>0</v>
      </c>
      <c r="DE985" s="2" t="n">
        <v>0</v>
      </c>
      <c r="DF985" s="2" t="n">
        <v>0</v>
      </c>
      <c r="DG985" s="2" t="n">
        <v>0</v>
      </c>
      <c r="DH985" s="2" t="n">
        <v>0</v>
      </c>
      <c r="DI985" s="2" t="n">
        <v>0</v>
      </c>
      <c r="DJ985" s="2" t="n">
        <v>0</v>
      </c>
      <c r="DK985" s="2" t="n">
        <v>0</v>
      </c>
      <c r="DL985" s="2" t="n">
        <v>0</v>
      </c>
      <c r="DM985" s="2" t="n">
        <v>4.94</v>
      </c>
      <c r="DN985" s="2" t="n">
        <v>0</v>
      </c>
      <c r="DO985" s="2" t="n">
        <v>0</v>
      </c>
      <c r="DP985" s="2" t="n">
        <v>8.08</v>
      </c>
      <c r="DQ985" s="2" t="n">
        <v>0</v>
      </c>
      <c r="DR985" s="2" t="n">
        <v>0</v>
      </c>
      <c r="DS985" s="2" t="n">
        <v>14.77</v>
      </c>
      <c r="DT985" s="2" t="n">
        <v>4.01</v>
      </c>
      <c r="DU985" s="2" t="n">
        <v>0</v>
      </c>
      <c r="DV985" s="2" t="n">
        <v>18.76</v>
      </c>
      <c r="DW985" s="2" t="n">
        <v>10.68</v>
      </c>
      <c r="DX985" s="2" t="n">
        <v>0</v>
      </c>
      <c r="DY985" s="2" t="n">
        <v>23.88</v>
      </c>
      <c r="DZ985" s="2" t="n">
        <v>10.94</v>
      </c>
      <c r="EA985" s="2" t="n">
        <v>0</v>
      </c>
      <c r="EB985" s="2" t="n">
        <v>35.64</v>
      </c>
      <c r="EC985" s="2" t="n">
        <v>14.4</v>
      </c>
      <c r="ED985" s="2" t="n">
        <v>0</v>
      </c>
      <c r="EE985" s="2" t="n">
        <v>49.75</v>
      </c>
      <c r="EF985" s="2" t="n">
        <v>29.58</v>
      </c>
      <c r="EG985" s="2" t="n">
        <v>0</v>
      </c>
      <c r="EH985" s="2" t="n">
        <v>64.09</v>
      </c>
      <c r="EI985" s="2" t="n">
        <v>37.26</v>
      </c>
      <c r="EJ985" s="2" t="n">
        <v>0</v>
      </c>
      <c r="EK985" s="2" t="n">
        <v>72.62</v>
      </c>
      <c r="EL985" s="2" t="n">
        <v>42.51</v>
      </c>
      <c r="EM985" s="2" t="n">
        <v>0</v>
      </c>
      <c r="EN985" s="2" t="n">
        <v>86.08</v>
      </c>
      <c r="EO985" s="2" t="n">
        <v>47.76</v>
      </c>
      <c r="EP985" s="2" t="n">
        <v>0</v>
      </c>
      <c r="EQ985" s="2" t="n">
        <v>94.61</v>
      </c>
      <c r="ER985" s="2" t="n">
        <v>57.86</v>
      </c>
      <c r="ES985" s="2" t="n">
        <v>0</v>
      </c>
      <c r="ET985" s="2" t="n">
        <v>100</v>
      </c>
      <c r="EU985" s="2" t="n">
        <v>69.7</v>
      </c>
      <c r="EV985" s="2" t="n">
        <v>0</v>
      </c>
      <c r="EW985" s="2" t="n">
        <v>100</v>
      </c>
      <c r="EX985" s="2" t="n">
        <v>75.76000000000001</v>
      </c>
      <c r="EY985" s="2" t="n">
        <v>0</v>
      </c>
      <c r="EZ985" s="2" t="n">
        <v>100</v>
      </c>
      <c r="FA985" s="2" t="n">
        <v>81.01000000000001</v>
      </c>
      <c r="FB985" s="2" t="n">
        <v>0</v>
      </c>
      <c r="FC985" s="2" t="n">
        <v>100</v>
      </c>
      <c r="FD985" s="2" t="n">
        <v>87.48</v>
      </c>
      <c r="FE985" s="2" t="n">
        <v>0</v>
      </c>
      <c r="FF985" s="2" t="n">
        <v>100</v>
      </c>
      <c r="FG985" s="2" t="n">
        <v>91.92</v>
      </c>
      <c r="FH985" s="2" t="n">
        <v>0</v>
      </c>
      <c r="FI985" s="2" t="n">
        <v>100</v>
      </c>
      <c r="FJ985" s="2" t="n">
        <v>97.58</v>
      </c>
      <c r="FK985" s="2" t="n">
        <v>0</v>
      </c>
      <c r="FL985" s="2" t="n">
        <v>100</v>
      </c>
      <c r="FM985" s="2" t="n">
        <v>100</v>
      </c>
      <c r="FN985" s="2" t="n">
        <v>0</v>
      </c>
      <c r="FO985" s="2" t="n">
        <v>100</v>
      </c>
      <c r="FP985" s="2" t="n">
        <v>100</v>
      </c>
      <c r="FQ985" s="2" t="n">
        <v>0</v>
      </c>
    </row>
    <row r="986">
      <c r="A986" s="2" t="n">
        <v>3</v>
      </c>
      <c r="B986" s="2" t="inlineStr">
        <is>
          <t>34.04.07</t>
        </is>
      </c>
      <c r="C986" s="2" t="inlineStr">
        <is>
          <t>Sifão para cozinha e tanque, cromado. Ref.: cód. 1680.C.114; Deca.</t>
        </is>
      </c>
      <c r="D986" s="2" t="inlineStr">
        <is>
          <t>20/10/2027</t>
        </is>
      </c>
      <c r="E986" s="2" t="inlineStr">
        <is>
          <t>09/01/2029</t>
        </is>
      </c>
      <c r="F986" s="2" t="n">
        <v>1290.436402392922</v>
      </c>
      <c r="G986" s="2" t="n">
        <v>0</v>
      </c>
      <c r="H986" s="2" t="n">
        <v>1290.436402392922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0</v>
      </c>
      <c r="P986" s="2" t="n">
        <v>0</v>
      </c>
      <c r="Q986" s="2" t="n">
        <v>0</v>
      </c>
      <c r="R986" s="2" t="n">
        <v>0</v>
      </c>
      <c r="S986" s="2" t="n">
        <v>0</v>
      </c>
      <c r="T986" s="2" t="n">
        <v>0</v>
      </c>
      <c r="U986" s="2" t="n">
        <v>0</v>
      </c>
      <c r="V986" s="2" t="n">
        <v>0</v>
      </c>
      <c r="W986" s="2" t="n">
        <v>0</v>
      </c>
      <c r="X986" s="2" t="n">
        <v>0</v>
      </c>
      <c r="Y986" s="2" t="n">
        <v>0</v>
      </c>
      <c r="Z986" s="2" t="n">
        <v>0</v>
      </c>
      <c r="AA986" s="2" t="n">
        <v>0</v>
      </c>
      <c r="AB986" s="2" t="n">
        <v>0</v>
      </c>
      <c r="AC986" s="2" t="n">
        <v>0</v>
      </c>
      <c r="AD986" s="2" t="n">
        <v>0</v>
      </c>
      <c r="AE986" s="2" t="n">
        <v>0</v>
      </c>
      <c r="AF986" s="2" t="n">
        <v>0</v>
      </c>
      <c r="AG986" s="2" t="n">
        <v>0</v>
      </c>
      <c r="AH986" s="2" t="n">
        <v>0</v>
      </c>
      <c r="AI986" s="2" t="n">
        <v>0</v>
      </c>
      <c r="AJ986" s="2" t="n">
        <v>0</v>
      </c>
      <c r="AK986" s="2" t="n">
        <v>0</v>
      </c>
      <c r="AL986" s="2" t="n">
        <v>0</v>
      </c>
      <c r="AM986" s="2" t="n">
        <v>0</v>
      </c>
      <c r="AN986" s="2" t="n">
        <v>0</v>
      </c>
      <c r="AO986" s="2" t="n">
        <v>0</v>
      </c>
      <c r="AP986" s="2" t="n">
        <v>0</v>
      </c>
      <c r="AQ986" s="2" t="n">
        <v>0</v>
      </c>
      <c r="AR986" s="2" t="n">
        <v>0</v>
      </c>
      <c r="AS986" s="2" t="n">
        <v>0</v>
      </c>
      <c r="AT986" s="2" t="n">
        <v>0</v>
      </c>
      <c r="AU986" s="2" t="n">
        <v>0</v>
      </c>
      <c r="AV986" s="2" t="n">
        <v>0</v>
      </c>
      <c r="AW986" s="2" t="n">
        <v>0</v>
      </c>
      <c r="AX986" s="2" t="n">
        <v>0</v>
      </c>
      <c r="AY986" s="2" t="n">
        <v>0</v>
      </c>
      <c r="AZ986" s="2" t="n">
        <v>0</v>
      </c>
      <c r="BA986" s="2" t="n">
        <v>0</v>
      </c>
      <c r="BB986" s="2" t="n">
        <v>0</v>
      </c>
      <c r="BC986" s="2" t="n">
        <v>0</v>
      </c>
      <c r="BD986" s="2" t="n">
        <v>0</v>
      </c>
      <c r="BE986" s="2" t="n">
        <v>0</v>
      </c>
      <c r="BF986" s="2" t="n">
        <v>0</v>
      </c>
      <c r="BG986" s="2" t="n">
        <v>0</v>
      </c>
      <c r="BH986" s="2" t="n">
        <v>0</v>
      </c>
      <c r="BI986" s="2" t="n">
        <v>0</v>
      </c>
      <c r="BJ986" s="2" t="n">
        <v>0</v>
      </c>
      <c r="BK986" s="2" t="n">
        <v>0</v>
      </c>
      <c r="BL986" s="2" t="n">
        <v>0</v>
      </c>
      <c r="BM986" s="2" t="n">
        <v>0</v>
      </c>
      <c r="BN986" s="2" t="n">
        <v>0</v>
      </c>
      <c r="BO986" s="2" t="n">
        <v>0</v>
      </c>
      <c r="BP986" s="2" t="n">
        <v>0</v>
      </c>
      <c r="BQ986" s="2" t="n">
        <v>0</v>
      </c>
      <c r="BR986" s="2" t="n">
        <v>0</v>
      </c>
      <c r="BS986" s="2" t="n">
        <v>0</v>
      </c>
      <c r="BT986" s="2" t="n">
        <v>0</v>
      </c>
      <c r="BU986" s="2" t="n">
        <v>0</v>
      </c>
      <c r="BV986" s="2" t="n">
        <v>0</v>
      </c>
      <c r="BW986" s="2" t="n">
        <v>0</v>
      </c>
      <c r="BX986" s="2" t="n">
        <v>0</v>
      </c>
      <c r="BY986" s="2" t="n">
        <v>0</v>
      </c>
      <c r="BZ986" s="2" t="n">
        <v>0</v>
      </c>
      <c r="CA986" s="2" t="n">
        <v>0</v>
      </c>
      <c r="CB986" s="2" t="n">
        <v>0</v>
      </c>
      <c r="CC986" s="2" t="n">
        <v>0</v>
      </c>
      <c r="CD986" s="2" t="n">
        <v>0</v>
      </c>
      <c r="CE986" s="2" t="n">
        <v>0</v>
      </c>
      <c r="CF986" s="2" t="n">
        <v>0</v>
      </c>
      <c r="CG986" s="2" t="n">
        <v>0</v>
      </c>
      <c r="CH986" s="2" t="n">
        <v>0</v>
      </c>
      <c r="CI986" s="2" t="n">
        <v>0</v>
      </c>
      <c r="CJ986" s="2" t="n">
        <v>0</v>
      </c>
      <c r="CK986" s="2" t="n">
        <v>0</v>
      </c>
      <c r="CL986" s="2" t="n">
        <v>0</v>
      </c>
      <c r="CM986" s="2" t="n">
        <v>0</v>
      </c>
      <c r="CN986" s="2" t="n">
        <v>0</v>
      </c>
      <c r="CO986" s="2" t="n">
        <v>0</v>
      </c>
      <c r="CP986" s="2" t="n">
        <v>0</v>
      </c>
      <c r="CQ986" s="2" t="n">
        <v>0</v>
      </c>
      <c r="CR986" s="2" t="n">
        <v>0</v>
      </c>
      <c r="CS986" s="2" t="n">
        <v>0</v>
      </c>
      <c r="CT986" s="2" t="n">
        <v>0</v>
      </c>
      <c r="CU986" s="2" t="n">
        <v>0</v>
      </c>
      <c r="CV986" s="2" t="n">
        <v>0</v>
      </c>
      <c r="CW986" s="2" t="n">
        <v>0</v>
      </c>
      <c r="CX986" s="2" t="n">
        <v>0</v>
      </c>
      <c r="CY986" s="2" t="n">
        <v>0</v>
      </c>
      <c r="CZ986" s="2" t="n">
        <v>0</v>
      </c>
      <c r="DA986" s="2" t="n">
        <v>0</v>
      </c>
      <c r="DB986" s="2" t="n">
        <v>0</v>
      </c>
      <c r="DC986" s="2" t="n">
        <v>0</v>
      </c>
      <c r="DD986" s="2" t="n">
        <v>0</v>
      </c>
      <c r="DE986" s="2" t="n">
        <v>0</v>
      </c>
      <c r="DF986" s="2" t="n">
        <v>0</v>
      </c>
      <c r="DG986" s="2" t="n">
        <v>0</v>
      </c>
      <c r="DH986" s="2" t="n">
        <v>0</v>
      </c>
      <c r="DI986" s="2" t="n">
        <v>0</v>
      </c>
      <c r="DJ986" s="2" t="n">
        <v>0</v>
      </c>
      <c r="DK986" s="2" t="n">
        <v>0</v>
      </c>
      <c r="DL986" s="2" t="n">
        <v>0</v>
      </c>
      <c r="DM986" s="2" t="n">
        <v>4.94</v>
      </c>
      <c r="DN986" s="2" t="n">
        <v>0</v>
      </c>
      <c r="DO986" s="2" t="n">
        <v>0</v>
      </c>
      <c r="DP986" s="2" t="n">
        <v>8.08</v>
      </c>
      <c r="DQ986" s="2" t="n">
        <v>0</v>
      </c>
      <c r="DR986" s="2" t="n">
        <v>0</v>
      </c>
      <c r="DS986" s="2" t="n">
        <v>14.77</v>
      </c>
      <c r="DT986" s="2" t="n">
        <v>4.01</v>
      </c>
      <c r="DU986" s="2" t="n">
        <v>0</v>
      </c>
      <c r="DV986" s="2" t="n">
        <v>18.76</v>
      </c>
      <c r="DW986" s="2" t="n">
        <v>10.68</v>
      </c>
      <c r="DX986" s="2" t="n">
        <v>0</v>
      </c>
      <c r="DY986" s="2" t="n">
        <v>23.88</v>
      </c>
      <c r="DZ986" s="2" t="n">
        <v>10.94</v>
      </c>
      <c r="EA986" s="2" t="n">
        <v>0</v>
      </c>
      <c r="EB986" s="2" t="n">
        <v>35.64</v>
      </c>
      <c r="EC986" s="2" t="n">
        <v>14.4</v>
      </c>
      <c r="ED986" s="2" t="n">
        <v>0</v>
      </c>
      <c r="EE986" s="2" t="n">
        <v>49.75</v>
      </c>
      <c r="EF986" s="2" t="n">
        <v>29.58</v>
      </c>
      <c r="EG986" s="2" t="n">
        <v>0</v>
      </c>
      <c r="EH986" s="2" t="n">
        <v>64.09</v>
      </c>
      <c r="EI986" s="2" t="n">
        <v>37.26</v>
      </c>
      <c r="EJ986" s="2" t="n">
        <v>0</v>
      </c>
      <c r="EK986" s="2" t="n">
        <v>72.62</v>
      </c>
      <c r="EL986" s="2" t="n">
        <v>42.51</v>
      </c>
      <c r="EM986" s="2" t="n">
        <v>0</v>
      </c>
      <c r="EN986" s="2" t="n">
        <v>86.08</v>
      </c>
      <c r="EO986" s="2" t="n">
        <v>47.76</v>
      </c>
      <c r="EP986" s="2" t="n">
        <v>0</v>
      </c>
      <c r="EQ986" s="2" t="n">
        <v>94.61</v>
      </c>
      <c r="ER986" s="2" t="n">
        <v>57.86</v>
      </c>
      <c r="ES986" s="2" t="n">
        <v>0</v>
      </c>
      <c r="ET986" s="2" t="n">
        <v>100</v>
      </c>
      <c r="EU986" s="2" t="n">
        <v>69.7</v>
      </c>
      <c r="EV986" s="2" t="n">
        <v>0</v>
      </c>
      <c r="EW986" s="2" t="n">
        <v>100</v>
      </c>
      <c r="EX986" s="2" t="n">
        <v>75.76000000000001</v>
      </c>
      <c r="EY986" s="2" t="n">
        <v>0</v>
      </c>
      <c r="EZ986" s="2" t="n">
        <v>100</v>
      </c>
      <c r="FA986" s="2" t="n">
        <v>81.01000000000001</v>
      </c>
      <c r="FB986" s="2" t="n">
        <v>0</v>
      </c>
      <c r="FC986" s="2" t="n">
        <v>100</v>
      </c>
      <c r="FD986" s="2" t="n">
        <v>87.48</v>
      </c>
      <c r="FE986" s="2" t="n">
        <v>0</v>
      </c>
      <c r="FF986" s="2" t="n">
        <v>100</v>
      </c>
      <c r="FG986" s="2" t="n">
        <v>91.92</v>
      </c>
      <c r="FH986" s="2" t="n">
        <v>0</v>
      </c>
      <c r="FI986" s="2" t="n">
        <v>100</v>
      </c>
      <c r="FJ986" s="2" t="n">
        <v>97.58</v>
      </c>
      <c r="FK986" s="2" t="n">
        <v>0</v>
      </c>
      <c r="FL986" s="2" t="n">
        <v>100</v>
      </c>
      <c r="FM986" s="2" t="n">
        <v>100</v>
      </c>
      <c r="FN986" s="2" t="n">
        <v>0</v>
      </c>
      <c r="FO986" s="2" t="n">
        <v>100</v>
      </c>
      <c r="FP986" s="2" t="n">
        <v>100</v>
      </c>
      <c r="FQ986" s="2" t="n">
        <v>0</v>
      </c>
    </row>
    <row r="987">
      <c r="A987" s="2" t="n">
        <v>2</v>
      </c>
      <c r="B987" s="2" t="inlineStr">
        <is>
          <t>34.05</t>
        </is>
      </c>
      <c r="C987" s="2" t="inlineStr">
        <is>
          <t>Banho</t>
        </is>
      </c>
      <c r="D987" s="2" t="inlineStr">
        <is>
          <t>20/10/2027</t>
        </is>
      </c>
      <c r="E987" s="2" t="inlineStr">
        <is>
          <t>09/01/2029</t>
        </is>
      </c>
      <c r="F987" s="2" t="n">
        <v>7681.560213161074</v>
      </c>
      <c r="G987" s="2" t="n">
        <v>0</v>
      </c>
      <c r="H987" s="2" t="n">
        <v>7681.560213161074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0</v>
      </c>
      <c r="P987" s="2" t="n">
        <v>0</v>
      </c>
      <c r="Q987" s="2" t="n">
        <v>0</v>
      </c>
      <c r="R987" s="2" t="n">
        <v>0</v>
      </c>
      <c r="S987" s="2" t="n">
        <v>0</v>
      </c>
      <c r="T987" s="2" t="n">
        <v>0</v>
      </c>
      <c r="U987" s="2" t="n">
        <v>0</v>
      </c>
      <c r="V987" s="2" t="n">
        <v>0</v>
      </c>
      <c r="W987" s="2" t="n">
        <v>0</v>
      </c>
      <c r="X987" s="2" t="n">
        <v>0</v>
      </c>
      <c r="Y987" s="2" t="n">
        <v>0</v>
      </c>
      <c r="Z987" s="2" t="n">
        <v>0</v>
      </c>
      <c r="AA987" s="2" t="n">
        <v>0</v>
      </c>
      <c r="AB987" s="2" t="n">
        <v>0</v>
      </c>
      <c r="AC987" s="2" t="n">
        <v>0</v>
      </c>
      <c r="AD987" s="2" t="n">
        <v>0</v>
      </c>
      <c r="AE987" s="2" t="n">
        <v>0</v>
      </c>
      <c r="AF987" s="2" t="n">
        <v>0</v>
      </c>
      <c r="AG987" s="2" t="n">
        <v>0</v>
      </c>
      <c r="AH987" s="2" t="n">
        <v>0</v>
      </c>
      <c r="AI987" s="2" t="n">
        <v>0</v>
      </c>
      <c r="AJ987" s="2" t="n">
        <v>0</v>
      </c>
      <c r="AK987" s="2" t="n">
        <v>0</v>
      </c>
      <c r="AL987" s="2" t="n">
        <v>0</v>
      </c>
      <c r="AM987" s="2" t="n">
        <v>0</v>
      </c>
      <c r="AN987" s="2" t="n">
        <v>0</v>
      </c>
      <c r="AO987" s="2" t="n">
        <v>0</v>
      </c>
      <c r="AP987" s="2" t="n">
        <v>0</v>
      </c>
      <c r="AQ987" s="2" t="n">
        <v>0</v>
      </c>
      <c r="AR987" s="2" t="n">
        <v>0</v>
      </c>
      <c r="AS987" s="2" t="n">
        <v>0</v>
      </c>
      <c r="AT987" s="2" t="n">
        <v>0</v>
      </c>
      <c r="AU987" s="2" t="n">
        <v>0</v>
      </c>
      <c r="AV987" s="2" t="n">
        <v>0</v>
      </c>
      <c r="AW987" s="2" t="n">
        <v>0</v>
      </c>
      <c r="AX987" s="2" t="n">
        <v>0</v>
      </c>
      <c r="AY987" s="2" t="n">
        <v>0</v>
      </c>
      <c r="AZ987" s="2" t="n">
        <v>0</v>
      </c>
      <c r="BA987" s="2" t="n">
        <v>0</v>
      </c>
      <c r="BB987" s="2" t="n">
        <v>0</v>
      </c>
      <c r="BC987" s="2" t="n">
        <v>0</v>
      </c>
      <c r="BD987" s="2" t="n">
        <v>0</v>
      </c>
      <c r="BE987" s="2" t="n">
        <v>0</v>
      </c>
      <c r="BF987" s="2" t="n">
        <v>0</v>
      </c>
      <c r="BG987" s="2" t="n">
        <v>0</v>
      </c>
      <c r="BH987" s="2" t="n">
        <v>0</v>
      </c>
      <c r="BI987" s="2" t="n">
        <v>0</v>
      </c>
      <c r="BJ987" s="2" t="n">
        <v>0</v>
      </c>
      <c r="BK987" s="2" t="n">
        <v>0</v>
      </c>
      <c r="BL987" s="2" t="n">
        <v>0</v>
      </c>
      <c r="BM987" s="2" t="n">
        <v>0</v>
      </c>
      <c r="BN987" s="2" t="n">
        <v>0</v>
      </c>
      <c r="BO987" s="2" t="n">
        <v>0</v>
      </c>
      <c r="BP987" s="2" t="n">
        <v>0</v>
      </c>
      <c r="BQ987" s="2" t="n">
        <v>0</v>
      </c>
      <c r="BR987" s="2" t="n">
        <v>0</v>
      </c>
      <c r="BS987" s="2" t="n">
        <v>0</v>
      </c>
      <c r="BT987" s="2" t="n">
        <v>0</v>
      </c>
      <c r="BU987" s="2" t="n">
        <v>0</v>
      </c>
      <c r="BV987" s="2" t="n">
        <v>0</v>
      </c>
      <c r="BW987" s="2" t="n">
        <v>0</v>
      </c>
      <c r="BX987" s="2" t="n">
        <v>0</v>
      </c>
      <c r="BY987" s="2" t="n">
        <v>0</v>
      </c>
      <c r="BZ987" s="2" t="n">
        <v>0</v>
      </c>
      <c r="CA987" s="2" t="n">
        <v>0</v>
      </c>
      <c r="CB987" s="2" t="n">
        <v>0</v>
      </c>
      <c r="CC987" s="2" t="n">
        <v>0</v>
      </c>
      <c r="CD987" s="2" t="n">
        <v>0</v>
      </c>
      <c r="CE987" s="2" t="n">
        <v>0</v>
      </c>
      <c r="CF987" s="2" t="n">
        <v>0</v>
      </c>
      <c r="CG987" s="2" t="n">
        <v>0</v>
      </c>
      <c r="CH987" s="2" t="n">
        <v>0</v>
      </c>
      <c r="CI987" s="2" t="n">
        <v>0</v>
      </c>
      <c r="CJ987" s="2" t="n">
        <v>0</v>
      </c>
      <c r="CK987" s="2" t="n">
        <v>0</v>
      </c>
      <c r="CL987" s="2" t="n">
        <v>0</v>
      </c>
      <c r="CM987" s="2" t="n">
        <v>0</v>
      </c>
      <c r="CN987" s="2" t="n">
        <v>0</v>
      </c>
      <c r="CO987" s="2" t="n">
        <v>0</v>
      </c>
      <c r="CP987" s="2" t="n">
        <v>0</v>
      </c>
      <c r="CQ987" s="2" t="n">
        <v>0</v>
      </c>
      <c r="CR987" s="2" t="n">
        <v>0</v>
      </c>
      <c r="CS987" s="2" t="n">
        <v>0</v>
      </c>
      <c r="CT987" s="2" t="n">
        <v>0</v>
      </c>
      <c r="CU987" s="2" t="n">
        <v>0</v>
      </c>
      <c r="CV987" s="2" t="n">
        <v>0</v>
      </c>
      <c r="CW987" s="2" t="n">
        <v>0</v>
      </c>
      <c r="CX987" s="2" t="n">
        <v>0</v>
      </c>
      <c r="CY987" s="2" t="n">
        <v>0</v>
      </c>
      <c r="CZ987" s="2" t="n">
        <v>0</v>
      </c>
      <c r="DA987" s="2" t="n">
        <v>0</v>
      </c>
      <c r="DB987" s="2" t="n">
        <v>0</v>
      </c>
      <c r="DC987" s="2" t="n">
        <v>0</v>
      </c>
      <c r="DD987" s="2" t="n">
        <v>0</v>
      </c>
      <c r="DE987" s="2" t="n">
        <v>0</v>
      </c>
      <c r="DF987" s="2" t="n">
        <v>0</v>
      </c>
      <c r="DG987" s="2" t="n">
        <v>0</v>
      </c>
      <c r="DH987" s="2" t="n">
        <v>0</v>
      </c>
      <c r="DI987" s="2" t="n">
        <v>0</v>
      </c>
      <c r="DJ987" s="2" t="n">
        <v>0</v>
      </c>
      <c r="DK987" s="2" t="n">
        <v>0</v>
      </c>
      <c r="DL987" s="2" t="n">
        <v>0</v>
      </c>
      <c r="DM987" s="2" t="n">
        <v>4.94</v>
      </c>
      <c r="DN987" s="2" t="n">
        <v>0</v>
      </c>
      <c r="DO987" s="2" t="n">
        <v>0</v>
      </c>
      <c r="DP987" s="2" t="n">
        <v>8.08</v>
      </c>
      <c r="DQ987" s="2" t="n">
        <v>0</v>
      </c>
      <c r="DR987" s="2" t="n">
        <v>0</v>
      </c>
      <c r="DS987" s="2" t="n">
        <v>14.77</v>
      </c>
      <c r="DT987" s="2" t="n">
        <v>4.01</v>
      </c>
      <c r="DU987" s="2" t="n">
        <v>0</v>
      </c>
      <c r="DV987" s="2" t="n">
        <v>18.76</v>
      </c>
      <c r="DW987" s="2" t="n">
        <v>10.68</v>
      </c>
      <c r="DX987" s="2" t="n">
        <v>0</v>
      </c>
      <c r="DY987" s="2" t="n">
        <v>23.88</v>
      </c>
      <c r="DZ987" s="2" t="n">
        <v>10.94</v>
      </c>
      <c r="EA987" s="2" t="n">
        <v>0</v>
      </c>
      <c r="EB987" s="2" t="n">
        <v>35.64</v>
      </c>
      <c r="EC987" s="2" t="n">
        <v>14.4</v>
      </c>
      <c r="ED987" s="2" t="n">
        <v>0</v>
      </c>
      <c r="EE987" s="2" t="n">
        <v>49.75</v>
      </c>
      <c r="EF987" s="2" t="n">
        <v>29.58</v>
      </c>
      <c r="EG987" s="2" t="n">
        <v>0</v>
      </c>
      <c r="EH987" s="2" t="n">
        <v>64.09</v>
      </c>
      <c r="EI987" s="2" t="n">
        <v>37.26</v>
      </c>
      <c r="EJ987" s="2" t="n">
        <v>0</v>
      </c>
      <c r="EK987" s="2" t="n">
        <v>72.62</v>
      </c>
      <c r="EL987" s="2" t="n">
        <v>42.51</v>
      </c>
      <c r="EM987" s="2" t="n">
        <v>0</v>
      </c>
      <c r="EN987" s="2" t="n">
        <v>86.08</v>
      </c>
      <c r="EO987" s="2" t="n">
        <v>47.76</v>
      </c>
      <c r="EP987" s="2" t="n">
        <v>0</v>
      </c>
      <c r="EQ987" s="2" t="n">
        <v>94.61</v>
      </c>
      <c r="ER987" s="2" t="n">
        <v>57.86</v>
      </c>
      <c r="ES987" s="2" t="n">
        <v>0</v>
      </c>
      <c r="ET987" s="2" t="n">
        <v>100</v>
      </c>
      <c r="EU987" s="2" t="n">
        <v>69.7</v>
      </c>
      <c r="EV987" s="2" t="n">
        <v>0</v>
      </c>
      <c r="EW987" s="2" t="n">
        <v>100</v>
      </c>
      <c r="EX987" s="2" t="n">
        <v>75.76000000000001</v>
      </c>
      <c r="EY987" s="2" t="n">
        <v>0</v>
      </c>
      <c r="EZ987" s="2" t="n">
        <v>100</v>
      </c>
      <c r="FA987" s="2" t="n">
        <v>81.01000000000001</v>
      </c>
      <c r="FB987" s="2" t="n">
        <v>0</v>
      </c>
      <c r="FC987" s="2" t="n">
        <v>100</v>
      </c>
      <c r="FD987" s="2" t="n">
        <v>87.48</v>
      </c>
      <c r="FE987" s="2" t="n">
        <v>0</v>
      </c>
      <c r="FF987" s="2" t="n">
        <v>100</v>
      </c>
      <c r="FG987" s="2" t="n">
        <v>91.92</v>
      </c>
      <c r="FH987" s="2" t="n">
        <v>0</v>
      </c>
      <c r="FI987" s="2" t="n">
        <v>100</v>
      </c>
      <c r="FJ987" s="2" t="n">
        <v>97.58</v>
      </c>
      <c r="FK987" s="2" t="n">
        <v>0</v>
      </c>
      <c r="FL987" s="2" t="n">
        <v>100</v>
      </c>
      <c r="FM987" s="2" t="n">
        <v>100</v>
      </c>
      <c r="FN987" s="2" t="n">
        <v>0</v>
      </c>
      <c r="FO987" s="2" t="n">
        <v>100</v>
      </c>
      <c r="FP987" s="2" t="n">
        <v>100</v>
      </c>
      <c r="FQ987" s="2" t="n">
        <v>0</v>
      </c>
    </row>
    <row r="988">
      <c r="A988" s="2" t="n">
        <v>3</v>
      </c>
      <c r="B988" s="2" t="inlineStr">
        <is>
          <t>34.05.01</t>
        </is>
      </c>
      <c r="C988" s="2" t="inlineStr">
        <is>
          <t>INT - Chuveiro de parede Techshower, Docol, acab.: cromado - prever sistema de aquecimento</t>
        </is>
      </c>
      <c r="D988" s="2" t="inlineStr">
        <is>
          <t>20/10/2027</t>
        </is>
      </c>
      <c r="E988" s="2" t="inlineStr">
        <is>
          <t>09/01/2029</t>
        </is>
      </c>
      <c r="F988" s="2" t="n">
        <v>861.958201196461</v>
      </c>
      <c r="G988" s="2" t="n">
        <v>0</v>
      </c>
      <c r="H988" s="2" t="n">
        <v>861.958201196461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0</v>
      </c>
      <c r="P988" s="2" t="n">
        <v>0</v>
      </c>
      <c r="Q988" s="2" t="n">
        <v>0</v>
      </c>
      <c r="R988" s="2" t="n">
        <v>0</v>
      </c>
      <c r="S988" s="2" t="n">
        <v>0</v>
      </c>
      <c r="T988" s="2" t="n">
        <v>0</v>
      </c>
      <c r="U988" s="2" t="n">
        <v>0</v>
      </c>
      <c r="V988" s="2" t="n">
        <v>0</v>
      </c>
      <c r="W988" s="2" t="n">
        <v>0</v>
      </c>
      <c r="X988" s="2" t="n">
        <v>0</v>
      </c>
      <c r="Y988" s="2" t="n">
        <v>0</v>
      </c>
      <c r="Z988" s="2" t="n">
        <v>0</v>
      </c>
      <c r="AA988" s="2" t="n">
        <v>0</v>
      </c>
      <c r="AB988" s="2" t="n">
        <v>0</v>
      </c>
      <c r="AC988" s="2" t="n">
        <v>0</v>
      </c>
      <c r="AD988" s="2" t="n">
        <v>0</v>
      </c>
      <c r="AE988" s="2" t="n">
        <v>0</v>
      </c>
      <c r="AF988" s="2" t="n">
        <v>0</v>
      </c>
      <c r="AG988" s="2" t="n">
        <v>0</v>
      </c>
      <c r="AH988" s="2" t="n">
        <v>0</v>
      </c>
      <c r="AI988" s="2" t="n">
        <v>0</v>
      </c>
      <c r="AJ988" s="2" t="n">
        <v>0</v>
      </c>
      <c r="AK988" s="2" t="n">
        <v>0</v>
      </c>
      <c r="AL988" s="2" t="n">
        <v>0</v>
      </c>
      <c r="AM988" s="2" t="n">
        <v>0</v>
      </c>
      <c r="AN988" s="2" t="n">
        <v>0</v>
      </c>
      <c r="AO988" s="2" t="n">
        <v>0</v>
      </c>
      <c r="AP988" s="2" t="n">
        <v>0</v>
      </c>
      <c r="AQ988" s="2" t="n">
        <v>0</v>
      </c>
      <c r="AR988" s="2" t="n">
        <v>0</v>
      </c>
      <c r="AS988" s="2" t="n">
        <v>0</v>
      </c>
      <c r="AT988" s="2" t="n">
        <v>0</v>
      </c>
      <c r="AU988" s="2" t="n">
        <v>0</v>
      </c>
      <c r="AV988" s="2" t="n">
        <v>0</v>
      </c>
      <c r="AW988" s="2" t="n">
        <v>0</v>
      </c>
      <c r="AX988" s="2" t="n">
        <v>0</v>
      </c>
      <c r="AY988" s="2" t="n">
        <v>0</v>
      </c>
      <c r="AZ988" s="2" t="n">
        <v>0</v>
      </c>
      <c r="BA988" s="2" t="n">
        <v>0</v>
      </c>
      <c r="BB988" s="2" t="n">
        <v>0</v>
      </c>
      <c r="BC988" s="2" t="n">
        <v>0</v>
      </c>
      <c r="BD988" s="2" t="n">
        <v>0</v>
      </c>
      <c r="BE988" s="2" t="n">
        <v>0</v>
      </c>
      <c r="BF988" s="2" t="n">
        <v>0</v>
      </c>
      <c r="BG988" s="2" t="n">
        <v>0</v>
      </c>
      <c r="BH988" s="2" t="n">
        <v>0</v>
      </c>
      <c r="BI988" s="2" t="n">
        <v>0</v>
      </c>
      <c r="BJ988" s="2" t="n">
        <v>0</v>
      </c>
      <c r="BK988" s="2" t="n">
        <v>0</v>
      </c>
      <c r="BL988" s="2" t="n">
        <v>0</v>
      </c>
      <c r="BM988" s="2" t="n">
        <v>0</v>
      </c>
      <c r="BN988" s="2" t="n">
        <v>0</v>
      </c>
      <c r="BO988" s="2" t="n">
        <v>0</v>
      </c>
      <c r="BP988" s="2" t="n">
        <v>0</v>
      </c>
      <c r="BQ988" s="2" t="n">
        <v>0</v>
      </c>
      <c r="BR988" s="2" t="n">
        <v>0</v>
      </c>
      <c r="BS988" s="2" t="n">
        <v>0</v>
      </c>
      <c r="BT988" s="2" t="n">
        <v>0</v>
      </c>
      <c r="BU988" s="2" t="n">
        <v>0</v>
      </c>
      <c r="BV988" s="2" t="n">
        <v>0</v>
      </c>
      <c r="BW988" s="2" t="n">
        <v>0</v>
      </c>
      <c r="BX988" s="2" t="n">
        <v>0</v>
      </c>
      <c r="BY988" s="2" t="n">
        <v>0</v>
      </c>
      <c r="BZ988" s="2" t="n">
        <v>0</v>
      </c>
      <c r="CA988" s="2" t="n">
        <v>0</v>
      </c>
      <c r="CB988" s="2" t="n">
        <v>0</v>
      </c>
      <c r="CC988" s="2" t="n">
        <v>0</v>
      </c>
      <c r="CD988" s="2" t="n">
        <v>0</v>
      </c>
      <c r="CE988" s="2" t="n">
        <v>0</v>
      </c>
      <c r="CF988" s="2" t="n">
        <v>0</v>
      </c>
      <c r="CG988" s="2" t="n">
        <v>0</v>
      </c>
      <c r="CH988" s="2" t="n">
        <v>0</v>
      </c>
      <c r="CI988" s="2" t="n">
        <v>0</v>
      </c>
      <c r="CJ988" s="2" t="n">
        <v>0</v>
      </c>
      <c r="CK988" s="2" t="n">
        <v>0</v>
      </c>
      <c r="CL988" s="2" t="n">
        <v>0</v>
      </c>
      <c r="CM988" s="2" t="n">
        <v>0</v>
      </c>
      <c r="CN988" s="2" t="n">
        <v>0</v>
      </c>
      <c r="CO988" s="2" t="n">
        <v>0</v>
      </c>
      <c r="CP988" s="2" t="n">
        <v>0</v>
      </c>
      <c r="CQ988" s="2" t="n">
        <v>0</v>
      </c>
      <c r="CR988" s="2" t="n">
        <v>0</v>
      </c>
      <c r="CS988" s="2" t="n">
        <v>0</v>
      </c>
      <c r="CT988" s="2" t="n">
        <v>0</v>
      </c>
      <c r="CU988" s="2" t="n">
        <v>0</v>
      </c>
      <c r="CV988" s="2" t="n">
        <v>0</v>
      </c>
      <c r="CW988" s="2" t="n">
        <v>0</v>
      </c>
      <c r="CX988" s="2" t="n">
        <v>0</v>
      </c>
      <c r="CY988" s="2" t="n">
        <v>0</v>
      </c>
      <c r="CZ988" s="2" t="n">
        <v>0</v>
      </c>
      <c r="DA988" s="2" t="n">
        <v>0</v>
      </c>
      <c r="DB988" s="2" t="n">
        <v>0</v>
      </c>
      <c r="DC988" s="2" t="n">
        <v>0</v>
      </c>
      <c r="DD988" s="2" t="n">
        <v>0</v>
      </c>
      <c r="DE988" s="2" t="n">
        <v>0</v>
      </c>
      <c r="DF988" s="2" t="n">
        <v>0</v>
      </c>
      <c r="DG988" s="2" t="n">
        <v>0</v>
      </c>
      <c r="DH988" s="2" t="n">
        <v>0</v>
      </c>
      <c r="DI988" s="2" t="n">
        <v>0</v>
      </c>
      <c r="DJ988" s="2" t="n">
        <v>0</v>
      </c>
      <c r="DK988" s="2" t="n">
        <v>0</v>
      </c>
      <c r="DL988" s="2" t="n">
        <v>0</v>
      </c>
      <c r="DM988" s="2" t="n">
        <v>4.94</v>
      </c>
      <c r="DN988" s="2" t="n">
        <v>0</v>
      </c>
      <c r="DO988" s="2" t="n">
        <v>0</v>
      </c>
      <c r="DP988" s="2" t="n">
        <v>8.08</v>
      </c>
      <c r="DQ988" s="2" t="n">
        <v>0</v>
      </c>
      <c r="DR988" s="2" t="n">
        <v>0</v>
      </c>
      <c r="DS988" s="2" t="n">
        <v>14.77</v>
      </c>
      <c r="DT988" s="2" t="n">
        <v>4.01</v>
      </c>
      <c r="DU988" s="2" t="n">
        <v>0</v>
      </c>
      <c r="DV988" s="2" t="n">
        <v>18.76</v>
      </c>
      <c r="DW988" s="2" t="n">
        <v>10.68</v>
      </c>
      <c r="DX988" s="2" t="n">
        <v>0</v>
      </c>
      <c r="DY988" s="2" t="n">
        <v>23.88</v>
      </c>
      <c r="DZ988" s="2" t="n">
        <v>10.94</v>
      </c>
      <c r="EA988" s="2" t="n">
        <v>0</v>
      </c>
      <c r="EB988" s="2" t="n">
        <v>35.64</v>
      </c>
      <c r="EC988" s="2" t="n">
        <v>14.4</v>
      </c>
      <c r="ED988" s="2" t="n">
        <v>0</v>
      </c>
      <c r="EE988" s="2" t="n">
        <v>49.75</v>
      </c>
      <c r="EF988" s="2" t="n">
        <v>29.58</v>
      </c>
      <c r="EG988" s="2" t="n">
        <v>0</v>
      </c>
      <c r="EH988" s="2" t="n">
        <v>64.09</v>
      </c>
      <c r="EI988" s="2" t="n">
        <v>37.26</v>
      </c>
      <c r="EJ988" s="2" t="n">
        <v>0</v>
      </c>
      <c r="EK988" s="2" t="n">
        <v>72.62</v>
      </c>
      <c r="EL988" s="2" t="n">
        <v>42.51</v>
      </c>
      <c r="EM988" s="2" t="n">
        <v>0</v>
      </c>
      <c r="EN988" s="2" t="n">
        <v>86.08</v>
      </c>
      <c r="EO988" s="2" t="n">
        <v>47.76</v>
      </c>
      <c r="EP988" s="2" t="n">
        <v>0</v>
      </c>
      <c r="EQ988" s="2" t="n">
        <v>94.61</v>
      </c>
      <c r="ER988" s="2" t="n">
        <v>57.86</v>
      </c>
      <c r="ES988" s="2" t="n">
        <v>0</v>
      </c>
      <c r="ET988" s="2" t="n">
        <v>100</v>
      </c>
      <c r="EU988" s="2" t="n">
        <v>69.7</v>
      </c>
      <c r="EV988" s="2" t="n">
        <v>0</v>
      </c>
      <c r="EW988" s="2" t="n">
        <v>100</v>
      </c>
      <c r="EX988" s="2" t="n">
        <v>75.76000000000001</v>
      </c>
      <c r="EY988" s="2" t="n">
        <v>0</v>
      </c>
      <c r="EZ988" s="2" t="n">
        <v>100</v>
      </c>
      <c r="FA988" s="2" t="n">
        <v>81.01000000000001</v>
      </c>
      <c r="FB988" s="2" t="n">
        <v>0</v>
      </c>
      <c r="FC988" s="2" t="n">
        <v>100</v>
      </c>
      <c r="FD988" s="2" t="n">
        <v>87.48</v>
      </c>
      <c r="FE988" s="2" t="n">
        <v>0</v>
      </c>
      <c r="FF988" s="2" t="n">
        <v>100</v>
      </c>
      <c r="FG988" s="2" t="n">
        <v>91.92</v>
      </c>
      <c r="FH988" s="2" t="n">
        <v>0</v>
      </c>
      <c r="FI988" s="2" t="n">
        <v>100</v>
      </c>
      <c r="FJ988" s="2" t="n">
        <v>97.58</v>
      </c>
      <c r="FK988" s="2" t="n">
        <v>0</v>
      </c>
      <c r="FL988" s="2" t="n">
        <v>100</v>
      </c>
      <c r="FM988" s="2" t="n">
        <v>100</v>
      </c>
      <c r="FN988" s="2" t="n">
        <v>0</v>
      </c>
      <c r="FO988" s="2" t="n">
        <v>100</v>
      </c>
      <c r="FP988" s="2" t="n">
        <v>100</v>
      </c>
      <c r="FQ988" s="2" t="n">
        <v>0</v>
      </c>
    </row>
    <row r="989">
      <c r="A989" s="2" t="n">
        <v>3</v>
      </c>
      <c r="B989" s="2" t="inlineStr">
        <is>
          <t>34.05.02</t>
        </is>
      </c>
      <c r="C989" s="2" t="inlineStr">
        <is>
          <t>Chuveiro com tubo de parede cromado. Ref.: cód 1955.C.STD, linha flex Deca</t>
        </is>
      </c>
      <c r="D989" s="2" t="inlineStr">
        <is>
          <t>20/10/2027</t>
        </is>
      </c>
      <c r="E989" s="2" t="inlineStr">
        <is>
          <t>09/01/2029</t>
        </is>
      </c>
      <c r="F989" s="2" t="n">
        <v>1282.134603589383</v>
      </c>
      <c r="G989" s="2" t="n">
        <v>0</v>
      </c>
      <c r="H989" s="2" t="n">
        <v>1282.134603589383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0</v>
      </c>
      <c r="AW989" s="2" t="n">
        <v>0</v>
      </c>
      <c r="AX989" s="2" t="n">
        <v>0</v>
      </c>
      <c r="AY989" s="2" t="n">
        <v>0</v>
      </c>
      <c r="AZ989" s="2" t="n">
        <v>0</v>
      </c>
      <c r="BA989" s="2" t="n">
        <v>0</v>
      </c>
      <c r="BB989" s="2" t="n">
        <v>0</v>
      </c>
      <c r="BC989" s="2" t="n">
        <v>0</v>
      </c>
      <c r="BD989" s="2" t="n">
        <v>0</v>
      </c>
      <c r="BE989" s="2" t="n">
        <v>0</v>
      </c>
      <c r="BF989" s="2" t="n">
        <v>0</v>
      </c>
      <c r="BG989" s="2" t="n">
        <v>0</v>
      </c>
      <c r="BH989" s="2" t="n">
        <v>0</v>
      </c>
      <c r="BI989" s="2" t="n">
        <v>0</v>
      </c>
      <c r="BJ989" s="2" t="n">
        <v>0</v>
      </c>
      <c r="BK989" s="2" t="n">
        <v>0</v>
      </c>
      <c r="BL989" s="2" t="n">
        <v>0</v>
      </c>
      <c r="BM989" s="2" t="n">
        <v>0</v>
      </c>
      <c r="BN989" s="2" t="n">
        <v>0</v>
      </c>
      <c r="BO989" s="2" t="n">
        <v>0</v>
      </c>
      <c r="BP989" s="2" t="n">
        <v>0</v>
      </c>
      <c r="BQ989" s="2" t="n">
        <v>0</v>
      </c>
      <c r="BR989" s="2" t="n">
        <v>0</v>
      </c>
      <c r="BS989" s="2" t="n">
        <v>0</v>
      </c>
      <c r="BT989" s="2" t="n">
        <v>0</v>
      </c>
      <c r="BU989" s="2" t="n">
        <v>0</v>
      </c>
      <c r="BV989" s="2" t="n">
        <v>0</v>
      </c>
      <c r="BW989" s="2" t="n">
        <v>0</v>
      </c>
      <c r="BX989" s="2" t="n">
        <v>0</v>
      </c>
      <c r="BY989" s="2" t="n">
        <v>0</v>
      </c>
      <c r="BZ989" s="2" t="n">
        <v>0</v>
      </c>
      <c r="CA989" s="2" t="n">
        <v>0</v>
      </c>
      <c r="CB989" s="2" t="n">
        <v>0</v>
      </c>
      <c r="CC989" s="2" t="n">
        <v>0</v>
      </c>
      <c r="CD989" s="2" t="n">
        <v>0</v>
      </c>
      <c r="CE989" s="2" t="n">
        <v>0</v>
      </c>
      <c r="CF989" s="2" t="n">
        <v>0</v>
      </c>
      <c r="CG989" s="2" t="n">
        <v>0</v>
      </c>
      <c r="CH989" s="2" t="n">
        <v>0</v>
      </c>
      <c r="CI989" s="2" t="n">
        <v>0</v>
      </c>
      <c r="CJ989" s="2" t="n">
        <v>0</v>
      </c>
      <c r="CK989" s="2" t="n">
        <v>0</v>
      </c>
      <c r="CL989" s="2" t="n">
        <v>0</v>
      </c>
      <c r="CM989" s="2" t="n">
        <v>0</v>
      </c>
      <c r="CN989" s="2" t="n">
        <v>0</v>
      </c>
      <c r="CO989" s="2" t="n">
        <v>0</v>
      </c>
      <c r="CP989" s="2" t="n">
        <v>0</v>
      </c>
      <c r="CQ989" s="2" t="n">
        <v>0</v>
      </c>
      <c r="CR989" s="2" t="n">
        <v>0</v>
      </c>
      <c r="CS989" s="2" t="n">
        <v>0</v>
      </c>
      <c r="CT989" s="2" t="n">
        <v>0</v>
      </c>
      <c r="CU989" s="2" t="n">
        <v>0</v>
      </c>
      <c r="CV989" s="2" t="n">
        <v>0</v>
      </c>
      <c r="CW989" s="2" t="n">
        <v>0</v>
      </c>
      <c r="CX989" s="2" t="n">
        <v>0</v>
      </c>
      <c r="CY989" s="2" t="n">
        <v>0</v>
      </c>
      <c r="CZ989" s="2" t="n">
        <v>0</v>
      </c>
      <c r="DA989" s="2" t="n">
        <v>0</v>
      </c>
      <c r="DB989" s="2" t="n">
        <v>0</v>
      </c>
      <c r="DC989" s="2" t="n">
        <v>0</v>
      </c>
      <c r="DD989" s="2" t="n">
        <v>0</v>
      </c>
      <c r="DE989" s="2" t="n">
        <v>0</v>
      </c>
      <c r="DF989" s="2" t="n">
        <v>0</v>
      </c>
      <c r="DG989" s="2" t="n">
        <v>0</v>
      </c>
      <c r="DH989" s="2" t="n">
        <v>0</v>
      </c>
      <c r="DI989" s="2" t="n">
        <v>0</v>
      </c>
      <c r="DJ989" s="2" t="n">
        <v>0</v>
      </c>
      <c r="DK989" s="2" t="n">
        <v>0</v>
      </c>
      <c r="DL989" s="2" t="n">
        <v>0</v>
      </c>
      <c r="DM989" s="2" t="n">
        <v>4.94</v>
      </c>
      <c r="DN989" s="2" t="n">
        <v>0</v>
      </c>
      <c r="DO989" s="2" t="n">
        <v>0</v>
      </c>
      <c r="DP989" s="2" t="n">
        <v>8.08</v>
      </c>
      <c r="DQ989" s="2" t="n">
        <v>0</v>
      </c>
      <c r="DR989" s="2" t="n">
        <v>0</v>
      </c>
      <c r="DS989" s="2" t="n">
        <v>14.77</v>
      </c>
      <c r="DT989" s="2" t="n">
        <v>4.01</v>
      </c>
      <c r="DU989" s="2" t="n">
        <v>0</v>
      </c>
      <c r="DV989" s="2" t="n">
        <v>18.76</v>
      </c>
      <c r="DW989" s="2" t="n">
        <v>10.68</v>
      </c>
      <c r="DX989" s="2" t="n">
        <v>0</v>
      </c>
      <c r="DY989" s="2" t="n">
        <v>23.88</v>
      </c>
      <c r="DZ989" s="2" t="n">
        <v>10.94</v>
      </c>
      <c r="EA989" s="2" t="n">
        <v>0</v>
      </c>
      <c r="EB989" s="2" t="n">
        <v>35.64</v>
      </c>
      <c r="EC989" s="2" t="n">
        <v>14.4</v>
      </c>
      <c r="ED989" s="2" t="n">
        <v>0</v>
      </c>
      <c r="EE989" s="2" t="n">
        <v>49.75</v>
      </c>
      <c r="EF989" s="2" t="n">
        <v>29.58</v>
      </c>
      <c r="EG989" s="2" t="n">
        <v>0</v>
      </c>
      <c r="EH989" s="2" t="n">
        <v>64.09</v>
      </c>
      <c r="EI989" s="2" t="n">
        <v>37.26</v>
      </c>
      <c r="EJ989" s="2" t="n">
        <v>0</v>
      </c>
      <c r="EK989" s="2" t="n">
        <v>72.62</v>
      </c>
      <c r="EL989" s="2" t="n">
        <v>42.51</v>
      </c>
      <c r="EM989" s="2" t="n">
        <v>0</v>
      </c>
      <c r="EN989" s="2" t="n">
        <v>86.08</v>
      </c>
      <c r="EO989" s="2" t="n">
        <v>47.76</v>
      </c>
      <c r="EP989" s="2" t="n">
        <v>0</v>
      </c>
      <c r="EQ989" s="2" t="n">
        <v>94.61</v>
      </c>
      <c r="ER989" s="2" t="n">
        <v>57.86</v>
      </c>
      <c r="ES989" s="2" t="n">
        <v>0</v>
      </c>
      <c r="ET989" s="2" t="n">
        <v>100</v>
      </c>
      <c r="EU989" s="2" t="n">
        <v>69.7</v>
      </c>
      <c r="EV989" s="2" t="n">
        <v>0</v>
      </c>
      <c r="EW989" s="2" t="n">
        <v>100</v>
      </c>
      <c r="EX989" s="2" t="n">
        <v>75.76000000000001</v>
      </c>
      <c r="EY989" s="2" t="n">
        <v>0</v>
      </c>
      <c r="EZ989" s="2" t="n">
        <v>100</v>
      </c>
      <c r="FA989" s="2" t="n">
        <v>81.01000000000001</v>
      </c>
      <c r="FB989" s="2" t="n">
        <v>0</v>
      </c>
      <c r="FC989" s="2" t="n">
        <v>100</v>
      </c>
      <c r="FD989" s="2" t="n">
        <v>87.48</v>
      </c>
      <c r="FE989" s="2" t="n">
        <v>0</v>
      </c>
      <c r="FF989" s="2" t="n">
        <v>100</v>
      </c>
      <c r="FG989" s="2" t="n">
        <v>91.92</v>
      </c>
      <c r="FH989" s="2" t="n">
        <v>0</v>
      </c>
      <c r="FI989" s="2" t="n">
        <v>100</v>
      </c>
      <c r="FJ989" s="2" t="n">
        <v>97.58</v>
      </c>
      <c r="FK989" s="2" t="n">
        <v>0</v>
      </c>
      <c r="FL989" s="2" t="n">
        <v>100</v>
      </c>
      <c r="FM989" s="2" t="n">
        <v>100</v>
      </c>
      <c r="FN989" s="2" t="n">
        <v>0</v>
      </c>
      <c r="FO989" s="2" t="n">
        <v>100</v>
      </c>
      <c r="FP989" s="2" t="n">
        <v>100</v>
      </c>
      <c r="FQ989" s="2" t="n">
        <v>0</v>
      </c>
    </row>
    <row r="990">
      <c r="A990" s="2" t="n">
        <v>3</v>
      </c>
      <c r="B990" s="2" t="inlineStr">
        <is>
          <t>34.05.03</t>
        </is>
      </c>
      <c r="C990" s="2" t="inlineStr">
        <is>
          <t>Chuveiro de parede com tubo reto, linha AcquaPlus, acabamento cromado, cód.: 1990.C.CT. Ref.: Deca</t>
        </is>
      </c>
      <c r="D990" s="2" t="inlineStr">
        <is>
          <t>20/10/2027</t>
        </is>
      </c>
      <c r="E990" s="2" t="inlineStr">
        <is>
          <t>09/01/2029</t>
        </is>
      </c>
      <c r="F990" s="2" t="n">
        <v>797.2182011964612</v>
      </c>
      <c r="G990" s="2" t="n">
        <v>0</v>
      </c>
      <c r="H990" s="2" t="n">
        <v>797.2182011964612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0</v>
      </c>
      <c r="AW990" s="2" t="n">
        <v>0</v>
      </c>
      <c r="AX990" s="2" t="n">
        <v>0</v>
      </c>
      <c r="AY990" s="2" t="n">
        <v>0</v>
      </c>
      <c r="AZ990" s="2" t="n">
        <v>0</v>
      </c>
      <c r="BA990" s="2" t="n">
        <v>0</v>
      </c>
      <c r="BB990" s="2" t="n">
        <v>0</v>
      </c>
      <c r="BC990" s="2" t="n">
        <v>0</v>
      </c>
      <c r="BD990" s="2" t="n">
        <v>0</v>
      </c>
      <c r="BE990" s="2" t="n">
        <v>0</v>
      </c>
      <c r="BF990" s="2" t="n">
        <v>0</v>
      </c>
      <c r="BG990" s="2" t="n">
        <v>0</v>
      </c>
      <c r="BH990" s="2" t="n">
        <v>0</v>
      </c>
      <c r="BI990" s="2" t="n">
        <v>0</v>
      </c>
      <c r="BJ990" s="2" t="n">
        <v>0</v>
      </c>
      <c r="BK990" s="2" t="n">
        <v>0</v>
      </c>
      <c r="BL990" s="2" t="n">
        <v>0</v>
      </c>
      <c r="BM990" s="2" t="n">
        <v>0</v>
      </c>
      <c r="BN990" s="2" t="n">
        <v>0</v>
      </c>
      <c r="BO990" s="2" t="n">
        <v>0</v>
      </c>
      <c r="BP990" s="2" t="n">
        <v>0</v>
      </c>
      <c r="BQ990" s="2" t="n">
        <v>0</v>
      </c>
      <c r="BR990" s="2" t="n">
        <v>0</v>
      </c>
      <c r="BS990" s="2" t="n">
        <v>0</v>
      </c>
      <c r="BT990" s="2" t="n">
        <v>0</v>
      </c>
      <c r="BU990" s="2" t="n">
        <v>0</v>
      </c>
      <c r="BV990" s="2" t="n">
        <v>0</v>
      </c>
      <c r="BW990" s="2" t="n">
        <v>0</v>
      </c>
      <c r="BX990" s="2" t="n">
        <v>0</v>
      </c>
      <c r="BY990" s="2" t="n">
        <v>0</v>
      </c>
      <c r="BZ990" s="2" t="n">
        <v>0</v>
      </c>
      <c r="CA990" s="2" t="n">
        <v>0</v>
      </c>
      <c r="CB990" s="2" t="n">
        <v>0</v>
      </c>
      <c r="CC990" s="2" t="n">
        <v>0</v>
      </c>
      <c r="CD990" s="2" t="n">
        <v>0</v>
      </c>
      <c r="CE990" s="2" t="n">
        <v>0</v>
      </c>
      <c r="CF990" s="2" t="n">
        <v>0</v>
      </c>
      <c r="CG990" s="2" t="n">
        <v>0</v>
      </c>
      <c r="CH990" s="2" t="n">
        <v>0</v>
      </c>
      <c r="CI990" s="2" t="n">
        <v>0</v>
      </c>
      <c r="CJ990" s="2" t="n">
        <v>0</v>
      </c>
      <c r="CK990" s="2" t="n">
        <v>0</v>
      </c>
      <c r="CL990" s="2" t="n">
        <v>0</v>
      </c>
      <c r="CM990" s="2" t="n">
        <v>0</v>
      </c>
      <c r="CN990" s="2" t="n">
        <v>0</v>
      </c>
      <c r="CO990" s="2" t="n">
        <v>0</v>
      </c>
      <c r="CP990" s="2" t="n">
        <v>0</v>
      </c>
      <c r="CQ990" s="2" t="n">
        <v>0</v>
      </c>
      <c r="CR990" s="2" t="n">
        <v>0</v>
      </c>
      <c r="CS990" s="2" t="n">
        <v>0</v>
      </c>
      <c r="CT990" s="2" t="n">
        <v>0</v>
      </c>
      <c r="CU990" s="2" t="n">
        <v>0</v>
      </c>
      <c r="CV990" s="2" t="n">
        <v>0</v>
      </c>
      <c r="CW990" s="2" t="n">
        <v>0</v>
      </c>
      <c r="CX990" s="2" t="n">
        <v>0</v>
      </c>
      <c r="CY990" s="2" t="n">
        <v>0</v>
      </c>
      <c r="CZ990" s="2" t="n">
        <v>0</v>
      </c>
      <c r="DA990" s="2" t="n">
        <v>0</v>
      </c>
      <c r="DB990" s="2" t="n">
        <v>0</v>
      </c>
      <c r="DC990" s="2" t="n">
        <v>0</v>
      </c>
      <c r="DD990" s="2" t="n">
        <v>0</v>
      </c>
      <c r="DE990" s="2" t="n">
        <v>0</v>
      </c>
      <c r="DF990" s="2" t="n">
        <v>0</v>
      </c>
      <c r="DG990" s="2" t="n">
        <v>0</v>
      </c>
      <c r="DH990" s="2" t="n">
        <v>0</v>
      </c>
      <c r="DI990" s="2" t="n">
        <v>0</v>
      </c>
      <c r="DJ990" s="2" t="n">
        <v>0</v>
      </c>
      <c r="DK990" s="2" t="n">
        <v>0</v>
      </c>
      <c r="DL990" s="2" t="n">
        <v>0</v>
      </c>
      <c r="DM990" s="2" t="n">
        <v>4.94</v>
      </c>
      <c r="DN990" s="2" t="n">
        <v>0</v>
      </c>
      <c r="DO990" s="2" t="n">
        <v>0</v>
      </c>
      <c r="DP990" s="2" t="n">
        <v>8.08</v>
      </c>
      <c r="DQ990" s="2" t="n">
        <v>0</v>
      </c>
      <c r="DR990" s="2" t="n">
        <v>0</v>
      </c>
      <c r="DS990" s="2" t="n">
        <v>14.77</v>
      </c>
      <c r="DT990" s="2" t="n">
        <v>4.01</v>
      </c>
      <c r="DU990" s="2" t="n">
        <v>0</v>
      </c>
      <c r="DV990" s="2" t="n">
        <v>18.76</v>
      </c>
      <c r="DW990" s="2" t="n">
        <v>10.68</v>
      </c>
      <c r="DX990" s="2" t="n">
        <v>0</v>
      </c>
      <c r="DY990" s="2" t="n">
        <v>23.88</v>
      </c>
      <c r="DZ990" s="2" t="n">
        <v>10.94</v>
      </c>
      <c r="EA990" s="2" t="n">
        <v>0</v>
      </c>
      <c r="EB990" s="2" t="n">
        <v>35.64</v>
      </c>
      <c r="EC990" s="2" t="n">
        <v>14.4</v>
      </c>
      <c r="ED990" s="2" t="n">
        <v>0</v>
      </c>
      <c r="EE990" s="2" t="n">
        <v>49.75</v>
      </c>
      <c r="EF990" s="2" t="n">
        <v>29.58</v>
      </c>
      <c r="EG990" s="2" t="n">
        <v>0</v>
      </c>
      <c r="EH990" s="2" t="n">
        <v>64.09</v>
      </c>
      <c r="EI990" s="2" t="n">
        <v>37.26</v>
      </c>
      <c r="EJ990" s="2" t="n">
        <v>0</v>
      </c>
      <c r="EK990" s="2" t="n">
        <v>72.62</v>
      </c>
      <c r="EL990" s="2" t="n">
        <v>42.51</v>
      </c>
      <c r="EM990" s="2" t="n">
        <v>0</v>
      </c>
      <c r="EN990" s="2" t="n">
        <v>86.08</v>
      </c>
      <c r="EO990" s="2" t="n">
        <v>47.76</v>
      </c>
      <c r="EP990" s="2" t="n">
        <v>0</v>
      </c>
      <c r="EQ990" s="2" t="n">
        <v>94.61</v>
      </c>
      <c r="ER990" s="2" t="n">
        <v>57.86</v>
      </c>
      <c r="ES990" s="2" t="n">
        <v>0</v>
      </c>
      <c r="ET990" s="2" t="n">
        <v>100</v>
      </c>
      <c r="EU990" s="2" t="n">
        <v>69.7</v>
      </c>
      <c r="EV990" s="2" t="n">
        <v>0</v>
      </c>
      <c r="EW990" s="2" t="n">
        <v>100</v>
      </c>
      <c r="EX990" s="2" t="n">
        <v>75.76000000000001</v>
      </c>
      <c r="EY990" s="2" t="n">
        <v>0</v>
      </c>
      <c r="EZ990" s="2" t="n">
        <v>100</v>
      </c>
      <c r="FA990" s="2" t="n">
        <v>81.01000000000001</v>
      </c>
      <c r="FB990" s="2" t="n">
        <v>0</v>
      </c>
      <c r="FC990" s="2" t="n">
        <v>100</v>
      </c>
      <c r="FD990" s="2" t="n">
        <v>87.48</v>
      </c>
      <c r="FE990" s="2" t="n">
        <v>0</v>
      </c>
      <c r="FF990" s="2" t="n">
        <v>100</v>
      </c>
      <c r="FG990" s="2" t="n">
        <v>91.92</v>
      </c>
      <c r="FH990" s="2" t="n">
        <v>0</v>
      </c>
      <c r="FI990" s="2" t="n">
        <v>100</v>
      </c>
      <c r="FJ990" s="2" t="n">
        <v>97.58</v>
      </c>
      <c r="FK990" s="2" t="n">
        <v>0</v>
      </c>
      <c r="FL990" s="2" t="n">
        <v>100</v>
      </c>
      <c r="FM990" s="2" t="n">
        <v>100</v>
      </c>
      <c r="FN990" s="2" t="n">
        <v>0</v>
      </c>
      <c r="FO990" s="2" t="n">
        <v>100</v>
      </c>
      <c r="FP990" s="2" t="n">
        <v>100</v>
      </c>
      <c r="FQ990" s="2" t="n">
        <v>0</v>
      </c>
    </row>
    <row r="991">
      <c r="A991" s="2" t="n">
        <v>3</v>
      </c>
      <c r="B991" s="2" t="inlineStr">
        <is>
          <t>34.05.04</t>
        </is>
      </c>
      <c r="C991" s="2" t="inlineStr">
        <is>
          <t>Registro de pressão com acabamento para chuveiro elétrico</t>
        </is>
      </c>
      <c r="D991" s="2" t="inlineStr">
        <is>
          <t>20/10/2027</t>
        </is>
      </c>
      <c r="E991" s="2" t="inlineStr">
        <is>
          <t>09/01/2029</t>
        </is>
      </c>
      <c r="F991" s="2" t="n">
        <v>589.6728047858447</v>
      </c>
      <c r="G991" s="2" t="n">
        <v>0</v>
      </c>
      <c r="H991" s="2" t="n">
        <v>589.6728047858447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0</v>
      </c>
      <c r="AW991" s="2" t="n">
        <v>0</v>
      </c>
      <c r="AX991" s="2" t="n">
        <v>0</v>
      </c>
      <c r="AY991" s="2" t="n">
        <v>0</v>
      </c>
      <c r="AZ991" s="2" t="n">
        <v>0</v>
      </c>
      <c r="BA991" s="2" t="n">
        <v>0</v>
      </c>
      <c r="BB991" s="2" t="n">
        <v>0</v>
      </c>
      <c r="BC991" s="2" t="n">
        <v>0</v>
      </c>
      <c r="BD991" s="2" t="n">
        <v>0</v>
      </c>
      <c r="BE991" s="2" t="n">
        <v>0</v>
      </c>
      <c r="BF991" s="2" t="n">
        <v>0</v>
      </c>
      <c r="BG991" s="2" t="n">
        <v>0</v>
      </c>
      <c r="BH991" s="2" t="n">
        <v>0</v>
      </c>
      <c r="BI991" s="2" t="n">
        <v>0</v>
      </c>
      <c r="BJ991" s="2" t="n">
        <v>0</v>
      </c>
      <c r="BK991" s="2" t="n">
        <v>0</v>
      </c>
      <c r="BL991" s="2" t="n">
        <v>0</v>
      </c>
      <c r="BM991" s="2" t="n">
        <v>0</v>
      </c>
      <c r="BN991" s="2" t="n">
        <v>0</v>
      </c>
      <c r="BO991" s="2" t="n">
        <v>0</v>
      </c>
      <c r="BP991" s="2" t="n">
        <v>0</v>
      </c>
      <c r="BQ991" s="2" t="n">
        <v>0</v>
      </c>
      <c r="BR991" s="2" t="n">
        <v>0</v>
      </c>
      <c r="BS991" s="2" t="n">
        <v>0</v>
      </c>
      <c r="BT991" s="2" t="n">
        <v>0</v>
      </c>
      <c r="BU991" s="2" t="n">
        <v>0</v>
      </c>
      <c r="BV991" s="2" t="n">
        <v>0</v>
      </c>
      <c r="BW991" s="2" t="n">
        <v>0</v>
      </c>
      <c r="BX991" s="2" t="n">
        <v>0</v>
      </c>
      <c r="BY991" s="2" t="n">
        <v>0</v>
      </c>
      <c r="BZ991" s="2" t="n">
        <v>0</v>
      </c>
      <c r="CA991" s="2" t="n">
        <v>0</v>
      </c>
      <c r="CB991" s="2" t="n">
        <v>0</v>
      </c>
      <c r="CC991" s="2" t="n">
        <v>0</v>
      </c>
      <c r="CD991" s="2" t="n">
        <v>0</v>
      </c>
      <c r="CE991" s="2" t="n">
        <v>0</v>
      </c>
      <c r="CF991" s="2" t="n">
        <v>0</v>
      </c>
      <c r="CG991" s="2" t="n">
        <v>0</v>
      </c>
      <c r="CH991" s="2" t="n">
        <v>0</v>
      </c>
      <c r="CI991" s="2" t="n">
        <v>0</v>
      </c>
      <c r="CJ991" s="2" t="n">
        <v>0</v>
      </c>
      <c r="CK991" s="2" t="n">
        <v>0</v>
      </c>
      <c r="CL991" s="2" t="n">
        <v>0</v>
      </c>
      <c r="CM991" s="2" t="n">
        <v>0</v>
      </c>
      <c r="CN991" s="2" t="n">
        <v>0</v>
      </c>
      <c r="CO991" s="2" t="n">
        <v>0</v>
      </c>
      <c r="CP991" s="2" t="n">
        <v>0</v>
      </c>
      <c r="CQ991" s="2" t="n">
        <v>0</v>
      </c>
      <c r="CR991" s="2" t="n">
        <v>0</v>
      </c>
      <c r="CS991" s="2" t="n">
        <v>0</v>
      </c>
      <c r="CT991" s="2" t="n">
        <v>0</v>
      </c>
      <c r="CU991" s="2" t="n">
        <v>0</v>
      </c>
      <c r="CV991" s="2" t="n">
        <v>0</v>
      </c>
      <c r="CW991" s="2" t="n">
        <v>0</v>
      </c>
      <c r="CX991" s="2" t="n">
        <v>0</v>
      </c>
      <c r="CY991" s="2" t="n">
        <v>0</v>
      </c>
      <c r="CZ991" s="2" t="n">
        <v>0</v>
      </c>
      <c r="DA991" s="2" t="n">
        <v>0</v>
      </c>
      <c r="DB991" s="2" t="n">
        <v>0</v>
      </c>
      <c r="DC991" s="2" t="n">
        <v>0</v>
      </c>
      <c r="DD991" s="2" t="n">
        <v>0</v>
      </c>
      <c r="DE991" s="2" t="n">
        <v>0</v>
      </c>
      <c r="DF991" s="2" t="n">
        <v>0</v>
      </c>
      <c r="DG991" s="2" t="n">
        <v>0</v>
      </c>
      <c r="DH991" s="2" t="n">
        <v>0</v>
      </c>
      <c r="DI991" s="2" t="n">
        <v>0</v>
      </c>
      <c r="DJ991" s="2" t="n">
        <v>0</v>
      </c>
      <c r="DK991" s="2" t="n">
        <v>0</v>
      </c>
      <c r="DL991" s="2" t="n">
        <v>0</v>
      </c>
      <c r="DM991" s="2" t="n">
        <v>4.94</v>
      </c>
      <c r="DN991" s="2" t="n">
        <v>0</v>
      </c>
      <c r="DO991" s="2" t="n">
        <v>0</v>
      </c>
      <c r="DP991" s="2" t="n">
        <v>8.08</v>
      </c>
      <c r="DQ991" s="2" t="n">
        <v>0</v>
      </c>
      <c r="DR991" s="2" t="n">
        <v>0</v>
      </c>
      <c r="DS991" s="2" t="n">
        <v>14.77</v>
      </c>
      <c r="DT991" s="2" t="n">
        <v>4.01</v>
      </c>
      <c r="DU991" s="2" t="n">
        <v>0</v>
      </c>
      <c r="DV991" s="2" t="n">
        <v>18.76</v>
      </c>
      <c r="DW991" s="2" t="n">
        <v>10.68</v>
      </c>
      <c r="DX991" s="2" t="n">
        <v>0</v>
      </c>
      <c r="DY991" s="2" t="n">
        <v>23.88</v>
      </c>
      <c r="DZ991" s="2" t="n">
        <v>10.94</v>
      </c>
      <c r="EA991" s="2" t="n">
        <v>0</v>
      </c>
      <c r="EB991" s="2" t="n">
        <v>35.64</v>
      </c>
      <c r="EC991" s="2" t="n">
        <v>14.4</v>
      </c>
      <c r="ED991" s="2" t="n">
        <v>0</v>
      </c>
      <c r="EE991" s="2" t="n">
        <v>49.75</v>
      </c>
      <c r="EF991" s="2" t="n">
        <v>29.58</v>
      </c>
      <c r="EG991" s="2" t="n">
        <v>0</v>
      </c>
      <c r="EH991" s="2" t="n">
        <v>64.09</v>
      </c>
      <c r="EI991" s="2" t="n">
        <v>37.26</v>
      </c>
      <c r="EJ991" s="2" t="n">
        <v>0</v>
      </c>
      <c r="EK991" s="2" t="n">
        <v>72.62</v>
      </c>
      <c r="EL991" s="2" t="n">
        <v>42.51</v>
      </c>
      <c r="EM991" s="2" t="n">
        <v>0</v>
      </c>
      <c r="EN991" s="2" t="n">
        <v>86.08</v>
      </c>
      <c r="EO991" s="2" t="n">
        <v>47.76</v>
      </c>
      <c r="EP991" s="2" t="n">
        <v>0</v>
      </c>
      <c r="EQ991" s="2" t="n">
        <v>94.61</v>
      </c>
      <c r="ER991" s="2" t="n">
        <v>57.86</v>
      </c>
      <c r="ES991" s="2" t="n">
        <v>0</v>
      </c>
      <c r="ET991" s="2" t="n">
        <v>100</v>
      </c>
      <c r="EU991" s="2" t="n">
        <v>69.7</v>
      </c>
      <c r="EV991" s="2" t="n">
        <v>0</v>
      </c>
      <c r="EW991" s="2" t="n">
        <v>100</v>
      </c>
      <c r="EX991" s="2" t="n">
        <v>75.76000000000001</v>
      </c>
      <c r="EY991" s="2" t="n">
        <v>0</v>
      </c>
      <c r="EZ991" s="2" t="n">
        <v>100</v>
      </c>
      <c r="FA991" s="2" t="n">
        <v>81.01000000000001</v>
      </c>
      <c r="FB991" s="2" t="n">
        <v>0</v>
      </c>
      <c r="FC991" s="2" t="n">
        <v>100</v>
      </c>
      <c r="FD991" s="2" t="n">
        <v>87.48</v>
      </c>
      <c r="FE991" s="2" t="n">
        <v>0</v>
      </c>
      <c r="FF991" s="2" t="n">
        <v>100</v>
      </c>
      <c r="FG991" s="2" t="n">
        <v>91.92</v>
      </c>
      <c r="FH991" s="2" t="n">
        <v>0</v>
      </c>
      <c r="FI991" s="2" t="n">
        <v>100</v>
      </c>
      <c r="FJ991" s="2" t="n">
        <v>97.58</v>
      </c>
      <c r="FK991" s="2" t="n">
        <v>0</v>
      </c>
      <c r="FL991" s="2" t="n">
        <v>100</v>
      </c>
      <c r="FM991" s="2" t="n">
        <v>100</v>
      </c>
      <c r="FN991" s="2" t="n">
        <v>0</v>
      </c>
      <c r="FO991" s="2" t="n">
        <v>100</v>
      </c>
      <c r="FP991" s="2" t="n">
        <v>100</v>
      </c>
      <c r="FQ991" s="2" t="n">
        <v>0</v>
      </c>
    </row>
    <row r="992">
      <c r="A992" s="2" t="n">
        <v>3</v>
      </c>
      <c r="B992" s="2" t="inlineStr">
        <is>
          <t>34.05.05</t>
        </is>
      </c>
      <c r="C992" s="2" t="inlineStr">
        <is>
          <t>INT - Acionador monocomando para chuveiro, Mix &amp;Match Docol, acab.: cromado</t>
        </is>
      </c>
      <c r="D992" s="2" t="inlineStr">
        <is>
          <t>20/10/2027</t>
        </is>
      </c>
      <c r="E992" s="2" t="inlineStr">
        <is>
          <t>09/01/2029</t>
        </is>
      </c>
      <c r="F992" s="2" t="n">
        <v>1037.158201196461</v>
      </c>
      <c r="G992" s="2" t="n">
        <v>0</v>
      </c>
      <c r="H992" s="2" t="n">
        <v>1037.158201196461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0</v>
      </c>
      <c r="AW992" s="2" t="n">
        <v>0</v>
      </c>
      <c r="AX992" s="2" t="n">
        <v>0</v>
      </c>
      <c r="AY992" s="2" t="n">
        <v>0</v>
      </c>
      <c r="AZ992" s="2" t="n">
        <v>0</v>
      </c>
      <c r="BA992" s="2" t="n">
        <v>0</v>
      </c>
      <c r="BB992" s="2" t="n">
        <v>0</v>
      </c>
      <c r="BC992" s="2" t="n">
        <v>0</v>
      </c>
      <c r="BD992" s="2" t="n">
        <v>0</v>
      </c>
      <c r="BE992" s="2" t="n">
        <v>0</v>
      </c>
      <c r="BF992" s="2" t="n">
        <v>0</v>
      </c>
      <c r="BG992" s="2" t="n">
        <v>0</v>
      </c>
      <c r="BH992" s="2" t="n">
        <v>0</v>
      </c>
      <c r="BI992" s="2" t="n">
        <v>0</v>
      </c>
      <c r="BJ992" s="2" t="n">
        <v>0</v>
      </c>
      <c r="BK992" s="2" t="n">
        <v>0</v>
      </c>
      <c r="BL992" s="2" t="n">
        <v>0</v>
      </c>
      <c r="BM992" s="2" t="n">
        <v>0</v>
      </c>
      <c r="BN992" s="2" t="n">
        <v>0</v>
      </c>
      <c r="BO992" s="2" t="n">
        <v>0</v>
      </c>
      <c r="BP992" s="2" t="n">
        <v>0</v>
      </c>
      <c r="BQ992" s="2" t="n">
        <v>0</v>
      </c>
      <c r="BR992" s="2" t="n">
        <v>0</v>
      </c>
      <c r="BS992" s="2" t="n">
        <v>0</v>
      </c>
      <c r="BT992" s="2" t="n">
        <v>0</v>
      </c>
      <c r="BU992" s="2" t="n">
        <v>0</v>
      </c>
      <c r="BV992" s="2" t="n">
        <v>0</v>
      </c>
      <c r="BW992" s="2" t="n">
        <v>0</v>
      </c>
      <c r="BX992" s="2" t="n">
        <v>0</v>
      </c>
      <c r="BY992" s="2" t="n">
        <v>0</v>
      </c>
      <c r="BZ992" s="2" t="n">
        <v>0</v>
      </c>
      <c r="CA992" s="2" t="n">
        <v>0</v>
      </c>
      <c r="CB992" s="2" t="n">
        <v>0</v>
      </c>
      <c r="CC992" s="2" t="n">
        <v>0</v>
      </c>
      <c r="CD992" s="2" t="n">
        <v>0</v>
      </c>
      <c r="CE992" s="2" t="n">
        <v>0</v>
      </c>
      <c r="CF992" s="2" t="n">
        <v>0</v>
      </c>
      <c r="CG992" s="2" t="n">
        <v>0</v>
      </c>
      <c r="CH992" s="2" t="n">
        <v>0</v>
      </c>
      <c r="CI992" s="2" t="n">
        <v>0</v>
      </c>
      <c r="CJ992" s="2" t="n">
        <v>0</v>
      </c>
      <c r="CK992" s="2" t="n">
        <v>0</v>
      </c>
      <c r="CL992" s="2" t="n">
        <v>0</v>
      </c>
      <c r="CM992" s="2" t="n">
        <v>0</v>
      </c>
      <c r="CN992" s="2" t="n">
        <v>0</v>
      </c>
      <c r="CO992" s="2" t="n">
        <v>0</v>
      </c>
      <c r="CP992" s="2" t="n">
        <v>0</v>
      </c>
      <c r="CQ992" s="2" t="n">
        <v>0</v>
      </c>
      <c r="CR992" s="2" t="n">
        <v>0</v>
      </c>
      <c r="CS992" s="2" t="n">
        <v>0</v>
      </c>
      <c r="CT992" s="2" t="n">
        <v>0</v>
      </c>
      <c r="CU992" s="2" t="n">
        <v>0</v>
      </c>
      <c r="CV992" s="2" t="n">
        <v>0</v>
      </c>
      <c r="CW992" s="2" t="n">
        <v>0</v>
      </c>
      <c r="CX992" s="2" t="n">
        <v>0</v>
      </c>
      <c r="CY992" s="2" t="n">
        <v>0</v>
      </c>
      <c r="CZ992" s="2" t="n">
        <v>0</v>
      </c>
      <c r="DA992" s="2" t="n">
        <v>0</v>
      </c>
      <c r="DB992" s="2" t="n">
        <v>0</v>
      </c>
      <c r="DC992" s="2" t="n">
        <v>0</v>
      </c>
      <c r="DD992" s="2" t="n">
        <v>0</v>
      </c>
      <c r="DE992" s="2" t="n">
        <v>0</v>
      </c>
      <c r="DF992" s="2" t="n">
        <v>0</v>
      </c>
      <c r="DG992" s="2" t="n">
        <v>0</v>
      </c>
      <c r="DH992" s="2" t="n">
        <v>0</v>
      </c>
      <c r="DI992" s="2" t="n">
        <v>0</v>
      </c>
      <c r="DJ992" s="2" t="n">
        <v>0</v>
      </c>
      <c r="DK992" s="2" t="n">
        <v>0</v>
      </c>
      <c r="DL992" s="2" t="n">
        <v>0</v>
      </c>
      <c r="DM992" s="2" t="n">
        <v>4.94</v>
      </c>
      <c r="DN992" s="2" t="n">
        <v>0</v>
      </c>
      <c r="DO992" s="2" t="n">
        <v>0</v>
      </c>
      <c r="DP992" s="2" t="n">
        <v>8.08</v>
      </c>
      <c r="DQ992" s="2" t="n">
        <v>0</v>
      </c>
      <c r="DR992" s="2" t="n">
        <v>0</v>
      </c>
      <c r="DS992" s="2" t="n">
        <v>14.77</v>
      </c>
      <c r="DT992" s="2" t="n">
        <v>4.01</v>
      </c>
      <c r="DU992" s="2" t="n">
        <v>0</v>
      </c>
      <c r="DV992" s="2" t="n">
        <v>18.76</v>
      </c>
      <c r="DW992" s="2" t="n">
        <v>10.68</v>
      </c>
      <c r="DX992" s="2" t="n">
        <v>0</v>
      </c>
      <c r="DY992" s="2" t="n">
        <v>23.88</v>
      </c>
      <c r="DZ992" s="2" t="n">
        <v>10.94</v>
      </c>
      <c r="EA992" s="2" t="n">
        <v>0</v>
      </c>
      <c r="EB992" s="2" t="n">
        <v>35.64</v>
      </c>
      <c r="EC992" s="2" t="n">
        <v>14.4</v>
      </c>
      <c r="ED992" s="2" t="n">
        <v>0</v>
      </c>
      <c r="EE992" s="2" t="n">
        <v>49.75</v>
      </c>
      <c r="EF992" s="2" t="n">
        <v>29.58</v>
      </c>
      <c r="EG992" s="2" t="n">
        <v>0</v>
      </c>
      <c r="EH992" s="2" t="n">
        <v>64.09</v>
      </c>
      <c r="EI992" s="2" t="n">
        <v>37.26</v>
      </c>
      <c r="EJ992" s="2" t="n">
        <v>0</v>
      </c>
      <c r="EK992" s="2" t="n">
        <v>72.62</v>
      </c>
      <c r="EL992" s="2" t="n">
        <v>42.51</v>
      </c>
      <c r="EM992" s="2" t="n">
        <v>0</v>
      </c>
      <c r="EN992" s="2" t="n">
        <v>86.08</v>
      </c>
      <c r="EO992" s="2" t="n">
        <v>47.76</v>
      </c>
      <c r="EP992" s="2" t="n">
        <v>0</v>
      </c>
      <c r="EQ992" s="2" t="n">
        <v>94.61</v>
      </c>
      <c r="ER992" s="2" t="n">
        <v>57.86</v>
      </c>
      <c r="ES992" s="2" t="n">
        <v>0</v>
      </c>
      <c r="ET992" s="2" t="n">
        <v>100</v>
      </c>
      <c r="EU992" s="2" t="n">
        <v>69.7</v>
      </c>
      <c r="EV992" s="2" t="n">
        <v>0</v>
      </c>
      <c r="EW992" s="2" t="n">
        <v>100</v>
      </c>
      <c r="EX992" s="2" t="n">
        <v>75.76000000000001</v>
      </c>
      <c r="EY992" s="2" t="n">
        <v>0</v>
      </c>
      <c r="EZ992" s="2" t="n">
        <v>100</v>
      </c>
      <c r="FA992" s="2" t="n">
        <v>81.01000000000001</v>
      </c>
      <c r="FB992" s="2" t="n">
        <v>0</v>
      </c>
      <c r="FC992" s="2" t="n">
        <v>100</v>
      </c>
      <c r="FD992" s="2" t="n">
        <v>87.48</v>
      </c>
      <c r="FE992" s="2" t="n">
        <v>0</v>
      </c>
      <c r="FF992" s="2" t="n">
        <v>100</v>
      </c>
      <c r="FG992" s="2" t="n">
        <v>91.92</v>
      </c>
      <c r="FH992" s="2" t="n">
        <v>0</v>
      </c>
      <c r="FI992" s="2" t="n">
        <v>100</v>
      </c>
      <c r="FJ992" s="2" t="n">
        <v>97.58</v>
      </c>
      <c r="FK992" s="2" t="n">
        <v>0</v>
      </c>
      <c r="FL992" s="2" t="n">
        <v>100</v>
      </c>
      <c r="FM992" s="2" t="n">
        <v>100</v>
      </c>
      <c r="FN992" s="2" t="n">
        <v>0</v>
      </c>
      <c r="FO992" s="2" t="n">
        <v>100</v>
      </c>
      <c r="FP992" s="2" t="n">
        <v>100</v>
      </c>
      <c r="FQ992" s="2" t="n">
        <v>0</v>
      </c>
    </row>
    <row r="993">
      <c r="A993" s="2" t="n">
        <v>3</v>
      </c>
      <c r="B993" s="2" t="inlineStr">
        <is>
          <t>34.05.06</t>
        </is>
      </c>
      <c r="C993" s="2" t="inlineStr">
        <is>
          <t>INT - Chuveiro Externo de piso, acabamento brushed, cód.:DK5123B. Ref.:Doka</t>
        </is>
      </c>
      <c r="D993" s="2" t="inlineStr">
        <is>
          <t>20/10/2027</t>
        </is>
      </c>
      <c r="E993" s="2" t="inlineStr">
        <is>
          <t>09/01/2029</t>
        </is>
      </c>
      <c r="F993" s="2" t="n">
        <v>3113.418201196462</v>
      </c>
      <c r="G993" s="2" t="n">
        <v>0</v>
      </c>
      <c r="H993" s="2" t="n">
        <v>3113.418201196462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0</v>
      </c>
      <c r="AW993" s="2" t="n">
        <v>0</v>
      </c>
      <c r="AX993" s="2" t="n">
        <v>0</v>
      </c>
      <c r="AY993" s="2" t="n">
        <v>0</v>
      </c>
      <c r="AZ993" s="2" t="n">
        <v>0</v>
      </c>
      <c r="BA993" s="2" t="n">
        <v>0</v>
      </c>
      <c r="BB993" s="2" t="n">
        <v>0</v>
      </c>
      <c r="BC993" s="2" t="n">
        <v>0</v>
      </c>
      <c r="BD993" s="2" t="n">
        <v>0</v>
      </c>
      <c r="BE993" s="2" t="n">
        <v>0</v>
      </c>
      <c r="BF993" s="2" t="n">
        <v>0</v>
      </c>
      <c r="BG993" s="2" t="n">
        <v>0</v>
      </c>
      <c r="BH993" s="2" t="n">
        <v>0</v>
      </c>
      <c r="BI993" s="2" t="n">
        <v>0</v>
      </c>
      <c r="BJ993" s="2" t="n">
        <v>0</v>
      </c>
      <c r="BK993" s="2" t="n">
        <v>0</v>
      </c>
      <c r="BL993" s="2" t="n">
        <v>0</v>
      </c>
      <c r="BM993" s="2" t="n">
        <v>0</v>
      </c>
      <c r="BN993" s="2" t="n">
        <v>0</v>
      </c>
      <c r="BO993" s="2" t="n">
        <v>0</v>
      </c>
      <c r="BP993" s="2" t="n">
        <v>0</v>
      </c>
      <c r="BQ993" s="2" t="n">
        <v>0</v>
      </c>
      <c r="BR993" s="2" t="n">
        <v>0</v>
      </c>
      <c r="BS993" s="2" t="n">
        <v>0</v>
      </c>
      <c r="BT993" s="2" t="n">
        <v>0</v>
      </c>
      <c r="BU993" s="2" t="n">
        <v>0</v>
      </c>
      <c r="BV993" s="2" t="n">
        <v>0</v>
      </c>
      <c r="BW993" s="2" t="n">
        <v>0</v>
      </c>
      <c r="BX993" s="2" t="n">
        <v>0</v>
      </c>
      <c r="BY993" s="2" t="n">
        <v>0</v>
      </c>
      <c r="BZ993" s="2" t="n">
        <v>0</v>
      </c>
      <c r="CA993" s="2" t="n">
        <v>0</v>
      </c>
      <c r="CB993" s="2" t="n">
        <v>0</v>
      </c>
      <c r="CC993" s="2" t="n">
        <v>0</v>
      </c>
      <c r="CD993" s="2" t="n">
        <v>0</v>
      </c>
      <c r="CE993" s="2" t="n">
        <v>0</v>
      </c>
      <c r="CF993" s="2" t="n">
        <v>0</v>
      </c>
      <c r="CG993" s="2" t="n">
        <v>0</v>
      </c>
      <c r="CH993" s="2" t="n">
        <v>0</v>
      </c>
      <c r="CI993" s="2" t="n">
        <v>0</v>
      </c>
      <c r="CJ993" s="2" t="n">
        <v>0</v>
      </c>
      <c r="CK993" s="2" t="n">
        <v>0</v>
      </c>
      <c r="CL993" s="2" t="n">
        <v>0</v>
      </c>
      <c r="CM993" s="2" t="n">
        <v>0</v>
      </c>
      <c r="CN993" s="2" t="n">
        <v>0</v>
      </c>
      <c r="CO993" s="2" t="n">
        <v>0</v>
      </c>
      <c r="CP993" s="2" t="n">
        <v>0</v>
      </c>
      <c r="CQ993" s="2" t="n">
        <v>0</v>
      </c>
      <c r="CR993" s="2" t="n">
        <v>0</v>
      </c>
      <c r="CS993" s="2" t="n">
        <v>0</v>
      </c>
      <c r="CT993" s="2" t="n">
        <v>0</v>
      </c>
      <c r="CU993" s="2" t="n">
        <v>0</v>
      </c>
      <c r="CV993" s="2" t="n">
        <v>0</v>
      </c>
      <c r="CW993" s="2" t="n">
        <v>0</v>
      </c>
      <c r="CX993" s="2" t="n">
        <v>0</v>
      </c>
      <c r="CY993" s="2" t="n">
        <v>0</v>
      </c>
      <c r="CZ993" s="2" t="n">
        <v>0</v>
      </c>
      <c r="DA993" s="2" t="n">
        <v>0</v>
      </c>
      <c r="DB993" s="2" t="n">
        <v>0</v>
      </c>
      <c r="DC993" s="2" t="n">
        <v>0</v>
      </c>
      <c r="DD993" s="2" t="n">
        <v>0</v>
      </c>
      <c r="DE993" s="2" t="n">
        <v>0</v>
      </c>
      <c r="DF993" s="2" t="n">
        <v>0</v>
      </c>
      <c r="DG993" s="2" t="n">
        <v>0</v>
      </c>
      <c r="DH993" s="2" t="n">
        <v>0</v>
      </c>
      <c r="DI993" s="2" t="n">
        <v>0</v>
      </c>
      <c r="DJ993" s="2" t="n">
        <v>0</v>
      </c>
      <c r="DK993" s="2" t="n">
        <v>0</v>
      </c>
      <c r="DL993" s="2" t="n">
        <v>0</v>
      </c>
      <c r="DM993" s="2" t="n">
        <v>4.94</v>
      </c>
      <c r="DN993" s="2" t="n">
        <v>0</v>
      </c>
      <c r="DO993" s="2" t="n">
        <v>0</v>
      </c>
      <c r="DP993" s="2" t="n">
        <v>8.08</v>
      </c>
      <c r="DQ993" s="2" t="n">
        <v>0</v>
      </c>
      <c r="DR993" s="2" t="n">
        <v>0</v>
      </c>
      <c r="DS993" s="2" t="n">
        <v>14.77</v>
      </c>
      <c r="DT993" s="2" t="n">
        <v>4.01</v>
      </c>
      <c r="DU993" s="2" t="n">
        <v>0</v>
      </c>
      <c r="DV993" s="2" t="n">
        <v>18.76</v>
      </c>
      <c r="DW993" s="2" t="n">
        <v>10.68</v>
      </c>
      <c r="DX993" s="2" t="n">
        <v>0</v>
      </c>
      <c r="DY993" s="2" t="n">
        <v>23.88</v>
      </c>
      <c r="DZ993" s="2" t="n">
        <v>10.94</v>
      </c>
      <c r="EA993" s="2" t="n">
        <v>0</v>
      </c>
      <c r="EB993" s="2" t="n">
        <v>35.64</v>
      </c>
      <c r="EC993" s="2" t="n">
        <v>14.4</v>
      </c>
      <c r="ED993" s="2" t="n">
        <v>0</v>
      </c>
      <c r="EE993" s="2" t="n">
        <v>49.75</v>
      </c>
      <c r="EF993" s="2" t="n">
        <v>29.58</v>
      </c>
      <c r="EG993" s="2" t="n">
        <v>0</v>
      </c>
      <c r="EH993" s="2" t="n">
        <v>64.09</v>
      </c>
      <c r="EI993" s="2" t="n">
        <v>37.26</v>
      </c>
      <c r="EJ993" s="2" t="n">
        <v>0</v>
      </c>
      <c r="EK993" s="2" t="n">
        <v>72.62</v>
      </c>
      <c r="EL993" s="2" t="n">
        <v>42.51</v>
      </c>
      <c r="EM993" s="2" t="n">
        <v>0</v>
      </c>
      <c r="EN993" s="2" t="n">
        <v>86.08</v>
      </c>
      <c r="EO993" s="2" t="n">
        <v>47.76</v>
      </c>
      <c r="EP993" s="2" t="n">
        <v>0</v>
      </c>
      <c r="EQ993" s="2" t="n">
        <v>94.61</v>
      </c>
      <c r="ER993" s="2" t="n">
        <v>57.86</v>
      </c>
      <c r="ES993" s="2" t="n">
        <v>0</v>
      </c>
      <c r="ET993" s="2" t="n">
        <v>100</v>
      </c>
      <c r="EU993" s="2" t="n">
        <v>69.7</v>
      </c>
      <c r="EV993" s="2" t="n">
        <v>0</v>
      </c>
      <c r="EW993" s="2" t="n">
        <v>100</v>
      </c>
      <c r="EX993" s="2" t="n">
        <v>75.76000000000001</v>
      </c>
      <c r="EY993" s="2" t="n">
        <v>0</v>
      </c>
      <c r="EZ993" s="2" t="n">
        <v>100</v>
      </c>
      <c r="FA993" s="2" t="n">
        <v>81.01000000000001</v>
      </c>
      <c r="FB993" s="2" t="n">
        <v>0</v>
      </c>
      <c r="FC993" s="2" t="n">
        <v>100</v>
      </c>
      <c r="FD993" s="2" t="n">
        <v>87.48</v>
      </c>
      <c r="FE993" s="2" t="n">
        <v>0</v>
      </c>
      <c r="FF993" s="2" t="n">
        <v>100</v>
      </c>
      <c r="FG993" s="2" t="n">
        <v>91.92</v>
      </c>
      <c r="FH993" s="2" t="n">
        <v>0</v>
      </c>
      <c r="FI993" s="2" t="n">
        <v>100</v>
      </c>
      <c r="FJ993" s="2" t="n">
        <v>97.58</v>
      </c>
      <c r="FK993" s="2" t="n">
        <v>0</v>
      </c>
      <c r="FL993" s="2" t="n">
        <v>100</v>
      </c>
      <c r="FM993" s="2" t="n">
        <v>100</v>
      </c>
      <c r="FN993" s="2" t="n">
        <v>0</v>
      </c>
      <c r="FO993" s="2" t="n">
        <v>100</v>
      </c>
      <c r="FP993" s="2" t="n">
        <v>100</v>
      </c>
      <c r="FQ993" s="2" t="n">
        <v>0</v>
      </c>
    </row>
    <row r="994">
      <c r="A994" s="2" t="n">
        <v>2</v>
      </c>
      <c r="B994" s="2" t="inlineStr">
        <is>
          <t>34.06</t>
        </is>
      </c>
      <c r="C994" s="2" t="inlineStr">
        <is>
          <t>Acessibilidade</t>
        </is>
      </c>
      <c r="D994" s="2" t="inlineStr">
        <is>
          <t>20/10/2027</t>
        </is>
      </c>
      <c r="E994" s="2" t="inlineStr">
        <is>
          <t>09/01/2029</t>
        </is>
      </c>
      <c r="F994" s="2" t="n">
        <v>48364.09780684373</v>
      </c>
      <c r="G994" s="2" t="n">
        <v>0</v>
      </c>
      <c r="H994" s="2" t="n">
        <v>48364.09780684373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0</v>
      </c>
      <c r="AW994" s="2" t="n">
        <v>0</v>
      </c>
      <c r="AX994" s="2" t="n">
        <v>0</v>
      </c>
      <c r="AY994" s="2" t="n">
        <v>0</v>
      </c>
      <c r="AZ994" s="2" t="n">
        <v>0</v>
      </c>
      <c r="BA994" s="2" t="n">
        <v>0</v>
      </c>
      <c r="BB994" s="2" t="n">
        <v>0</v>
      </c>
      <c r="BC994" s="2" t="n">
        <v>0</v>
      </c>
      <c r="BD994" s="2" t="n">
        <v>0</v>
      </c>
      <c r="BE994" s="2" t="n">
        <v>0</v>
      </c>
      <c r="BF994" s="2" t="n">
        <v>0</v>
      </c>
      <c r="BG994" s="2" t="n">
        <v>0</v>
      </c>
      <c r="BH994" s="2" t="n">
        <v>0</v>
      </c>
      <c r="BI994" s="2" t="n">
        <v>0</v>
      </c>
      <c r="BJ994" s="2" t="n">
        <v>0</v>
      </c>
      <c r="BK994" s="2" t="n">
        <v>0</v>
      </c>
      <c r="BL994" s="2" t="n">
        <v>0</v>
      </c>
      <c r="BM994" s="2" t="n">
        <v>0</v>
      </c>
      <c r="BN994" s="2" t="n">
        <v>0</v>
      </c>
      <c r="BO994" s="2" t="n">
        <v>0</v>
      </c>
      <c r="BP994" s="2" t="n">
        <v>0</v>
      </c>
      <c r="BQ994" s="2" t="n">
        <v>0</v>
      </c>
      <c r="BR994" s="2" t="n">
        <v>0</v>
      </c>
      <c r="BS994" s="2" t="n">
        <v>0</v>
      </c>
      <c r="BT994" s="2" t="n">
        <v>0</v>
      </c>
      <c r="BU994" s="2" t="n">
        <v>0</v>
      </c>
      <c r="BV994" s="2" t="n">
        <v>0</v>
      </c>
      <c r="BW994" s="2" t="n">
        <v>0</v>
      </c>
      <c r="BX994" s="2" t="n">
        <v>0</v>
      </c>
      <c r="BY994" s="2" t="n">
        <v>0</v>
      </c>
      <c r="BZ994" s="2" t="n">
        <v>0</v>
      </c>
      <c r="CA994" s="2" t="n">
        <v>0</v>
      </c>
      <c r="CB994" s="2" t="n">
        <v>0</v>
      </c>
      <c r="CC994" s="2" t="n">
        <v>0</v>
      </c>
      <c r="CD994" s="2" t="n">
        <v>0</v>
      </c>
      <c r="CE994" s="2" t="n">
        <v>0</v>
      </c>
      <c r="CF994" s="2" t="n">
        <v>0</v>
      </c>
      <c r="CG994" s="2" t="n">
        <v>0</v>
      </c>
      <c r="CH994" s="2" t="n">
        <v>0</v>
      </c>
      <c r="CI994" s="2" t="n">
        <v>0</v>
      </c>
      <c r="CJ994" s="2" t="n">
        <v>0</v>
      </c>
      <c r="CK994" s="2" t="n">
        <v>0</v>
      </c>
      <c r="CL994" s="2" t="n">
        <v>0</v>
      </c>
      <c r="CM994" s="2" t="n">
        <v>0</v>
      </c>
      <c r="CN994" s="2" t="n">
        <v>0</v>
      </c>
      <c r="CO994" s="2" t="n">
        <v>0</v>
      </c>
      <c r="CP994" s="2" t="n">
        <v>0</v>
      </c>
      <c r="CQ994" s="2" t="n">
        <v>0</v>
      </c>
      <c r="CR994" s="2" t="n">
        <v>0</v>
      </c>
      <c r="CS994" s="2" t="n">
        <v>0</v>
      </c>
      <c r="CT994" s="2" t="n">
        <v>0</v>
      </c>
      <c r="CU994" s="2" t="n">
        <v>0</v>
      </c>
      <c r="CV994" s="2" t="n">
        <v>0</v>
      </c>
      <c r="CW994" s="2" t="n">
        <v>0</v>
      </c>
      <c r="CX994" s="2" t="n">
        <v>0</v>
      </c>
      <c r="CY994" s="2" t="n">
        <v>0</v>
      </c>
      <c r="CZ994" s="2" t="n">
        <v>0</v>
      </c>
      <c r="DA994" s="2" t="n">
        <v>0</v>
      </c>
      <c r="DB994" s="2" t="n">
        <v>0</v>
      </c>
      <c r="DC994" s="2" t="n">
        <v>0</v>
      </c>
      <c r="DD994" s="2" t="n">
        <v>0</v>
      </c>
      <c r="DE994" s="2" t="n">
        <v>0</v>
      </c>
      <c r="DF994" s="2" t="n">
        <v>0</v>
      </c>
      <c r="DG994" s="2" t="n">
        <v>0</v>
      </c>
      <c r="DH994" s="2" t="n">
        <v>0</v>
      </c>
      <c r="DI994" s="2" t="n">
        <v>0</v>
      </c>
      <c r="DJ994" s="2" t="n">
        <v>0</v>
      </c>
      <c r="DK994" s="2" t="n">
        <v>0</v>
      </c>
      <c r="DL994" s="2" t="n">
        <v>0</v>
      </c>
      <c r="DM994" s="2" t="n">
        <v>4.94</v>
      </c>
      <c r="DN994" s="2" t="n">
        <v>0</v>
      </c>
      <c r="DO994" s="2" t="n">
        <v>0</v>
      </c>
      <c r="DP994" s="2" t="n">
        <v>8.08</v>
      </c>
      <c r="DQ994" s="2" t="n">
        <v>0</v>
      </c>
      <c r="DR994" s="2" t="n">
        <v>0</v>
      </c>
      <c r="DS994" s="2" t="n">
        <v>14.77</v>
      </c>
      <c r="DT994" s="2" t="n">
        <v>4.01</v>
      </c>
      <c r="DU994" s="2" t="n">
        <v>0</v>
      </c>
      <c r="DV994" s="2" t="n">
        <v>18.76</v>
      </c>
      <c r="DW994" s="2" t="n">
        <v>10.68</v>
      </c>
      <c r="DX994" s="2" t="n">
        <v>0</v>
      </c>
      <c r="DY994" s="2" t="n">
        <v>23.88</v>
      </c>
      <c r="DZ994" s="2" t="n">
        <v>10.94</v>
      </c>
      <c r="EA994" s="2" t="n">
        <v>0</v>
      </c>
      <c r="EB994" s="2" t="n">
        <v>35.64</v>
      </c>
      <c r="EC994" s="2" t="n">
        <v>14.4</v>
      </c>
      <c r="ED994" s="2" t="n">
        <v>0</v>
      </c>
      <c r="EE994" s="2" t="n">
        <v>49.75</v>
      </c>
      <c r="EF994" s="2" t="n">
        <v>29.58</v>
      </c>
      <c r="EG994" s="2" t="n">
        <v>0</v>
      </c>
      <c r="EH994" s="2" t="n">
        <v>64.09</v>
      </c>
      <c r="EI994" s="2" t="n">
        <v>37.26</v>
      </c>
      <c r="EJ994" s="2" t="n">
        <v>0</v>
      </c>
      <c r="EK994" s="2" t="n">
        <v>72.62</v>
      </c>
      <c r="EL994" s="2" t="n">
        <v>42.51</v>
      </c>
      <c r="EM994" s="2" t="n">
        <v>0</v>
      </c>
      <c r="EN994" s="2" t="n">
        <v>86.08</v>
      </c>
      <c r="EO994" s="2" t="n">
        <v>47.76</v>
      </c>
      <c r="EP994" s="2" t="n">
        <v>0</v>
      </c>
      <c r="EQ994" s="2" t="n">
        <v>94.61</v>
      </c>
      <c r="ER994" s="2" t="n">
        <v>57.86</v>
      </c>
      <c r="ES994" s="2" t="n">
        <v>0</v>
      </c>
      <c r="ET994" s="2" t="n">
        <v>100</v>
      </c>
      <c r="EU994" s="2" t="n">
        <v>69.7</v>
      </c>
      <c r="EV994" s="2" t="n">
        <v>0</v>
      </c>
      <c r="EW994" s="2" t="n">
        <v>100</v>
      </c>
      <c r="EX994" s="2" t="n">
        <v>75.76000000000001</v>
      </c>
      <c r="EY994" s="2" t="n">
        <v>0</v>
      </c>
      <c r="EZ994" s="2" t="n">
        <v>100</v>
      </c>
      <c r="FA994" s="2" t="n">
        <v>81.01000000000001</v>
      </c>
      <c r="FB994" s="2" t="n">
        <v>0</v>
      </c>
      <c r="FC994" s="2" t="n">
        <v>100</v>
      </c>
      <c r="FD994" s="2" t="n">
        <v>87.48</v>
      </c>
      <c r="FE994" s="2" t="n">
        <v>0</v>
      </c>
      <c r="FF994" s="2" t="n">
        <v>100</v>
      </c>
      <c r="FG994" s="2" t="n">
        <v>91.92</v>
      </c>
      <c r="FH994" s="2" t="n">
        <v>0</v>
      </c>
      <c r="FI994" s="2" t="n">
        <v>100</v>
      </c>
      <c r="FJ994" s="2" t="n">
        <v>97.58</v>
      </c>
      <c r="FK994" s="2" t="n">
        <v>0</v>
      </c>
      <c r="FL994" s="2" t="n">
        <v>100</v>
      </c>
      <c r="FM994" s="2" t="n">
        <v>100</v>
      </c>
      <c r="FN994" s="2" t="n">
        <v>0</v>
      </c>
      <c r="FO994" s="2" t="n">
        <v>100</v>
      </c>
      <c r="FP994" s="2" t="n">
        <v>100</v>
      </c>
      <c r="FQ994" s="2" t="n">
        <v>0</v>
      </c>
    </row>
    <row r="995">
      <c r="A995" s="2" t="n">
        <v>3</v>
      </c>
      <c r="B995" s="2" t="inlineStr">
        <is>
          <t>34.06.01</t>
        </is>
      </c>
      <c r="C995" s="2" t="inlineStr">
        <is>
          <t>Barras de apoio, acabamento grafite serrado. Ref.: Docol inox L=40cm</t>
        </is>
      </c>
      <c r="D995" s="2" t="inlineStr">
        <is>
          <t>20/10/2027</t>
        </is>
      </c>
      <c r="E995" s="2" t="inlineStr">
        <is>
          <t>09/01/2029</t>
        </is>
      </c>
      <c r="F995" s="2" t="n">
        <v>1761.229451710931</v>
      </c>
      <c r="G995" s="2" t="n">
        <v>0</v>
      </c>
      <c r="H995" s="2" t="n">
        <v>1761.229451710931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0</v>
      </c>
      <c r="CS995" s="2" t="n">
        <v>0</v>
      </c>
      <c r="CT995" s="2" t="n">
        <v>0</v>
      </c>
      <c r="CU995" s="2" t="n">
        <v>0</v>
      </c>
      <c r="CV995" s="2" t="n">
        <v>0</v>
      </c>
      <c r="CW995" s="2" t="n">
        <v>0</v>
      </c>
      <c r="CX995" s="2" t="n">
        <v>0</v>
      </c>
      <c r="CY995" s="2" t="n">
        <v>0</v>
      </c>
      <c r="CZ995" s="2" t="n">
        <v>0</v>
      </c>
      <c r="DA995" s="2" t="n">
        <v>0</v>
      </c>
      <c r="DB995" s="2" t="n">
        <v>0</v>
      </c>
      <c r="DC995" s="2" t="n">
        <v>0</v>
      </c>
      <c r="DD995" s="2" t="n">
        <v>0</v>
      </c>
      <c r="DE995" s="2" t="n">
        <v>0</v>
      </c>
      <c r="DF995" s="2" t="n">
        <v>0</v>
      </c>
      <c r="DG995" s="2" t="n">
        <v>0</v>
      </c>
      <c r="DH995" s="2" t="n">
        <v>0</v>
      </c>
      <c r="DI995" s="2" t="n">
        <v>0</v>
      </c>
      <c r="DJ995" s="2" t="n">
        <v>0</v>
      </c>
      <c r="DK995" s="2" t="n">
        <v>0</v>
      </c>
      <c r="DL995" s="2" t="n">
        <v>0</v>
      </c>
      <c r="DM995" s="2" t="n">
        <v>4.94</v>
      </c>
      <c r="DN995" s="2" t="n">
        <v>0</v>
      </c>
      <c r="DO995" s="2" t="n">
        <v>0</v>
      </c>
      <c r="DP995" s="2" t="n">
        <v>8.08</v>
      </c>
      <c r="DQ995" s="2" t="n">
        <v>0</v>
      </c>
      <c r="DR995" s="2" t="n">
        <v>0</v>
      </c>
      <c r="DS995" s="2" t="n">
        <v>14.77</v>
      </c>
      <c r="DT995" s="2" t="n">
        <v>4.01</v>
      </c>
      <c r="DU995" s="2" t="n">
        <v>0</v>
      </c>
      <c r="DV995" s="2" t="n">
        <v>18.76</v>
      </c>
      <c r="DW995" s="2" t="n">
        <v>10.68</v>
      </c>
      <c r="DX995" s="2" t="n">
        <v>0</v>
      </c>
      <c r="DY995" s="2" t="n">
        <v>23.88</v>
      </c>
      <c r="DZ995" s="2" t="n">
        <v>10.94</v>
      </c>
      <c r="EA995" s="2" t="n">
        <v>0</v>
      </c>
      <c r="EB995" s="2" t="n">
        <v>35.64</v>
      </c>
      <c r="EC995" s="2" t="n">
        <v>14.4</v>
      </c>
      <c r="ED995" s="2" t="n">
        <v>0</v>
      </c>
      <c r="EE995" s="2" t="n">
        <v>49.75</v>
      </c>
      <c r="EF995" s="2" t="n">
        <v>29.58</v>
      </c>
      <c r="EG995" s="2" t="n">
        <v>0</v>
      </c>
      <c r="EH995" s="2" t="n">
        <v>64.09</v>
      </c>
      <c r="EI995" s="2" t="n">
        <v>37.26</v>
      </c>
      <c r="EJ995" s="2" t="n">
        <v>0</v>
      </c>
      <c r="EK995" s="2" t="n">
        <v>72.62</v>
      </c>
      <c r="EL995" s="2" t="n">
        <v>42.51</v>
      </c>
      <c r="EM995" s="2" t="n">
        <v>0</v>
      </c>
      <c r="EN995" s="2" t="n">
        <v>86.08</v>
      </c>
      <c r="EO995" s="2" t="n">
        <v>47.76</v>
      </c>
      <c r="EP995" s="2" t="n">
        <v>0</v>
      </c>
      <c r="EQ995" s="2" t="n">
        <v>94.61</v>
      </c>
      <c r="ER995" s="2" t="n">
        <v>57.86</v>
      </c>
      <c r="ES995" s="2" t="n">
        <v>0</v>
      </c>
      <c r="ET995" s="2" t="n">
        <v>100</v>
      </c>
      <c r="EU995" s="2" t="n">
        <v>69.7</v>
      </c>
      <c r="EV995" s="2" t="n">
        <v>0</v>
      </c>
      <c r="EW995" s="2" t="n">
        <v>100</v>
      </c>
      <c r="EX995" s="2" t="n">
        <v>75.76000000000001</v>
      </c>
      <c r="EY995" s="2" t="n">
        <v>0</v>
      </c>
      <c r="EZ995" s="2" t="n">
        <v>100</v>
      </c>
      <c r="FA995" s="2" t="n">
        <v>81.01000000000001</v>
      </c>
      <c r="FB995" s="2" t="n">
        <v>0</v>
      </c>
      <c r="FC995" s="2" t="n">
        <v>100</v>
      </c>
      <c r="FD995" s="2" t="n">
        <v>87.48</v>
      </c>
      <c r="FE995" s="2" t="n">
        <v>0</v>
      </c>
      <c r="FF995" s="2" t="n">
        <v>100</v>
      </c>
      <c r="FG995" s="2" t="n">
        <v>91.92</v>
      </c>
      <c r="FH995" s="2" t="n">
        <v>0</v>
      </c>
      <c r="FI995" s="2" t="n">
        <v>100</v>
      </c>
      <c r="FJ995" s="2" t="n">
        <v>97.58</v>
      </c>
      <c r="FK995" s="2" t="n">
        <v>0</v>
      </c>
      <c r="FL995" s="2" t="n">
        <v>100</v>
      </c>
      <c r="FM995" s="2" t="n">
        <v>100</v>
      </c>
      <c r="FN995" s="2" t="n">
        <v>0</v>
      </c>
      <c r="FO995" s="2" t="n">
        <v>100</v>
      </c>
      <c r="FP995" s="2" t="n">
        <v>100</v>
      </c>
      <c r="FQ995" s="2" t="n">
        <v>0</v>
      </c>
    </row>
    <row r="996">
      <c r="A996" s="2" t="n">
        <v>3</v>
      </c>
      <c r="B996" s="2" t="inlineStr">
        <is>
          <t>34.06.02</t>
        </is>
      </c>
      <c r="C996" s="2" t="inlineStr">
        <is>
          <t>Barra de apoio em aço polido 70cm. Ref.: cód. 2310.I.070.POL; Linha Conforto; Deca.</t>
        </is>
      </c>
      <c r="D996" s="2" t="inlineStr">
        <is>
          <t>20/10/2027</t>
        </is>
      </c>
      <c r="E996" s="2" t="inlineStr">
        <is>
          <t>09/01/2029</t>
        </is>
      </c>
      <c r="F996" s="2" t="n">
        <v>6099.978903421861</v>
      </c>
      <c r="G996" s="2" t="n">
        <v>0</v>
      </c>
      <c r="H996" s="2" t="n">
        <v>6099.978903421861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0</v>
      </c>
      <c r="CS996" s="2" t="n">
        <v>0</v>
      </c>
      <c r="CT996" s="2" t="n">
        <v>0</v>
      </c>
      <c r="CU996" s="2" t="n">
        <v>0</v>
      </c>
      <c r="CV996" s="2" t="n">
        <v>0</v>
      </c>
      <c r="CW996" s="2" t="n">
        <v>0</v>
      </c>
      <c r="CX996" s="2" t="n">
        <v>0</v>
      </c>
      <c r="CY996" s="2" t="n">
        <v>0</v>
      </c>
      <c r="CZ996" s="2" t="n">
        <v>0</v>
      </c>
      <c r="DA996" s="2" t="n">
        <v>0</v>
      </c>
      <c r="DB996" s="2" t="n">
        <v>0</v>
      </c>
      <c r="DC996" s="2" t="n">
        <v>0</v>
      </c>
      <c r="DD996" s="2" t="n">
        <v>0</v>
      </c>
      <c r="DE996" s="2" t="n">
        <v>0</v>
      </c>
      <c r="DF996" s="2" t="n">
        <v>0</v>
      </c>
      <c r="DG996" s="2" t="n">
        <v>0</v>
      </c>
      <c r="DH996" s="2" t="n">
        <v>0</v>
      </c>
      <c r="DI996" s="2" t="n">
        <v>0</v>
      </c>
      <c r="DJ996" s="2" t="n">
        <v>0</v>
      </c>
      <c r="DK996" s="2" t="n">
        <v>0</v>
      </c>
      <c r="DL996" s="2" t="n">
        <v>0</v>
      </c>
      <c r="DM996" s="2" t="n">
        <v>4.94</v>
      </c>
      <c r="DN996" s="2" t="n">
        <v>0</v>
      </c>
      <c r="DO996" s="2" t="n">
        <v>0</v>
      </c>
      <c r="DP996" s="2" t="n">
        <v>8.08</v>
      </c>
      <c r="DQ996" s="2" t="n">
        <v>0</v>
      </c>
      <c r="DR996" s="2" t="n">
        <v>0</v>
      </c>
      <c r="DS996" s="2" t="n">
        <v>14.77</v>
      </c>
      <c r="DT996" s="2" t="n">
        <v>4.01</v>
      </c>
      <c r="DU996" s="2" t="n">
        <v>0</v>
      </c>
      <c r="DV996" s="2" t="n">
        <v>18.76</v>
      </c>
      <c r="DW996" s="2" t="n">
        <v>10.68</v>
      </c>
      <c r="DX996" s="2" t="n">
        <v>0</v>
      </c>
      <c r="DY996" s="2" t="n">
        <v>23.88</v>
      </c>
      <c r="DZ996" s="2" t="n">
        <v>10.94</v>
      </c>
      <c r="EA996" s="2" t="n">
        <v>0</v>
      </c>
      <c r="EB996" s="2" t="n">
        <v>35.64</v>
      </c>
      <c r="EC996" s="2" t="n">
        <v>14.4</v>
      </c>
      <c r="ED996" s="2" t="n">
        <v>0</v>
      </c>
      <c r="EE996" s="2" t="n">
        <v>49.75</v>
      </c>
      <c r="EF996" s="2" t="n">
        <v>29.58</v>
      </c>
      <c r="EG996" s="2" t="n">
        <v>0</v>
      </c>
      <c r="EH996" s="2" t="n">
        <v>64.09</v>
      </c>
      <c r="EI996" s="2" t="n">
        <v>37.26</v>
      </c>
      <c r="EJ996" s="2" t="n">
        <v>0</v>
      </c>
      <c r="EK996" s="2" t="n">
        <v>72.62</v>
      </c>
      <c r="EL996" s="2" t="n">
        <v>42.51</v>
      </c>
      <c r="EM996" s="2" t="n">
        <v>0</v>
      </c>
      <c r="EN996" s="2" t="n">
        <v>86.08</v>
      </c>
      <c r="EO996" s="2" t="n">
        <v>47.76</v>
      </c>
      <c r="EP996" s="2" t="n">
        <v>0</v>
      </c>
      <c r="EQ996" s="2" t="n">
        <v>94.61</v>
      </c>
      <c r="ER996" s="2" t="n">
        <v>57.86</v>
      </c>
      <c r="ES996" s="2" t="n">
        <v>0</v>
      </c>
      <c r="ET996" s="2" t="n">
        <v>100</v>
      </c>
      <c r="EU996" s="2" t="n">
        <v>69.7</v>
      </c>
      <c r="EV996" s="2" t="n">
        <v>0</v>
      </c>
      <c r="EW996" s="2" t="n">
        <v>100</v>
      </c>
      <c r="EX996" s="2" t="n">
        <v>75.76000000000001</v>
      </c>
      <c r="EY996" s="2" t="n">
        <v>0</v>
      </c>
      <c r="EZ996" s="2" t="n">
        <v>100</v>
      </c>
      <c r="FA996" s="2" t="n">
        <v>81.01000000000001</v>
      </c>
      <c r="FB996" s="2" t="n">
        <v>0</v>
      </c>
      <c r="FC996" s="2" t="n">
        <v>100</v>
      </c>
      <c r="FD996" s="2" t="n">
        <v>87.48</v>
      </c>
      <c r="FE996" s="2" t="n">
        <v>0</v>
      </c>
      <c r="FF996" s="2" t="n">
        <v>100</v>
      </c>
      <c r="FG996" s="2" t="n">
        <v>91.92</v>
      </c>
      <c r="FH996" s="2" t="n">
        <v>0</v>
      </c>
      <c r="FI996" s="2" t="n">
        <v>100</v>
      </c>
      <c r="FJ996" s="2" t="n">
        <v>97.58</v>
      </c>
      <c r="FK996" s="2" t="n">
        <v>0</v>
      </c>
      <c r="FL996" s="2" t="n">
        <v>100</v>
      </c>
      <c r="FM996" s="2" t="n">
        <v>100</v>
      </c>
      <c r="FN996" s="2" t="n">
        <v>0</v>
      </c>
      <c r="FO996" s="2" t="n">
        <v>100</v>
      </c>
      <c r="FP996" s="2" t="n">
        <v>100</v>
      </c>
      <c r="FQ996" s="2" t="n">
        <v>0</v>
      </c>
    </row>
    <row r="997">
      <c r="A997" s="2" t="n">
        <v>3</v>
      </c>
      <c r="B997" s="2" t="inlineStr">
        <is>
          <t>34.06.03</t>
        </is>
      </c>
      <c r="C997" s="2" t="inlineStr">
        <is>
          <t>Barras de apoio, acabamento grafite serrado. Ref.: Docol inox L=80cm</t>
        </is>
      </c>
      <c r="D997" s="2" t="inlineStr">
        <is>
          <t>20/10/2027</t>
        </is>
      </c>
      <c r="E997" s="2" t="inlineStr">
        <is>
          <t>09/01/2029</t>
        </is>
      </c>
      <c r="F997" s="2" t="n">
        <v>3816.9</v>
      </c>
      <c r="G997" s="2" t="n">
        <v>0</v>
      </c>
      <c r="H997" s="2" t="n">
        <v>3816.9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0</v>
      </c>
      <c r="CB997" s="2" t="n">
        <v>0</v>
      </c>
      <c r="CC997" s="2" t="n">
        <v>0</v>
      </c>
      <c r="CD997" s="2" t="n">
        <v>0</v>
      </c>
      <c r="CE997" s="2" t="n">
        <v>0</v>
      </c>
      <c r="CF997" s="2" t="n">
        <v>0</v>
      </c>
      <c r="CG997" s="2" t="n">
        <v>0</v>
      </c>
      <c r="CH997" s="2" t="n">
        <v>0</v>
      </c>
      <c r="CI997" s="2" t="n">
        <v>0</v>
      </c>
      <c r="CJ997" s="2" t="n">
        <v>0</v>
      </c>
      <c r="CK997" s="2" t="n">
        <v>0</v>
      </c>
      <c r="CL997" s="2" t="n">
        <v>0</v>
      </c>
      <c r="CM997" s="2" t="n">
        <v>0</v>
      </c>
      <c r="CN997" s="2" t="n">
        <v>0</v>
      </c>
      <c r="CO997" s="2" t="n">
        <v>0</v>
      </c>
      <c r="CP997" s="2" t="n">
        <v>0</v>
      </c>
      <c r="CQ997" s="2" t="n">
        <v>0</v>
      </c>
      <c r="CR997" s="2" t="n">
        <v>0</v>
      </c>
      <c r="CS997" s="2" t="n">
        <v>0</v>
      </c>
      <c r="CT997" s="2" t="n">
        <v>0</v>
      </c>
      <c r="CU997" s="2" t="n">
        <v>0</v>
      </c>
      <c r="CV997" s="2" t="n">
        <v>0</v>
      </c>
      <c r="CW997" s="2" t="n">
        <v>0</v>
      </c>
      <c r="CX997" s="2" t="n">
        <v>0</v>
      </c>
      <c r="CY997" s="2" t="n">
        <v>0</v>
      </c>
      <c r="CZ997" s="2" t="n">
        <v>0</v>
      </c>
      <c r="DA997" s="2" t="n">
        <v>0</v>
      </c>
      <c r="DB997" s="2" t="n">
        <v>0</v>
      </c>
      <c r="DC997" s="2" t="n">
        <v>0</v>
      </c>
      <c r="DD997" s="2" t="n">
        <v>0</v>
      </c>
      <c r="DE997" s="2" t="n">
        <v>0</v>
      </c>
      <c r="DF997" s="2" t="n">
        <v>0</v>
      </c>
      <c r="DG997" s="2" t="n">
        <v>0</v>
      </c>
      <c r="DH997" s="2" t="n">
        <v>0</v>
      </c>
      <c r="DI997" s="2" t="n">
        <v>0</v>
      </c>
      <c r="DJ997" s="2" t="n">
        <v>0</v>
      </c>
      <c r="DK997" s="2" t="n">
        <v>0</v>
      </c>
      <c r="DL997" s="2" t="n">
        <v>0</v>
      </c>
      <c r="DM997" s="2" t="n">
        <v>4.94</v>
      </c>
      <c r="DN997" s="2" t="n">
        <v>0</v>
      </c>
      <c r="DO997" s="2" t="n">
        <v>0</v>
      </c>
      <c r="DP997" s="2" t="n">
        <v>8.08</v>
      </c>
      <c r="DQ997" s="2" t="n">
        <v>0</v>
      </c>
      <c r="DR997" s="2" t="n">
        <v>0</v>
      </c>
      <c r="DS997" s="2" t="n">
        <v>14.77</v>
      </c>
      <c r="DT997" s="2" t="n">
        <v>4.01</v>
      </c>
      <c r="DU997" s="2" t="n">
        <v>0</v>
      </c>
      <c r="DV997" s="2" t="n">
        <v>18.76</v>
      </c>
      <c r="DW997" s="2" t="n">
        <v>10.68</v>
      </c>
      <c r="DX997" s="2" t="n">
        <v>0</v>
      </c>
      <c r="DY997" s="2" t="n">
        <v>23.88</v>
      </c>
      <c r="DZ997" s="2" t="n">
        <v>10.94</v>
      </c>
      <c r="EA997" s="2" t="n">
        <v>0</v>
      </c>
      <c r="EB997" s="2" t="n">
        <v>35.64</v>
      </c>
      <c r="EC997" s="2" t="n">
        <v>14.4</v>
      </c>
      <c r="ED997" s="2" t="n">
        <v>0</v>
      </c>
      <c r="EE997" s="2" t="n">
        <v>49.75</v>
      </c>
      <c r="EF997" s="2" t="n">
        <v>29.58</v>
      </c>
      <c r="EG997" s="2" t="n">
        <v>0</v>
      </c>
      <c r="EH997" s="2" t="n">
        <v>64.09</v>
      </c>
      <c r="EI997" s="2" t="n">
        <v>37.26</v>
      </c>
      <c r="EJ997" s="2" t="n">
        <v>0</v>
      </c>
      <c r="EK997" s="2" t="n">
        <v>72.62</v>
      </c>
      <c r="EL997" s="2" t="n">
        <v>42.51</v>
      </c>
      <c r="EM997" s="2" t="n">
        <v>0</v>
      </c>
      <c r="EN997" s="2" t="n">
        <v>86.08</v>
      </c>
      <c r="EO997" s="2" t="n">
        <v>47.76</v>
      </c>
      <c r="EP997" s="2" t="n">
        <v>0</v>
      </c>
      <c r="EQ997" s="2" t="n">
        <v>94.61</v>
      </c>
      <c r="ER997" s="2" t="n">
        <v>57.86</v>
      </c>
      <c r="ES997" s="2" t="n">
        <v>0</v>
      </c>
      <c r="ET997" s="2" t="n">
        <v>100</v>
      </c>
      <c r="EU997" s="2" t="n">
        <v>69.7</v>
      </c>
      <c r="EV997" s="2" t="n">
        <v>0</v>
      </c>
      <c r="EW997" s="2" t="n">
        <v>100</v>
      </c>
      <c r="EX997" s="2" t="n">
        <v>75.76000000000001</v>
      </c>
      <c r="EY997" s="2" t="n">
        <v>0</v>
      </c>
      <c r="EZ997" s="2" t="n">
        <v>100</v>
      </c>
      <c r="FA997" s="2" t="n">
        <v>81.01000000000001</v>
      </c>
      <c r="FB997" s="2" t="n">
        <v>0</v>
      </c>
      <c r="FC997" s="2" t="n">
        <v>100</v>
      </c>
      <c r="FD997" s="2" t="n">
        <v>87.48</v>
      </c>
      <c r="FE997" s="2" t="n">
        <v>0</v>
      </c>
      <c r="FF997" s="2" t="n">
        <v>100</v>
      </c>
      <c r="FG997" s="2" t="n">
        <v>91.92</v>
      </c>
      <c r="FH997" s="2" t="n">
        <v>0</v>
      </c>
      <c r="FI997" s="2" t="n">
        <v>100</v>
      </c>
      <c r="FJ997" s="2" t="n">
        <v>97.58</v>
      </c>
      <c r="FK997" s="2" t="n">
        <v>0</v>
      </c>
      <c r="FL997" s="2" t="n">
        <v>100</v>
      </c>
      <c r="FM997" s="2" t="n">
        <v>100</v>
      </c>
      <c r="FN997" s="2" t="n">
        <v>0</v>
      </c>
      <c r="FO997" s="2" t="n">
        <v>100</v>
      </c>
      <c r="FP997" s="2" t="n">
        <v>100</v>
      </c>
      <c r="FQ997" s="2" t="n">
        <v>0</v>
      </c>
    </row>
    <row r="998">
      <c r="A998" s="2" t="n">
        <v>3</v>
      </c>
      <c r="B998" s="2" t="inlineStr">
        <is>
          <t>34.06.04</t>
        </is>
      </c>
      <c r="C998" s="2" t="inlineStr">
        <is>
          <t>Barra de apoio em aço polido 80cm. Ref.: cód. 2310.I.080.POL; Linha Conforto; Deca.</t>
        </is>
      </c>
      <c r="D998" s="2" t="inlineStr">
        <is>
          <t>20/10/2027</t>
        </is>
      </c>
      <c r="E998" s="2" t="inlineStr">
        <is>
          <t>09/01/2029</t>
        </is>
      </c>
      <c r="F998" s="2" t="n">
        <v>12640</v>
      </c>
      <c r="G998" s="2" t="n">
        <v>0</v>
      </c>
      <c r="H998" s="2" t="n">
        <v>12640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0</v>
      </c>
      <c r="CB998" s="2" t="n">
        <v>0</v>
      </c>
      <c r="CC998" s="2" t="n">
        <v>0</v>
      </c>
      <c r="CD998" s="2" t="n">
        <v>0</v>
      </c>
      <c r="CE998" s="2" t="n">
        <v>0</v>
      </c>
      <c r="CF998" s="2" t="n">
        <v>0</v>
      </c>
      <c r="CG998" s="2" t="n">
        <v>0</v>
      </c>
      <c r="CH998" s="2" t="n">
        <v>0</v>
      </c>
      <c r="CI998" s="2" t="n">
        <v>0</v>
      </c>
      <c r="CJ998" s="2" t="n">
        <v>0</v>
      </c>
      <c r="CK998" s="2" t="n">
        <v>0</v>
      </c>
      <c r="CL998" s="2" t="n">
        <v>0</v>
      </c>
      <c r="CM998" s="2" t="n">
        <v>0</v>
      </c>
      <c r="CN998" s="2" t="n">
        <v>0</v>
      </c>
      <c r="CO998" s="2" t="n">
        <v>0</v>
      </c>
      <c r="CP998" s="2" t="n">
        <v>0</v>
      </c>
      <c r="CQ998" s="2" t="n">
        <v>0</v>
      </c>
      <c r="CR998" s="2" t="n">
        <v>0</v>
      </c>
      <c r="CS998" s="2" t="n">
        <v>0</v>
      </c>
      <c r="CT998" s="2" t="n">
        <v>0</v>
      </c>
      <c r="CU998" s="2" t="n">
        <v>0</v>
      </c>
      <c r="CV998" s="2" t="n">
        <v>0</v>
      </c>
      <c r="CW998" s="2" t="n">
        <v>0</v>
      </c>
      <c r="CX998" s="2" t="n">
        <v>0</v>
      </c>
      <c r="CY998" s="2" t="n">
        <v>0</v>
      </c>
      <c r="CZ998" s="2" t="n">
        <v>0</v>
      </c>
      <c r="DA998" s="2" t="n">
        <v>0</v>
      </c>
      <c r="DB998" s="2" t="n">
        <v>0</v>
      </c>
      <c r="DC998" s="2" t="n">
        <v>0</v>
      </c>
      <c r="DD998" s="2" t="n">
        <v>0</v>
      </c>
      <c r="DE998" s="2" t="n">
        <v>0</v>
      </c>
      <c r="DF998" s="2" t="n">
        <v>0</v>
      </c>
      <c r="DG998" s="2" t="n">
        <v>0</v>
      </c>
      <c r="DH998" s="2" t="n">
        <v>0</v>
      </c>
      <c r="DI998" s="2" t="n">
        <v>0</v>
      </c>
      <c r="DJ998" s="2" t="n">
        <v>0</v>
      </c>
      <c r="DK998" s="2" t="n">
        <v>0</v>
      </c>
      <c r="DL998" s="2" t="n">
        <v>0</v>
      </c>
      <c r="DM998" s="2" t="n">
        <v>4.94</v>
      </c>
      <c r="DN998" s="2" t="n">
        <v>0</v>
      </c>
      <c r="DO998" s="2" t="n">
        <v>0</v>
      </c>
      <c r="DP998" s="2" t="n">
        <v>8.08</v>
      </c>
      <c r="DQ998" s="2" t="n">
        <v>0</v>
      </c>
      <c r="DR998" s="2" t="n">
        <v>0</v>
      </c>
      <c r="DS998" s="2" t="n">
        <v>14.77</v>
      </c>
      <c r="DT998" s="2" t="n">
        <v>4.01</v>
      </c>
      <c r="DU998" s="2" t="n">
        <v>0</v>
      </c>
      <c r="DV998" s="2" t="n">
        <v>18.76</v>
      </c>
      <c r="DW998" s="2" t="n">
        <v>10.68</v>
      </c>
      <c r="DX998" s="2" t="n">
        <v>0</v>
      </c>
      <c r="DY998" s="2" t="n">
        <v>23.88</v>
      </c>
      <c r="DZ998" s="2" t="n">
        <v>10.94</v>
      </c>
      <c r="EA998" s="2" t="n">
        <v>0</v>
      </c>
      <c r="EB998" s="2" t="n">
        <v>35.64</v>
      </c>
      <c r="EC998" s="2" t="n">
        <v>14.4</v>
      </c>
      <c r="ED998" s="2" t="n">
        <v>0</v>
      </c>
      <c r="EE998" s="2" t="n">
        <v>49.75</v>
      </c>
      <c r="EF998" s="2" t="n">
        <v>29.58</v>
      </c>
      <c r="EG998" s="2" t="n">
        <v>0</v>
      </c>
      <c r="EH998" s="2" t="n">
        <v>64.09</v>
      </c>
      <c r="EI998" s="2" t="n">
        <v>37.26</v>
      </c>
      <c r="EJ998" s="2" t="n">
        <v>0</v>
      </c>
      <c r="EK998" s="2" t="n">
        <v>72.62</v>
      </c>
      <c r="EL998" s="2" t="n">
        <v>42.51</v>
      </c>
      <c r="EM998" s="2" t="n">
        <v>0</v>
      </c>
      <c r="EN998" s="2" t="n">
        <v>86.08</v>
      </c>
      <c r="EO998" s="2" t="n">
        <v>47.76</v>
      </c>
      <c r="EP998" s="2" t="n">
        <v>0</v>
      </c>
      <c r="EQ998" s="2" t="n">
        <v>94.61</v>
      </c>
      <c r="ER998" s="2" t="n">
        <v>57.86</v>
      </c>
      <c r="ES998" s="2" t="n">
        <v>0</v>
      </c>
      <c r="ET998" s="2" t="n">
        <v>100</v>
      </c>
      <c r="EU998" s="2" t="n">
        <v>69.7</v>
      </c>
      <c r="EV998" s="2" t="n">
        <v>0</v>
      </c>
      <c r="EW998" s="2" t="n">
        <v>100</v>
      </c>
      <c r="EX998" s="2" t="n">
        <v>75.76000000000001</v>
      </c>
      <c r="EY998" s="2" t="n">
        <v>0</v>
      </c>
      <c r="EZ998" s="2" t="n">
        <v>100</v>
      </c>
      <c r="FA998" s="2" t="n">
        <v>81.01000000000001</v>
      </c>
      <c r="FB998" s="2" t="n">
        <v>0</v>
      </c>
      <c r="FC998" s="2" t="n">
        <v>100</v>
      </c>
      <c r="FD998" s="2" t="n">
        <v>87.48</v>
      </c>
      <c r="FE998" s="2" t="n">
        <v>0</v>
      </c>
      <c r="FF998" s="2" t="n">
        <v>100</v>
      </c>
      <c r="FG998" s="2" t="n">
        <v>91.92</v>
      </c>
      <c r="FH998" s="2" t="n">
        <v>0</v>
      </c>
      <c r="FI998" s="2" t="n">
        <v>100</v>
      </c>
      <c r="FJ998" s="2" t="n">
        <v>97.58</v>
      </c>
      <c r="FK998" s="2" t="n">
        <v>0</v>
      </c>
      <c r="FL998" s="2" t="n">
        <v>100</v>
      </c>
      <c r="FM998" s="2" t="n">
        <v>100</v>
      </c>
      <c r="FN998" s="2" t="n">
        <v>0</v>
      </c>
      <c r="FO998" s="2" t="n">
        <v>100</v>
      </c>
      <c r="FP998" s="2" t="n">
        <v>100</v>
      </c>
      <c r="FQ998" s="2" t="n">
        <v>0</v>
      </c>
    </row>
    <row r="999">
      <c r="A999" s="2" t="n">
        <v>3</v>
      </c>
      <c r="B999" s="2" t="inlineStr">
        <is>
          <t>34.06.05</t>
        </is>
      </c>
      <c r="C999" s="2" t="inlineStr">
        <is>
          <t>Barra de apoio em aço polido 40cm. Ref.: cód. 2310.I.040.POL; Linha Conforto; Deca.</t>
        </is>
      </c>
      <c r="D999" s="2" t="inlineStr">
        <is>
          <t>20/10/2027</t>
        </is>
      </c>
      <c r="E999" s="2" t="inlineStr">
        <is>
          <t>09/01/2029</t>
        </is>
      </c>
      <c r="F999" s="2" t="n">
        <v>3000</v>
      </c>
      <c r="G999" s="2" t="n">
        <v>0</v>
      </c>
      <c r="H999" s="2" t="n">
        <v>3000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0</v>
      </c>
      <c r="CB999" s="2" t="n">
        <v>0</v>
      </c>
      <c r="CC999" s="2" t="n">
        <v>0</v>
      </c>
      <c r="CD999" s="2" t="n">
        <v>0</v>
      </c>
      <c r="CE999" s="2" t="n">
        <v>0</v>
      </c>
      <c r="CF999" s="2" t="n">
        <v>0</v>
      </c>
      <c r="CG999" s="2" t="n">
        <v>0</v>
      </c>
      <c r="CH999" s="2" t="n">
        <v>0</v>
      </c>
      <c r="CI999" s="2" t="n">
        <v>0</v>
      </c>
      <c r="CJ999" s="2" t="n">
        <v>0</v>
      </c>
      <c r="CK999" s="2" t="n">
        <v>0</v>
      </c>
      <c r="CL999" s="2" t="n">
        <v>0</v>
      </c>
      <c r="CM999" s="2" t="n">
        <v>0</v>
      </c>
      <c r="CN999" s="2" t="n">
        <v>0</v>
      </c>
      <c r="CO999" s="2" t="n">
        <v>0</v>
      </c>
      <c r="CP999" s="2" t="n">
        <v>0</v>
      </c>
      <c r="CQ999" s="2" t="n">
        <v>0</v>
      </c>
      <c r="CR999" s="2" t="n">
        <v>0</v>
      </c>
      <c r="CS999" s="2" t="n">
        <v>0</v>
      </c>
      <c r="CT999" s="2" t="n">
        <v>0</v>
      </c>
      <c r="CU999" s="2" t="n">
        <v>0</v>
      </c>
      <c r="CV999" s="2" t="n">
        <v>0</v>
      </c>
      <c r="CW999" s="2" t="n">
        <v>0</v>
      </c>
      <c r="CX999" s="2" t="n">
        <v>0</v>
      </c>
      <c r="CY999" s="2" t="n">
        <v>0</v>
      </c>
      <c r="CZ999" s="2" t="n">
        <v>0</v>
      </c>
      <c r="DA999" s="2" t="n">
        <v>0</v>
      </c>
      <c r="DB999" s="2" t="n">
        <v>0</v>
      </c>
      <c r="DC999" s="2" t="n">
        <v>0</v>
      </c>
      <c r="DD999" s="2" t="n">
        <v>0</v>
      </c>
      <c r="DE999" s="2" t="n">
        <v>0</v>
      </c>
      <c r="DF999" s="2" t="n">
        <v>0</v>
      </c>
      <c r="DG999" s="2" t="n">
        <v>0</v>
      </c>
      <c r="DH999" s="2" t="n">
        <v>0</v>
      </c>
      <c r="DI999" s="2" t="n">
        <v>0</v>
      </c>
      <c r="DJ999" s="2" t="n">
        <v>0</v>
      </c>
      <c r="DK999" s="2" t="n">
        <v>0</v>
      </c>
      <c r="DL999" s="2" t="n">
        <v>0</v>
      </c>
      <c r="DM999" s="2" t="n">
        <v>4.94</v>
      </c>
      <c r="DN999" s="2" t="n">
        <v>0</v>
      </c>
      <c r="DO999" s="2" t="n">
        <v>0</v>
      </c>
      <c r="DP999" s="2" t="n">
        <v>8.08</v>
      </c>
      <c r="DQ999" s="2" t="n">
        <v>0</v>
      </c>
      <c r="DR999" s="2" t="n">
        <v>0</v>
      </c>
      <c r="DS999" s="2" t="n">
        <v>14.77</v>
      </c>
      <c r="DT999" s="2" t="n">
        <v>4.01</v>
      </c>
      <c r="DU999" s="2" t="n">
        <v>0</v>
      </c>
      <c r="DV999" s="2" t="n">
        <v>18.76</v>
      </c>
      <c r="DW999" s="2" t="n">
        <v>10.68</v>
      </c>
      <c r="DX999" s="2" t="n">
        <v>0</v>
      </c>
      <c r="DY999" s="2" t="n">
        <v>23.88</v>
      </c>
      <c r="DZ999" s="2" t="n">
        <v>10.94</v>
      </c>
      <c r="EA999" s="2" t="n">
        <v>0</v>
      </c>
      <c r="EB999" s="2" t="n">
        <v>35.64</v>
      </c>
      <c r="EC999" s="2" t="n">
        <v>14.4</v>
      </c>
      <c r="ED999" s="2" t="n">
        <v>0</v>
      </c>
      <c r="EE999" s="2" t="n">
        <v>49.75</v>
      </c>
      <c r="EF999" s="2" t="n">
        <v>29.58</v>
      </c>
      <c r="EG999" s="2" t="n">
        <v>0</v>
      </c>
      <c r="EH999" s="2" t="n">
        <v>64.09</v>
      </c>
      <c r="EI999" s="2" t="n">
        <v>37.26</v>
      </c>
      <c r="EJ999" s="2" t="n">
        <v>0</v>
      </c>
      <c r="EK999" s="2" t="n">
        <v>72.62</v>
      </c>
      <c r="EL999" s="2" t="n">
        <v>42.51</v>
      </c>
      <c r="EM999" s="2" t="n">
        <v>0</v>
      </c>
      <c r="EN999" s="2" t="n">
        <v>86.08</v>
      </c>
      <c r="EO999" s="2" t="n">
        <v>47.76</v>
      </c>
      <c r="EP999" s="2" t="n">
        <v>0</v>
      </c>
      <c r="EQ999" s="2" t="n">
        <v>94.61</v>
      </c>
      <c r="ER999" s="2" t="n">
        <v>57.86</v>
      </c>
      <c r="ES999" s="2" t="n">
        <v>0</v>
      </c>
      <c r="ET999" s="2" t="n">
        <v>100</v>
      </c>
      <c r="EU999" s="2" t="n">
        <v>69.7</v>
      </c>
      <c r="EV999" s="2" t="n">
        <v>0</v>
      </c>
      <c r="EW999" s="2" t="n">
        <v>100</v>
      </c>
      <c r="EX999" s="2" t="n">
        <v>75.76000000000001</v>
      </c>
      <c r="EY999" s="2" t="n">
        <v>0</v>
      </c>
      <c r="EZ999" s="2" t="n">
        <v>100</v>
      </c>
      <c r="FA999" s="2" t="n">
        <v>81.01000000000001</v>
      </c>
      <c r="FB999" s="2" t="n">
        <v>0</v>
      </c>
      <c r="FC999" s="2" t="n">
        <v>100</v>
      </c>
      <c r="FD999" s="2" t="n">
        <v>87.48</v>
      </c>
      <c r="FE999" s="2" t="n">
        <v>0</v>
      </c>
      <c r="FF999" s="2" t="n">
        <v>100</v>
      </c>
      <c r="FG999" s="2" t="n">
        <v>91.92</v>
      </c>
      <c r="FH999" s="2" t="n">
        <v>0</v>
      </c>
      <c r="FI999" s="2" t="n">
        <v>100</v>
      </c>
      <c r="FJ999" s="2" t="n">
        <v>97.58</v>
      </c>
      <c r="FK999" s="2" t="n">
        <v>0</v>
      </c>
      <c r="FL999" s="2" t="n">
        <v>100</v>
      </c>
      <c r="FM999" s="2" t="n">
        <v>100</v>
      </c>
      <c r="FN999" s="2" t="n">
        <v>0</v>
      </c>
      <c r="FO999" s="2" t="n">
        <v>100</v>
      </c>
      <c r="FP999" s="2" t="n">
        <v>100</v>
      </c>
      <c r="FQ999" s="2" t="n">
        <v>0</v>
      </c>
    </row>
    <row r="1000">
      <c r="A1000" s="2" t="n">
        <v>3</v>
      </c>
      <c r="B1000" s="2" t="inlineStr">
        <is>
          <t>34.06.06</t>
        </is>
      </c>
      <c r="C1000" s="2" t="inlineStr">
        <is>
          <t>Barra lateral fixa em aço polido 30cm. Ref.: cód. 2373.I.030.POL; Linha Conforto; Deca.</t>
        </is>
      </c>
      <c r="D1000" s="2" t="inlineStr">
        <is>
          <t>20/10/2027</t>
        </is>
      </c>
      <c r="E1000" s="2" t="inlineStr">
        <is>
          <t>09/01/2029</t>
        </is>
      </c>
      <c r="F1000" s="2" t="n">
        <v>2368</v>
      </c>
      <c r="G1000" s="2" t="n">
        <v>0</v>
      </c>
      <c r="H1000" s="2" t="n">
        <v>2368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0</v>
      </c>
      <c r="CB1000" s="2" t="n">
        <v>0</v>
      </c>
      <c r="CC1000" s="2" t="n">
        <v>0</v>
      </c>
      <c r="CD1000" s="2" t="n">
        <v>0</v>
      </c>
      <c r="CE1000" s="2" t="n">
        <v>0</v>
      </c>
      <c r="CF1000" s="2" t="n">
        <v>0</v>
      </c>
      <c r="CG1000" s="2" t="n">
        <v>0</v>
      </c>
      <c r="CH1000" s="2" t="n">
        <v>0</v>
      </c>
      <c r="CI1000" s="2" t="n">
        <v>0</v>
      </c>
      <c r="CJ1000" s="2" t="n">
        <v>0</v>
      </c>
      <c r="CK1000" s="2" t="n">
        <v>0</v>
      </c>
      <c r="CL1000" s="2" t="n">
        <v>0</v>
      </c>
      <c r="CM1000" s="2" t="n">
        <v>0</v>
      </c>
      <c r="CN1000" s="2" t="n">
        <v>0</v>
      </c>
      <c r="CO1000" s="2" t="n">
        <v>0</v>
      </c>
      <c r="CP1000" s="2" t="n">
        <v>0</v>
      </c>
      <c r="CQ1000" s="2" t="n">
        <v>0</v>
      </c>
      <c r="CR1000" s="2" t="n">
        <v>0</v>
      </c>
      <c r="CS1000" s="2" t="n">
        <v>0</v>
      </c>
      <c r="CT1000" s="2" t="n">
        <v>0</v>
      </c>
      <c r="CU1000" s="2" t="n">
        <v>0</v>
      </c>
      <c r="CV1000" s="2" t="n">
        <v>0</v>
      </c>
      <c r="CW1000" s="2" t="n">
        <v>0</v>
      </c>
      <c r="CX1000" s="2" t="n">
        <v>0</v>
      </c>
      <c r="CY1000" s="2" t="n">
        <v>0</v>
      </c>
      <c r="CZ1000" s="2" t="n">
        <v>0</v>
      </c>
      <c r="DA1000" s="2" t="n">
        <v>0</v>
      </c>
      <c r="DB1000" s="2" t="n">
        <v>0</v>
      </c>
      <c r="DC1000" s="2" t="n">
        <v>0</v>
      </c>
      <c r="DD1000" s="2" t="n">
        <v>0</v>
      </c>
      <c r="DE1000" s="2" t="n">
        <v>0</v>
      </c>
      <c r="DF1000" s="2" t="n">
        <v>0</v>
      </c>
      <c r="DG1000" s="2" t="n">
        <v>0</v>
      </c>
      <c r="DH1000" s="2" t="n">
        <v>0</v>
      </c>
      <c r="DI1000" s="2" t="n">
        <v>0</v>
      </c>
      <c r="DJ1000" s="2" t="n">
        <v>0</v>
      </c>
      <c r="DK1000" s="2" t="n">
        <v>0</v>
      </c>
      <c r="DL1000" s="2" t="n">
        <v>0</v>
      </c>
      <c r="DM1000" s="2" t="n">
        <v>4.94</v>
      </c>
      <c r="DN1000" s="2" t="n">
        <v>0</v>
      </c>
      <c r="DO1000" s="2" t="n">
        <v>0</v>
      </c>
      <c r="DP1000" s="2" t="n">
        <v>8.08</v>
      </c>
      <c r="DQ1000" s="2" t="n">
        <v>0</v>
      </c>
      <c r="DR1000" s="2" t="n">
        <v>0</v>
      </c>
      <c r="DS1000" s="2" t="n">
        <v>14.77</v>
      </c>
      <c r="DT1000" s="2" t="n">
        <v>4.01</v>
      </c>
      <c r="DU1000" s="2" t="n">
        <v>0</v>
      </c>
      <c r="DV1000" s="2" t="n">
        <v>18.76</v>
      </c>
      <c r="DW1000" s="2" t="n">
        <v>10.68</v>
      </c>
      <c r="DX1000" s="2" t="n">
        <v>0</v>
      </c>
      <c r="DY1000" s="2" t="n">
        <v>23.88</v>
      </c>
      <c r="DZ1000" s="2" t="n">
        <v>10.94</v>
      </c>
      <c r="EA1000" s="2" t="n">
        <v>0</v>
      </c>
      <c r="EB1000" s="2" t="n">
        <v>35.64</v>
      </c>
      <c r="EC1000" s="2" t="n">
        <v>14.4</v>
      </c>
      <c r="ED1000" s="2" t="n">
        <v>0</v>
      </c>
      <c r="EE1000" s="2" t="n">
        <v>49.75</v>
      </c>
      <c r="EF1000" s="2" t="n">
        <v>29.58</v>
      </c>
      <c r="EG1000" s="2" t="n">
        <v>0</v>
      </c>
      <c r="EH1000" s="2" t="n">
        <v>64.09</v>
      </c>
      <c r="EI1000" s="2" t="n">
        <v>37.26</v>
      </c>
      <c r="EJ1000" s="2" t="n">
        <v>0</v>
      </c>
      <c r="EK1000" s="2" t="n">
        <v>72.62</v>
      </c>
      <c r="EL1000" s="2" t="n">
        <v>42.51</v>
      </c>
      <c r="EM1000" s="2" t="n">
        <v>0</v>
      </c>
      <c r="EN1000" s="2" t="n">
        <v>86.08</v>
      </c>
      <c r="EO1000" s="2" t="n">
        <v>47.76</v>
      </c>
      <c r="EP1000" s="2" t="n">
        <v>0</v>
      </c>
      <c r="EQ1000" s="2" t="n">
        <v>94.61</v>
      </c>
      <c r="ER1000" s="2" t="n">
        <v>57.86</v>
      </c>
      <c r="ES1000" s="2" t="n">
        <v>0</v>
      </c>
      <c r="ET1000" s="2" t="n">
        <v>100</v>
      </c>
      <c r="EU1000" s="2" t="n">
        <v>69.7</v>
      </c>
      <c r="EV1000" s="2" t="n">
        <v>0</v>
      </c>
      <c r="EW1000" s="2" t="n">
        <v>100</v>
      </c>
      <c r="EX1000" s="2" t="n">
        <v>75.76000000000001</v>
      </c>
      <c r="EY1000" s="2" t="n">
        <v>0</v>
      </c>
      <c r="EZ1000" s="2" t="n">
        <v>100</v>
      </c>
      <c r="FA1000" s="2" t="n">
        <v>81.01000000000001</v>
      </c>
      <c r="FB1000" s="2" t="n">
        <v>0</v>
      </c>
      <c r="FC1000" s="2" t="n">
        <v>100</v>
      </c>
      <c r="FD1000" s="2" t="n">
        <v>87.48</v>
      </c>
      <c r="FE1000" s="2" t="n">
        <v>0</v>
      </c>
      <c r="FF1000" s="2" t="n">
        <v>100</v>
      </c>
      <c r="FG1000" s="2" t="n">
        <v>91.92</v>
      </c>
      <c r="FH1000" s="2" t="n">
        <v>0</v>
      </c>
      <c r="FI1000" s="2" t="n">
        <v>100</v>
      </c>
      <c r="FJ1000" s="2" t="n">
        <v>97.58</v>
      </c>
      <c r="FK1000" s="2" t="n">
        <v>0</v>
      </c>
      <c r="FL1000" s="2" t="n">
        <v>100</v>
      </c>
      <c r="FM1000" s="2" t="n">
        <v>100</v>
      </c>
      <c r="FN1000" s="2" t="n">
        <v>0</v>
      </c>
      <c r="FO1000" s="2" t="n">
        <v>100</v>
      </c>
      <c r="FP1000" s="2" t="n">
        <v>100</v>
      </c>
      <c r="FQ1000" s="2" t="n">
        <v>0</v>
      </c>
    </row>
    <row r="1001">
      <c r="A1001" s="2" t="n">
        <v>3</v>
      </c>
      <c r="B1001" s="2" t="inlineStr">
        <is>
          <t>34.06.07</t>
        </is>
      </c>
      <c r="C1001" s="2" t="inlineStr">
        <is>
          <t>Cadeira de banho em aço polido. Ref.: cód. 2356.I.POL; Linha Conforto; Deca.</t>
        </is>
      </c>
      <c r="D1001" s="2" t="inlineStr">
        <is>
          <t>20/10/2027</t>
        </is>
      </c>
      <c r="E1001" s="2" t="inlineStr">
        <is>
          <t>09/01/2029</t>
        </is>
      </c>
      <c r="F1001" s="2" t="n">
        <v>18677.98945171093</v>
      </c>
      <c r="G1001" s="2" t="n">
        <v>0</v>
      </c>
      <c r="H1001" s="2" t="n">
        <v>18677.98945171093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0</v>
      </c>
      <c r="CB1001" s="2" t="n">
        <v>0</v>
      </c>
      <c r="CC1001" s="2" t="n">
        <v>0</v>
      </c>
      <c r="CD1001" s="2" t="n">
        <v>0</v>
      </c>
      <c r="CE1001" s="2" t="n">
        <v>0</v>
      </c>
      <c r="CF1001" s="2" t="n">
        <v>0</v>
      </c>
      <c r="CG1001" s="2" t="n">
        <v>0</v>
      </c>
      <c r="CH1001" s="2" t="n">
        <v>0</v>
      </c>
      <c r="CI1001" s="2" t="n">
        <v>0</v>
      </c>
      <c r="CJ1001" s="2" t="n">
        <v>0</v>
      </c>
      <c r="CK1001" s="2" t="n">
        <v>0</v>
      </c>
      <c r="CL1001" s="2" t="n">
        <v>0</v>
      </c>
      <c r="CM1001" s="2" t="n">
        <v>0</v>
      </c>
      <c r="CN1001" s="2" t="n">
        <v>0</v>
      </c>
      <c r="CO1001" s="2" t="n">
        <v>0</v>
      </c>
      <c r="CP1001" s="2" t="n">
        <v>0</v>
      </c>
      <c r="CQ1001" s="2" t="n">
        <v>0</v>
      </c>
      <c r="CR1001" s="2" t="n">
        <v>0</v>
      </c>
      <c r="CS1001" s="2" t="n">
        <v>0</v>
      </c>
      <c r="CT1001" s="2" t="n">
        <v>0</v>
      </c>
      <c r="CU1001" s="2" t="n">
        <v>0</v>
      </c>
      <c r="CV1001" s="2" t="n">
        <v>0</v>
      </c>
      <c r="CW1001" s="2" t="n">
        <v>0</v>
      </c>
      <c r="CX1001" s="2" t="n">
        <v>0</v>
      </c>
      <c r="CY1001" s="2" t="n">
        <v>0</v>
      </c>
      <c r="CZ1001" s="2" t="n">
        <v>0</v>
      </c>
      <c r="DA1001" s="2" t="n">
        <v>0</v>
      </c>
      <c r="DB1001" s="2" t="n">
        <v>0</v>
      </c>
      <c r="DC1001" s="2" t="n">
        <v>0</v>
      </c>
      <c r="DD1001" s="2" t="n">
        <v>0</v>
      </c>
      <c r="DE1001" s="2" t="n">
        <v>0</v>
      </c>
      <c r="DF1001" s="2" t="n">
        <v>0</v>
      </c>
      <c r="DG1001" s="2" t="n">
        <v>0</v>
      </c>
      <c r="DH1001" s="2" t="n">
        <v>0</v>
      </c>
      <c r="DI1001" s="2" t="n">
        <v>0</v>
      </c>
      <c r="DJ1001" s="2" t="n">
        <v>0</v>
      </c>
      <c r="DK1001" s="2" t="n">
        <v>0</v>
      </c>
      <c r="DL1001" s="2" t="n">
        <v>0</v>
      </c>
      <c r="DM1001" s="2" t="n">
        <v>4.94</v>
      </c>
      <c r="DN1001" s="2" t="n">
        <v>0</v>
      </c>
      <c r="DO1001" s="2" t="n">
        <v>0</v>
      </c>
      <c r="DP1001" s="2" t="n">
        <v>8.08</v>
      </c>
      <c r="DQ1001" s="2" t="n">
        <v>0</v>
      </c>
      <c r="DR1001" s="2" t="n">
        <v>0</v>
      </c>
      <c r="DS1001" s="2" t="n">
        <v>14.77</v>
      </c>
      <c r="DT1001" s="2" t="n">
        <v>4.01</v>
      </c>
      <c r="DU1001" s="2" t="n">
        <v>0</v>
      </c>
      <c r="DV1001" s="2" t="n">
        <v>18.76</v>
      </c>
      <c r="DW1001" s="2" t="n">
        <v>10.68</v>
      </c>
      <c r="DX1001" s="2" t="n">
        <v>0</v>
      </c>
      <c r="DY1001" s="2" t="n">
        <v>23.88</v>
      </c>
      <c r="DZ1001" s="2" t="n">
        <v>10.94</v>
      </c>
      <c r="EA1001" s="2" t="n">
        <v>0</v>
      </c>
      <c r="EB1001" s="2" t="n">
        <v>35.64</v>
      </c>
      <c r="EC1001" s="2" t="n">
        <v>14.4</v>
      </c>
      <c r="ED1001" s="2" t="n">
        <v>0</v>
      </c>
      <c r="EE1001" s="2" t="n">
        <v>49.75</v>
      </c>
      <c r="EF1001" s="2" t="n">
        <v>29.58</v>
      </c>
      <c r="EG1001" s="2" t="n">
        <v>0</v>
      </c>
      <c r="EH1001" s="2" t="n">
        <v>64.09</v>
      </c>
      <c r="EI1001" s="2" t="n">
        <v>37.26</v>
      </c>
      <c r="EJ1001" s="2" t="n">
        <v>0</v>
      </c>
      <c r="EK1001" s="2" t="n">
        <v>72.62</v>
      </c>
      <c r="EL1001" s="2" t="n">
        <v>42.51</v>
      </c>
      <c r="EM1001" s="2" t="n">
        <v>0</v>
      </c>
      <c r="EN1001" s="2" t="n">
        <v>86.08</v>
      </c>
      <c r="EO1001" s="2" t="n">
        <v>47.76</v>
      </c>
      <c r="EP1001" s="2" t="n">
        <v>0</v>
      </c>
      <c r="EQ1001" s="2" t="n">
        <v>94.61</v>
      </c>
      <c r="ER1001" s="2" t="n">
        <v>57.86</v>
      </c>
      <c r="ES1001" s="2" t="n">
        <v>0</v>
      </c>
      <c r="ET1001" s="2" t="n">
        <v>100</v>
      </c>
      <c r="EU1001" s="2" t="n">
        <v>69.7</v>
      </c>
      <c r="EV1001" s="2" t="n">
        <v>0</v>
      </c>
      <c r="EW1001" s="2" t="n">
        <v>100</v>
      </c>
      <c r="EX1001" s="2" t="n">
        <v>75.76000000000001</v>
      </c>
      <c r="EY1001" s="2" t="n">
        <v>0</v>
      </c>
      <c r="EZ1001" s="2" t="n">
        <v>100</v>
      </c>
      <c r="FA1001" s="2" t="n">
        <v>81.01000000000001</v>
      </c>
      <c r="FB1001" s="2" t="n">
        <v>0</v>
      </c>
      <c r="FC1001" s="2" t="n">
        <v>100</v>
      </c>
      <c r="FD1001" s="2" t="n">
        <v>87.48</v>
      </c>
      <c r="FE1001" s="2" t="n">
        <v>0</v>
      </c>
      <c r="FF1001" s="2" t="n">
        <v>100</v>
      </c>
      <c r="FG1001" s="2" t="n">
        <v>91.92</v>
      </c>
      <c r="FH1001" s="2" t="n">
        <v>0</v>
      </c>
      <c r="FI1001" s="2" t="n">
        <v>100</v>
      </c>
      <c r="FJ1001" s="2" t="n">
        <v>97.58</v>
      </c>
      <c r="FK1001" s="2" t="n">
        <v>0</v>
      </c>
      <c r="FL1001" s="2" t="n">
        <v>100</v>
      </c>
      <c r="FM1001" s="2" t="n">
        <v>100</v>
      </c>
      <c r="FN1001" s="2" t="n">
        <v>0</v>
      </c>
      <c r="FO1001" s="2" t="n">
        <v>100</v>
      </c>
      <c r="FP1001" s="2" t="n">
        <v>100</v>
      </c>
      <c r="FQ1001" s="2" t="n">
        <v>0</v>
      </c>
    </row>
    <row r="1002">
      <c r="A1002" s="2" t="n">
        <v>2</v>
      </c>
      <c r="B1002" s="2" t="inlineStr">
        <is>
          <t>34.07</t>
        </is>
      </c>
      <c r="C1002" s="2" t="inlineStr">
        <is>
          <t>Diversos</t>
        </is>
      </c>
      <c r="D1002" s="2" t="inlineStr">
        <is>
          <t>14/09/2027</t>
        </is>
      </c>
      <c r="E1002" s="2" t="inlineStr">
        <is>
          <t>09/01/2029</t>
        </is>
      </c>
      <c r="F1002" s="2" t="n">
        <v>134237.1648353209</v>
      </c>
      <c r="G1002" s="2" t="n">
        <v>0</v>
      </c>
      <c r="H1002" s="2" t="n">
        <v>134237.1648353209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0</v>
      </c>
      <c r="CB1002" s="2" t="n">
        <v>0</v>
      </c>
      <c r="CC1002" s="2" t="n">
        <v>0</v>
      </c>
      <c r="CD1002" s="2" t="n">
        <v>0</v>
      </c>
      <c r="CE1002" s="2" t="n">
        <v>0</v>
      </c>
      <c r="CF1002" s="2" t="n">
        <v>0</v>
      </c>
      <c r="CG1002" s="2" t="n">
        <v>0</v>
      </c>
      <c r="CH1002" s="2" t="n">
        <v>0</v>
      </c>
      <c r="CI1002" s="2" t="n">
        <v>0</v>
      </c>
      <c r="CJ1002" s="2" t="n">
        <v>0</v>
      </c>
      <c r="CK1002" s="2" t="n">
        <v>0</v>
      </c>
      <c r="CL1002" s="2" t="n">
        <v>0</v>
      </c>
      <c r="CM1002" s="2" t="n">
        <v>0</v>
      </c>
      <c r="CN1002" s="2" t="n">
        <v>0</v>
      </c>
      <c r="CO1002" s="2" t="n">
        <v>0</v>
      </c>
      <c r="CP1002" s="2" t="n">
        <v>0</v>
      </c>
      <c r="CQ1002" s="2" t="n">
        <v>0</v>
      </c>
      <c r="CR1002" s="2" t="n">
        <v>0</v>
      </c>
      <c r="CS1002" s="2" t="n">
        <v>0</v>
      </c>
      <c r="CT1002" s="2" t="n">
        <v>0</v>
      </c>
      <c r="CU1002" s="2" t="n">
        <v>0</v>
      </c>
      <c r="CV1002" s="2" t="n">
        <v>0</v>
      </c>
      <c r="CW1002" s="2" t="n">
        <v>0</v>
      </c>
      <c r="CX1002" s="2" t="n">
        <v>0</v>
      </c>
      <c r="CY1002" s="2" t="n">
        <v>0</v>
      </c>
      <c r="CZ1002" s="2" t="n">
        <v>0</v>
      </c>
      <c r="DA1002" s="2" t="n">
        <v>0</v>
      </c>
      <c r="DB1002" s="2" t="n">
        <v>0</v>
      </c>
      <c r="DC1002" s="2" t="n">
        <v>0</v>
      </c>
      <c r="DD1002" s="2" t="n">
        <v>0</v>
      </c>
      <c r="DE1002" s="2" t="n">
        <v>0</v>
      </c>
      <c r="DF1002" s="2" t="n">
        <v>0</v>
      </c>
      <c r="DG1002" s="2" t="n">
        <v>0</v>
      </c>
      <c r="DH1002" s="2" t="n">
        <v>0</v>
      </c>
      <c r="DI1002" s="2" t="n">
        <v>0</v>
      </c>
      <c r="DJ1002" s="2" t="n">
        <v>0</v>
      </c>
      <c r="DK1002" s="2" t="n">
        <v>0</v>
      </c>
      <c r="DL1002" s="2" t="n">
        <v>0</v>
      </c>
      <c r="DM1002" s="2" t="n">
        <v>4.76</v>
      </c>
      <c r="DN1002" s="2" t="n">
        <v>0</v>
      </c>
      <c r="DO1002" s="2" t="n">
        <v>0</v>
      </c>
      <c r="DP1002" s="2" t="n">
        <v>8.27</v>
      </c>
      <c r="DQ1002" s="2" t="n">
        <v>0.48</v>
      </c>
      <c r="DR1002" s="2" t="n">
        <v>0</v>
      </c>
      <c r="DS1002" s="2" t="n">
        <v>14.99</v>
      </c>
      <c r="DT1002" s="2" t="n">
        <v>4.52</v>
      </c>
      <c r="DU1002" s="2" t="n">
        <v>0</v>
      </c>
      <c r="DV1002" s="2" t="n">
        <v>19.12</v>
      </c>
      <c r="DW1002" s="2" t="n">
        <v>11.34</v>
      </c>
      <c r="DX1002" s="2" t="n">
        <v>0</v>
      </c>
      <c r="DY1002" s="2" t="n">
        <v>24.05</v>
      </c>
      <c r="DZ1002" s="2" t="n">
        <v>12.18</v>
      </c>
      <c r="EA1002" s="2" t="n">
        <v>0</v>
      </c>
      <c r="EB1002" s="2" t="n">
        <v>37.79</v>
      </c>
      <c r="EC1002" s="2" t="n">
        <v>18.09</v>
      </c>
      <c r="ED1002" s="2" t="n">
        <v>0</v>
      </c>
      <c r="EE1002" s="2" t="n">
        <v>51.57</v>
      </c>
      <c r="EF1002" s="2" t="n">
        <v>31.96</v>
      </c>
      <c r="EG1002" s="2" t="n">
        <v>0</v>
      </c>
      <c r="EH1002" s="2" t="n">
        <v>65.40000000000001</v>
      </c>
      <c r="EI1002" s="2" t="n">
        <v>39.35</v>
      </c>
      <c r="EJ1002" s="2" t="n">
        <v>0</v>
      </c>
      <c r="EK1002" s="2" t="n">
        <v>73.62</v>
      </c>
      <c r="EL1002" s="2" t="n">
        <v>44.41</v>
      </c>
      <c r="EM1002" s="2" t="n">
        <v>0</v>
      </c>
      <c r="EN1002" s="2" t="n">
        <v>86.59</v>
      </c>
      <c r="EO1002" s="2" t="n">
        <v>49.47</v>
      </c>
      <c r="EP1002" s="2" t="n">
        <v>0</v>
      </c>
      <c r="EQ1002" s="2" t="n">
        <v>94.81</v>
      </c>
      <c r="ER1002" s="2" t="n">
        <v>59.2</v>
      </c>
      <c r="ES1002" s="2" t="n">
        <v>0</v>
      </c>
      <c r="ET1002" s="2" t="n">
        <v>100</v>
      </c>
      <c r="EU1002" s="2" t="n">
        <v>70.81</v>
      </c>
      <c r="EV1002" s="2" t="n">
        <v>0</v>
      </c>
      <c r="EW1002" s="2" t="n">
        <v>100</v>
      </c>
      <c r="EX1002" s="2" t="n">
        <v>76.65000000000001</v>
      </c>
      <c r="EY1002" s="2" t="n">
        <v>0</v>
      </c>
      <c r="EZ1002" s="2" t="n">
        <v>100</v>
      </c>
      <c r="FA1002" s="2" t="n">
        <v>81.70999999999999</v>
      </c>
      <c r="FB1002" s="2" t="n">
        <v>0</v>
      </c>
      <c r="FC1002" s="2" t="n">
        <v>100</v>
      </c>
      <c r="FD1002" s="2" t="n">
        <v>87.93000000000001</v>
      </c>
      <c r="FE1002" s="2" t="n">
        <v>0</v>
      </c>
      <c r="FF1002" s="2" t="n">
        <v>100</v>
      </c>
      <c r="FG1002" s="2" t="n">
        <v>92.22</v>
      </c>
      <c r="FH1002" s="2" t="n">
        <v>0</v>
      </c>
      <c r="FI1002" s="2" t="n">
        <v>100</v>
      </c>
      <c r="FJ1002" s="2" t="n">
        <v>97.66</v>
      </c>
      <c r="FK1002" s="2" t="n">
        <v>0</v>
      </c>
      <c r="FL1002" s="2" t="n">
        <v>100</v>
      </c>
      <c r="FM1002" s="2" t="n">
        <v>100</v>
      </c>
      <c r="FN1002" s="2" t="n">
        <v>0</v>
      </c>
      <c r="FO1002" s="2" t="n">
        <v>100</v>
      </c>
      <c r="FP1002" s="2" t="n">
        <v>100</v>
      </c>
      <c r="FQ1002" s="2" t="n">
        <v>0</v>
      </c>
    </row>
    <row r="1003">
      <c r="A1003" s="2" t="n">
        <v>3</v>
      </c>
      <c r="B1003" s="2" t="inlineStr">
        <is>
          <t>34.07.01</t>
        </is>
      </c>
      <c r="C1003" s="2" t="inlineStr">
        <is>
          <t>Torneira de parede com arejador, para Jardim e Tanque, cromado. Ref.: cód. 1154.C37; Linha Izy; Deca</t>
        </is>
      </c>
      <c r="D1003" s="2" t="inlineStr">
        <is>
          <t>20/10/2027</t>
        </is>
      </c>
      <c r="E1003" s="2" t="inlineStr">
        <is>
          <t>09/01/2029</t>
        </is>
      </c>
      <c r="F1003" s="2" t="n">
        <v>2297.74560957169</v>
      </c>
      <c r="G1003" s="2" t="n">
        <v>0</v>
      </c>
      <c r="H1003" s="2" t="n">
        <v>2297.74560957169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0</v>
      </c>
      <c r="CB1003" s="2" t="n">
        <v>0</v>
      </c>
      <c r="CC1003" s="2" t="n">
        <v>0</v>
      </c>
      <c r="CD1003" s="2" t="n">
        <v>0</v>
      </c>
      <c r="CE1003" s="2" t="n">
        <v>0</v>
      </c>
      <c r="CF1003" s="2" t="n">
        <v>0</v>
      </c>
      <c r="CG1003" s="2" t="n">
        <v>0</v>
      </c>
      <c r="CH1003" s="2" t="n">
        <v>0</v>
      </c>
      <c r="CI1003" s="2" t="n">
        <v>0</v>
      </c>
      <c r="CJ1003" s="2" t="n">
        <v>0</v>
      </c>
      <c r="CK1003" s="2" t="n">
        <v>0</v>
      </c>
      <c r="CL1003" s="2" t="n">
        <v>0</v>
      </c>
      <c r="CM1003" s="2" t="n">
        <v>0</v>
      </c>
      <c r="CN1003" s="2" t="n">
        <v>0</v>
      </c>
      <c r="CO1003" s="2" t="n">
        <v>0</v>
      </c>
      <c r="CP1003" s="2" t="n">
        <v>0</v>
      </c>
      <c r="CQ1003" s="2" t="n">
        <v>0</v>
      </c>
      <c r="CR1003" s="2" t="n">
        <v>0</v>
      </c>
      <c r="CS1003" s="2" t="n">
        <v>0</v>
      </c>
      <c r="CT1003" s="2" t="n">
        <v>0</v>
      </c>
      <c r="CU1003" s="2" t="n">
        <v>0</v>
      </c>
      <c r="CV1003" s="2" t="n">
        <v>0</v>
      </c>
      <c r="CW1003" s="2" t="n">
        <v>0</v>
      </c>
      <c r="CX1003" s="2" t="n">
        <v>0</v>
      </c>
      <c r="CY1003" s="2" t="n">
        <v>0</v>
      </c>
      <c r="CZ1003" s="2" t="n">
        <v>0</v>
      </c>
      <c r="DA1003" s="2" t="n">
        <v>0</v>
      </c>
      <c r="DB1003" s="2" t="n">
        <v>0</v>
      </c>
      <c r="DC1003" s="2" t="n">
        <v>0</v>
      </c>
      <c r="DD1003" s="2" t="n">
        <v>0</v>
      </c>
      <c r="DE1003" s="2" t="n">
        <v>0</v>
      </c>
      <c r="DF1003" s="2" t="n">
        <v>0</v>
      </c>
      <c r="DG1003" s="2" t="n">
        <v>0</v>
      </c>
      <c r="DH1003" s="2" t="n">
        <v>0</v>
      </c>
      <c r="DI1003" s="2" t="n">
        <v>0</v>
      </c>
      <c r="DJ1003" s="2" t="n">
        <v>0</v>
      </c>
      <c r="DK1003" s="2" t="n">
        <v>0</v>
      </c>
      <c r="DL1003" s="2" t="n">
        <v>0</v>
      </c>
      <c r="DM1003" s="2" t="n">
        <v>4.94</v>
      </c>
      <c r="DN1003" s="2" t="n">
        <v>0</v>
      </c>
      <c r="DO1003" s="2" t="n">
        <v>0</v>
      </c>
      <c r="DP1003" s="2" t="n">
        <v>8.08</v>
      </c>
      <c r="DQ1003" s="2" t="n">
        <v>0</v>
      </c>
      <c r="DR1003" s="2" t="n">
        <v>0</v>
      </c>
      <c r="DS1003" s="2" t="n">
        <v>14.77</v>
      </c>
      <c r="DT1003" s="2" t="n">
        <v>4.01</v>
      </c>
      <c r="DU1003" s="2" t="n">
        <v>0</v>
      </c>
      <c r="DV1003" s="2" t="n">
        <v>18.76</v>
      </c>
      <c r="DW1003" s="2" t="n">
        <v>10.68</v>
      </c>
      <c r="DX1003" s="2" t="n">
        <v>0</v>
      </c>
      <c r="DY1003" s="2" t="n">
        <v>23.88</v>
      </c>
      <c r="DZ1003" s="2" t="n">
        <v>10.94</v>
      </c>
      <c r="EA1003" s="2" t="n">
        <v>0</v>
      </c>
      <c r="EB1003" s="2" t="n">
        <v>35.64</v>
      </c>
      <c r="EC1003" s="2" t="n">
        <v>14.4</v>
      </c>
      <c r="ED1003" s="2" t="n">
        <v>0</v>
      </c>
      <c r="EE1003" s="2" t="n">
        <v>49.75</v>
      </c>
      <c r="EF1003" s="2" t="n">
        <v>29.58</v>
      </c>
      <c r="EG1003" s="2" t="n">
        <v>0</v>
      </c>
      <c r="EH1003" s="2" t="n">
        <v>64.09</v>
      </c>
      <c r="EI1003" s="2" t="n">
        <v>37.26</v>
      </c>
      <c r="EJ1003" s="2" t="n">
        <v>0</v>
      </c>
      <c r="EK1003" s="2" t="n">
        <v>72.62</v>
      </c>
      <c r="EL1003" s="2" t="n">
        <v>42.51</v>
      </c>
      <c r="EM1003" s="2" t="n">
        <v>0</v>
      </c>
      <c r="EN1003" s="2" t="n">
        <v>86.08</v>
      </c>
      <c r="EO1003" s="2" t="n">
        <v>47.76</v>
      </c>
      <c r="EP1003" s="2" t="n">
        <v>0</v>
      </c>
      <c r="EQ1003" s="2" t="n">
        <v>94.61</v>
      </c>
      <c r="ER1003" s="2" t="n">
        <v>57.86</v>
      </c>
      <c r="ES1003" s="2" t="n">
        <v>0</v>
      </c>
      <c r="ET1003" s="2" t="n">
        <v>100</v>
      </c>
      <c r="EU1003" s="2" t="n">
        <v>69.7</v>
      </c>
      <c r="EV1003" s="2" t="n">
        <v>0</v>
      </c>
      <c r="EW1003" s="2" t="n">
        <v>100</v>
      </c>
      <c r="EX1003" s="2" t="n">
        <v>75.76000000000001</v>
      </c>
      <c r="EY1003" s="2" t="n">
        <v>0</v>
      </c>
      <c r="EZ1003" s="2" t="n">
        <v>100</v>
      </c>
      <c r="FA1003" s="2" t="n">
        <v>81.01000000000001</v>
      </c>
      <c r="FB1003" s="2" t="n">
        <v>0</v>
      </c>
      <c r="FC1003" s="2" t="n">
        <v>100</v>
      </c>
      <c r="FD1003" s="2" t="n">
        <v>87.48</v>
      </c>
      <c r="FE1003" s="2" t="n">
        <v>0</v>
      </c>
      <c r="FF1003" s="2" t="n">
        <v>100</v>
      </c>
      <c r="FG1003" s="2" t="n">
        <v>91.92</v>
      </c>
      <c r="FH1003" s="2" t="n">
        <v>0</v>
      </c>
      <c r="FI1003" s="2" t="n">
        <v>100</v>
      </c>
      <c r="FJ1003" s="2" t="n">
        <v>97.58</v>
      </c>
      <c r="FK1003" s="2" t="n">
        <v>0</v>
      </c>
      <c r="FL1003" s="2" t="n">
        <v>100</v>
      </c>
      <c r="FM1003" s="2" t="n">
        <v>100</v>
      </c>
      <c r="FN1003" s="2" t="n">
        <v>0</v>
      </c>
      <c r="FO1003" s="2" t="n">
        <v>100</v>
      </c>
      <c r="FP1003" s="2" t="n">
        <v>100</v>
      </c>
      <c r="FQ1003" s="2" t="n">
        <v>0</v>
      </c>
    </row>
    <row r="1004">
      <c r="A1004" s="2" t="n">
        <v>3</v>
      </c>
      <c r="B1004" s="2" t="inlineStr">
        <is>
          <t>34.07.02</t>
        </is>
      </c>
      <c r="C1004" s="2" t="inlineStr">
        <is>
          <t>INT - Papeleira/ toalheiro dispensador com papel interfolhado</t>
        </is>
      </c>
      <c r="D1004" s="2" t="inlineStr">
        <is>
          <t>20/10/2027</t>
        </is>
      </c>
      <c r="E1004" s="2" t="inlineStr">
        <is>
          <t>09/01/2029</t>
        </is>
      </c>
      <c r="F1004" s="2" t="n">
        <v>1350</v>
      </c>
      <c r="G1004" s="2" t="n">
        <v>0</v>
      </c>
      <c r="H1004" s="2" t="n">
        <v>1350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0</v>
      </c>
      <c r="CB1004" s="2" t="n">
        <v>0</v>
      </c>
      <c r="CC1004" s="2" t="n">
        <v>0</v>
      </c>
      <c r="CD1004" s="2" t="n">
        <v>0</v>
      </c>
      <c r="CE1004" s="2" t="n">
        <v>0</v>
      </c>
      <c r="CF1004" s="2" t="n">
        <v>0</v>
      </c>
      <c r="CG1004" s="2" t="n">
        <v>0</v>
      </c>
      <c r="CH1004" s="2" t="n">
        <v>0</v>
      </c>
      <c r="CI1004" s="2" t="n">
        <v>0</v>
      </c>
      <c r="CJ1004" s="2" t="n">
        <v>0</v>
      </c>
      <c r="CK1004" s="2" t="n">
        <v>0</v>
      </c>
      <c r="CL1004" s="2" t="n">
        <v>0</v>
      </c>
      <c r="CM1004" s="2" t="n">
        <v>0</v>
      </c>
      <c r="CN1004" s="2" t="n">
        <v>0</v>
      </c>
      <c r="CO1004" s="2" t="n">
        <v>0</v>
      </c>
      <c r="CP1004" s="2" t="n">
        <v>0</v>
      </c>
      <c r="CQ1004" s="2" t="n">
        <v>0</v>
      </c>
      <c r="CR1004" s="2" t="n">
        <v>0</v>
      </c>
      <c r="CS1004" s="2" t="n">
        <v>0</v>
      </c>
      <c r="CT1004" s="2" t="n">
        <v>0</v>
      </c>
      <c r="CU1004" s="2" t="n">
        <v>0</v>
      </c>
      <c r="CV1004" s="2" t="n">
        <v>0</v>
      </c>
      <c r="CW1004" s="2" t="n">
        <v>0</v>
      </c>
      <c r="CX1004" s="2" t="n">
        <v>0</v>
      </c>
      <c r="CY1004" s="2" t="n">
        <v>0</v>
      </c>
      <c r="CZ1004" s="2" t="n">
        <v>0</v>
      </c>
      <c r="DA1004" s="2" t="n">
        <v>0</v>
      </c>
      <c r="DB1004" s="2" t="n">
        <v>0</v>
      </c>
      <c r="DC1004" s="2" t="n">
        <v>0</v>
      </c>
      <c r="DD1004" s="2" t="n">
        <v>0</v>
      </c>
      <c r="DE1004" s="2" t="n">
        <v>0</v>
      </c>
      <c r="DF1004" s="2" t="n">
        <v>0</v>
      </c>
      <c r="DG1004" s="2" t="n">
        <v>0</v>
      </c>
      <c r="DH1004" s="2" t="n">
        <v>0</v>
      </c>
      <c r="DI1004" s="2" t="n">
        <v>0</v>
      </c>
      <c r="DJ1004" s="2" t="n">
        <v>0</v>
      </c>
      <c r="DK1004" s="2" t="n">
        <v>0</v>
      </c>
      <c r="DL1004" s="2" t="n">
        <v>0</v>
      </c>
      <c r="DM1004" s="2" t="n">
        <v>4.94</v>
      </c>
      <c r="DN1004" s="2" t="n">
        <v>0</v>
      </c>
      <c r="DO1004" s="2" t="n">
        <v>0</v>
      </c>
      <c r="DP1004" s="2" t="n">
        <v>8.08</v>
      </c>
      <c r="DQ1004" s="2" t="n">
        <v>0</v>
      </c>
      <c r="DR1004" s="2" t="n">
        <v>0</v>
      </c>
      <c r="DS1004" s="2" t="n">
        <v>14.77</v>
      </c>
      <c r="DT1004" s="2" t="n">
        <v>4.01</v>
      </c>
      <c r="DU1004" s="2" t="n">
        <v>0</v>
      </c>
      <c r="DV1004" s="2" t="n">
        <v>18.76</v>
      </c>
      <c r="DW1004" s="2" t="n">
        <v>10.68</v>
      </c>
      <c r="DX1004" s="2" t="n">
        <v>0</v>
      </c>
      <c r="DY1004" s="2" t="n">
        <v>23.88</v>
      </c>
      <c r="DZ1004" s="2" t="n">
        <v>10.94</v>
      </c>
      <c r="EA1004" s="2" t="n">
        <v>0</v>
      </c>
      <c r="EB1004" s="2" t="n">
        <v>35.64</v>
      </c>
      <c r="EC1004" s="2" t="n">
        <v>14.4</v>
      </c>
      <c r="ED1004" s="2" t="n">
        <v>0</v>
      </c>
      <c r="EE1004" s="2" t="n">
        <v>49.75</v>
      </c>
      <c r="EF1004" s="2" t="n">
        <v>29.58</v>
      </c>
      <c r="EG1004" s="2" t="n">
        <v>0</v>
      </c>
      <c r="EH1004" s="2" t="n">
        <v>64.09</v>
      </c>
      <c r="EI1004" s="2" t="n">
        <v>37.26</v>
      </c>
      <c r="EJ1004" s="2" t="n">
        <v>0</v>
      </c>
      <c r="EK1004" s="2" t="n">
        <v>72.62</v>
      </c>
      <c r="EL1004" s="2" t="n">
        <v>42.51</v>
      </c>
      <c r="EM1004" s="2" t="n">
        <v>0</v>
      </c>
      <c r="EN1004" s="2" t="n">
        <v>86.08</v>
      </c>
      <c r="EO1004" s="2" t="n">
        <v>47.76</v>
      </c>
      <c r="EP1004" s="2" t="n">
        <v>0</v>
      </c>
      <c r="EQ1004" s="2" t="n">
        <v>94.61</v>
      </c>
      <c r="ER1004" s="2" t="n">
        <v>57.86</v>
      </c>
      <c r="ES1004" s="2" t="n">
        <v>0</v>
      </c>
      <c r="ET1004" s="2" t="n">
        <v>100</v>
      </c>
      <c r="EU1004" s="2" t="n">
        <v>69.7</v>
      </c>
      <c r="EV1004" s="2" t="n">
        <v>0</v>
      </c>
      <c r="EW1004" s="2" t="n">
        <v>100</v>
      </c>
      <c r="EX1004" s="2" t="n">
        <v>75.76000000000001</v>
      </c>
      <c r="EY1004" s="2" t="n">
        <v>0</v>
      </c>
      <c r="EZ1004" s="2" t="n">
        <v>100</v>
      </c>
      <c r="FA1004" s="2" t="n">
        <v>81.01000000000001</v>
      </c>
      <c r="FB1004" s="2" t="n">
        <v>0</v>
      </c>
      <c r="FC1004" s="2" t="n">
        <v>100</v>
      </c>
      <c r="FD1004" s="2" t="n">
        <v>87.48</v>
      </c>
      <c r="FE1004" s="2" t="n">
        <v>0</v>
      </c>
      <c r="FF1004" s="2" t="n">
        <v>100</v>
      </c>
      <c r="FG1004" s="2" t="n">
        <v>91.92</v>
      </c>
      <c r="FH1004" s="2" t="n">
        <v>0</v>
      </c>
      <c r="FI1004" s="2" t="n">
        <v>100</v>
      </c>
      <c r="FJ1004" s="2" t="n">
        <v>97.58</v>
      </c>
      <c r="FK1004" s="2" t="n">
        <v>0</v>
      </c>
      <c r="FL1004" s="2" t="n">
        <v>100</v>
      </c>
      <c r="FM1004" s="2" t="n">
        <v>100</v>
      </c>
      <c r="FN1004" s="2" t="n">
        <v>0</v>
      </c>
      <c r="FO1004" s="2" t="n">
        <v>100</v>
      </c>
      <c r="FP1004" s="2" t="n">
        <v>100</v>
      </c>
      <c r="FQ1004" s="2" t="n">
        <v>0</v>
      </c>
    </row>
    <row r="1005">
      <c r="A1005" s="2" t="n">
        <v>3</v>
      </c>
      <c r="B1005" s="2" t="inlineStr">
        <is>
          <t>34.07.03</t>
        </is>
      </c>
      <c r="C1005" s="2" t="inlineStr">
        <is>
          <t>INT - Toalheiro de embutir na alvenaria</t>
        </is>
      </c>
      <c r="D1005" s="2" t="inlineStr">
        <is>
          <t>20/10/2027</t>
        </is>
      </c>
      <c r="E1005" s="2" t="inlineStr">
        <is>
          <t>09/01/2029</t>
        </is>
      </c>
      <c r="F1005" s="2" t="n">
        <v>1750</v>
      </c>
      <c r="G1005" s="2" t="n">
        <v>0</v>
      </c>
      <c r="H1005" s="2" t="n">
        <v>1750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0</v>
      </c>
      <c r="CB1005" s="2" t="n">
        <v>0</v>
      </c>
      <c r="CC1005" s="2" t="n">
        <v>0</v>
      </c>
      <c r="CD1005" s="2" t="n">
        <v>0</v>
      </c>
      <c r="CE1005" s="2" t="n">
        <v>0</v>
      </c>
      <c r="CF1005" s="2" t="n">
        <v>0</v>
      </c>
      <c r="CG1005" s="2" t="n">
        <v>0</v>
      </c>
      <c r="CH1005" s="2" t="n">
        <v>0</v>
      </c>
      <c r="CI1005" s="2" t="n">
        <v>0</v>
      </c>
      <c r="CJ1005" s="2" t="n">
        <v>0</v>
      </c>
      <c r="CK1005" s="2" t="n">
        <v>0</v>
      </c>
      <c r="CL1005" s="2" t="n">
        <v>0</v>
      </c>
      <c r="CM1005" s="2" t="n">
        <v>0</v>
      </c>
      <c r="CN1005" s="2" t="n">
        <v>0</v>
      </c>
      <c r="CO1005" s="2" t="n">
        <v>0</v>
      </c>
      <c r="CP1005" s="2" t="n">
        <v>0</v>
      </c>
      <c r="CQ1005" s="2" t="n">
        <v>0</v>
      </c>
      <c r="CR1005" s="2" t="n">
        <v>0</v>
      </c>
      <c r="CS1005" s="2" t="n">
        <v>0</v>
      </c>
      <c r="CT1005" s="2" t="n">
        <v>0</v>
      </c>
      <c r="CU1005" s="2" t="n">
        <v>0</v>
      </c>
      <c r="CV1005" s="2" t="n">
        <v>0</v>
      </c>
      <c r="CW1005" s="2" t="n">
        <v>0</v>
      </c>
      <c r="CX1005" s="2" t="n">
        <v>0</v>
      </c>
      <c r="CY1005" s="2" t="n">
        <v>0</v>
      </c>
      <c r="CZ1005" s="2" t="n">
        <v>0</v>
      </c>
      <c r="DA1005" s="2" t="n">
        <v>0</v>
      </c>
      <c r="DB1005" s="2" t="n">
        <v>0</v>
      </c>
      <c r="DC1005" s="2" t="n">
        <v>0</v>
      </c>
      <c r="DD1005" s="2" t="n">
        <v>0</v>
      </c>
      <c r="DE1005" s="2" t="n">
        <v>0</v>
      </c>
      <c r="DF1005" s="2" t="n">
        <v>0</v>
      </c>
      <c r="DG1005" s="2" t="n">
        <v>0</v>
      </c>
      <c r="DH1005" s="2" t="n">
        <v>0</v>
      </c>
      <c r="DI1005" s="2" t="n">
        <v>0</v>
      </c>
      <c r="DJ1005" s="2" t="n">
        <v>0</v>
      </c>
      <c r="DK1005" s="2" t="n">
        <v>0</v>
      </c>
      <c r="DL1005" s="2" t="n">
        <v>0</v>
      </c>
      <c r="DM1005" s="2" t="n">
        <v>4.94</v>
      </c>
      <c r="DN1005" s="2" t="n">
        <v>0</v>
      </c>
      <c r="DO1005" s="2" t="n">
        <v>0</v>
      </c>
      <c r="DP1005" s="2" t="n">
        <v>8.08</v>
      </c>
      <c r="DQ1005" s="2" t="n">
        <v>0</v>
      </c>
      <c r="DR1005" s="2" t="n">
        <v>0</v>
      </c>
      <c r="DS1005" s="2" t="n">
        <v>14.77</v>
      </c>
      <c r="DT1005" s="2" t="n">
        <v>4.01</v>
      </c>
      <c r="DU1005" s="2" t="n">
        <v>0</v>
      </c>
      <c r="DV1005" s="2" t="n">
        <v>18.76</v>
      </c>
      <c r="DW1005" s="2" t="n">
        <v>10.68</v>
      </c>
      <c r="DX1005" s="2" t="n">
        <v>0</v>
      </c>
      <c r="DY1005" s="2" t="n">
        <v>23.88</v>
      </c>
      <c r="DZ1005" s="2" t="n">
        <v>10.94</v>
      </c>
      <c r="EA1005" s="2" t="n">
        <v>0</v>
      </c>
      <c r="EB1005" s="2" t="n">
        <v>35.64</v>
      </c>
      <c r="EC1005" s="2" t="n">
        <v>14.4</v>
      </c>
      <c r="ED1005" s="2" t="n">
        <v>0</v>
      </c>
      <c r="EE1005" s="2" t="n">
        <v>49.75</v>
      </c>
      <c r="EF1005" s="2" t="n">
        <v>29.58</v>
      </c>
      <c r="EG1005" s="2" t="n">
        <v>0</v>
      </c>
      <c r="EH1005" s="2" t="n">
        <v>64.09</v>
      </c>
      <c r="EI1005" s="2" t="n">
        <v>37.26</v>
      </c>
      <c r="EJ1005" s="2" t="n">
        <v>0</v>
      </c>
      <c r="EK1005" s="2" t="n">
        <v>72.62</v>
      </c>
      <c r="EL1005" s="2" t="n">
        <v>42.51</v>
      </c>
      <c r="EM1005" s="2" t="n">
        <v>0</v>
      </c>
      <c r="EN1005" s="2" t="n">
        <v>86.08</v>
      </c>
      <c r="EO1005" s="2" t="n">
        <v>47.76</v>
      </c>
      <c r="EP1005" s="2" t="n">
        <v>0</v>
      </c>
      <c r="EQ1005" s="2" t="n">
        <v>94.61</v>
      </c>
      <c r="ER1005" s="2" t="n">
        <v>57.86</v>
      </c>
      <c r="ES1005" s="2" t="n">
        <v>0</v>
      </c>
      <c r="ET1005" s="2" t="n">
        <v>100</v>
      </c>
      <c r="EU1005" s="2" t="n">
        <v>69.7</v>
      </c>
      <c r="EV1005" s="2" t="n">
        <v>0</v>
      </c>
      <c r="EW1005" s="2" t="n">
        <v>100</v>
      </c>
      <c r="EX1005" s="2" t="n">
        <v>75.76000000000001</v>
      </c>
      <c r="EY1005" s="2" t="n">
        <v>0</v>
      </c>
      <c r="EZ1005" s="2" t="n">
        <v>100</v>
      </c>
      <c r="FA1005" s="2" t="n">
        <v>81.01000000000001</v>
      </c>
      <c r="FB1005" s="2" t="n">
        <v>0</v>
      </c>
      <c r="FC1005" s="2" t="n">
        <v>100</v>
      </c>
      <c r="FD1005" s="2" t="n">
        <v>87.48</v>
      </c>
      <c r="FE1005" s="2" t="n">
        <v>0</v>
      </c>
      <c r="FF1005" s="2" t="n">
        <v>100</v>
      </c>
      <c r="FG1005" s="2" t="n">
        <v>91.92</v>
      </c>
      <c r="FH1005" s="2" t="n">
        <v>0</v>
      </c>
      <c r="FI1005" s="2" t="n">
        <v>100</v>
      </c>
      <c r="FJ1005" s="2" t="n">
        <v>97.58</v>
      </c>
      <c r="FK1005" s="2" t="n">
        <v>0</v>
      </c>
      <c r="FL1005" s="2" t="n">
        <v>100</v>
      </c>
      <c r="FM1005" s="2" t="n">
        <v>100</v>
      </c>
      <c r="FN1005" s="2" t="n">
        <v>0</v>
      </c>
      <c r="FO1005" s="2" t="n">
        <v>100</v>
      </c>
      <c r="FP1005" s="2" t="n">
        <v>100</v>
      </c>
      <c r="FQ1005" s="2" t="n">
        <v>0</v>
      </c>
    </row>
    <row r="1006">
      <c r="A1006" s="2" t="n">
        <v>3</v>
      </c>
      <c r="B1006" s="2" t="inlineStr">
        <is>
          <t>34.07.04</t>
        </is>
      </c>
      <c r="C1006" s="2" t="inlineStr">
        <is>
          <t>INT - Protetor sanitário</t>
        </is>
      </c>
      <c r="D1006" s="2" t="inlineStr">
        <is>
          <t>20/10/2027</t>
        </is>
      </c>
      <c r="E1006" s="2" t="inlineStr">
        <is>
          <t>09/01/2029</t>
        </is>
      </c>
      <c r="F1006" s="2" t="n">
        <v>1350</v>
      </c>
      <c r="G1006" s="2" t="n">
        <v>0</v>
      </c>
      <c r="H1006" s="2" t="n">
        <v>1350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0</v>
      </c>
      <c r="CB1006" s="2" t="n">
        <v>0</v>
      </c>
      <c r="CC1006" s="2" t="n">
        <v>0</v>
      </c>
      <c r="CD1006" s="2" t="n">
        <v>0</v>
      </c>
      <c r="CE1006" s="2" t="n">
        <v>0</v>
      </c>
      <c r="CF1006" s="2" t="n">
        <v>0</v>
      </c>
      <c r="CG1006" s="2" t="n">
        <v>0</v>
      </c>
      <c r="CH1006" s="2" t="n">
        <v>0</v>
      </c>
      <c r="CI1006" s="2" t="n">
        <v>0</v>
      </c>
      <c r="CJ1006" s="2" t="n">
        <v>0</v>
      </c>
      <c r="CK1006" s="2" t="n">
        <v>0</v>
      </c>
      <c r="CL1006" s="2" t="n">
        <v>0</v>
      </c>
      <c r="CM1006" s="2" t="n">
        <v>0</v>
      </c>
      <c r="CN1006" s="2" t="n">
        <v>0</v>
      </c>
      <c r="CO1006" s="2" t="n">
        <v>0</v>
      </c>
      <c r="CP1006" s="2" t="n">
        <v>0</v>
      </c>
      <c r="CQ1006" s="2" t="n">
        <v>0</v>
      </c>
      <c r="CR1006" s="2" t="n">
        <v>0</v>
      </c>
      <c r="CS1006" s="2" t="n">
        <v>0</v>
      </c>
      <c r="CT1006" s="2" t="n">
        <v>0</v>
      </c>
      <c r="CU1006" s="2" t="n">
        <v>0</v>
      </c>
      <c r="CV1006" s="2" t="n">
        <v>0</v>
      </c>
      <c r="CW1006" s="2" t="n">
        <v>0</v>
      </c>
      <c r="CX1006" s="2" t="n">
        <v>0</v>
      </c>
      <c r="CY1006" s="2" t="n">
        <v>0</v>
      </c>
      <c r="CZ1006" s="2" t="n">
        <v>0</v>
      </c>
      <c r="DA1006" s="2" t="n">
        <v>0</v>
      </c>
      <c r="DB1006" s="2" t="n">
        <v>0</v>
      </c>
      <c r="DC1006" s="2" t="n">
        <v>0</v>
      </c>
      <c r="DD1006" s="2" t="n">
        <v>0</v>
      </c>
      <c r="DE1006" s="2" t="n">
        <v>0</v>
      </c>
      <c r="DF1006" s="2" t="n">
        <v>0</v>
      </c>
      <c r="DG1006" s="2" t="n">
        <v>0</v>
      </c>
      <c r="DH1006" s="2" t="n">
        <v>0</v>
      </c>
      <c r="DI1006" s="2" t="n">
        <v>0</v>
      </c>
      <c r="DJ1006" s="2" t="n">
        <v>0</v>
      </c>
      <c r="DK1006" s="2" t="n">
        <v>0</v>
      </c>
      <c r="DL1006" s="2" t="n">
        <v>0</v>
      </c>
      <c r="DM1006" s="2" t="n">
        <v>4.94</v>
      </c>
      <c r="DN1006" s="2" t="n">
        <v>0</v>
      </c>
      <c r="DO1006" s="2" t="n">
        <v>0</v>
      </c>
      <c r="DP1006" s="2" t="n">
        <v>8.08</v>
      </c>
      <c r="DQ1006" s="2" t="n">
        <v>0</v>
      </c>
      <c r="DR1006" s="2" t="n">
        <v>0</v>
      </c>
      <c r="DS1006" s="2" t="n">
        <v>14.77</v>
      </c>
      <c r="DT1006" s="2" t="n">
        <v>4.01</v>
      </c>
      <c r="DU1006" s="2" t="n">
        <v>0</v>
      </c>
      <c r="DV1006" s="2" t="n">
        <v>18.76</v>
      </c>
      <c r="DW1006" s="2" t="n">
        <v>10.68</v>
      </c>
      <c r="DX1006" s="2" t="n">
        <v>0</v>
      </c>
      <c r="DY1006" s="2" t="n">
        <v>23.88</v>
      </c>
      <c r="DZ1006" s="2" t="n">
        <v>10.94</v>
      </c>
      <c r="EA1006" s="2" t="n">
        <v>0</v>
      </c>
      <c r="EB1006" s="2" t="n">
        <v>35.64</v>
      </c>
      <c r="EC1006" s="2" t="n">
        <v>14.4</v>
      </c>
      <c r="ED1006" s="2" t="n">
        <v>0</v>
      </c>
      <c r="EE1006" s="2" t="n">
        <v>49.75</v>
      </c>
      <c r="EF1006" s="2" t="n">
        <v>29.58</v>
      </c>
      <c r="EG1006" s="2" t="n">
        <v>0</v>
      </c>
      <c r="EH1006" s="2" t="n">
        <v>64.09</v>
      </c>
      <c r="EI1006" s="2" t="n">
        <v>37.26</v>
      </c>
      <c r="EJ1006" s="2" t="n">
        <v>0</v>
      </c>
      <c r="EK1006" s="2" t="n">
        <v>72.62</v>
      </c>
      <c r="EL1006" s="2" t="n">
        <v>42.51</v>
      </c>
      <c r="EM1006" s="2" t="n">
        <v>0</v>
      </c>
      <c r="EN1006" s="2" t="n">
        <v>86.08</v>
      </c>
      <c r="EO1006" s="2" t="n">
        <v>47.76</v>
      </c>
      <c r="EP1006" s="2" t="n">
        <v>0</v>
      </c>
      <c r="EQ1006" s="2" t="n">
        <v>94.61</v>
      </c>
      <c r="ER1006" s="2" t="n">
        <v>57.86</v>
      </c>
      <c r="ES1006" s="2" t="n">
        <v>0</v>
      </c>
      <c r="ET1006" s="2" t="n">
        <v>100</v>
      </c>
      <c r="EU1006" s="2" t="n">
        <v>69.7</v>
      </c>
      <c r="EV1006" s="2" t="n">
        <v>0</v>
      </c>
      <c r="EW1006" s="2" t="n">
        <v>100</v>
      </c>
      <c r="EX1006" s="2" t="n">
        <v>75.76000000000001</v>
      </c>
      <c r="EY1006" s="2" t="n">
        <v>0</v>
      </c>
      <c r="EZ1006" s="2" t="n">
        <v>100</v>
      </c>
      <c r="FA1006" s="2" t="n">
        <v>81.01000000000001</v>
      </c>
      <c r="FB1006" s="2" t="n">
        <v>0</v>
      </c>
      <c r="FC1006" s="2" t="n">
        <v>100</v>
      </c>
      <c r="FD1006" s="2" t="n">
        <v>87.48</v>
      </c>
      <c r="FE1006" s="2" t="n">
        <v>0</v>
      </c>
      <c r="FF1006" s="2" t="n">
        <v>100</v>
      </c>
      <c r="FG1006" s="2" t="n">
        <v>91.92</v>
      </c>
      <c r="FH1006" s="2" t="n">
        <v>0</v>
      </c>
      <c r="FI1006" s="2" t="n">
        <v>100</v>
      </c>
      <c r="FJ1006" s="2" t="n">
        <v>97.58</v>
      </c>
      <c r="FK1006" s="2" t="n">
        <v>0</v>
      </c>
      <c r="FL1006" s="2" t="n">
        <v>100</v>
      </c>
      <c r="FM1006" s="2" t="n">
        <v>100</v>
      </c>
      <c r="FN1006" s="2" t="n">
        <v>0</v>
      </c>
      <c r="FO1006" s="2" t="n">
        <v>100</v>
      </c>
      <c r="FP1006" s="2" t="n">
        <v>100</v>
      </c>
      <c r="FQ1006" s="2" t="n">
        <v>0</v>
      </c>
    </row>
    <row r="1007">
      <c r="A1007" s="2" t="n">
        <v>3</v>
      </c>
      <c r="B1007" s="2" t="inlineStr">
        <is>
          <t>34.07.05</t>
        </is>
      </c>
      <c r="C1007" s="2" t="inlineStr">
        <is>
          <t>INT - Dispenser de sabão de mesa com sensor - Prever recurso elétrico</t>
        </is>
      </c>
      <c r="D1007" s="2" t="inlineStr">
        <is>
          <t>20/10/2027</t>
        </is>
      </c>
      <c r="E1007" s="2" t="inlineStr">
        <is>
          <t>09/01/2029</t>
        </is>
      </c>
      <c r="F1007" s="2" t="n">
        <v>1000</v>
      </c>
      <c r="G1007" s="2" t="n">
        <v>0</v>
      </c>
      <c r="H1007" s="2" t="n">
        <v>1000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0</v>
      </c>
      <c r="CB1007" s="2" t="n">
        <v>0</v>
      </c>
      <c r="CC1007" s="2" t="n">
        <v>0</v>
      </c>
      <c r="CD1007" s="2" t="n">
        <v>0</v>
      </c>
      <c r="CE1007" s="2" t="n">
        <v>0</v>
      </c>
      <c r="CF1007" s="2" t="n">
        <v>0</v>
      </c>
      <c r="CG1007" s="2" t="n">
        <v>0</v>
      </c>
      <c r="CH1007" s="2" t="n">
        <v>0</v>
      </c>
      <c r="CI1007" s="2" t="n">
        <v>0</v>
      </c>
      <c r="CJ1007" s="2" t="n">
        <v>0</v>
      </c>
      <c r="CK1007" s="2" t="n">
        <v>0</v>
      </c>
      <c r="CL1007" s="2" t="n">
        <v>0</v>
      </c>
      <c r="CM1007" s="2" t="n">
        <v>0</v>
      </c>
      <c r="CN1007" s="2" t="n">
        <v>0</v>
      </c>
      <c r="CO1007" s="2" t="n">
        <v>0</v>
      </c>
      <c r="CP1007" s="2" t="n">
        <v>0</v>
      </c>
      <c r="CQ1007" s="2" t="n">
        <v>0</v>
      </c>
      <c r="CR1007" s="2" t="n">
        <v>0</v>
      </c>
      <c r="CS1007" s="2" t="n">
        <v>0</v>
      </c>
      <c r="CT1007" s="2" t="n">
        <v>0</v>
      </c>
      <c r="CU1007" s="2" t="n">
        <v>0</v>
      </c>
      <c r="CV1007" s="2" t="n">
        <v>0</v>
      </c>
      <c r="CW1007" s="2" t="n">
        <v>0</v>
      </c>
      <c r="CX1007" s="2" t="n">
        <v>0</v>
      </c>
      <c r="CY1007" s="2" t="n">
        <v>0</v>
      </c>
      <c r="CZ1007" s="2" t="n">
        <v>0</v>
      </c>
      <c r="DA1007" s="2" t="n">
        <v>0</v>
      </c>
      <c r="DB1007" s="2" t="n">
        <v>0</v>
      </c>
      <c r="DC1007" s="2" t="n">
        <v>0</v>
      </c>
      <c r="DD1007" s="2" t="n">
        <v>0</v>
      </c>
      <c r="DE1007" s="2" t="n">
        <v>0</v>
      </c>
      <c r="DF1007" s="2" t="n">
        <v>0</v>
      </c>
      <c r="DG1007" s="2" t="n">
        <v>0</v>
      </c>
      <c r="DH1007" s="2" t="n">
        <v>0</v>
      </c>
      <c r="DI1007" s="2" t="n">
        <v>0</v>
      </c>
      <c r="DJ1007" s="2" t="n">
        <v>0</v>
      </c>
      <c r="DK1007" s="2" t="n">
        <v>0</v>
      </c>
      <c r="DL1007" s="2" t="n">
        <v>0</v>
      </c>
      <c r="DM1007" s="2" t="n">
        <v>4.7</v>
      </c>
      <c r="DN1007" s="2" t="n">
        <v>0</v>
      </c>
      <c r="DO1007" s="2" t="n">
        <v>0</v>
      </c>
      <c r="DP1007" s="2" t="n">
        <v>7.69</v>
      </c>
      <c r="DQ1007" s="2" t="n">
        <v>0</v>
      </c>
      <c r="DR1007" s="2" t="n">
        <v>0</v>
      </c>
      <c r="DS1007" s="2" t="n">
        <v>14.74</v>
      </c>
      <c r="DT1007" s="2" t="n">
        <v>4.23</v>
      </c>
      <c r="DU1007" s="2" t="n">
        <v>0</v>
      </c>
      <c r="DV1007" s="2" t="n">
        <v>19.23</v>
      </c>
      <c r="DW1007" s="2" t="n">
        <v>11.54</v>
      </c>
      <c r="DX1007" s="2" t="n">
        <v>0</v>
      </c>
      <c r="DY1007" s="2" t="n">
        <v>23.85</v>
      </c>
      <c r="DZ1007" s="2" t="n">
        <v>12.31</v>
      </c>
      <c r="EA1007" s="2" t="n">
        <v>0</v>
      </c>
      <c r="EB1007" s="2" t="n">
        <v>38.46</v>
      </c>
      <c r="EC1007" s="2" t="n">
        <v>19.23</v>
      </c>
      <c r="ED1007" s="2" t="n">
        <v>0</v>
      </c>
      <c r="EE1007" s="2" t="n">
        <v>52.14</v>
      </c>
      <c r="EF1007" s="2" t="n">
        <v>32.69</v>
      </c>
      <c r="EG1007" s="2" t="n">
        <v>0</v>
      </c>
      <c r="EH1007" s="2" t="n">
        <v>65.81</v>
      </c>
      <c r="EI1007" s="2" t="n">
        <v>40</v>
      </c>
      <c r="EJ1007" s="2" t="n">
        <v>0</v>
      </c>
      <c r="EK1007" s="2" t="n">
        <v>73.93000000000001</v>
      </c>
      <c r="EL1007" s="2" t="n">
        <v>45</v>
      </c>
      <c r="EM1007" s="2" t="n">
        <v>0</v>
      </c>
      <c r="EN1007" s="2" t="n">
        <v>86.75</v>
      </c>
      <c r="EO1007" s="2" t="n">
        <v>50</v>
      </c>
      <c r="EP1007" s="2" t="n">
        <v>0</v>
      </c>
      <c r="EQ1007" s="2" t="n">
        <v>94.87</v>
      </c>
      <c r="ER1007" s="2" t="n">
        <v>59.62</v>
      </c>
      <c r="ES1007" s="2" t="n">
        <v>0</v>
      </c>
      <c r="ET1007" s="2" t="n">
        <v>100</v>
      </c>
      <c r="EU1007" s="2" t="n">
        <v>71.15000000000001</v>
      </c>
      <c r="EV1007" s="2" t="n">
        <v>0</v>
      </c>
      <c r="EW1007" s="2" t="n">
        <v>100</v>
      </c>
      <c r="EX1007" s="2" t="n">
        <v>76.92</v>
      </c>
      <c r="EY1007" s="2" t="n">
        <v>0</v>
      </c>
      <c r="EZ1007" s="2" t="n">
        <v>100</v>
      </c>
      <c r="FA1007" s="2" t="n">
        <v>81.92</v>
      </c>
      <c r="FB1007" s="2" t="n">
        <v>0</v>
      </c>
      <c r="FC1007" s="2" t="n">
        <v>100</v>
      </c>
      <c r="FD1007" s="2" t="n">
        <v>88.08</v>
      </c>
      <c r="FE1007" s="2" t="n">
        <v>0</v>
      </c>
      <c r="FF1007" s="2" t="n">
        <v>100</v>
      </c>
      <c r="FG1007" s="2" t="n">
        <v>92.31</v>
      </c>
      <c r="FH1007" s="2" t="n">
        <v>0</v>
      </c>
      <c r="FI1007" s="2" t="n">
        <v>100</v>
      </c>
      <c r="FJ1007" s="2" t="n">
        <v>97.69</v>
      </c>
      <c r="FK1007" s="2" t="n">
        <v>0</v>
      </c>
      <c r="FL1007" s="2" t="n">
        <v>100</v>
      </c>
      <c r="FM1007" s="2" t="n">
        <v>100</v>
      </c>
      <c r="FN1007" s="2" t="n">
        <v>0</v>
      </c>
      <c r="FO1007" s="2" t="n">
        <v>100</v>
      </c>
      <c r="FP1007" s="2" t="n">
        <v>100</v>
      </c>
      <c r="FQ1007" s="2" t="n">
        <v>0</v>
      </c>
    </row>
    <row r="1008">
      <c r="A1008" s="2" t="n">
        <v>3</v>
      </c>
      <c r="B1008" s="2" t="inlineStr">
        <is>
          <t>34.07.06</t>
        </is>
      </c>
      <c r="C1008" s="2" t="inlineStr">
        <is>
          <t>INT - Lixeira a ser definida</t>
        </is>
      </c>
      <c r="D1008" s="2" t="inlineStr">
        <is>
          <t>20/10/2027</t>
        </is>
      </c>
      <c r="E1008" s="2" t="inlineStr">
        <is>
          <t>09/01/2029</t>
        </is>
      </c>
      <c r="F1008" s="2" t="n">
        <v>950</v>
      </c>
      <c r="G1008" s="2" t="n">
        <v>0</v>
      </c>
      <c r="H1008" s="2" t="n">
        <v>950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0</v>
      </c>
      <c r="CE1008" s="2" t="n">
        <v>0</v>
      </c>
      <c r="CF1008" s="2" t="n">
        <v>0</v>
      </c>
      <c r="CG1008" s="2" t="n">
        <v>0</v>
      </c>
      <c r="CH1008" s="2" t="n">
        <v>0</v>
      </c>
      <c r="CI1008" s="2" t="n">
        <v>0</v>
      </c>
      <c r="CJ1008" s="2" t="n">
        <v>0</v>
      </c>
      <c r="CK1008" s="2" t="n">
        <v>0</v>
      </c>
      <c r="CL1008" s="2" t="n">
        <v>0</v>
      </c>
      <c r="CM1008" s="2" t="n">
        <v>0</v>
      </c>
      <c r="CN1008" s="2" t="n">
        <v>0</v>
      </c>
      <c r="CO1008" s="2" t="n">
        <v>0</v>
      </c>
      <c r="CP1008" s="2" t="n">
        <v>0</v>
      </c>
      <c r="CQ1008" s="2" t="n">
        <v>0</v>
      </c>
      <c r="CR1008" s="2" t="n">
        <v>0</v>
      </c>
      <c r="CS1008" s="2" t="n">
        <v>0</v>
      </c>
      <c r="CT1008" s="2" t="n">
        <v>0</v>
      </c>
      <c r="CU1008" s="2" t="n">
        <v>0</v>
      </c>
      <c r="CV1008" s="2" t="n">
        <v>0</v>
      </c>
      <c r="CW1008" s="2" t="n">
        <v>0</v>
      </c>
      <c r="CX1008" s="2" t="n">
        <v>0</v>
      </c>
      <c r="CY1008" s="2" t="n">
        <v>0</v>
      </c>
      <c r="CZ1008" s="2" t="n">
        <v>0</v>
      </c>
      <c r="DA1008" s="2" t="n">
        <v>0</v>
      </c>
      <c r="DB1008" s="2" t="n">
        <v>0</v>
      </c>
      <c r="DC1008" s="2" t="n">
        <v>0</v>
      </c>
      <c r="DD1008" s="2" t="n">
        <v>0</v>
      </c>
      <c r="DE1008" s="2" t="n">
        <v>0</v>
      </c>
      <c r="DF1008" s="2" t="n">
        <v>0</v>
      </c>
      <c r="DG1008" s="2" t="n">
        <v>0</v>
      </c>
      <c r="DH1008" s="2" t="n">
        <v>0</v>
      </c>
      <c r="DI1008" s="2" t="n">
        <v>0</v>
      </c>
      <c r="DJ1008" s="2" t="n">
        <v>0</v>
      </c>
      <c r="DK1008" s="2" t="n">
        <v>0</v>
      </c>
      <c r="DL1008" s="2" t="n">
        <v>0</v>
      </c>
      <c r="DM1008" s="2" t="n">
        <v>4.7</v>
      </c>
      <c r="DN1008" s="2" t="n">
        <v>0</v>
      </c>
      <c r="DO1008" s="2" t="n">
        <v>0</v>
      </c>
      <c r="DP1008" s="2" t="n">
        <v>7.69</v>
      </c>
      <c r="DQ1008" s="2" t="n">
        <v>0</v>
      </c>
      <c r="DR1008" s="2" t="n">
        <v>0</v>
      </c>
      <c r="DS1008" s="2" t="n">
        <v>14.74</v>
      </c>
      <c r="DT1008" s="2" t="n">
        <v>4.23</v>
      </c>
      <c r="DU1008" s="2" t="n">
        <v>0</v>
      </c>
      <c r="DV1008" s="2" t="n">
        <v>19.23</v>
      </c>
      <c r="DW1008" s="2" t="n">
        <v>11.54</v>
      </c>
      <c r="DX1008" s="2" t="n">
        <v>0</v>
      </c>
      <c r="DY1008" s="2" t="n">
        <v>23.85</v>
      </c>
      <c r="DZ1008" s="2" t="n">
        <v>12.31</v>
      </c>
      <c r="EA1008" s="2" t="n">
        <v>0</v>
      </c>
      <c r="EB1008" s="2" t="n">
        <v>38.46</v>
      </c>
      <c r="EC1008" s="2" t="n">
        <v>19.23</v>
      </c>
      <c r="ED1008" s="2" t="n">
        <v>0</v>
      </c>
      <c r="EE1008" s="2" t="n">
        <v>52.14</v>
      </c>
      <c r="EF1008" s="2" t="n">
        <v>32.69</v>
      </c>
      <c r="EG1008" s="2" t="n">
        <v>0</v>
      </c>
      <c r="EH1008" s="2" t="n">
        <v>65.81</v>
      </c>
      <c r="EI1008" s="2" t="n">
        <v>40</v>
      </c>
      <c r="EJ1008" s="2" t="n">
        <v>0</v>
      </c>
      <c r="EK1008" s="2" t="n">
        <v>73.93000000000001</v>
      </c>
      <c r="EL1008" s="2" t="n">
        <v>45</v>
      </c>
      <c r="EM1008" s="2" t="n">
        <v>0</v>
      </c>
      <c r="EN1008" s="2" t="n">
        <v>86.75</v>
      </c>
      <c r="EO1008" s="2" t="n">
        <v>50</v>
      </c>
      <c r="EP1008" s="2" t="n">
        <v>0</v>
      </c>
      <c r="EQ1008" s="2" t="n">
        <v>94.87</v>
      </c>
      <c r="ER1008" s="2" t="n">
        <v>59.62</v>
      </c>
      <c r="ES1008" s="2" t="n">
        <v>0</v>
      </c>
      <c r="ET1008" s="2" t="n">
        <v>100</v>
      </c>
      <c r="EU1008" s="2" t="n">
        <v>71.15000000000001</v>
      </c>
      <c r="EV1008" s="2" t="n">
        <v>0</v>
      </c>
      <c r="EW1008" s="2" t="n">
        <v>100</v>
      </c>
      <c r="EX1008" s="2" t="n">
        <v>76.92</v>
      </c>
      <c r="EY1008" s="2" t="n">
        <v>0</v>
      </c>
      <c r="EZ1008" s="2" t="n">
        <v>100</v>
      </c>
      <c r="FA1008" s="2" t="n">
        <v>81.92</v>
      </c>
      <c r="FB1008" s="2" t="n">
        <v>0</v>
      </c>
      <c r="FC1008" s="2" t="n">
        <v>100</v>
      </c>
      <c r="FD1008" s="2" t="n">
        <v>88.08</v>
      </c>
      <c r="FE1008" s="2" t="n">
        <v>0</v>
      </c>
      <c r="FF1008" s="2" t="n">
        <v>100</v>
      </c>
      <c r="FG1008" s="2" t="n">
        <v>92.31</v>
      </c>
      <c r="FH1008" s="2" t="n">
        <v>0</v>
      </c>
      <c r="FI1008" s="2" t="n">
        <v>100</v>
      </c>
      <c r="FJ1008" s="2" t="n">
        <v>97.69</v>
      </c>
      <c r="FK1008" s="2" t="n">
        <v>0</v>
      </c>
      <c r="FL1008" s="2" t="n">
        <v>100</v>
      </c>
      <c r="FM1008" s="2" t="n">
        <v>100</v>
      </c>
      <c r="FN1008" s="2" t="n">
        <v>0</v>
      </c>
      <c r="FO1008" s="2" t="n">
        <v>100</v>
      </c>
      <c r="FP1008" s="2" t="n">
        <v>100</v>
      </c>
      <c r="FQ1008" s="2" t="n">
        <v>0</v>
      </c>
    </row>
    <row r="1009">
      <c r="A1009" s="2" t="n">
        <v>3</v>
      </c>
      <c r="B1009" s="2" t="inlineStr">
        <is>
          <t>34.07.07</t>
        </is>
      </c>
      <c r="C1009" s="2" t="inlineStr">
        <is>
          <t>INT - Dispensador de sabão com sensor Presence, Docol</t>
        </is>
      </c>
      <c r="D1009" s="2" t="inlineStr">
        <is>
          <t>20/10/2027</t>
        </is>
      </c>
      <c r="E1009" s="2" t="inlineStr">
        <is>
          <t>09/01/2029</t>
        </is>
      </c>
      <c r="F1009" s="2" t="n">
        <v>5945.8</v>
      </c>
      <c r="G1009" s="2" t="n">
        <v>0</v>
      </c>
      <c r="H1009" s="2" t="n">
        <v>5945.8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0</v>
      </c>
      <c r="CE1009" s="2" t="n">
        <v>0</v>
      </c>
      <c r="CF1009" s="2" t="n">
        <v>0</v>
      </c>
      <c r="CG1009" s="2" t="n">
        <v>0</v>
      </c>
      <c r="CH1009" s="2" t="n">
        <v>0</v>
      </c>
      <c r="CI1009" s="2" t="n">
        <v>0</v>
      </c>
      <c r="CJ1009" s="2" t="n">
        <v>0</v>
      </c>
      <c r="CK1009" s="2" t="n">
        <v>0</v>
      </c>
      <c r="CL1009" s="2" t="n">
        <v>0</v>
      </c>
      <c r="CM1009" s="2" t="n">
        <v>0</v>
      </c>
      <c r="CN1009" s="2" t="n">
        <v>0</v>
      </c>
      <c r="CO1009" s="2" t="n">
        <v>0</v>
      </c>
      <c r="CP1009" s="2" t="n">
        <v>0</v>
      </c>
      <c r="CQ1009" s="2" t="n">
        <v>0</v>
      </c>
      <c r="CR1009" s="2" t="n">
        <v>0</v>
      </c>
      <c r="CS1009" s="2" t="n">
        <v>0</v>
      </c>
      <c r="CT1009" s="2" t="n">
        <v>0</v>
      </c>
      <c r="CU1009" s="2" t="n">
        <v>0</v>
      </c>
      <c r="CV1009" s="2" t="n">
        <v>0</v>
      </c>
      <c r="CW1009" s="2" t="n">
        <v>0</v>
      </c>
      <c r="CX1009" s="2" t="n">
        <v>0</v>
      </c>
      <c r="CY1009" s="2" t="n">
        <v>0</v>
      </c>
      <c r="CZ1009" s="2" t="n">
        <v>0</v>
      </c>
      <c r="DA1009" s="2" t="n">
        <v>0</v>
      </c>
      <c r="DB1009" s="2" t="n">
        <v>0</v>
      </c>
      <c r="DC1009" s="2" t="n">
        <v>0</v>
      </c>
      <c r="DD1009" s="2" t="n">
        <v>0</v>
      </c>
      <c r="DE1009" s="2" t="n">
        <v>0</v>
      </c>
      <c r="DF1009" s="2" t="n">
        <v>0</v>
      </c>
      <c r="DG1009" s="2" t="n">
        <v>0</v>
      </c>
      <c r="DH1009" s="2" t="n">
        <v>0</v>
      </c>
      <c r="DI1009" s="2" t="n">
        <v>0</v>
      </c>
      <c r="DJ1009" s="2" t="n">
        <v>0</v>
      </c>
      <c r="DK1009" s="2" t="n">
        <v>0</v>
      </c>
      <c r="DL1009" s="2" t="n">
        <v>0</v>
      </c>
      <c r="DM1009" s="2" t="n">
        <v>4.7</v>
      </c>
      <c r="DN1009" s="2" t="n">
        <v>0</v>
      </c>
      <c r="DO1009" s="2" t="n">
        <v>0</v>
      </c>
      <c r="DP1009" s="2" t="n">
        <v>7.69</v>
      </c>
      <c r="DQ1009" s="2" t="n">
        <v>0</v>
      </c>
      <c r="DR1009" s="2" t="n">
        <v>0</v>
      </c>
      <c r="DS1009" s="2" t="n">
        <v>14.74</v>
      </c>
      <c r="DT1009" s="2" t="n">
        <v>4.23</v>
      </c>
      <c r="DU1009" s="2" t="n">
        <v>0</v>
      </c>
      <c r="DV1009" s="2" t="n">
        <v>19.23</v>
      </c>
      <c r="DW1009" s="2" t="n">
        <v>11.54</v>
      </c>
      <c r="DX1009" s="2" t="n">
        <v>0</v>
      </c>
      <c r="DY1009" s="2" t="n">
        <v>23.85</v>
      </c>
      <c r="DZ1009" s="2" t="n">
        <v>12.31</v>
      </c>
      <c r="EA1009" s="2" t="n">
        <v>0</v>
      </c>
      <c r="EB1009" s="2" t="n">
        <v>38.46</v>
      </c>
      <c r="EC1009" s="2" t="n">
        <v>19.23</v>
      </c>
      <c r="ED1009" s="2" t="n">
        <v>0</v>
      </c>
      <c r="EE1009" s="2" t="n">
        <v>52.14</v>
      </c>
      <c r="EF1009" s="2" t="n">
        <v>32.69</v>
      </c>
      <c r="EG1009" s="2" t="n">
        <v>0</v>
      </c>
      <c r="EH1009" s="2" t="n">
        <v>65.81</v>
      </c>
      <c r="EI1009" s="2" t="n">
        <v>40</v>
      </c>
      <c r="EJ1009" s="2" t="n">
        <v>0</v>
      </c>
      <c r="EK1009" s="2" t="n">
        <v>73.93000000000001</v>
      </c>
      <c r="EL1009" s="2" t="n">
        <v>45</v>
      </c>
      <c r="EM1009" s="2" t="n">
        <v>0</v>
      </c>
      <c r="EN1009" s="2" t="n">
        <v>86.75</v>
      </c>
      <c r="EO1009" s="2" t="n">
        <v>50</v>
      </c>
      <c r="EP1009" s="2" t="n">
        <v>0</v>
      </c>
      <c r="EQ1009" s="2" t="n">
        <v>94.87</v>
      </c>
      <c r="ER1009" s="2" t="n">
        <v>59.62</v>
      </c>
      <c r="ES1009" s="2" t="n">
        <v>0</v>
      </c>
      <c r="ET1009" s="2" t="n">
        <v>100</v>
      </c>
      <c r="EU1009" s="2" t="n">
        <v>71.15000000000001</v>
      </c>
      <c r="EV1009" s="2" t="n">
        <v>0</v>
      </c>
      <c r="EW1009" s="2" t="n">
        <v>100</v>
      </c>
      <c r="EX1009" s="2" t="n">
        <v>76.92</v>
      </c>
      <c r="EY1009" s="2" t="n">
        <v>0</v>
      </c>
      <c r="EZ1009" s="2" t="n">
        <v>100</v>
      </c>
      <c r="FA1009" s="2" t="n">
        <v>81.92</v>
      </c>
      <c r="FB1009" s="2" t="n">
        <v>0</v>
      </c>
      <c r="FC1009" s="2" t="n">
        <v>100</v>
      </c>
      <c r="FD1009" s="2" t="n">
        <v>88.08</v>
      </c>
      <c r="FE1009" s="2" t="n">
        <v>0</v>
      </c>
      <c r="FF1009" s="2" t="n">
        <v>100</v>
      </c>
      <c r="FG1009" s="2" t="n">
        <v>92.31</v>
      </c>
      <c r="FH1009" s="2" t="n">
        <v>0</v>
      </c>
      <c r="FI1009" s="2" t="n">
        <v>100</v>
      </c>
      <c r="FJ1009" s="2" t="n">
        <v>97.69</v>
      </c>
      <c r="FK1009" s="2" t="n">
        <v>0</v>
      </c>
      <c r="FL1009" s="2" t="n">
        <v>100</v>
      </c>
      <c r="FM1009" s="2" t="n">
        <v>100</v>
      </c>
      <c r="FN1009" s="2" t="n">
        <v>0</v>
      </c>
      <c r="FO1009" s="2" t="n">
        <v>100</v>
      </c>
      <c r="FP1009" s="2" t="n">
        <v>100</v>
      </c>
      <c r="FQ1009" s="2" t="n">
        <v>0</v>
      </c>
    </row>
    <row r="1010">
      <c r="A1010" s="2" t="n">
        <v>3</v>
      </c>
      <c r="B1010" s="2" t="inlineStr">
        <is>
          <t>34.07.08</t>
        </is>
      </c>
      <c r="C1010" s="2" t="inlineStr">
        <is>
          <t>INT - Porta absorvente</t>
        </is>
      </c>
      <c r="D1010" s="2" t="inlineStr">
        <is>
          <t>20/10/2027</t>
        </is>
      </c>
      <c r="E1010" s="2" t="inlineStr">
        <is>
          <t>09/01/2029</t>
        </is>
      </c>
      <c r="F1010" s="2" t="n">
        <v>300</v>
      </c>
      <c r="G1010" s="2" t="n">
        <v>0</v>
      </c>
      <c r="H1010" s="2" t="n">
        <v>300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0</v>
      </c>
      <c r="CE1010" s="2" t="n">
        <v>0</v>
      </c>
      <c r="CF1010" s="2" t="n">
        <v>0</v>
      </c>
      <c r="CG1010" s="2" t="n">
        <v>0</v>
      </c>
      <c r="CH1010" s="2" t="n">
        <v>0</v>
      </c>
      <c r="CI1010" s="2" t="n">
        <v>0</v>
      </c>
      <c r="CJ1010" s="2" t="n">
        <v>0</v>
      </c>
      <c r="CK1010" s="2" t="n">
        <v>0</v>
      </c>
      <c r="CL1010" s="2" t="n">
        <v>0</v>
      </c>
      <c r="CM1010" s="2" t="n">
        <v>0</v>
      </c>
      <c r="CN1010" s="2" t="n">
        <v>0</v>
      </c>
      <c r="CO1010" s="2" t="n">
        <v>0</v>
      </c>
      <c r="CP1010" s="2" t="n">
        <v>0</v>
      </c>
      <c r="CQ1010" s="2" t="n">
        <v>0</v>
      </c>
      <c r="CR1010" s="2" t="n">
        <v>0</v>
      </c>
      <c r="CS1010" s="2" t="n">
        <v>0</v>
      </c>
      <c r="CT1010" s="2" t="n">
        <v>0</v>
      </c>
      <c r="CU1010" s="2" t="n">
        <v>0</v>
      </c>
      <c r="CV1010" s="2" t="n">
        <v>0</v>
      </c>
      <c r="CW1010" s="2" t="n">
        <v>0</v>
      </c>
      <c r="CX1010" s="2" t="n">
        <v>0</v>
      </c>
      <c r="CY1010" s="2" t="n">
        <v>0</v>
      </c>
      <c r="CZ1010" s="2" t="n">
        <v>0</v>
      </c>
      <c r="DA1010" s="2" t="n">
        <v>0</v>
      </c>
      <c r="DB1010" s="2" t="n">
        <v>0</v>
      </c>
      <c r="DC1010" s="2" t="n">
        <v>0</v>
      </c>
      <c r="DD1010" s="2" t="n">
        <v>0</v>
      </c>
      <c r="DE1010" s="2" t="n">
        <v>0</v>
      </c>
      <c r="DF1010" s="2" t="n">
        <v>0</v>
      </c>
      <c r="DG1010" s="2" t="n">
        <v>0</v>
      </c>
      <c r="DH1010" s="2" t="n">
        <v>0</v>
      </c>
      <c r="DI1010" s="2" t="n">
        <v>0</v>
      </c>
      <c r="DJ1010" s="2" t="n">
        <v>0</v>
      </c>
      <c r="DK1010" s="2" t="n">
        <v>0</v>
      </c>
      <c r="DL1010" s="2" t="n">
        <v>0</v>
      </c>
      <c r="DM1010" s="2" t="n">
        <v>4.7</v>
      </c>
      <c r="DN1010" s="2" t="n">
        <v>0</v>
      </c>
      <c r="DO1010" s="2" t="n">
        <v>0</v>
      </c>
      <c r="DP1010" s="2" t="n">
        <v>7.69</v>
      </c>
      <c r="DQ1010" s="2" t="n">
        <v>0</v>
      </c>
      <c r="DR1010" s="2" t="n">
        <v>0</v>
      </c>
      <c r="DS1010" s="2" t="n">
        <v>14.74</v>
      </c>
      <c r="DT1010" s="2" t="n">
        <v>4.23</v>
      </c>
      <c r="DU1010" s="2" t="n">
        <v>0</v>
      </c>
      <c r="DV1010" s="2" t="n">
        <v>19.23</v>
      </c>
      <c r="DW1010" s="2" t="n">
        <v>11.54</v>
      </c>
      <c r="DX1010" s="2" t="n">
        <v>0</v>
      </c>
      <c r="DY1010" s="2" t="n">
        <v>23.85</v>
      </c>
      <c r="DZ1010" s="2" t="n">
        <v>12.31</v>
      </c>
      <c r="EA1010" s="2" t="n">
        <v>0</v>
      </c>
      <c r="EB1010" s="2" t="n">
        <v>38.46</v>
      </c>
      <c r="EC1010" s="2" t="n">
        <v>19.23</v>
      </c>
      <c r="ED1010" s="2" t="n">
        <v>0</v>
      </c>
      <c r="EE1010" s="2" t="n">
        <v>52.14</v>
      </c>
      <c r="EF1010" s="2" t="n">
        <v>32.69</v>
      </c>
      <c r="EG1010" s="2" t="n">
        <v>0</v>
      </c>
      <c r="EH1010" s="2" t="n">
        <v>65.81</v>
      </c>
      <c r="EI1010" s="2" t="n">
        <v>40</v>
      </c>
      <c r="EJ1010" s="2" t="n">
        <v>0</v>
      </c>
      <c r="EK1010" s="2" t="n">
        <v>73.93000000000001</v>
      </c>
      <c r="EL1010" s="2" t="n">
        <v>45</v>
      </c>
      <c r="EM1010" s="2" t="n">
        <v>0</v>
      </c>
      <c r="EN1010" s="2" t="n">
        <v>86.75</v>
      </c>
      <c r="EO1010" s="2" t="n">
        <v>50</v>
      </c>
      <c r="EP1010" s="2" t="n">
        <v>0</v>
      </c>
      <c r="EQ1010" s="2" t="n">
        <v>94.87</v>
      </c>
      <c r="ER1010" s="2" t="n">
        <v>59.62</v>
      </c>
      <c r="ES1010" s="2" t="n">
        <v>0</v>
      </c>
      <c r="ET1010" s="2" t="n">
        <v>100</v>
      </c>
      <c r="EU1010" s="2" t="n">
        <v>71.15000000000001</v>
      </c>
      <c r="EV1010" s="2" t="n">
        <v>0</v>
      </c>
      <c r="EW1010" s="2" t="n">
        <v>100</v>
      </c>
      <c r="EX1010" s="2" t="n">
        <v>76.92</v>
      </c>
      <c r="EY1010" s="2" t="n">
        <v>0</v>
      </c>
      <c r="EZ1010" s="2" t="n">
        <v>100</v>
      </c>
      <c r="FA1010" s="2" t="n">
        <v>81.92</v>
      </c>
      <c r="FB1010" s="2" t="n">
        <v>0</v>
      </c>
      <c r="FC1010" s="2" t="n">
        <v>100</v>
      </c>
      <c r="FD1010" s="2" t="n">
        <v>88.08</v>
      </c>
      <c r="FE1010" s="2" t="n">
        <v>0</v>
      </c>
      <c r="FF1010" s="2" t="n">
        <v>100</v>
      </c>
      <c r="FG1010" s="2" t="n">
        <v>92.31</v>
      </c>
      <c r="FH1010" s="2" t="n">
        <v>0</v>
      </c>
      <c r="FI1010" s="2" t="n">
        <v>100</v>
      </c>
      <c r="FJ1010" s="2" t="n">
        <v>97.69</v>
      </c>
      <c r="FK1010" s="2" t="n">
        <v>0</v>
      </c>
      <c r="FL1010" s="2" t="n">
        <v>100</v>
      </c>
      <c r="FM1010" s="2" t="n">
        <v>100</v>
      </c>
      <c r="FN1010" s="2" t="n">
        <v>0</v>
      </c>
      <c r="FO1010" s="2" t="n">
        <v>100</v>
      </c>
      <c r="FP1010" s="2" t="n">
        <v>100</v>
      </c>
      <c r="FQ1010" s="2" t="n">
        <v>0</v>
      </c>
    </row>
    <row r="1011">
      <c r="A1011" s="2" t="n">
        <v>3</v>
      </c>
      <c r="B1011" s="2" t="inlineStr">
        <is>
          <t>34.07.09</t>
        </is>
      </c>
      <c r="C1011" s="2" t="inlineStr">
        <is>
          <t>Dispensador eletrônico de sabão com sensor, linha Decalux, acabamento cromado, cód.: 2016.C. Ref.:Deca</t>
        </is>
      </c>
      <c r="D1011" s="2" t="inlineStr">
        <is>
          <t>20/10/2027</t>
        </is>
      </c>
      <c r="E1011" s="2" t="inlineStr">
        <is>
          <t>09/01/2029</t>
        </is>
      </c>
      <c r="F1011" s="2" t="n">
        <v>5992</v>
      </c>
      <c r="G1011" s="2" t="n">
        <v>0</v>
      </c>
      <c r="H1011" s="2" t="n">
        <v>5992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0</v>
      </c>
      <c r="CE1011" s="2" t="n">
        <v>0</v>
      </c>
      <c r="CF1011" s="2" t="n">
        <v>0</v>
      </c>
      <c r="CG1011" s="2" t="n">
        <v>0</v>
      </c>
      <c r="CH1011" s="2" t="n">
        <v>0</v>
      </c>
      <c r="CI1011" s="2" t="n">
        <v>0</v>
      </c>
      <c r="CJ1011" s="2" t="n">
        <v>0</v>
      </c>
      <c r="CK1011" s="2" t="n">
        <v>0</v>
      </c>
      <c r="CL1011" s="2" t="n">
        <v>0</v>
      </c>
      <c r="CM1011" s="2" t="n">
        <v>0</v>
      </c>
      <c r="CN1011" s="2" t="n">
        <v>0</v>
      </c>
      <c r="CO1011" s="2" t="n">
        <v>0</v>
      </c>
      <c r="CP1011" s="2" t="n">
        <v>0</v>
      </c>
      <c r="CQ1011" s="2" t="n">
        <v>0</v>
      </c>
      <c r="CR1011" s="2" t="n">
        <v>0</v>
      </c>
      <c r="CS1011" s="2" t="n">
        <v>0</v>
      </c>
      <c r="CT1011" s="2" t="n">
        <v>0</v>
      </c>
      <c r="CU1011" s="2" t="n">
        <v>0</v>
      </c>
      <c r="CV1011" s="2" t="n">
        <v>0</v>
      </c>
      <c r="CW1011" s="2" t="n">
        <v>0</v>
      </c>
      <c r="CX1011" s="2" t="n">
        <v>0</v>
      </c>
      <c r="CY1011" s="2" t="n">
        <v>0</v>
      </c>
      <c r="CZ1011" s="2" t="n">
        <v>0</v>
      </c>
      <c r="DA1011" s="2" t="n">
        <v>0</v>
      </c>
      <c r="DB1011" s="2" t="n">
        <v>0</v>
      </c>
      <c r="DC1011" s="2" t="n">
        <v>0</v>
      </c>
      <c r="DD1011" s="2" t="n">
        <v>0</v>
      </c>
      <c r="DE1011" s="2" t="n">
        <v>0</v>
      </c>
      <c r="DF1011" s="2" t="n">
        <v>0</v>
      </c>
      <c r="DG1011" s="2" t="n">
        <v>0</v>
      </c>
      <c r="DH1011" s="2" t="n">
        <v>0</v>
      </c>
      <c r="DI1011" s="2" t="n">
        <v>0</v>
      </c>
      <c r="DJ1011" s="2" t="n">
        <v>0</v>
      </c>
      <c r="DK1011" s="2" t="n">
        <v>0</v>
      </c>
      <c r="DL1011" s="2" t="n">
        <v>0</v>
      </c>
      <c r="DM1011" s="2" t="n">
        <v>4.7</v>
      </c>
      <c r="DN1011" s="2" t="n">
        <v>0</v>
      </c>
      <c r="DO1011" s="2" t="n">
        <v>0</v>
      </c>
      <c r="DP1011" s="2" t="n">
        <v>7.69</v>
      </c>
      <c r="DQ1011" s="2" t="n">
        <v>0</v>
      </c>
      <c r="DR1011" s="2" t="n">
        <v>0</v>
      </c>
      <c r="DS1011" s="2" t="n">
        <v>14.74</v>
      </c>
      <c r="DT1011" s="2" t="n">
        <v>4.23</v>
      </c>
      <c r="DU1011" s="2" t="n">
        <v>0</v>
      </c>
      <c r="DV1011" s="2" t="n">
        <v>19.23</v>
      </c>
      <c r="DW1011" s="2" t="n">
        <v>11.54</v>
      </c>
      <c r="DX1011" s="2" t="n">
        <v>0</v>
      </c>
      <c r="DY1011" s="2" t="n">
        <v>23.85</v>
      </c>
      <c r="DZ1011" s="2" t="n">
        <v>12.31</v>
      </c>
      <c r="EA1011" s="2" t="n">
        <v>0</v>
      </c>
      <c r="EB1011" s="2" t="n">
        <v>38.46</v>
      </c>
      <c r="EC1011" s="2" t="n">
        <v>19.23</v>
      </c>
      <c r="ED1011" s="2" t="n">
        <v>0</v>
      </c>
      <c r="EE1011" s="2" t="n">
        <v>52.14</v>
      </c>
      <c r="EF1011" s="2" t="n">
        <v>32.69</v>
      </c>
      <c r="EG1011" s="2" t="n">
        <v>0</v>
      </c>
      <c r="EH1011" s="2" t="n">
        <v>65.81</v>
      </c>
      <c r="EI1011" s="2" t="n">
        <v>40</v>
      </c>
      <c r="EJ1011" s="2" t="n">
        <v>0</v>
      </c>
      <c r="EK1011" s="2" t="n">
        <v>73.93000000000001</v>
      </c>
      <c r="EL1011" s="2" t="n">
        <v>45</v>
      </c>
      <c r="EM1011" s="2" t="n">
        <v>0</v>
      </c>
      <c r="EN1011" s="2" t="n">
        <v>86.75</v>
      </c>
      <c r="EO1011" s="2" t="n">
        <v>50</v>
      </c>
      <c r="EP1011" s="2" t="n">
        <v>0</v>
      </c>
      <c r="EQ1011" s="2" t="n">
        <v>94.87</v>
      </c>
      <c r="ER1011" s="2" t="n">
        <v>59.62</v>
      </c>
      <c r="ES1011" s="2" t="n">
        <v>0</v>
      </c>
      <c r="ET1011" s="2" t="n">
        <v>100</v>
      </c>
      <c r="EU1011" s="2" t="n">
        <v>71.15000000000001</v>
      </c>
      <c r="EV1011" s="2" t="n">
        <v>0</v>
      </c>
      <c r="EW1011" s="2" t="n">
        <v>100</v>
      </c>
      <c r="EX1011" s="2" t="n">
        <v>76.92</v>
      </c>
      <c r="EY1011" s="2" t="n">
        <v>0</v>
      </c>
      <c r="EZ1011" s="2" t="n">
        <v>100</v>
      </c>
      <c r="FA1011" s="2" t="n">
        <v>81.92</v>
      </c>
      <c r="FB1011" s="2" t="n">
        <v>0</v>
      </c>
      <c r="FC1011" s="2" t="n">
        <v>100</v>
      </c>
      <c r="FD1011" s="2" t="n">
        <v>88.08</v>
      </c>
      <c r="FE1011" s="2" t="n">
        <v>0</v>
      </c>
      <c r="FF1011" s="2" t="n">
        <v>100</v>
      </c>
      <c r="FG1011" s="2" t="n">
        <v>92.31</v>
      </c>
      <c r="FH1011" s="2" t="n">
        <v>0</v>
      </c>
      <c r="FI1011" s="2" t="n">
        <v>100</v>
      </c>
      <c r="FJ1011" s="2" t="n">
        <v>97.69</v>
      </c>
      <c r="FK1011" s="2" t="n">
        <v>0</v>
      </c>
      <c r="FL1011" s="2" t="n">
        <v>100</v>
      </c>
      <c r="FM1011" s="2" t="n">
        <v>100</v>
      </c>
      <c r="FN1011" s="2" t="n">
        <v>0</v>
      </c>
      <c r="FO1011" s="2" t="n">
        <v>100</v>
      </c>
      <c r="FP1011" s="2" t="n">
        <v>100</v>
      </c>
      <c r="FQ1011" s="2" t="n">
        <v>0</v>
      </c>
    </row>
    <row r="1012">
      <c r="A1012" s="2" t="n">
        <v>3</v>
      </c>
      <c r="B1012" s="2" t="inlineStr">
        <is>
          <t>34.07.10</t>
        </is>
      </c>
      <c r="C1012" s="2" t="inlineStr">
        <is>
          <t>Banheira de hidromassagem</t>
        </is>
      </c>
      <c r="D1012" s="2" t="inlineStr">
        <is>
          <t>14/09/2027</t>
        </is>
      </c>
      <c r="E1012" s="2" t="inlineStr">
        <is>
          <t>09/01/2029</t>
        </is>
      </c>
      <c r="F1012" s="2" t="n">
        <v>25000</v>
      </c>
      <c r="G1012" s="2" t="n">
        <v>0</v>
      </c>
      <c r="H1012" s="2" t="n">
        <v>25000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0</v>
      </c>
      <c r="CE1012" s="2" t="n">
        <v>0</v>
      </c>
      <c r="CF1012" s="2" t="n">
        <v>0</v>
      </c>
      <c r="CG1012" s="2" t="n">
        <v>0</v>
      </c>
      <c r="CH1012" s="2" t="n">
        <v>0</v>
      </c>
      <c r="CI1012" s="2" t="n">
        <v>0</v>
      </c>
      <c r="CJ1012" s="2" t="n">
        <v>0</v>
      </c>
      <c r="CK1012" s="2" t="n">
        <v>0</v>
      </c>
      <c r="CL1012" s="2" t="n">
        <v>0</v>
      </c>
      <c r="CM1012" s="2" t="n">
        <v>0</v>
      </c>
      <c r="CN1012" s="2" t="n">
        <v>0</v>
      </c>
      <c r="CO1012" s="2" t="n">
        <v>0</v>
      </c>
      <c r="CP1012" s="2" t="n">
        <v>0</v>
      </c>
      <c r="CQ1012" s="2" t="n">
        <v>0</v>
      </c>
      <c r="CR1012" s="2" t="n">
        <v>0</v>
      </c>
      <c r="CS1012" s="2" t="n">
        <v>0</v>
      </c>
      <c r="CT1012" s="2" t="n">
        <v>0</v>
      </c>
      <c r="CU1012" s="2" t="n">
        <v>0</v>
      </c>
      <c r="CV1012" s="2" t="n">
        <v>0</v>
      </c>
      <c r="CW1012" s="2" t="n">
        <v>0</v>
      </c>
      <c r="CX1012" s="2" t="n">
        <v>0</v>
      </c>
      <c r="CY1012" s="2" t="n">
        <v>0</v>
      </c>
      <c r="CZ1012" s="2" t="n">
        <v>0</v>
      </c>
      <c r="DA1012" s="2" t="n">
        <v>0</v>
      </c>
      <c r="DB1012" s="2" t="n">
        <v>0</v>
      </c>
      <c r="DC1012" s="2" t="n">
        <v>0</v>
      </c>
      <c r="DD1012" s="2" t="n">
        <v>0</v>
      </c>
      <c r="DE1012" s="2" t="n">
        <v>0</v>
      </c>
      <c r="DF1012" s="2" t="n">
        <v>0</v>
      </c>
      <c r="DG1012" s="2" t="n">
        <v>0</v>
      </c>
      <c r="DH1012" s="2" t="n">
        <v>0</v>
      </c>
      <c r="DI1012" s="2" t="n">
        <v>0</v>
      </c>
      <c r="DJ1012" s="2" t="n">
        <v>0</v>
      </c>
      <c r="DK1012" s="2" t="n">
        <v>0</v>
      </c>
      <c r="DL1012" s="2" t="n">
        <v>0</v>
      </c>
      <c r="DM1012" s="2" t="n">
        <v>4.94</v>
      </c>
      <c r="DN1012" s="2" t="n">
        <v>0</v>
      </c>
      <c r="DO1012" s="2" t="n">
        <v>0</v>
      </c>
      <c r="DP1012" s="2" t="n">
        <v>10.68</v>
      </c>
      <c r="DQ1012" s="2" t="n">
        <v>2.6</v>
      </c>
      <c r="DR1012" s="2" t="n">
        <v>0</v>
      </c>
      <c r="DS1012" s="2" t="n">
        <v>16.07</v>
      </c>
      <c r="DT1012" s="2" t="n">
        <v>5.83</v>
      </c>
      <c r="DU1012" s="2" t="n">
        <v>0</v>
      </c>
      <c r="DV1012" s="2" t="n">
        <v>18.76</v>
      </c>
      <c r="DW1012" s="2" t="n">
        <v>10.68</v>
      </c>
      <c r="DX1012" s="2" t="n">
        <v>0</v>
      </c>
      <c r="DY1012" s="2" t="n">
        <v>24.93</v>
      </c>
      <c r="DZ1012" s="2" t="n">
        <v>11.99</v>
      </c>
      <c r="EA1012" s="2" t="n">
        <v>0</v>
      </c>
      <c r="EB1012" s="2" t="n">
        <v>35.64</v>
      </c>
      <c r="EC1012" s="2" t="n">
        <v>14.4</v>
      </c>
      <c r="ED1012" s="2" t="n">
        <v>0</v>
      </c>
      <c r="EE1012" s="2" t="n">
        <v>49.75</v>
      </c>
      <c r="EF1012" s="2" t="n">
        <v>29.58</v>
      </c>
      <c r="EG1012" s="2" t="n">
        <v>0</v>
      </c>
      <c r="EH1012" s="2" t="n">
        <v>64.09</v>
      </c>
      <c r="EI1012" s="2" t="n">
        <v>37.26</v>
      </c>
      <c r="EJ1012" s="2" t="n">
        <v>0</v>
      </c>
      <c r="EK1012" s="2" t="n">
        <v>72.62</v>
      </c>
      <c r="EL1012" s="2" t="n">
        <v>42.51</v>
      </c>
      <c r="EM1012" s="2" t="n">
        <v>0</v>
      </c>
      <c r="EN1012" s="2" t="n">
        <v>86.08</v>
      </c>
      <c r="EO1012" s="2" t="n">
        <v>47.76</v>
      </c>
      <c r="EP1012" s="2" t="n">
        <v>0</v>
      </c>
      <c r="EQ1012" s="2" t="n">
        <v>94.61</v>
      </c>
      <c r="ER1012" s="2" t="n">
        <v>57.86</v>
      </c>
      <c r="ES1012" s="2" t="n">
        <v>0</v>
      </c>
      <c r="ET1012" s="2" t="n">
        <v>100</v>
      </c>
      <c r="EU1012" s="2" t="n">
        <v>69.7</v>
      </c>
      <c r="EV1012" s="2" t="n">
        <v>0</v>
      </c>
      <c r="EW1012" s="2" t="n">
        <v>100</v>
      </c>
      <c r="EX1012" s="2" t="n">
        <v>75.76000000000001</v>
      </c>
      <c r="EY1012" s="2" t="n">
        <v>0</v>
      </c>
      <c r="EZ1012" s="2" t="n">
        <v>100</v>
      </c>
      <c r="FA1012" s="2" t="n">
        <v>81.01000000000001</v>
      </c>
      <c r="FB1012" s="2" t="n">
        <v>0</v>
      </c>
      <c r="FC1012" s="2" t="n">
        <v>100</v>
      </c>
      <c r="FD1012" s="2" t="n">
        <v>87.48</v>
      </c>
      <c r="FE1012" s="2" t="n">
        <v>0</v>
      </c>
      <c r="FF1012" s="2" t="n">
        <v>100</v>
      </c>
      <c r="FG1012" s="2" t="n">
        <v>91.92</v>
      </c>
      <c r="FH1012" s="2" t="n">
        <v>0</v>
      </c>
      <c r="FI1012" s="2" t="n">
        <v>100</v>
      </c>
      <c r="FJ1012" s="2" t="n">
        <v>97.58</v>
      </c>
      <c r="FK1012" s="2" t="n">
        <v>0</v>
      </c>
      <c r="FL1012" s="2" t="n">
        <v>100</v>
      </c>
      <c r="FM1012" s="2" t="n">
        <v>100</v>
      </c>
      <c r="FN1012" s="2" t="n">
        <v>0</v>
      </c>
      <c r="FO1012" s="2" t="n">
        <v>100</v>
      </c>
      <c r="FP1012" s="2" t="n">
        <v>100</v>
      </c>
      <c r="FQ1012" s="2" t="n">
        <v>0</v>
      </c>
    </row>
    <row r="1013">
      <c r="A1013" s="2" t="n">
        <v>3</v>
      </c>
      <c r="B1013" s="2" t="inlineStr">
        <is>
          <t>34.07.11</t>
        </is>
      </c>
      <c r="C1013" s="2" t="inlineStr">
        <is>
          <t>Metais para banheira de hidromassagem</t>
        </is>
      </c>
      <c r="D1013" s="2" t="inlineStr">
        <is>
          <t>20/10/2027</t>
        </is>
      </c>
      <c r="E1013" s="2" t="inlineStr">
        <is>
          <t>09/01/2029</t>
        </is>
      </c>
      <c r="F1013" s="2" t="n">
        <v>10000</v>
      </c>
      <c r="G1013" s="2" t="n">
        <v>0</v>
      </c>
      <c r="H1013" s="2" t="n">
        <v>10000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0</v>
      </c>
      <c r="CE1013" s="2" t="n">
        <v>0</v>
      </c>
      <c r="CF1013" s="2" t="n">
        <v>0</v>
      </c>
      <c r="CG1013" s="2" t="n">
        <v>0</v>
      </c>
      <c r="CH1013" s="2" t="n">
        <v>0</v>
      </c>
      <c r="CI1013" s="2" t="n">
        <v>0</v>
      </c>
      <c r="CJ1013" s="2" t="n">
        <v>0</v>
      </c>
      <c r="CK1013" s="2" t="n">
        <v>0</v>
      </c>
      <c r="CL1013" s="2" t="n">
        <v>0</v>
      </c>
      <c r="CM1013" s="2" t="n">
        <v>0</v>
      </c>
      <c r="CN1013" s="2" t="n">
        <v>0</v>
      </c>
      <c r="CO1013" s="2" t="n">
        <v>0</v>
      </c>
      <c r="CP1013" s="2" t="n">
        <v>0</v>
      </c>
      <c r="CQ1013" s="2" t="n">
        <v>0</v>
      </c>
      <c r="CR1013" s="2" t="n">
        <v>0</v>
      </c>
      <c r="CS1013" s="2" t="n">
        <v>0</v>
      </c>
      <c r="CT1013" s="2" t="n">
        <v>0</v>
      </c>
      <c r="CU1013" s="2" t="n">
        <v>0</v>
      </c>
      <c r="CV1013" s="2" t="n">
        <v>0</v>
      </c>
      <c r="CW1013" s="2" t="n">
        <v>0</v>
      </c>
      <c r="CX1013" s="2" t="n">
        <v>0</v>
      </c>
      <c r="CY1013" s="2" t="n">
        <v>0</v>
      </c>
      <c r="CZ1013" s="2" t="n">
        <v>0</v>
      </c>
      <c r="DA1013" s="2" t="n">
        <v>0</v>
      </c>
      <c r="DB1013" s="2" t="n">
        <v>0</v>
      </c>
      <c r="DC1013" s="2" t="n">
        <v>0</v>
      </c>
      <c r="DD1013" s="2" t="n">
        <v>0</v>
      </c>
      <c r="DE1013" s="2" t="n">
        <v>0</v>
      </c>
      <c r="DF1013" s="2" t="n">
        <v>0</v>
      </c>
      <c r="DG1013" s="2" t="n">
        <v>0</v>
      </c>
      <c r="DH1013" s="2" t="n">
        <v>0</v>
      </c>
      <c r="DI1013" s="2" t="n">
        <v>0</v>
      </c>
      <c r="DJ1013" s="2" t="n">
        <v>0</v>
      </c>
      <c r="DK1013" s="2" t="n">
        <v>0</v>
      </c>
      <c r="DL1013" s="2" t="n">
        <v>0</v>
      </c>
      <c r="DM1013" s="2" t="n">
        <v>4.7</v>
      </c>
      <c r="DN1013" s="2" t="n">
        <v>0</v>
      </c>
      <c r="DO1013" s="2" t="n">
        <v>0</v>
      </c>
      <c r="DP1013" s="2" t="n">
        <v>7.69</v>
      </c>
      <c r="DQ1013" s="2" t="n">
        <v>0</v>
      </c>
      <c r="DR1013" s="2" t="n">
        <v>0</v>
      </c>
      <c r="DS1013" s="2" t="n">
        <v>14.74</v>
      </c>
      <c r="DT1013" s="2" t="n">
        <v>4.23</v>
      </c>
      <c r="DU1013" s="2" t="n">
        <v>0</v>
      </c>
      <c r="DV1013" s="2" t="n">
        <v>19.23</v>
      </c>
      <c r="DW1013" s="2" t="n">
        <v>11.54</v>
      </c>
      <c r="DX1013" s="2" t="n">
        <v>0</v>
      </c>
      <c r="DY1013" s="2" t="n">
        <v>23.85</v>
      </c>
      <c r="DZ1013" s="2" t="n">
        <v>12.31</v>
      </c>
      <c r="EA1013" s="2" t="n">
        <v>0</v>
      </c>
      <c r="EB1013" s="2" t="n">
        <v>38.46</v>
      </c>
      <c r="EC1013" s="2" t="n">
        <v>19.23</v>
      </c>
      <c r="ED1013" s="2" t="n">
        <v>0</v>
      </c>
      <c r="EE1013" s="2" t="n">
        <v>52.14</v>
      </c>
      <c r="EF1013" s="2" t="n">
        <v>32.69</v>
      </c>
      <c r="EG1013" s="2" t="n">
        <v>0</v>
      </c>
      <c r="EH1013" s="2" t="n">
        <v>65.81</v>
      </c>
      <c r="EI1013" s="2" t="n">
        <v>40</v>
      </c>
      <c r="EJ1013" s="2" t="n">
        <v>0</v>
      </c>
      <c r="EK1013" s="2" t="n">
        <v>73.93000000000001</v>
      </c>
      <c r="EL1013" s="2" t="n">
        <v>45</v>
      </c>
      <c r="EM1013" s="2" t="n">
        <v>0</v>
      </c>
      <c r="EN1013" s="2" t="n">
        <v>86.75</v>
      </c>
      <c r="EO1013" s="2" t="n">
        <v>50</v>
      </c>
      <c r="EP1013" s="2" t="n">
        <v>0</v>
      </c>
      <c r="EQ1013" s="2" t="n">
        <v>94.87</v>
      </c>
      <c r="ER1013" s="2" t="n">
        <v>59.62</v>
      </c>
      <c r="ES1013" s="2" t="n">
        <v>0</v>
      </c>
      <c r="ET1013" s="2" t="n">
        <v>100</v>
      </c>
      <c r="EU1013" s="2" t="n">
        <v>71.15000000000001</v>
      </c>
      <c r="EV1013" s="2" t="n">
        <v>0</v>
      </c>
      <c r="EW1013" s="2" t="n">
        <v>100</v>
      </c>
      <c r="EX1013" s="2" t="n">
        <v>76.92</v>
      </c>
      <c r="EY1013" s="2" t="n">
        <v>0</v>
      </c>
      <c r="EZ1013" s="2" t="n">
        <v>100</v>
      </c>
      <c r="FA1013" s="2" t="n">
        <v>81.92</v>
      </c>
      <c r="FB1013" s="2" t="n">
        <v>0</v>
      </c>
      <c r="FC1013" s="2" t="n">
        <v>100</v>
      </c>
      <c r="FD1013" s="2" t="n">
        <v>88.08</v>
      </c>
      <c r="FE1013" s="2" t="n">
        <v>0</v>
      </c>
      <c r="FF1013" s="2" t="n">
        <v>100</v>
      </c>
      <c r="FG1013" s="2" t="n">
        <v>92.31</v>
      </c>
      <c r="FH1013" s="2" t="n">
        <v>0</v>
      </c>
      <c r="FI1013" s="2" t="n">
        <v>100</v>
      </c>
      <c r="FJ1013" s="2" t="n">
        <v>97.69</v>
      </c>
      <c r="FK1013" s="2" t="n">
        <v>0</v>
      </c>
      <c r="FL1013" s="2" t="n">
        <v>100</v>
      </c>
      <c r="FM1013" s="2" t="n">
        <v>100</v>
      </c>
      <c r="FN1013" s="2" t="n">
        <v>0</v>
      </c>
      <c r="FO1013" s="2" t="n">
        <v>100</v>
      </c>
      <c r="FP1013" s="2" t="n">
        <v>100</v>
      </c>
      <c r="FQ1013" s="2" t="n">
        <v>0</v>
      </c>
    </row>
    <row r="1014">
      <c r="A1014" s="2" t="n">
        <v>3</v>
      </c>
      <c r="B1014" s="2" t="inlineStr">
        <is>
          <t>34.07.12</t>
        </is>
      </c>
      <c r="C1014" s="2" t="inlineStr">
        <is>
          <t>Ralo Inox linear</t>
        </is>
      </c>
      <c r="D1014" s="2" t="inlineStr">
        <is>
          <t>20/10/2027</t>
        </is>
      </c>
      <c r="E1014" s="2" t="inlineStr">
        <is>
          <t>09/01/2029</t>
        </is>
      </c>
      <c r="F1014" s="2" t="n">
        <v>1201.9</v>
      </c>
      <c r="G1014" s="2" t="n">
        <v>0</v>
      </c>
      <c r="H1014" s="2" t="n">
        <v>1201.9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0</v>
      </c>
      <c r="CE1014" s="2" t="n">
        <v>0</v>
      </c>
      <c r="CF1014" s="2" t="n">
        <v>0</v>
      </c>
      <c r="CG1014" s="2" t="n">
        <v>0</v>
      </c>
      <c r="CH1014" s="2" t="n">
        <v>0</v>
      </c>
      <c r="CI1014" s="2" t="n">
        <v>0</v>
      </c>
      <c r="CJ1014" s="2" t="n">
        <v>0</v>
      </c>
      <c r="CK1014" s="2" t="n">
        <v>0</v>
      </c>
      <c r="CL1014" s="2" t="n">
        <v>0</v>
      </c>
      <c r="CM1014" s="2" t="n">
        <v>0</v>
      </c>
      <c r="CN1014" s="2" t="n">
        <v>0</v>
      </c>
      <c r="CO1014" s="2" t="n">
        <v>0</v>
      </c>
      <c r="CP1014" s="2" t="n">
        <v>0</v>
      </c>
      <c r="CQ1014" s="2" t="n">
        <v>0</v>
      </c>
      <c r="CR1014" s="2" t="n">
        <v>0</v>
      </c>
      <c r="CS1014" s="2" t="n">
        <v>0</v>
      </c>
      <c r="CT1014" s="2" t="n">
        <v>0</v>
      </c>
      <c r="CU1014" s="2" t="n">
        <v>0</v>
      </c>
      <c r="CV1014" s="2" t="n">
        <v>0</v>
      </c>
      <c r="CW1014" s="2" t="n">
        <v>0</v>
      </c>
      <c r="CX1014" s="2" t="n">
        <v>0</v>
      </c>
      <c r="CY1014" s="2" t="n">
        <v>0</v>
      </c>
      <c r="CZ1014" s="2" t="n">
        <v>0</v>
      </c>
      <c r="DA1014" s="2" t="n">
        <v>0</v>
      </c>
      <c r="DB1014" s="2" t="n">
        <v>0</v>
      </c>
      <c r="DC1014" s="2" t="n">
        <v>0</v>
      </c>
      <c r="DD1014" s="2" t="n">
        <v>0</v>
      </c>
      <c r="DE1014" s="2" t="n">
        <v>0</v>
      </c>
      <c r="DF1014" s="2" t="n">
        <v>0</v>
      </c>
      <c r="DG1014" s="2" t="n">
        <v>0</v>
      </c>
      <c r="DH1014" s="2" t="n">
        <v>0</v>
      </c>
      <c r="DI1014" s="2" t="n">
        <v>0</v>
      </c>
      <c r="DJ1014" s="2" t="n">
        <v>0</v>
      </c>
      <c r="DK1014" s="2" t="n">
        <v>0</v>
      </c>
      <c r="DL1014" s="2" t="n">
        <v>0</v>
      </c>
      <c r="DM1014" s="2" t="n">
        <v>4.7</v>
      </c>
      <c r="DN1014" s="2" t="n">
        <v>0</v>
      </c>
      <c r="DO1014" s="2" t="n">
        <v>0</v>
      </c>
      <c r="DP1014" s="2" t="n">
        <v>7.69</v>
      </c>
      <c r="DQ1014" s="2" t="n">
        <v>0</v>
      </c>
      <c r="DR1014" s="2" t="n">
        <v>0</v>
      </c>
      <c r="DS1014" s="2" t="n">
        <v>14.74</v>
      </c>
      <c r="DT1014" s="2" t="n">
        <v>4.23</v>
      </c>
      <c r="DU1014" s="2" t="n">
        <v>0</v>
      </c>
      <c r="DV1014" s="2" t="n">
        <v>19.23</v>
      </c>
      <c r="DW1014" s="2" t="n">
        <v>11.54</v>
      </c>
      <c r="DX1014" s="2" t="n">
        <v>0</v>
      </c>
      <c r="DY1014" s="2" t="n">
        <v>23.85</v>
      </c>
      <c r="DZ1014" s="2" t="n">
        <v>12.31</v>
      </c>
      <c r="EA1014" s="2" t="n">
        <v>0</v>
      </c>
      <c r="EB1014" s="2" t="n">
        <v>38.46</v>
      </c>
      <c r="EC1014" s="2" t="n">
        <v>19.23</v>
      </c>
      <c r="ED1014" s="2" t="n">
        <v>0</v>
      </c>
      <c r="EE1014" s="2" t="n">
        <v>52.14</v>
      </c>
      <c r="EF1014" s="2" t="n">
        <v>32.69</v>
      </c>
      <c r="EG1014" s="2" t="n">
        <v>0</v>
      </c>
      <c r="EH1014" s="2" t="n">
        <v>65.81</v>
      </c>
      <c r="EI1014" s="2" t="n">
        <v>40</v>
      </c>
      <c r="EJ1014" s="2" t="n">
        <v>0</v>
      </c>
      <c r="EK1014" s="2" t="n">
        <v>73.93000000000001</v>
      </c>
      <c r="EL1014" s="2" t="n">
        <v>45</v>
      </c>
      <c r="EM1014" s="2" t="n">
        <v>0</v>
      </c>
      <c r="EN1014" s="2" t="n">
        <v>86.75</v>
      </c>
      <c r="EO1014" s="2" t="n">
        <v>50</v>
      </c>
      <c r="EP1014" s="2" t="n">
        <v>0</v>
      </c>
      <c r="EQ1014" s="2" t="n">
        <v>94.87</v>
      </c>
      <c r="ER1014" s="2" t="n">
        <v>59.62</v>
      </c>
      <c r="ES1014" s="2" t="n">
        <v>0</v>
      </c>
      <c r="ET1014" s="2" t="n">
        <v>100</v>
      </c>
      <c r="EU1014" s="2" t="n">
        <v>71.15000000000001</v>
      </c>
      <c r="EV1014" s="2" t="n">
        <v>0</v>
      </c>
      <c r="EW1014" s="2" t="n">
        <v>100</v>
      </c>
      <c r="EX1014" s="2" t="n">
        <v>76.92</v>
      </c>
      <c r="EY1014" s="2" t="n">
        <v>0</v>
      </c>
      <c r="EZ1014" s="2" t="n">
        <v>100</v>
      </c>
      <c r="FA1014" s="2" t="n">
        <v>81.92</v>
      </c>
      <c r="FB1014" s="2" t="n">
        <v>0</v>
      </c>
      <c r="FC1014" s="2" t="n">
        <v>100</v>
      </c>
      <c r="FD1014" s="2" t="n">
        <v>88.08</v>
      </c>
      <c r="FE1014" s="2" t="n">
        <v>0</v>
      </c>
      <c r="FF1014" s="2" t="n">
        <v>100</v>
      </c>
      <c r="FG1014" s="2" t="n">
        <v>92.31</v>
      </c>
      <c r="FH1014" s="2" t="n">
        <v>0</v>
      </c>
      <c r="FI1014" s="2" t="n">
        <v>100</v>
      </c>
      <c r="FJ1014" s="2" t="n">
        <v>97.69</v>
      </c>
      <c r="FK1014" s="2" t="n">
        <v>0</v>
      </c>
      <c r="FL1014" s="2" t="n">
        <v>100</v>
      </c>
      <c r="FM1014" s="2" t="n">
        <v>100</v>
      </c>
      <c r="FN1014" s="2" t="n">
        <v>0</v>
      </c>
      <c r="FO1014" s="2" t="n">
        <v>100</v>
      </c>
      <c r="FP1014" s="2" t="n">
        <v>100</v>
      </c>
      <c r="FQ1014" s="2" t="n">
        <v>0</v>
      </c>
    </row>
    <row r="1015">
      <c r="A1015" s="2" t="n">
        <v>3</v>
      </c>
      <c r="B1015" s="2" t="inlineStr">
        <is>
          <t>34.07.13</t>
        </is>
      </c>
      <c r="C1015" s="2" t="inlineStr">
        <is>
          <t>Acabamento cromado para registros de gaveta e pressão</t>
        </is>
      </c>
      <c r="D1015" s="2" t="inlineStr">
        <is>
          <t>20/10/2027</t>
        </is>
      </c>
      <c r="E1015" s="2" t="inlineStr">
        <is>
          <t>09/01/2029</t>
        </is>
      </c>
      <c r="F1015" s="2" t="n">
        <v>77099.7192257492</v>
      </c>
      <c r="G1015" s="2" t="n">
        <v>0</v>
      </c>
      <c r="H1015" s="2" t="n">
        <v>77099.7192257492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0</v>
      </c>
      <c r="CE1015" s="2" t="n">
        <v>0</v>
      </c>
      <c r="CF1015" s="2" t="n">
        <v>0</v>
      </c>
      <c r="CG1015" s="2" t="n">
        <v>0</v>
      </c>
      <c r="CH1015" s="2" t="n">
        <v>0</v>
      </c>
      <c r="CI1015" s="2" t="n">
        <v>0</v>
      </c>
      <c r="CJ1015" s="2" t="n">
        <v>0</v>
      </c>
      <c r="CK1015" s="2" t="n">
        <v>0</v>
      </c>
      <c r="CL1015" s="2" t="n">
        <v>0</v>
      </c>
      <c r="CM1015" s="2" t="n">
        <v>0</v>
      </c>
      <c r="CN1015" s="2" t="n">
        <v>0</v>
      </c>
      <c r="CO1015" s="2" t="n">
        <v>0</v>
      </c>
      <c r="CP1015" s="2" t="n">
        <v>0</v>
      </c>
      <c r="CQ1015" s="2" t="n">
        <v>0</v>
      </c>
      <c r="CR1015" s="2" t="n">
        <v>0</v>
      </c>
      <c r="CS1015" s="2" t="n">
        <v>0</v>
      </c>
      <c r="CT1015" s="2" t="n">
        <v>0</v>
      </c>
      <c r="CU1015" s="2" t="n">
        <v>0</v>
      </c>
      <c r="CV1015" s="2" t="n">
        <v>0</v>
      </c>
      <c r="CW1015" s="2" t="n">
        <v>0</v>
      </c>
      <c r="CX1015" s="2" t="n">
        <v>0</v>
      </c>
      <c r="CY1015" s="2" t="n">
        <v>0</v>
      </c>
      <c r="CZ1015" s="2" t="n">
        <v>0</v>
      </c>
      <c r="DA1015" s="2" t="n">
        <v>0</v>
      </c>
      <c r="DB1015" s="2" t="n">
        <v>0</v>
      </c>
      <c r="DC1015" s="2" t="n">
        <v>0</v>
      </c>
      <c r="DD1015" s="2" t="n">
        <v>0</v>
      </c>
      <c r="DE1015" s="2" t="n">
        <v>0</v>
      </c>
      <c r="DF1015" s="2" t="n">
        <v>0</v>
      </c>
      <c r="DG1015" s="2" t="n">
        <v>0</v>
      </c>
      <c r="DH1015" s="2" t="n">
        <v>0</v>
      </c>
      <c r="DI1015" s="2" t="n">
        <v>0</v>
      </c>
      <c r="DJ1015" s="2" t="n">
        <v>0</v>
      </c>
      <c r="DK1015" s="2" t="n">
        <v>0</v>
      </c>
      <c r="DL1015" s="2" t="n">
        <v>0</v>
      </c>
      <c r="DM1015" s="2" t="n">
        <v>4.7</v>
      </c>
      <c r="DN1015" s="2" t="n">
        <v>0</v>
      </c>
      <c r="DO1015" s="2" t="n">
        <v>0</v>
      </c>
      <c r="DP1015" s="2" t="n">
        <v>7.69</v>
      </c>
      <c r="DQ1015" s="2" t="n">
        <v>0</v>
      </c>
      <c r="DR1015" s="2" t="n">
        <v>0</v>
      </c>
      <c r="DS1015" s="2" t="n">
        <v>14.74</v>
      </c>
      <c r="DT1015" s="2" t="n">
        <v>4.23</v>
      </c>
      <c r="DU1015" s="2" t="n">
        <v>0</v>
      </c>
      <c r="DV1015" s="2" t="n">
        <v>19.23</v>
      </c>
      <c r="DW1015" s="2" t="n">
        <v>11.54</v>
      </c>
      <c r="DX1015" s="2" t="n">
        <v>0</v>
      </c>
      <c r="DY1015" s="2" t="n">
        <v>23.85</v>
      </c>
      <c r="DZ1015" s="2" t="n">
        <v>12.31</v>
      </c>
      <c r="EA1015" s="2" t="n">
        <v>0</v>
      </c>
      <c r="EB1015" s="2" t="n">
        <v>38.46</v>
      </c>
      <c r="EC1015" s="2" t="n">
        <v>19.23</v>
      </c>
      <c r="ED1015" s="2" t="n">
        <v>0</v>
      </c>
      <c r="EE1015" s="2" t="n">
        <v>52.14</v>
      </c>
      <c r="EF1015" s="2" t="n">
        <v>32.69</v>
      </c>
      <c r="EG1015" s="2" t="n">
        <v>0</v>
      </c>
      <c r="EH1015" s="2" t="n">
        <v>65.81</v>
      </c>
      <c r="EI1015" s="2" t="n">
        <v>40</v>
      </c>
      <c r="EJ1015" s="2" t="n">
        <v>0</v>
      </c>
      <c r="EK1015" s="2" t="n">
        <v>73.93000000000001</v>
      </c>
      <c r="EL1015" s="2" t="n">
        <v>45</v>
      </c>
      <c r="EM1015" s="2" t="n">
        <v>0</v>
      </c>
      <c r="EN1015" s="2" t="n">
        <v>86.75</v>
      </c>
      <c r="EO1015" s="2" t="n">
        <v>50</v>
      </c>
      <c r="EP1015" s="2" t="n">
        <v>0</v>
      </c>
      <c r="EQ1015" s="2" t="n">
        <v>94.87</v>
      </c>
      <c r="ER1015" s="2" t="n">
        <v>59.62</v>
      </c>
      <c r="ES1015" s="2" t="n">
        <v>0</v>
      </c>
      <c r="ET1015" s="2" t="n">
        <v>100</v>
      </c>
      <c r="EU1015" s="2" t="n">
        <v>71.15000000000001</v>
      </c>
      <c r="EV1015" s="2" t="n">
        <v>0</v>
      </c>
      <c r="EW1015" s="2" t="n">
        <v>100</v>
      </c>
      <c r="EX1015" s="2" t="n">
        <v>76.92</v>
      </c>
      <c r="EY1015" s="2" t="n">
        <v>0</v>
      </c>
      <c r="EZ1015" s="2" t="n">
        <v>100</v>
      </c>
      <c r="FA1015" s="2" t="n">
        <v>81.92</v>
      </c>
      <c r="FB1015" s="2" t="n">
        <v>0</v>
      </c>
      <c r="FC1015" s="2" t="n">
        <v>100</v>
      </c>
      <c r="FD1015" s="2" t="n">
        <v>88.08</v>
      </c>
      <c r="FE1015" s="2" t="n">
        <v>0</v>
      </c>
      <c r="FF1015" s="2" t="n">
        <v>100</v>
      </c>
      <c r="FG1015" s="2" t="n">
        <v>92.31</v>
      </c>
      <c r="FH1015" s="2" t="n">
        <v>0</v>
      </c>
      <c r="FI1015" s="2" t="n">
        <v>100</v>
      </c>
      <c r="FJ1015" s="2" t="n">
        <v>97.69</v>
      </c>
      <c r="FK1015" s="2" t="n">
        <v>0</v>
      </c>
      <c r="FL1015" s="2" t="n">
        <v>100</v>
      </c>
      <c r="FM1015" s="2" t="n">
        <v>100</v>
      </c>
      <c r="FN1015" s="2" t="n">
        <v>0</v>
      </c>
      <c r="FO1015" s="2" t="n">
        <v>100</v>
      </c>
      <c r="FP1015" s="2" t="n">
        <v>100</v>
      </c>
      <c r="FQ1015" s="2" t="n">
        <v>0</v>
      </c>
    </row>
    <row r="1016">
      <c r="A1016" s="2" t="n">
        <v>1</v>
      </c>
      <c r="B1016" s="2" t="inlineStr">
        <is>
          <t>35</t>
        </is>
      </c>
      <c r="C1016" s="2" t="inlineStr">
        <is>
          <t>PINTURAS</t>
        </is>
      </c>
      <c r="D1016" s="2" t="inlineStr">
        <is>
          <t>07/04/2026</t>
        </is>
      </c>
      <c r="E1016" s="2" t="inlineStr">
        <is>
          <t>23/01/2029</t>
        </is>
      </c>
      <c r="F1016" s="2" t="n">
        <v>2190870.851722123</v>
      </c>
      <c r="G1016" s="2" t="n">
        <v>0</v>
      </c>
      <c r="H1016" s="2" t="n">
        <v>2190870.851722123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</v>
      </c>
      <c r="AP1016" s="2" t="n">
        <v>0</v>
      </c>
      <c r="AQ1016" s="2" t="n">
        <v>0</v>
      </c>
      <c r="AR1016" s="2" t="n">
        <v>0</v>
      </c>
      <c r="AS1016" s="2" t="n">
        <v>0</v>
      </c>
      <c r="AT1016" s="2" t="n">
        <v>0</v>
      </c>
      <c r="AU1016" s="2" t="n">
        <v>0</v>
      </c>
      <c r="AV1016" s="2" t="n">
        <v>0</v>
      </c>
      <c r="AW1016" s="2" t="n">
        <v>0</v>
      </c>
      <c r="AX1016" s="2" t="n">
        <v>0</v>
      </c>
      <c r="AY1016" s="2" t="n">
        <v>0</v>
      </c>
      <c r="AZ1016" s="2" t="n">
        <v>0</v>
      </c>
      <c r="BA1016" s="2" t="n">
        <v>0</v>
      </c>
      <c r="BB1016" s="2" t="n">
        <v>0</v>
      </c>
      <c r="BC1016" s="2" t="n">
        <v>0</v>
      </c>
      <c r="BD1016" s="2" t="n">
        <v>0</v>
      </c>
      <c r="BE1016" s="2" t="n">
        <v>0</v>
      </c>
      <c r="BF1016" s="2" t="n">
        <v>0</v>
      </c>
      <c r="BG1016" s="2" t="n">
        <v>0</v>
      </c>
      <c r="BH1016" s="2" t="n">
        <v>0</v>
      </c>
      <c r="BI1016" s="2" t="n">
        <v>0</v>
      </c>
      <c r="BJ1016" s="2" t="n">
        <v>0.65</v>
      </c>
      <c r="BK1016" s="2" t="n">
        <v>0</v>
      </c>
      <c r="BL1016" s="2" t="n">
        <v>0</v>
      </c>
      <c r="BM1016" s="2" t="n">
        <v>0.1</v>
      </c>
      <c r="BN1016" s="2" t="n">
        <v>0</v>
      </c>
      <c r="BO1016" s="2" t="n">
        <v>0</v>
      </c>
      <c r="BP1016" s="2" t="n">
        <v>0.1</v>
      </c>
      <c r="BQ1016" s="2" t="n">
        <v>1.14</v>
      </c>
      <c r="BR1016" s="2" t="n">
        <v>1.14</v>
      </c>
      <c r="BS1016" s="2" t="n">
        <v>0.66</v>
      </c>
      <c r="BT1016" s="2" t="n">
        <v>2.72</v>
      </c>
      <c r="BU1016" s="2" t="n">
        <v>2.72</v>
      </c>
      <c r="BV1016" s="2" t="n">
        <v>2.58</v>
      </c>
      <c r="BW1016" s="2" t="n">
        <v>3.3</v>
      </c>
      <c r="BX1016" s="2" t="n">
        <v>3.3</v>
      </c>
      <c r="BY1016" s="2" t="n">
        <v>3.47</v>
      </c>
      <c r="BZ1016" s="2" t="n">
        <v>5.57</v>
      </c>
      <c r="CA1016" s="2" t="n">
        <v>5.57</v>
      </c>
      <c r="CB1016" s="2" t="n">
        <v>5.94</v>
      </c>
      <c r="CC1016" s="2" t="n">
        <v>5.94</v>
      </c>
      <c r="CD1016" s="2" t="n">
        <v>5.94</v>
      </c>
      <c r="CE1016" s="2" t="n">
        <v>5.94</v>
      </c>
      <c r="CF1016" s="2" t="n">
        <v>5.94</v>
      </c>
      <c r="CG1016" s="2" t="n">
        <v>5.94</v>
      </c>
      <c r="CH1016" s="2" t="n">
        <v>5.94</v>
      </c>
      <c r="CI1016" s="2" t="n">
        <v>5.94</v>
      </c>
      <c r="CJ1016" s="2" t="n">
        <v>5.94</v>
      </c>
      <c r="CK1016" s="2" t="n">
        <v>5.94</v>
      </c>
      <c r="CL1016" s="2" t="n">
        <v>5.94</v>
      </c>
      <c r="CM1016" s="2" t="n">
        <v>5.94</v>
      </c>
      <c r="CN1016" s="2" t="n">
        <v>5.94</v>
      </c>
      <c r="CO1016" s="2" t="n">
        <v>5.94</v>
      </c>
      <c r="CP1016" s="2" t="n">
        <v>5.94</v>
      </c>
      <c r="CQ1016" s="2" t="n">
        <v>5.94</v>
      </c>
      <c r="CR1016" s="2" t="n">
        <v>5.94</v>
      </c>
      <c r="CS1016" s="2" t="n">
        <v>5.94</v>
      </c>
      <c r="CT1016" s="2" t="n">
        <v>5.94</v>
      </c>
      <c r="CU1016" s="2" t="n">
        <v>5.94</v>
      </c>
      <c r="CV1016" s="2" t="n">
        <v>5.94</v>
      </c>
      <c r="CW1016" s="2" t="n">
        <v>5.94</v>
      </c>
      <c r="CX1016" s="2" t="n">
        <v>5.94</v>
      </c>
      <c r="CY1016" s="2" t="n">
        <v>5.94</v>
      </c>
      <c r="CZ1016" s="2" t="n">
        <v>5.94</v>
      </c>
      <c r="DA1016" s="2" t="n">
        <v>8.75</v>
      </c>
      <c r="DB1016" s="2" t="n">
        <v>6.15</v>
      </c>
      <c r="DC1016" s="2" t="n">
        <v>5.94</v>
      </c>
      <c r="DD1016" s="2" t="n">
        <v>11.45</v>
      </c>
      <c r="DE1016" s="2" t="n">
        <v>7.95</v>
      </c>
      <c r="DF1016" s="2" t="n">
        <v>5.94</v>
      </c>
      <c r="DG1016" s="2" t="n">
        <v>13.02</v>
      </c>
      <c r="DH1016" s="2" t="n">
        <v>11.24</v>
      </c>
      <c r="DI1016" s="2" t="n">
        <v>5.94</v>
      </c>
      <c r="DJ1016" s="2" t="n">
        <v>16.66</v>
      </c>
      <c r="DK1016" s="2" t="n">
        <v>14.95</v>
      </c>
      <c r="DL1016" s="2" t="n">
        <v>5.94</v>
      </c>
      <c r="DM1016" s="2" t="n">
        <v>20.62</v>
      </c>
      <c r="DN1016" s="2" t="n">
        <v>15.83</v>
      </c>
      <c r="DO1016" s="2" t="n">
        <v>5.94</v>
      </c>
      <c r="DP1016" s="2" t="n">
        <v>24.8</v>
      </c>
      <c r="DQ1016" s="2" t="n">
        <v>20.2</v>
      </c>
      <c r="DR1016" s="2" t="n">
        <v>5.94</v>
      </c>
      <c r="DS1016" s="2" t="n">
        <v>36.69</v>
      </c>
      <c r="DT1016" s="2" t="n">
        <v>30.48</v>
      </c>
      <c r="DU1016" s="2" t="n">
        <v>5.94</v>
      </c>
      <c r="DV1016" s="2" t="n">
        <v>50.11</v>
      </c>
      <c r="DW1016" s="2" t="n">
        <v>46.24</v>
      </c>
      <c r="DX1016" s="2" t="n">
        <v>5.94</v>
      </c>
      <c r="DY1016" s="2" t="n">
        <v>56.39</v>
      </c>
      <c r="DZ1016" s="2" t="n">
        <v>53.3</v>
      </c>
      <c r="EA1016" s="2" t="n">
        <v>5.94</v>
      </c>
      <c r="EB1016" s="2" t="n">
        <v>67.83</v>
      </c>
      <c r="EC1016" s="2" t="n">
        <v>61.92</v>
      </c>
      <c r="ED1016" s="2" t="n">
        <v>5.94</v>
      </c>
      <c r="EE1016" s="2" t="n">
        <v>85.83</v>
      </c>
      <c r="EF1016" s="2" t="n">
        <v>79.01000000000001</v>
      </c>
      <c r="EG1016" s="2" t="n">
        <v>5.94</v>
      </c>
      <c r="EH1016" s="2" t="n">
        <v>93.43000000000001</v>
      </c>
      <c r="EI1016" s="2" t="n">
        <v>85.15000000000001</v>
      </c>
      <c r="EJ1016" s="2" t="n">
        <v>5.94</v>
      </c>
      <c r="EK1016" s="2" t="n">
        <v>95.03</v>
      </c>
      <c r="EL1016" s="2" t="n">
        <v>88.03</v>
      </c>
      <c r="EM1016" s="2" t="n">
        <v>5.94</v>
      </c>
      <c r="EN1016" s="2" t="n">
        <v>97.19</v>
      </c>
      <c r="EO1016" s="2" t="n">
        <v>91.45999999999999</v>
      </c>
      <c r="EP1016" s="2" t="n">
        <v>5.94</v>
      </c>
      <c r="EQ1016" s="2" t="n">
        <v>99.18000000000001</v>
      </c>
      <c r="ER1016" s="2" t="n">
        <v>93.2</v>
      </c>
      <c r="ES1016" s="2" t="n">
        <v>5.94</v>
      </c>
      <c r="ET1016" s="2" t="n">
        <v>99.97</v>
      </c>
      <c r="EU1016" s="2" t="n">
        <v>94.77</v>
      </c>
      <c r="EV1016" s="2" t="n">
        <v>5.94</v>
      </c>
      <c r="EW1016" s="2" t="n">
        <v>100</v>
      </c>
      <c r="EX1016" s="2" t="n">
        <v>96.09</v>
      </c>
      <c r="EY1016" s="2" t="n">
        <v>5.94</v>
      </c>
      <c r="EZ1016" s="2" t="n">
        <v>100</v>
      </c>
      <c r="FA1016" s="2" t="n">
        <v>96.98</v>
      </c>
      <c r="FB1016" s="2" t="n">
        <v>5.94</v>
      </c>
      <c r="FC1016" s="2" t="n">
        <v>100</v>
      </c>
      <c r="FD1016" s="2" t="n">
        <v>97.86</v>
      </c>
      <c r="FE1016" s="2" t="n">
        <v>5.94</v>
      </c>
      <c r="FF1016" s="2" t="n">
        <v>100</v>
      </c>
      <c r="FG1016" s="2" t="n">
        <v>98.83</v>
      </c>
      <c r="FH1016" s="2" t="n">
        <v>5.94</v>
      </c>
      <c r="FI1016" s="2" t="n">
        <v>100</v>
      </c>
      <c r="FJ1016" s="2" t="n">
        <v>99.68000000000001</v>
      </c>
      <c r="FK1016" s="2" t="n">
        <v>5.94</v>
      </c>
      <c r="FL1016" s="2" t="n">
        <v>100</v>
      </c>
      <c r="FM1016" s="2" t="n">
        <v>100</v>
      </c>
      <c r="FN1016" s="2" t="n">
        <v>5.94</v>
      </c>
      <c r="FO1016" s="2" t="n">
        <v>100</v>
      </c>
      <c r="FP1016" s="2" t="n">
        <v>100</v>
      </c>
      <c r="FQ1016" s="2" t="n">
        <v>5.94</v>
      </c>
    </row>
    <row r="1017">
      <c r="A1017" s="2" t="n">
        <v>2</v>
      </c>
      <c r="B1017" s="2" t="inlineStr">
        <is>
          <t>35.01</t>
        </is>
      </c>
      <c r="C1017" s="2" t="inlineStr">
        <is>
          <t>Latex Acrílico</t>
        </is>
      </c>
      <c r="D1017" s="2" t="inlineStr">
        <is>
          <t>30/04/2027</t>
        </is>
      </c>
      <c r="E1017" s="2" t="inlineStr">
        <is>
          <t>23/01/2029</t>
        </is>
      </c>
      <c r="F1017" s="2" t="n">
        <v>1275680.476763168</v>
      </c>
      <c r="G1017" s="2" t="n">
        <v>0</v>
      </c>
      <c r="H1017" s="2" t="n">
        <v>1275680.476763168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0</v>
      </c>
      <c r="CE1017" s="2" t="n">
        <v>0</v>
      </c>
      <c r="CF1017" s="2" t="n">
        <v>0</v>
      </c>
      <c r="CG1017" s="2" t="n">
        <v>0</v>
      </c>
      <c r="CH1017" s="2" t="n">
        <v>0</v>
      </c>
      <c r="CI1017" s="2" t="n">
        <v>0</v>
      </c>
      <c r="CJ1017" s="2" t="n">
        <v>0</v>
      </c>
      <c r="CK1017" s="2" t="n">
        <v>0</v>
      </c>
      <c r="CL1017" s="2" t="n">
        <v>0</v>
      </c>
      <c r="CM1017" s="2" t="n">
        <v>0</v>
      </c>
      <c r="CN1017" s="2" t="n">
        <v>0</v>
      </c>
      <c r="CO1017" s="2" t="n">
        <v>0</v>
      </c>
      <c r="CP1017" s="2" t="n">
        <v>0</v>
      </c>
      <c r="CQ1017" s="2" t="n">
        <v>0</v>
      </c>
      <c r="CR1017" s="2" t="n">
        <v>0</v>
      </c>
      <c r="CS1017" s="2" t="n">
        <v>0</v>
      </c>
      <c r="CT1017" s="2" t="n">
        <v>0</v>
      </c>
      <c r="CU1017" s="2" t="n">
        <v>0</v>
      </c>
      <c r="CV1017" s="2" t="n">
        <v>0</v>
      </c>
      <c r="CW1017" s="2" t="n">
        <v>0</v>
      </c>
      <c r="CX1017" s="2" t="n">
        <v>0</v>
      </c>
      <c r="CY1017" s="2" t="n">
        <v>0</v>
      </c>
      <c r="CZ1017" s="2" t="n">
        <v>0</v>
      </c>
      <c r="DA1017" s="2" t="n">
        <v>4.63</v>
      </c>
      <c r="DB1017" s="2" t="n">
        <v>0.2</v>
      </c>
      <c r="DC1017" s="2" t="n">
        <v>0</v>
      </c>
      <c r="DD1017" s="2" t="n">
        <v>8.56</v>
      </c>
      <c r="DE1017" s="2" t="n">
        <v>2.62</v>
      </c>
      <c r="DF1017" s="2" t="n">
        <v>0</v>
      </c>
      <c r="DG1017" s="2" t="n">
        <v>10.47</v>
      </c>
      <c r="DH1017" s="2" t="n">
        <v>7.48</v>
      </c>
      <c r="DI1017" s="2" t="n">
        <v>0</v>
      </c>
      <c r="DJ1017" s="2" t="n">
        <v>15.99</v>
      </c>
      <c r="DK1017" s="2" t="n">
        <v>13.09</v>
      </c>
      <c r="DL1017" s="2" t="n">
        <v>0</v>
      </c>
      <c r="DM1017" s="2" t="n">
        <v>22.29</v>
      </c>
      <c r="DN1017" s="2" t="n">
        <v>14.24</v>
      </c>
      <c r="DO1017" s="2" t="n">
        <v>0</v>
      </c>
      <c r="DP1017" s="2" t="n">
        <v>29.3</v>
      </c>
      <c r="DQ1017" s="2" t="n">
        <v>21.66</v>
      </c>
      <c r="DR1017" s="2" t="n">
        <v>0</v>
      </c>
      <c r="DS1017" s="2" t="n">
        <v>44.35</v>
      </c>
      <c r="DT1017" s="2" t="n">
        <v>33.99</v>
      </c>
      <c r="DU1017" s="2" t="n">
        <v>0</v>
      </c>
      <c r="DV1017" s="2" t="n">
        <v>53.16</v>
      </c>
      <c r="DW1017" s="2" t="n">
        <v>46.83</v>
      </c>
      <c r="DX1017" s="2" t="n">
        <v>0</v>
      </c>
      <c r="DY1017" s="2" t="n">
        <v>58.01</v>
      </c>
      <c r="DZ1017" s="2" t="n">
        <v>52.93</v>
      </c>
      <c r="EA1017" s="2" t="n">
        <v>0</v>
      </c>
      <c r="EB1017" s="2" t="n">
        <v>67.68000000000001</v>
      </c>
      <c r="EC1017" s="2" t="n">
        <v>57.94</v>
      </c>
      <c r="ED1017" s="2" t="n">
        <v>0</v>
      </c>
      <c r="EE1017" s="2" t="n">
        <v>79.19</v>
      </c>
      <c r="EF1017" s="2" t="n">
        <v>67.97</v>
      </c>
      <c r="EG1017" s="2" t="n">
        <v>0</v>
      </c>
      <c r="EH1017" s="2" t="n">
        <v>89.48</v>
      </c>
      <c r="EI1017" s="2" t="n">
        <v>75.89</v>
      </c>
      <c r="EJ1017" s="2" t="n">
        <v>0</v>
      </c>
      <c r="EK1017" s="2" t="n">
        <v>92.02</v>
      </c>
      <c r="EL1017" s="2" t="n">
        <v>80.69</v>
      </c>
      <c r="EM1017" s="2" t="n">
        <v>0</v>
      </c>
      <c r="EN1017" s="2" t="n">
        <v>95.52</v>
      </c>
      <c r="EO1017" s="2" t="n">
        <v>86.34</v>
      </c>
      <c r="EP1017" s="2" t="n">
        <v>0</v>
      </c>
      <c r="EQ1017" s="2" t="n">
        <v>98.70999999999999</v>
      </c>
      <c r="ER1017" s="2" t="n">
        <v>89.16</v>
      </c>
      <c r="ES1017" s="2" t="n">
        <v>0</v>
      </c>
      <c r="ET1017" s="2" t="n">
        <v>99.95</v>
      </c>
      <c r="EU1017" s="2" t="n">
        <v>91.67</v>
      </c>
      <c r="EV1017" s="2" t="n">
        <v>0</v>
      </c>
      <c r="EW1017" s="2" t="n">
        <v>100</v>
      </c>
      <c r="EX1017" s="2" t="n">
        <v>93.77</v>
      </c>
      <c r="EY1017" s="2" t="n">
        <v>0</v>
      </c>
      <c r="EZ1017" s="2" t="n">
        <v>100</v>
      </c>
      <c r="FA1017" s="2" t="n">
        <v>95.19</v>
      </c>
      <c r="FB1017" s="2" t="n">
        <v>0</v>
      </c>
      <c r="FC1017" s="2" t="n">
        <v>100</v>
      </c>
      <c r="FD1017" s="2" t="n">
        <v>96.59</v>
      </c>
      <c r="FE1017" s="2" t="n">
        <v>0</v>
      </c>
      <c r="FF1017" s="2" t="n">
        <v>100</v>
      </c>
      <c r="FG1017" s="2" t="n">
        <v>98.14</v>
      </c>
      <c r="FH1017" s="2" t="n">
        <v>0</v>
      </c>
      <c r="FI1017" s="2" t="n">
        <v>100</v>
      </c>
      <c r="FJ1017" s="2" t="n">
        <v>99.5</v>
      </c>
      <c r="FK1017" s="2" t="n">
        <v>0</v>
      </c>
      <c r="FL1017" s="2" t="n">
        <v>100</v>
      </c>
      <c r="FM1017" s="2" t="n">
        <v>100</v>
      </c>
      <c r="FN1017" s="2" t="n">
        <v>0</v>
      </c>
      <c r="FO1017" s="2" t="n">
        <v>100</v>
      </c>
      <c r="FP1017" s="2" t="n">
        <v>100</v>
      </c>
      <c r="FQ1017" s="2" t="n">
        <v>0</v>
      </c>
    </row>
    <row r="1018">
      <c r="A1018" s="2" t="n">
        <v>3</v>
      </c>
      <c r="B1018" s="2" t="inlineStr">
        <is>
          <t>35.01.01</t>
        </is>
      </c>
      <c r="C1018" s="2" t="inlineStr">
        <is>
          <t>Emassamento acrílico (1 demão + retoques) 1a demão</t>
        </is>
      </c>
      <c r="D1018" s="2" t="inlineStr">
        <is>
          <t>30/04/2027</t>
        </is>
      </c>
      <c r="E1018" s="2" t="inlineStr">
        <is>
          <t>19/05/2028</t>
        </is>
      </c>
      <c r="F1018" s="2" t="n">
        <v>343332.162083315</v>
      </c>
      <c r="G1018" s="2" t="n">
        <v>0</v>
      </c>
      <c r="H1018" s="2" t="n">
        <v>343332.162083315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0</v>
      </c>
      <c r="CE1018" s="2" t="n">
        <v>0</v>
      </c>
      <c r="CF1018" s="2" t="n">
        <v>0</v>
      </c>
      <c r="CG1018" s="2" t="n">
        <v>0</v>
      </c>
      <c r="CH1018" s="2" t="n">
        <v>0</v>
      </c>
      <c r="CI1018" s="2" t="n">
        <v>0</v>
      </c>
      <c r="CJ1018" s="2" t="n">
        <v>0</v>
      </c>
      <c r="CK1018" s="2" t="n">
        <v>0</v>
      </c>
      <c r="CL1018" s="2" t="n">
        <v>0</v>
      </c>
      <c r="CM1018" s="2" t="n">
        <v>0</v>
      </c>
      <c r="CN1018" s="2" t="n">
        <v>0</v>
      </c>
      <c r="CO1018" s="2" t="n">
        <v>0</v>
      </c>
      <c r="CP1018" s="2" t="n">
        <v>0</v>
      </c>
      <c r="CQ1018" s="2" t="n">
        <v>0</v>
      </c>
      <c r="CR1018" s="2" t="n">
        <v>0</v>
      </c>
      <c r="CS1018" s="2" t="n">
        <v>0</v>
      </c>
      <c r="CT1018" s="2" t="n">
        <v>0</v>
      </c>
      <c r="CU1018" s="2" t="n">
        <v>0</v>
      </c>
      <c r="CV1018" s="2" t="n">
        <v>0</v>
      </c>
      <c r="CW1018" s="2" t="n">
        <v>0</v>
      </c>
      <c r="CX1018" s="2" t="n">
        <v>0</v>
      </c>
      <c r="CY1018" s="2" t="n">
        <v>0</v>
      </c>
      <c r="CZ1018" s="2" t="n">
        <v>0</v>
      </c>
      <c r="DA1018" s="2" t="n">
        <v>7.69</v>
      </c>
      <c r="DB1018" s="2" t="n">
        <v>0.38</v>
      </c>
      <c r="DC1018" s="2" t="n">
        <v>0</v>
      </c>
      <c r="DD1018" s="2" t="n">
        <v>13.19</v>
      </c>
      <c r="DE1018" s="2" t="n">
        <v>3.85</v>
      </c>
      <c r="DF1018" s="2" t="n">
        <v>0</v>
      </c>
      <c r="DG1018" s="2" t="n">
        <v>15.38</v>
      </c>
      <c r="DH1018" s="2" t="n">
        <v>11.54</v>
      </c>
      <c r="DI1018" s="2" t="n">
        <v>0</v>
      </c>
      <c r="DJ1018" s="2" t="n">
        <v>23.63</v>
      </c>
      <c r="DK1018" s="2" t="n">
        <v>19.23</v>
      </c>
      <c r="DL1018" s="2" t="n">
        <v>0</v>
      </c>
      <c r="DM1018" s="2" t="n">
        <v>31.32</v>
      </c>
      <c r="DN1018" s="2" t="n">
        <v>21.43</v>
      </c>
      <c r="DO1018" s="2" t="n">
        <v>0</v>
      </c>
      <c r="DP1018" s="2" t="n">
        <v>40.11</v>
      </c>
      <c r="DQ1018" s="2" t="n">
        <v>32.86</v>
      </c>
      <c r="DR1018" s="2" t="n">
        <v>0</v>
      </c>
      <c r="DS1018" s="2" t="n">
        <v>61.32</v>
      </c>
      <c r="DT1018" s="2" t="n">
        <v>49.45</v>
      </c>
      <c r="DU1018" s="2" t="n">
        <v>0</v>
      </c>
      <c r="DV1018" s="2" t="n">
        <v>69.23</v>
      </c>
      <c r="DW1018" s="2" t="n">
        <v>64.84</v>
      </c>
      <c r="DX1018" s="2" t="n">
        <v>0</v>
      </c>
      <c r="DY1018" s="2" t="n">
        <v>73.08</v>
      </c>
      <c r="DZ1018" s="2" t="n">
        <v>69.23</v>
      </c>
      <c r="EA1018" s="2" t="n">
        <v>0</v>
      </c>
      <c r="EB1018" s="2" t="n">
        <v>81.31999999999999</v>
      </c>
      <c r="EC1018" s="2" t="n">
        <v>73.08</v>
      </c>
      <c r="ED1018" s="2" t="n">
        <v>0</v>
      </c>
      <c r="EE1018" s="2" t="n">
        <v>92.31</v>
      </c>
      <c r="EF1018" s="2" t="n">
        <v>84.06999999999999</v>
      </c>
      <c r="EG1018" s="2" t="n">
        <v>0</v>
      </c>
      <c r="EH1018" s="2" t="n">
        <v>100</v>
      </c>
      <c r="EI1018" s="2" t="n">
        <v>91.20999999999999</v>
      </c>
      <c r="EJ1018" s="2" t="n">
        <v>0</v>
      </c>
      <c r="EK1018" s="2" t="n">
        <v>100</v>
      </c>
      <c r="EL1018" s="2" t="n">
        <v>96.15000000000001</v>
      </c>
      <c r="EM1018" s="2" t="n">
        <v>0</v>
      </c>
      <c r="EN1018" s="2" t="n">
        <v>100</v>
      </c>
      <c r="EO1018" s="2" t="n">
        <v>100</v>
      </c>
      <c r="EP1018" s="2" t="n">
        <v>0</v>
      </c>
      <c r="EQ1018" s="2" t="n">
        <v>100</v>
      </c>
      <c r="ER1018" s="2" t="n">
        <v>100</v>
      </c>
      <c r="ES1018" s="2" t="n">
        <v>0</v>
      </c>
      <c r="ET1018" s="2" t="n">
        <v>100</v>
      </c>
      <c r="EU1018" s="2" t="n">
        <v>100</v>
      </c>
      <c r="EV1018" s="2" t="n">
        <v>0</v>
      </c>
      <c r="EW1018" s="2" t="n">
        <v>100</v>
      </c>
      <c r="EX1018" s="2" t="n">
        <v>100</v>
      </c>
      <c r="EY1018" s="2" t="n">
        <v>0</v>
      </c>
      <c r="EZ1018" s="2" t="n">
        <v>100</v>
      </c>
      <c r="FA1018" s="2" t="n">
        <v>100</v>
      </c>
      <c r="FB1018" s="2" t="n">
        <v>0</v>
      </c>
      <c r="FC1018" s="2" t="n">
        <v>100</v>
      </c>
      <c r="FD1018" s="2" t="n">
        <v>100</v>
      </c>
      <c r="FE1018" s="2" t="n">
        <v>0</v>
      </c>
      <c r="FF1018" s="2" t="n">
        <v>100</v>
      </c>
      <c r="FG1018" s="2" t="n">
        <v>100</v>
      </c>
      <c r="FH1018" s="2" t="n">
        <v>0</v>
      </c>
      <c r="FI1018" s="2" t="n">
        <v>100</v>
      </c>
      <c r="FJ1018" s="2" t="n">
        <v>100</v>
      </c>
      <c r="FK1018" s="2" t="n">
        <v>0</v>
      </c>
      <c r="FL1018" s="2" t="n">
        <v>100</v>
      </c>
      <c r="FM1018" s="2" t="n">
        <v>100</v>
      </c>
      <c r="FN1018" s="2" t="n">
        <v>0</v>
      </c>
      <c r="FO1018" s="2" t="n">
        <v>100</v>
      </c>
      <c r="FP1018" s="2" t="n">
        <v>100</v>
      </c>
      <c r="FQ1018" s="2" t="n">
        <v>0</v>
      </c>
    </row>
    <row r="1019">
      <c r="A1019" s="2" t="n">
        <v>3</v>
      </c>
      <c r="B1019" s="2" t="inlineStr">
        <is>
          <t>35.01.02</t>
        </is>
      </c>
      <c r="C1019" s="2" t="inlineStr">
        <is>
          <t>Emassamento acrílico (1 demão + retoques) 2a demão</t>
        </is>
      </c>
      <c r="D1019" s="2" t="inlineStr">
        <is>
          <t>30/04/2027</t>
        </is>
      </c>
      <c r="E1019" s="2" t="inlineStr">
        <is>
          <t>19/05/2028</t>
        </is>
      </c>
      <c r="F1019" s="2" t="n">
        <v>324747.7831698533</v>
      </c>
      <c r="G1019" s="2" t="n">
        <v>0</v>
      </c>
      <c r="H1019" s="2" t="n">
        <v>324747.7831698533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0</v>
      </c>
      <c r="CE1019" s="2" t="n">
        <v>0</v>
      </c>
      <c r="CF1019" s="2" t="n">
        <v>0</v>
      </c>
      <c r="CG1019" s="2" t="n">
        <v>0</v>
      </c>
      <c r="CH1019" s="2" t="n">
        <v>0</v>
      </c>
      <c r="CI1019" s="2" t="n">
        <v>0</v>
      </c>
      <c r="CJ1019" s="2" t="n">
        <v>0</v>
      </c>
      <c r="CK1019" s="2" t="n">
        <v>0</v>
      </c>
      <c r="CL1019" s="2" t="n">
        <v>0</v>
      </c>
      <c r="CM1019" s="2" t="n">
        <v>0</v>
      </c>
      <c r="CN1019" s="2" t="n">
        <v>0</v>
      </c>
      <c r="CO1019" s="2" t="n">
        <v>0</v>
      </c>
      <c r="CP1019" s="2" t="n">
        <v>0</v>
      </c>
      <c r="CQ1019" s="2" t="n">
        <v>0</v>
      </c>
      <c r="CR1019" s="2" t="n">
        <v>0</v>
      </c>
      <c r="CS1019" s="2" t="n">
        <v>0</v>
      </c>
      <c r="CT1019" s="2" t="n">
        <v>0</v>
      </c>
      <c r="CU1019" s="2" t="n">
        <v>0</v>
      </c>
      <c r="CV1019" s="2" t="n">
        <v>0</v>
      </c>
      <c r="CW1019" s="2" t="n">
        <v>0</v>
      </c>
      <c r="CX1019" s="2" t="n">
        <v>0</v>
      </c>
      <c r="CY1019" s="2" t="n">
        <v>0</v>
      </c>
      <c r="CZ1019" s="2" t="n">
        <v>0</v>
      </c>
      <c r="DA1019" s="2" t="n">
        <v>7.69</v>
      </c>
      <c r="DB1019" s="2" t="n">
        <v>0.38</v>
      </c>
      <c r="DC1019" s="2" t="n">
        <v>0</v>
      </c>
      <c r="DD1019" s="2" t="n">
        <v>13.19</v>
      </c>
      <c r="DE1019" s="2" t="n">
        <v>3.85</v>
      </c>
      <c r="DF1019" s="2" t="n">
        <v>0</v>
      </c>
      <c r="DG1019" s="2" t="n">
        <v>15.38</v>
      </c>
      <c r="DH1019" s="2" t="n">
        <v>11.54</v>
      </c>
      <c r="DI1019" s="2" t="n">
        <v>0</v>
      </c>
      <c r="DJ1019" s="2" t="n">
        <v>23.63</v>
      </c>
      <c r="DK1019" s="2" t="n">
        <v>19.23</v>
      </c>
      <c r="DL1019" s="2" t="n">
        <v>0</v>
      </c>
      <c r="DM1019" s="2" t="n">
        <v>31.32</v>
      </c>
      <c r="DN1019" s="2" t="n">
        <v>21.43</v>
      </c>
      <c r="DO1019" s="2" t="n">
        <v>0</v>
      </c>
      <c r="DP1019" s="2" t="n">
        <v>40.11</v>
      </c>
      <c r="DQ1019" s="2" t="n">
        <v>32.86</v>
      </c>
      <c r="DR1019" s="2" t="n">
        <v>0</v>
      </c>
      <c r="DS1019" s="2" t="n">
        <v>61.32</v>
      </c>
      <c r="DT1019" s="2" t="n">
        <v>49.45</v>
      </c>
      <c r="DU1019" s="2" t="n">
        <v>0</v>
      </c>
      <c r="DV1019" s="2" t="n">
        <v>69.23</v>
      </c>
      <c r="DW1019" s="2" t="n">
        <v>64.84</v>
      </c>
      <c r="DX1019" s="2" t="n">
        <v>0</v>
      </c>
      <c r="DY1019" s="2" t="n">
        <v>73.08</v>
      </c>
      <c r="DZ1019" s="2" t="n">
        <v>69.23</v>
      </c>
      <c r="EA1019" s="2" t="n">
        <v>0</v>
      </c>
      <c r="EB1019" s="2" t="n">
        <v>81.31999999999999</v>
      </c>
      <c r="EC1019" s="2" t="n">
        <v>73.08</v>
      </c>
      <c r="ED1019" s="2" t="n">
        <v>0</v>
      </c>
      <c r="EE1019" s="2" t="n">
        <v>92.31</v>
      </c>
      <c r="EF1019" s="2" t="n">
        <v>84.06999999999999</v>
      </c>
      <c r="EG1019" s="2" t="n">
        <v>0</v>
      </c>
      <c r="EH1019" s="2" t="n">
        <v>100</v>
      </c>
      <c r="EI1019" s="2" t="n">
        <v>91.20999999999999</v>
      </c>
      <c r="EJ1019" s="2" t="n">
        <v>0</v>
      </c>
      <c r="EK1019" s="2" t="n">
        <v>100</v>
      </c>
      <c r="EL1019" s="2" t="n">
        <v>96.15000000000001</v>
      </c>
      <c r="EM1019" s="2" t="n">
        <v>0</v>
      </c>
      <c r="EN1019" s="2" t="n">
        <v>100</v>
      </c>
      <c r="EO1019" s="2" t="n">
        <v>100</v>
      </c>
      <c r="EP1019" s="2" t="n">
        <v>0</v>
      </c>
      <c r="EQ1019" s="2" t="n">
        <v>100</v>
      </c>
      <c r="ER1019" s="2" t="n">
        <v>100</v>
      </c>
      <c r="ES1019" s="2" t="n">
        <v>0</v>
      </c>
      <c r="ET1019" s="2" t="n">
        <v>100</v>
      </c>
      <c r="EU1019" s="2" t="n">
        <v>100</v>
      </c>
      <c r="EV1019" s="2" t="n">
        <v>0</v>
      </c>
      <c r="EW1019" s="2" t="n">
        <v>100</v>
      </c>
      <c r="EX1019" s="2" t="n">
        <v>100</v>
      </c>
      <c r="EY1019" s="2" t="n">
        <v>0</v>
      </c>
      <c r="EZ1019" s="2" t="n">
        <v>100</v>
      </c>
      <c r="FA1019" s="2" t="n">
        <v>100</v>
      </c>
      <c r="FB1019" s="2" t="n">
        <v>0</v>
      </c>
      <c r="FC1019" s="2" t="n">
        <v>100</v>
      </c>
      <c r="FD1019" s="2" t="n">
        <v>100</v>
      </c>
      <c r="FE1019" s="2" t="n">
        <v>0</v>
      </c>
      <c r="FF1019" s="2" t="n">
        <v>100</v>
      </c>
      <c r="FG1019" s="2" t="n">
        <v>100</v>
      </c>
      <c r="FH1019" s="2" t="n">
        <v>0</v>
      </c>
      <c r="FI1019" s="2" t="n">
        <v>100</v>
      </c>
      <c r="FJ1019" s="2" t="n">
        <v>100</v>
      </c>
      <c r="FK1019" s="2" t="n">
        <v>0</v>
      </c>
      <c r="FL1019" s="2" t="n">
        <v>100</v>
      </c>
      <c r="FM1019" s="2" t="n">
        <v>100</v>
      </c>
      <c r="FN1019" s="2" t="n">
        <v>0</v>
      </c>
      <c r="FO1019" s="2" t="n">
        <v>100</v>
      </c>
      <c r="FP1019" s="2" t="n">
        <v>100</v>
      </c>
      <c r="FQ1019" s="2" t="n">
        <v>0</v>
      </c>
    </row>
    <row r="1020">
      <c r="A1020" s="2" t="n">
        <v>3</v>
      </c>
      <c r="B1020" s="2" t="inlineStr">
        <is>
          <t>35.01.03</t>
        </is>
      </c>
      <c r="C1020" s="2" t="inlineStr">
        <is>
          <t>Pintura acrílica sobre paredes - Reboco (1 demão selador + 3 demãos Latex acrílico)</t>
        </is>
      </c>
      <c r="D1020" s="2" t="inlineStr">
        <is>
          <t>14/05/2027</t>
        </is>
      </c>
      <c r="E1020" s="2" t="inlineStr">
        <is>
          <t>23/01/2029</t>
        </is>
      </c>
      <c r="F1020" s="2" t="n">
        <v>397248.94471</v>
      </c>
      <c r="G1020" s="2" t="n">
        <v>0</v>
      </c>
      <c r="H1020" s="2" t="n">
        <v>397248.94471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0</v>
      </c>
      <c r="CE1020" s="2" t="n">
        <v>0</v>
      </c>
      <c r="CF1020" s="2" t="n">
        <v>0</v>
      </c>
      <c r="CG1020" s="2" t="n">
        <v>0</v>
      </c>
      <c r="CH1020" s="2" t="n">
        <v>0</v>
      </c>
      <c r="CI1020" s="2" t="n">
        <v>0</v>
      </c>
      <c r="CJ1020" s="2" t="n">
        <v>0</v>
      </c>
      <c r="CK1020" s="2" t="n">
        <v>0</v>
      </c>
      <c r="CL1020" s="2" t="n">
        <v>0</v>
      </c>
      <c r="CM1020" s="2" t="n">
        <v>0</v>
      </c>
      <c r="CN1020" s="2" t="n">
        <v>0</v>
      </c>
      <c r="CO1020" s="2" t="n">
        <v>0</v>
      </c>
      <c r="CP1020" s="2" t="n">
        <v>0</v>
      </c>
      <c r="CQ1020" s="2" t="n">
        <v>0</v>
      </c>
      <c r="CR1020" s="2" t="n">
        <v>0</v>
      </c>
      <c r="CS1020" s="2" t="n">
        <v>0</v>
      </c>
      <c r="CT1020" s="2" t="n">
        <v>0</v>
      </c>
      <c r="CU1020" s="2" t="n">
        <v>0</v>
      </c>
      <c r="CV1020" s="2" t="n">
        <v>0</v>
      </c>
      <c r="CW1020" s="2" t="n">
        <v>0</v>
      </c>
      <c r="CX1020" s="2" t="n">
        <v>0</v>
      </c>
      <c r="CY1020" s="2" t="n">
        <v>0</v>
      </c>
      <c r="CZ1020" s="2" t="n">
        <v>0</v>
      </c>
      <c r="DA1020" s="2" t="n">
        <v>1.27</v>
      </c>
      <c r="DB1020" s="2" t="n">
        <v>0</v>
      </c>
      <c r="DC1020" s="2" t="n">
        <v>0</v>
      </c>
      <c r="DD1020" s="2" t="n">
        <v>3.48</v>
      </c>
      <c r="DE1020" s="2" t="n">
        <v>1.27</v>
      </c>
      <c r="DF1020" s="2" t="n">
        <v>0</v>
      </c>
      <c r="DG1020" s="2" t="n">
        <v>5.07</v>
      </c>
      <c r="DH1020" s="2" t="n">
        <v>3.01</v>
      </c>
      <c r="DI1020" s="2" t="n">
        <v>0</v>
      </c>
      <c r="DJ1020" s="2" t="n">
        <v>7.6</v>
      </c>
      <c r="DK1020" s="2" t="n">
        <v>6.33</v>
      </c>
      <c r="DL1020" s="2" t="n">
        <v>0</v>
      </c>
      <c r="DM1020" s="2" t="n">
        <v>12.37</v>
      </c>
      <c r="DN1020" s="2" t="n">
        <v>6.33</v>
      </c>
      <c r="DO1020" s="2" t="n">
        <v>0</v>
      </c>
      <c r="DP1020" s="2" t="n">
        <v>17.42</v>
      </c>
      <c r="DQ1020" s="2" t="n">
        <v>9.34</v>
      </c>
      <c r="DR1020" s="2" t="n">
        <v>0</v>
      </c>
      <c r="DS1020" s="2" t="n">
        <v>25.7</v>
      </c>
      <c r="DT1020" s="2" t="n">
        <v>16.99</v>
      </c>
      <c r="DU1020" s="2" t="n">
        <v>0</v>
      </c>
      <c r="DV1020" s="2" t="n">
        <v>35.49</v>
      </c>
      <c r="DW1020" s="2" t="n">
        <v>27.04</v>
      </c>
      <c r="DX1020" s="2" t="n">
        <v>0</v>
      </c>
      <c r="DY1020" s="2" t="n">
        <v>41.44</v>
      </c>
      <c r="DZ1020" s="2" t="n">
        <v>35.02</v>
      </c>
      <c r="EA1020" s="2" t="n">
        <v>0</v>
      </c>
      <c r="EB1020" s="2" t="n">
        <v>52.68</v>
      </c>
      <c r="EC1020" s="2" t="n">
        <v>41.29</v>
      </c>
      <c r="ED1020" s="2" t="n">
        <v>0</v>
      </c>
      <c r="EE1020" s="2" t="n">
        <v>64.76000000000001</v>
      </c>
      <c r="EF1020" s="2" t="n">
        <v>50.28</v>
      </c>
      <c r="EG1020" s="2" t="n">
        <v>0</v>
      </c>
      <c r="EH1020" s="2" t="n">
        <v>77.92</v>
      </c>
      <c r="EI1020" s="2" t="n">
        <v>59.04</v>
      </c>
      <c r="EJ1020" s="2" t="n">
        <v>0</v>
      </c>
      <c r="EK1020" s="2" t="n">
        <v>83.25</v>
      </c>
      <c r="EL1020" s="2" t="n">
        <v>63.69</v>
      </c>
      <c r="EM1020" s="2" t="n">
        <v>0</v>
      </c>
      <c r="EN1020" s="2" t="n">
        <v>90.59</v>
      </c>
      <c r="EO1020" s="2" t="n">
        <v>71.33</v>
      </c>
      <c r="EP1020" s="2" t="n">
        <v>0</v>
      </c>
      <c r="EQ1020" s="2" t="n">
        <v>97.3</v>
      </c>
      <c r="ER1020" s="2" t="n">
        <v>77.23999999999999</v>
      </c>
      <c r="ES1020" s="2" t="n">
        <v>0</v>
      </c>
      <c r="ET1020" s="2" t="n">
        <v>99.89</v>
      </c>
      <c r="EU1020" s="2" t="n">
        <v>82.51000000000001</v>
      </c>
      <c r="EV1020" s="2" t="n">
        <v>0</v>
      </c>
      <c r="EW1020" s="2" t="n">
        <v>100</v>
      </c>
      <c r="EX1020" s="2" t="n">
        <v>86.92</v>
      </c>
      <c r="EY1020" s="2" t="n">
        <v>0</v>
      </c>
      <c r="EZ1020" s="2" t="n">
        <v>100</v>
      </c>
      <c r="FA1020" s="2" t="n">
        <v>89.90000000000001</v>
      </c>
      <c r="FB1020" s="2" t="n">
        <v>0</v>
      </c>
      <c r="FC1020" s="2" t="n">
        <v>100</v>
      </c>
      <c r="FD1020" s="2" t="n">
        <v>92.84</v>
      </c>
      <c r="FE1020" s="2" t="n">
        <v>0</v>
      </c>
      <c r="FF1020" s="2" t="n">
        <v>100</v>
      </c>
      <c r="FG1020" s="2" t="n">
        <v>96.09999999999999</v>
      </c>
      <c r="FH1020" s="2" t="n">
        <v>0</v>
      </c>
      <c r="FI1020" s="2" t="n">
        <v>100</v>
      </c>
      <c r="FJ1020" s="2" t="n">
        <v>98.94</v>
      </c>
      <c r="FK1020" s="2" t="n">
        <v>0</v>
      </c>
      <c r="FL1020" s="2" t="n">
        <v>100</v>
      </c>
      <c r="FM1020" s="2" t="n">
        <v>100</v>
      </c>
      <c r="FN1020" s="2" t="n">
        <v>0</v>
      </c>
      <c r="FO1020" s="2" t="n">
        <v>100</v>
      </c>
      <c r="FP1020" s="2" t="n">
        <v>100</v>
      </c>
      <c r="FQ1020" s="2" t="n">
        <v>0</v>
      </c>
    </row>
    <row r="1021">
      <c r="A1021" s="2" t="n">
        <v>3</v>
      </c>
      <c r="B1021" s="2" t="inlineStr">
        <is>
          <t>35.01.04</t>
        </is>
      </c>
      <c r="C1021" s="2" t="inlineStr">
        <is>
          <t>INT - Pintura acrílica sobre paredes - gesso cleneo quadriculado (2 demãos Latex acrílico)</t>
        </is>
      </c>
      <c r="D1021" s="2" t="inlineStr">
        <is>
          <t>14/05/2027</t>
        </is>
      </c>
      <c r="E1021" s="2" t="inlineStr">
        <is>
          <t>23/01/2029</t>
        </is>
      </c>
      <c r="F1021" s="2" t="n">
        <v>376.9407999999999</v>
      </c>
      <c r="G1021" s="2" t="n">
        <v>0</v>
      </c>
      <c r="H1021" s="2" t="n">
        <v>376.9407999999999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0</v>
      </c>
      <c r="CE1021" s="2" t="n">
        <v>0</v>
      </c>
      <c r="CF1021" s="2" t="n">
        <v>0</v>
      </c>
      <c r="CG1021" s="2" t="n">
        <v>0</v>
      </c>
      <c r="CH1021" s="2" t="n">
        <v>0</v>
      </c>
      <c r="CI1021" s="2" t="n">
        <v>0</v>
      </c>
      <c r="CJ1021" s="2" t="n">
        <v>0</v>
      </c>
      <c r="CK1021" s="2" t="n">
        <v>0</v>
      </c>
      <c r="CL1021" s="2" t="n">
        <v>0</v>
      </c>
      <c r="CM1021" s="2" t="n">
        <v>0</v>
      </c>
      <c r="CN1021" s="2" t="n">
        <v>0</v>
      </c>
      <c r="CO1021" s="2" t="n">
        <v>0</v>
      </c>
      <c r="CP1021" s="2" t="n">
        <v>0</v>
      </c>
      <c r="CQ1021" s="2" t="n">
        <v>0</v>
      </c>
      <c r="CR1021" s="2" t="n">
        <v>0</v>
      </c>
      <c r="CS1021" s="2" t="n">
        <v>0</v>
      </c>
      <c r="CT1021" s="2" t="n">
        <v>0</v>
      </c>
      <c r="CU1021" s="2" t="n">
        <v>0</v>
      </c>
      <c r="CV1021" s="2" t="n">
        <v>0</v>
      </c>
      <c r="CW1021" s="2" t="n">
        <v>0</v>
      </c>
      <c r="CX1021" s="2" t="n">
        <v>0</v>
      </c>
      <c r="CY1021" s="2" t="n">
        <v>0</v>
      </c>
      <c r="CZ1021" s="2" t="n">
        <v>0</v>
      </c>
      <c r="DA1021" s="2" t="n">
        <v>1.11</v>
      </c>
      <c r="DB1021" s="2" t="n">
        <v>0</v>
      </c>
      <c r="DC1021" s="2" t="n">
        <v>0</v>
      </c>
      <c r="DD1021" s="2" t="n">
        <v>3.06</v>
      </c>
      <c r="DE1021" s="2" t="n">
        <v>1.11</v>
      </c>
      <c r="DF1021" s="2" t="n">
        <v>0</v>
      </c>
      <c r="DG1021" s="2" t="n">
        <v>4.44</v>
      </c>
      <c r="DH1021" s="2" t="n">
        <v>2.64</v>
      </c>
      <c r="DI1021" s="2" t="n">
        <v>0</v>
      </c>
      <c r="DJ1021" s="2" t="n">
        <v>6.67</v>
      </c>
      <c r="DK1021" s="2" t="n">
        <v>5.56</v>
      </c>
      <c r="DL1021" s="2" t="n">
        <v>0</v>
      </c>
      <c r="DM1021" s="2" t="n">
        <v>11.06</v>
      </c>
      <c r="DN1021" s="2" t="n">
        <v>5.56</v>
      </c>
      <c r="DO1021" s="2" t="n">
        <v>0</v>
      </c>
      <c r="DP1021" s="2" t="n">
        <v>16.23</v>
      </c>
      <c r="DQ1021" s="2" t="n">
        <v>8.19</v>
      </c>
      <c r="DR1021" s="2" t="n">
        <v>0</v>
      </c>
      <c r="DS1021" s="2" t="n">
        <v>23.77</v>
      </c>
      <c r="DT1021" s="2" t="n">
        <v>14.97</v>
      </c>
      <c r="DU1021" s="2" t="n">
        <v>0</v>
      </c>
      <c r="DV1021" s="2" t="n">
        <v>33.49</v>
      </c>
      <c r="DW1021" s="2" t="n">
        <v>24.71</v>
      </c>
      <c r="DX1021" s="2" t="n">
        <v>0</v>
      </c>
      <c r="DY1021" s="2" t="n">
        <v>38.88</v>
      </c>
      <c r="DZ1021" s="2" t="n">
        <v>32.61</v>
      </c>
      <c r="EA1021" s="2" t="n">
        <v>0</v>
      </c>
      <c r="EB1021" s="2" t="n">
        <v>50.48</v>
      </c>
      <c r="EC1021" s="2" t="n">
        <v>38.56</v>
      </c>
      <c r="ED1021" s="2" t="n">
        <v>0</v>
      </c>
      <c r="EE1021" s="2" t="n">
        <v>62.55</v>
      </c>
      <c r="EF1021" s="2" t="n">
        <v>47.54</v>
      </c>
      <c r="EG1021" s="2" t="n">
        <v>0</v>
      </c>
      <c r="EH1021" s="2" t="n">
        <v>75.90000000000001</v>
      </c>
      <c r="EI1021" s="2" t="n">
        <v>56.52</v>
      </c>
      <c r="EJ1021" s="2" t="n">
        <v>0</v>
      </c>
      <c r="EK1021" s="2" t="n">
        <v>81.98</v>
      </c>
      <c r="EL1021" s="2" t="n">
        <v>61.14</v>
      </c>
      <c r="EM1021" s="2" t="n">
        <v>0</v>
      </c>
      <c r="EN1021" s="2" t="n">
        <v>89.31</v>
      </c>
      <c r="EO1021" s="2" t="n">
        <v>68.72</v>
      </c>
      <c r="EP1021" s="2" t="n">
        <v>0</v>
      </c>
      <c r="EQ1021" s="2" t="n">
        <v>96.64</v>
      </c>
      <c r="ER1021" s="2" t="n">
        <v>74.67</v>
      </c>
      <c r="ES1021" s="2" t="n">
        <v>0</v>
      </c>
      <c r="ET1021" s="2" t="n">
        <v>99.86</v>
      </c>
      <c r="EU1021" s="2" t="n">
        <v>80.54000000000001</v>
      </c>
      <c r="EV1021" s="2" t="n">
        <v>0</v>
      </c>
      <c r="EW1021" s="2" t="n">
        <v>100</v>
      </c>
      <c r="EX1021" s="2" t="n">
        <v>85.43000000000001</v>
      </c>
      <c r="EY1021" s="2" t="n">
        <v>0</v>
      </c>
      <c r="EZ1021" s="2" t="n">
        <v>100</v>
      </c>
      <c r="FA1021" s="2" t="n">
        <v>88.73999999999999</v>
      </c>
      <c r="FB1021" s="2" t="n">
        <v>0</v>
      </c>
      <c r="FC1021" s="2" t="n">
        <v>100</v>
      </c>
      <c r="FD1021" s="2" t="n">
        <v>91.88</v>
      </c>
      <c r="FE1021" s="2" t="n">
        <v>0</v>
      </c>
      <c r="FF1021" s="2" t="n">
        <v>100</v>
      </c>
      <c r="FG1021" s="2" t="n">
        <v>95.40000000000001</v>
      </c>
      <c r="FH1021" s="2" t="n">
        <v>0</v>
      </c>
      <c r="FI1021" s="2" t="n">
        <v>100</v>
      </c>
      <c r="FJ1021" s="2" t="n">
        <v>98.59</v>
      </c>
      <c r="FK1021" s="2" t="n">
        <v>0</v>
      </c>
      <c r="FL1021" s="2" t="n">
        <v>100</v>
      </c>
      <c r="FM1021" s="2" t="n">
        <v>100</v>
      </c>
      <c r="FN1021" s="2" t="n">
        <v>0</v>
      </c>
      <c r="FO1021" s="2" t="n">
        <v>100</v>
      </c>
      <c r="FP1021" s="2" t="n">
        <v>100</v>
      </c>
      <c r="FQ1021" s="2" t="n">
        <v>0</v>
      </c>
    </row>
    <row r="1022">
      <c r="A1022" s="2" t="n">
        <v>3</v>
      </c>
      <c r="B1022" s="2" t="inlineStr">
        <is>
          <t>35.01.05</t>
        </is>
      </c>
      <c r="C1022" s="2" t="inlineStr">
        <is>
          <t>Pintura acrílica sob tetos  (2 demãos Latex acrílico)</t>
        </is>
      </c>
      <c r="D1022" s="2" t="inlineStr">
        <is>
          <t>14/05/2027</t>
        </is>
      </c>
      <c r="E1022" s="2" t="inlineStr">
        <is>
          <t>23/01/2029</t>
        </is>
      </c>
      <c r="F1022" s="2" t="n">
        <v>209974.646</v>
      </c>
      <c r="G1022" s="2" t="n">
        <v>0</v>
      </c>
      <c r="H1022" s="2" t="n">
        <v>209974.646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0</v>
      </c>
      <c r="CE1022" s="2" t="n">
        <v>0</v>
      </c>
      <c r="CF1022" s="2" t="n">
        <v>0</v>
      </c>
      <c r="CG1022" s="2" t="n">
        <v>0</v>
      </c>
      <c r="CH1022" s="2" t="n">
        <v>0</v>
      </c>
      <c r="CI1022" s="2" t="n">
        <v>0</v>
      </c>
      <c r="CJ1022" s="2" t="n">
        <v>0</v>
      </c>
      <c r="CK1022" s="2" t="n">
        <v>0</v>
      </c>
      <c r="CL1022" s="2" t="n">
        <v>0</v>
      </c>
      <c r="CM1022" s="2" t="n">
        <v>0</v>
      </c>
      <c r="CN1022" s="2" t="n">
        <v>0</v>
      </c>
      <c r="CO1022" s="2" t="n">
        <v>0</v>
      </c>
      <c r="CP1022" s="2" t="n">
        <v>0</v>
      </c>
      <c r="CQ1022" s="2" t="n">
        <v>0</v>
      </c>
      <c r="CR1022" s="2" t="n">
        <v>0</v>
      </c>
      <c r="CS1022" s="2" t="n">
        <v>0</v>
      </c>
      <c r="CT1022" s="2" t="n">
        <v>0</v>
      </c>
      <c r="CU1022" s="2" t="n">
        <v>0</v>
      </c>
      <c r="CV1022" s="2" t="n">
        <v>0</v>
      </c>
      <c r="CW1022" s="2" t="n">
        <v>0</v>
      </c>
      <c r="CX1022" s="2" t="n">
        <v>0</v>
      </c>
      <c r="CY1022" s="2" t="n">
        <v>0</v>
      </c>
      <c r="CZ1022" s="2" t="n">
        <v>0</v>
      </c>
      <c r="DA1022" s="2" t="n">
        <v>1.27</v>
      </c>
      <c r="DB1022" s="2" t="n">
        <v>0</v>
      </c>
      <c r="DC1022" s="2" t="n">
        <v>0</v>
      </c>
      <c r="DD1022" s="2" t="n">
        <v>3.48</v>
      </c>
      <c r="DE1022" s="2" t="n">
        <v>1.27</v>
      </c>
      <c r="DF1022" s="2" t="n">
        <v>0</v>
      </c>
      <c r="DG1022" s="2" t="n">
        <v>5.07</v>
      </c>
      <c r="DH1022" s="2" t="n">
        <v>3.01</v>
      </c>
      <c r="DI1022" s="2" t="n">
        <v>0</v>
      </c>
      <c r="DJ1022" s="2" t="n">
        <v>7.6</v>
      </c>
      <c r="DK1022" s="2" t="n">
        <v>6.33</v>
      </c>
      <c r="DL1022" s="2" t="n">
        <v>0</v>
      </c>
      <c r="DM1022" s="2" t="n">
        <v>12.37</v>
      </c>
      <c r="DN1022" s="2" t="n">
        <v>6.33</v>
      </c>
      <c r="DO1022" s="2" t="n">
        <v>0</v>
      </c>
      <c r="DP1022" s="2" t="n">
        <v>17.42</v>
      </c>
      <c r="DQ1022" s="2" t="n">
        <v>9.34</v>
      </c>
      <c r="DR1022" s="2" t="n">
        <v>0</v>
      </c>
      <c r="DS1022" s="2" t="n">
        <v>25.7</v>
      </c>
      <c r="DT1022" s="2" t="n">
        <v>16.99</v>
      </c>
      <c r="DU1022" s="2" t="n">
        <v>0</v>
      </c>
      <c r="DV1022" s="2" t="n">
        <v>35.49</v>
      </c>
      <c r="DW1022" s="2" t="n">
        <v>27.04</v>
      </c>
      <c r="DX1022" s="2" t="n">
        <v>0</v>
      </c>
      <c r="DY1022" s="2" t="n">
        <v>41.44</v>
      </c>
      <c r="DZ1022" s="2" t="n">
        <v>35.02</v>
      </c>
      <c r="EA1022" s="2" t="n">
        <v>0</v>
      </c>
      <c r="EB1022" s="2" t="n">
        <v>52.68</v>
      </c>
      <c r="EC1022" s="2" t="n">
        <v>41.29</v>
      </c>
      <c r="ED1022" s="2" t="n">
        <v>0</v>
      </c>
      <c r="EE1022" s="2" t="n">
        <v>64.76000000000001</v>
      </c>
      <c r="EF1022" s="2" t="n">
        <v>50.28</v>
      </c>
      <c r="EG1022" s="2" t="n">
        <v>0</v>
      </c>
      <c r="EH1022" s="2" t="n">
        <v>77.92</v>
      </c>
      <c r="EI1022" s="2" t="n">
        <v>59.04</v>
      </c>
      <c r="EJ1022" s="2" t="n">
        <v>0</v>
      </c>
      <c r="EK1022" s="2" t="n">
        <v>83.25</v>
      </c>
      <c r="EL1022" s="2" t="n">
        <v>63.69</v>
      </c>
      <c r="EM1022" s="2" t="n">
        <v>0</v>
      </c>
      <c r="EN1022" s="2" t="n">
        <v>90.59</v>
      </c>
      <c r="EO1022" s="2" t="n">
        <v>71.33</v>
      </c>
      <c r="EP1022" s="2" t="n">
        <v>0</v>
      </c>
      <c r="EQ1022" s="2" t="n">
        <v>97.3</v>
      </c>
      <c r="ER1022" s="2" t="n">
        <v>77.23999999999999</v>
      </c>
      <c r="ES1022" s="2" t="n">
        <v>0</v>
      </c>
      <c r="ET1022" s="2" t="n">
        <v>99.89</v>
      </c>
      <c r="EU1022" s="2" t="n">
        <v>82.51000000000001</v>
      </c>
      <c r="EV1022" s="2" t="n">
        <v>0</v>
      </c>
      <c r="EW1022" s="2" t="n">
        <v>100</v>
      </c>
      <c r="EX1022" s="2" t="n">
        <v>86.92</v>
      </c>
      <c r="EY1022" s="2" t="n">
        <v>0</v>
      </c>
      <c r="EZ1022" s="2" t="n">
        <v>100</v>
      </c>
      <c r="FA1022" s="2" t="n">
        <v>89.90000000000001</v>
      </c>
      <c r="FB1022" s="2" t="n">
        <v>0</v>
      </c>
      <c r="FC1022" s="2" t="n">
        <v>100</v>
      </c>
      <c r="FD1022" s="2" t="n">
        <v>92.84</v>
      </c>
      <c r="FE1022" s="2" t="n">
        <v>0</v>
      </c>
      <c r="FF1022" s="2" t="n">
        <v>100</v>
      </c>
      <c r="FG1022" s="2" t="n">
        <v>96.09999999999999</v>
      </c>
      <c r="FH1022" s="2" t="n">
        <v>0</v>
      </c>
      <c r="FI1022" s="2" t="n">
        <v>100</v>
      </c>
      <c r="FJ1022" s="2" t="n">
        <v>98.94</v>
      </c>
      <c r="FK1022" s="2" t="n">
        <v>0</v>
      </c>
      <c r="FL1022" s="2" t="n">
        <v>100</v>
      </c>
      <c r="FM1022" s="2" t="n">
        <v>100</v>
      </c>
      <c r="FN1022" s="2" t="n">
        <v>0</v>
      </c>
      <c r="FO1022" s="2" t="n">
        <v>100</v>
      </c>
      <c r="FP1022" s="2" t="n">
        <v>100</v>
      </c>
      <c r="FQ1022" s="2" t="n">
        <v>0</v>
      </c>
    </row>
    <row r="1023">
      <c r="A1023" s="2" t="n">
        <v>2</v>
      </c>
      <c r="B1023" s="2" t="inlineStr">
        <is>
          <t>35.02</t>
        </is>
      </c>
      <c r="C1023" s="2" t="inlineStr">
        <is>
          <t>Esmalte sintético</t>
        </is>
      </c>
      <c r="D1023" s="2" t="inlineStr">
        <is>
          <t>14/05/2027</t>
        </is>
      </c>
      <c r="E1023" s="2" t="inlineStr">
        <is>
          <t>23/01/2029</t>
        </is>
      </c>
      <c r="F1023" s="2" t="n">
        <v>41176.46701709452</v>
      </c>
      <c r="G1023" s="2" t="n">
        <v>0</v>
      </c>
      <c r="H1023" s="2" t="n">
        <v>41176.46701709452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0</v>
      </c>
      <c r="CE1023" s="2" t="n">
        <v>0</v>
      </c>
      <c r="CF1023" s="2" t="n">
        <v>0</v>
      </c>
      <c r="CG1023" s="2" t="n">
        <v>0</v>
      </c>
      <c r="CH1023" s="2" t="n">
        <v>0</v>
      </c>
      <c r="CI1023" s="2" t="n">
        <v>0</v>
      </c>
      <c r="CJ1023" s="2" t="n">
        <v>0</v>
      </c>
      <c r="CK1023" s="2" t="n">
        <v>0</v>
      </c>
      <c r="CL1023" s="2" t="n">
        <v>0</v>
      </c>
      <c r="CM1023" s="2" t="n">
        <v>0</v>
      </c>
      <c r="CN1023" s="2" t="n">
        <v>0</v>
      </c>
      <c r="CO1023" s="2" t="n">
        <v>0</v>
      </c>
      <c r="CP1023" s="2" t="n">
        <v>0</v>
      </c>
      <c r="CQ1023" s="2" t="n">
        <v>0</v>
      </c>
      <c r="CR1023" s="2" t="n">
        <v>0</v>
      </c>
      <c r="CS1023" s="2" t="n">
        <v>0</v>
      </c>
      <c r="CT1023" s="2" t="n">
        <v>0</v>
      </c>
      <c r="CU1023" s="2" t="n">
        <v>0</v>
      </c>
      <c r="CV1023" s="2" t="n">
        <v>0</v>
      </c>
      <c r="CW1023" s="2" t="n">
        <v>0</v>
      </c>
      <c r="CX1023" s="2" t="n">
        <v>0</v>
      </c>
      <c r="CY1023" s="2" t="n">
        <v>0</v>
      </c>
      <c r="CZ1023" s="2" t="n">
        <v>0</v>
      </c>
      <c r="DA1023" s="2" t="n">
        <v>1.11</v>
      </c>
      <c r="DB1023" s="2" t="n">
        <v>0</v>
      </c>
      <c r="DC1023" s="2" t="n">
        <v>0</v>
      </c>
      <c r="DD1023" s="2" t="n">
        <v>3.05</v>
      </c>
      <c r="DE1023" s="2" t="n">
        <v>1.11</v>
      </c>
      <c r="DF1023" s="2" t="n">
        <v>0</v>
      </c>
      <c r="DG1023" s="2" t="n">
        <v>4.44</v>
      </c>
      <c r="DH1023" s="2" t="n">
        <v>2.64</v>
      </c>
      <c r="DI1023" s="2" t="n">
        <v>0</v>
      </c>
      <c r="DJ1023" s="2" t="n">
        <v>6.27</v>
      </c>
      <c r="DK1023" s="2" t="n">
        <v>5.16</v>
      </c>
      <c r="DL1023" s="2" t="n">
        <v>0</v>
      </c>
      <c r="DM1023" s="2" t="n">
        <v>10.68</v>
      </c>
      <c r="DN1023" s="2" t="n">
        <v>5.16</v>
      </c>
      <c r="DO1023" s="2" t="n">
        <v>0</v>
      </c>
      <c r="DP1023" s="2" t="n">
        <v>16.07</v>
      </c>
      <c r="DQ1023" s="2" t="n">
        <v>7.99</v>
      </c>
      <c r="DR1023" s="2" t="n">
        <v>0</v>
      </c>
      <c r="DS1023" s="2" t="n">
        <v>22.57</v>
      </c>
      <c r="DT1023" s="2" t="n">
        <v>13.27</v>
      </c>
      <c r="DU1023" s="2" t="n">
        <v>0</v>
      </c>
      <c r="DV1023" s="2" t="n">
        <v>31.1</v>
      </c>
      <c r="DW1023" s="2" t="n">
        <v>21.32</v>
      </c>
      <c r="DX1023" s="2" t="n">
        <v>0</v>
      </c>
      <c r="DY1023" s="2" t="n">
        <v>34.79</v>
      </c>
      <c r="DZ1023" s="2" t="n">
        <v>27.14</v>
      </c>
      <c r="EA1023" s="2" t="n">
        <v>0</v>
      </c>
      <c r="EB1023" s="2" t="n">
        <v>45.16</v>
      </c>
      <c r="EC1023" s="2" t="n">
        <v>32.12</v>
      </c>
      <c r="ED1023" s="2" t="n">
        <v>0</v>
      </c>
      <c r="EE1023" s="2" t="n">
        <v>59.67</v>
      </c>
      <c r="EF1023" s="2" t="n">
        <v>44.25</v>
      </c>
      <c r="EG1023" s="2" t="n">
        <v>0</v>
      </c>
      <c r="EH1023" s="2" t="n">
        <v>76.3</v>
      </c>
      <c r="EI1023" s="2" t="n">
        <v>56.82</v>
      </c>
      <c r="EJ1023" s="2" t="n">
        <v>0</v>
      </c>
      <c r="EK1023" s="2" t="n">
        <v>82.56999999999999</v>
      </c>
      <c r="EL1023" s="2" t="n">
        <v>61.48</v>
      </c>
      <c r="EM1023" s="2" t="n">
        <v>0</v>
      </c>
      <c r="EN1023" s="2" t="n">
        <v>89.38</v>
      </c>
      <c r="EO1023" s="2" t="n">
        <v>68.59</v>
      </c>
      <c r="EP1023" s="2" t="n">
        <v>0</v>
      </c>
      <c r="EQ1023" s="2" t="n">
        <v>96.5</v>
      </c>
      <c r="ER1023" s="2" t="n">
        <v>74.12</v>
      </c>
      <c r="ES1023" s="2" t="n">
        <v>0</v>
      </c>
      <c r="ET1023" s="2" t="n">
        <v>99.84999999999999</v>
      </c>
      <c r="EU1023" s="2" t="n">
        <v>80.04000000000001</v>
      </c>
      <c r="EV1023" s="2" t="n">
        <v>0</v>
      </c>
      <c r="EW1023" s="2" t="n">
        <v>100</v>
      </c>
      <c r="EX1023" s="2" t="n">
        <v>85.06</v>
      </c>
      <c r="EY1023" s="2" t="n">
        <v>0</v>
      </c>
      <c r="EZ1023" s="2" t="n">
        <v>100</v>
      </c>
      <c r="FA1023" s="2" t="n">
        <v>88.44</v>
      </c>
      <c r="FB1023" s="2" t="n">
        <v>0</v>
      </c>
      <c r="FC1023" s="2" t="n">
        <v>100</v>
      </c>
      <c r="FD1023" s="2" t="n">
        <v>91.65000000000001</v>
      </c>
      <c r="FE1023" s="2" t="n">
        <v>0</v>
      </c>
      <c r="FF1023" s="2" t="n">
        <v>100</v>
      </c>
      <c r="FG1023" s="2" t="n">
        <v>95.23999999999999</v>
      </c>
      <c r="FH1023" s="2" t="n">
        <v>0</v>
      </c>
      <c r="FI1023" s="2" t="n">
        <v>100</v>
      </c>
      <c r="FJ1023" s="2" t="n">
        <v>98.51000000000001</v>
      </c>
      <c r="FK1023" s="2" t="n">
        <v>0</v>
      </c>
      <c r="FL1023" s="2" t="n">
        <v>100</v>
      </c>
      <c r="FM1023" s="2" t="n">
        <v>100</v>
      </c>
      <c r="FN1023" s="2" t="n">
        <v>0</v>
      </c>
      <c r="FO1023" s="2" t="n">
        <v>100</v>
      </c>
      <c r="FP1023" s="2" t="n">
        <v>100</v>
      </c>
      <c r="FQ1023" s="2" t="n">
        <v>0</v>
      </c>
    </row>
    <row r="1024">
      <c r="A1024" s="2" t="n">
        <v>3</v>
      </c>
      <c r="B1024" s="2" t="inlineStr">
        <is>
          <t>35.02.01</t>
        </is>
      </c>
      <c r="C1024" s="2" t="inlineStr">
        <is>
          <t>Pintura esmalte sobre esquadrias de aço  (1 demão zarcão + 2 demãos esmalte)</t>
        </is>
      </c>
      <c r="D1024" s="2" t="inlineStr">
        <is>
          <t>14/05/2027</t>
        </is>
      </c>
      <c r="E1024" s="2" t="inlineStr">
        <is>
          <t>23/01/2029</t>
        </is>
      </c>
      <c r="F1024" s="2" t="n">
        <v>41176.46701709452</v>
      </c>
      <c r="G1024" s="2" t="n">
        <v>0</v>
      </c>
      <c r="H1024" s="2" t="n">
        <v>41176.46701709452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0</v>
      </c>
      <c r="CE1024" s="2" t="n">
        <v>0</v>
      </c>
      <c r="CF1024" s="2" t="n">
        <v>0</v>
      </c>
      <c r="CG1024" s="2" t="n">
        <v>0</v>
      </c>
      <c r="CH1024" s="2" t="n">
        <v>0</v>
      </c>
      <c r="CI1024" s="2" t="n">
        <v>0</v>
      </c>
      <c r="CJ1024" s="2" t="n">
        <v>0</v>
      </c>
      <c r="CK1024" s="2" t="n">
        <v>0</v>
      </c>
      <c r="CL1024" s="2" t="n">
        <v>0</v>
      </c>
      <c r="CM1024" s="2" t="n">
        <v>0</v>
      </c>
      <c r="CN1024" s="2" t="n">
        <v>0</v>
      </c>
      <c r="CO1024" s="2" t="n">
        <v>0</v>
      </c>
      <c r="CP1024" s="2" t="n">
        <v>0</v>
      </c>
      <c r="CQ1024" s="2" t="n">
        <v>0</v>
      </c>
      <c r="CR1024" s="2" t="n">
        <v>0</v>
      </c>
      <c r="CS1024" s="2" t="n">
        <v>0</v>
      </c>
      <c r="CT1024" s="2" t="n">
        <v>0</v>
      </c>
      <c r="CU1024" s="2" t="n">
        <v>0</v>
      </c>
      <c r="CV1024" s="2" t="n">
        <v>0</v>
      </c>
      <c r="CW1024" s="2" t="n">
        <v>0</v>
      </c>
      <c r="CX1024" s="2" t="n">
        <v>0</v>
      </c>
      <c r="CY1024" s="2" t="n">
        <v>0</v>
      </c>
      <c r="CZ1024" s="2" t="n">
        <v>0</v>
      </c>
      <c r="DA1024" s="2" t="n">
        <v>1.11</v>
      </c>
      <c r="DB1024" s="2" t="n">
        <v>0</v>
      </c>
      <c r="DC1024" s="2" t="n">
        <v>0</v>
      </c>
      <c r="DD1024" s="2" t="n">
        <v>3.05</v>
      </c>
      <c r="DE1024" s="2" t="n">
        <v>1.11</v>
      </c>
      <c r="DF1024" s="2" t="n">
        <v>0</v>
      </c>
      <c r="DG1024" s="2" t="n">
        <v>4.44</v>
      </c>
      <c r="DH1024" s="2" t="n">
        <v>2.64</v>
      </c>
      <c r="DI1024" s="2" t="n">
        <v>0</v>
      </c>
      <c r="DJ1024" s="2" t="n">
        <v>6.27</v>
      </c>
      <c r="DK1024" s="2" t="n">
        <v>5.16</v>
      </c>
      <c r="DL1024" s="2" t="n">
        <v>0</v>
      </c>
      <c r="DM1024" s="2" t="n">
        <v>10.68</v>
      </c>
      <c r="DN1024" s="2" t="n">
        <v>5.16</v>
      </c>
      <c r="DO1024" s="2" t="n">
        <v>0</v>
      </c>
      <c r="DP1024" s="2" t="n">
        <v>16.07</v>
      </c>
      <c r="DQ1024" s="2" t="n">
        <v>7.99</v>
      </c>
      <c r="DR1024" s="2" t="n">
        <v>0</v>
      </c>
      <c r="DS1024" s="2" t="n">
        <v>22.57</v>
      </c>
      <c r="DT1024" s="2" t="n">
        <v>13.27</v>
      </c>
      <c r="DU1024" s="2" t="n">
        <v>0</v>
      </c>
      <c r="DV1024" s="2" t="n">
        <v>31.1</v>
      </c>
      <c r="DW1024" s="2" t="n">
        <v>21.32</v>
      </c>
      <c r="DX1024" s="2" t="n">
        <v>0</v>
      </c>
      <c r="DY1024" s="2" t="n">
        <v>34.79</v>
      </c>
      <c r="DZ1024" s="2" t="n">
        <v>27.14</v>
      </c>
      <c r="EA1024" s="2" t="n">
        <v>0</v>
      </c>
      <c r="EB1024" s="2" t="n">
        <v>45.16</v>
      </c>
      <c r="EC1024" s="2" t="n">
        <v>32.12</v>
      </c>
      <c r="ED1024" s="2" t="n">
        <v>0</v>
      </c>
      <c r="EE1024" s="2" t="n">
        <v>59.67</v>
      </c>
      <c r="EF1024" s="2" t="n">
        <v>44.25</v>
      </c>
      <c r="EG1024" s="2" t="n">
        <v>0</v>
      </c>
      <c r="EH1024" s="2" t="n">
        <v>76.3</v>
      </c>
      <c r="EI1024" s="2" t="n">
        <v>56.82</v>
      </c>
      <c r="EJ1024" s="2" t="n">
        <v>0</v>
      </c>
      <c r="EK1024" s="2" t="n">
        <v>82.56999999999999</v>
      </c>
      <c r="EL1024" s="2" t="n">
        <v>61.48</v>
      </c>
      <c r="EM1024" s="2" t="n">
        <v>0</v>
      </c>
      <c r="EN1024" s="2" t="n">
        <v>89.38</v>
      </c>
      <c r="EO1024" s="2" t="n">
        <v>68.59</v>
      </c>
      <c r="EP1024" s="2" t="n">
        <v>0</v>
      </c>
      <c r="EQ1024" s="2" t="n">
        <v>96.5</v>
      </c>
      <c r="ER1024" s="2" t="n">
        <v>74.12</v>
      </c>
      <c r="ES1024" s="2" t="n">
        <v>0</v>
      </c>
      <c r="ET1024" s="2" t="n">
        <v>99.84999999999999</v>
      </c>
      <c r="EU1024" s="2" t="n">
        <v>80.04000000000001</v>
      </c>
      <c r="EV1024" s="2" t="n">
        <v>0</v>
      </c>
      <c r="EW1024" s="2" t="n">
        <v>100</v>
      </c>
      <c r="EX1024" s="2" t="n">
        <v>85.06</v>
      </c>
      <c r="EY1024" s="2" t="n">
        <v>0</v>
      </c>
      <c r="EZ1024" s="2" t="n">
        <v>100</v>
      </c>
      <c r="FA1024" s="2" t="n">
        <v>88.44</v>
      </c>
      <c r="FB1024" s="2" t="n">
        <v>0</v>
      </c>
      <c r="FC1024" s="2" t="n">
        <v>100</v>
      </c>
      <c r="FD1024" s="2" t="n">
        <v>91.65000000000001</v>
      </c>
      <c r="FE1024" s="2" t="n">
        <v>0</v>
      </c>
      <c r="FF1024" s="2" t="n">
        <v>100</v>
      </c>
      <c r="FG1024" s="2" t="n">
        <v>95.23999999999999</v>
      </c>
      <c r="FH1024" s="2" t="n">
        <v>0</v>
      </c>
      <c r="FI1024" s="2" t="n">
        <v>100</v>
      </c>
      <c r="FJ1024" s="2" t="n">
        <v>98.51000000000001</v>
      </c>
      <c r="FK1024" s="2" t="n">
        <v>0</v>
      </c>
      <c r="FL1024" s="2" t="n">
        <v>100</v>
      </c>
      <c r="FM1024" s="2" t="n">
        <v>100</v>
      </c>
      <c r="FN1024" s="2" t="n">
        <v>0</v>
      </c>
      <c r="FO1024" s="2" t="n">
        <v>100</v>
      </c>
      <c r="FP1024" s="2" t="n">
        <v>100</v>
      </c>
      <c r="FQ1024" s="2" t="n">
        <v>0</v>
      </c>
    </row>
    <row r="1025">
      <c r="A1025" s="2" t="n">
        <v>2</v>
      </c>
      <c r="B1025" s="2" t="inlineStr">
        <is>
          <t>35.03</t>
        </is>
      </c>
      <c r="C1025" s="2" t="inlineStr">
        <is>
          <t>Especiais</t>
        </is>
      </c>
      <c r="D1025" s="2" t="inlineStr">
        <is>
          <t>11/10/2027</t>
        </is>
      </c>
      <c r="E1025" s="2" t="inlineStr">
        <is>
          <t>02/02/2028</t>
        </is>
      </c>
      <c r="F1025" s="2" t="n">
        <v>144849.4824758934</v>
      </c>
      <c r="G1025" s="2" t="n">
        <v>0</v>
      </c>
      <c r="H1025" s="2" t="n">
        <v>144849.4824758934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0</v>
      </c>
      <c r="CE1025" s="2" t="n">
        <v>0</v>
      </c>
      <c r="CF1025" s="2" t="n">
        <v>0</v>
      </c>
      <c r="CG1025" s="2" t="n">
        <v>0</v>
      </c>
      <c r="CH1025" s="2" t="n">
        <v>0</v>
      </c>
      <c r="CI1025" s="2" t="n">
        <v>0</v>
      </c>
      <c r="CJ1025" s="2" t="n">
        <v>0</v>
      </c>
      <c r="CK1025" s="2" t="n">
        <v>0</v>
      </c>
      <c r="CL1025" s="2" t="n">
        <v>0</v>
      </c>
      <c r="CM1025" s="2" t="n">
        <v>0</v>
      </c>
      <c r="CN1025" s="2" t="n">
        <v>0</v>
      </c>
      <c r="CO1025" s="2" t="n">
        <v>0</v>
      </c>
      <c r="CP1025" s="2" t="n">
        <v>0</v>
      </c>
      <c r="CQ1025" s="2" t="n">
        <v>0</v>
      </c>
      <c r="CR1025" s="2" t="n">
        <v>0</v>
      </c>
      <c r="CS1025" s="2" t="n">
        <v>0</v>
      </c>
      <c r="CT1025" s="2" t="n">
        <v>0</v>
      </c>
      <c r="CU1025" s="2" t="n">
        <v>0</v>
      </c>
      <c r="CV1025" s="2" t="n">
        <v>0</v>
      </c>
      <c r="CW1025" s="2" t="n">
        <v>0</v>
      </c>
      <c r="CX1025" s="2" t="n">
        <v>0</v>
      </c>
      <c r="CY1025" s="2" t="n">
        <v>0</v>
      </c>
      <c r="CZ1025" s="2" t="n">
        <v>0</v>
      </c>
      <c r="DA1025" s="2" t="n">
        <v>0</v>
      </c>
      <c r="DB1025" s="2" t="n">
        <v>0</v>
      </c>
      <c r="DC1025" s="2" t="n">
        <v>0</v>
      </c>
      <c r="DD1025" s="2" t="n">
        <v>0</v>
      </c>
      <c r="DE1025" s="2" t="n">
        <v>0</v>
      </c>
      <c r="DF1025" s="2" t="n">
        <v>0</v>
      </c>
      <c r="DG1025" s="2" t="n">
        <v>0</v>
      </c>
      <c r="DH1025" s="2" t="n">
        <v>0</v>
      </c>
      <c r="DI1025" s="2" t="n">
        <v>0</v>
      </c>
      <c r="DJ1025" s="2" t="n">
        <v>0</v>
      </c>
      <c r="DK1025" s="2" t="n">
        <v>0</v>
      </c>
      <c r="DL1025" s="2" t="n">
        <v>0</v>
      </c>
      <c r="DM1025" s="2" t="n">
        <v>0</v>
      </c>
      <c r="DN1025" s="2" t="n">
        <v>0</v>
      </c>
      <c r="DO1025" s="2" t="n">
        <v>0</v>
      </c>
      <c r="DP1025" s="2" t="n">
        <v>0</v>
      </c>
      <c r="DQ1025" s="2" t="n">
        <v>0</v>
      </c>
      <c r="DR1025" s="2" t="n">
        <v>0</v>
      </c>
      <c r="DS1025" s="2" t="n">
        <v>19.09</v>
      </c>
      <c r="DT1025" s="2" t="n">
        <v>19.09</v>
      </c>
      <c r="DU1025" s="2" t="n">
        <v>0</v>
      </c>
      <c r="DV1025" s="2" t="n">
        <v>30</v>
      </c>
      <c r="DW1025" s="2" t="n">
        <v>30</v>
      </c>
      <c r="DX1025" s="2" t="n">
        <v>0</v>
      </c>
      <c r="DY1025" s="2" t="n">
        <v>46.33</v>
      </c>
      <c r="DZ1025" s="2" t="n">
        <v>46.33</v>
      </c>
      <c r="EA1025" s="2" t="n">
        <v>0</v>
      </c>
      <c r="EB1025" s="2" t="n">
        <v>95.33</v>
      </c>
      <c r="EC1025" s="2" t="n">
        <v>95.33</v>
      </c>
      <c r="ED1025" s="2" t="n">
        <v>0</v>
      </c>
      <c r="EE1025" s="2" t="n">
        <v>100</v>
      </c>
      <c r="EF1025" s="2" t="n">
        <v>100</v>
      </c>
      <c r="EG1025" s="2" t="n">
        <v>0</v>
      </c>
      <c r="EH1025" s="2" t="n">
        <v>100</v>
      </c>
      <c r="EI1025" s="2" t="n">
        <v>100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  <c r="EQ1025" s="2" t="n">
        <v>100</v>
      </c>
      <c r="ER1025" s="2" t="n">
        <v>100</v>
      </c>
      <c r="ES1025" s="2" t="n">
        <v>0</v>
      </c>
      <c r="ET1025" s="2" t="n">
        <v>100</v>
      </c>
      <c r="EU1025" s="2" t="n">
        <v>100</v>
      </c>
      <c r="EV1025" s="2" t="n">
        <v>0</v>
      </c>
      <c r="EW1025" s="2" t="n">
        <v>100</v>
      </c>
      <c r="EX1025" s="2" t="n">
        <v>100</v>
      </c>
      <c r="EY1025" s="2" t="n">
        <v>0</v>
      </c>
      <c r="EZ1025" s="2" t="n">
        <v>100</v>
      </c>
      <c r="FA1025" s="2" t="n">
        <v>100</v>
      </c>
      <c r="FB1025" s="2" t="n">
        <v>0</v>
      </c>
      <c r="FC1025" s="2" t="n">
        <v>100</v>
      </c>
      <c r="FD1025" s="2" t="n">
        <v>100</v>
      </c>
      <c r="FE1025" s="2" t="n">
        <v>0</v>
      </c>
      <c r="FF1025" s="2" t="n">
        <v>100</v>
      </c>
      <c r="FG1025" s="2" t="n">
        <v>100</v>
      </c>
      <c r="FH1025" s="2" t="n">
        <v>0</v>
      </c>
      <c r="FI1025" s="2" t="n">
        <v>100</v>
      </c>
      <c r="FJ1025" s="2" t="n">
        <v>100</v>
      </c>
      <c r="FK1025" s="2" t="n">
        <v>0</v>
      </c>
      <c r="FL1025" s="2" t="n">
        <v>100</v>
      </c>
      <c r="FM1025" s="2" t="n">
        <v>100</v>
      </c>
      <c r="FN1025" s="2" t="n">
        <v>0</v>
      </c>
      <c r="FO1025" s="2" t="n">
        <v>100</v>
      </c>
      <c r="FP1025" s="2" t="n">
        <v>100</v>
      </c>
      <c r="FQ1025" s="2" t="n">
        <v>0</v>
      </c>
    </row>
    <row r="1026">
      <c r="A1026" s="2" t="n">
        <v>3</v>
      </c>
      <c r="B1026" s="2" t="inlineStr">
        <is>
          <t>35.03.01</t>
        </is>
      </c>
      <c r="C1026" s="2" t="inlineStr">
        <is>
          <t>Pintura texturizada acrílica fosca ref.: Terra fértil; Suvinil</t>
        </is>
      </c>
      <c r="D1026" s="2" t="inlineStr">
        <is>
          <t>11/10/2027</t>
        </is>
      </c>
      <c r="E1026" s="2" t="inlineStr">
        <is>
          <t>02/02/2028</t>
        </is>
      </c>
      <c r="F1026" s="2" t="n">
        <v>42217.91244</v>
      </c>
      <c r="G1026" s="2" t="n">
        <v>0</v>
      </c>
      <c r="H1026" s="2" t="n">
        <v>42217.91244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0</v>
      </c>
      <c r="CE1026" s="2" t="n">
        <v>0</v>
      </c>
      <c r="CF1026" s="2" t="n">
        <v>0</v>
      </c>
      <c r="CG1026" s="2" t="n">
        <v>0</v>
      </c>
      <c r="CH1026" s="2" t="n">
        <v>0</v>
      </c>
      <c r="CI1026" s="2" t="n">
        <v>0</v>
      </c>
      <c r="CJ1026" s="2" t="n">
        <v>0</v>
      </c>
      <c r="CK1026" s="2" t="n">
        <v>0</v>
      </c>
      <c r="CL1026" s="2" t="n">
        <v>0</v>
      </c>
      <c r="CM1026" s="2" t="n">
        <v>0</v>
      </c>
      <c r="CN1026" s="2" t="n">
        <v>0</v>
      </c>
      <c r="CO1026" s="2" t="n">
        <v>0</v>
      </c>
      <c r="CP1026" s="2" t="n">
        <v>0</v>
      </c>
      <c r="CQ1026" s="2" t="n">
        <v>0</v>
      </c>
      <c r="CR1026" s="2" t="n">
        <v>0</v>
      </c>
      <c r="CS1026" s="2" t="n">
        <v>0</v>
      </c>
      <c r="CT1026" s="2" t="n">
        <v>0</v>
      </c>
      <c r="CU1026" s="2" t="n">
        <v>0</v>
      </c>
      <c r="CV1026" s="2" t="n">
        <v>0</v>
      </c>
      <c r="CW1026" s="2" t="n">
        <v>0</v>
      </c>
      <c r="CX1026" s="2" t="n">
        <v>0</v>
      </c>
      <c r="CY1026" s="2" t="n">
        <v>0</v>
      </c>
      <c r="CZ1026" s="2" t="n">
        <v>0</v>
      </c>
      <c r="DA1026" s="2" t="n">
        <v>0</v>
      </c>
      <c r="DB1026" s="2" t="n">
        <v>0</v>
      </c>
      <c r="DC1026" s="2" t="n">
        <v>0</v>
      </c>
      <c r="DD1026" s="2" t="n">
        <v>0</v>
      </c>
      <c r="DE1026" s="2" t="n">
        <v>0</v>
      </c>
      <c r="DF1026" s="2" t="n">
        <v>0</v>
      </c>
      <c r="DG1026" s="2" t="n">
        <v>0</v>
      </c>
      <c r="DH1026" s="2" t="n">
        <v>0</v>
      </c>
      <c r="DI1026" s="2" t="n">
        <v>0</v>
      </c>
      <c r="DJ1026" s="2" t="n">
        <v>0</v>
      </c>
      <c r="DK1026" s="2" t="n">
        <v>0</v>
      </c>
      <c r="DL1026" s="2" t="n">
        <v>0</v>
      </c>
      <c r="DM1026" s="2" t="n">
        <v>0</v>
      </c>
      <c r="DN1026" s="2" t="n">
        <v>0</v>
      </c>
      <c r="DO1026" s="2" t="n">
        <v>0</v>
      </c>
      <c r="DP1026" s="2" t="n">
        <v>0</v>
      </c>
      <c r="DQ1026" s="2" t="n">
        <v>0</v>
      </c>
      <c r="DR1026" s="2" t="n">
        <v>0</v>
      </c>
      <c r="DS1026" s="2" t="n">
        <v>19.09</v>
      </c>
      <c r="DT1026" s="2" t="n">
        <v>19.09</v>
      </c>
      <c r="DU1026" s="2" t="n">
        <v>0</v>
      </c>
      <c r="DV1026" s="2" t="n">
        <v>30</v>
      </c>
      <c r="DW1026" s="2" t="n">
        <v>30</v>
      </c>
      <c r="DX1026" s="2" t="n">
        <v>0</v>
      </c>
      <c r="DY1026" s="2" t="n">
        <v>46.33</v>
      </c>
      <c r="DZ1026" s="2" t="n">
        <v>46.33</v>
      </c>
      <c r="EA1026" s="2" t="n">
        <v>0</v>
      </c>
      <c r="EB1026" s="2" t="n">
        <v>95.33</v>
      </c>
      <c r="EC1026" s="2" t="n">
        <v>95.33</v>
      </c>
      <c r="ED1026" s="2" t="n">
        <v>0</v>
      </c>
      <c r="EE1026" s="2" t="n">
        <v>100</v>
      </c>
      <c r="EF1026" s="2" t="n">
        <v>100</v>
      </c>
      <c r="EG1026" s="2" t="n">
        <v>0</v>
      </c>
      <c r="EH1026" s="2" t="n">
        <v>100</v>
      </c>
      <c r="EI1026" s="2" t="n">
        <v>100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  <c r="EQ1026" s="2" t="n">
        <v>100</v>
      </c>
      <c r="ER1026" s="2" t="n">
        <v>100</v>
      </c>
      <c r="ES1026" s="2" t="n">
        <v>0</v>
      </c>
      <c r="ET1026" s="2" t="n">
        <v>100</v>
      </c>
      <c r="EU1026" s="2" t="n">
        <v>100</v>
      </c>
      <c r="EV1026" s="2" t="n">
        <v>0</v>
      </c>
      <c r="EW1026" s="2" t="n">
        <v>100</v>
      </c>
      <c r="EX1026" s="2" t="n">
        <v>100</v>
      </c>
      <c r="EY1026" s="2" t="n">
        <v>0</v>
      </c>
      <c r="EZ1026" s="2" t="n">
        <v>100</v>
      </c>
      <c r="FA1026" s="2" t="n">
        <v>100</v>
      </c>
      <c r="FB1026" s="2" t="n">
        <v>0</v>
      </c>
      <c r="FC1026" s="2" t="n">
        <v>100</v>
      </c>
      <c r="FD1026" s="2" t="n">
        <v>100</v>
      </c>
      <c r="FE1026" s="2" t="n">
        <v>0</v>
      </c>
      <c r="FF1026" s="2" t="n">
        <v>100</v>
      </c>
      <c r="FG1026" s="2" t="n">
        <v>100</v>
      </c>
      <c r="FH1026" s="2" t="n">
        <v>0</v>
      </c>
      <c r="FI1026" s="2" t="n">
        <v>100</v>
      </c>
      <c r="FJ1026" s="2" t="n">
        <v>100</v>
      </c>
      <c r="FK1026" s="2" t="n">
        <v>0</v>
      </c>
      <c r="FL1026" s="2" t="n">
        <v>100</v>
      </c>
      <c r="FM1026" s="2" t="n">
        <v>100</v>
      </c>
      <c r="FN1026" s="2" t="n">
        <v>0</v>
      </c>
      <c r="FO1026" s="2" t="n">
        <v>100</v>
      </c>
      <c r="FP1026" s="2" t="n">
        <v>100</v>
      </c>
      <c r="FQ1026" s="2" t="n">
        <v>0</v>
      </c>
    </row>
    <row r="1027">
      <c r="A1027" s="2" t="n">
        <v>3</v>
      </c>
      <c r="B1027" s="2" t="inlineStr">
        <is>
          <t>35.03.02</t>
        </is>
      </c>
      <c r="C1027" s="2" t="inlineStr">
        <is>
          <t>Pintura texturizada rolada fosca branca. Ref. Branco neve - sobre reboco</t>
        </is>
      </c>
      <c r="D1027" s="2" t="inlineStr">
        <is>
          <t>11/10/2027</t>
        </is>
      </c>
      <c r="E1027" s="2" t="inlineStr">
        <is>
          <t>02/02/2028</t>
        </is>
      </c>
      <c r="F1027" s="2" t="n">
        <v>102631.5700358934</v>
      </c>
      <c r="G1027" s="2" t="n">
        <v>0</v>
      </c>
      <c r="H1027" s="2" t="n">
        <v>102631.5700358934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0</v>
      </c>
      <c r="CE1027" s="2" t="n">
        <v>0</v>
      </c>
      <c r="CF1027" s="2" t="n">
        <v>0</v>
      </c>
      <c r="CG1027" s="2" t="n">
        <v>0</v>
      </c>
      <c r="CH1027" s="2" t="n">
        <v>0</v>
      </c>
      <c r="CI1027" s="2" t="n">
        <v>0</v>
      </c>
      <c r="CJ1027" s="2" t="n">
        <v>0</v>
      </c>
      <c r="CK1027" s="2" t="n">
        <v>0</v>
      </c>
      <c r="CL1027" s="2" t="n">
        <v>0</v>
      </c>
      <c r="CM1027" s="2" t="n">
        <v>0</v>
      </c>
      <c r="CN1027" s="2" t="n">
        <v>0</v>
      </c>
      <c r="CO1027" s="2" t="n">
        <v>0</v>
      </c>
      <c r="CP1027" s="2" t="n">
        <v>0</v>
      </c>
      <c r="CQ1027" s="2" t="n">
        <v>0</v>
      </c>
      <c r="CR1027" s="2" t="n">
        <v>0</v>
      </c>
      <c r="CS1027" s="2" t="n">
        <v>0</v>
      </c>
      <c r="CT1027" s="2" t="n">
        <v>0</v>
      </c>
      <c r="CU1027" s="2" t="n">
        <v>0</v>
      </c>
      <c r="CV1027" s="2" t="n">
        <v>0</v>
      </c>
      <c r="CW1027" s="2" t="n">
        <v>0</v>
      </c>
      <c r="CX1027" s="2" t="n">
        <v>0</v>
      </c>
      <c r="CY1027" s="2" t="n">
        <v>0</v>
      </c>
      <c r="CZ1027" s="2" t="n">
        <v>0</v>
      </c>
      <c r="DA1027" s="2" t="n">
        <v>0</v>
      </c>
      <c r="DB1027" s="2" t="n">
        <v>0</v>
      </c>
      <c r="DC1027" s="2" t="n">
        <v>0</v>
      </c>
      <c r="DD1027" s="2" t="n">
        <v>0</v>
      </c>
      <c r="DE1027" s="2" t="n">
        <v>0</v>
      </c>
      <c r="DF1027" s="2" t="n">
        <v>0</v>
      </c>
      <c r="DG1027" s="2" t="n">
        <v>0</v>
      </c>
      <c r="DH1027" s="2" t="n">
        <v>0</v>
      </c>
      <c r="DI1027" s="2" t="n">
        <v>0</v>
      </c>
      <c r="DJ1027" s="2" t="n">
        <v>0</v>
      </c>
      <c r="DK1027" s="2" t="n">
        <v>0</v>
      </c>
      <c r="DL1027" s="2" t="n">
        <v>0</v>
      </c>
      <c r="DM1027" s="2" t="n">
        <v>0</v>
      </c>
      <c r="DN1027" s="2" t="n">
        <v>0</v>
      </c>
      <c r="DO1027" s="2" t="n">
        <v>0</v>
      </c>
      <c r="DP1027" s="2" t="n">
        <v>0</v>
      </c>
      <c r="DQ1027" s="2" t="n">
        <v>0</v>
      </c>
      <c r="DR1027" s="2" t="n">
        <v>0</v>
      </c>
      <c r="DS1027" s="2" t="n">
        <v>19.09</v>
      </c>
      <c r="DT1027" s="2" t="n">
        <v>19.09</v>
      </c>
      <c r="DU1027" s="2" t="n">
        <v>0</v>
      </c>
      <c r="DV1027" s="2" t="n">
        <v>30</v>
      </c>
      <c r="DW1027" s="2" t="n">
        <v>30</v>
      </c>
      <c r="DX1027" s="2" t="n">
        <v>0</v>
      </c>
      <c r="DY1027" s="2" t="n">
        <v>46.33</v>
      </c>
      <c r="DZ1027" s="2" t="n">
        <v>46.33</v>
      </c>
      <c r="EA1027" s="2" t="n">
        <v>0</v>
      </c>
      <c r="EB1027" s="2" t="n">
        <v>95.33</v>
      </c>
      <c r="EC1027" s="2" t="n">
        <v>95.33</v>
      </c>
      <c r="ED1027" s="2" t="n">
        <v>0</v>
      </c>
      <c r="EE1027" s="2" t="n">
        <v>100</v>
      </c>
      <c r="EF1027" s="2" t="n">
        <v>100</v>
      </c>
      <c r="EG1027" s="2" t="n">
        <v>0</v>
      </c>
      <c r="EH1027" s="2" t="n">
        <v>100</v>
      </c>
      <c r="EI1027" s="2" t="n">
        <v>100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  <c r="EQ1027" s="2" t="n">
        <v>100</v>
      </c>
      <c r="ER1027" s="2" t="n">
        <v>100</v>
      </c>
      <c r="ES1027" s="2" t="n">
        <v>0</v>
      </c>
      <c r="ET1027" s="2" t="n">
        <v>100</v>
      </c>
      <c r="EU1027" s="2" t="n">
        <v>100</v>
      </c>
      <c r="EV1027" s="2" t="n">
        <v>0</v>
      </c>
      <c r="EW1027" s="2" t="n">
        <v>100</v>
      </c>
      <c r="EX1027" s="2" t="n">
        <v>100</v>
      </c>
      <c r="EY1027" s="2" t="n">
        <v>0</v>
      </c>
      <c r="EZ1027" s="2" t="n">
        <v>100</v>
      </c>
      <c r="FA1027" s="2" t="n">
        <v>100</v>
      </c>
      <c r="FB1027" s="2" t="n">
        <v>0</v>
      </c>
      <c r="FC1027" s="2" t="n">
        <v>100</v>
      </c>
      <c r="FD1027" s="2" t="n">
        <v>100</v>
      </c>
      <c r="FE1027" s="2" t="n">
        <v>0</v>
      </c>
      <c r="FF1027" s="2" t="n">
        <v>100</v>
      </c>
      <c r="FG1027" s="2" t="n">
        <v>100</v>
      </c>
      <c r="FH1027" s="2" t="n">
        <v>0</v>
      </c>
      <c r="FI1027" s="2" t="n">
        <v>100</v>
      </c>
      <c r="FJ1027" s="2" t="n">
        <v>100</v>
      </c>
      <c r="FK1027" s="2" t="n">
        <v>0</v>
      </c>
      <c r="FL1027" s="2" t="n">
        <v>100</v>
      </c>
      <c r="FM1027" s="2" t="n">
        <v>100</v>
      </c>
      <c r="FN1027" s="2" t="n">
        <v>0</v>
      </c>
      <c r="FO1027" s="2" t="n">
        <v>100</v>
      </c>
      <c r="FP1027" s="2" t="n">
        <v>100</v>
      </c>
      <c r="FQ1027" s="2" t="n">
        <v>0</v>
      </c>
    </row>
    <row r="1028">
      <c r="A1028" s="2" t="n">
        <v>2</v>
      </c>
      <c r="B1028" s="2" t="inlineStr">
        <is>
          <t>35.04</t>
        </is>
      </c>
      <c r="C1028" s="2" t="inlineStr">
        <is>
          <t>Pintura de pisos</t>
        </is>
      </c>
      <c r="D1028" s="2" t="inlineStr">
        <is>
          <t>12/11/2027</t>
        </is>
      </c>
      <c r="E1028" s="2" t="inlineStr">
        <is>
          <t>03/03/2028</t>
        </is>
      </c>
      <c r="F1028" s="2" t="n">
        <v>59331.41703741376</v>
      </c>
      <c r="G1028" s="2" t="n">
        <v>0</v>
      </c>
      <c r="H1028" s="2" t="n">
        <v>59331.41703741376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0</v>
      </c>
      <c r="CE1028" s="2" t="n">
        <v>0</v>
      </c>
      <c r="CF1028" s="2" t="n">
        <v>0</v>
      </c>
      <c r="CG1028" s="2" t="n">
        <v>0</v>
      </c>
      <c r="CH1028" s="2" t="n">
        <v>0</v>
      </c>
      <c r="CI1028" s="2" t="n">
        <v>0</v>
      </c>
      <c r="CJ1028" s="2" t="n">
        <v>0</v>
      </c>
      <c r="CK1028" s="2" t="n">
        <v>0</v>
      </c>
      <c r="CL1028" s="2" t="n">
        <v>0</v>
      </c>
      <c r="CM1028" s="2" t="n">
        <v>0</v>
      </c>
      <c r="CN1028" s="2" t="n">
        <v>0</v>
      </c>
      <c r="CO1028" s="2" t="n">
        <v>0</v>
      </c>
      <c r="CP1028" s="2" t="n">
        <v>0</v>
      </c>
      <c r="CQ1028" s="2" t="n">
        <v>0</v>
      </c>
      <c r="CR1028" s="2" t="n">
        <v>0</v>
      </c>
      <c r="CS1028" s="2" t="n">
        <v>0</v>
      </c>
      <c r="CT1028" s="2" t="n">
        <v>0</v>
      </c>
      <c r="CU1028" s="2" t="n">
        <v>0</v>
      </c>
      <c r="CV1028" s="2" t="n">
        <v>0</v>
      </c>
      <c r="CW1028" s="2" t="n">
        <v>0</v>
      </c>
      <c r="CX1028" s="2" t="n">
        <v>0</v>
      </c>
      <c r="CY1028" s="2" t="n">
        <v>0</v>
      </c>
      <c r="CZ1028" s="2" t="n">
        <v>0</v>
      </c>
      <c r="DA1028" s="2" t="n">
        <v>0</v>
      </c>
      <c r="DB1028" s="2" t="n">
        <v>0</v>
      </c>
      <c r="DC1028" s="2" t="n">
        <v>0</v>
      </c>
      <c r="DD1028" s="2" t="n">
        <v>0</v>
      </c>
      <c r="DE1028" s="2" t="n">
        <v>0</v>
      </c>
      <c r="DF1028" s="2" t="n">
        <v>0</v>
      </c>
      <c r="DG1028" s="2" t="n">
        <v>0</v>
      </c>
      <c r="DH1028" s="2" t="n">
        <v>0</v>
      </c>
      <c r="DI1028" s="2" t="n">
        <v>0</v>
      </c>
      <c r="DJ1028" s="2" t="n">
        <v>0</v>
      </c>
      <c r="DK1028" s="2" t="n">
        <v>0</v>
      </c>
      <c r="DL1028" s="2" t="n">
        <v>0</v>
      </c>
      <c r="DM1028" s="2" t="n">
        <v>0</v>
      </c>
      <c r="DN1028" s="2" t="n">
        <v>0</v>
      </c>
      <c r="DO1028" s="2" t="n">
        <v>0</v>
      </c>
      <c r="DP1028" s="2" t="n">
        <v>0</v>
      </c>
      <c r="DQ1028" s="2" t="n">
        <v>0</v>
      </c>
      <c r="DR1028" s="2" t="n">
        <v>0</v>
      </c>
      <c r="DS1028" s="2" t="n">
        <v>0</v>
      </c>
      <c r="DT1028" s="2" t="n">
        <v>0</v>
      </c>
      <c r="DU1028" s="2" t="n">
        <v>0</v>
      </c>
      <c r="DV1028" s="2" t="n">
        <v>36.66</v>
      </c>
      <c r="DW1028" s="2" t="n">
        <v>36.66</v>
      </c>
      <c r="DX1028" s="2" t="n">
        <v>0</v>
      </c>
      <c r="DY1028" s="2" t="n">
        <v>45.82</v>
      </c>
      <c r="DZ1028" s="2" t="n">
        <v>45.82</v>
      </c>
      <c r="EA1028" s="2" t="n">
        <v>0</v>
      </c>
      <c r="EB1028" s="2" t="n">
        <v>45.82</v>
      </c>
      <c r="EC1028" s="2" t="n">
        <v>45.82</v>
      </c>
      <c r="ED1028" s="2" t="n">
        <v>0</v>
      </c>
      <c r="EE1028" s="2" t="n">
        <v>92.61</v>
      </c>
      <c r="EF1028" s="2" t="n">
        <v>92.61</v>
      </c>
      <c r="EG1028" s="2" t="n">
        <v>0</v>
      </c>
      <c r="EH1028" s="2" t="n">
        <v>100</v>
      </c>
      <c r="EI1028" s="2" t="n">
        <v>100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  <c r="EQ1028" s="2" t="n">
        <v>100</v>
      </c>
      <c r="ER1028" s="2" t="n">
        <v>100</v>
      </c>
      <c r="ES1028" s="2" t="n">
        <v>0</v>
      </c>
      <c r="ET1028" s="2" t="n">
        <v>100</v>
      </c>
      <c r="EU1028" s="2" t="n">
        <v>100</v>
      </c>
      <c r="EV1028" s="2" t="n">
        <v>0</v>
      </c>
      <c r="EW1028" s="2" t="n">
        <v>100</v>
      </c>
      <c r="EX1028" s="2" t="n">
        <v>100</v>
      </c>
      <c r="EY1028" s="2" t="n">
        <v>0</v>
      </c>
      <c r="EZ1028" s="2" t="n">
        <v>100</v>
      </c>
      <c r="FA1028" s="2" t="n">
        <v>100</v>
      </c>
      <c r="FB1028" s="2" t="n">
        <v>0</v>
      </c>
      <c r="FC1028" s="2" t="n">
        <v>100</v>
      </c>
      <c r="FD1028" s="2" t="n">
        <v>100</v>
      </c>
      <c r="FE1028" s="2" t="n">
        <v>0</v>
      </c>
      <c r="FF1028" s="2" t="n">
        <v>100</v>
      </c>
      <c r="FG1028" s="2" t="n">
        <v>100</v>
      </c>
      <c r="FH1028" s="2" t="n">
        <v>0</v>
      </c>
      <c r="FI1028" s="2" t="n">
        <v>100</v>
      </c>
      <c r="FJ1028" s="2" t="n">
        <v>100</v>
      </c>
      <c r="FK1028" s="2" t="n">
        <v>0</v>
      </c>
      <c r="FL1028" s="2" t="n">
        <v>100</v>
      </c>
      <c r="FM1028" s="2" t="n">
        <v>100</v>
      </c>
      <c r="FN1028" s="2" t="n">
        <v>0</v>
      </c>
      <c r="FO1028" s="2" t="n">
        <v>100</v>
      </c>
      <c r="FP1028" s="2" t="n">
        <v>100</v>
      </c>
      <c r="FQ1028" s="2" t="n">
        <v>0</v>
      </c>
    </row>
    <row r="1029">
      <c r="A1029" s="2" t="n">
        <v>3</v>
      </c>
      <c r="B1029" s="2" t="inlineStr">
        <is>
          <t>35.04.01</t>
        </is>
      </c>
      <c r="C1029" s="2" t="inlineStr">
        <is>
          <t>Pintura de demarcação de vagas em pintura epóxi fosca de tom cinza médio com requadro em faixa de pintura epóxi fosca de tom cinza chumbo</t>
        </is>
      </c>
      <c r="D1029" s="2" t="inlineStr">
        <is>
          <t>12/11/2027</t>
        </is>
      </c>
      <c r="E1029" s="2" t="inlineStr">
        <is>
          <t>03/03/2028</t>
        </is>
      </c>
      <c r="F1029" s="2" t="n">
        <v>30393.75</v>
      </c>
      <c r="G1029" s="2" t="n">
        <v>0</v>
      </c>
      <c r="H1029" s="2" t="n">
        <v>30393.75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0</v>
      </c>
      <c r="CE1029" s="2" t="n">
        <v>0</v>
      </c>
      <c r="CF1029" s="2" t="n">
        <v>0</v>
      </c>
      <c r="CG1029" s="2" t="n">
        <v>0</v>
      </c>
      <c r="CH1029" s="2" t="n">
        <v>0</v>
      </c>
      <c r="CI1029" s="2" t="n">
        <v>0</v>
      </c>
      <c r="CJ1029" s="2" t="n">
        <v>0</v>
      </c>
      <c r="CK1029" s="2" t="n">
        <v>0</v>
      </c>
      <c r="CL1029" s="2" t="n">
        <v>0</v>
      </c>
      <c r="CM1029" s="2" t="n">
        <v>0</v>
      </c>
      <c r="CN1029" s="2" t="n">
        <v>0</v>
      </c>
      <c r="CO1029" s="2" t="n">
        <v>0</v>
      </c>
      <c r="CP1029" s="2" t="n">
        <v>0</v>
      </c>
      <c r="CQ1029" s="2" t="n">
        <v>0</v>
      </c>
      <c r="CR1029" s="2" t="n">
        <v>0</v>
      </c>
      <c r="CS1029" s="2" t="n">
        <v>0</v>
      </c>
      <c r="CT1029" s="2" t="n">
        <v>0</v>
      </c>
      <c r="CU1029" s="2" t="n">
        <v>0</v>
      </c>
      <c r="CV1029" s="2" t="n">
        <v>0</v>
      </c>
      <c r="CW1029" s="2" t="n">
        <v>0</v>
      </c>
      <c r="CX1029" s="2" t="n">
        <v>0</v>
      </c>
      <c r="CY1029" s="2" t="n">
        <v>0</v>
      </c>
      <c r="CZ1029" s="2" t="n">
        <v>0</v>
      </c>
      <c r="DA1029" s="2" t="n">
        <v>0</v>
      </c>
      <c r="DB1029" s="2" t="n">
        <v>0</v>
      </c>
      <c r="DC1029" s="2" t="n">
        <v>0</v>
      </c>
      <c r="DD1029" s="2" t="n">
        <v>0</v>
      </c>
      <c r="DE1029" s="2" t="n">
        <v>0</v>
      </c>
      <c r="DF1029" s="2" t="n">
        <v>0</v>
      </c>
      <c r="DG1029" s="2" t="n">
        <v>0</v>
      </c>
      <c r="DH1029" s="2" t="n">
        <v>0</v>
      </c>
      <c r="DI1029" s="2" t="n">
        <v>0</v>
      </c>
      <c r="DJ1029" s="2" t="n">
        <v>0</v>
      </c>
      <c r="DK1029" s="2" t="n">
        <v>0</v>
      </c>
      <c r="DL1029" s="2" t="n">
        <v>0</v>
      </c>
      <c r="DM1029" s="2" t="n">
        <v>0</v>
      </c>
      <c r="DN1029" s="2" t="n">
        <v>0</v>
      </c>
      <c r="DO1029" s="2" t="n">
        <v>0</v>
      </c>
      <c r="DP1029" s="2" t="n">
        <v>0</v>
      </c>
      <c r="DQ1029" s="2" t="n">
        <v>0</v>
      </c>
      <c r="DR1029" s="2" t="n">
        <v>0</v>
      </c>
      <c r="DS1029" s="2" t="n">
        <v>0</v>
      </c>
      <c r="DT1029" s="2" t="n">
        <v>0</v>
      </c>
      <c r="DU1029" s="2" t="n">
        <v>0</v>
      </c>
      <c r="DV1029" s="2" t="n">
        <v>36.66</v>
      </c>
      <c r="DW1029" s="2" t="n">
        <v>36.66</v>
      </c>
      <c r="DX1029" s="2" t="n">
        <v>0</v>
      </c>
      <c r="DY1029" s="2" t="n">
        <v>45.82</v>
      </c>
      <c r="DZ1029" s="2" t="n">
        <v>45.82</v>
      </c>
      <c r="EA1029" s="2" t="n">
        <v>0</v>
      </c>
      <c r="EB1029" s="2" t="n">
        <v>45.82</v>
      </c>
      <c r="EC1029" s="2" t="n">
        <v>45.82</v>
      </c>
      <c r="ED1029" s="2" t="n">
        <v>0</v>
      </c>
      <c r="EE1029" s="2" t="n">
        <v>92.61</v>
      </c>
      <c r="EF1029" s="2" t="n">
        <v>92.61</v>
      </c>
      <c r="EG1029" s="2" t="n">
        <v>0</v>
      </c>
      <c r="EH1029" s="2" t="n">
        <v>100</v>
      </c>
      <c r="EI1029" s="2" t="n">
        <v>100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  <c r="EQ1029" s="2" t="n">
        <v>100</v>
      </c>
      <c r="ER1029" s="2" t="n">
        <v>100</v>
      </c>
      <c r="ES1029" s="2" t="n">
        <v>0</v>
      </c>
      <c r="ET1029" s="2" t="n">
        <v>100</v>
      </c>
      <c r="EU1029" s="2" t="n">
        <v>100</v>
      </c>
      <c r="EV1029" s="2" t="n">
        <v>0</v>
      </c>
      <c r="EW1029" s="2" t="n">
        <v>100</v>
      </c>
      <c r="EX1029" s="2" t="n">
        <v>100</v>
      </c>
      <c r="EY1029" s="2" t="n">
        <v>0</v>
      </c>
      <c r="EZ1029" s="2" t="n">
        <v>100</v>
      </c>
      <c r="FA1029" s="2" t="n">
        <v>100</v>
      </c>
      <c r="FB1029" s="2" t="n">
        <v>0</v>
      </c>
      <c r="FC1029" s="2" t="n">
        <v>100</v>
      </c>
      <c r="FD1029" s="2" t="n">
        <v>100</v>
      </c>
      <c r="FE1029" s="2" t="n">
        <v>0</v>
      </c>
      <c r="FF1029" s="2" t="n">
        <v>100</v>
      </c>
      <c r="FG1029" s="2" t="n">
        <v>100</v>
      </c>
      <c r="FH1029" s="2" t="n">
        <v>0</v>
      </c>
      <c r="FI1029" s="2" t="n">
        <v>100</v>
      </c>
      <c r="FJ1029" s="2" t="n">
        <v>100</v>
      </c>
      <c r="FK1029" s="2" t="n">
        <v>0</v>
      </c>
      <c r="FL1029" s="2" t="n">
        <v>100</v>
      </c>
      <c r="FM1029" s="2" t="n">
        <v>100</v>
      </c>
      <c r="FN1029" s="2" t="n">
        <v>0</v>
      </c>
      <c r="FO1029" s="2" t="n">
        <v>100</v>
      </c>
      <c r="FP1029" s="2" t="n">
        <v>100</v>
      </c>
      <c r="FQ1029" s="2" t="n">
        <v>0</v>
      </c>
    </row>
    <row r="1030">
      <c r="A1030" s="2" t="n">
        <v>3</v>
      </c>
      <c r="B1030" s="2" t="inlineStr">
        <is>
          <t>35.04.02</t>
        </is>
      </c>
      <c r="C1030" s="2" t="inlineStr">
        <is>
          <t>Pintura de pisos com emulsão acrílica Novacor Pisos ou similar  (2 demãos emulsão acrílica)</t>
        </is>
      </c>
      <c r="D1030" s="2" t="inlineStr">
        <is>
          <t>12/11/2027</t>
        </is>
      </c>
      <c r="E1030" s="2" t="inlineStr">
        <is>
          <t>03/03/2028</t>
        </is>
      </c>
      <c r="F1030" s="2" t="n">
        <v>28937.66703741376</v>
      </c>
      <c r="G1030" s="2" t="n">
        <v>0</v>
      </c>
      <c r="H1030" s="2" t="n">
        <v>28937.66703741376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0</v>
      </c>
      <c r="CE1030" s="2" t="n">
        <v>0</v>
      </c>
      <c r="CF1030" s="2" t="n">
        <v>0</v>
      </c>
      <c r="CG1030" s="2" t="n">
        <v>0</v>
      </c>
      <c r="CH1030" s="2" t="n">
        <v>0</v>
      </c>
      <c r="CI1030" s="2" t="n">
        <v>0</v>
      </c>
      <c r="CJ1030" s="2" t="n">
        <v>0</v>
      </c>
      <c r="CK1030" s="2" t="n">
        <v>0</v>
      </c>
      <c r="CL1030" s="2" t="n">
        <v>0</v>
      </c>
      <c r="CM1030" s="2" t="n">
        <v>0</v>
      </c>
      <c r="CN1030" s="2" t="n">
        <v>0</v>
      </c>
      <c r="CO1030" s="2" t="n">
        <v>0</v>
      </c>
      <c r="CP1030" s="2" t="n">
        <v>0</v>
      </c>
      <c r="CQ1030" s="2" t="n">
        <v>0</v>
      </c>
      <c r="CR1030" s="2" t="n">
        <v>0</v>
      </c>
      <c r="CS1030" s="2" t="n">
        <v>0</v>
      </c>
      <c r="CT1030" s="2" t="n">
        <v>0</v>
      </c>
      <c r="CU1030" s="2" t="n">
        <v>0</v>
      </c>
      <c r="CV1030" s="2" t="n">
        <v>0</v>
      </c>
      <c r="CW1030" s="2" t="n">
        <v>0</v>
      </c>
      <c r="CX1030" s="2" t="n">
        <v>0</v>
      </c>
      <c r="CY1030" s="2" t="n">
        <v>0</v>
      </c>
      <c r="CZ1030" s="2" t="n">
        <v>0</v>
      </c>
      <c r="DA1030" s="2" t="n">
        <v>0</v>
      </c>
      <c r="DB1030" s="2" t="n">
        <v>0</v>
      </c>
      <c r="DC1030" s="2" t="n">
        <v>0</v>
      </c>
      <c r="DD1030" s="2" t="n">
        <v>0</v>
      </c>
      <c r="DE1030" s="2" t="n">
        <v>0</v>
      </c>
      <c r="DF1030" s="2" t="n">
        <v>0</v>
      </c>
      <c r="DG1030" s="2" t="n">
        <v>0</v>
      </c>
      <c r="DH1030" s="2" t="n">
        <v>0</v>
      </c>
      <c r="DI1030" s="2" t="n">
        <v>0</v>
      </c>
      <c r="DJ1030" s="2" t="n">
        <v>0</v>
      </c>
      <c r="DK1030" s="2" t="n">
        <v>0</v>
      </c>
      <c r="DL1030" s="2" t="n">
        <v>0</v>
      </c>
      <c r="DM1030" s="2" t="n">
        <v>0</v>
      </c>
      <c r="DN1030" s="2" t="n">
        <v>0</v>
      </c>
      <c r="DO1030" s="2" t="n">
        <v>0</v>
      </c>
      <c r="DP1030" s="2" t="n">
        <v>0</v>
      </c>
      <c r="DQ1030" s="2" t="n">
        <v>0</v>
      </c>
      <c r="DR1030" s="2" t="n">
        <v>0</v>
      </c>
      <c r="DS1030" s="2" t="n">
        <v>0</v>
      </c>
      <c r="DT1030" s="2" t="n">
        <v>0</v>
      </c>
      <c r="DU1030" s="2" t="n">
        <v>0</v>
      </c>
      <c r="DV1030" s="2" t="n">
        <v>36.66</v>
      </c>
      <c r="DW1030" s="2" t="n">
        <v>36.66</v>
      </c>
      <c r="DX1030" s="2" t="n">
        <v>0</v>
      </c>
      <c r="DY1030" s="2" t="n">
        <v>45.82</v>
      </c>
      <c r="DZ1030" s="2" t="n">
        <v>45.82</v>
      </c>
      <c r="EA1030" s="2" t="n">
        <v>0</v>
      </c>
      <c r="EB1030" s="2" t="n">
        <v>45.82</v>
      </c>
      <c r="EC1030" s="2" t="n">
        <v>45.82</v>
      </c>
      <c r="ED1030" s="2" t="n">
        <v>0</v>
      </c>
      <c r="EE1030" s="2" t="n">
        <v>92.61</v>
      </c>
      <c r="EF1030" s="2" t="n">
        <v>92.61</v>
      </c>
      <c r="EG1030" s="2" t="n">
        <v>0</v>
      </c>
      <c r="EH1030" s="2" t="n">
        <v>100</v>
      </c>
      <c r="EI1030" s="2" t="n">
        <v>100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  <c r="EQ1030" s="2" t="n">
        <v>100</v>
      </c>
      <c r="ER1030" s="2" t="n">
        <v>100</v>
      </c>
      <c r="ES1030" s="2" t="n">
        <v>0</v>
      </c>
      <c r="ET1030" s="2" t="n">
        <v>100</v>
      </c>
      <c r="EU1030" s="2" t="n">
        <v>100</v>
      </c>
      <c r="EV1030" s="2" t="n">
        <v>0</v>
      </c>
      <c r="EW1030" s="2" t="n">
        <v>100</v>
      </c>
      <c r="EX1030" s="2" t="n">
        <v>100</v>
      </c>
      <c r="EY1030" s="2" t="n">
        <v>0</v>
      </c>
      <c r="EZ1030" s="2" t="n">
        <v>100</v>
      </c>
      <c r="FA1030" s="2" t="n">
        <v>100</v>
      </c>
      <c r="FB1030" s="2" t="n">
        <v>0</v>
      </c>
      <c r="FC1030" s="2" t="n">
        <v>100</v>
      </c>
      <c r="FD1030" s="2" t="n">
        <v>100</v>
      </c>
      <c r="FE1030" s="2" t="n">
        <v>0</v>
      </c>
      <c r="FF1030" s="2" t="n">
        <v>100</v>
      </c>
      <c r="FG1030" s="2" t="n">
        <v>100</v>
      </c>
      <c r="FH1030" s="2" t="n">
        <v>0</v>
      </c>
      <c r="FI1030" s="2" t="n">
        <v>100</v>
      </c>
      <c r="FJ1030" s="2" t="n">
        <v>100</v>
      </c>
      <c r="FK1030" s="2" t="n">
        <v>0</v>
      </c>
      <c r="FL1030" s="2" t="n">
        <v>100</v>
      </c>
      <c r="FM1030" s="2" t="n">
        <v>100</v>
      </c>
      <c r="FN1030" s="2" t="n">
        <v>0</v>
      </c>
      <c r="FO1030" s="2" t="n">
        <v>100</v>
      </c>
      <c r="FP1030" s="2" t="n">
        <v>100</v>
      </c>
      <c r="FQ1030" s="2" t="n">
        <v>0</v>
      </c>
    </row>
    <row r="1031">
      <c r="A1031" s="2" t="n">
        <v>2</v>
      </c>
      <c r="B1031" s="2" t="inlineStr">
        <is>
          <t>35.05</t>
        </is>
      </c>
      <c r="C1031" s="2" t="inlineStr">
        <is>
          <t>Caiação</t>
        </is>
      </c>
      <c r="D1031" s="2" t="inlineStr">
        <is>
          <t>20/04/2027</t>
        </is>
      </c>
      <c r="E1031" s="2" t="inlineStr">
        <is>
          <t>12/08/2027</t>
        </is>
      </c>
      <c r="F1031" s="2" t="n">
        <v>32776.08347908573</v>
      </c>
      <c r="G1031" s="2" t="n">
        <v>0</v>
      </c>
      <c r="H1031" s="2" t="n">
        <v>32776.08347908573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0</v>
      </c>
      <c r="CE1031" s="2" t="n">
        <v>0</v>
      </c>
      <c r="CF1031" s="2" t="n">
        <v>0</v>
      </c>
      <c r="CG1031" s="2" t="n">
        <v>0</v>
      </c>
      <c r="CH1031" s="2" t="n">
        <v>0</v>
      </c>
      <c r="CI1031" s="2" t="n">
        <v>0</v>
      </c>
      <c r="CJ1031" s="2" t="n">
        <v>0</v>
      </c>
      <c r="CK1031" s="2" t="n">
        <v>0</v>
      </c>
      <c r="CL1031" s="2" t="n">
        <v>0</v>
      </c>
      <c r="CM1031" s="2" t="n">
        <v>0</v>
      </c>
      <c r="CN1031" s="2" t="n">
        <v>0</v>
      </c>
      <c r="CO1031" s="2" t="n">
        <v>0</v>
      </c>
      <c r="CP1031" s="2" t="n">
        <v>0</v>
      </c>
      <c r="CQ1031" s="2" t="n">
        <v>0</v>
      </c>
      <c r="CR1031" s="2" t="n">
        <v>0</v>
      </c>
      <c r="CS1031" s="2" t="n">
        <v>0</v>
      </c>
      <c r="CT1031" s="2" t="n">
        <v>0</v>
      </c>
      <c r="CU1031" s="2" t="n">
        <v>0</v>
      </c>
      <c r="CV1031" s="2" t="n">
        <v>0</v>
      </c>
      <c r="CW1031" s="2" t="n">
        <v>0</v>
      </c>
      <c r="CX1031" s="2" t="n">
        <v>0</v>
      </c>
      <c r="CY1031" s="2" t="n">
        <v>0</v>
      </c>
      <c r="CZ1031" s="2" t="n">
        <v>0</v>
      </c>
      <c r="DA1031" s="2" t="n">
        <v>6.06</v>
      </c>
      <c r="DB1031" s="2" t="n">
        <v>6.06</v>
      </c>
      <c r="DC1031" s="2" t="n">
        <v>0</v>
      </c>
      <c r="DD1031" s="2" t="n">
        <v>31.06</v>
      </c>
      <c r="DE1031" s="2" t="n">
        <v>31.06</v>
      </c>
      <c r="DF1031" s="2" t="n">
        <v>0</v>
      </c>
      <c r="DG1031" s="2" t="n">
        <v>59.85</v>
      </c>
      <c r="DH1031" s="2" t="n">
        <v>59.85</v>
      </c>
      <c r="DI1031" s="2" t="n">
        <v>0</v>
      </c>
      <c r="DJ1031" s="2" t="n">
        <v>86.36</v>
      </c>
      <c r="DK1031" s="2" t="n">
        <v>86.36</v>
      </c>
      <c r="DL1031" s="2" t="n">
        <v>0</v>
      </c>
      <c r="DM1031" s="2" t="n">
        <v>100</v>
      </c>
      <c r="DN1031" s="2" t="n">
        <v>100</v>
      </c>
      <c r="DO1031" s="2" t="n">
        <v>0</v>
      </c>
      <c r="DP1031" s="2" t="n">
        <v>100</v>
      </c>
      <c r="DQ1031" s="2" t="n">
        <v>100</v>
      </c>
      <c r="DR1031" s="2" t="n">
        <v>0</v>
      </c>
      <c r="DS1031" s="2" t="n">
        <v>100</v>
      </c>
      <c r="DT1031" s="2" t="n">
        <v>100</v>
      </c>
      <c r="DU1031" s="2" t="n">
        <v>0</v>
      </c>
      <c r="DV1031" s="2" t="n">
        <v>100</v>
      </c>
      <c r="DW1031" s="2" t="n">
        <v>100</v>
      </c>
      <c r="DX1031" s="2" t="n">
        <v>0</v>
      </c>
      <c r="DY1031" s="2" t="n">
        <v>100</v>
      </c>
      <c r="DZ1031" s="2" t="n">
        <v>100</v>
      </c>
      <c r="EA1031" s="2" t="n">
        <v>0</v>
      </c>
      <c r="EB1031" s="2" t="n">
        <v>100</v>
      </c>
      <c r="EC1031" s="2" t="n">
        <v>100</v>
      </c>
      <c r="ED1031" s="2" t="n">
        <v>0</v>
      </c>
      <c r="EE1031" s="2" t="n">
        <v>100</v>
      </c>
      <c r="EF1031" s="2" t="n">
        <v>100</v>
      </c>
      <c r="EG1031" s="2" t="n">
        <v>0</v>
      </c>
      <c r="EH1031" s="2" t="n">
        <v>100</v>
      </c>
      <c r="EI1031" s="2" t="n">
        <v>100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  <c r="EQ1031" s="2" t="n">
        <v>100</v>
      </c>
      <c r="ER1031" s="2" t="n">
        <v>100</v>
      </c>
      <c r="ES1031" s="2" t="n">
        <v>0</v>
      </c>
      <c r="ET1031" s="2" t="n">
        <v>100</v>
      </c>
      <c r="EU1031" s="2" t="n">
        <v>100</v>
      </c>
      <c r="EV1031" s="2" t="n">
        <v>0</v>
      </c>
      <c r="EW1031" s="2" t="n">
        <v>100</v>
      </c>
      <c r="EX1031" s="2" t="n">
        <v>100</v>
      </c>
      <c r="EY1031" s="2" t="n">
        <v>0</v>
      </c>
      <c r="EZ1031" s="2" t="n">
        <v>100</v>
      </c>
      <c r="FA1031" s="2" t="n">
        <v>100</v>
      </c>
      <c r="FB1031" s="2" t="n">
        <v>0</v>
      </c>
      <c r="FC1031" s="2" t="n">
        <v>100</v>
      </c>
      <c r="FD1031" s="2" t="n">
        <v>100</v>
      </c>
      <c r="FE1031" s="2" t="n">
        <v>0</v>
      </c>
      <c r="FF1031" s="2" t="n">
        <v>100</v>
      </c>
      <c r="FG1031" s="2" t="n">
        <v>100</v>
      </c>
      <c r="FH1031" s="2" t="n">
        <v>0</v>
      </c>
      <c r="FI1031" s="2" t="n">
        <v>100</v>
      </c>
      <c r="FJ1031" s="2" t="n">
        <v>100</v>
      </c>
      <c r="FK1031" s="2" t="n">
        <v>0</v>
      </c>
      <c r="FL1031" s="2" t="n">
        <v>100</v>
      </c>
      <c r="FM1031" s="2" t="n">
        <v>100</v>
      </c>
      <c r="FN1031" s="2" t="n">
        <v>0</v>
      </c>
      <c r="FO1031" s="2" t="n">
        <v>100</v>
      </c>
      <c r="FP1031" s="2" t="n">
        <v>100</v>
      </c>
      <c r="FQ1031" s="2" t="n">
        <v>0</v>
      </c>
    </row>
    <row r="1032">
      <c r="A1032" s="2" t="n">
        <v>3</v>
      </c>
      <c r="B1032" s="2" t="inlineStr">
        <is>
          <t>35.05.01</t>
        </is>
      </c>
      <c r="C1032" s="2" t="inlineStr">
        <is>
          <t>Pintura tipo caiação com três demãos</t>
        </is>
      </c>
      <c r="D1032" s="2" t="inlineStr">
        <is>
          <t>20/04/2027</t>
        </is>
      </c>
      <c r="E1032" s="2" t="inlineStr">
        <is>
          <t>12/08/2027</t>
        </is>
      </c>
      <c r="F1032" s="2" t="n">
        <v>32776.08347908573</v>
      </c>
      <c r="G1032" s="2" t="n">
        <v>0</v>
      </c>
      <c r="H1032" s="2" t="n">
        <v>32776.08347908573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0</v>
      </c>
      <c r="CE1032" s="2" t="n">
        <v>0</v>
      </c>
      <c r="CF1032" s="2" t="n">
        <v>0</v>
      </c>
      <c r="CG1032" s="2" t="n">
        <v>0</v>
      </c>
      <c r="CH1032" s="2" t="n">
        <v>0</v>
      </c>
      <c r="CI1032" s="2" t="n">
        <v>0</v>
      </c>
      <c r="CJ1032" s="2" t="n">
        <v>0</v>
      </c>
      <c r="CK1032" s="2" t="n">
        <v>0</v>
      </c>
      <c r="CL1032" s="2" t="n">
        <v>0</v>
      </c>
      <c r="CM1032" s="2" t="n">
        <v>0</v>
      </c>
      <c r="CN1032" s="2" t="n">
        <v>0</v>
      </c>
      <c r="CO1032" s="2" t="n">
        <v>0</v>
      </c>
      <c r="CP1032" s="2" t="n">
        <v>0</v>
      </c>
      <c r="CQ1032" s="2" t="n">
        <v>0</v>
      </c>
      <c r="CR1032" s="2" t="n">
        <v>0</v>
      </c>
      <c r="CS1032" s="2" t="n">
        <v>0</v>
      </c>
      <c r="CT1032" s="2" t="n">
        <v>0</v>
      </c>
      <c r="CU1032" s="2" t="n">
        <v>0</v>
      </c>
      <c r="CV1032" s="2" t="n">
        <v>0</v>
      </c>
      <c r="CW1032" s="2" t="n">
        <v>0</v>
      </c>
      <c r="CX1032" s="2" t="n">
        <v>0</v>
      </c>
      <c r="CY1032" s="2" t="n">
        <v>0</v>
      </c>
      <c r="CZ1032" s="2" t="n">
        <v>0</v>
      </c>
      <c r="DA1032" s="2" t="n">
        <v>6.06</v>
      </c>
      <c r="DB1032" s="2" t="n">
        <v>6.06</v>
      </c>
      <c r="DC1032" s="2" t="n">
        <v>0</v>
      </c>
      <c r="DD1032" s="2" t="n">
        <v>31.06</v>
      </c>
      <c r="DE1032" s="2" t="n">
        <v>31.06</v>
      </c>
      <c r="DF1032" s="2" t="n">
        <v>0</v>
      </c>
      <c r="DG1032" s="2" t="n">
        <v>59.85</v>
      </c>
      <c r="DH1032" s="2" t="n">
        <v>59.85</v>
      </c>
      <c r="DI1032" s="2" t="n">
        <v>0</v>
      </c>
      <c r="DJ1032" s="2" t="n">
        <v>86.36</v>
      </c>
      <c r="DK1032" s="2" t="n">
        <v>86.36</v>
      </c>
      <c r="DL1032" s="2" t="n">
        <v>0</v>
      </c>
      <c r="DM1032" s="2" t="n">
        <v>100</v>
      </c>
      <c r="DN1032" s="2" t="n">
        <v>100</v>
      </c>
      <c r="DO1032" s="2" t="n">
        <v>0</v>
      </c>
      <c r="DP1032" s="2" t="n">
        <v>100</v>
      </c>
      <c r="DQ1032" s="2" t="n">
        <v>100</v>
      </c>
      <c r="DR1032" s="2" t="n">
        <v>0</v>
      </c>
      <c r="DS1032" s="2" t="n">
        <v>100</v>
      </c>
      <c r="DT1032" s="2" t="n">
        <v>100</v>
      </c>
      <c r="DU1032" s="2" t="n">
        <v>0</v>
      </c>
      <c r="DV1032" s="2" t="n">
        <v>100</v>
      </c>
      <c r="DW1032" s="2" t="n">
        <v>100</v>
      </c>
      <c r="DX1032" s="2" t="n">
        <v>0</v>
      </c>
      <c r="DY1032" s="2" t="n">
        <v>100</v>
      </c>
      <c r="DZ1032" s="2" t="n">
        <v>100</v>
      </c>
      <c r="EA1032" s="2" t="n">
        <v>0</v>
      </c>
      <c r="EB1032" s="2" t="n">
        <v>100</v>
      </c>
      <c r="EC1032" s="2" t="n">
        <v>100</v>
      </c>
      <c r="ED1032" s="2" t="n">
        <v>0</v>
      </c>
      <c r="EE1032" s="2" t="n">
        <v>100</v>
      </c>
      <c r="EF1032" s="2" t="n">
        <v>100</v>
      </c>
      <c r="EG1032" s="2" t="n">
        <v>0</v>
      </c>
      <c r="EH1032" s="2" t="n">
        <v>100</v>
      </c>
      <c r="EI1032" s="2" t="n">
        <v>100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  <c r="EQ1032" s="2" t="n">
        <v>100</v>
      </c>
      <c r="ER1032" s="2" t="n">
        <v>100</v>
      </c>
      <c r="ES1032" s="2" t="n">
        <v>0</v>
      </c>
      <c r="ET1032" s="2" t="n">
        <v>100</v>
      </c>
      <c r="EU1032" s="2" t="n">
        <v>100</v>
      </c>
      <c r="EV1032" s="2" t="n">
        <v>0</v>
      </c>
      <c r="EW1032" s="2" t="n">
        <v>100</v>
      </c>
      <c r="EX1032" s="2" t="n">
        <v>100</v>
      </c>
      <c r="EY1032" s="2" t="n">
        <v>0</v>
      </c>
      <c r="EZ1032" s="2" t="n">
        <v>100</v>
      </c>
      <c r="FA1032" s="2" t="n">
        <v>100</v>
      </c>
      <c r="FB1032" s="2" t="n">
        <v>0</v>
      </c>
      <c r="FC1032" s="2" t="n">
        <v>100</v>
      </c>
      <c r="FD1032" s="2" t="n">
        <v>100</v>
      </c>
      <c r="FE1032" s="2" t="n">
        <v>0</v>
      </c>
      <c r="FF1032" s="2" t="n">
        <v>100</v>
      </c>
      <c r="FG1032" s="2" t="n">
        <v>100</v>
      </c>
      <c r="FH1032" s="2" t="n">
        <v>0</v>
      </c>
      <c r="FI1032" s="2" t="n">
        <v>100</v>
      </c>
      <c r="FJ1032" s="2" t="n">
        <v>100</v>
      </c>
      <c r="FK1032" s="2" t="n">
        <v>0</v>
      </c>
      <c r="FL1032" s="2" t="n">
        <v>100</v>
      </c>
      <c r="FM1032" s="2" t="n">
        <v>100</v>
      </c>
      <c r="FN1032" s="2" t="n">
        <v>0</v>
      </c>
      <c r="FO1032" s="2" t="n">
        <v>100</v>
      </c>
      <c r="FP1032" s="2" t="n">
        <v>100</v>
      </c>
      <c r="FQ1032" s="2" t="n">
        <v>0</v>
      </c>
    </row>
    <row r="1033">
      <c r="A1033" s="2" t="n">
        <v>2</v>
      </c>
      <c r="B1033" s="2" t="inlineStr">
        <is>
          <t>35.06</t>
        </is>
      </c>
      <c r="C1033" s="2" t="inlineStr">
        <is>
          <t>Verniz</t>
        </is>
      </c>
      <c r="D1033" s="2" t="inlineStr">
        <is>
          <t>07/04/2026</t>
        </is>
      </c>
      <c r="E1033" s="2" t="inlineStr">
        <is>
          <t>24/08/2026</t>
        </is>
      </c>
      <c r="F1033" s="2" t="n">
        <v>130177.3039244674</v>
      </c>
      <c r="G1033" s="2" t="n">
        <v>0</v>
      </c>
      <c r="H1033" s="2" t="n">
        <v>130177.3039244674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0</v>
      </c>
      <c r="AP1033" s="2" t="n">
        <v>0</v>
      </c>
      <c r="AQ1033" s="2" t="n">
        <v>0</v>
      </c>
      <c r="AR1033" s="2" t="n">
        <v>0</v>
      </c>
      <c r="AS1033" s="2" t="n">
        <v>0</v>
      </c>
      <c r="AT1033" s="2" t="n">
        <v>0</v>
      </c>
      <c r="AU1033" s="2" t="n">
        <v>0</v>
      </c>
      <c r="AV1033" s="2" t="n">
        <v>0</v>
      </c>
      <c r="AW1033" s="2" t="n">
        <v>0</v>
      </c>
      <c r="AX1033" s="2" t="n">
        <v>0</v>
      </c>
      <c r="AY1033" s="2" t="n">
        <v>0</v>
      </c>
      <c r="AZ1033" s="2" t="n">
        <v>0</v>
      </c>
      <c r="BA1033" s="2" t="n">
        <v>0</v>
      </c>
      <c r="BB1033" s="2" t="n">
        <v>0</v>
      </c>
      <c r="BC1033" s="2" t="n">
        <v>0</v>
      </c>
      <c r="BD1033" s="2" t="n">
        <v>0</v>
      </c>
      <c r="BE1033" s="2" t="n">
        <v>0</v>
      </c>
      <c r="BF1033" s="2" t="n">
        <v>0</v>
      </c>
      <c r="BG1033" s="2" t="n">
        <v>0</v>
      </c>
      <c r="BH1033" s="2" t="n">
        <v>0</v>
      </c>
      <c r="BI1033" s="2" t="n">
        <v>0</v>
      </c>
      <c r="BJ1033" s="2" t="n">
        <v>11</v>
      </c>
      <c r="BK1033" s="2" t="n">
        <v>0</v>
      </c>
      <c r="BL1033" s="2" t="n">
        <v>0</v>
      </c>
      <c r="BM1033" s="2" t="n">
        <v>1.67</v>
      </c>
      <c r="BN1033" s="2" t="n">
        <v>0</v>
      </c>
      <c r="BO1033" s="2" t="n">
        <v>0</v>
      </c>
      <c r="BP1033" s="2" t="n">
        <v>1.67</v>
      </c>
      <c r="BQ1033" s="2" t="n">
        <v>19.17</v>
      </c>
      <c r="BR1033" s="2" t="n">
        <v>19.17</v>
      </c>
      <c r="BS1033" s="2" t="n">
        <v>11.19</v>
      </c>
      <c r="BT1033" s="2" t="n">
        <v>45.7</v>
      </c>
      <c r="BU1033" s="2" t="n">
        <v>45.7</v>
      </c>
      <c r="BV1033" s="2" t="n">
        <v>43.49</v>
      </c>
      <c r="BW1033" s="2" t="n">
        <v>55.56</v>
      </c>
      <c r="BX1033" s="2" t="n">
        <v>55.56</v>
      </c>
      <c r="BY1033" s="2" t="n">
        <v>58.33</v>
      </c>
      <c r="BZ1033" s="2" t="n">
        <v>93.73</v>
      </c>
      <c r="CA1033" s="2" t="n">
        <v>93.73</v>
      </c>
      <c r="CB1033" s="2" t="n">
        <v>100</v>
      </c>
      <c r="CC1033" s="2" t="n">
        <v>100</v>
      </c>
      <c r="CD1033" s="2" t="n">
        <v>100</v>
      </c>
      <c r="CE1033" s="2" t="n">
        <v>100</v>
      </c>
      <c r="CF1033" s="2" t="n">
        <v>100</v>
      </c>
      <c r="CG1033" s="2" t="n">
        <v>100</v>
      </c>
      <c r="CH1033" s="2" t="n">
        <v>100</v>
      </c>
      <c r="CI1033" s="2" t="n">
        <v>100</v>
      </c>
      <c r="CJ1033" s="2" t="n">
        <v>100</v>
      </c>
      <c r="CK1033" s="2" t="n">
        <v>100</v>
      </c>
      <c r="CL1033" s="2" t="n">
        <v>100</v>
      </c>
      <c r="CM1033" s="2" t="n">
        <v>100</v>
      </c>
      <c r="CN1033" s="2" t="n">
        <v>100</v>
      </c>
      <c r="CO1033" s="2" t="n">
        <v>100</v>
      </c>
      <c r="CP1033" s="2" t="n">
        <v>100</v>
      </c>
      <c r="CQ1033" s="2" t="n">
        <v>100</v>
      </c>
      <c r="CR1033" s="2" t="n">
        <v>100</v>
      </c>
      <c r="CS1033" s="2" t="n">
        <v>100</v>
      </c>
      <c r="CT1033" s="2" t="n">
        <v>100</v>
      </c>
      <c r="CU1033" s="2" t="n">
        <v>100</v>
      </c>
      <c r="CV1033" s="2" t="n">
        <v>100</v>
      </c>
      <c r="CW1033" s="2" t="n">
        <v>100</v>
      </c>
      <c r="CX1033" s="2" t="n">
        <v>100</v>
      </c>
      <c r="CY1033" s="2" t="n">
        <v>100</v>
      </c>
      <c r="CZ1033" s="2" t="n">
        <v>100</v>
      </c>
      <c r="DA1033" s="2" t="n">
        <v>100</v>
      </c>
      <c r="DB1033" s="2" t="n">
        <v>100</v>
      </c>
      <c r="DC1033" s="2" t="n">
        <v>100</v>
      </c>
      <c r="DD1033" s="2" t="n">
        <v>100</v>
      </c>
      <c r="DE1033" s="2" t="n">
        <v>100</v>
      </c>
      <c r="DF1033" s="2" t="n">
        <v>100</v>
      </c>
      <c r="DG1033" s="2" t="n">
        <v>100</v>
      </c>
      <c r="DH1033" s="2" t="n">
        <v>100</v>
      </c>
      <c r="DI1033" s="2" t="n">
        <v>100</v>
      </c>
      <c r="DJ1033" s="2" t="n">
        <v>100</v>
      </c>
      <c r="DK1033" s="2" t="n">
        <v>100</v>
      </c>
      <c r="DL1033" s="2" t="n">
        <v>100</v>
      </c>
      <c r="DM1033" s="2" t="n">
        <v>100</v>
      </c>
      <c r="DN1033" s="2" t="n">
        <v>100</v>
      </c>
      <c r="DO1033" s="2" t="n">
        <v>100</v>
      </c>
      <c r="DP1033" s="2" t="n">
        <v>100</v>
      </c>
      <c r="DQ1033" s="2" t="n">
        <v>100</v>
      </c>
      <c r="DR1033" s="2" t="n">
        <v>100</v>
      </c>
      <c r="DS1033" s="2" t="n">
        <v>100</v>
      </c>
      <c r="DT1033" s="2" t="n">
        <v>100</v>
      </c>
      <c r="DU1033" s="2" t="n">
        <v>100</v>
      </c>
      <c r="DV1033" s="2" t="n">
        <v>100</v>
      </c>
      <c r="DW1033" s="2" t="n">
        <v>100</v>
      </c>
      <c r="DX1033" s="2" t="n">
        <v>100</v>
      </c>
      <c r="DY1033" s="2" t="n">
        <v>100</v>
      </c>
      <c r="DZ1033" s="2" t="n">
        <v>100</v>
      </c>
      <c r="EA1033" s="2" t="n">
        <v>100</v>
      </c>
      <c r="EB1033" s="2" t="n">
        <v>100</v>
      </c>
      <c r="EC1033" s="2" t="n">
        <v>100</v>
      </c>
      <c r="ED1033" s="2" t="n">
        <v>100</v>
      </c>
      <c r="EE1033" s="2" t="n">
        <v>100</v>
      </c>
      <c r="EF1033" s="2" t="n">
        <v>100</v>
      </c>
      <c r="EG1033" s="2" t="n">
        <v>100</v>
      </c>
      <c r="EH1033" s="2" t="n">
        <v>100</v>
      </c>
      <c r="EI1033" s="2" t="n">
        <v>100</v>
      </c>
      <c r="EJ1033" s="2" t="n">
        <v>100</v>
      </c>
      <c r="EK1033" s="2" t="n">
        <v>100</v>
      </c>
      <c r="EL1033" s="2" t="n">
        <v>100</v>
      </c>
      <c r="EM1033" s="2" t="n">
        <v>100</v>
      </c>
      <c r="EN1033" s="2" t="n">
        <v>100</v>
      </c>
      <c r="EO1033" s="2" t="n">
        <v>100</v>
      </c>
      <c r="EP1033" s="2" t="n">
        <v>100</v>
      </c>
      <c r="EQ1033" s="2" t="n">
        <v>100</v>
      </c>
      <c r="ER1033" s="2" t="n">
        <v>100</v>
      </c>
      <c r="ES1033" s="2" t="n">
        <v>100</v>
      </c>
      <c r="ET1033" s="2" t="n">
        <v>100</v>
      </c>
      <c r="EU1033" s="2" t="n">
        <v>100</v>
      </c>
      <c r="EV1033" s="2" t="n">
        <v>100</v>
      </c>
      <c r="EW1033" s="2" t="n">
        <v>100</v>
      </c>
      <c r="EX1033" s="2" t="n">
        <v>100</v>
      </c>
      <c r="EY1033" s="2" t="n">
        <v>100</v>
      </c>
      <c r="EZ1033" s="2" t="n">
        <v>100</v>
      </c>
      <c r="FA1033" s="2" t="n">
        <v>100</v>
      </c>
      <c r="FB1033" s="2" t="n">
        <v>100</v>
      </c>
      <c r="FC1033" s="2" t="n">
        <v>100</v>
      </c>
      <c r="FD1033" s="2" t="n">
        <v>100</v>
      </c>
      <c r="FE1033" s="2" t="n">
        <v>100</v>
      </c>
      <c r="FF1033" s="2" t="n">
        <v>100</v>
      </c>
      <c r="FG1033" s="2" t="n">
        <v>100</v>
      </c>
      <c r="FH1033" s="2" t="n">
        <v>100</v>
      </c>
      <c r="FI1033" s="2" t="n">
        <v>100</v>
      </c>
      <c r="FJ1033" s="2" t="n">
        <v>100</v>
      </c>
      <c r="FK1033" s="2" t="n">
        <v>100</v>
      </c>
      <c r="FL1033" s="2" t="n">
        <v>100</v>
      </c>
      <c r="FM1033" s="2" t="n">
        <v>100</v>
      </c>
      <c r="FN1033" s="2" t="n">
        <v>100</v>
      </c>
      <c r="FO1033" s="2" t="n">
        <v>100</v>
      </c>
      <c r="FP1033" s="2" t="n">
        <v>100</v>
      </c>
      <c r="FQ1033" s="2" t="n">
        <v>100</v>
      </c>
    </row>
    <row r="1034">
      <c r="A1034" s="2" t="n">
        <v>3</v>
      </c>
      <c r="B1034" s="2" t="inlineStr">
        <is>
          <t>35.06.01</t>
        </is>
      </c>
      <c r="C1034" s="2" t="inlineStr">
        <is>
          <t>Desbaste de rebarbas, estuque e aplicação de silicone hidrofugante sobre superfícies de concreto aparente (2 demãos silicone incolor hidrofugante) - Teto garagem</t>
        </is>
      </c>
      <c r="D1034" s="2" t="inlineStr">
        <is>
          <t>07/04/2026</t>
        </is>
      </c>
      <c r="E1034" s="2" t="inlineStr">
        <is>
          <t>24/08/2026</t>
        </is>
      </c>
      <c r="F1034" s="2" t="n">
        <v>130177.3039244674</v>
      </c>
      <c r="G1034" s="2" t="n">
        <v>0</v>
      </c>
      <c r="H1034" s="2" t="n">
        <v>130177.3039244674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0</v>
      </c>
      <c r="AP1034" s="2" t="n">
        <v>0</v>
      </c>
      <c r="AQ1034" s="2" t="n">
        <v>0</v>
      </c>
      <c r="AR1034" s="2" t="n">
        <v>0</v>
      </c>
      <c r="AS1034" s="2" t="n">
        <v>0</v>
      </c>
      <c r="AT1034" s="2" t="n">
        <v>0</v>
      </c>
      <c r="AU1034" s="2" t="n">
        <v>0</v>
      </c>
      <c r="AV1034" s="2" t="n">
        <v>0</v>
      </c>
      <c r="AW1034" s="2" t="n">
        <v>0</v>
      </c>
      <c r="AX1034" s="2" t="n">
        <v>0</v>
      </c>
      <c r="AY1034" s="2" t="n">
        <v>0</v>
      </c>
      <c r="AZ1034" s="2" t="n">
        <v>0</v>
      </c>
      <c r="BA1034" s="2" t="n">
        <v>0</v>
      </c>
      <c r="BB1034" s="2" t="n">
        <v>0</v>
      </c>
      <c r="BC1034" s="2" t="n">
        <v>0</v>
      </c>
      <c r="BD1034" s="2" t="n">
        <v>0</v>
      </c>
      <c r="BE1034" s="2" t="n">
        <v>0</v>
      </c>
      <c r="BF1034" s="2" t="n">
        <v>0</v>
      </c>
      <c r="BG1034" s="2" t="n">
        <v>0</v>
      </c>
      <c r="BH1034" s="2" t="n">
        <v>0</v>
      </c>
      <c r="BI1034" s="2" t="n">
        <v>0</v>
      </c>
      <c r="BJ1034" s="2" t="n">
        <v>11</v>
      </c>
      <c r="BK1034" s="2" t="n">
        <v>0</v>
      </c>
      <c r="BL1034" s="2" t="n">
        <v>0</v>
      </c>
      <c r="BM1034" s="2" t="n">
        <v>1.67</v>
      </c>
      <c r="BN1034" s="2" t="n">
        <v>0</v>
      </c>
      <c r="BO1034" s="2" t="n">
        <v>0</v>
      </c>
      <c r="BP1034" s="2" t="n">
        <v>1.67</v>
      </c>
      <c r="BQ1034" s="2" t="n">
        <v>19.17</v>
      </c>
      <c r="BR1034" s="2" t="n">
        <v>19.17</v>
      </c>
      <c r="BS1034" s="2" t="n">
        <v>11.19</v>
      </c>
      <c r="BT1034" s="2" t="n">
        <v>45.7</v>
      </c>
      <c r="BU1034" s="2" t="n">
        <v>45.7</v>
      </c>
      <c r="BV1034" s="2" t="n">
        <v>43.49</v>
      </c>
      <c r="BW1034" s="2" t="n">
        <v>55.56</v>
      </c>
      <c r="BX1034" s="2" t="n">
        <v>55.56</v>
      </c>
      <c r="BY1034" s="2" t="n">
        <v>58.33</v>
      </c>
      <c r="BZ1034" s="2" t="n">
        <v>93.73</v>
      </c>
      <c r="CA1034" s="2" t="n">
        <v>93.73</v>
      </c>
      <c r="CB1034" s="2" t="n">
        <v>100</v>
      </c>
      <c r="CC1034" s="2" t="n">
        <v>100</v>
      </c>
      <c r="CD1034" s="2" t="n">
        <v>100</v>
      </c>
      <c r="CE1034" s="2" t="n">
        <v>100</v>
      </c>
      <c r="CF1034" s="2" t="n">
        <v>100</v>
      </c>
      <c r="CG1034" s="2" t="n">
        <v>100</v>
      </c>
      <c r="CH1034" s="2" t="n">
        <v>100</v>
      </c>
      <c r="CI1034" s="2" t="n">
        <v>100</v>
      </c>
      <c r="CJ1034" s="2" t="n">
        <v>100</v>
      </c>
      <c r="CK1034" s="2" t="n">
        <v>100</v>
      </c>
      <c r="CL1034" s="2" t="n">
        <v>100</v>
      </c>
      <c r="CM1034" s="2" t="n">
        <v>100</v>
      </c>
      <c r="CN1034" s="2" t="n">
        <v>100</v>
      </c>
      <c r="CO1034" s="2" t="n">
        <v>100</v>
      </c>
      <c r="CP1034" s="2" t="n">
        <v>100</v>
      </c>
      <c r="CQ1034" s="2" t="n">
        <v>100</v>
      </c>
      <c r="CR1034" s="2" t="n">
        <v>100</v>
      </c>
      <c r="CS1034" s="2" t="n">
        <v>100</v>
      </c>
      <c r="CT1034" s="2" t="n">
        <v>100</v>
      </c>
      <c r="CU1034" s="2" t="n">
        <v>100</v>
      </c>
      <c r="CV1034" s="2" t="n">
        <v>100</v>
      </c>
      <c r="CW1034" s="2" t="n">
        <v>100</v>
      </c>
      <c r="CX1034" s="2" t="n">
        <v>100</v>
      </c>
      <c r="CY1034" s="2" t="n">
        <v>100</v>
      </c>
      <c r="CZ1034" s="2" t="n">
        <v>100</v>
      </c>
      <c r="DA1034" s="2" t="n">
        <v>100</v>
      </c>
      <c r="DB1034" s="2" t="n">
        <v>100</v>
      </c>
      <c r="DC1034" s="2" t="n">
        <v>100</v>
      </c>
      <c r="DD1034" s="2" t="n">
        <v>100</v>
      </c>
      <c r="DE1034" s="2" t="n">
        <v>100</v>
      </c>
      <c r="DF1034" s="2" t="n">
        <v>100</v>
      </c>
      <c r="DG1034" s="2" t="n">
        <v>100</v>
      </c>
      <c r="DH1034" s="2" t="n">
        <v>100</v>
      </c>
      <c r="DI1034" s="2" t="n">
        <v>100</v>
      </c>
      <c r="DJ1034" s="2" t="n">
        <v>100</v>
      </c>
      <c r="DK1034" s="2" t="n">
        <v>100</v>
      </c>
      <c r="DL1034" s="2" t="n">
        <v>100</v>
      </c>
      <c r="DM1034" s="2" t="n">
        <v>100</v>
      </c>
      <c r="DN1034" s="2" t="n">
        <v>100</v>
      </c>
      <c r="DO1034" s="2" t="n">
        <v>100</v>
      </c>
      <c r="DP1034" s="2" t="n">
        <v>100</v>
      </c>
      <c r="DQ1034" s="2" t="n">
        <v>100</v>
      </c>
      <c r="DR1034" s="2" t="n">
        <v>100</v>
      </c>
      <c r="DS1034" s="2" t="n">
        <v>100</v>
      </c>
      <c r="DT1034" s="2" t="n">
        <v>100</v>
      </c>
      <c r="DU1034" s="2" t="n">
        <v>100</v>
      </c>
      <c r="DV1034" s="2" t="n">
        <v>100</v>
      </c>
      <c r="DW1034" s="2" t="n">
        <v>100</v>
      </c>
      <c r="DX1034" s="2" t="n">
        <v>100</v>
      </c>
      <c r="DY1034" s="2" t="n">
        <v>100</v>
      </c>
      <c r="DZ1034" s="2" t="n">
        <v>100</v>
      </c>
      <c r="EA1034" s="2" t="n">
        <v>100</v>
      </c>
      <c r="EB1034" s="2" t="n">
        <v>100</v>
      </c>
      <c r="EC1034" s="2" t="n">
        <v>100</v>
      </c>
      <c r="ED1034" s="2" t="n">
        <v>100</v>
      </c>
      <c r="EE1034" s="2" t="n">
        <v>100</v>
      </c>
      <c r="EF1034" s="2" t="n">
        <v>100</v>
      </c>
      <c r="EG1034" s="2" t="n">
        <v>100</v>
      </c>
      <c r="EH1034" s="2" t="n">
        <v>100</v>
      </c>
      <c r="EI1034" s="2" t="n">
        <v>100</v>
      </c>
      <c r="EJ1034" s="2" t="n">
        <v>100</v>
      </c>
      <c r="EK1034" s="2" t="n">
        <v>100</v>
      </c>
      <c r="EL1034" s="2" t="n">
        <v>100</v>
      </c>
      <c r="EM1034" s="2" t="n">
        <v>100</v>
      </c>
      <c r="EN1034" s="2" t="n">
        <v>100</v>
      </c>
      <c r="EO1034" s="2" t="n">
        <v>100</v>
      </c>
      <c r="EP1034" s="2" t="n">
        <v>100</v>
      </c>
      <c r="EQ1034" s="2" t="n">
        <v>100</v>
      </c>
      <c r="ER1034" s="2" t="n">
        <v>100</v>
      </c>
      <c r="ES1034" s="2" t="n">
        <v>100</v>
      </c>
      <c r="ET1034" s="2" t="n">
        <v>100</v>
      </c>
      <c r="EU1034" s="2" t="n">
        <v>100</v>
      </c>
      <c r="EV1034" s="2" t="n">
        <v>100</v>
      </c>
      <c r="EW1034" s="2" t="n">
        <v>100</v>
      </c>
      <c r="EX1034" s="2" t="n">
        <v>100</v>
      </c>
      <c r="EY1034" s="2" t="n">
        <v>100</v>
      </c>
      <c r="EZ1034" s="2" t="n">
        <v>100</v>
      </c>
      <c r="FA1034" s="2" t="n">
        <v>100</v>
      </c>
      <c r="FB1034" s="2" t="n">
        <v>100</v>
      </c>
      <c r="FC1034" s="2" t="n">
        <v>100</v>
      </c>
      <c r="FD1034" s="2" t="n">
        <v>100</v>
      </c>
      <c r="FE1034" s="2" t="n">
        <v>100</v>
      </c>
      <c r="FF1034" s="2" t="n">
        <v>100</v>
      </c>
      <c r="FG1034" s="2" t="n">
        <v>100</v>
      </c>
      <c r="FH1034" s="2" t="n">
        <v>100</v>
      </c>
      <c r="FI1034" s="2" t="n">
        <v>100</v>
      </c>
      <c r="FJ1034" s="2" t="n">
        <v>100</v>
      </c>
      <c r="FK1034" s="2" t="n">
        <v>100</v>
      </c>
      <c r="FL1034" s="2" t="n">
        <v>100</v>
      </c>
      <c r="FM1034" s="2" t="n">
        <v>100</v>
      </c>
      <c r="FN1034" s="2" t="n">
        <v>100</v>
      </c>
      <c r="FO1034" s="2" t="n">
        <v>100</v>
      </c>
      <c r="FP1034" s="2" t="n">
        <v>100</v>
      </c>
      <c r="FQ1034" s="2" t="n">
        <v>100</v>
      </c>
    </row>
    <row r="1035">
      <c r="A1035" s="2" t="n">
        <v>2</v>
      </c>
      <c r="B1035" s="2" t="inlineStr">
        <is>
          <t>35.07</t>
        </is>
      </c>
      <c r="C1035" s="2" t="inlineStr">
        <is>
          <t>Especiais</t>
        </is>
      </c>
      <c r="D1035" s="2" t="inlineStr">
        <is>
          <t>11/10/2027</t>
        </is>
      </c>
      <c r="E1035" s="2" t="inlineStr">
        <is>
          <t>03/03/2028</t>
        </is>
      </c>
      <c r="F1035" s="2" t="n">
        <v>506879.6210250001</v>
      </c>
      <c r="G1035" s="2" t="n">
        <v>0</v>
      </c>
      <c r="H1035" s="2" t="n">
        <v>506879.6210250001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0</v>
      </c>
      <c r="CE1035" s="2" t="n">
        <v>0</v>
      </c>
      <c r="CF1035" s="2" t="n">
        <v>0</v>
      </c>
      <c r="CG1035" s="2" t="n">
        <v>0</v>
      </c>
      <c r="CH1035" s="2" t="n">
        <v>0</v>
      </c>
      <c r="CI1035" s="2" t="n">
        <v>0</v>
      </c>
      <c r="CJ1035" s="2" t="n">
        <v>0</v>
      </c>
      <c r="CK1035" s="2" t="n">
        <v>0</v>
      </c>
      <c r="CL1035" s="2" t="n">
        <v>0</v>
      </c>
      <c r="CM1035" s="2" t="n">
        <v>0</v>
      </c>
      <c r="CN1035" s="2" t="n">
        <v>0</v>
      </c>
      <c r="CO1035" s="2" t="n">
        <v>0</v>
      </c>
      <c r="CP1035" s="2" t="n">
        <v>0</v>
      </c>
      <c r="CQ1035" s="2" t="n">
        <v>0</v>
      </c>
      <c r="CR1035" s="2" t="n">
        <v>0</v>
      </c>
      <c r="CS1035" s="2" t="n">
        <v>0</v>
      </c>
      <c r="CT1035" s="2" t="n">
        <v>0</v>
      </c>
      <c r="CU1035" s="2" t="n">
        <v>0</v>
      </c>
      <c r="CV1035" s="2" t="n">
        <v>0</v>
      </c>
      <c r="CW1035" s="2" t="n">
        <v>0</v>
      </c>
      <c r="CX1035" s="2" t="n">
        <v>0</v>
      </c>
      <c r="CY1035" s="2" t="n">
        <v>0</v>
      </c>
      <c r="CZ1035" s="2" t="n">
        <v>0</v>
      </c>
      <c r="DA1035" s="2" t="n">
        <v>0</v>
      </c>
      <c r="DB1035" s="2" t="n">
        <v>0</v>
      </c>
      <c r="DC1035" s="2" t="n">
        <v>0</v>
      </c>
      <c r="DD1035" s="2" t="n">
        <v>0</v>
      </c>
      <c r="DE1035" s="2" t="n">
        <v>0</v>
      </c>
      <c r="DF1035" s="2" t="n">
        <v>0</v>
      </c>
      <c r="DG1035" s="2" t="n">
        <v>0</v>
      </c>
      <c r="DH1035" s="2" t="n">
        <v>0</v>
      </c>
      <c r="DI1035" s="2" t="n">
        <v>0</v>
      </c>
      <c r="DJ1035" s="2" t="n">
        <v>0</v>
      </c>
      <c r="DK1035" s="2" t="n">
        <v>0</v>
      </c>
      <c r="DL1035" s="2" t="n">
        <v>0</v>
      </c>
      <c r="DM1035" s="2" t="n">
        <v>0</v>
      </c>
      <c r="DN1035" s="2" t="n">
        <v>0</v>
      </c>
      <c r="DO1035" s="2" t="n">
        <v>0</v>
      </c>
      <c r="DP1035" s="2" t="n">
        <v>0</v>
      </c>
      <c r="DQ1035" s="2" t="n">
        <v>0</v>
      </c>
      <c r="DR1035" s="2" t="n">
        <v>0</v>
      </c>
      <c r="DS1035" s="2" t="n">
        <v>7.51</v>
      </c>
      <c r="DT1035" s="2" t="n">
        <v>7.51</v>
      </c>
      <c r="DU1035" s="2" t="n">
        <v>0</v>
      </c>
      <c r="DV1035" s="2" t="n">
        <v>35.26</v>
      </c>
      <c r="DW1035" s="2" t="n">
        <v>35.26</v>
      </c>
      <c r="DX1035" s="2" t="n">
        <v>0</v>
      </c>
      <c r="DY1035" s="2" t="n">
        <v>44.18</v>
      </c>
      <c r="DZ1035" s="2" t="n">
        <v>44.18</v>
      </c>
      <c r="EA1035" s="2" t="n">
        <v>0</v>
      </c>
      <c r="EB1035" s="2" t="n">
        <v>54.45</v>
      </c>
      <c r="EC1035" s="2" t="n">
        <v>54.45</v>
      </c>
      <c r="ED1035" s="2" t="n">
        <v>0</v>
      </c>
      <c r="EE1035" s="2" t="n">
        <v>95.27</v>
      </c>
      <c r="EF1035" s="2" t="n">
        <v>95.27</v>
      </c>
      <c r="EG1035" s="2" t="n">
        <v>0</v>
      </c>
      <c r="EH1035" s="2" t="n">
        <v>100</v>
      </c>
      <c r="EI1035" s="2" t="n">
        <v>100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  <c r="EQ1035" s="2" t="n">
        <v>100</v>
      </c>
      <c r="ER1035" s="2" t="n">
        <v>100</v>
      </c>
      <c r="ES1035" s="2" t="n">
        <v>0</v>
      </c>
      <c r="ET1035" s="2" t="n">
        <v>100</v>
      </c>
      <c r="EU1035" s="2" t="n">
        <v>100</v>
      </c>
      <c r="EV1035" s="2" t="n">
        <v>0</v>
      </c>
      <c r="EW1035" s="2" t="n">
        <v>100</v>
      </c>
      <c r="EX1035" s="2" t="n">
        <v>100</v>
      </c>
      <c r="EY1035" s="2" t="n">
        <v>0</v>
      </c>
      <c r="EZ1035" s="2" t="n">
        <v>100</v>
      </c>
      <c r="FA1035" s="2" t="n">
        <v>100</v>
      </c>
      <c r="FB1035" s="2" t="n">
        <v>0</v>
      </c>
      <c r="FC1035" s="2" t="n">
        <v>100</v>
      </c>
      <c r="FD1035" s="2" t="n">
        <v>100</v>
      </c>
      <c r="FE1035" s="2" t="n">
        <v>0</v>
      </c>
      <c r="FF1035" s="2" t="n">
        <v>100</v>
      </c>
      <c r="FG1035" s="2" t="n">
        <v>100</v>
      </c>
      <c r="FH1035" s="2" t="n">
        <v>0</v>
      </c>
      <c r="FI1035" s="2" t="n">
        <v>100</v>
      </c>
      <c r="FJ1035" s="2" t="n">
        <v>100</v>
      </c>
      <c r="FK1035" s="2" t="n">
        <v>0</v>
      </c>
      <c r="FL1035" s="2" t="n">
        <v>100</v>
      </c>
      <c r="FM1035" s="2" t="n">
        <v>100</v>
      </c>
      <c r="FN1035" s="2" t="n">
        <v>0</v>
      </c>
      <c r="FO1035" s="2" t="n">
        <v>100</v>
      </c>
      <c r="FP1035" s="2" t="n">
        <v>100</v>
      </c>
      <c r="FQ1035" s="2" t="n">
        <v>0</v>
      </c>
    </row>
    <row r="1036">
      <c r="A1036" s="2" t="n">
        <v>3</v>
      </c>
      <c r="B1036" s="2" t="inlineStr">
        <is>
          <t>35.07.01</t>
        </is>
      </c>
      <c r="C1036" s="2" t="inlineStr">
        <is>
          <t>Pintura em piso epóxi monolítico de tom cinza médio, com arremate em faixa de pintura epóxi fosca de cor cinza chumbo - Vagas</t>
        </is>
      </c>
      <c r="D1036" s="2" t="inlineStr">
        <is>
          <t>12/11/2027</t>
        </is>
      </c>
      <c r="E1036" s="2" t="inlineStr">
        <is>
          <t>03/03/2028</t>
        </is>
      </c>
      <c r="F1036" s="2" t="n">
        <v>324394.296</v>
      </c>
      <c r="G1036" s="2" t="n">
        <v>0</v>
      </c>
      <c r="H1036" s="2" t="n">
        <v>324394.296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0</v>
      </c>
      <c r="CE1036" s="2" t="n">
        <v>0</v>
      </c>
      <c r="CF1036" s="2" t="n">
        <v>0</v>
      </c>
      <c r="CG1036" s="2" t="n">
        <v>0</v>
      </c>
      <c r="CH1036" s="2" t="n">
        <v>0</v>
      </c>
      <c r="CI1036" s="2" t="n">
        <v>0</v>
      </c>
      <c r="CJ1036" s="2" t="n">
        <v>0</v>
      </c>
      <c r="CK1036" s="2" t="n">
        <v>0</v>
      </c>
      <c r="CL1036" s="2" t="n">
        <v>0</v>
      </c>
      <c r="CM1036" s="2" t="n">
        <v>0</v>
      </c>
      <c r="CN1036" s="2" t="n">
        <v>0</v>
      </c>
      <c r="CO1036" s="2" t="n">
        <v>0</v>
      </c>
      <c r="CP1036" s="2" t="n">
        <v>0</v>
      </c>
      <c r="CQ1036" s="2" t="n">
        <v>0</v>
      </c>
      <c r="CR1036" s="2" t="n">
        <v>0</v>
      </c>
      <c r="CS1036" s="2" t="n">
        <v>0</v>
      </c>
      <c r="CT1036" s="2" t="n">
        <v>0</v>
      </c>
      <c r="CU1036" s="2" t="n">
        <v>0</v>
      </c>
      <c r="CV1036" s="2" t="n">
        <v>0</v>
      </c>
      <c r="CW1036" s="2" t="n">
        <v>0</v>
      </c>
      <c r="CX1036" s="2" t="n">
        <v>0</v>
      </c>
      <c r="CY1036" s="2" t="n">
        <v>0</v>
      </c>
      <c r="CZ1036" s="2" t="n">
        <v>0</v>
      </c>
      <c r="DA1036" s="2" t="n">
        <v>0</v>
      </c>
      <c r="DB1036" s="2" t="n">
        <v>0</v>
      </c>
      <c r="DC1036" s="2" t="n">
        <v>0</v>
      </c>
      <c r="DD1036" s="2" t="n">
        <v>0</v>
      </c>
      <c r="DE1036" s="2" t="n">
        <v>0</v>
      </c>
      <c r="DF1036" s="2" t="n">
        <v>0</v>
      </c>
      <c r="DG1036" s="2" t="n">
        <v>0</v>
      </c>
      <c r="DH1036" s="2" t="n">
        <v>0</v>
      </c>
      <c r="DI1036" s="2" t="n">
        <v>0</v>
      </c>
      <c r="DJ1036" s="2" t="n">
        <v>0</v>
      </c>
      <c r="DK1036" s="2" t="n">
        <v>0</v>
      </c>
      <c r="DL1036" s="2" t="n">
        <v>0</v>
      </c>
      <c r="DM1036" s="2" t="n">
        <v>0</v>
      </c>
      <c r="DN1036" s="2" t="n">
        <v>0</v>
      </c>
      <c r="DO1036" s="2" t="n">
        <v>0</v>
      </c>
      <c r="DP1036" s="2" t="n">
        <v>0</v>
      </c>
      <c r="DQ1036" s="2" t="n">
        <v>0</v>
      </c>
      <c r="DR1036" s="2" t="n">
        <v>0</v>
      </c>
      <c r="DS1036" s="2" t="n">
        <v>0</v>
      </c>
      <c r="DT1036" s="2" t="n">
        <v>0</v>
      </c>
      <c r="DU1036" s="2" t="n">
        <v>0</v>
      </c>
      <c r="DV1036" s="2" t="n">
        <v>36.66</v>
      </c>
      <c r="DW1036" s="2" t="n">
        <v>36.66</v>
      </c>
      <c r="DX1036" s="2" t="n">
        <v>0</v>
      </c>
      <c r="DY1036" s="2" t="n">
        <v>45.82</v>
      </c>
      <c r="DZ1036" s="2" t="n">
        <v>45.82</v>
      </c>
      <c r="EA1036" s="2" t="n">
        <v>0</v>
      </c>
      <c r="EB1036" s="2" t="n">
        <v>45.82</v>
      </c>
      <c r="EC1036" s="2" t="n">
        <v>45.82</v>
      </c>
      <c r="ED1036" s="2" t="n">
        <v>0</v>
      </c>
      <c r="EE1036" s="2" t="n">
        <v>92.61</v>
      </c>
      <c r="EF1036" s="2" t="n">
        <v>92.61</v>
      </c>
      <c r="EG1036" s="2" t="n">
        <v>0</v>
      </c>
      <c r="EH1036" s="2" t="n">
        <v>100</v>
      </c>
      <c r="EI1036" s="2" t="n">
        <v>100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  <c r="EQ1036" s="2" t="n">
        <v>100</v>
      </c>
      <c r="ER1036" s="2" t="n">
        <v>100</v>
      </c>
      <c r="ES1036" s="2" t="n">
        <v>0</v>
      </c>
      <c r="ET1036" s="2" t="n">
        <v>100</v>
      </c>
      <c r="EU1036" s="2" t="n">
        <v>100</v>
      </c>
      <c r="EV1036" s="2" t="n">
        <v>0</v>
      </c>
      <c r="EW1036" s="2" t="n">
        <v>100</v>
      </c>
      <c r="EX1036" s="2" t="n">
        <v>100</v>
      </c>
      <c r="EY1036" s="2" t="n">
        <v>0</v>
      </c>
      <c r="EZ1036" s="2" t="n">
        <v>100</v>
      </c>
      <c r="FA1036" s="2" t="n">
        <v>100</v>
      </c>
      <c r="FB1036" s="2" t="n">
        <v>0</v>
      </c>
      <c r="FC1036" s="2" t="n">
        <v>100</v>
      </c>
      <c r="FD1036" s="2" t="n">
        <v>100</v>
      </c>
      <c r="FE1036" s="2" t="n">
        <v>0</v>
      </c>
      <c r="FF1036" s="2" t="n">
        <v>100</v>
      </c>
      <c r="FG1036" s="2" t="n">
        <v>100</v>
      </c>
      <c r="FH1036" s="2" t="n">
        <v>0</v>
      </c>
      <c r="FI1036" s="2" t="n">
        <v>100</v>
      </c>
      <c r="FJ1036" s="2" t="n">
        <v>100</v>
      </c>
      <c r="FK1036" s="2" t="n">
        <v>0</v>
      </c>
      <c r="FL1036" s="2" t="n">
        <v>100</v>
      </c>
      <c r="FM1036" s="2" t="n">
        <v>100</v>
      </c>
      <c r="FN1036" s="2" t="n">
        <v>0</v>
      </c>
      <c r="FO1036" s="2" t="n">
        <v>100</v>
      </c>
      <c r="FP1036" s="2" t="n">
        <v>100</v>
      </c>
      <c r="FQ1036" s="2" t="n">
        <v>0</v>
      </c>
    </row>
    <row r="1037">
      <c r="A1037" s="2" t="n">
        <v>3</v>
      </c>
      <c r="B1037" s="2" t="inlineStr">
        <is>
          <t>35.07.02</t>
        </is>
      </c>
      <c r="C1037" s="2" t="inlineStr">
        <is>
          <t>Pintura/Textura desempenada nas paredes das garagens</t>
        </is>
      </c>
      <c r="D1037" s="2" t="inlineStr">
        <is>
          <t>11/10/2027</t>
        </is>
      </c>
      <c r="E1037" s="2" t="inlineStr">
        <is>
          <t>02/02/2028</t>
        </is>
      </c>
      <c r="F1037" s="2" t="n">
        <v>119630.8</v>
      </c>
      <c r="G1037" s="2" t="n">
        <v>0</v>
      </c>
      <c r="H1037" s="2" t="n">
        <v>119630.8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0</v>
      </c>
      <c r="CE1037" s="2" t="n">
        <v>0</v>
      </c>
      <c r="CF1037" s="2" t="n">
        <v>0</v>
      </c>
      <c r="CG1037" s="2" t="n">
        <v>0</v>
      </c>
      <c r="CH1037" s="2" t="n">
        <v>0</v>
      </c>
      <c r="CI1037" s="2" t="n">
        <v>0</v>
      </c>
      <c r="CJ1037" s="2" t="n">
        <v>0</v>
      </c>
      <c r="CK1037" s="2" t="n">
        <v>0</v>
      </c>
      <c r="CL1037" s="2" t="n">
        <v>0</v>
      </c>
      <c r="CM1037" s="2" t="n">
        <v>0</v>
      </c>
      <c r="CN1037" s="2" t="n">
        <v>0</v>
      </c>
      <c r="CO1037" s="2" t="n">
        <v>0</v>
      </c>
      <c r="CP1037" s="2" t="n">
        <v>0</v>
      </c>
      <c r="CQ1037" s="2" t="n">
        <v>0</v>
      </c>
      <c r="CR1037" s="2" t="n">
        <v>0</v>
      </c>
      <c r="CS1037" s="2" t="n">
        <v>0</v>
      </c>
      <c r="CT1037" s="2" t="n">
        <v>0</v>
      </c>
      <c r="CU1037" s="2" t="n">
        <v>0</v>
      </c>
      <c r="CV1037" s="2" t="n">
        <v>0</v>
      </c>
      <c r="CW1037" s="2" t="n">
        <v>0</v>
      </c>
      <c r="CX1037" s="2" t="n">
        <v>0</v>
      </c>
      <c r="CY1037" s="2" t="n">
        <v>0</v>
      </c>
      <c r="CZ1037" s="2" t="n">
        <v>0</v>
      </c>
      <c r="DA1037" s="2" t="n">
        <v>0</v>
      </c>
      <c r="DB1037" s="2" t="n">
        <v>0</v>
      </c>
      <c r="DC1037" s="2" t="n">
        <v>0</v>
      </c>
      <c r="DD1037" s="2" t="n">
        <v>0</v>
      </c>
      <c r="DE1037" s="2" t="n">
        <v>0</v>
      </c>
      <c r="DF1037" s="2" t="n">
        <v>0</v>
      </c>
      <c r="DG1037" s="2" t="n">
        <v>0</v>
      </c>
      <c r="DH1037" s="2" t="n">
        <v>0</v>
      </c>
      <c r="DI1037" s="2" t="n">
        <v>0</v>
      </c>
      <c r="DJ1037" s="2" t="n">
        <v>0</v>
      </c>
      <c r="DK1037" s="2" t="n">
        <v>0</v>
      </c>
      <c r="DL1037" s="2" t="n">
        <v>0</v>
      </c>
      <c r="DM1037" s="2" t="n">
        <v>0</v>
      </c>
      <c r="DN1037" s="2" t="n">
        <v>0</v>
      </c>
      <c r="DO1037" s="2" t="n">
        <v>0</v>
      </c>
      <c r="DP1037" s="2" t="n">
        <v>0</v>
      </c>
      <c r="DQ1037" s="2" t="n">
        <v>0</v>
      </c>
      <c r="DR1037" s="2" t="n">
        <v>0</v>
      </c>
      <c r="DS1037" s="2" t="n">
        <v>31.82</v>
      </c>
      <c r="DT1037" s="2" t="n">
        <v>31.82</v>
      </c>
      <c r="DU1037" s="2" t="n">
        <v>0</v>
      </c>
      <c r="DV1037" s="2" t="n">
        <v>50</v>
      </c>
      <c r="DW1037" s="2" t="n">
        <v>50</v>
      </c>
      <c r="DX1037" s="2" t="n">
        <v>0</v>
      </c>
      <c r="DY1037" s="2" t="n">
        <v>61.67</v>
      </c>
      <c r="DZ1037" s="2" t="n">
        <v>61.67</v>
      </c>
      <c r="EA1037" s="2" t="n">
        <v>0</v>
      </c>
      <c r="EB1037" s="2" t="n">
        <v>96.67</v>
      </c>
      <c r="EC1037" s="2" t="n">
        <v>96.67</v>
      </c>
      <c r="ED1037" s="2" t="n">
        <v>0</v>
      </c>
      <c r="EE1037" s="2" t="n">
        <v>100</v>
      </c>
      <c r="EF1037" s="2" t="n">
        <v>100</v>
      </c>
      <c r="EG1037" s="2" t="n">
        <v>0</v>
      </c>
      <c r="EH1037" s="2" t="n">
        <v>100</v>
      </c>
      <c r="EI1037" s="2" t="n">
        <v>100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  <c r="EQ1037" s="2" t="n">
        <v>100</v>
      </c>
      <c r="ER1037" s="2" t="n">
        <v>100</v>
      </c>
      <c r="ES1037" s="2" t="n">
        <v>0</v>
      </c>
      <c r="ET1037" s="2" t="n">
        <v>100</v>
      </c>
      <c r="EU1037" s="2" t="n">
        <v>100</v>
      </c>
      <c r="EV1037" s="2" t="n">
        <v>0</v>
      </c>
      <c r="EW1037" s="2" t="n">
        <v>100</v>
      </c>
      <c r="EX1037" s="2" t="n">
        <v>100</v>
      </c>
      <c r="EY1037" s="2" t="n">
        <v>0</v>
      </c>
      <c r="EZ1037" s="2" t="n">
        <v>100</v>
      </c>
      <c r="FA1037" s="2" t="n">
        <v>100</v>
      </c>
      <c r="FB1037" s="2" t="n">
        <v>0</v>
      </c>
      <c r="FC1037" s="2" t="n">
        <v>100</v>
      </c>
      <c r="FD1037" s="2" t="n">
        <v>100</v>
      </c>
      <c r="FE1037" s="2" t="n">
        <v>0</v>
      </c>
      <c r="FF1037" s="2" t="n">
        <v>100</v>
      </c>
      <c r="FG1037" s="2" t="n">
        <v>100</v>
      </c>
      <c r="FH1037" s="2" t="n">
        <v>0</v>
      </c>
      <c r="FI1037" s="2" t="n">
        <v>100</v>
      </c>
      <c r="FJ1037" s="2" t="n">
        <v>100</v>
      </c>
      <c r="FK1037" s="2" t="n">
        <v>0</v>
      </c>
      <c r="FL1037" s="2" t="n">
        <v>100</v>
      </c>
      <c r="FM1037" s="2" t="n">
        <v>100</v>
      </c>
      <c r="FN1037" s="2" t="n">
        <v>0</v>
      </c>
      <c r="FO1037" s="2" t="n">
        <v>100</v>
      </c>
      <c r="FP1037" s="2" t="n">
        <v>100</v>
      </c>
      <c r="FQ1037" s="2" t="n">
        <v>0</v>
      </c>
    </row>
    <row r="1038">
      <c r="A1038" s="2" t="n">
        <v>3</v>
      </c>
      <c r="B1038" s="2" t="inlineStr">
        <is>
          <t>35.07.03</t>
        </is>
      </c>
      <c r="C1038" s="2" t="inlineStr">
        <is>
          <t>Pintura rolada no teto das garagens</t>
        </is>
      </c>
      <c r="D1038" s="2" t="inlineStr">
        <is>
          <t>31/01/2028</t>
        </is>
      </c>
      <c r="E1038" s="2" t="inlineStr">
        <is>
          <t>11/02/2028</t>
        </is>
      </c>
      <c r="F1038" s="2" t="n">
        <v>56342.1672</v>
      </c>
      <c r="G1038" s="2" t="n">
        <v>0</v>
      </c>
      <c r="H1038" s="2" t="n">
        <v>56342.1672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0</v>
      </c>
      <c r="CE1038" s="2" t="n">
        <v>0</v>
      </c>
      <c r="CF1038" s="2" t="n">
        <v>0</v>
      </c>
      <c r="CG1038" s="2" t="n">
        <v>0</v>
      </c>
      <c r="CH1038" s="2" t="n">
        <v>0</v>
      </c>
      <c r="CI1038" s="2" t="n">
        <v>0</v>
      </c>
      <c r="CJ1038" s="2" t="n">
        <v>0</v>
      </c>
      <c r="CK1038" s="2" t="n">
        <v>0</v>
      </c>
      <c r="CL1038" s="2" t="n">
        <v>0</v>
      </c>
      <c r="CM1038" s="2" t="n">
        <v>0</v>
      </c>
      <c r="CN1038" s="2" t="n">
        <v>0</v>
      </c>
      <c r="CO1038" s="2" t="n">
        <v>0</v>
      </c>
      <c r="CP1038" s="2" t="n">
        <v>0</v>
      </c>
      <c r="CQ1038" s="2" t="n">
        <v>0</v>
      </c>
      <c r="CR1038" s="2" t="n">
        <v>0</v>
      </c>
      <c r="CS1038" s="2" t="n">
        <v>0</v>
      </c>
      <c r="CT1038" s="2" t="n">
        <v>0</v>
      </c>
      <c r="CU1038" s="2" t="n">
        <v>0</v>
      </c>
      <c r="CV1038" s="2" t="n">
        <v>0</v>
      </c>
      <c r="CW1038" s="2" t="n">
        <v>0</v>
      </c>
      <c r="CX1038" s="2" t="n">
        <v>0</v>
      </c>
      <c r="CY1038" s="2" t="n">
        <v>0</v>
      </c>
      <c r="CZ1038" s="2" t="n">
        <v>0</v>
      </c>
      <c r="DA1038" s="2" t="n">
        <v>0</v>
      </c>
      <c r="DB1038" s="2" t="n">
        <v>0</v>
      </c>
      <c r="DC1038" s="2" t="n">
        <v>0</v>
      </c>
      <c r="DD1038" s="2" t="n">
        <v>0</v>
      </c>
      <c r="DE1038" s="2" t="n">
        <v>0</v>
      </c>
      <c r="DF1038" s="2" t="n">
        <v>0</v>
      </c>
      <c r="DG1038" s="2" t="n">
        <v>0</v>
      </c>
      <c r="DH1038" s="2" t="n">
        <v>0</v>
      </c>
      <c r="DI1038" s="2" t="n">
        <v>0</v>
      </c>
      <c r="DJ1038" s="2" t="n">
        <v>0</v>
      </c>
      <c r="DK1038" s="2" t="n">
        <v>0</v>
      </c>
      <c r="DL1038" s="2" t="n">
        <v>0</v>
      </c>
      <c r="DM1038" s="2" t="n">
        <v>0</v>
      </c>
      <c r="DN1038" s="2" t="n">
        <v>0</v>
      </c>
      <c r="DO1038" s="2" t="n">
        <v>0</v>
      </c>
      <c r="DP1038" s="2" t="n">
        <v>0</v>
      </c>
      <c r="DQ1038" s="2" t="n">
        <v>0</v>
      </c>
      <c r="DR1038" s="2" t="n">
        <v>0</v>
      </c>
      <c r="DS1038" s="2" t="n">
        <v>0</v>
      </c>
      <c r="DT1038" s="2" t="n">
        <v>0</v>
      </c>
      <c r="DU1038" s="2" t="n">
        <v>0</v>
      </c>
      <c r="DV1038" s="2" t="n">
        <v>0</v>
      </c>
      <c r="DW1038" s="2" t="n">
        <v>0</v>
      </c>
      <c r="DX1038" s="2" t="n">
        <v>0</v>
      </c>
      <c r="DY1038" s="2" t="n">
        <v>0</v>
      </c>
      <c r="DZ1038" s="2" t="n">
        <v>0</v>
      </c>
      <c r="EA1038" s="2" t="n">
        <v>0</v>
      </c>
      <c r="EB1038" s="2" t="n">
        <v>10</v>
      </c>
      <c r="EC1038" s="2" t="n">
        <v>10</v>
      </c>
      <c r="ED1038" s="2" t="n">
        <v>0</v>
      </c>
      <c r="EE1038" s="2" t="n">
        <v>100</v>
      </c>
      <c r="EF1038" s="2" t="n">
        <v>100</v>
      </c>
      <c r="EG1038" s="2" t="n">
        <v>0</v>
      </c>
      <c r="EH1038" s="2" t="n">
        <v>100</v>
      </c>
      <c r="EI1038" s="2" t="n">
        <v>100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  <c r="EQ1038" s="2" t="n">
        <v>100</v>
      </c>
      <c r="ER1038" s="2" t="n">
        <v>100</v>
      </c>
      <c r="ES1038" s="2" t="n">
        <v>0</v>
      </c>
      <c r="ET1038" s="2" t="n">
        <v>100</v>
      </c>
      <c r="EU1038" s="2" t="n">
        <v>100</v>
      </c>
      <c r="EV1038" s="2" t="n">
        <v>0</v>
      </c>
      <c r="EW1038" s="2" t="n">
        <v>100</v>
      </c>
      <c r="EX1038" s="2" t="n">
        <v>100</v>
      </c>
      <c r="EY1038" s="2" t="n">
        <v>0</v>
      </c>
      <c r="EZ1038" s="2" t="n">
        <v>100</v>
      </c>
      <c r="FA1038" s="2" t="n">
        <v>100</v>
      </c>
      <c r="FB1038" s="2" t="n">
        <v>0</v>
      </c>
      <c r="FC1038" s="2" t="n">
        <v>100</v>
      </c>
      <c r="FD1038" s="2" t="n">
        <v>100</v>
      </c>
      <c r="FE1038" s="2" t="n">
        <v>0</v>
      </c>
      <c r="FF1038" s="2" t="n">
        <v>100</v>
      </c>
      <c r="FG1038" s="2" t="n">
        <v>100</v>
      </c>
      <c r="FH1038" s="2" t="n">
        <v>0</v>
      </c>
      <c r="FI1038" s="2" t="n">
        <v>100</v>
      </c>
      <c r="FJ1038" s="2" t="n">
        <v>100</v>
      </c>
      <c r="FK1038" s="2" t="n">
        <v>0</v>
      </c>
      <c r="FL1038" s="2" t="n">
        <v>100</v>
      </c>
      <c r="FM1038" s="2" t="n">
        <v>100</v>
      </c>
      <c r="FN1038" s="2" t="n">
        <v>0</v>
      </c>
      <c r="FO1038" s="2" t="n">
        <v>100</v>
      </c>
      <c r="FP1038" s="2" t="n">
        <v>100</v>
      </c>
      <c r="FQ1038" s="2" t="n">
        <v>0</v>
      </c>
    </row>
    <row r="1039">
      <c r="A1039" s="2" t="n">
        <v>3</v>
      </c>
      <c r="B1039" s="2" t="inlineStr">
        <is>
          <t>35.07.04</t>
        </is>
      </c>
      <c r="C1039" s="2" t="inlineStr">
        <is>
          <t>INT - Pintura com tinta mineral, cor 930, acabamento CQ. Ref.: Terracor. Amostra a ser aprovada pela GPA&amp;A</t>
        </is>
      </c>
      <c r="D1039" s="2" t="inlineStr">
        <is>
          <t>09/12/2027</t>
        </is>
      </c>
      <c r="E1039" s="2" t="inlineStr">
        <is>
          <t>02/02/2028</t>
        </is>
      </c>
      <c r="F1039" s="2" t="n">
        <v>6512.357824999999</v>
      </c>
      <c r="G1039" s="2" t="n">
        <v>0</v>
      </c>
      <c r="H1039" s="2" t="n">
        <v>6512.357824999999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0</v>
      </c>
      <c r="CE1039" s="2" t="n">
        <v>0</v>
      </c>
      <c r="CF1039" s="2" t="n">
        <v>0</v>
      </c>
      <c r="CG1039" s="2" t="n">
        <v>0</v>
      </c>
      <c r="CH1039" s="2" t="n">
        <v>0</v>
      </c>
      <c r="CI1039" s="2" t="n">
        <v>0</v>
      </c>
      <c r="CJ1039" s="2" t="n">
        <v>0</v>
      </c>
      <c r="CK1039" s="2" t="n">
        <v>0</v>
      </c>
      <c r="CL1039" s="2" t="n">
        <v>0</v>
      </c>
      <c r="CM1039" s="2" t="n">
        <v>0</v>
      </c>
      <c r="CN1039" s="2" t="n">
        <v>0</v>
      </c>
      <c r="CO1039" s="2" t="n">
        <v>0</v>
      </c>
      <c r="CP1039" s="2" t="n">
        <v>0</v>
      </c>
      <c r="CQ1039" s="2" t="n">
        <v>0</v>
      </c>
      <c r="CR1039" s="2" t="n">
        <v>0</v>
      </c>
      <c r="CS1039" s="2" t="n">
        <v>0</v>
      </c>
      <c r="CT1039" s="2" t="n">
        <v>0</v>
      </c>
      <c r="CU1039" s="2" t="n">
        <v>0</v>
      </c>
      <c r="CV1039" s="2" t="n">
        <v>0</v>
      </c>
      <c r="CW1039" s="2" t="n">
        <v>0</v>
      </c>
      <c r="CX1039" s="2" t="n">
        <v>0</v>
      </c>
      <c r="CY1039" s="2" t="n">
        <v>0</v>
      </c>
      <c r="CZ1039" s="2" t="n">
        <v>0</v>
      </c>
      <c r="DA1039" s="2" t="n">
        <v>0</v>
      </c>
      <c r="DB1039" s="2" t="n">
        <v>0</v>
      </c>
      <c r="DC1039" s="2" t="n">
        <v>0</v>
      </c>
      <c r="DD1039" s="2" t="n">
        <v>0</v>
      </c>
      <c r="DE1039" s="2" t="n">
        <v>0</v>
      </c>
      <c r="DF1039" s="2" t="n">
        <v>0</v>
      </c>
      <c r="DG1039" s="2" t="n">
        <v>0</v>
      </c>
      <c r="DH1039" s="2" t="n">
        <v>0</v>
      </c>
      <c r="DI1039" s="2" t="n">
        <v>0</v>
      </c>
      <c r="DJ1039" s="2" t="n">
        <v>0</v>
      </c>
      <c r="DK1039" s="2" t="n">
        <v>0</v>
      </c>
      <c r="DL1039" s="2" t="n">
        <v>0</v>
      </c>
      <c r="DM1039" s="2" t="n">
        <v>0</v>
      </c>
      <c r="DN1039" s="2" t="n">
        <v>0</v>
      </c>
      <c r="DO1039" s="2" t="n">
        <v>0</v>
      </c>
      <c r="DP1039" s="2" t="n">
        <v>0</v>
      </c>
      <c r="DQ1039" s="2" t="n">
        <v>0</v>
      </c>
      <c r="DR1039" s="2" t="n">
        <v>0</v>
      </c>
      <c r="DS1039" s="2" t="n">
        <v>0</v>
      </c>
      <c r="DT1039" s="2" t="n">
        <v>0</v>
      </c>
      <c r="DU1039" s="2" t="n">
        <v>0</v>
      </c>
      <c r="DV1039" s="2" t="n">
        <v>0</v>
      </c>
      <c r="DW1039" s="2" t="n">
        <v>0</v>
      </c>
      <c r="DX1039" s="2" t="n">
        <v>0</v>
      </c>
      <c r="DY1039" s="2" t="n">
        <v>23.33</v>
      </c>
      <c r="DZ1039" s="2" t="n">
        <v>23.33</v>
      </c>
      <c r="EA1039" s="2" t="n">
        <v>0</v>
      </c>
      <c r="EB1039" s="2" t="n">
        <v>93.33</v>
      </c>
      <c r="EC1039" s="2" t="n">
        <v>93.33</v>
      </c>
      <c r="ED1039" s="2" t="n">
        <v>0</v>
      </c>
      <c r="EE1039" s="2" t="n">
        <v>100</v>
      </c>
      <c r="EF1039" s="2" t="n">
        <v>100</v>
      </c>
      <c r="EG1039" s="2" t="n">
        <v>0</v>
      </c>
      <c r="EH1039" s="2" t="n">
        <v>100</v>
      </c>
      <c r="EI1039" s="2" t="n">
        <v>100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  <c r="EQ1039" s="2" t="n">
        <v>100</v>
      </c>
      <c r="ER1039" s="2" t="n">
        <v>100</v>
      </c>
      <c r="ES1039" s="2" t="n">
        <v>0</v>
      </c>
      <c r="ET1039" s="2" t="n">
        <v>100</v>
      </c>
      <c r="EU1039" s="2" t="n">
        <v>100</v>
      </c>
      <c r="EV1039" s="2" t="n">
        <v>0</v>
      </c>
      <c r="EW1039" s="2" t="n">
        <v>100</v>
      </c>
      <c r="EX1039" s="2" t="n">
        <v>100</v>
      </c>
      <c r="EY1039" s="2" t="n">
        <v>0</v>
      </c>
      <c r="EZ1039" s="2" t="n">
        <v>100</v>
      </c>
      <c r="FA1039" s="2" t="n">
        <v>100</v>
      </c>
      <c r="FB1039" s="2" t="n">
        <v>0</v>
      </c>
      <c r="FC1039" s="2" t="n">
        <v>100</v>
      </c>
      <c r="FD1039" s="2" t="n">
        <v>100</v>
      </c>
      <c r="FE1039" s="2" t="n">
        <v>0</v>
      </c>
      <c r="FF1039" s="2" t="n">
        <v>100</v>
      </c>
      <c r="FG1039" s="2" t="n">
        <v>100</v>
      </c>
      <c r="FH1039" s="2" t="n">
        <v>0</v>
      </c>
      <c r="FI1039" s="2" t="n">
        <v>100</v>
      </c>
      <c r="FJ1039" s="2" t="n">
        <v>100</v>
      </c>
      <c r="FK1039" s="2" t="n">
        <v>0</v>
      </c>
      <c r="FL1039" s="2" t="n">
        <v>100</v>
      </c>
      <c r="FM1039" s="2" t="n">
        <v>100</v>
      </c>
      <c r="FN1039" s="2" t="n">
        <v>0</v>
      </c>
      <c r="FO1039" s="2" t="n">
        <v>100</v>
      </c>
      <c r="FP1039" s="2" t="n">
        <v>100</v>
      </c>
      <c r="FQ1039" s="2" t="n">
        <v>0</v>
      </c>
    </row>
    <row r="1040">
      <c r="A1040" s="2" t="n">
        <v>1</v>
      </c>
      <c r="B1040" s="2" t="inlineStr">
        <is>
          <t>36</t>
        </is>
      </c>
      <c r="C1040" s="2" t="inlineStr">
        <is>
          <t>JARDINEIRAS E PAISAGISMO</t>
        </is>
      </c>
      <c r="D1040" s="2" t="inlineStr">
        <is>
          <t>02/02/2026</t>
        </is>
      </c>
      <c r="E1040" s="2" t="inlineStr">
        <is>
          <t>01/12/2028</t>
        </is>
      </c>
      <c r="F1040" s="2" t="n">
        <v>2411990.633753119</v>
      </c>
      <c r="G1040" s="2" t="n">
        <v>0</v>
      </c>
      <c r="H1040" s="2" t="n">
        <v>2411990.633753119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0</v>
      </c>
      <c r="AQ1040" s="2" t="n">
        <v>0</v>
      </c>
      <c r="AR1040" s="2" t="n">
        <v>0</v>
      </c>
      <c r="AS1040" s="2" t="n">
        <v>0</v>
      </c>
      <c r="AT1040" s="2" t="n">
        <v>0</v>
      </c>
      <c r="AU1040" s="2" t="n">
        <v>0</v>
      </c>
      <c r="AV1040" s="2" t="n">
        <v>0</v>
      </c>
      <c r="AW1040" s="2" t="n">
        <v>0</v>
      </c>
      <c r="AX1040" s="2" t="n">
        <v>0</v>
      </c>
      <c r="AY1040" s="2" t="n">
        <v>0</v>
      </c>
      <c r="AZ1040" s="2" t="n">
        <v>0</v>
      </c>
      <c r="BA1040" s="2" t="n">
        <v>0</v>
      </c>
      <c r="BB1040" s="2" t="n">
        <v>0</v>
      </c>
      <c r="BC1040" s="2" t="n">
        <v>0</v>
      </c>
      <c r="BD1040" s="2" t="n">
        <v>0</v>
      </c>
      <c r="BE1040" s="2" t="n">
        <v>0</v>
      </c>
      <c r="BF1040" s="2" t="n">
        <v>0</v>
      </c>
      <c r="BG1040" s="2" t="n">
        <v>0</v>
      </c>
      <c r="BH1040" s="2" t="n">
        <v>0</v>
      </c>
      <c r="BI1040" s="2" t="n">
        <v>0</v>
      </c>
      <c r="BJ1040" s="2" t="n">
        <v>0</v>
      </c>
      <c r="BK1040" s="2" t="n">
        <v>2.5</v>
      </c>
      <c r="BL1040" s="2" t="n">
        <v>2.5</v>
      </c>
      <c r="BM1040" s="2" t="n">
        <v>0</v>
      </c>
      <c r="BN1040" s="2" t="n">
        <v>5.24</v>
      </c>
      <c r="BO1040" s="2" t="n">
        <v>5.24</v>
      </c>
      <c r="BP1040" s="2" t="n">
        <v>7.55</v>
      </c>
      <c r="BQ1040" s="2" t="n">
        <v>7.74</v>
      </c>
      <c r="BR1040" s="2" t="n">
        <v>7.74</v>
      </c>
      <c r="BS1040" s="2" t="n">
        <v>7.55</v>
      </c>
      <c r="BT1040" s="2" t="n">
        <v>10.24</v>
      </c>
      <c r="BU1040" s="2" t="n">
        <v>10.24</v>
      </c>
      <c r="BV1040" s="2" t="n">
        <v>10.24</v>
      </c>
      <c r="BW1040" s="2" t="n">
        <v>12.86</v>
      </c>
      <c r="BX1040" s="2" t="n">
        <v>12.86</v>
      </c>
      <c r="BY1040" s="2" t="n">
        <v>11.36</v>
      </c>
      <c r="BZ1040" s="2" t="n">
        <v>15.73</v>
      </c>
      <c r="CA1040" s="2" t="n">
        <v>15.73</v>
      </c>
      <c r="CB1040" s="2" t="n">
        <v>11.36</v>
      </c>
      <c r="CC1040" s="2" t="n">
        <v>18.36</v>
      </c>
      <c r="CD1040" s="2" t="n">
        <v>18.36</v>
      </c>
      <c r="CE1040" s="2" t="n">
        <v>11.36</v>
      </c>
      <c r="CF1040" s="2" t="n">
        <v>20.98</v>
      </c>
      <c r="CG1040" s="2" t="n">
        <v>20.98</v>
      </c>
      <c r="CH1040" s="2" t="n">
        <v>11.8</v>
      </c>
      <c r="CI1040" s="2" t="n">
        <v>23.6</v>
      </c>
      <c r="CJ1040" s="2" t="n">
        <v>23.6</v>
      </c>
      <c r="CK1040" s="2" t="n">
        <v>11.8</v>
      </c>
      <c r="CL1040" s="2" t="n">
        <v>23.6</v>
      </c>
      <c r="CM1040" s="2" t="n">
        <v>23.6</v>
      </c>
      <c r="CN1040" s="2" t="n">
        <v>11.8</v>
      </c>
      <c r="CO1040" s="2" t="n">
        <v>23.95</v>
      </c>
      <c r="CP1040" s="2" t="n">
        <v>23.6</v>
      </c>
      <c r="CQ1040" s="2" t="n">
        <v>11.8</v>
      </c>
      <c r="CR1040" s="2" t="n">
        <v>31.39</v>
      </c>
      <c r="CS1040" s="2" t="n">
        <v>30.75</v>
      </c>
      <c r="CT1040" s="2" t="n">
        <v>11.8</v>
      </c>
      <c r="CU1040" s="2" t="n">
        <v>38.82</v>
      </c>
      <c r="CV1040" s="2" t="n">
        <v>38.36</v>
      </c>
      <c r="CW1040" s="2" t="n">
        <v>11.8</v>
      </c>
      <c r="CX1040" s="2" t="n">
        <v>46.69</v>
      </c>
      <c r="CY1040" s="2" t="n">
        <v>46.63</v>
      </c>
      <c r="CZ1040" s="2" t="n">
        <v>11.8</v>
      </c>
      <c r="DA1040" s="2" t="n">
        <v>53.17</v>
      </c>
      <c r="DB1040" s="2" t="n">
        <v>53.17</v>
      </c>
      <c r="DC1040" s="2" t="n">
        <v>11.8</v>
      </c>
      <c r="DD1040" s="2" t="n">
        <v>53.91</v>
      </c>
      <c r="DE1040" s="2" t="n">
        <v>54.03</v>
      </c>
      <c r="DF1040" s="2" t="n">
        <v>11.8</v>
      </c>
      <c r="DG1040" s="2" t="n">
        <v>54.95</v>
      </c>
      <c r="DH1040" s="2" t="n">
        <v>54.95</v>
      </c>
      <c r="DI1040" s="2" t="n">
        <v>11.8</v>
      </c>
      <c r="DJ1040" s="2" t="n">
        <v>59.26</v>
      </c>
      <c r="DK1040" s="2" t="n">
        <v>56.19</v>
      </c>
      <c r="DL1040" s="2" t="n">
        <v>11.8</v>
      </c>
      <c r="DM1040" s="2" t="n">
        <v>60.31</v>
      </c>
      <c r="DN1040" s="2" t="n">
        <v>58.71</v>
      </c>
      <c r="DO1040" s="2" t="n">
        <v>11.8</v>
      </c>
      <c r="DP1040" s="2" t="n">
        <v>64.09999999999999</v>
      </c>
      <c r="DQ1040" s="2" t="n">
        <v>60.98</v>
      </c>
      <c r="DR1040" s="2" t="n">
        <v>11.8</v>
      </c>
      <c r="DS1040" s="2" t="n">
        <v>66.66</v>
      </c>
      <c r="DT1040" s="2" t="n">
        <v>62.08</v>
      </c>
      <c r="DU1040" s="2" t="n">
        <v>11.8</v>
      </c>
      <c r="DV1040" s="2" t="n">
        <v>69.88</v>
      </c>
      <c r="DW1040" s="2" t="n">
        <v>64.54000000000001</v>
      </c>
      <c r="DX1040" s="2" t="n">
        <v>11.8</v>
      </c>
      <c r="DY1040" s="2" t="n">
        <v>73.09</v>
      </c>
      <c r="DZ1040" s="2" t="n">
        <v>67.81</v>
      </c>
      <c r="EA1040" s="2" t="n">
        <v>11.8</v>
      </c>
      <c r="EB1040" s="2" t="n">
        <v>78.88</v>
      </c>
      <c r="EC1040" s="2" t="n">
        <v>71.20999999999999</v>
      </c>
      <c r="ED1040" s="2" t="n">
        <v>11.8</v>
      </c>
      <c r="EE1040" s="2" t="n">
        <v>85.06999999999999</v>
      </c>
      <c r="EF1040" s="2" t="n">
        <v>74.55</v>
      </c>
      <c r="EG1040" s="2" t="n">
        <v>11.8</v>
      </c>
      <c r="EH1040" s="2" t="n">
        <v>87.75</v>
      </c>
      <c r="EI1040" s="2" t="n">
        <v>76.72</v>
      </c>
      <c r="EJ1040" s="2" t="n">
        <v>11.8</v>
      </c>
      <c r="EK1040" s="2" t="n">
        <v>92.04000000000001</v>
      </c>
      <c r="EL1040" s="2" t="n">
        <v>80.56</v>
      </c>
      <c r="EM1040" s="2" t="n">
        <v>11.8</v>
      </c>
      <c r="EN1040" s="2" t="n">
        <v>95.79000000000001</v>
      </c>
      <c r="EO1040" s="2" t="n">
        <v>85.28</v>
      </c>
      <c r="EP1040" s="2" t="n">
        <v>11.8</v>
      </c>
      <c r="EQ1040" s="2" t="n">
        <v>100</v>
      </c>
      <c r="ER1040" s="2" t="n">
        <v>87.20999999999999</v>
      </c>
      <c r="ES1040" s="2" t="n">
        <v>11.8</v>
      </c>
      <c r="ET1040" s="2" t="n">
        <v>100</v>
      </c>
      <c r="EU1040" s="2" t="n">
        <v>89.63</v>
      </c>
      <c r="EV1040" s="2" t="n">
        <v>11.8</v>
      </c>
      <c r="EW1040" s="2" t="n">
        <v>100</v>
      </c>
      <c r="EX1040" s="2" t="n">
        <v>92.04000000000001</v>
      </c>
      <c r="EY1040" s="2" t="n">
        <v>11.8</v>
      </c>
      <c r="EZ1040" s="2" t="n">
        <v>100</v>
      </c>
      <c r="FA1040" s="2" t="n">
        <v>94.13</v>
      </c>
      <c r="FB1040" s="2" t="n">
        <v>11.8</v>
      </c>
      <c r="FC1040" s="2" t="n">
        <v>100</v>
      </c>
      <c r="FD1040" s="2" t="n">
        <v>96.7</v>
      </c>
      <c r="FE1040" s="2" t="n">
        <v>11.8</v>
      </c>
      <c r="FF1040" s="2" t="n">
        <v>100</v>
      </c>
      <c r="FG1040" s="2" t="n">
        <v>99.88</v>
      </c>
      <c r="FH1040" s="2" t="n">
        <v>11.8</v>
      </c>
      <c r="FI1040" s="2" t="n">
        <v>100</v>
      </c>
      <c r="FJ1040" s="2" t="n">
        <v>100</v>
      </c>
      <c r="FK1040" s="2" t="n">
        <v>11.8</v>
      </c>
      <c r="FL1040" s="2" t="n">
        <v>100</v>
      </c>
      <c r="FM1040" s="2" t="n">
        <v>100</v>
      </c>
      <c r="FN1040" s="2" t="n">
        <v>11.8</v>
      </c>
      <c r="FO1040" s="2" t="n">
        <v>100</v>
      </c>
      <c r="FP1040" s="2" t="n">
        <v>100</v>
      </c>
      <c r="FQ1040" s="2" t="n">
        <v>11.8</v>
      </c>
    </row>
    <row r="1041">
      <c r="A1041" s="2" t="n">
        <v>2</v>
      </c>
      <c r="B1041" s="2" t="inlineStr">
        <is>
          <t>36.01</t>
        </is>
      </c>
      <c r="C1041" s="2" t="inlineStr">
        <is>
          <t>Serviços de Paisagismo</t>
        </is>
      </c>
      <c r="D1041" s="2" t="inlineStr">
        <is>
          <t>02/02/2026</t>
        </is>
      </c>
      <c r="E1041" s="2" t="inlineStr">
        <is>
          <t>01/12/2028</t>
        </is>
      </c>
      <c r="F1041" s="2" t="n">
        <v>2411990.633753119</v>
      </c>
      <c r="G1041" s="2" t="n">
        <v>0</v>
      </c>
      <c r="H1041" s="2" t="n">
        <v>2411990.633753119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0</v>
      </c>
      <c r="AQ1041" s="2" t="n">
        <v>0</v>
      </c>
      <c r="AR1041" s="2" t="n">
        <v>0</v>
      </c>
      <c r="AS1041" s="2" t="n">
        <v>0</v>
      </c>
      <c r="AT1041" s="2" t="n">
        <v>0</v>
      </c>
      <c r="AU1041" s="2" t="n">
        <v>0</v>
      </c>
      <c r="AV1041" s="2" t="n">
        <v>0</v>
      </c>
      <c r="AW1041" s="2" t="n">
        <v>0</v>
      </c>
      <c r="AX1041" s="2" t="n">
        <v>0</v>
      </c>
      <c r="AY1041" s="2" t="n">
        <v>0</v>
      </c>
      <c r="AZ1041" s="2" t="n">
        <v>0</v>
      </c>
      <c r="BA1041" s="2" t="n">
        <v>0</v>
      </c>
      <c r="BB1041" s="2" t="n">
        <v>0</v>
      </c>
      <c r="BC1041" s="2" t="n">
        <v>0</v>
      </c>
      <c r="BD1041" s="2" t="n">
        <v>0</v>
      </c>
      <c r="BE1041" s="2" t="n">
        <v>0</v>
      </c>
      <c r="BF1041" s="2" t="n">
        <v>0</v>
      </c>
      <c r="BG1041" s="2" t="n">
        <v>0</v>
      </c>
      <c r="BH1041" s="2" t="n">
        <v>0</v>
      </c>
      <c r="BI1041" s="2" t="n">
        <v>0</v>
      </c>
      <c r="BJ1041" s="2" t="n">
        <v>0</v>
      </c>
      <c r="BK1041" s="2" t="n">
        <v>2.5</v>
      </c>
      <c r="BL1041" s="2" t="n">
        <v>2.5</v>
      </c>
      <c r="BM1041" s="2" t="n">
        <v>0</v>
      </c>
      <c r="BN1041" s="2" t="n">
        <v>5.24</v>
      </c>
      <c r="BO1041" s="2" t="n">
        <v>5.24</v>
      </c>
      <c r="BP1041" s="2" t="n">
        <v>7.55</v>
      </c>
      <c r="BQ1041" s="2" t="n">
        <v>7.74</v>
      </c>
      <c r="BR1041" s="2" t="n">
        <v>7.74</v>
      </c>
      <c r="BS1041" s="2" t="n">
        <v>7.55</v>
      </c>
      <c r="BT1041" s="2" t="n">
        <v>10.24</v>
      </c>
      <c r="BU1041" s="2" t="n">
        <v>10.24</v>
      </c>
      <c r="BV1041" s="2" t="n">
        <v>10.24</v>
      </c>
      <c r="BW1041" s="2" t="n">
        <v>12.86</v>
      </c>
      <c r="BX1041" s="2" t="n">
        <v>12.86</v>
      </c>
      <c r="BY1041" s="2" t="n">
        <v>11.36</v>
      </c>
      <c r="BZ1041" s="2" t="n">
        <v>15.73</v>
      </c>
      <c r="CA1041" s="2" t="n">
        <v>15.73</v>
      </c>
      <c r="CB1041" s="2" t="n">
        <v>11.36</v>
      </c>
      <c r="CC1041" s="2" t="n">
        <v>18.36</v>
      </c>
      <c r="CD1041" s="2" t="n">
        <v>18.36</v>
      </c>
      <c r="CE1041" s="2" t="n">
        <v>11.36</v>
      </c>
      <c r="CF1041" s="2" t="n">
        <v>20.98</v>
      </c>
      <c r="CG1041" s="2" t="n">
        <v>20.98</v>
      </c>
      <c r="CH1041" s="2" t="n">
        <v>11.8</v>
      </c>
      <c r="CI1041" s="2" t="n">
        <v>23.6</v>
      </c>
      <c r="CJ1041" s="2" t="n">
        <v>23.6</v>
      </c>
      <c r="CK1041" s="2" t="n">
        <v>11.8</v>
      </c>
      <c r="CL1041" s="2" t="n">
        <v>23.6</v>
      </c>
      <c r="CM1041" s="2" t="n">
        <v>23.6</v>
      </c>
      <c r="CN1041" s="2" t="n">
        <v>11.8</v>
      </c>
      <c r="CO1041" s="2" t="n">
        <v>23.95</v>
      </c>
      <c r="CP1041" s="2" t="n">
        <v>23.6</v>
      </c>
      <c r="CQ1041" s="2" t="n">
        <v>11.8</v>
      </c>
      <c r="CR1041" s="2" t="n">
        <v>31.39</v>
      </c>
      <c r="CS1041" s="2" t="n">
        <v>30.75</v>
      </c>
      <c r="CT1041" s="2" t="n">
        <v>11.8</v>
      </c>
      <c r="CU1041" s="2" t="n">
        <v>38.82</v>
      </c>
      <c r="CV1041" s="2" t="n">
        <v>38.36</v>
      </c>
      <c r="CW1041" s="2" t="n">
        <v>11.8</v>
      </c>
      <c r="CX1041" s="2" t="n">
        <v>46.69</v>
      </c>
      <c r="CY1041" s="2" t="n">
        <v>46.63</v>
      </c>
      <c r="CZ1041" s="2" t="n">
        <v>11.8</v>
      </c>
      <c r="DA1041" s="2" t="n">
        <v>53.17</v>
      </c>
      <c r="DB1041" s="2" t="n">
        <v>53.17</v>
      </c>
      <c r="DC1041" s="2" t="n">
        <v>11.8</v>
      </c>
      <c r="DD1041" s="2" t="n">
        <v>53.91</v>
      </c>
      <c r="DE1041" s="2" t="n">
        <v>54.03</v>
      </c>
      <c r="DF1041" s="2" t="n">
        <v>11.8</v>
      </c>
      <c r="DG1041" s="2" t="n">
        <v>54.95</v>
      </c>
      <c r="DH1041" s="2" t="n">
        <v>54.95</v>
      </c>
      <c r="DI1041" s="2" t="n">
        <v>11.8</v>
      </c>
      <c r="DJ1041" s="2" t="n">
        <v>59.26</v>
      </c>
      <c r="DK1041" s="2" t="n">
        <v>56.19</v>
      </c>
      <c r="DL1041" s="2" t="n">
        <v>11.8</v>
      </c>
      <c r="DM1041" s="2" t="n">
        <v>60.31</v>
      </c>
      <c r="DN1041" s="2" t="n">
        <v>58.71</v>
      </c>
      <c r="DO1041" s="2" t="n">
        <v>11.8</v>
      </c>
      <c r="DP1041" s="2" t="n">
        <v>64.09999999999999</v>
      </c>
      <c r="DQ1041" s="2" t="n">
        <v>60.98</v>
      </c>
      <c r="DR1041" s="2" t="n">
        <v>11.8</v>
      </c>
      <c r="DS1041" s="2" t="n">
        <v>66.66</v>
      </c>
      <c r="DT1041" s="2" t="n">
        <v>62.08</v>
      </c>
      <c r="DU1041" s="2" t="n">
        <v>11.8</v>
      </c>
      <c r="DV1041" s="2" t="n">
        <v>69.88</v>
      </c>
      <c r="DW1041" s="2" t="n">
        <v>64.54000000000001</v>
      </c>
      <c r="DX1041" s="2" t="n">
        <v>11.8</v>
      </c>
      <c r="DY1041" s="2" t="n">
        <v>73.09</v>
      </c>
      <c r="DZ1041" s="2" t="n">
        <v>67.81</v>
      </c>
      <c r="EA1041" s="2" t="n">
        <v>11.8</v>
      </c>
      <c r="EB1041" s="2" t="n">
        <v>78.88</v>
      </c>
      <c r="EC1041" s="2" t="n">
        <v>71.20999999999999</v>
      </c>
      <c r="ED1041" s="2" t="n">
        <v>11.8</v>
      </c>
      <c r="EE1041" s="2" t="n">
        <v>85.06999999999999</v>
      </c>
      <c r="EF1041" s="2" t="n">
        <v>74.55</v>
      </c>
      <c r="EG1041" s="2" t="n">
        <v>11.8</v>
      </c>
      <c r="EH1041" s="2" t="n">
        <v>87.75</v>
      </c>
      <c r="EI1041" s="2" t="n">
        <v>76.72</v>
      </c>
      <c r="EJ1041" s="2" t="n">
        <v>11.8</v>
      </c>
      <c r="EK1041" s="2" t="n">
        <v>92.04000000000001</v>
      </c>
      <c r="EL1041" s="2" t="n">
        <v>80.56</v>
      </c>
      <c r="EM1041" s="2" t="n">
        <v>11.8</v>
      </c>
      <c r="EN1041" s="2" t="n">
        <v>95.79000000000001</v>
      </c>
      <c r="EO1041" s="2" t="n">
        <v>85.28</v>
      </c>
      <c r="EP1041" s="2" t="n">
        <v>11.8</v>
      </c>
      <c r="EQ1041" s="2" t="n">
        <v>100</v>
      </c>
      <c r="ER1041" s="2" t="n">
        <v>87.20999999999999</v>
      </c>
      <c r="ES1041" s="2" t="n">
        <v>11.8</v>
      </c>
      <c r="ET1041" s="2" t="n">
        <v>100</v>
      </c>
      <c r="EU1041" s="2" t="n">
        <v>89.63</v>
      </c>
      <c r="EV1041" s="2" t="n">
        <v>11.8</v>
      </c>
      <c r="EW1041" s="2" t="n">
        <v>100</v>
      </c>
      <c r="EX1041" s="2" t="n">
        <v>92.04000000000001</v>
      </c>
      <c r="EY1041" s="2" t="n">
        <v>11.8</v>
      </c>
      <c r="EZ1041" s="2" t="n">
        <v>100</v>
      </c>
      <c r="FA1041" s="2" t="n">
        <v>94.13</v>
      </c>
      <c r="FB1041" s="2" t="n">
        <v>11.8</v>
      </c>
      <c r="FC1041" s="2" t="n">
        <v>100</v>
      </c>
      <c r="FD1041" s="2" t="n">
        <v>96.7</v>
      </c>
      <c r="FE1041" s="2" t="n">
        <v>11.8</v>
      </c>
      <c r="FF1041" s="2" t="n">
        <v>100</v>
      </c>
      <c r="FG1041" s="2" t="n">
        <v>99.88</v>
      </c>
      <c r="FH1041" s="2" t="n">
        <v>11.8</v>
      </c>
      <c r="FI1041" s="2" t="n">
        <v>100</v>
      </c>
      <c r="FJ1041" s="2" t="n">
        <v>100</v>
      </c>
      <c r="FK1041" s="2" t="n">
        <v>11.8</v>
      </c>
      <c r="FL1041" s="2" t="n">
        <v>100</v>
      </c>
      <c r="FM1041" s="2" t="n">
        <v>100</v>
      </c>
      <c r="FN1041" s="2" t="n">
        <v>11.8</v>
      </c>
      <c r="FO1041" s="2" t="n">
        <v>100</v>
      </c>
      <c r="FP1041" s="2" t="n">
        <v>100</v>
      </c>
      <c r="FQ1041" s="2" t="n">
        <v>11.8</v>
      </c>
    </row>
    <row r="1042">
      <c r="A1042" s="2" t="n">
        <v>3</v>
      </c>
      <c r="B1042" s="2" t="inlineStr">
        <is>
          <t>36.01.01</t>
        </is>
      </c>
      <c r="C1042" s="2" t="inlineStr">
        <is>
          <t>Drenagens/irrigação especiais para Jardins</t>
        </is>
      </c>
      <c r="D1042" s="2" t="inlineStr">
        <is>
          <t>04/01/2027</t>
        </is>
      </c>
      <c r="E1042" s="2" t="inlineStr">
        <is>
          <t>22/04/2027</t>
        </is>
      </c>
      <c r="F1042" s="2" t="n">
        <v>225348.0937531206</v>
      </c>
      <c r="G1042" s="2" t="n">
        <v>0</v>
      </c>
      <c r="H1042" s="2" t="n">
        <v>225348.0937531206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0</v>
      </c>
      <c r="BU1042" s="2" t="n">
        <v>0</v>
      </c>
      <c r="BV1042" s="2" t="n">
        <v>0</v>
      </c>
      <c r="BW1042" s="2" t="n">
        <v>0</v>
      </c>
      <c r="BX1042" s="2" t="n">
        <v>0</v>
      </c>
      <c r="BY1042" s="2" t="n">
        <v>0</v>
      </c>
      <c r="BZ1042" s="2" t="n">
        <v>0</v>
      </c>
      <c r="CA1042" s="2" t="n">
        <v>0</v>
      </c>
      <c r="CB1042" s="2" t="n">
        <v>0</v>
      </c>
      <c r="CC1042" s="2" t="n">
        <v>0</v>
      </c>
      <c r="CD1042" s="2" t="n">
        <v>0</v>
      </c>
      <c r="CE1042" s="2" t="n">
        <v>0</v>
      </c>
      <c r="CF1042" s="2" t="n">
        <v>0</v>
      </c>
      <c r="CG1042" s="2" t="n">
        <v>0</v>
      </c>
      <c r="CH1042" s="2" t="n">
        <v>0</v>
      </c>
      <c r="CI1042" s="2" t="n">
        <v>0</v>
      </c>
      <c r="CJ1042" s="2" t="n">
        <v>0</v>
      </c>
      <c r="CK1042" s="2" t="n">
        <v>0</v>
      </c>
      <c r="CL1042" s="2" t="n">
        <v>0</v>
      </c>
      <c r="CM1042" s="2" t="n">
        <v>0</v>
      </c>
      <c r="CN1042" s="2" t="n">
        <v>0</v>
      </c>
      <c r="CO1042" s="2" t="n">
        <v>3.75</v>
      </c>
      <c r="CP1042" s="2" t="n">
        <v>0</v>
      </c>
      <c r="CQ1042" s="2" t="n">
        <v>0</v>
      </c>
      <c r="CR1042" s="2" t="n">
        <v>28.75</v>
      </c>
      <c r="CS1042" s="2" t="n">
        <v>25.97</v>
      </c>
      <c r="CT1042" s="2" t="n">
        <v>0</v>
      </c>
      <c r="CU1042" s="2" t="n">
        <v>53.75</v>
      </c>
      <c r="CV1042" s="2" t="n">
        <v>51.95</v>
      </c>
      <c r="CW1042" s="2" t="n">
        <v>0</v>
      </c>
      <c r="CX1042" s="2" t="n">
        <v>81.25</v>
      </c>
      <c r="CY1042" s="2" t="n">
        <v>80.52</v>
      </c>
      <c r="CZ1042" s="2" t="n">
        <v>0</v>
      </c>
      <c r="DA1042" s="2" t="n">
        <v>100</v>
      </c>
      <c r="DB1042" s="2" t="n">
        <v>100</v>
      </c>
      <c r="DC1042" s="2" t="n">
        <v>0</v>
      </c>
      <c r="DD1042" s="2" t="n">
        <v>100</v>
      </c>
      <c r="DE1042" s="2" t="n">
        <v>100</v>
      </c>
      <c r="DF1042" s="2" t="n">
        <v>0</v>
      </c>
      <c r="DG1042" s="2" t="n">
        <v>100</v>
      </c>
      <c r="DH1042" s="2" t="n">
        <v>100</v>
      </c>
      <c r="DI1042" s="2" t="n">
        <v>0</v>
      </c>
      <c r="DJ1042" s="2" t="n">
        <v>100</v>
      </c>
      <c r="DK1042" s="2" t="n">
        <v>100</v>
      </c>
      <c r="DL1042" s="2" t="n">
        <v>0</v>
      </c>
      <c r="DM1042" s="2" t="n">
        <v>100</v>
      </c>
      <c r="DN1042" s="2" t="n">
        <v>100</v>
      </c>
      <c r="DO1042" s="2" t="n">
        <v>0</v>
      </c>
      <c r="DP1042" s="2" t="n">
        <v>100</v>
      </c>
      <c r="DQ1042" s="2" t="n">
        <v>100</v>
      </c>
      <c r="DR1042" s="2" t="n">
        <v>0</v>
      </c>
      <c r="DS1042" s="2" t="n">
        <v>100</v>
      </c>
      <c r="DT1042" s="2" t="n">
        <v>100</v>
      </c>
      <c r="DU1042" s="2" t="n">
        <v>0</v>
      </c>
      <c r="DV1042" s="2" t="n">
        <v>100</v>
      </c>
      <c r="DW1042" s="2" t="n">
        <v>100</v>
      </c>
      <c r="DX1042" s="2" t="n">
        <v>0</v>
      </c>
      <c r="DY1042" s="2" t="n">
        <v>100</v>
      </c>
      <c r="DZ1042" s="2" t="n">
        <v>100</v>
      </c>
      <c r="EA1042" s="2" t="n">
        <v>0</v>
      </c>
      <c r="EB1042" s="2" t="n">
        <v>100</v>
      </c>
      <c r="EC1042" s="2" t="n">
        <v>100</v>
      </c>
      <c r="ED1042" s="2" t="n">
        <v>0</v>
      </c>
      <c r="EE1042" s="2" t="n">
        <v>100</v>
      </c>
      <c r="EF1042" s="2" t="n">
        <v>100</v>
      </c>
      <c r="EG1042" s="2" t="n">
        <v>0</v>
      </c>
      <c r="EH1042" s="2" t="n">
        <v>100</v>
      </c>
      <c r="EI1042" s="2" t="n">
        <v>100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  <c r="EQ1042" s="2" t="n">
        <v>100</v>
      </c>
      <c r="ER1042" s="2" t="n">
        <v>100</v>
      </c>
      <c r="ES1042" s="2" t="n">
        <v>0</v>
      </c>
      <c r="ET1042" s="2" t="n">
        <v>100</v>
      </c>
      <c r="EU1042" s="2" t="n">
        <v>100</v>
      </c>
      <c r="EV1042" s="2" t="n">
        <v>0</v>
      </c>
      <c r="EW1042" s="2" t="n">
        <v>100</v>
      </c>
      <c r="EX1042" s="2" t="n">
        <v>100</v>
      </c>
      <c r="EY1042" s="2" t="n">
        <v>0</v>
      </c>
      <c r="EZ1042" s="2" t="n">
        <v>100</v>
      </c>
      <c r="FA1042" s="2" t="n">
        <v>100</v>
      </c>
      <c r="FB1042" s="2" t="n">
        <v>0</v>
      </c>
      <c r="FC1042" s="2" t="n">
        <v>100</v>
      </c>
      <c r="FD1042" s="2" t="n">
        <v>100</v>
      </c>
      <c r="FE1042" s="2" t="n">
        <v>0</v>
      </c>
      <c r="FF1042" s="2" t="n">
        <v>100</v>
      </c>
      <c r="FG1042" s="2" t="n">
        <v>100</v>
      </c>
      <c r="FH1042" s="2" t="n">
        <v>0</v>
      </c>
      <c r="FI1042" s="2" t="n">
        <v>100</v>
      </c>
      <c r="FJ1042" s="2" t="n">
        <v>100</v>
      </c>
      <c r="FK1042" s="2" t="n">
        <v>0</v>
      </c>
      <c r="FL1042" s="2" t="n">
        <v>100</v>
      </c>
      <c r="FM1042" s="2" t="n">
        <v>100</v>
      </c>
      <c r="FN1042" s="2" t="n">
        <v>0</v>
      </c>
      <c r="FO1042" s="2" t="n">
        <v>100</v>
      </c>
      <c r="FP1042" s="2" t="n">
        <v>100</v>
      </c>
      <c r="FQ1042" s="2" t="n">
        <v>0</v>
      </c>
    </row>
    <row r="1043">
      <c r="A1043" s="2" t="n">
        <v>3</v>
      </c>
      <c r="B1043" s="2" t="inlineStr">
        <is>
          <t>36.01.02</t>
        </is>
      </c>
      <c r="C1043" s="2" t="inlineStr">
        <is>
          <t>Paisagismo - Incluso terra vegetal</t>
        </is>
      </c>
      <c r="D1043" s="2" t="inlineStr">
        <is>
          <t>02/02/2026</t>
        </is>
      </c>
      <c r="E1043" s="2" t="inlineStr">
        <is>
          <t>01/12/2028</t>
        </is>
      </c>
      <c r="F1043" s="2" t="n">
        <v>1058486.992999998</v>
      </c>
      <c r="G1043" s="2" t="n">
        <v>0</v>
      </c>
      <c r="H1043" s="2" t="n">
        <v>1058486.992999998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</v>
      </c>
      <c r="AQ1043" s="2" t="n">
        <v>0</v>
      </c>
      <c r="AR1043" s="2" t="n">
        <v>0</v>
      </c>
      <c r="AS1043" s="2" t="n">
        <v>0</v>
      </c>
      <c r="AT1043" s="2" t="n">
        <v>0</v>
      </c>
      <c r="AU1043" s="2" t="n">
        <v>0</v>
      </c>
      <c r="AV1043" s="2" t="n">
        <v>0</v>
      </c>
      <c r="AW1043" s="2" t="n">
        <v>0</v>
      </c>
      <c r="AX1043" s="2" t="n">
        <v>0</v>
      </c>
      <c r="AY1043" s="2" t="n">
        <v>0</v>
      </c>
      <c r="AZ1043" s="2" t="n">
        <v>0</v>
      </c>
      <c r="BA1043" s="2" t="n">
        <v>0</v>
      </c>
      <c r="BB1043" s="2" t="n">
        <v>0</v>
      </c>
      <c r="BC1043" s="2" t="n">
        <v>0</v>
      </c>
      <c r="BD1043" s="2" t="n">
        <v>0</v>
      </c>
      <c r="BE1043" s="2" t="n">
        <v>0</v>
      </c>
      <c r="BF1043" s="2" t="n">
        <v>0</v>
      </c>
      <c r="BG1043" s="2" t="n">
        <v>0</v>
      </c>
      <c r="BH1043" s="2" t="n">
        <v>0</v>
      </c>
      <c r="BI1043" s="2" t="n">
        <v>0</v>
      </c>
      <c r="BJ1043" s="2" t="n">
        <v>0</v>
      </c>
      <c r="BK1043" s="2" t="n">
        <v>0.42</v>
      </c>
      <c r="BL1043" s="2" t="n">
        <v>0.42</v>
      </c>
      <c r="BM1043" s="2" t="n">
        <v>0</v>
      </c>
      <c r="BN1043" s="2" t="n">
        <v>0.89</v>
      </c>
      <c r="BO1043" s="2" t="n">
        <v>0.89</v>
      </c>
      <c r="BP1043" s="2" t="n">
        <v>1.28</v>
      </c>
      <c r="BQ1043" s="2" t="n">
        <v>1.31</v>
      </c>
      <c r="BR1043" s="2" t="n">
        <v>1.31</v>
      </c>
      <c r="BS1043" s="2" t="n">
        <v>1.28</v>
      </c>
      <c r="BT1043" s="2" t="n">
        <v>1.74</v>
      </c>
      <c r="BU1043" s="2" t="n">
        <v>1.74</v>
      </c>
      <c r="BV1043" s="2" t="n">
        <v>1.74</v>
      </c>
      <c r="BW1043" s="2" t="n">
        <v>2.18</v>
      </c>
      <c r="BX1043" s="2" t="n">
        <v>2.18</v>
      </c>
      <c r="BY1043" s="2" t="n">
        <v>1.93</v>
      </c>
      <c r="BZ1043" s="2" t="n">
        <v>2.67</v>
      </c>
      <c r="CA1043" s="2" t="n">
        <v>2.67</v>
      </c>
      <c r="CB1043" s="2" t="n">
        <v>1.93</v>
      </c>
      <c r="CC1043" s="2" t="n">
        <v>3.11</v>
      </c>
      <c r="CD1043" s="2" t="n">
        <v>3.11</v>
      </c>
      <c r="CE1043" s="2" t="n">
        <v>1.93</v>
      </c>
      <c r="CF1043" s="2" t="n">
        <v>3.56</v>
      </c>
      <c r="CG1043" s="2" t="n">
        <v>3.56</v>
      </c>
      <c r="CH1043" s="2" t="n">
        <v>2</v>
      </c>
      <c r="CI1043" s="2" t="n">
        <v>4</v>
      </c>
      <c r="CJ1043" s="2" t="n">
        <v>4</v>
      </c>
      <c r="CK1043" s="2" t="n">
        <v>2</v>
      </c>
      <c r="CL1043" s="2" t="n">
        <v>4</v>
      </c>
      <c r="CM1043" s="2" t="n">
        <v>4</v>
      </c>
      <c r="CN1043" s="2" t="n">
        <v>2</v>
      </c>
      <c r="CO1043" s="2" t="n">
        <v>4</v>
      </c>
      <c r="CP1043" s="2" t="n">
        <v>4</v>
      </c>
      <c r="CQ1043" s="2" t="n">
        <v>2</v>
      </c>
      <c r="CR1043" s="2" t="n">
        <v>5.9</v>
      </c>
      <c r="CS1043" s="2" t="n">
        <v>5.9</v>
      </c>
      <c r="CT1043" s="2" t="n">
        <v>2</v>
      </c>
      <c r="CU1043" s="2" t="n">
        <v>7.9</v>
      </c>
      <c r="CV1043" s="2" t="n">
        <v>7.9</v>
      </c>
      <c r="CW1043" s="2" t="n">
        <v>2</v>
      </c>
      <c r="CX1043" s="2" t="n">
        <v>10.1</v>
      </c>
      <c r="CY1043" s="2" t="n">
        <v>10.1</v>
      </c>
      <c r="CZ1043" s="2" t="n">
        <v>2</v>
      </c>
      <c r="DA1043" s="2" t="n">
        <v>12</v>
      </c>
      <c r="DB1043" s="2" t="n">
        <v>12</v>
      </c>
      <c r="DC1043" s="2" t="n">
        <v>2</v>
      </c>
      <c r="DD1043" s="2" t="n">
        <v>12</v>
      </c>
      <c r="DE1043" s="2" t="n">
        <v>12</v>
      </c>
      <c r="DF1043" s="2" t="n">
        <v>2</v>
      </c>
      <c r="DG1043" s="2" t="n">
        <v>12</v>
      </c>
      <c r="DH1043" s="2" t="n">
        <v>12</v>
      </c>
      <c r="DI1043" s="2" t="n">
        <v>2</v>
      </c>
      <c r="DJ1043" s="2" t="n">
        <v>19.33</v>
      </c>
      <c r="DK1043" s="2" t="n">
        <v>12</v>
      </c>
      <c r="DL1043" s="2" t="n">
        <v>2</v>
      </c>
      <c r="DM1043" s="2" t="n">
        <v>19.33</v>
      </c>
      <c r="DN1043" s="2" t="n">
        <v>15.66</v>
      </c>
      <c r="DO1043" s="2" t="n">
        <v>2</v>
      </c>
      <c r="DP1043" s="2" t="n">
        <v>26.65</v>
      </c>
      <c r="DQ1043" s="2" t="n">
        <v>19.33</v>
      </c>
      <c r="DR1043" s="2" t="n">
        <v>2</v>
      </c>
      <c r="DS1043" s="2" t="n">
        <v>29.43</v>
      </c>
      <c r="DT1043" s="2" t="n">
        <v>19.33</v>
      </c>
      <c r="DU1043" s="2" t="n">
        <v>2</v>
      </c>
      <c r="DV1043" s="2" t="n">
        <v>34.49</v>
      </c>
      <c r="DW1043" s="2" t="n">
        <v>23.41</v>
      </c>
      <c r="DX1043" s="2" t="n">
        <v>2</v>
      </c>
      <c r="DY1043" s="2" t="n">
        <v>40.59</v>
      </c>
      <c r="DZ1043" s="2" t="n">
        <v>30.09</v>
      </c>
      <c r="EA1043" s="2" t="n">
        <v>2</v>
      </c>
      <c r="EB1043" s="2" t="n">
        <v>52.55</v>
      </c>
      <c r="EC1043" s="2" t="n">
        <v>36.32</v>
      </c>
      <c r="ED1043" s="2" t="n">
        <v>2</v>
      </c>
      <c r="EE1043" s="2" t="n">
        <v>65.98</v>
      </c>
      <c r="EF1043" s="2" t="n">
        <v>42.18</v>
      </c>
      <c r="EG1043" s="2" t="n">
        <v>2</v>
      </c>
      <c r="EH1043" s="2" t="n">
        <v>72.08</v>
      </c>
      <c r="EI1043" s="2" t="n">
        <v>46.94</v>
      </c>
      <c r="EJ1043" s="2" t="n">
        <v>2</v>
      </c>
      <c r="EK1043" s="2" t="n">
        <v>81.84999999999999</v>
      </c>
      <c r="EL1043" s="2" t="n">
        <v>55.71</v>
      </c>
      <c r="EM1043" s="2" t="n">
        <v>2</v>
      </c>
      <c r="EN1043" s="2" t="n">
        <v>90.40000000000001</v>
      </c>
      <c r="EO1043" s="2" t="n">
        <v>66.47</v>
      </c>
      <c r="EP1043" s="2" t="n">
        <v>2</v>
      </c>
      <c r="EQ1043" s="2" t="n">
        <v>100</v>
      </c>
      <c r="ER1043" s="2" t="n">
        <v>70.86</v>
      </c>
      <c r="ES1043" s="2" t="n">
        <v>2</v>
      </c>
      <c r="ET1043" s="2" t="n">
        <v>100</v>
      </c>
      <c r="EU1043" s="2" t="n">
        <v>76.36</v>
      </c>
      <c r="EV1043" s="2" t="n">
        <v>2</v>
      </c>
      <c r="EW1043" s="2" t="n">
        <v>100</v>
      </c>
      <c r="EX1043" s="2" t="n">
        <v>81.84999999999999</v>
      </c>
      <c r="EY1043" s="2" t="n">
        <v>2</v>
      </c>
      <c r="EZ1043" s="2" t="n">
        <v>100</v>
      </c>
      <c r="FA1043" s="2" t="n">
        <v>86.62</v>
      </c>
      <c r="FB1043" s="2" t="n">
        <v>2</v>
      </c>
      <c r="FC1043" s="2" t="n">
        <v>100</v>
      </c>
      <c r="FD1043" s="2" t="n">
        <v>92.48</v>
      </c>
      <c r="FE1043" s="2" t="n">
        <v>2</v>
      </c>
      <c r="FF1043" s="2" t="n">
        <v>100</v>
      </c>
      <c r="FG1043" s="2" t="n">
        <v>99.72</v>
      </c>
      <c r="FH1043" s="2" t="n">
        <v>2</v>
      </c>
      <c r="FI1043" s="2" t="n">
        <v>100</v>
      </c>
      <c r="FJ1043" s="2" t="n">
        <v>100</v>
      </c>
      <c r="FK1043" s="2" t="n">
        <v>2</v>
      </c>
      <c r="FL1043" s="2" t="n">
        <v>100</v>
      </c>
      <c r="FM1043" s="2" t="n">
        <v>100</v>
      </c>
      <c r="FN1043" s="2" t="n">
        <v>2</v>
      </c>
      <c r="FO1043" s="2" t="n">
        <v>100</v>
      </c>
      <c r="FP1043" s="2" t="n">
        <v>100</v>
      </c>
      <c r="FQ1043" s="2" t="n">
        <v>2</v>
      </c>
    </row>
    <row r="1044">
      <c r="A1044" s="2" t="n">
        <v>3</v>
      </c>
      <c r="B1044" s="2" t="inlineStr">
        <is>
          <t>36.01.03</t>
        </is>
      </c>
      <c r="C1044" s="2" t="inlineStr">
        <is>
          <t>PSG - Bosque  - Incluso terra vegetal</t>
        </is>
      </c>
      <c r="D1044" s="2" t="inlineStr">
        <is>
          <t>02/02/2026</t>
        </is>
      </c>
      <c r="E1044" s="2" t="inlineStr">
        <is>
          <t>28/04/2027</t>
        </is>
      </c>
      <c r="F1044" s="2" t="n">
        <v>878155.5470000001</v>
      </c>
      <c r="G1044" s="2" t="n">
        <v>0</v>
      </c>
      <c r="H1044" s="2" t="n">
        <v>878155.5470000001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0</v>
      </c>
      <c r="AQ1044" s="2" t="n">
        <v>0</v>
      </c>
      <c r="AR1044" s="2" t="n">
        <v>0</v>
      </c>
      <c r="AS1044" s="2" t="n">
        <v>0</v>
      </c>
      <c r="AT1044" s="2" t="n">
        <v>0</v>
      </c>
      <c r="AU1044" s="2" t="n">
        <v>0</v>
      </c>
      <c r="AV1044" s="2" t="n">
        <v>0</v>
      </c>
      <c r="AW1044" s="2" t="n">
        <v>0</v>
      </c>
      <c r="AX1044" s="2" t="n">
        <v>0</v>
      </c>
      <c r="AY1044" s="2" t="n">
        <v>0</v>
      </c>
      <c r="AZ1044" s="2" t="n">
        <v>0</v>
      </c>
      <c r="BA1044" s="2" t="n">
        <v>0</v>
      </c>
      <c r="BB1044" s="2" t="n">
        <v>0</v>
      </c>
      <c r="BC1044" s="2" t="n">
        <v>0</v>
      </c>
      <c r="BD1044" s="2" t="n">
        <v>0</v>
      </c>
      <c r="BE1044" s="2" t="n">
        <v>0</v>
      </c>
      <c r="BF1044" s="2" t="n">
        <v>0</v>
      </c>
      <c r="BG1044" s="2" t="n">
        <v>0</v>
      </c>
      <c r="BH1044" s="2" t="n">
        <v>0</v>
      </c>
      <c r="BI1044" s="2" t="n">
        <v>0</v>
      </c>
      <c r="BJ1044" s="2" t="n">
        <v>0</v>
      </c>
      <c r="BK1044" s="2" t="n">
        <v>6.35</v>
      </c>
      <c r="BL1044" s="2" t="n">
        <v>6.35</v>
      </c>
      <c r="BM1044" s="2" t="n">
        <v>0</v>
      </c>
      <c r="BN1044" s="2" t="n">
        <v>13.33</v>
      </c>
      <c r="BO1044" s="2" t="n">
        <v>13.33</v>
      </c>
      <c r="BP1044" s="2" t="n">
        <v>19.2</v>
      </c>
      <c r="BQ1044" s="2" t="n">
        <v>19.68</v>
      </c>
      <c r="BR1044" s="2" t="n">
        <v>19.68</v>
      </c>
      <c r="BS1044" s="2" t="n">
        <v>19.2</v>
      </c>
      <c r="BT1044" s="2" t="n">
        <v>26.03</v>
      </c>
      <c r="BU1044" s="2" t="n">
        <v>26.03</v>
      </c>
      <c r="BV1044" s="2" t="n">
        <v>26.03</v>
      </c>
      <c r="BW1044" s="2" t="n">
        <v>32.7</v>
      </c>
      <c r="BX1044" s="2" t="n">
        <v>32.7</v>
      </c>
      <c r="BY1044" s="2" t="n">
        <v>28.89</v>
      </c>
      <c r="BZ1044" s="2" t="n">
        <v>40</v>
      </c>
      <c r="CA1044" s="2" t="n">
        <v>40</v>
      </c>
      <c r="CB1044" s="2" t="n">
        <v>28.89</v>
      </c>
      <c r="CC1044" s="2" t="n">
        <v>46.67</v>
      </c>
      <c r="CD1044" s="2" t="n">
        <v>46.67</v>
      </c>
      <c r="CE1044" s="2" t="n">
        <v>28.89</v>
      </c>
      <c r="CF1044" s="2" t="n">
        <v>53.33</v>
      </c>
      <c r="CG1044" s="2" t="n">
        <v>53.33</v>
      </c>
      <c r="CH1044" s="2" t="n">
        <v>30</v>
      </c>
      <c r="CI1044" s="2" t="n">
        <v>60</v>
      </c>
      <c r="CJ1044" s="2" t="n">
        <v>60</v>
      </c>
      <c r="CK1044" s="2" t="n">
        <v>30</v>
      </c>
      <c r="CL1044" s="2" t="n">
        <v>60</v>
      </c>
      <c r="CM1044" s="2" t="n">
        <v>60</v>
      </c>
      <c r="CN1044" s="2" t="n">
        <v>30</v>
      </c>
      <c r="CO1044" s="2" t="n">
        <v>60</v>
      </c>
      <c r="CP1044" s="2" t="n">
        <v>60</v>
      </c>
      <c r="CQ1044" s="2" t="n">
        <v>30</v>
      </c>
      <c r="CR1044" s="2" t="n">
        <v>69.5</v>
      </c>
      <c r="CS1044" s="2" t="n">
        <v>69.5</v>
      </c>
      <c r="CT1044" s="2" t="n">
        <v>30</v>
      </c>
      <c r="CU1044" s="2" t="n">
        <v>79.5</v>
      </c>
      <c r="CV1044" s="2" t="n">
        <v>79.5</v>
      </c>
      <c r="CW1044" s="2" t="n">
        <v>30</v>
      </c>
      <c r="CX1044" s="2" t="n">
        <v>90.5</v>
      </c>
      <c r="CY1044" s="2" t="n">
        <v>90.5</v>
      </c>
      <c r="CZ1044" s="2" t="n">
        <v>30</v>
      </c>
      <c r="DA1044" s="2" t="n">
        <v>100</v>
      </c>
      <c r="DB1044" s="2" t="n">
        <v>100</v>
      </c>
      <c r="DC1044" s="2" t="n">
        <v>30</v>
      </c>
      <c r="DD1044" s="2" t="n">
        <v>100</v>
      </c>
      <c r="DE1044" s="2" t="n">
        <v>100</v>
      </c>
      <c r="DF1044" s="2" t="n">
        <v>30</v>
      </c>
      <c r="DG1044" s="2" t="n">
        <v>100</v>
      </c>
      <c r="DH1044" s="2" t="n">
        <v>100</v>
      </c>
      <c r="DI1044" s="2" t="n">
        <v>30</v>
      </c>
      <c r="DJ1044" s="2" t="n">
        <v>100</v>
      </c>
      <c r="DK1044" s="2" t="n">
        <v>100</v>
      </c>
      <c r="DL1044" s="2" t="n">
        <v>30</v>
      </c>
      <c r="DM1044" s="2" t="n">
        <v>100</v>
      </c>
      <c r="DN1044" s="2" t="n">
        <v>100</v>
      </c>
      <c r="DO1044" s="2" t="n">
        <v>30</v>
      </c>
      <c r="DP1044" s="2" t="n">
        <v>100</v>
      </c>
      <c r="DQ1044" s="2" t="n">
        <v>100</v>
      </c>
      <c r="DR1044" s="2" t="n">
        <v>30</v>
      </c>
      <c r="DS1044" s="2" t="n">
        <v>100</v>
      </c>
      <c r="DT1044" s="2" t="n">
        <v>100</v>
      </c>
      <c r="DU1044" s="2" t="n">
        <v>30</v>
      </c>
      <c r="DV1044" s="2" t="n">
        <v>100</v>
      </c>
      <c r="DW1044" s="2" t="n">
        <v>100</v>
      </c>
      <c r="DX1044" s="2" t="n">
        <v>30</v>
      </c>
      <c r="DY1044" s="2" t="n">
        <v>100</v>
      </c>
      <c r="DZ1044" s="2" t="n">
        <v>100</v>
      </c>
      <c r="EA1044" s="2" t="n">
        <v>30</v>
      </c>
      <c r="EB1044" s="2" t="n">
        <v>100</v>
      </c>
      <c r="EC1044" s="2" t="n">
        <v>100</v>
      </c>
      <c r="ED1044" s="2" t="n">
        <v>30</v>
      </c>
      <c r="EE1044" s="2" t="n">
        <v>100</v>
      </c>
      <c r="EF1044" s="2" t="n">
        <v>100</v>
      </c>
      <c r="EG1044" s="2" t="n">
        <v>30</v>
      </c>
      <c r="EH1044" s="2" t="n">
        <v>100</v>
      </c>
      <c r="EI1044" s="2" t="n">
        <v>100</v>
      </c>
      <c r="EJ1044" s="2" t="n">
        <v>30</v>
      </c>
      <c r="EK1044" s="2" t="n">
        <v>100</v>
      </c>
      <c r="EL1044" s="2" t="n">
        <v>100</v>
      </c>
      <c r="EM1044" s="2" t="n">
        <v>30</v>
      </c>
      <c r="EN1044" s="2" t="n">
        <v>100</v>
      </c>
      <c r="EO1044" s="2" t="n">
        <v>100</v>
      </c>
      <c r="EP1044" s="2" t="n">
        <v>30</v>
      </c>
      <c r="EQ1044" s="2" t="n">
        <v>100</v>
      </c>
      <c r="ER1044" s="2" t="n">
        <v>100</v>
      </c>
      <c r="ES1044" s="2" t="n">
        <v>30</v>
      </c>
      <c r="ET1044" s="2" t="n">
        <v>100</v>
      </c>
      <c r="EU1044" s="2" t="n">
        <v>100</v>
      </c>
      <c r="EV1044" s="2" t="n">
        <v>30</v>
      </c>
      <c r="EW1044" s="2" t="n">
        <v>100</v>
      </c>
      <c r="EX1044" s="2" t="n">
        <v>100</v>
      </c>
      <c r="EY1044" s="2" t="n">
        <v>30</v>
      </c>
      <c r="EZ1044" s="2" t="n">
        <v>100</v>
      </c>
      <c r="FA1044" s="2" t="n">
        <v>100</v>
      </c>
      <c r="FB1044" s="2" t="n">
        <v>30</v>
      </c>
      <c r="FC1044" s="2" t="n">
        <v>100</v>
      </c>
      <c r="FD1044" s="2" t="n">
        <v>100</v>
      </c>
      <c r="FE1044" s="2" t="n">
        <v>30</v>
      </c>
      <c r="FF1044" s="2" t="n">
        <v>100</v>
      </c>
      <c r="FG1044" s="2" t="n">
        <v>100</v>
      </c>
      <c r="FH1044" s="2" t="n">
        <v>30</v>
      </c>
      <c r="FI1044" s="2" t="n">
        <v>100</v>
      </c>
      <c r="FJ1044" s="2" t="n">
        <v>100</v>
      </c>
      <c r="FK1044" s="2" t="n">
        <v>30</v>
      </c>
      <c r="FL1044" s="2" t="n">
        <v>100</v>
      </c>
      <c r="FM1044" s="2" t="n">
        <v>100</v>
      </c>
      <c r="FN1044" s="2" t="n">
        <v>30</v>
      </c>
      <c r="FO1044" s="2" t="n">
        <v>100</v>
      </c>
      <c r="FP1044" s="2" t="n">
        <v>100</v>
      </c>
      <c r="FQ1044" s="2" t="n">
        <v>30</v>
      </c>
    </row>
    <row r="1045">
      <c r="A1045" s="2" t="n">
        <v>3</v>
      </c>
      <c r="B1045" s="2" t="inlineStr">
        <is>
          <t>36.01.04</t>
        </is>
      </c>
      <c r="C1045" s="2" t="inlineStr">
        <is>
          <t>Transporte e logistica vertical de material para execução de paisagismo em pavimentos elevados</t>
        </is>
      </c>
      <c r="D1045" s="2" t="inlineStr">
        <is>
          <t>07/01/2027</t>
        </is>
      </c>
      <c r="E1045" s="2" t="inlineStr">
        <is>
          <t>02/03/2028</t>
        </is>
      </c>
      <c r="F1045" s="2" t="n">
        <v>250000</v>
      </c>
      <c r="G1045" s="2" t="n">
        <v>0</v>
      </c>
      <c r="H1045" s="2" t="n">
        <v>250000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0</v>
      </c>
      <c r="BX1045" s="2" t="n">
        <v>0</v>
      </c>
      <c r="BY1045" s="2" t="n">
        <v>0</v>
      </c>
      <c r="BZ1045" s="2" t="n">
        <v>0</v>
      </c>
      <c r="CA1045" s="2" t="n">
        <v>0</v>
      </c>
      <c r="CB1045" s="2" t="n">
        <v>0</v>
      </c>
      <c r="CC1045" s="2" t="n">
        <v>0</v>
      </c>
      <c r="CD1045" s="2" t="n">
        <v>0</v>
      </c>
      <c r="CE1045" s="2" t="n">
        <v>0</v>
      </c>
      <c r="CF1045" s="2" t="n">
        <v>0</v>
      </c>
      <c r="CG1045" s="2" t="n">
        <v>0</v>
      </c>
      <c r="CH1045" s="2" t="n">
        <v>0</v>
      </c>
      <c r="CI1045" s="2" t="n">
        <v>0</v>
      </c>
      <c r="CJ1045" s="2" t="n">
        <v>0</v>
      </c>
      <c r="CK1045" s="2" t="n">
        <v>0</v>
      </c>
      <c r="CL1045" s="2" t="n">
        <v>0</v>
      </c>
      <c r="CM1045" s="2" t="n">
        <v>0</v>
      </c>
      <c r="CN1045" s="2" t="n">
        <v>0</v>
      </c>
      <c r="CO1045" s="2" t="n">
        <v>0</v>
      </c>
      <c r="CP1045" s="2" t="n">
        <v>0</v>
      </c>
      <c r="CQ1045" s="2" t="n">
        <v>0</v>
      </c>
      <c r="CR1045" s="2" t="n">
        <v>7.84</v>
      </c>
      <c r="CS1045" s="2" t="n">
        <v>4.15</v>
      </c>
      <c r="CT1045" s="2" t="n">
        <v>0</v>
      </c>
      <c r="CU1045" s="2" t="n">
        <v>13.38</v>
      </c>
      <c r="CV1045" s="2" t="n">
        <v>10.61</v>
      </c>
      <c r="CW1045" s="2" t="n">
        <v>0</v>
      </c>
      <c r="CX1045" s="2" t="n">
        <v>16.61</v>
      </c>
      <c r="CY1045" s="2" t="n">
        <v>16.61</v>
      </c>
      <c r="CZ1045" s="2" t="n">
        <v>0</v>
      </c>
      <c r="DA1045" s="2" t="n">
        <v>20.76</v>
      </c>
      <c r="DB1045" s="2" t="n">
        <v>20.76</v>
      </c>
      <c r="DC1045" s="2" t="n">
        <v>0</v>
      </c>
      <c r="DD1045" s="2" t="n">
        <v>27.95</v>
      </c>
      <c r="DE1045" s="2" t="n">
        <v>29.05</v>
      </c>
      <c r="DF1045" s="2" t="n">
        <v>0</v>
      </c>
      <c r="DG1045" s="2" t="n">
        <v>37.91</v>
      </c>
      <c r="DH1045" s="2" t="n">
        <v>37.91</v>
      </c>
      <c r="DI1045" s="2" t="n">
        <v>0</v>
      </c>
      <c r="DJ1045" s="2" t="n">
        <v>48.52</v>
      </c>
      <c r="DK1045" s="2" t="n">
        <v>49.91</v>
      </c>
      <c r="DL1045" s="2" t="n">
        <v>0</v>
      </c>
      <c r="DM1045" s="2" t="n">
        <v>58.67</v>
      </c>
      <c r="DN1045" s="2" t="n">
        <v>58.67</v>
      </c>
      <c r="DO1045" s="2" t="n">
        <v>0</v>
      </c>
      <c r="DP1045" s="2" t="n">
        <v>64.20999999999999</v>
      </c>
      <c r="DQ1045" s="2" t="n">
        <v>65.13</v>
      </c>
      <c r="DR1045" s="2" t="n">
        <v>0</v>
      </c>
      <c r="DS1045" s="2" t="n">
        <v>77.13</v>
      </c>
      <c r="DT1045" s="2" t="n">
        <v>75.73999999999999</v>
      </c>
      <c r="DU1045" s="2" t="n">
        <v>0</v>
      </c>
      <c r="DV1045" s="2" t="n">
        <v>86.81</v>
      </c>
      <c r="DW1045" s="2" t="n">
        <v>82.2</v>
      </c>
      <c r="DX1045" s="2" t="n">
        <v>0</v>
      </c>
      <c r="DY1045" s="2" t="n">
        <v>91.89</v>
      </c>
      <c r="DZ1045" s="2" t="n">
        <v>85.43000000000001</v>
      </c>
      <c r="EA1045" s="2" t="n">
        <v>0</v>
      </c>
      <c r="EB1045" s="2" t="n">
        <v>97.15000000000001</v>
      </c>
      <c r="EC1045" s="2" t="n">
        <v>91.89</v>
      </c>
      <c r="ED1045" s="2" t="n">
        <v>0</v>
      </c>
      <c r="EE1045" s="2" t="n">
        <v>100</v>
      </c>
      <c r="EF1045" s="2" t="n">
        <v>99.29000000000001</v>
      </c>
      <c r="EG1045" s="2" t="n">
        <v>0</v>
      </c>
      <c r="EH1045" s="2" t="n">
        <v>100</v>
      </c>
      <c r="EI1045" s="2" t="n">
        <v>100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  <c r="EQ1045" s="2" t="n">
        <v>100</v>
      </c>
      <c r="ER1045" s="2" t="n">
        <v>100</v>
      </c>
      <c r="ES1045" s="2" t="n">
        <v>0</v>
      </c>
      <c r="ET1045" s="2" t="n">
        <v>100</v>
      </c>
      <c r="EU1045" s="2" t="n">
        <v>100</v>
      </c>
      <c r="EV1045" s="2" t="n">
        <v>0</v>
      </c>
      <c r="EW1045" s="2" t="n">
        <v>100</v>
      </c>
      <c r="EX1045" s="2" t="n">
        <v>100</v>
      </c>
      <c r="EY1045" s="2" t="n">
        <v>0</v>
      </c>
      <c r="EZ1045" s="2" t="n">
        <v>100</v>
      </c>
      <c r="FA1045" s="2" t="n">
        <v>100</v>
      </c>
      <c r="FB1045" s="2" t="n">
        <v>0</v>
      </c>
      <c r="FC1045" s="2" t="n">
        <v>100</v>
      </c>
      <c r="FD1045" s="2" t="n">
        <v>100</v>
      </c>
      <c r="FE1045" s="2" t="n">
        <v>0</v>
      </c>
      <c r="FF1045" s="2" t="n">
        <v>100</v>
      </c>
      <c r="FG1045" s="2" t="n">
        <v>100</v>
      </c>
      <c r="FH1045" s="2" t="n">
        <v>0</v>
      </c>
      <c r="FI1045" s="2" t="n">
        <v>100</v>
      </c>
      <c r="FJ1045" s="2" t="n">
        <v>100</v>
      </c>
      <c r="FK1045" s="2" t="n">
        <v>0</v>
      </c>
      <c r="FL1045" s="2" t="n">
        <v>100</v>
      </c>
      <c r="FM1045" s="2" t="n">
        <v>100</v>
      </c>
      <c r="FN1045" s="2" t="n">
        <v>0</v>
      </c>
      <c r="FO1045" s="2" t="n">
        <v>100</v>
      </c>
      <c r="FP1045" s="2" t="n">
        <v>100</v>
      </c>
      <c r="FQ1045" s="2" t="n">
        <v>0</v>
      </c>
    </row>
    <row r="1046">
      <c r="A1046" s="2" t="n">
        <v>1</v>
      </c>
      <c r="B1046" s="2" t="inlineStr">
        <is>
          <t>37</t>
        </is>
      </c>
      <c r="C1046" s="2" t="inlineStr">
        <is>
          <t>LIMPEZA FINAL DE OBRA</t>
        </is>
      </c>
      <c r="D1046" s="2" t="inlineStr">
        <is>
          <t>16/03/2027</t>
        </is>
      </c>
      <c r="E1046" s="2" t="inlineStr">
        <is>
          <t>13/02/2029</t>
        </is>
      </c>
      <c r="F1046" s="2" t="n">
        <v>729722.03116</v>
      </c>
      <c r="G1046" s="2" t="n">
        <v>0</v>
      </c>
      <c r="H1046" s="2" t="n">
        <v>729722.03116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</v>
      </c>
      <c r="CD1046" s="2" t="n">
        <v>0</v>
      </c>
      <c r="CE1046" s="2" t="n">
        <v>0</v>
      </c>
      <c r="CF1046" s="2" t="n">
        <v>0</v>
      </c>
      <c r="CG1046" s="2" t="n">
        <v>0</v>
      </c>
      <c r="CH1046" s="2" t="n">
        <v>0</v>
      </c>
      <c r="CI1046" s="2" t="n">
        <v>0</v>
      </c>
      <c r="CJ1046" s="2" t="n">
        <v>0</v>
      </c>
      <c r="CK1046" s="2" t="n">
        <v>0</v>
      </c>
      <c r="CL1046" s="2" t="n">
        <v>0</v>
      </c>
      <c r="CM1046" s="2" t="n">
        <v>0</v>
      </c>
      <c r="CN1046" s="2" t="n">
        <v>0</v>
      </c>
      <c r="CO1046" s="2" t="n">
        <v>0</v>
      </c>
      <c r="CP1046" s="2" t="n">
        <v>0</v>
      </c>
      <c r="CQ1046" s="2" t="n">
        <v>0</v>
      </c>
      <c r="CR1046" s="2" t="n">
        <v>0</v>
      </c>
      <c r="CS1046" s="2" t="n">
        <v>0</v>
      </c>
      <c r="CT1046" s="2" t="n">
        <v>0</v>
      </c>
      <c r="CU1046" s="2" t="n">
        <v>0</v>
      </c>
      <c r="CV1046" s="2" t="n">
        <v>0</v>
      </c>
      <c r="CW1046" s="2" t="n">
        <v>0</v>
      </c>
      <c r="CX1046" s="2" t="n">
        <v>0.39</v>
      </c>
      <c r="CY1046" s="2" t="n">
        <v>0.45</v>
      </c>
      <c r="CZ1046" s="2" t="n">
        <v>0</v>
      </c>
      <c r="DA1046" s="2" t="n">
        <v>1.85</v>
      </c>
      <c r="DB1046" s="2" t="n">
        <v>1.85</v>
      </c>
      <c r="DC1046" s="2" t="n">
        <v>0</v>
      </c>
      <c r="DD1046" s="2" t="n">
        <v>1.85</v>
      </c>
      <c r="DE1046" s="2" t="n">
        <v>1.85</v>
      </c>
      <c r="DF1046" s="2" t="n">
        <v>0</v>
      </c>
      <c r="DG1046" s="2" t="n">
        <v>2.71</v>
      </c>
      <c r="DH1046" s="2" t="n">
        <v>2.71</v>
      </c>
      <c r="DI1046" s="2" t="n">
        <v>0</v>
      </c>
      <c r="DJ1046" s="2" t="n">
        <v>4.33</v>
      </c>
      <c r="DK1046" s="2" t="n">
        <v>3.7</v>
      </c>
      <c r="DL1046" s="2" t="n">
        <v>0</v>
      </c>
      <c r="DM1046" s="2" t="n">
        <v>5.11</v>
      </c>
      <c r="DN1046" s="2" t="n">
        <v>3.7</v>
      </c>
      <c r="DO1046" s="2" t="n">
        <v>0</v>
      </c>
      <c r="DP1046" s="2" t="n">
        <v>7.97</v>
      </c>
      <c r="DQ1046" s="2" t="n">
        <v>4.4</v>
      </c>
      <c r="DR1046" s="2" t="n">
        <v>0</v>
      </c>
      <c r="DS1046" s="2" t="n">
        <v>10.15</v>
      </c>
      <c r="DT1046" s="2" t="n">
        <v>5.56</v>
      </c>
      <c r="DU1046" s="2" t="n">
        <v>0</v>
      </c>
      <c r="DV1046" s="2" t="n">
        <v>13.77</v>
      </c>
      <c r="DW1046" s="2" t="n">
        <v>7.05</v>
      </c>
      <c r="DX1046" s="2" t="n">
        <v>0</v>
      </c>
      <c r="DY1046" s="2" t="n">
        <v>17.59</v>
      </c>
      <c r="DZ1046" s="2" t="n">
        <v>9.25</v>
      </c>
      <c r="EA1046" s="2" t="n">
        <v>0</v>
      </c>
      <c r="EB1046" s="2" t="n">
        <v>23.82</v>
      </c>
      <c r="EC1046" s="2" t="n">
        <v>14.81</v>
      </c>
      <c r="ED1046" s="2" t="n">
        <v>0</v>
      </c>
      <c r="EE1046" s="2" t="n">
        <v>30.41</v>
      </c>
      <c r="EF1046" s="2" t="n">
        <v>19.27</v>
      </c>
      <c r="EG1046" s="2" t="n">
        <v>0</v>
      </c>
      <c r="EH1046" s="2" t="n">
        <v>48.36</v>
      </c>
      <c r="EI1046" s="2" t="n">
        <v>34.69</v>
      </c>
      <c r="EJ1046" s="2" t="n">
        <v>0</v>
      </c>
      <c r="EK1046" s="2" t="n">
        <v>66.58</v>
      </c>
      <c r="EL1046" s="2" t="n">
        <v>50.46</v>
      </c>
      <c r="EM1046" s="2" t="n">
        <v>0</v>
      </c>
      <c r="EN1046" s="2" t="n">
        <v>87.76000000000001</v>
      </c>
      <c r="EO1046" s="2" t="n">
        <v>69.06999999999999</v>
      </c>
      <c r="EP1046" s="2" t="n">
        <v>0</v>
      </c>
      <c r="EQ1046" s="2" t="n">
        <v>93.75</v>
      </c>
      <c r="ER1046" s="2" t="n">
        <v>74.08</v>
      </c>
      <c r="ES1046" s="2" t="n">
        <v>0</v>
      </c>
      <c r="ET1046" s="2" t="n">
        <v>97.52</v>
      </c>
      <c r="EU1046" s="2" t="n">
        <v>78.55</v>
      </c>
      <c r="EV1046" s="2" t="n">
        <v>0</v>
      </c>
      <c r="EW1046" s="2" t="n">
        <v>100</v>
      </c>
      <c r="EX1046" s="2" t="n">
        <v>84.14</v>
      </c>
      <c r="EY1046" s="2" t="n">
        <v>0</v>
      </c>
      <c r="EZ1046" s="2" t="n">
        <v>100</v>
      </c>
      <c r="FA1046" s="2" t="n">
        <v>87.69</v>
      </c>
      <c r="FB1046" s="2" t="n">
        <v>0</v>
      </c>
      <c r="FC1046" s="2" t="n">
        <v>100</v>
      </c>
      <c r="FD1046" s="2" t="n">
        <v>90.92</v>
      </c>
      <c r="FE1046" s="2" t="n">
        <v>0</v>
      </c>
      <c r="FF1046" s="2" t="n">
        <v>100</v>
      </c>
      <c r="FG1046" s="2" t="n">
        <v>93.84</v>
      </c>
      <c r="FH1046" s="2" t="n">
        <v>0</v>
      </c>
      <c r="FI1046" s="2" t="n">
        <v>100</v>
      </c>
      <c r="FJ1046" s="2" t="n">
        <v>96.64</v>
      </c>
      <c r="FK1046" s="2" t="n">
        <v>0</v>
      </c>
      <c r="FL1046" s="2" t="n">
        <v>100</v>
      </c>
      <c r="FM1046" s="2" t="n">
        <v>98.83</v>
      </c>
      <c r="FN1046" s="2" t="n">
        <v>0</v>
      </c>
      <c r="FO1046" s="2" t="n">
        <v>100</v>
      </c>
      <c r="FP1046" s="2" t="n">
        <v>100</v>
      </c>
      <c r="FQ1046" s="2" t="n">
        <v>0</v>
      </c>
    </row>
    <row r="1047">
      <c r="A1047" s="2" t="n">
        <v>2</v>
      </c>
      <c r="B1047" s="2" t="inlineStr">
        <is>
          <t>37.01</t>
        </is>
      </c>
      <c r="C1047" s="2" t="inlineStr">
        <is>
          <t>Despesas Gerais</t>
        </is>
      </c>
      <c r="D1047" s="2" t="inlineStr">
        <is>
          <t>16/03/2027</t>
        </is>
      </c>
      <c r="E1047" s="2" t="inlineStr">
        <is>
          <t>13/02/2029</t>
        </is>
      </c>
      <c r="F1047" s="2" t="n">
        <v>188500</v>
      </c>
      <c r="G1047" s="2" t="n">
        <v>0</v>
      </c>
      <c r="H1047" s="2" t="n">
        <v>188500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0</v>
      </c>
      <c r="CD1047" s="2" t="n">
        <v>0</v>
      </c>
      <c r="CE1047" s="2" t="n">
        <v>0</v>
      </c>
      <c r="CF1047" s="2" t="n">
        <v>0</v>
      </c>
      <c r="CG1047" s="2" t="n">
        <v>0</v>
      </c>
      <c r="CH1047" s="2" t="n">
        <v>0</v>
      </c>
      <c r="CI1047" s="2" t="n">
        <v>0</v>
      </c>
      <c r="CJ1047" s="2" t="n">
        <v>0</v>
      </c>
      <c r="CK1047" s="2" t="n">
        <v>0</v>
      </c>
      <c r="CL1047" s="2" t="n">
        <v>0</v>
      </c>
      <c r="CM1047" s="2" t="n">
        <v>0</v>
      </c>
      <c r="CN1047" s="2" t="n">
        <v>0</v>
      </c>
      <c r="CO1047" s="2" t="n">
        <v>0</v>
      </c>
      <c r="CP1047" s="2" t="n">
        <v>0</v>
      </c>
      <c r="CQ1047" s="2" t="n">
        <v>0</v>
      </c>
      <c r="CR1047" s="2" t="n">
        <v>0</v>
      </c>
      <c r="CS1047" s="2" t="n">
        <v>0</v>
      </c>
      <c r="CT1047" s="2" t="n">
        <v>0</v>
      </c>
      <c r="CU1047" s="2" t="n">
        <v>0</v>
      </c>
      <c r="CV1047" s="2" t="n">
        <v>0</v>
      </c>
      <c r="CW1047" s="2" t="n">
        <v>0</v>
      </c>
      <c r="CX1047" s="2" t="n">
        <v>1.5</v>
      </c>
      <c r="CY1047" s="2" t="n">
        <v>1.75</v>
      </c>
      <c r="CZ1047" s="2" t="n">
        <v>0</v>
      </c>
      <c r="DA1047" s="2" t="n">
        <v>7.16</v>
      </c>
      <c r="DB1047" s="2" t="n">
        <v>7.16</v>
      </c>
      <c r="DC1047" s="2" t="n">
        <v>0</v>
      </c>
      <c r="DD1047" s="2" t="n">
        <v>7.16</v>
      </c>
      <c r="DE1047" s="2" t="n">
        <v>7.16</v>
      </c>
      <c r="DF1047" s="2" t="n">
        <v>0</v>
      </c>
      <c r="DG1047" s="2" t="n">
        <v>10.5</v>
      </c>
      <c r="DH1047" s="2" t="n">
        <v>10.5</v>
      </c>
      <c r="DI1047" s="2" t="n">
        <v>0</v>
      </c>
      <c r="DJ1047" s="2" t="n">
        <v>14.32</v>
      </c>
      <c r="DK1047" s="2" t="n">
        <v>14.32</v>
      </c>
      <c r="DL1047" s="2" t="n">
        <v>0</v>
      </c>
      <c r="DM1047" s="2" t="n">
        <v>14.32</v>
      </c>
      <c r="DN1047" s="2" t="n">
        <v>14.32</v>
      </c>
      <c r="DO1047" s="2" t="n">
        <v>0</v>
      </c>
      <c r="DP1047" s="2" t="n">
        <v>17.29</v>
      </c>
      <c r="DQ1047" s="2" t="n">
        <v>14.32</v>
      </c>
      <c r="DR1047" s="2" t="n">
        <v>0</v>
      </c>
      <c r="DS1047" s="2" t="n">
        <v>21.24</v>
      </c>
      <c r="DT1047" s="2" t="n">
        <v>14.32</v>
      </c>
      <c r="DU1047" s="2" t="n">
        <v>0</v>
      </c>
      <c r="DV1047" s="2" t="n">
        <v>24.2</v>
      </c>
      <c r="DW1047" s="2" t="n">
        <v>14.32</v>
      </c>
      <c r="DX1047" s="2" t="n">
        <v>0</v>
      </c>
      <c r="DY1047" s="2" t="n">
        <v>30</v>
      </c>
      <c r="DZ1047" s="2" t="n">
        <v>19.17</v>
      </c>
      <c r="EA1047" s="2" t="n">
        <v>0</v>
      </c>
      <c r="EB1047" s="2" t="n">
        <v>36.62</v>
      </c>
      <c r="EC1047" s="2" t="n">
        <v>24.62</v>
      </c>
      <c r="ED1047" s="2" t="n">
        <v>0</v>
      </c>
      <c r="EE1047" s="2" t="n">
        <v>43.39</v>
      </c>
      <c r="EF1047" s="2" t="n">
        <v>30.2</v>
      </c>
      <c r="EG1047" s="2" t="n">
        <v>0</v>
      </c>
      <c r="EH1047" s="2" t="n">
        <v>54.65</v>
      </c>
      <c r="EI1047" s="2" t="n">
        <v>36.22</v>
      </c>
      <c r="EJ1047" s="2" t="n">
        <v>0</v>
      </c>
      <c r="EK1047" s="2" t="n">
        <v>65.42</v>
      </c>
      <c r="EL1047" s="2" t="n">
        <v>44.9</v>
      </c>
      <c r="EM1047" s="2" t="n">
        <v>0</v>
      </c>
      <c r="EN1047" s="2" t="n">
        <v>75.79000000000001</v>
      </c>
      <c r="EO1047" s="2" t="n">
        <v>48.36</v>
      </c>
      <c r="EP1047" s="2" t="n">
        <v>0</v>
      </c>
      <c r="EQ1047" s="2" t="n">
        <v>84.19</v>
      </c>
      <c r="ER1047" s="2" t="n">
        <v>55.27</v>
      </c>
      <c r="ES1047" s="2" t="n">
        <v>0</v>
      </c>
      <c r="ET1047" s="2" t="n">
        <v>93.08</v>
      </c>
      <c r="EU1047" s="2" t="n">
        <v>61.2</v>
      </c>
      <c r="EV1047" s="2" t="n">
        <v>0</v>
      </c>
      <c r="EW1047" s="2" t="n">
        <v>100</v>
      </c>
      <c r="EX1047" s="2" t="n">
        <v>70.84999999999999</v>
      </c>
      <c r="EY1047" s="2" t="n">
        <v>0</v>
      </c>
      <c r="EZ1047" s="2" t="n">
        <v>100</v>
      </c>
      <c r="FA1047" s="2" t="n">
        <v>77.28</v>
      </c>
      <c r="FB1047" s="2" t="n">
        <v>0</v>
      </c>
      <c r="FC1047" s="2" t="n">
        <v>100</v>
      </c>
      <c r="FD1047" s="2" t="n">
        <v>82.70999999999999</v>
      </c>
      <c r="FE1047" s="2" t="n">
        <v>0</v>
      </c>
      <c r="FF1047" s="2" t="n">
        <v>100</v>
      </c>
      <c r="FG1047" s="2" t="n">
        <v>86.17</v>
      </c>
      <c r="FH1047" s="2" t="n">
        <v>0</v>
      </c>
      <c r="FI1047" s="2" t="n">
        <v>100</v>
      </c>
      <c r="FJ1047" s="2" t="n">
        <v>92.39</v>
      </c>
      <c r="FK1047" s="2" t="n">
        <v>0</v>
      </c>
      <c r="FL1047" s="2" t="n">
        <v>100</v>
      </c>
      <c r="FM1047" s="2" t="n">
        <v>96.54000000000001</v>
      </c>
      <c r="FN1047" s="2" t="n">
        <v>0</v>
      </c>
      <c r="FO1047" s="2" t="n">
        <v>100</v>
      </c>
      <c r="FP1047" s="2" t="n">
        <v>100</v>
      </c>
      <c r="FQ1047" s="2" t="n">
        <v>0</v>
      </c>
    </row>
    <row r="1048">
      <c r="A1048" s="2" t="n">
        <v>3</v>
      </c>
      <c r="B1048" s="2" t="inlineStr">
        <is>
          <t>37.01.01</t>
        </is>
      </c>
      <c r="C1048" s="2" t="inlineStr">
        <is>
          <t>Arremates Finais/check list</t>
        </is>
      </c>
      <c r="D1048" s="2" t="inlineStr">
        <is>
          <t>03/12/2027</t>
        </is>
      </c>
      <c r="E1048" s="2" t="inlineStr">
        <is>
          <t>13/02/2029</t>
        </is>
      </c>
      <c r="F1048" s="2" t="n">
        <v>150000</v>
      </c>
      <c r="G1048" s="2" t="n">
        <v>0</v>
      </c>
      <c r="H1048" s="2" t="n">
        <v>150000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0</v>
      </c>
      <c r="CE1048" s="2" t="n">
        <v>0</v>
      </c>
      <c r="CF1048" s="2" t="n">
        <v>0</v>
      </c>
      <c r="CG1048" s="2" t="n">
        <v>0</v>
      </c>
      <c r="CH1048" s="2" t="n">
        <v>0</v>
      </c>
      <c r="CI1048" s="2" t="n">
        <v>0</v>
      </c>
      <c r="CJ1048" s="2" t="n">
        <v>0</v>
      </c>
      <c r="CK1048" s="2" t="n">
        <v>0</v>
      </c>
      <c r="CL1048" s="2" t="n">
        <v>0</v>
      </c>
      <c r="CM1048" s="2" t="n">
        <v>0</v>
      </c>
      <c r="CN1048" s="2" t="n">
        <v>0</v>
      </c>
      <c r="CO1048" s="2" t="n">
        <v>0</v>
      </c>
      <c r="CP1048" s="2" t="n">
        <v>0</v>
      </c>
      <c r="CQ1048" s="2" t="n">
        <v>0</v>
      </c>
      <c r="CR1048" s="2" t="n">
        <v>0</v>
      </c>
      <c r="CS1048" s="2" t="n">
        <v>0</v>
      </c>
      <c r="CT1048" s="2" t="n">
        <v>0</v>
      </c>
      <c r="CU1048" s="2" t="n">
        <v>0</v>
      </c>
      <c r="CV1048" s="2" t="n">
        <v>0</v>
      </c>
      <c r="CW1048" s="2" t="n">
        <v>0</v>
      </c>
      <c r="CX1048" s="2" t="n">
        <v>0</v>
      </c>
      <c r="CY1048" s="2" t="n">
        <v>0</v>
      </c>
      <c r="CZ1048" s="2" t="n">
        <v>0</v>
      </c>
      <c r="DA1048" s="2" t="n">
        <v>0</v>
      </c>
      <c r="DB1048" s="2" t="n">
        <v>0</v>
      </c>
      <c r="DC1048" s="2" t="n">
        <v>0</v>
      </c>
      <c r="DD1048" s="2" t="n">
        <v>0</v>
      </c>
      <c r="DE1048" s="2" t="n">
        <v>0</v>
      </c>
      <c r="DF1048" s="2" t="n">
        <v>0</v>
      </c>
      <c r="DG1048" s="2" t="n">
        <v>0</v>
      </c>
      <c r="DH1048" s="2" t="n">
        <v>0</v>
      </c>
      <c r="DI1048" s="2" t="n">
        <v>0</v>
      </c>
      <c r="DJ1048" s="2" t="n">
        <v>0</v>
      </c>
      <c r="DK1048" s="2" t="n">
        <v>0</v>
      </c>
      <c r="DL1048" s="2" t="n">
        <v>0</v>
      </c>
      <c r="DM1048" s="2" t="n">
        <v>0</v>
      </c>
      <c r="DN1048" s="2" t="n">
        <v>0</v>
      </c>
      <c r="DO1048" s="2" t="n">
        <v>0</v>
      </c>
      <c r="DP1048" s="2" t="n">
        <v>3.47</v>
      </c>
      <c r="DQ1048" s="2" t="n">
        <v>0</v>
      </c>
      <c r="DR1048" s="2" t="n">
        <v>0</v>
      </c>
      <c r="DS1048" s="2" t="n">
        <v>8.1</v>
      </c>
      <c r="DT1048" s="2" t="n">
        <v>0</v>
      </c>
      <c r="DU1048" s="2" t="n">
        <v>0</v>
      </c>
      <c r="DV1048" s="2" t="n">
        <v>11.57</v>
      </c>
      <c r="DW1048" s="2" t="n">
        <v>0</v>
      </c>
      <c r="DX1048" s="2" t="n">
        <v>0</v>
      </c>
      <c r="DY1048" s="2" t="n">
        <v>18.29</v>
      </c>
      <c r="DZ1048" s="2" t="n">
        <v>5.61</v>
      </c>
      <c r="EA1048" s="2" t="n">
        <v>0</v>
      </c>
      <c r="EB1048" s="2" t="n">
        <v>25.91</v>
      </c>
      <c r="EC1048" s="2" t="n">
        <v>11.76</v>
      </c>
      <c r="ED1048" s="2" t="n">
        <v>0</v>
      </c>
      <c r="EE1048" s="2" t="n">
        <v>33.78</v>
      </c>
      <c r="EF1048" s="2" t="n">
        <v>18.21</v>
      </c>
      <c r="EG1048" s="2" t="n">
        <v>0</v>
      </c>
      <c r="EH1048" s="2" t="n">
        <v>46.88</v>
      </c>
      <c r="EI1048" s="2" t="n">
        <v>25.29</v>
      </c>
      <c r="EJ1048" s="2" t="n">
        <v>0</v>
      </c>
      <c r="EK1048" s="2" t="n">
        <v>59.49</v>
      </c>
      <c r="EL1048" s="2" t="n">
        <v>35.47</v>
      </c>
      <c r="EM1048" s="2" t="n">
        <v>0</v>
      </c>
      <c r="EN1048" s="2" t="n">
        <v>71.65000000000001</v>
      </c>
      <c r="EO1048" s="2" t="n">
        <v>39.52</v>
      </c>
      <c r="EP1048" s="2" t="n">
        <v>0</v>
      </c>
      <c r="EQ1048" s="2" t="n">
        <v>81.48</v>
      </c>
      <c r="ER1048" s="2" t="n">
        <v>47.63</v>
      </c>
      <c r="ES1048" s="2" t="n">
        <v>0</v>
      </c>
      <c r="ET1048" s="2" t="n">
        <v>91.90000000000001</v>
      </c>
      <c r="EU1048" s="2" t="n">
        <v>54.57</v>
      </c>
      <c r="EV1048" s="2" t="n">
        <v>0</v>
      </c>
      <c r="EW1048" s="2" t="n">
        <v>100</v>
      </c>
      <c r="EX1048" s="2" t="n">
        <v>65.86</v>
      </c>
      <c r="EY1048" s="2" t="n">
        <v>0</v>
      </c>
      <c r="EZ1048" s="2" t="n">
        <v>100</v>
      </c>
      <c r="FA1048" s="2" t="n">
        <v>73.38</v>
      </c>
      <c r="FB1048" s="2" t="n">
        <v>0</v>
      </c>
      <c r="FC1048" s="2" t="n">
        <v>100</v>
      </c>
      <c r="FD1048" s="2" t="n">
        <v>79.75</v>
      </c>
      <c r="FE1048" s="2" t="n">
        <v>0</v>
      </c>
      <c r="FF1048" s="2" t="n">
        <v>100</v>
      </c>
      <c r="FG1048" s="2" t="n">
        <v>83.8</v>
      </c>
      <c r="FH1048" s="2" t="n">
        <v>0</v>
      </c>
      <c r="FI1048" s="2" t="n">
        <v>100</v>
      </c>
      <c r="FJ1048" s="2" t="n">
        <v>91.09</v>
      </c>
      <c r="FK1048" s="2" t="n">
        <v>0</v>
      </c>
      <c r="FL1048" s="2" t="n">
        <v>100</v>
      </c>
      <c r="FM1048" s="2" t="n">
        <v>95.95</v>
      </c>
      <c r="FN1048" s="2" t="n">
        <v>0</v>
      </c>
      <c r="FO1048" s="2" t="n">
        <v>100</v>
      </c>
      <c r="FP1048" s="2" t="n">
        <v>100</v>
      </c>
      <c r="FQ1048" s="2" t="n">
        <v>0</v>
      </c>
    </row>
    <row r="1049">
      <c r="A1049" s="2" t="n">
        <v>3</v>
      </c>
      <c r="B1049" s="2" t="inlineStr">
        <is>
          <t>37.01.02</t>
        </is>
      </c>
      <c r="C1049" s="2" t="inlineStr">
        <is>
          <t>Elaboração de manual do proprietário</t>
        </is>
      </c>
      <c r="D1049" s="2" t="inlineStr">
        <is>
          <t>03/12/2027</t>
        </is>
      </c>
      <c r="E1049" s="2" t="inlineStr">
        <is>
          <t>13/02/2029</t>
        </is>
      </c>
      <c r="F1049" s="2" t="n">
        <v>11500</v>
      </c>
      <c r="G1049" s="2" t="n">
        <v>0</v>
      </c>
      <c r="H1049" s="2" t="n">
        <v>11500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0</v>
      </c>
      <c r="CE1049" s="2" t="n">
        <v>0</v>
      </c>
      <c r="CF1049" s="2" t="n">
        <v>0</v>
      </c>
      <c r="CG1049" s="2" t="n">
        <v>0</v>
      </c>
      <c r="CH1049" s="2" t="n">
        <v>0</v>
      </c>
      <c r="CI1049" s="2" t="n">
        <v>0</v>
      </c>
      <c r="CJ1049" s="2" t="n">
        <v>0</v>
      </c>
      <c r="CK1049" s="2" t="n">
        <v>0</v>
      </c>
      <c r="CL1049" s="2" t="n">
        <v>0</v>
      </c>
      <c r="CM1049" s="2" t="n">
        <v>0</v>
      </c>
      <c r="CN1049" s="2" t="n">
        <v>0</v>
      </c>
      <c r="CO1049" s="2" t="n">
        <v>0</v>
      </c>
      <c r="CP1049" s="2" t="n">
        <v>0</v>
      </c>
      <c r="CQ1049" s="2" t="n">
        <v>0</v>
      </c>
      <c r="CR1049" s="2" t="n">
        <v>0</v>
      </c>
      <c r="CS1049" s="2" t="n">
        <v>0</v>
      </c>
      <c r="CT1049" s="2" t="n">
        <v>0</v>
      </c>
      <c r="CU1049" s="2" t="n">
        <v>0</v>
      </c>
      <c r="CV1049" s="2" t="n">
        <v>0</v>
      </c>
      <c r="CW1049" s="2" t="n">
        <v>0</v>
      </c>
      <c r="CX1049" s="2" t="n">
        <v>0</v>
      </c>
      <c r="CY1049" s="2" t="n">
        <v>0</v>
      </c>
      <c r="CZ1049" s="2" t="n">
        <v>0</v>
      </c>
      <c r="DA1049" s="2" t="n">
        <v>0</v>
      </c>
      <c r="DB1049" s="2" t="n">
        <v>0</v>
      </c>
      <c r="DC1049" s="2" t="n">
        <v>0</v>
      </c>
      <c r="DD1049" s="2" t="n">
        <v>0</v>
      </c>
      <c r="DE1049" s="2" t="n">
        <v>0</v>
      </c>
      <c r="DF1049" s="2" t="n">
        <v>0</v>
      </c>
      <c r="DG1049" s="2" t="n">
        <v>0</v>
      </c>
      <c r="DH1049" s="2" t="n">
        <v>0</v>
      </c>
      <c r="DI1049" s="2" t="n">
        <v>0</v>
      </c>
      <c r="DJ1049" s="2" t="n">
        <v>0</v>
      </c>
      <c r="DK1049" s="2" t="n">
        <v>0</v>
      </c>
      <c r="DL1049" s="2" t="n">
        <v>0</v>
      </c>
      <c r="DM1049" s="2" t="n">
        <v>0</v>
      </c>
      <c r="DN1049" s="2" t="n">
        <v>0</v>
      </c>
      <c r="DO1049" s="2" t="n">
        <v>0</v>
      </c>
      <c r="DP1049" s="2" t="n">
        <v>3.3</v>
      </c>
      <c r="DQ1049" s="2" t="n">
        <v>0</v>
      </c>
      <c r="DR1049" s="2" t="n">
        <v>0</v>
      </c>
      <c r="DS1049" s="2" t="n">
        <v>7.69</v>
      </c>
      <c r="DT1049" s="2" t="n">
        <v>0</v>
      </c>
      <c r="DU1049" s="2" t="n">
        <v>0</v>
      </c>
      <c r="DV1049" s="2" t="n">
        <v>10.99</v>
      </c>
      <c r="DW1049" s="2" t="n">
        <v>0</v>
      </c>
      <c r="DX1049" s="2" t="n">
        <v>0</v>
      </c>
      <c r="DY1049" s="2" t="n">
        <v>18.46</v>
      </c>
      <c r="DZ1049" s="2" t="n">
        <v>6.15</v>
      </c>
      <c r="EA1049" s="2" t="n">
        <v>0</v>
      </c>
      <c r="EB1049" s="2" t="n">
        <v>27.42</v>
      </c>
      <c r="EC1049" s="2" t="n">
        <v>15.38</v>
      </c>
      <c r="ED1049" s="2" t="n">
        <v>0</v>
      </c>
      <c r="EE1049" s="2" t="n">
        <v>35.77</v>
      </c>
      <c r="EF1049" s="2" t="n">
        <v>22.69</v>
      </c>
      <c r="EG1049" s="2" t="n">
        <v>0</v>
      </c>
      <c r="EH1049" s="2" t="n">
        <v>49.45</v>
      </c>
      <c r="EI1049" s="2" t="n">
        <v>29.12</v>
      </c>
      <c r="EJ1049" s="2" t="n">
        <v>0</v>
      </c>
      <c r="EK1049" s="2" t="n">
        <v>61.54</v>
      </c>
      <c r="EL1049" s="2" t="n">
        <v>38.46</v>
      </c>
      <c r="EM1049" s="2" t="n">
        <v>0</v>
      </c>
      <c r="EN1049" s="2" t="n">
        <v>73.08</v>
      </c>
      <c r="EO1049" s="2" t="n">
        <v>42.31</v>
      </c>
      <c r="EP1049" s="2" t="n">
        <v>0</v>
      </c>
      <c r="EQ1049" s="2" t="n">
        <v>82.42</v>
      </c>
      <c r="ER1049" s="2" t="n">
        <v>50</v>
      </c>
      <c r="ES1049" s="2" t="n">
        <v>0</v>
      </c>
      <c r="ET1049" s="2" t="n">
        <v>92.31</v>
      </c>
      <c r="EU1049" s="2" t="n">
        <v>56.59</v>
      </c>
      <c r="EV1049" s="2" t="n">
        <v>0</v>
      </c>
      <c r="EW1049" s="2" t="n">
        <v>100</v>
      </c>
      <c r="EX1049" s="2" t="n">
        <v>67.58</v>
      </c>
      <c r="EY1049" s="2" t="n">
        <v>0</v>
      </c>
      <c r="EZ1049" s="2" t="n">
        <v>100</v>
      </c>
      <c r="FA1049" s="2" t="n">
        <v>74.73</v>
      </c>
      <c r="FB1049" s="2" t="n">
        <v>0</v>
      </c>
      <c r="FC1049" s="2" t="n">
        <v>100</v>
      </c>
      <c r="FD1049" s="2" t="n">
        <v>80.77</v>
      </c>
      <c r="FE1049" s="2" t="n">
        <v>0</v>
      </c>
      <c r="FF1049" s="2" t="n">
        <v>100</v>
      </c>
      <c r="FG1049" s="2" t="n">
        <v>84.62</v>
      </c>
      <c r="FH1049" s="2" t="n">
        <v>0</v>
      </c>
      <c r="FI1049" s="2" t="n">
        <v>100</v>
      </c>
      <c r="FJ1049" s="2" t="n">
        <v>91.54000000000001</v>
      </c>
      <c r="FK1049" s="2" t="n">
        <v>0</v>
      </c>
      <c r="FL1049" s="2" t="n">
        <v>100</v>
      </c>
      <c r="FM1049" s="2" t="n">
        <v>96.15000000000001</v>
      </c>
      <c r="FN1049" s="2" t="n">
        <v>0</v>
      </c>
      <c r="FO1049" s="2" t="n">
        <v>100</v>
      </c>
      <c r="FP1049" s="2" t="n">
        <v>100</v>
      </c>
      <c r="FQ1049" s="2" t="n">
        <v>0</v>
      </c>
    </row>
    <row r="1050">
      <c r="A1050" s="2" t="n">
        <v>3</v>
      </c>
      <c r="B1050" s="2" t="inlineStr">
        <is>
          <t>37.01.03</t>
        </is>
      </c>
      <c r="C1050" s="2" t="inlineStr">
        <is>
          <t>Enchimento de reservatórios com caminhão pipa</t>
        </is>
      </c>
      <c r="D1050" s="2" t="inlineStr">
        <is>
          <t>22/06/2027</t>
        </is>
      </c>
      <c r="E1050" s="2" t="inlineStr">
        <is>
          <t>12/07/2027</t>
        </is>
      </c>
      <c r="F1050" s="2" t="n">
        <v>13500</v>
      </c>
      <c r="G1050" s="2" t="n">
        <v>0</v>
      </c>
      <c r="H1050" s="2" t="n">
        <v>13500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0</v>
      </c>
      <c r="CE1050" s="2" t="n">
        <v>0</v>
      </c>
      <c r="CF1050" s="2" t="n">
        <v>0</v>
      </c>
      <c r="CG1050" s="2" t="n">
        <v>0</v>
      </c>
      <c r="CH1050" s="2" t="n">
        <v>0</v>
      </c>
      <c r="CI1050" s="2" t="n">
        <v>0</v>
      </c>
      <c r="CJ1050" s="2" t="n">
        <v>0</v>
      </c>
      <c r="CK1050" s="2" t="n">
        <v>0</v>
      </c>
      <c r="CL1050" s="2" t="n">
        <v>0</v>
      </c>
      <c r="CM1050" s="2" t="n">
        <v>0</v>
      </c>
      <c r="CN1050" s="2" t="n">
        <v>0</v>
      </c>
      <c r="CO1050" s="2" t="n">
        <v>0</v>
      </c>
      <c r="CP1050" s="2" t="n">
        <v>0</v>
      </c>
      <c r="CQ1050" s="2" t="n">
        <v>0</v>
      </c>
      <c r="CR1050" s="2" t="n">
        <v>0</v>
      </c>
      <c r="CS1050" s="2" t="n">
        <v>0</v>
      </c>
      <c r="CT1050" s="2" t="n">
        <v>0</v>
      </c>
      <c r="CU1050" s="2" t="n">
        <v>0</v>
      </c>
      <c r="CV1050" s="2" t="n">
        <v>0</v>
      </c>
      <c r="CW1050" s="2" t="n">
        <v>0</v>
      </c>
      <c r="CX1050" s="2" t="n">
        <v>0</v>
      </c>
      <c r="CY1050" s="2" t="n">
        <v>0</v>
      </c>
      <c r="CZ1050" s="2" t="n">
        <v>0</v>
      </c>
      <c r="DA1050" s="2" t="n">
        <v>0</v>
      </c>
      <c r="DB1050" s="2" t="n">
        <v>0</v>
      </c>
      <c r="DC1050" s="2" t="n">
        <v>0</v>
      </c>
      <c r="DD1050" s="2" t="n">
        <v>0</v>
      </c>
      <c r="DE1050" s="2" t="n">
        <v>0</v>
      </c>
      <c r="DF1050" s="2" t="n">
        <v>0</v>
      </c>
      <c r="DG1050" s="2" t="n">
        <v>46.67</v>
      </c>
      <c r="DH1050" s="2" t="n">
        <v>46.67</v>
      </c>
      <c r="DI1050" s="2" t="n">
        <v>0</v>
      </c>
      <c r="DJ1050" s="2" t="n">
        <v>100</v>
      </c>
      <c r="DK1050" s="2" t="n">
        <v>100</v>
      </c>
      <c r="DL1050" s="2" t="n">
        <v>0</v>
      </c>
      <c r="DM1050" s="2" t="n">
        <v>100</v>
      </c>
      <c r="DN1050" s="2" t="n">
        <v>100</v>
      </c>
      <c r="DO1050" s="2" t="n">
        <v>0</v>
      </c>
      <c r="DP1050" s="2" t="n">
        <v>100</v>
      </c>
      <c r="DQ1050" s="2" t="n">
        <v>100</v>
      </c>
      <c r="DR1050" s="2" t="n">
        <v>0</v>
      </c>
      <c r="DS1050" s="2" t="n">
        <v>100</v>
      </c>
      <c r="DT1050" s="2" t="n">
        <v>100</v>
      </c>
      <c r="DU1050" s="2" t="n">
        <v>0</v>
      </c>
      <c r="DV1050" s="2" t="n">
        <v>100</v>
      </c>
      <c r="DW1050" s="2" t="n">
        <v>100</v>
      </c>
      <c r="DX1050" s="2" t="n">
        <v>0</v>
      </c>
      <c r="DY1050" s="2" t="n">
        <v>100</v>
      </c>
      <c r="DZ1050" s="2" t="n">
        <v>100</v>
      </c>
      <c r="EA1050" s="2" t="n">
        <v>0</v>
      </c>
      <c r="EB1050" s="2" t="n">
        <v>100</v>
      </c>
      <c r="EC1050" s="2" t="n">
        <v>100</v>
      </c>
      <c r="ED1050" s="2" t="n">
        <v>0</v>
      </c>
      <c r="EE1050" s="2" t="n">
        <v>100</v>
      </c>
      <c r="EF1050" s="2" t="n">
        <v>100</v>
      </c>
      <c r="EG1050" s="2" t="n">
        <v>0</v>
      </c>
      <c r="EH1050" s="2" t="n">
        <v>100</v>
      </c>
      <c r="EI1050" s="2" t="n">
        <v>100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  <c r="EQ1050" s="2" t="n">
        <v>100</v>
      </c>
      <c r="ER1050" s="2" t="n">
        <v>100</v>
      </c>
      <c r="ES1050" s="2" t="n">
        <v>0</v>
      </c>
      <c r="ET1050" s="2" t="n">
        <v>100</v>
      </c>
      <c r="EU1050" s="2" t="n">
        <v>100</v>
      </c>
      <c r="EV1050" s="2" t="n">
        <v>0</v>
      </c>
      <c r="EW1050" s="2" t="n">
        <v>100</v>
      </c>
      <c r="EX1050" s="2" t="n">
        <v>100</v>
      </c>
      <c r="EY1050" s="2" t="n">
        <v>0</v>
      </c>
      <c r="EZ1050" s="2" t="n">
        <v>100</v>
      </c>
      <c r="FA1050" s="2" t="n">
        <v>100</v>
      </c>
      <c r="FB1050" s="2" t="n">
        <v>0</v>
      </c>
      <c r="FC1050" s="2" t="n">
        <v>100</v>
      </c>
      <c r="FD1050" s="2" t="n">
        <v>100</v>
      </c>
      <c r="FE1050" s="2" t="n">
        <v>0</v>
      </c>
      <c r="FF1050" s="2" t="n">
        <v>100</v>
      </c>
      <c r="FG1050" s="2" t="n">
        <v>100</v>
      </c>
      <c r="FH1050" s="2" t="n">
        <v>0</v>
      </c>
      <c r="FI1050" s="2" t="n">
        <v>100</v>
      </c>
      <c r="FJ1050" s="2" t="n">
        <v>100</v>
      </c>
      <c r="FK1050" s="2" t="n">
        <v>0</v>
      </c>
      <c r="FL1050" s="2" t="n">
        <v>100</v>
      </c>
      <c r="FM1050" s="2" t="n">
        <v>100</v>
      </c>
      <c r="FN1050" s="2" t="n">
        <v>0</v>
      </c>
      <c r="FO1050" s="2" t="n">
        <v>100</v>
      </c>
      <c r="FP1050" s="2" t="n">
        <v>100</v>
      </c>
      <c r="FQ1050" s="2" t="n">
        <v>0</v>
      </c>
    </row>
    <row r="1051">
      <c r="A1051" s="2" t="n">
        <v>3</v>
      </c>
      <c r="B1051" s="2" t="inlineStr">
        <is>
          <t>37.01.04</t>
        </is>
      </c>
      <c r="C1051" s="2" t="inlineStr">
        <is>
          <t>Enchimento de piscinas com caminhão pipa</t>
        </is>
      </c>
      <c r="D1051" s="2" t="inlineStr">
        <is>
          <t>16/03/2027</t>
        </is>
      </c>
      <c r="E1051" s="2" t="inlineStr">
        <is>
          <t>29/04/2027</t>
        </is>
      </c>
      <c r="F1051" s="2" t="n">
        <v>13500</v>
      </c>
      <c r="G1051" s="2" t="n">
        <v>0</v>
      </c>
      <c r="H1051" s="2" t="n">
        <v>13500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0</v>
      </c>
      <c r="CD1051" s="2" t="n">
        <v>0</v>
      </c>
      <c r="CE1051" s="2" t="n">
        <v>0</v>
      </c>
      <c r="CF1051" s="2" t="n">
        <v>0</v>
      </c>
      <c r="CG1051" s="2" t="n">
        <v>0</v>
      </c>
      <c r="CH1051" s="2" t="n">
        <v>0</v>
      </c>
      <c r="CI1051" s="2" t="n">
        <v>0</v>
      </c>
      <c r="CJ1051" s="2" t="n">
        <v>0</v>
      </c>
      <c r="CK1051" s="2" t="n">
        <v>0</v>
      </c>
      <c r="CL1051" s="2" t="n">
        <v>0</v>
      </c>
      <c r="CM1051" s="2" t="n">
        <v>0</v>
      </c>
      <c r="CN1051" s="2" t="n">
        <v>0</v>
      </c>
      <c r="CO1051" s="2" t="n">
        <v>0</v>
      </c>
      <c r="CP1051" s="2" t="n">
        <v>0</v>
      </c>
      <c r="CQ1051" s="2" t="n">
        <v>0</v>
      </c>
      <c r="CR1051" s="2" t="n">
        <v>0</v>
      </c>
      <c r="CS1051" s="2" t="n">
        <v>0</v>
      </c>
      <c r="CT1051" s="2" t="n">
        <v>0</v>
      </c>
      <c r="CU1051" s="2" t="n">
        <v>0</v>
      </c>
      <c r="CV1051" s="2" t="n">
        <v>0</v>
      </c>
      <c r="CW1051" s="2" t="n">
        <v>0</v>
      </c>
      <c r="CX1051" s="2" t="n">
        <v>20.97</v>
      </c>
      <c r="CY1051" s="2" t="n">
        <v>24.41</v>
      </c>
      <c r="CZ1051" s="2" t="n">
        <v>0</v>
      </c>
      <c r="DA1051" s="2" t="n">
        <v>100</v>
      </c>
      <c r="DB1051" s="2" t="n">
        <v>100</v>
      </c>
      <c r="DC1051" s="2" t="n">
        <v>0</v>
      </c>
      <c r="DD1051" s="2" t="n">
        <v>100</v>
      </c>
      <c r="DE1051" s="2" t="n">
        <v>100</v>
      </c>
      <c r="DF1051" s="2" t="n">
        <v>0</v>
      </c>
      <c r="DG1051" s="2" t="n">
        <v>100</v>
      </c>
      <c r="DH1051" s="2" t="n">
        <v>100</v>
      </c>
      <c r="DI1051" s="2" t="n">
        <v>0</v>
      </c>
      <c r="DJ1051" s="2" t="n">
        <v>100</v>
      </c>
      <c r="DK1051" s="2" t="n">
        <v>100</v>
      </c>
      <c r="DL1051" s="2" t="n">
        <v>0</v>
      </c>
      <c r="DM1051" s="2" t="n">
        <v>100</v>
      </c>
      <c r="DN1051" s="2" t="n">
        <v>100</v>
      </c>
      <c r="DO1051" s="2" t="n">
        <v>0</v>
      </c>
      <c r="DP1051" s="2" t="n">
        <v>100</v>
      </c>
      <c r="DQ1051" s="2" t="n">
        <v>100</v>
      </c>
      <c r="DR1051" s="2" t="n">
        <v>0</v>
      </c>
      <c r="DS1051" s="2" t="n">
        <v>100</v>
      </c>
      <c r="DT1051" s="2" t="n">
        <v>100</v>
      </c>
      <c r="DU1051" s="2" t="n">
        <v>0</v>
      </c>
      <c r="DV1051" s="2" t="n">
        <v>100</v>
      </c>
      <c r="DW1051" s="2" t="n">
        <v>100</v>
      </c>
      <c r="DX1051" s="2" t="n">
        <v>0</v>
      </c>
      <c r="DY1051" s="2" t="n">
        <v>100</v>
      </c>
      <c r="DZ1051" s="2" t="n">
        <v>100</v>
      </c>
      <c r="EA1051" s="2" t="n">
        <v>0</v>
      </c>
      <c r="EB1051" s="2" t="n">
        <v>100</v>
      </c>
      <c r="EC1051" s="2" t="n">
        <v>100</v>
      </c>
      <c r="ED1051" s="2" t="n">
        <v>0</v>
      </c>
      <c r="EE1051" s="2" t="n">
        <v>100</v>
      </c>
      <c r="EF1051" s="2" t="n">
        <v>100</v>
      </c>
      <c r="EG1051" s="2" t="n">
        <v>0</v>
      </c>
      <c r="EH1051" s="2" t="n">
        <v>100</v>
      </c>
      <c r="EI1051" s="2" t="n">
        <v>100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  <c r="EQ1051" s="2" t="n">
        <v>100</v>
      </c>
      <c r="ER1051" s="2" t="n">
        <v>100</v>
      </c>
      <c r="ES1051" s="2" t="n">
        <v>0</v>
      </c>
      <c r="ET1051" s="2" t="n">
        <v>100</v>
      </c>
      <c r="EU1051" s="2" t="n">
        <v>100</v>
      </c>
      <c r="EV1051" s="2" t="n">
        <v>0</v>
      </c>
      <c r="EW1051" s="2" t="n">
        <v>100</v>
      </c>
      <c r="EX1051" s="2" t="n">
        <v>100</v>
      </c>
      <c r="EY1051" s="2" t="n">
        <v>0</v>
      </c>
      <c r="EZ1051" s="2" t="n">
        <v>100</v>
      </c>
      <c r="FA1051" s="2" t="n">
        <v>100</v>
      </c>
      <c r="FB1051" s="2" t="n">
        <v>0</v>
      </c>
      <c r="FC1051" s="2" t="n">
        <v>100</v>
      </c>
      <c r="FD1051" s="2" t="n">
        <v>100</v>
      </c>
      <c r="FE1051" s="2" t="n">
        <v>0</v>
      </c>
      <c r="FF1051" s="2" t="n">
        <v>100</v>
      </c>
      <c r="FG1051" s="2" t="n">
        <v>100</v>
      </c>
      <c r="FH1051" s="2" t="n">
        <v>0</v>
      </c>
      <c r="FI1051" s="2" t="n">
        <v>100</v>
      </c>
      <c r="FJ1051" s="2" t="n">
        <v>100</v>
      </c>
      <c r="FK1051" s="2" t="n">
        <v>0</v>
      </c>
      <c r="FL1051" s="2" t="n">
        <v>100</v>
      </c>
      <c r="FM1051" s="2" t="n">
        <v>100</v>
      </c>
      <c r="FN1051" s="2" t="n">
        <v>0</v>
      </c>
      <c r="FO1051" s="2" t="n">
        <v>100</v>
      </c>
      <c r="FP1051" s="2" t="n">
        <v>100</v>
      </c>
      <c r="FQ1051" s="2" t="n">
        <v>0</v>
      </c>
    </row>
    <row r="1052">
      <c r="A1052" s="2" t="n">
        <v>2</v>
      </c>
      <c r="B1052" s="2" t="inlineStr">
        <is>
          <t>37.02</t>
        </is>
      </c>
      <c r="C1052" s="2" t="inlineStr">
        <is>
          <t>Limpeza Final da Obra</t>
        </is>
      </c>
      <c r="D1052" s="2" t="inlineStr">
        <is>
          <t>21/09/2027</t>
        </is>
      </c>
      <c r="E1052" s="2" t="inlineStr">
        <is>
          <t>06/02/2029</t>
        </is>
      </c>
      <c r="F1052" s="2" t="n">
        <v>491222.0311600001</v>
      </c>
      <c r="G1052" s="2" t="n">
        <v>0</v>
      </c>
      <c r="H1052" s="2" t="n">
        <v>491222.0311600001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0</v>
      </c>
      <c r="CE1052" s="2" t="n">
        <v>0</v>
      </c>
      <c r="CF1052" s="2" t="n">
        <v>0</v>
      </c>
      <c r="CG1052" s="2" t="n">
        <v>0</v>
      </c>
      <c r="CH1052" s="2" t="n">
        <v>0</v>
      </c>
      <c r="CI1052" s="2" t="n">
        <v>0</v>
      </c>
      <c r="CJ1052" s="2" t="n">
        <v>0</v>
      </c>
      <c r="CK1052" s="2" t="n">
        <v>0</v>
      </c>
      <c r="CL1052" s="2" t="n">
        <v>0</v>
      </c>
      <c r="CM1052" s="2" t="n">
        <v>0</v>
      </c>
      <c r="CN1052" s="2" t="n">
        <v>0</v>
      </c>
      <c r="CO1052" s="2" t="n">
        <v>0</v>
      </c>
      <c r="CP1052" s="2" t="n">
        <v>0</v>
      </c>
      <c r="CQ1052" s="2" t="n">
        <v>0</v>
      </c>
      <c r="CR1052" s="2" t="n">
        <v>0</v>
      </c>
      <c r="CS1052" s="2" t="n">
        <v>0</v>
      </c>
      <c r="CT1052" s="2" t="n">
        <v>0</v>
      </c>
      <c r="CU1052" s="2" t="n">
        <v>0</v>
      </c>
      <c r="CV1052" s="2" t="n">
        <v>0</v>
      </c>
      <c r="CW1052" s="2" t="n">
        <v>0</v>
      </c>
      <c r="CX1052" s="2" t="n">
        <v>0</v>
      </c>
      <c r="CY1052" s="2" t="n">
        <v>0</v>
      </c>
      <c r="CZ1052" s="2" t="n">
        <v>0</v>
      </c>
      <c r="DA1052" s="2" t="n">
        <v>0</v>
      </c>
      <c r="DB1052" s="2" t="n">
        <v>0</v>
      </c>
      <c r="DC1052" s="2" t="n">
        <v>0</v>
      </c>
      <c r="DD1052" s="2" t="n">
        <v>0</v>
      </c>
      <c r="DE1052" s="2" t="n">
        <v>0</v>
      </c>
      <c r="DF1052" s="2" t="n">
        <v>0</v>
      </c>
      <c r="DG1052" s="2" t="n">
        <v>0</v>
      </c>
      <c r="DH1052" s="2" t="n">
        <v>0</v>
      </c>
      <c r="DI1052" s="2" t="n">
        <v>0</v>
      </c>
      <c r="DJ1052" s="2" t="n">
        <v>0.93</v>
      </c>
      <c r="DK1052" s="2" t="n">
        <v>0</v>
      </c>
      <c r="DL1052" s="2" t="n">
        <v>0</v>
      </c>
      <c r="DM1052" s="2" t="n">
        <v>2.09</v>
      </c>
      <c r="DN1052" s="2" t="n">
        <v>0</v>
      </c>
      <c r="DO1052" s="2" t="n">
        <v>0</v>
      </c>
      <c r="DP1052" s="2" t="n">
        <v>5.2</v>
      </c>
      <c r="DQ1052" s="2" t="n">
        <v>1.04</v>
      </c>
      <c r="DR1052" s="2" t="n">
        <v>0</v>
      </c>
      <c r="DS1052" s="2" t="n">
        <v>6.92</v>
      </c>
      <c r="DT1052" s="2" t="n">
        <v>2.76</v>
      </c>
      <c r="DU1052" s="2" t="n">
        <v>0</v>
      </c>
      <c r="DV1052" s="2" t="n">
        <v>11.17</v>
      </c>
      <c r="DW1052" s="2" t="n">
        <v>4.97</v>
      </c>
      <c r="DX1052" s="2" t="n">
        <v>0</v>
      </c>
      <c r="DY1052" s="2" t="n">
        <v>14.62</v>
      </c>
      <c r="DZ1052" s="2" t="n">
        <v>6.39</v>
      </c>
      <c r="EA1052" s="2" t="n">
        <v>0</v>
      </c>
      <c r="EB1052" s="2" t="n">
        <v>21.34</v>
      </c>
      <c r="EC1052" s="2" t="n">
        <v>12.56</v>
      </c>
      <c r="ED1052" s="2" t="n">
        <v>0</v>
      </c>
      <c r="EE1052" s="2" t="n">
        <v>28.53</v>
      </c>
      <c r="EF1052" s="2" t="n">
        <v>17.04</v>
      </c>
      <c r="EG1052" s="2" t="n">
        <v>0</v>
      </c>
      <c r="EH1052" s="2" t="n">
        <v>50.87</v>
      </c>
      <c r="EI1052" s="2" t="n">
        <v>37.63</v>
      </c>
      <c r="EJ1052" s="2" t="n">
        <v>0</v>
      </c>
      <c r="EK1052" s="2" t="n">
        <v>71.54000000000001</v>
      </c>
      <c r="EL1052" s="2" t="n">
        <v>55.47</v>
      </c>
      <c r="EM1052" s="2" t="n">
        <v>0</v>
      </c>
      <c r="EN1052" s="2" t="n">
        <v>91.11</v>
      </c>
      <c r="EO1052" s="2" t="n">
        <v>73.87</v>
      </c>
      <c r="EP1052" s="2" t="n">
        <v>0</v>
      </c>
      <c r="EQ1052" s="2" t="n">
        <v>96.78</v>
      </c>
      <c r="ER1052" s="2" t="n">
        <v>78.66</v>
      </c>
      <c r="ES1052" s="2" t="n">
        <v>0</v>
      </c>
      <c r="ET1052" s="2" t="n">
        <v>98.95999999999999</v>
      </c>
      <c r="EU1052" s="2" t="n">
        <v>83.03</v>
      </c>
      <c r="EV1052" s="2" t="n">
        <v>0</v>
      </c>
      <c r="EW1052" s="2" t="n">
        <v>100</v>
      </c>
      <c r="EX1052" s="2" t="n">
        <v>87.63</v>
      </c>
      <c r="EY1052" s="2" t="n">
        <v>0</v>
      </c>
      <c r="EZ1052" s="2" t="n">
        <v>100</v>
      </c>
      <c r="FA1052" s="2" t="n">
        <v>90.44</v>
      </c>
      <c r="FB1052" s="2" t="n">
        <v>0</v>
      </c>
      <c r="FC1052" s="2" t="n">
        <v>100</v>
      </c>
      <c r="FD1052" s="2" t="n">
        <v>93.14</v>
      </c>
      <c r="FE1052" s="2" t="n">
        <v>0</v>
      </c>
      <c r="FF1052" s="2" t="n">
        <v>100</v>
      </c>
      <c r="FG1052" s="2" t="n">
        <v>96.16</v>
      </c>
      <c r="FH1052" s="2" t="n">
        <v>0</v>
      </c>
      <c r="FI1052" s="2" t="n">
        <v>100</v>
      </c>
      <c r="FJ1052" s="2" t="n">
        <v>97.93000000000001</v>
      </c>
      <c r="FK1052" s="2" t="n">
        <v>0</v>
      </c>
      <c r="FL1052" s="2" t="n">
        <v>100</v>
      </c>
      <c r="FM1052" s="2" t="n">
        <v>99.59</v>
      </c>
      <c r="FN1052" s="2" t="n">
        <v>0</v>
      </c>
      <c r="FO1052" s="2" t="n">
        <v>100</v>
      </c>
      <c r="FP1052" s="2" t="n">
        <v>100</v>
      </c>
      <c r="FQ1052" s="2" t="n">
        <v>0</v>
      </c>
    </row>
    <row r="1053">
      <c r="A1053" s="2" t="n">
        <v>3</v>
      </c>
      <c r="B1053" s="2" t="inlineStr">
        <is>
          <t>37.02.01</t>
        </is>
      </c>
      <c r="C1053" s="2" t="inlineStr">
        <is>
          <t>Limpeza de apartamentos ou salas</t>
        </is>
      </c>
      <c r="D1053" s="2" t="inlineStr">
        <is>
          <t>21/09/2027</t>
        </is>
      </c>
      <c r="E1053" s="2" t="inlineStr">
        <is>
          <t>06/02/2029</t>
        </is>
      </c>
      <c r="F1053" s="2" t="n">
        <v>163357.4561599999</v>
      </c>
      <c r="G1053" s="2" t="n">
        <v>0</v>
      </c>
      <c r="H1053" s="2" t="n">
        <v>163357.4561599999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0</v>
      </c>
      <c r="CE1053" s="2" t="n">
        <v>0</v>
      </c>
      <c r="CF1053" s="2" t="n">
        <v>0</v>
      </c>
      <c r="CG1053" s="2" t="n">
        <v>0</v>
      </c>
      <c r="CH1053" s="2" t="n">
        <v>0</v>
      </c>
      <c r="CI1053" s="2" t="n">
        <v>0</v>
      </c>
      <c r="CJ1053" s="2" t="n">
        <v>0</v>
      </c>
      <c r="CK1053" s="2" t="n">
        <v>0</v>
      </c>
      <c r="CL1053" s="2" t="n">
        <v>0</v>
      </c>
      <c r="CM1053" s="2" t="n">
        <v>0</v>
      </c>
      <c r="CN1053" s="2" t="n">
        <v>0</v>
      </c>
      <c r="CO1053" s="2" t="n">
        <v>0</v>
      </c>
      <c r="CP1053" s="2" t="n">
        <v>0</v>
      </c>
      <c r="CQ1053" s="2" t="n">
        <v>0</v>
      </c>
      <c r="CR1053" s="2" t="n">
        <v>0</v>
      </c>
      <c r="CS1053" s="2" t="n">
        <v>0</v>
      </c>
      <c r="CT1053" s="2" t="n">
        <v>0</v>
      </c>
      <c r="CU1053" s="2" t="n">
        <v>0</v>
      </c>
      <c r="CV1053" s="2" t="n">
        <v>0</v>
      </c>
      <c r="CW1053" s="2" t="n">
        <v>0</v>
      </c>
      <c r="CX1053" s="2" t="n">
        <v>0</v>
      </c>
      <c r="CY1053" s="2" t="n">
        <v>0</v>
      </c>
      <c r="CZ1053" s="2" t="n">
        <v>0</v>
      </c>
      <c r="DA1053" s="2" t="n">
        <v>0</v>
      </c>
      <c r="DB1053" s="2" t="n">
        <v>0</v>
      </c>
      <c r="DC1053" s="2" t="n">
        <v>0</v>
      </c>
      <c r="DD1053" s="2" t="n">
        <v>0</v>
      </c>
      <c r="DE1053" s="2" t="n">
        <v>0</v>
      </c>
      <c r="DF1053" s="2" t="n">
        <v>0</v>
      </c>
      <c r="DG1053" s="2" t="n">
        <v>0</v>
      </c>
      <c r="DH1053" s="2" t="n">
        <v>0</v>
      </c>
      <c r="DI1053" s="2" t="n">
        <v>0</v>
      </c>
      <c r="DJ1053" s="2" t="n">
        <v>1.48</v>
      </c>
      <c r="DK1053" s="2" t="n">
        <v>0</v>
      </c>
      <c r="DL1053" s="2" t="n">
        <v>0</v>
      </c>
      <c r="DM1053" s="2" t="n">
        <v>3.33</v>
      </c>
      <c r="DN1053" s="2" t="n">
        <v>0</v>
      </c>
      <c r="DO1053" s="2" t="n">
        <v>0</v>
      </c>
      <c r="DP1053" s="2" t="n">
        <v>8.279999999999999</v>
      </c>
      <c r="DQ1053" s="2" t="n">
        <v>1.65</v>
      </c>
      <c r="DR1053" s="2" t="n">
        <v>0</v>
      </c>
      <c r="DS1053" s="2" t="n">
        <v>11.03</v>
      </c>
      <c r="DT1053" s="2" t="n">
        <v>4.4</v>
      </c>
      <c r="DU1053" s="2" t="n">
        <v>0</v>
      </c>
      <c r="DV1053" s="2" t="n">
        <v>17.8</v>
      </c>
      <c r="DW1053" s="2" t="n">
        <v>7.93</v>
      </c>
      <c r="DX1053" s="2" t="n">
        <v>0</v>
      </c>
      <c r="DY1053" s="2" t="n">
        <v>23.3</v>
      </c>
      <c r="DZ1053" s="2" t="n">
        <v>10.18</v>
      </c>
      <c r="EA1053" s="2" t="n">
        <v>0</v>
      </c>
      <c r="EB1053" s="2" t="n">
        <v>34</v>
      </c>
      <c r="EC1053" s="2" t="n">
        <v>20.01</v>
      </c>
      <c r="ED1053" s="2" t="n">
        <v>0</v>
      </c>
      <c r="EE1053" s="2" t="n">
        <v>45.46</v>
      </c>
      <c r="EF1053" s="2" t="n">
        <v>27.16</v>
      </c>
      <c r="EG1053" s="2" t="n">
        <v>0</v>
      </c>
      <c r="EH1053" s="2" t="n">
        <v>67.56999999999999</v>
      </c>
      <c r="EI1053" s="2" t="n">
        <v>46.47</v>
      </c>
      <c r="EJ1053" s="2" t="n">
        <v>0</v>
      </c>
      <c r="EK1053" s="2" t="n">
        <v>76.22</v>
      </c>
      <c r="EL1053" s="2" t="n">
        <v>50.62</v>
      </c>
      <c r="EM1053" s="2" t="n">
        <v>0</v>
      </c>
      <c r="EN1053" s="2" t="n">
        <v>85.83</v>
      </c>
      <c r="EO1053" s="2" t="n">
        <v>58.37</v>
      </c>
      <c r="EP1053" s="2" t="n">
        <v>0</v>
      </c>
      <c r="EQ1053" s="2" t="n">
        <v>94.86</v>
      </c>
      <c r="ER1053" s="2" t="n">
        <v>66</v>
      </c>
      <c r="ES1053" s="2" t="n">
        <v>0</v>
      </c>
      <c r="ET1053" s="2" t="n">
        <v>98.34999999999999</v>
      </c>
      <c r="EU1053" s="2" t="n">
        <v>72.95999999999999</v>
      </c>
      <c r="EV1053" s="2" t="n">
        <v>0</v>
      </c>
      <c r="EW1053" s="2" t="n">
        <v>100</v>
      </c>
      <c r="EX1053" s="2" t="n">
        <v>80.29000000000001</v>
      </c>
      <c r="EY1053" s="2" t="n">
        <v>0</v>
      </c>
      <c r="EZ1053" s="2" t="n">
        <v>100</v>
      </c>
      <c r="FA1053" s="2" t="n">
        <v>84.77</v>
      </c>
      <c r="FB1053" s="2" t="n">
        <v>0</v>
      </c>
      <c r="FC1053" s="2" t="n">
        <v>100</v>
      </c>
      <c r="FD1053" s="2" t="n">
        <v>89.08</v>
      </c>
      <c r="FE1053" s="2" t="n">
        <v>0</v>
      </c>
      <c r="FF1053" s="2" t="n">
        <v>100</v>
      </c>
      <c r="FG1053" s="2" t="n">
        <v>93.88</v>
      </c>
      <c r="FH1053" s="2" t="n">
        <v>0</v>
      </c>
      <c r="FI1053" s="2" t="n">
        <v>100</v>
      </c>
      <c r="FJ1053" s="2" t="n">
        <v>96.7</v>
      </c>
      <c r="FK1053" s="2" t="n">
        <v>0</v>
      </c>
      <c r="FL1053" s="2" t="n">
        <v>100</v>
      </c>
      <c r="FM1053" s="2" t="n">
        <v>99.34</v>
      </c>
      <c r="FN1053" s="2" t="n">
        <v>0</v>
      </c>
      <c r="FO1053" s="2" t="n">
        <v>100</v>
      </c>
      <c r="FP1053" s="2" t="n">
        <v>100</v>
      </c>
      <c r="FQ1053" s="2" t="n">
        <v>0</v>
      </c>
    </row>
    <row r="1054">
      <c r="A1054" s="2" t="n">
        <v>3</v>
      </c>
      <c r="B1054" s="2" t="inlineStr">
        <is>
          <t>37.02.02</t>
        </is>
      </c>
      <c r="C1054" s="2" t="inlineStr">
        <is>
          <t>Limpeza de áreas comuns</t>
        </is>
      </c>
      <c r="D1054" s="2" t="inlineStr">
        <is>
          <t>21/09/2027</t>
        </is>
      </c>
      <c r="E1054" s="2" t="inlineStr">
        <is>
          <t>06/02/2029</t>
        </is>
      </c>
      <c r="F1054" s="2" t="n">
        <v>134906.4325000001</v>
      </c>
      <c r="G1054" s="2" t="n">
        <v>0</v>
      </c>
      <c r="H1054" s="2" t="n">
        <v>134906.4325000001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0</v>
      </c>
      <c r="CE1054" s="2" t="n">
        <v>0</v>
      </c>
      <c r="CF1054" s="2" t="n">
        <v>0</v>
      </c>
      <c r="CG1054" s="2" t="n">
        <v>0</v>
      </c>
      <c r="CH1054" s="2" t="n">
        <v>0</v>
      </c>
      <c r="CI1054" s="2" t="n">
        <v>0</v>
      </c>
      <c r="CJ1054" s="2" t="n">
        <v>0</v>
      </c>
      <c r="CK1054" s="2" t="n">
        <v>0</v>
      </c>
      <c r="CL1054" s="2" t="n">
        <v>0</v>
      </c>
      <c r="CM1054" s="2" t="n">
        <v>0</v>
      </c>
      <c r="CN1054" s="2" t="n">
        <v>0</v>
      </c>
      <c r="CO1054" s="2" t="n">
        <v>0</v>
      </c>
      <c r="CP1054" s="2" t="n">
        <v>0</v>
      </c>
      <c r="CQ1054" s="2" t="n">
        <v>0</v>
      </c>
      <c r="CR1054" s="2" t="n">
        <v>0</v>
      </c>
      <c r="CS1054" s="2" t="n">
        <v>0</v>
      </c>
      <c r="CT1054" s="2" t="n">
        <v>0</v>
      </c>
      <c r="CU1054" s="2" t="n">
        <v>0</v>
      </c>
      <c r="CV1054" s="2" t="n">
        <v>0</v>
      </c>
      <c r="CW1054" s="2" t="n">
        <v>0</v>
      </c>
      <c r="CX1054" s="2" t="n">
        <v>0</v>
      </c>
      <c r="CY1054" s="2" t="n">
        <v>0</v>
      </c>
      <c r="CZ1054" s="2" t="n">
        <v>0</v>
      </c>
      <c r="DA1054" s="2" t="n">
        <v>0</v>
      </c>
      <c r="DB1054" s="2" t="n">
        <v>0</v>
      </c>
      <c r="DC1054" s="2" t="n">
        <v>0</v>
      </c>
      <c r="DD1054" s="2" t="n">
        <v>0</v>
      </c>
      <c r="DE1054" s="2" t="n">
        <v>0</v>
      </c>
      <c r="DF1054" s="2" t="n">
        <v>0</v>
      </c>
      <c r="DG1054" s="2" t="n">
        <v>0</v>
      </c>
      <c r="DH1054" s="2" t="n">
        <v>0</v>
      </c>
      <c r="DI1054" s="2" t="n">
        <v>0</v>
      </c>
      <c r="DJ1054" s="2" t="n">
        <v>1.48</v>
      </c>
      <c r="DK1054" s="2" t="n">
        <v>0</v>
      </c>
      <c r="DL1054" s="2" t="n">
        <v>0</v>
      </c>
      <c r="DM1054" s="2" t="n">
        <v>3.33</v>
      </c>
      <c r="DN1054" s="2" t="n">
        <v>0</v>
      </c>
      <c r="DO1054" s="2" t="n">
        <v>0</v>
      </c>
      <c r="DP1054" s="2" t="n">
        <v>8.279999999999999</v>
      </c>
      <c r="DQ1054" s="2" t="n">
        <v>1.65</v>
      </c>
      <c r="DR1054" s="2" t="n">
        <v>0</v>
      </c>
      <c r="DS1054" s="2" t="n">
        <v>11.03</v>
      </c>
      <c r="DT1054" s="2" t="n">
        <v>4.4</v>
      </c>
      <c r="DU1054" s="2" t="n">
        <v>0</v>
      </c>
      <c r="DV1054" s="2" t="n">
        <v>17.8</v>
      </c>
      <c r="DW1054" s="2" t="n">
        <v>7.93</v>
      </c>
      <c r="DX1054" s="2" t="n">
        <v>0</v>
      </c>
      <c r="DY1054" s="2" t="n">
        <v>23.3</v>
      </c>
      <c r="DZ1054" s="2" t="n">
        <v>10.18</v>
      </c>
      <c r="EA1054" s="2" t="n">
        <v>0</v>
      </c>
      <c r="EB1054" s="2" t="n">
        <v>34</v>
      </c>
      <c r="EC1054" s="2" t="n">
        <v>20.01</v>
      </c>
      <c r="ED1054" s="2" t="n">
        <v>0</v>
      </c>
      <c r="EE1054" s="2" t="n">
        <v>45.46</v>
      </c>
      <c r="EF1054" s="2" t="n">
        <v>27.16</v>
      </c>
      <c r="EG1054" s="2" t="n">
        <v>0</v>
      </c>
      <c r="EH1054" s="2" t="n">
        <v>67.56999999999999</v>
      </c>
      <c r="EI1054" s="2" t="n">
        <v>46.47</v>
      </c>
      <c r="EJ1054" s="2" t="n">
        <v>0</v>
      </c>
      <c r="EK1054" s="2" t="n">
        <v>76.22</v>
      </c>
      <c r="EL1054" s="2" t="n">
        <v>50.62</v>
      </c>
      <c r="EM1054" s="2" t="n">
        <v>0</v>
      </c>
      <c r="EN1054" s="2" t="n">
        <v>85.83</v>
      </c>
      <c r="EO1054" s="2" t="n">
        <v>58.37</v>
      </c>
      <c r="EP1054" s="2" t="n">
        <v>0</v>
      </c>
      <c r="EQ1054" s="2" t="n">
        <v>94.86</v>
      </c>
      <c r="ER1054" s="2" t="n">
        <v>66</v>
      </c>
      <c r="ES1054" s="2" t="n">
        <v>0</v>
      </c>
      <c r="ET1054" s="2" t="n">
        <v>98.34999999999999</v>
      </c>
      <c r="EU1054" s="2" t="n">
        <v>72.95999999999999</v>
      </c>
      <c r="EV1054" s="2" t="n">
        <v>0</v>
      </c>
      <c r="EW1054" s="2" t="n">
        <v>100</v>
      </c>
      <c r="EX1054" s="2" t="n">
        <v>80.29000000000001</v>
      </c>
      <c r="EY1054" s="2" t="n">
        <v>0</v>
      </c>
      <c r="EZ1054" s="2" t="n">
        <v>100</v>
      </c>
      <c r="FA1054" s="2" t="n">
        <v>84.77</v>
      </c>
      <c r="FB1054" s="2" t="n">
        <v>0</v>
      </c>
      <c r="FC1054" s="2" t="n">
        <v>100</v>
      </c>
      <c r="FD1054" s="2" t="n">
        <v>89.08</v>
      </c>
      <c r="FE1054" s="2" t="n">
        <v>0</v>
      </c>
      <c r="FF1054" s="2" t="n">
        <v>100</v>
      </c>
      <c r="FG1054" s="2" t="n">
        <v>93.88</v>
      </c>
      <c r="FH1054" s="2" t="n">
        <v>0</v>
      </c>
      <c r="FI1054" s="2" t="n">
        <v>100</v>
      </c>
      <c r="FJ1054" s="2" t="n">
        <v>96.7</v>
      </c>
      <c r="FK1054" s="2" t="n">
        <v>0</v>
      </c>
      <c r="FL1054" s="2" t="n">
        <v>100</v>
      </c>
      <c r="FM1054" s="2" t="n">
        <v>99.34</v>
      </c>
      <c r="FN1054" s="2" t="n">
        <v>0</v>
      </c>
      <c r="FO1054" s="2" t="n">
        <v>100</v>
      </c>
      <c r="FP1054" s="2" t="n">
        <v>100</v>
      </c>
      <c r="FQ1054" s="2" t="n">
        <v>0</v>
      </c>
    </row>
    <row r="1055">
      <c r="A1055" s="2" t="n">
        <v>3</v>
      </c>
      <c r="B1055" s="2" t="inlineStr">
        <is>
          <t>37.02.03</t>
        </is>
      </c>
      <c r="C1055" s="2" t="inlineStr">
        <is>
          <t>Limpeza de fachadas</t>
        </is>
      </c>
      <c r="D1055" s="2" t="inlineStr">
        <is>
          <t>20/03/2028</t>
        </is>
      </c>
      <c r="E1055" s="2" t="inlineStr">
        <is>
          <t>23/05/2028</t>
        </is>
      </c>
      <c r="F1055" s="2" t="n">
        <v>182958.1425</v>
      </c>
      <c r="G1055" s="2" t="n">
        <v>0</v>
      </c>
      <c r="H1055" s="2" t="n">
        <v>182958.1425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0</v>
      </c>
      <c r="CE1055" s="2" t="n">
        <v>0</v>
      </c>
      <c r="CF1055" s="2" t="n">
        <v>0</v>
      </c>
      <c r="CG1055" s="2" t="n">
        <v>0</v>
      </c>
      <c r="CH1055" s="2" t="n">
        <v>0</v>
      </c>
      <c r="CI1055" s="2" t="n">
        <v>0</v>
      </c>
      <c r="CJ1055" s="2" t="n">
        <v>0</v>
      </c>
      <c r="CK1055" s="2" t="n">
        <v>0</v>
      </c>
      <c r="CL1055" s="2" t="n">
        <v>0</v>
      </c>
      <c r="CM1055" s="2" t="n">
        <v>0</v>
      </c>
      <c r="CN1055" s="2" t="n">
        <v>0</v>
      </c>
      <c r="CO1055" s="2" t="n">
        <v>0</v>
      </c>
      <c r="CP1055" s="2" t="n">
        <v>0</v>
      </c>
      <c r="CQ1055" s="2" t="n">
        <v>0</v>
      </c>
      <c r="CR1055" s="2" t="n">
        <v>0</v>
      </c>
      <c r="CS1055" s="2" t="n">
        <v>0</v>
      </c>
      <c r="CT1055" s="2" t="n">
        <v>0</v>
      </c>
      <c r="CU1055" s="2" t="n">
        <v>0</v>
      </c>
      <c r="CV1055" s="2" t="n">
        <v>0</v>
      </c>
      <c r="CW1055" s="2" t="n">
        <v>0</v>
      </c>
      <c r="CX1055" s="2" t="n">
        <v>0</v>
      </c>
      <c r="CY1055" s="2" t="n">
        <v>0</v>
      </c>
      <c r="CZ1055" s="2" t="n">
        <v>0</v>
      </c>
      <c r="DA1055" s="2" t="n">
        <v>0</v>
      </c>
      <c r="DB1055" s="2" t="n">
        <v>0</v>
      </c>
      <c r="DC1055" s="2" t="n">
        <v>0</v>
      </c>
      <c r="DD1055" s="2" t="n">
        <v>0</v>
      </c>
      <c r="DE1055" s="2" t="n">
        <v>0</v>
      </c>
      <c r="DF1055" s="2" t="n">
        <v>0</v>
      </c>
      <c r="DG1055" s="2" t="n">
        <v>0</v>
      </c>
      <c r="DH1055" s="2" t="n">
        <v>0</v>
      </c>
      <c r="DI1055" s="2" t="n">
        <v>0</v>
      </c>
      <c r="DJ1055" s="2" t="n">
        <v>0</v>
      </c>
      <c r="DK1055" s="2" t="n">
        <v>0</v>
      </c>
      <c r="DL1055" s="2" t="n">
        <v>0</v>
      </c>
      <c r="DM1055" s="2" t="n">
        <v>0</v>
      </c>
      <c r="DN1055" s="2" t="n">
        <v>0</v>
      </c>
      <c r="DO1055" s="2" t="n">
        <v>0</v>
      </c>
      <c r="DP1055" s="2" t="n">
        <v>0</v>
      </c>
      <c r="DQ1055" s="2" t="n">
        <v>0</v>
      </c>
      <c r="DR1055" s="2" t="n">
        <v>0</v>
      </c>
      <c r="DS1055" s="2" t="n">
        <v>0</v>
      </c>
      <c r="DT1055" s="2" t="n">
        <v>0</v>
      </c>
      <c r="DU1055" s="2" t="n">
        <v>0</v>
      </c>
      <c r="DV1055" s="2" t="n">
        <v>0</v>
      </c>
      <c r="DW1055" s="2" t="n">
        <v>0</v>
      </c>
      <c r="DX1055" s="2" t="n">
        <v>0</v>
      </c>
      <c r="DY1055" s="2" t="n">
        <v>0</v>
      </c>
      <c r="DZ1055" s="2" t="n">
        <v>0</v>
      </c>
      <c r="EA1055" s="2" t="n">
        <v>0</v>
      </c>
      <c r="EB1055" s="2" t="n">
        <v>0</v>
      </c>
      <c r="EC1055" s="2" t="n">
        <v>0</v>
      </c>
      <c r="ED1055" s="2" t="n">
        <v>0</v>
      </c>
      <c r="EE1055" s="2" t="n">
        <v>0</v>
      </c>
      <c r="EF1055" s="2" t="n">
        <v>0</v>
      </c>
      <c r="EG1055" s="2" t="n">
        <v>0</v>
      </c>
      <c r="EH1055" s="2" t="n">
        <v>22.73</v>
      </c>
      <c r="EI1055" s="2" t="n">
        <v>22.73</v>
      </c>
      <c r="EJ1055" s="2" t="n">
        <v>0</v>
      </c>
      <c r="EK1055" s="2" t="n">
        <v>63.64</v>
      </c>
      <c r="EL1055" s="2" t="n">
        <v>63.64</v>
      </c>
      <c r="EM1055" s="2" t="n">
        <v>0</v>
      </c>
      <c r="EN1055" s="2" t="n">
        <v>100</v>
      </c>
      <c r="EO1055" s="2" t="n">
        <v>100</v>
      </c>
      <c r="EP1055" s="2" t="n">
        <v>0</v>
      </c>
      <c r="EQ1055" s="2" t="n">
        <v>100</v>
      </c>
      <c r="ER1055" s="2" t="n">
        <v>100</v>
      </c>
      <c r="ES1055" s="2" t="n">
        <v>0</v>
      </c>
      <c r="ET1055" s="2" t="n">
        <v>100</v>
      </c>
      <c r="EU1055" s="2" t="n">
        <v>100</v>
      </c>
      <c r="EV1055" s="2" t="n">
        <v>0</v>
      </c>
      <c r="EW1055" s="2" t="n">
        <v>100</v>
      </c>
      <c r="EX1055" s="2" t="n">
        <v>100</v>
      </c>
      <c r="EY1055" s="2" t="n">
        <v>0</v>
      </c>
      <c r="EZ1055" s="2" t="n">
        <v>100</v>
      </c>
      <c r="FA1055" s="2" t="n">
        <v>100</v>
      </c>
      <c r="FB1055" s="2" t="n">
        <v>0</v>
      </c>
      <c r="FC1055" s="2" t="n">
        <v>100</v>
      </c>
      <c r="FD1055" s="2" t="n">
        <v>100</v>
      </c>
      <c r="FE1055" s="2" t="n">
        <v>0</v>
      </c>
      <c r="FF1055" s="2" t="n">
        <v>100</v>
      </c>
      <c r="FG1055" s="2" t="n">
        <v>100</v>
      </c>
      <c r="FH1055" s="2" t="n">
        <v>0</v>
      </c>
      <c r="FI1055" s="2" t="n">
        <v>100</v>
      </c>
      <c r="FJ1055" s="2" t="n">
        <v>100</v>
      </c>
      <c r="FK1055" s="2" t="n">
        <v>0</v>
      </c>
      <c r="FL1055" s="2" t="n">
        <v>100</v>
      </c>
      <c r="FM1055" s="2" t="n">
        <v>100</v>
      </c>
      <c r="FN1055" s="2" t="n">
        <v>0</v>
      </c>
      <c r="FO1055" s="2" t="n">
        <v>100</v>
      </c>
      <c r="FP1055" s="2" t="n">
        <v>100</v>
      </c>
      <c r="FQ1055" s="2" t="n">
        <v>0</v>
      </c>
    </row>
    <row r="1056">
      <c r="A1056" s="2" t="n">
        <v>3</v>
      </c>
      <c r="B1056" s="2" t="inlineStr">
        <is>
          <t>37.02.04</t>
        </is>
      </c>
      <c r="C1056" s="2" t="inlineStr">
        <is>
          <t>Limpeza e desinfecção de Reservatórios</t>
        </is>
      </c>
      <c r="D1056" s="2" t="inlineStr">
        <is>
          <t>21/09/2027</t>
        </is>
      </c>
      <c r="E1056" s="2" t="inlineStr">
        <is>
          <t>06/02/2029</t>
        </is>
      </c>
      <c r="F1056" s="2" t="n">
        <v>5000</v>
      </c>
      <c r="G1056" s="2" t="n">
        <v>0</v>
      </c>
      <c r="H1056" s="2" t="n">
        <v>5000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0</v>
      </c>
      <c r="CE1056" s="2" t="n">
        <v>0</v>
      </c>
      <c r="CF1056" s="2" t="n">
        <v>0</v>
      </c>
      <c r="CG1056" s="2" t="n">
        <v>0</v>
      </c>
      <c r="CH1056" s="2" t="n">
        <v>0</v>
      </c>
      <c r="CI1056" s="2" t="n">
        <v>0</v>
      </c>
      <c r="CJ1056" s="2" t="n">
        <v>0</v>
      </c>
      <c r="CK1056" s="2" t="n">
        <v>0</v>
      </c>
      <c r="CL1056" s="2" t="n">
        <v>0</v>
      </c>
      <c r="CM1056" s="2" t="n">
        <v>0</v>
      </c>
      <c r="CN1056" s="2" t="n">
        <v>0</v>
      </c>
      <c r="CO1056" s="2" t="n">
        <v>0</v>
      </c>
      <c r="CP1056" s="2" t="n">
        <v>0</v>
      </c>
      <c r="CQ1056" s="2" t="n">
        <v>0</v>
      </c>
      <c r="CR1056" s="2" t="n">
        <v>0</v>
      </c>
      <c r="CS1056" s="2" t="n">
        <v>0</v>
      </c>
      <c r="CT1056" s="2" t="n">
        <v>0</v>
      </c>
      <c r="CU1056" s="2" t="n">
        <v>0</v>
      </c>
      <c r="CV1056" s="2" t="n">
        <v>0</v>
      </c>
      <c r="CW1056" s="2" t="n">
        <v>0</v>
      </c>
      <c r="CX1056" s="2" t="n">
        <v>0</v>
      </c>
      <c r="CY1056" s="2" t="n">
        <v>0</v>
      </c>
      <c r="CZ1056" s="2" t="n">
        <v>0</v>
      </c>
      <c r="DA1056" s="2" t="n">
        <v>0</v>
      </c>
      <c r="DB1056" s="2" t="n">
        <v>0</v>
      </c>
      <c r="DC1056" s="2" t="n">
        <v>0</v>
      </c>
      <c r="DD1056" s="2" t="n">
        <v>0</v>
      </c>
      <c r="DE1056" s="2" t="n">
        <v>0</v>
      </c>
      <c r="DF1056" s="2" t="n">
        <v>0</v>
      </c>
      <c r="DG1056" s="2" t="n">
        <v>0</v>
      </c>
      <c r="DH1056" s="2" t="n">
        <v>0</v>
      </c>
      <c r="DI1056" s="2" t="n">
        <v>0</v>
      </c>
      <c r="DJ1056" s="2" t="n">
        <v>1.48</v>
      </c>
      <c r="DK1056" s="2" t="n">
        <v>0</v>
      </c>
      <c r="DL1056" s="2" t="n">
        <v>0</v>
      </c>
      <c r="DM1056" s="2" t="n">
        <v>3.33</v>
      </c>
      <c r="DN1056" s="2" t="n">
        <v>0</v>
      </c>
      <c r="DO1056" s="2" t="n">
        <v>0</v>
      </c>
      <c r="DP1056" s="2" t="n">
        <v>8.279999999999999</v>
      </c>
      <c r="DQ1056" s="2" t="n">
        <v>1.65</v>
      </c>
      <c r="DR1056" s="2" t="n">
        <v>0</v>
      </c>
      <c r="DS1056" s="2" t="n">
        <v>11.03</v>
      </c>
      <c r="DT1056" s="2" t="n">
        <v>4.4</v>
      </c>
      <c r="DU1056" s="2" t="n">
        <v>0</v>
      </c>
      <c r="DV1056" s="2" t="n">
        <v>17.8</v>
      </c>
      <c r="DW1056" s="2" t="n">
        <v>7.93</v>
      </c>
      <c r="DX1056" s="2" t="n">
        <v>0</v>
      </c>
      <c r="DY1056" s="2" t="n">
        <v>23.3</v>
      </c>
      <c r="DZ1056" s="2" t="n">
        <v>10.18</v>
      </c>
      <c r="EA1056" s="2" t="n">
        <v>0</v>
      </c>
      <c r="EB1056" s="2" t="n">
        <v>34</v>
      </c>
      <c r="EC1056" s="2" t="n">
        <v>20.01</v>
      </c>
      <c r="ED1056" s="2" t="n">
        <v>0</v>
      </c>
      <c r="EE1056" s="2" t="n">
        <v>45.46</v>
      </c>
      <c r="EF1056" s="2" t="n">
        <v>27.16</v>
      </c>
      <c r="EG1056" s="2" t="n">
        <v>0</v>
      </c>
      <c r="EH1056" s="2" t="n">
        <v>67.56999999999999</v>
      </c>
      <c r="EI1056" s="2" t="n">
        <v>46.47</v>
      </c>
      <c r="EJ1056" s="2" t="n">
        <v>0</v>
      </c>
      <c r="EK1056" s="2" t="n">
        <v>76.22</v>
      </c>
      <c r="EL1056" s="2" t="n">
        <v>50.62</v>
      </c>
      <c r="EM1056" s="2" t="n">
        <v>0</v>
      </c>
      <c r="EN1056" s="2" t="n">
        <v>85.83</v>
      </c>
      <c r="EO1056" s="2" t="n">
        <v>58.37</v>
      </c>
      <c r="EP1056" s="2" t="n">
        <v>0</v>
      </c>
      <c r="EQ1056" s="2" t="n">
        <v>94.86</v>
      </c>
      <c r="ER1056" s="2" t="n">
        <v>66</v>
      </c>
      <c r="ES1056" s="2" t="n">
        <v>0</v>
      </c>
      <c r="ET1056" s="2" t="n">
        <v>98.34999999999999</v>
      </c>
      <c r="EU1056" s="2" t="n">
        <v>72.95999999999999</v>
      </c>
      <c r="EV1056" s="2" t="n">
        <v>0</v>
      </c>
      <c r="EW1056" s="2" t="n">
        <v>100</v>
      </c>
      <c r="EX1056" s="2" t="n">
        <v>80.29000000000001</v>
      </c>
      <c r="EY1056" s="2" t="n">
        <v>0</v>
      </c>
      <c r="EZ1056" s="2" t="n">
        <v>100</v>
      </c>
      <c r="FA1056" s="2" t="n">
        <v>84.77</v>
      </c>
      <c r="FB1056" s="2" t="n">
        <v>0</v>
      </c>
      <c r="FC1056" s="2" t="n">
        <v>100</v>
      </c>
      <c r="FD1056" s="2" t="n">
        <v>89.08</v>
      </c>
      <c r="FE1056" s="2" t="n">
        <v>0</v>
      </c>
      <c r="FF1056" s="2" t="n">
        <v>100</v>
      </c>
      <c r="FG1056" s="2" t="n">
        <v>93.88</v>
      </c>
      <c r="FH1056" s="2" t="n">
        <v>0</v>
      </c>
      <c r="FI1056" s="2" t="n">
        <v>100</v>
      </c>
      <c r="FJ1056" s="2" t="n">
        <v>96.7</v>
      </c>
      <c r="FK1056" s="2" t="n">
        <v>0</v>
      </c>
      <c r="FL1056" s="2" t="n">
        <v>100</v>
      </c>
      <c r="FM1056" s="2" t="n">
        <v>99.34</v>
      </c>
      <c r="FN1056" s="2" t="n">
        <v>0</v>
      </c>
      <c r="FO1056" s="2" t="n">
        <v>100</v>
      </c>
      <c r="FP1056" s="2" t="n">
        <v>100</v>
      </c>
      <c r="FQ1056" s="2" t="n">
        <v>0</v>
      </c>
    </row>
    <row r="1057">
      <c r="A1057" s="2" t="n">
        <v>3</v>
      </c>
      <c r="B1057" s="2" t="inlineStr">
        <is>
          <t>37.02.05</t>
        </is>
      </c>
      <c r="C1057" s="2" t="inlineStr">
        <is>
          <t>Limpeza e desinfecção de Piscinas</t>
        </is>
      </c>
      <c r="D1057" s="2" t="inlineStr">
        <is>
          <t>21/09/2027</t>
        </is>
      </c>
      <c r="E1057" s="2" t="inlineStr">
        <is>
          <t>06/02/2029</t>
        </is>
      </c>
      <c r="F1057" s="2" t="n">
        <v>5000</v>
      </c>
      <c r="G1057" s="2" t="n">
        <v>0</v>
      </c>
      <c r="H1057" s="2" t="n">
        <v>5000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0</v>
      </c>
      <c r="CE1057" s="2" t="n">
        <v>0</v>
      </c>
      <c r="CF1057" s="2" t="n">
        <v>0</v>
      </c>
      <c r="CG1057" s="2" t="n">
        <v>0</v>
      </c>
      <c r="CH1057" s="2" t="n">
        <v>0</v>
      </c>
      <c r="CI1057" s="2" t="n">
        <v>0</v>
      </c>
      <c r="CJ1057" s="2" t="n">
        <v>0</v>
      </c>
      <c r="CK1057" s="2" t="n">
        <v>0</v>
      </c>
      <c r="CL1057" s="2" t="n">
        <v>0</v>
      </c>
      <c r="CM1057" s="2" t="n">
        <v>0</v>
      </c>
      <c r="CN1057" s="2" t="n">
        <v>0</v>
      </c>
      <c r="CO1057" s="2" t="n">
        <v>0</v>
      </c>
      <c r="CP1057" s="2" t="n">
        <v>0</v>
      </c>
      <c r="CQ1057" s="2" t="n">
        <v>0</v>
      </c>
      <c r="CR1057" s="2" t="n">
        <v>0</v>
      </c>
      <c r="CS1057" s="2" t="n">
        <v>0</v>
      </c>
      <c r="CT1057" s="2" t="n">
        <v>0</v>
      </c>
      <c r="CU1057" s="2" t="n">
        <v>0</v>
      </c>
      <c r="CV1057" s="2" t="n">
        <v>0</v>
      </c>
      <c r="CW1057" s="2" t="n">
        <v>0</v>
      </c>
      <c r="CX1057" s="2" t="n">
        <v>0</v>
      </c>
      <c r="CY1057" s="2" t="n">
        <v>0</v>
      </c>
      <c r="CZ1057" s="2" t="n">
        <v>0</v>
      </c>
      <c r="DA1057" s="2" t="n">
        <v>0</v>
      </c>
      <c r="DB1057" s="2" t="n">
        <v>0</v>
      </c>
      <c r="DC1057" s="2" t="n">
        <v>0</v>
      </c>
      <c r="DD1057" s="2" t="n">
        <v>0</v>
      </c>
      <c r="DE1057" s="2" t="n">
        <v>0</v>
      </c>
      <c r="DF1057" s="2" t="n">
        <v>0</v>
      </c>
      <c r="DG1057" s="2" t="n">
        <v>0</v>
      </c>
      <c r="DH1057" s="2" t="n">
        <v>0</v>
      </c>
      <c r="DI1057" s="2" t="n">
        <v>0</v>
      </c>
      <c r="DJ1057" s="2" t="n">
        <v>1.48</v>
      </c>
      <c r="DK1057" s="2" t="n">
        <v>0</v>
      </c>
      <c r="DL1057" s="2" t="n">
        <v>0</v>
      </c>
      <c r="DM1057" s="2" t="n">
        <v>3.33</v>
      </c>
      <c r="DN1057" s="2" t="n">
        <v>0</v>
      </c>
      <c r="DO1057" s="2" t="n">
        <v>0</v>
      </c>
      <c r="DP1057" s="2" t="n">
        <v>8.279999999999999</v>
      </c>
      <c r="DQ1057" s="2" t="n">
        <v>1.65</v>
      </c>
      <c r="DR1057" s="2" t="n">
        <v>0</v>
      </c>
      <c r="DS1057" s="2" t="n">
        <v>11.03</v>
      </c>
      <c r="DT1057" s="2" t="n">
        <v>4.4</v>
      </c>
      <c r="DU1057" s="2" t="n">
        <v>0</v>
      </c>
      <c r="DV1057" s="2" t="n">
        <v>17.8</v>
      </c>
      <c r="DW1057" s="2" t="n">
        <v>7.93</v>
      </c>
      <c r="DX1057" s="2" t="n">
        <v>0</v>
      </c>
      <c r="DY1057" s="2" t="n">
        <v>23.3</v>
      </c>
      <c r="DZ1057" s="2" t="n">
        <v>10.18</v>
      </c>
      <c r="EA1057" s="2" t="n">
        <v>0</v>
      </c>
      <c r="EB1057" s="2" t="n">
        <v>34</v>
      </c>
      <c r="EC1057" s="2" t="n">
        <v>20.01</v>
      </c>
      <c r="ED1057" s="2" t="n">
        <v>0</v>
      </c>
      <c r="EE1057" s="2" t="n">
        <v>45.46</v>
      </c>
      <c r="EF1057" s="2" t="n">
        <v>27.16</v>
      </c>
      <c r="EG1057" s="2" t="n">
        <v>0</v>
      </c>
      <c r="EH1057" s="2" t="n">
        <v>67.56999999999999</v>
      </c>
      <c r="EI1057" s="2" t="n">
        <v>46.47</v>
      </c>
      <c r="EJ1057" s="2" t="n">
        <v>0</v>
      </c>
      <c r="EK1057" s="2" t="n">
        <v>76.22</v>
      </c>
      <c r="EL1057" s="2" t="n">
        <v>50.62</v>
      </c>
      <c r="EM1057" s="2" t="n">
        <v>0</v>
      </c>
      <c r="EN1057" s="2" t="n">
        <v>85.83</v>
      </c>
      <c r="EO1057" s="2" t="n">
        <v>58.37</v>
      </c>
      <c r="EP1057" s="2" t="n">
        <v>0</v>
      </c>
      <c r="EQ1057" s="2" t="n">
        <v>94.86</v>
      </c>
      <c r="ER1057" s="2" t="n">
        <v>66</v>
      </c>
      <c r="ES1057" s="2" t="n">
        <v>0</v>
      </c>
      <c r="ET1057" s="2" t="n">
        <v>98.34999999999999</v>
      </c>
      <c r="EU1057" s="2" t="n">
        <v>72.95999999999999</v>
      </c>
      <c r="EV1057" s="2" t="n">
        <v>0</v>
      </c>
      <c r="EW1057" s="2" t="n">
        <v>100</v>
      </c>
      <c r="EX1057" s="2" t="n">
        <v>80.29000000000001</v>
      </c>
      <c r="EY1057" s="2" t="n">
        <v>0</v>
      </c>
      <c r="EZ1057" s="2" t="n">
        <v>100</v>
      </c>
      <c r="FA1057" s="2" t="n">
        <v>84.77</v>
      </c>
      <c r="FB1057" s="2" t="n">
        <v>0</v>
      </c>
      <c r="FC1057" s="2" t="n">
        <v>100</v>
      </c>
      <c r="FD1057" s="2" t="n">
        <v>89.08</v>
      </c>
      <c r="FE1057" s="2" t="n">
        <v>0</v>
      </c>
      <c r="FF1057" s="2" t="n">
        <v>100</v>
      </c>
      <c r="FG1057" s="2" t="n">
        <v>93.88</v>
      </c>
      <c r="FH1057" s="2" t="n">
        <v>0</v>
      </c>
      <c r="FI1057" s="2" t="n">
        <v>100</v>
      </c>
      <c r="FJ1057" s="2" t="n">
        <v>96.7</v>
      </c>
      <c r="FK1057" s="2" t="n">
        <v>0</v>
      </c>
      <c r="FL1057" s="2" t="n">
        <v>100</v>
      </c>
      <c r="FM1057" s="2" t="n">
        <v>99.34</v>
      </c>
      <c r="FN1057" s="2" t="n">
        <v>0</v>
      </c>
      <c r="FO1057" s="2" t="n">
        <v>100</v>
      </c>
      <c r="FP1057" s="2" t="n">
        <v>100</v>
      </c>
      <c r="FQ1057" s="2" t="n">
        <v>0</v>
      </c>
    </row>
    <row r="1058">
      <c r="A1058" s="2" t="n">
        <v>2</v>
      </c>
      <c r="B1058" s="2" t="inlineStr">
        <is>
          <t>37.03</t>
        </is>
      </c>
      <c r="C1058" s="2" t="inlineStr">
        <is>
          <t>Manutenção pós entrega</t>
        </is>
      </c>
      <c r="D1058" s="2" t="inlineStr">
        <is>
          <t>25/04/2028</t>
        </is>
      </c>
      <c r="E1058" s="2" t="inlineStr">
        <is>
          <t>19/05/2028</t>
        </is>
      </c>
      <c r="F1058" s="2" t="n">
        <v>50000</v>
      </c>
      <c r="G1058" s="2" t="n">
        <v>0</v>
      </c>
      <c r="H1058" s="2" t="n">
        <v>50000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0</v>
      </c>
      <c r="CE1058" s="2" t="n">
        <v>0</v>
      </c>
      <c r="CF1058" s="2" t="n">
        <v>0</v>
      </c>
      <c r="CG1058" s="2" t="n">
        <v>0</v>
      </c>
      <c r="CH1058" s="2" t="n">
        <v>0</v>
      </c>
      <c r="CI1058" s="2" t="n">
        <v>0</v>
      </c>
      <c r="CJ1058" s="2" t="n">
        <v>0</v>
      </c>
      <c r="CK1058" s="2" t="n">
        <v>0</v>
      </c>
      <c r="CL1058" s="2" t="n">
        <v>0</v>
      </c>
      <c r="CM1058" s="2" t="n">
        <v>0</v>
      </c>
      <c r="CN1058" s="2" t="n">
        <v>0</v>
      </c>
      <c r="CO1058" s="2" t="n">
        <v>0</v>
      </c>
      <c r="CP1058" s="2" t="n">
        <v>0</v>
      </c>
      <c r="CQ1058" s="2" t="n">
        <v>0</v>
      </c>
      <c r="CR1058" s="2" t="n">
        <v>0</v>
      </c>
      <c r="CS1058" s="2" t="n">
        <v>0</v>
      </c>
      <c r="CT1058" s="2" t="n">
        <v>0</v>
      </c>
      <c r="CU1058" s="2" t="n">
        <v>0</v>
      </c>
      <c r="CV1058" s="2" t="n">
        <v>0</v>
      </c>
      <c r="CW1058" s="2" t="n">
        <v>0</v>
      </c>
      <c r="CX1058" s="2" t="n">
        <v>0</v>
      </c>
      <c r="CY1058" s="2" t="n">
        <v>0</v>
      </c>
      <c r="CZ1058" s="2" t="n">
        <v>0</v>
      </c>
      <c r="DA1058" s="2" t="n">
        <v>0</v>
      </c>
      <c r="DB1058" s="2" t="n">
        <v>0</v>
      </c>
      <c r="DC1058" s="2" t="n">
        <v>0</v>
      </c>
      <c r="DD1058" s="2" t="n">
        <v>0</v>
      </c>
      <c r="DE1058" s="2" t="n">
        <v>0</v>
      </c>
      <c r="DF1058" s="2" t="n">
        <v>0</v>
      </c>
      <c r="DG1058" s="2" t="n">
        <v>0</v>
      </c>
      <c r="DH1058" s="2" t="n">
        <v>0</v>
      </c>
      <c r="DI1058" s="2" t="n">
        <v>0</v>
      </c>
      <c r="DJ1058" s="2" t="n">
        <v>0</v>
      </c>
      <c r="DK1058" s="2" t="n">
        <v>0</v>
      </c>
      <c r="DL1058" s="2" t="n">
        <v>0</v>
      </c>
      <c r="DM1058" s="2" t="n">
        <v>0</v>
      </c>
      <c r="DN1058" s="2" t="n">
        <v>0</v>
      </c>
      <c r="DO1058" s="2" t="n">
        <v>0</v>
      </c>
      <c r="DP1058" s="2" t="n">
        <v>0</v>
      </c>
      <c r="DQ1058" s="2" t="n">
        <v>0</v>
      </c>
      <c r="DR1058" s="2" t="n">
        <v>0</v>
      </c>
      <c r="DS1058" s="2" t="n">
        <v>0</v>
      </c>
      <c r="DT1058" s="2" t="n">
        <v>0</v>
      </c>
      <c r="DU1058" s="2" t="n">
        <v>0</v>
      </c>
      <c r="DV1058" s="2" t="n">
        <v>0</v>
      </c>
      <c r="DW1058" s="2" t="n">
        <v>0</v>
      </c>
      <c r="DX1058" s="2" t="n">
        <v>0</v>
      </c>
      <c r="DY1058" s="2" t="n">
        <v>0</v>
      </c>
      <c r="DZ1058" s="2" t="n">
        <v>0</v>
      </c>
      <c r="EA1058" s="2" t="n">
        <v>0</v>
      </c>
      <c r="EB1058" s="2" t="n">
        <v>0</v>
      </c>
      <c r="EC1058" s="2" t="n">
        <v>0</v>
      </c>
      <c r="ED1058" s="2" t="n">
        <v>0</v>
      </c>
      <c r="EE1058" s="2" t="n">
        <v>0</v>
      </c>
      <c r="EF1058" s="2" t="n">
        <v>0</v>
      </c>
      <c r="EG1058" s="2" t="n">
        <v>0</v>
      </c>
      <c r="EH1058" s="2" t="n">
        <v>0</v>
      </c>
      <c r="EI1058" s="2" t="n">
        <v>0</v>
      </c>
      <c r="EJ1058" s="2" t="n">
        <v>0</v>
      </c>
      <c r="EK1058" s="2" t="n">
        <v>22.22</v>
      </c>
      <c r="EL1058" s="2" t="n">
        <v>22.22</v>
      </c>
      <c r="EM1058" s="2" t="n">
        <v>0</v>
      </c>
      <c r="EN1058" s="2" t="n">
        <v>100</v>
      </c>
      <c r="EO1058" s="2" t="n">
        <v>100</v>
      </c>
      <c r="EP1058" s="2" t="n">
        <v>0</v>
      </c>
      <c r="EQ1058" s="2" t="n">
        <v>100</v>
      </c>
      <c r="ER1058" s="2" t="n">
        <v>100</v>
      </c>
      <c r="ES1058" s="2" t="n">
        <v>0</v>
      </c>
      <c r="ET1058" s="2" t="n">
        <v>100</v>
      </c>
      <c r="EU1058" s="2" t="n">
        <v>100</v>
      </c>
      <c r="EV1058" s="2" t="n">
        <v>0</v>
      </c>
      <c r="EW1058" s="2" t="n">
        <v>100</v>
      </c>
      <c r="EX1058" s="2" t="n">
        <v>100</v>
      </c>
      <c r="EY1058" s="2" t="n">
        <v>0</v>
      </c>
      <c r="EZ1058" s="2" t="n">
        <v>100</v>
      </c>
      <c r="FA1058" s="2" t="n">
        <v>100</v>
      </c>
      <c r="FB1058" s="2" t="n">
        <v>0</v>
      </c>
      <c r="FC1058" s="2" t="n">
        <v>100</v>
      </c>
      <c r="FD1058" s="2" t="n">
        <v>100</v>
      </c>
      <c r="FE1058" s="2" t="n">
        <v>0</v>
      </c>
      <c r="FF1058" s="2" t="n">
        <v>100</v>
      </c>
      <c r="FG1058" s="2" t="n">
        <v>100</v>
      </c>
      <c r="FH1058" s="2" t="n">
        <v>0</v>
      </c>
      <c r="FI1058" s="2" t="n">
        <v>100</v>
      </c>
      <c r="FJ1058" s="2" t="n">
        <v>100</v>
      </c>
      <c r="FK1058" s="2" t="n">
        <v>0</v>
      </c>
      <c r="FL1058" s="2" t="n">
        <v>100</v>
      </c>
      <c r="FM1058" s="2" t="n">
        <v>100</v>
      </c>
      <c r="FN1058" s="2" t="n">
        <v>0</v>
      </c>
      <c r="FO1058" s="2" t="n">
        <v>100</v>
      </c>
      <c r="FP1058" s="2" t="n">
        <v>100</v>
      </c>
      <c r="FQ1058" s="2" t="n">
        <v>0</v>
      </c>
    </row>
    <row r="1059">
      <c r="A1059" s="2" t="n">
        <v>3</v>
      </c>
      <c r="B1059" s="2" t="inlineStr">
        <is>
          <t>37.03.01</t>
        </is>
      </c>
      <c r="C1059" s="2" t="inlineStr">
        <is>
          <t>Assitência pós obra e manutenção - estimativa % 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</t>
        </is>
      </c>
      <c r="D1059" s="2" t="inlineStr">
        <is>
          <t>25/04/2028</t>
        </is>
      </c>
      <c r="E1059" s="2" t="inlineStr">
        <is>
          <t>19/05/2028</t>
        </is>
      </c>
      <c r="F1059" s="2" t="n">
        <v>50000</v>
      </c>
      <c r="G1059" s="2" t="n">
        <v>0</v>
      </c>
      <c r="H1059" s="2" t="n">
        <v>50000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0</v>
      </c>
      <c r="CE1059" s="2" t="n">
        <v>0</v>
      </c>
      <c r="CF1059" s="2" t="n">
        <v>0</v>
      </c>
      <c r="CG1059" s="2" t="n">
        <v>0</v>
      </c>
      <c r="CH1059" s="2" t="n">
        <v>0</v>
      </c>
      <c r="CI1059" s="2" t="n">
        <v>0</v>
      </c>
      <c r="CJ1059" s="2" t="n">
        <v>0</v>
      </c>
      <c r="CK1059" s="2" t="n">
        <v>0</v>
      </c>
      <c r="CL1059" s="2" t="n">
        <v>0</v>
      </c>
      <c r="CM1059" s="2" t="n">
        <v>0</v>
      </c>
      <c r="CN1059" s="2" t="n">
        <v>0</v>
      </c>
      <c r="CO1059" s="2" t="n">
        <v>0</v>
      </c>
      <c r="CP1059" s="2" t="n">
        <v>0</v>
      </c>
      <c r="CQ1059" s="2" t="n">
        <v>0</v>
      </c>
      <c r="CR1059" s="2" t="n">
        <v>0</v>
      </c>
      <c r="CS1059" s="2" t="n">
        <v>0</v>
      </c>
      <c r="CT1059" s="2" t="n">
        <v>0</v>
      </c>
      <c r="CU1059" s="2" t="n">
        <v>0</v>
      </c>
      <c r="CV1059" s="2" t="n">
        <v>0</v>
      </c>
      <c r="CW1059" s="2" t="n">
        <v>0</v>
      </c>
      <c r="CX1059" s="2" t="n">
        <v>0</v>
      </c>
      <c r="CY1059" s="2" t="n">
        <v>0</v>
      </c>
      <c r="CZ1059" s="2" t="n">
        <v>0</v>
      </c>
      <c r="DA1059" s="2" t="n">
        <v>0</v>
      </c>
      <c r="DB1059" s="2" t="n">
        <v>0</v>
      </c>
      <c r="DC1059" s="2" t="n">
        <v>0</v>
      </c>
      <c r="DD1059" s="2" t="n">
        <v>0</v>
      </c>
      <c r="DE1059" s="2" t="n">
        <v>0</v>
      </c>
      <c r="DF1059" s="2" t="n">
        <v>0</v>
      </c>
      <c r="DG1059" s="2" t="n">
        <v>0</v>
      </c>
      <c r="DH1059" s="2" t="n">
        <v>0</v>
      </c>
      <c r="DI1059" s="2" t="n">
        <v>0</v>
      </c>
      <c r="DJ1059" s="2" t="n">
        <v>0</v>
      </c>
      <c r="DK1059" s="2" t="n">
        <v>0</v>
      </c>
      <c r="DL1059" s="2" t="n">
        <v>0</v>
      </c>
      <c r="DM1059" s="2" t="n">
        <v>0</v>
      </c>
      <c r="DN1059" s="2" t="n">
        <v>0</v>
      </c>
      <c r="DO1059" s="2" t="n">
        <v>0</v>
      </c>
      <c r="DP1059" s="2" t="n">
        <v>0</v>
      </c>
      <c r="DQ1059" s="2" t="n">
        <v>0</v>
      </c>
      <c r="DR1059" s="2" t="n">
        <v>0</v>
      </c>
      <c r="DS1059" s="2" t="n">
        <v>0</v>
      </c>
      <c r="DT1059" s="2" t="n">
        <v>0</v>
      </c>
      <c r="DU1059" s="2" t="n">
        <v>0</v>
      </c>
      <c r="DV1059" s="2" t="n">
        <v>0</v>
      </c>
      <c r="DW1059" s="2" t="n">
        <v>0</v>
      </c>
      <c r="DX1059" s="2" t="n">
        <v>0</v>
      </c>
      <c r="DY1059" s="2" t="n">
        <v>0</v>
      </c>
      <c r="DZ1059" s="2" t="n">
        <v>0</v>
      </c>
      <c r="EA1059" s="2" t="n">
        <v>0</v>
      </c>
      <c r="EB1059" s="2" t="n">
        <v>0</v>
      </c>
      <c r="EC1059" s="2" t="n">
        <v>0</v>
      </c>
      <c r="ED1059" s="2" t="n">
        <v>0</v>
      </c>
      <c r="EE1059" s="2" t="n">
        <v>0</v>
      </c>
      <c r="EF1059" s="2" t="n">
        <v>0</v>
      </c>
      <c r="EG1059" s="2" t="n">
        <v>0</v>
      </c>
      <c r="EH1059" s="2" t="n">
        <v>0</v>
      </c>
      <c r="EI1059" s="2" t="n">
        <v>0</v>
      </c>
      <c r="EJ1059" s="2" t="n">
        <v>0</v>
      </c>
      <c r="EK1059" s="2" t="n">
        <v>22.22</v>
      </c>
      <c r="EL1059" s="2" t="n">
        <v>22.22</v>
      </c>
      <c r="EM1059" s="2" t="n">
        <v>0</v>
      </c>
      <c r="EN1059" s="2" t="n">
        <v>100</v>
      </c>
      <c r="EO1059" s="2" t="n">
        <v>100</v>
      </c>
      <c r="EP1059" s="2" t="n">
        <v>0</v>
      </c>
      <c r="EQ1059" s="2" t="n">
        <v>100</v>
      </c>
      <c r="ER1059" s="2" t="n">
        <v>100</v>
      </c>
      <c r="ES1059" s="2" t="n">
        <v>0</v>
      </c>
      <c r="ET1059" s="2" t="n">
        <v>100</v>
      </c>
      <c r="EU1059" s="2" t="n">
        <v>100</v>
      </c>
      <c r="EV1059" s="2" t="n">
        <v>0</v>
      </c>
      <c r="EW1059" s="2" t="n">
        <v>100</v>
      </c>
      <c r="EX1059" s="2" t="n">
        <v>100</v>
      </c>
      <c r="EY1059" s="2" t="n">
        <v>0</v>
      </c>
      <c r="EZ1059" s="2" t="n">
        <v>100</v>
      </c>
      <c r="FA1059" s="2" t="n">
        <v>100</v>
      </c>
      <c r="FB1059" s="2" t="n">
        <v>0</v>
      </c>
      <c r="FC1059" s="2" t="n">
        <v>100</v>
      </c>
      <c r="FD1059" s="2" t="n">
        <v>100</v>
      </c>
      <c r="FE1059" s="2" t="n">
        <v>0</v>
      </c>
      <c r="FF1059" s="2" t="n">
        <v>100</v>
      </c>
      <c r="FG1059" s="2" t="n">
        <v>100</v>
      </c>
      <c r="FH1059" s="2" t="n">
        <v>0</v>
      </c>
      <c r="FI1059" s="2" t="n">
        <v>100</v>
      </c>
      <c r="FJ1059" s="2" t="n">
        <v>100</v>
      </c>
      <c r="FK1059" s="2" t="n">
        <v>0</v>
      </c>
      <c r="FL1059" s="2" t="n">
        <v>100</v>
      </c>
      <c r="FM1059" s="2" t="n">
        <v>100</v>
      </c>
      <c r="FN1059" s="2" t="n">
        <v>0</v>
      </c>
      <c r="FO1059" s="2" t="n">
        <v>100</v>
      </c>
      <c r="FP1059" s="2" t="n">
        <v>100</v>
      </c>
      <c r="FQ1059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6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Ed. Jardim </t>
        </is>
      </c>
      <c r="M1" s="116" t="inlineStr">
        <is>
          <t>CÁLCULO (não editar) — situação de cada atividade na data do retrato</t>
        </is>
      </c>
    </row>
    <row r="2">
      <c r="A2" s="4" t="inlineStr">
        <is>
          <t>Planilha Gerada Em 28/09/2026</t>
        </is>
      </c>
      <c r="M2" s="2" t="inlineStr">
        <is>
          <t>Pacotes sem de-para →</t>
        </is>
      </c>
      <c r="O2" s="69">
        <f>COUNTIF(M5:M6004,"?")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22139339</v>
      </c>
      <c r="C5" s="4" t="inlineStr">
        <is>
          <t>DEMOLIÇÃO FASE 1</t>
        </is>
      </c>
      <c r="D5" s="4" t="inlineStr">
        <is>
          <t>-</t>
        </is>
      </c>
      <c r="E5" s="4" t="inlineStr">
        <is>
          <t>GERAL</t>
        </is>
      </c>
      <c r="F5" s="119" t="n">
        <v>45505</v>
      </c>
      <c r="G5" s="119" t="n">
        <v>45560</v>
      </c>
      <c r="H5" s="119" t="n">
        <v>46293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IF(E5="","",IF(ISNUMBER(SEARCH("SUBSOLO",E5)),IFERROR(-VALUE(LEFT(E5,FIND("º",SUBSTITUTE(E5,"°","º"))-1)),-1),IF(LEFT(E5,6)="TÉRREO",0,IFERROR(VALUE(LEFT(E5,FIND("º",SUBSTITUTE(E5,"°","º"))-1)),""))))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DEMOLIÇÃO FASE 1</t>
        </is>
      </c>
      <c r="S5" s="4" t="inlineStr">
        <is>
          <t>12</t>
        </is>
      </c>
      <c r="T5" s="4" t="inlineStr">
        <is>
          <t>Demolição fase 1</t>
        </is>
      </c>
      <c r="U5" s="4" t="inlineStr">
        <is>
          <t>SIM</t>
        </is>
      </c>
      <c r="V5" s="2">
        <f>IF(R5="","",COUNTIF($C$5:$C$6004,R5))</f>
        <v/>
      </c>
      <c r="W5" s="2">
        <f>IF(R5="","",COUNTIFS($C$5:$C$6004,R5,$O$5:$O$6004,"CONCLUÍDA"))</f>
        <v/>
      </c>
      <c r="X5" s="2">
        <f>IF(R5="","",COUNTIFS($C$5:$C$6004,R5,$O$5:$O$6004,"EM ANDAMENTO"))</f>
        <v/>
      </c>
      <c r="Y5" s="2">
        <f>IF(R5="","",IF(COUNTIFS($C$5:$C$6004,R5,$O$5:$O$6004,"CONCLUÍDA",$N$5:$N$6004,"&gt;=-99")=0,"",_xlfn.MAXIFS($N$5:$N$6004,$C$5:$C$6004,R5,$O$5:$O$6004,"CONCLUÍDA")))</f>
        <v/>
      </c>
      <c r="Z5" s="2">
        <f>IF(R5="","",IF(COUNTIFS($C$5:$C$6004,R5,$O$5:$O$6004,"EM ANDAMENTO",$N$5:$N$6004,"&gt;=-99")=0,"",_xlfn.MAXIFS($N$5:$N$6004,$C$5:$C$6004,R5,$O$5:$O$6004,"EM ANDAMENTO")))</f>
        <v/>
      </c>
      <c r="AA5" s="2">
        <f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/>
      </c>
    </row>
    <row r="6">
      <c r="B6" s="4" t="n">
        <v>22138663</v>
      </c>
      <c r="C6" s="4" t="inlineStr">
        <is>
          <t>TERRAPLENAGEM</t>
        </is>
      </c>
      <c r="D6" s="4" t="inlineStr">
        <is>
          <t>-</t>
        </is>
      </c>
      <c r="E6" s="4" t="inlineStr">
        <is>
          <t>TÉRREO - GARAGENS</t>
        </is>
      </c>
      <c r="F6" s="119" t="n">
        <v>45516</v>
      </c>
      <c r="G6" s="119" t="n">
        <v>46499</v>
      </c>
      <c r="H6" s="119" t="n">
        <v>46293</v>
      </c>
      <c r="I6" s="4" t="n">
        <v>73.61111111111111</v>
      </c>
      <c r="J6" s="4" t="n">
        <v>73.61111111</v>
      </c>
      <c r="K6" s="4" t="n">
        <v>73.611</v>
      </c>
      <c r="M6" s="2">
        <f>IF(C6="","",IFERROR(INDEX($S$5:$S$304,MATCH(C6,$R$5:$R$304,0))&amp;"","?"))</f>
        <v/>
      </c>
      <c r="N6" s="2">
        <f>IF(E6="","",IF(ISNUMBER(SEARCH("SUBSOLO",E6)),IFERROR(-VALUE(LEFT(E6,FIND("º",SUBSTITUTE(E6,"°","º"))-1)),-1),IF(LEFT(E6,6)="TÉRREO",0,IFERROR(VALUE(LEFT(E6,FIND("º",SUBSTITUTE(E6,"°","º"))-1)),""))))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TERRAPLENAGEM</t>
        </is>
      </c>
      <c r="S6" s="4" t="inlineStr">
        <is>
          <t>14</t>
        </is>
      </c>
      <c r="T6" s="4" t="inlineStr">
        <is>
          <t>Terraplenagem</t>
        </is>
      </c>
      <c r="U6" s="4" t="inlineStr">
        <is>
          <t>SIM</t>
        </is>
      </c>
      <c r="V6" s="2">
        <f>IF(R6="","",COUNTIF($C$5:$C$6004,R6))</f>
        <v/>
      </c>
      <c r="W6" s="2">
        <f>IF(R6="","",COUNTIFS($C$5:$C$6004,R6,$O$5:$O$6004,"CONCLUÍDA"))</f>
        <v/>
      </c>
      <c r="X6" s="2">
        <f>IF(R6="","",COUNTIFS($C$5:$C$6004,R6,$O$5:$O$6004,"EM ANDAMENTO"))</f>
        <v/>
      </c>
      <c r="Y6" s="2">
        <f>IF(R6="","",IF(COUNTIFS($C$5:$C$6004,R6,$O$5:$O$6004,"CONCLUÍDA",$N$5:$N$6004,"&gt;=-99")=0,"",_xlfn.MAXIFS($N$5:$N$6004,$C$5:$C$6004,R6,$O$5:$O$6004,"CONCLUÍDA")))</f>
        <v/>
      </c>
      <c r="Z6" s="2">
        <f>IF(R6="","",IF(COUNTIFS($C$5:$C$6004,R6,$O$5:$O$6004,"EM ANDAMENTO",$N$5:$N$6004,"&gt;=-99")=0,"",_xlfn.MAXIFS($N$5:$N$6004,$C$5:$C$6004,R6,$O$5:$O$6004,"EM ANDAMENTO")))</f>
        <v/>
      </c>
      <c r="AA6" s="2">
        <f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/>
      </c>
    </row>
    <row r="7">
      <c r="B7" s="4" t="n">
        <v>8215167</v>
      </c>
      <c r="C7" s="4" t="inlineStr">
        <is>
          <t>TERRAPLENAGEM</t>
        </is>
      </c>
      <c r="D7" s="4" t="inlineStr">
        <is>
          <t>Terraplanagem Fase 1</t>
        </is>
      </c>
      <c r="E7" s="4" t="inlineStr">
        <is>
          <t>TÉRREO - GARAGENS</t>
        </is>
      </c>
      <c r="F7" s="119" t="n">
        <v>45516</v>
      </c>
      <c r="G7" s="119" t="n">
        <v>45593</v>
      </c>
      <c r="H7" s="119" t="n">
        <v>46293</v>
      </c>
      <c r="I7" s="4" t="n">
        <v>100</v>
      </c>
      <c r="J7" s="4" t="n">
        <v>100</v>
      </c>
      <c r="K7" s="4" t="n">
        <v>100</v>
      </c>
      <c r="M7" s="2">
        <f>IF(C7="","",IFERROR(INDEX($S$5:$S$304,MATCH(C7,$R$5:$R$304,0))&amp;"","?"))</f>
        <v/>
      </c>
      <c r="N7" s="2">
        <f>IF(E7="","",IF(ISNUMBER(SEARCH("SUBSOLO",E7)),IFERROR(-VALUE(LEFT(E7,FIND("º",SUBSTITUTE(E7,"°","º"))-1)),-1),IF(LEFT(E7,6)="TÉRREO",0,IFERROR(VALUE(LEFT(E7,FIND("º",SUBSTITUTE(E7,"°","º"))-1)),""))))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CONTENÇÃO</t>
        </is>
      </c>
      <c r="S7" s="4" t="inlineStr">
        <is>
          <t>13</t>
        </is>
      </c>
      <c r="T7" s="4" t="inlineStr">
        <is>
          <t>Contenção</t>
        </is>
      </c>
      <c r="U7" s="4" t="inlineStr">
        <is>
          <t>SIM</t>
        </is>
      </c>
      <c r="V7" s="2">
        <f>IF(R7="","",COUNTIF($C$5:$C$6004,R7))</f>
        <v/>
      </c>
      <c r="W7" s="2">
        <f>IF(R7="","",COUNTIFS($C$5:$C$6004,R7,$O$5:$O$6004,"CONCLUÍDA"))</f>
        <v/>
      </c>
      <c r="X7" s="2">
        <f>IF(R7="","",COUNTIFS($C$5:$C$6004,R7,$O$5:$O$6004,"EM ANDAMENTO"))</f>
        <v/>
      </c>
      <c r="Y7" s="2">
        <f>IF(R7="","",IF(COUNTIFS($C$5:$C$6004,R7,$O$5:$O$6004,"CONCLUÍDA",$N$5:$N$6004,"&gt;=-99")=0,"",_xlfn.MAXIFS($N$5:$N$6004,$C$5:$C$6004,R7,$O$5:$O$6004,"CONCLUÍDA")))</f>
        <v/>
      </c>
      <c r="Z7" s="2">
        <f>IF(R7="","",IF(COUNTIFS($C$5:$C$6004,R7,$O$5:$O$6004,"EM ANDAMENTO",$N$5:$N$6004,"&gt;=-99")=0,"",_xlfn.MAXIFS($N$5:$N$6004,$C$5:$C$6004,R7,$O$5:$O$6004,"EM ANDAMENTO")))</f>
        <v/>
      </c>
      <c r="AA7" s="2">
        <f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/>
      </c>
    </row>
    <row r="8">
      <c r="B8" s="4" t="n">
        <v>8215168</v>
      </c>
      <c r="C8" s="4" t="inlineStr">
        <is>
          <t>TERRAPLENAGEM</t>
        </is>
      </c>
      <c r="D8" s="4" t="inlineStr">
        <is>
          <t>Terraplanagem Fase 2 - Retirada Terra Contenção</t>
        </is>
      </c>
      <c r="E8" s="4" t="inlineStr">
        <is>
          <t>TÉRREO - GARAGENS</t>
        </is>
      </c>
      <c r="F8" s="119" t="n">
        <v>45666</v>
      </c>
      <c r="G8" s="119" t="n">
        <v>45735</v>
      </c>
      <c r="H8" s="119" t="n">
        <v>46293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IF(E8="","",IF(ISNUMBER(SEARCH("SUBSOLO",E8)),IFERROR(-VALUE(LEFT(E8,FIND("º",SUBSTITUTE(E8,"°","º"))-1)),-1),IF(LEFT(E8,6)="TÉRREO",0,IFERROR(VALUE(LEFT(E8,FIND("º",SUBSTITUTE(E8,"°","º"))-1)),""))))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FUNDAÇÃO PROFUNDA</t>
        </is>
      </c>
      <c r="S8" s="4" t="inlineStr">
        <is>
          <t>15</t>
        </is>
      </c>
      <c r="T8" s="4" t="inlineStr">
        <is>
          <t>Fundação profunda</t>
        </is>
      </c>
      <c r="U8" s="4" t="inlineStr">
        <is>
          <t>SIM</t>
        </is>
      </c>
      <c r="V8" s="2">
        <f>IF(R8="","",COUNTIF($C$5:$C$6004,R8))</f>
        <v/>
      </c>
      <c r="W8" s="2">
        <f>IF(R8="","",COUNTIFS($C$5:$C$6004,R8,$O$5:$O$6004,"CONCLUÍDA"))</f>
        <v/>
      </c>
      <c r="X8" s="2">
        <f>IF(R8="","",COUNTIFS($C$5:$C$6004,R8,$O$5:$O$6004,"EM ANDAMENTO"))</f>
        <v/>
      </c>
      <c r="Y8" s="2">
        <f>IF(R8="","",IF(COUNTIFS($C$5:$C$6004,R8,$O$5:$O$6004,"CONCLUÍDA",$N$5:$N$6004,"&gt;=-99")=0,"",_xlfn.MAXIFS($N$5:$N$6004,$C$5:$C$6004,R8,$O$5:$O$6004,"CONCLUÍDA")))</f>
        <v/>
      </c>
      <c r="Z8" s="2">
        <f>IF(R8="","",IF(COUNTIFS($C$5:$C$6004,R8,$O$5:$O$6004,"EM ANDAMENTO",$N$5:$N$6004,"&gt;=-99")=0,"",_xlfn.MAXIFS($N$5:$N$6004,$C$5:$C$6004,R8,$O$5:$O$6004,"EM ANDAMENTO")))</f>
        <v/>
      </c>
      <c r="AA8" s="2">
        <f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/>
      </c>
    </row>
    <row r="9">
      <c r="B9" s="4" t="n">
        <v>8215395</v>
      </c>
      <c r="C9" s="4" t="inlineStr">
        <is>
          <t>TERRAPLENAGEM</t>
        </is>
      </c>
      <c r="D9" s="4" t="inlineStr">
        <is>
          <t>Terraplanagem Fase 3</t>
        </is>
      </c>
      <c r="E9" s="4" t="inlineStr">
        <is>
          <t>TÉRREO - GARAGENS</t>
        </is>
      </c>
      <c r="F9" s="119" t="n">
        <v>46444</v>
      </c>
      <c r="G9" s="119" t="n">
        <v>46499</v>
      </c>
      <c r="H9" s="119" t="n">
        <v>46293</v>
      </c>
      <c r="I9" s="4" t="n">
        <v>0</v>
      </c>
      <c r="J9" s="4" t="n">
        <v>0</v>
      </c>
      <c r="K9" s="4" t="n">
        <v>0</v>
      </c>
      <c r="M9" s="2">
        <f>IF(C9="","",IFERROR(INDEX($S$5:$S$304,MATCH(C9,$R$5:$R$304,0))&amp;"","?"))</f>
        <v/>
      </c>
      <c r="N9" s="2">
        <f>IF(E9="","",IF(ISNUMBER(SEARCH("SUBSOLO",E9)),IFERROR(-VALUE(LEFT(E9,FIND("º",SUBSTITUTE(E9,"°","º"))-1)),-1),IF(LEFT(E9,6)="TÉRREO",0,IFERROR(VALUE(LEFT(E9,FIND("º",SUBSTITUTE(E9,"°","º"))-1)),""))))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FUNDAÇÃO SUPERFICIAL - TRECHO B</t>
        </is>
      </c>
      <c r="S9" s="4" t="inlineStr">
        <is>
          <t>16</t>
        </is>
      </c>
      <c r="T9" s="4" t="inlineStr">
        <is>
          <t>Fundação superficial - trecho b</t>
        </is>
      </c>
      <c r="U9" s="4" t="inlineStr">
        <is>
          <t>SIM</t>
        </is>
      </c>
      <c r="V9" s="2">
        <f>IF(R9="","",COUNTIF($C$5:$C$6004,R9))</f>
        <v/>
      </c>
      <c r="W9" s="2">
        <f>IF(R9="","",COUNTIFS($C$5:$C$6004,R9,$O$5:$O$6004,"CONCLUÍDA"))</f>
        <v/>
      </c>
      <c r="X9" s="2">
        <f>IF(R9="","",COUNTIFS($C$5:$C$6004,R9,$O$5:$O$6004,"EM ANDAMENTO"))</f>
        <v/>
      </c>
      <c r="Y9" s="2">
        <f>IF(R9="","",IF(COUNTIFS($C$5:$C$6004,R9,$O$5:$O$6004,"CONCLUÍDA",$N$5:$N$6004,"&gt;=-99")=0,"",_xlfn.MAXIFS($N$5:$N$6004,$C$5:$C$6004,R9,$O$5:$O$6004,"CONCLUÍDA")))</f>
        <v/>
      </c>
      <c r="Z9" s="2">
        <f>IF(R9="","",IF(COUNTIFS($C$5:$C$6004,R9,$O$5:$O$6004,"EM ANDAMENTO",$N$5:$N$6004,"&gt;=-99")=0,"",_xlfn.MAXIFS($N$5:$N$6004,$C$5:$C$6004,R9,$O$5:$O$6004,"EM ANDAMENTO")))</f>
        <v/>
      </c>
      <c r="AA9" s="2">
        <f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/>
      </c>
    </row>
    <row r="10">
      <c r="B10" s="4" t="n">
        <v>22139007</v>
      </c>
      <c r="C10" s="4" t="inlineStr">
        <is>
          <t>CONTENÇÃO</t>
        </is>
      </c>
      <c r="D10" s="4" t="inlineStr">
        <is>
          <t>-</t>
        </is>
      </c>
      <c r="E10" s="4" t="inlineStr">
        <is>
          <t>TÉRREO - GARAGENS - Parte 1</t>
        </is>
      </c>
      <c r="F10" s="119" t="n">
        <v>45586</v>
      </c>
      <c r="G10" s="119" t="n">
        <v>45665</v>
      </c>
      <c r="H10" s="119" t="n">
        <v>46293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IF(E10="","",IF(ISNUMBER(SEARCH("SUBSOLO",E10)),IFERROR(-VALUE(LEFT(E10,FIND("º",SUBSTITUTE(E10,"°","º"))-1)),-1),IF(LEFT(E10,6)="TÉRREO",0,IFERROR(VALUE(LEFT(E10,FIND("º",SUBSTITUTE(E10,"°","º"))-1)),""))))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RETIRADA DE TERRA DE FUNDAÇÃO(BOTA FORA)</t>
        </is>
      </c>
      <c r="S10" s="4" t="inlineStr">
        <is>
          <t>14</t>
        </is>
      </c>
      <c r="T10" s="4" t="inlineStr">
        <is>
          <t>Retirada de terra de fundação(bota fora)</t>
        </is>
      </c>
      <c r="U10" s="4" t="inlineStr">
        <is>
          <t>SIM</t>
        </is>
      </c>
      <c r="V10" s="2">
        <f>IF(R10="","",COUNTIF($C$5:$C$6004,R10))</f>
        <v/>
      </c>
      <c r="W10" s="2">
        <f>IF(R10="","",COUNTIFS($C$5:$C$6004,R10,$O$5:$O$6004,"CONCLUÍDA"))</f>
        <v/>
      </c>
      <c r="X10" s="2">
        <f>IF(R10="","",COUNTIFS($C$5:$C$6004,R10,$O$5:$O$6004,"EM ANDAMENTO"))</f>
        <v/>
      </c>
      <c r="Y10" s="2">
        <f>IF(R10="","",IF(COUNTIFS($C$5:$C$6004,R10,$O$5:$O$6004,"CONCLUÍDA",$N$5:$N$6004,"&gt;=-99")=0,"",_xlfn.MAXIFS($N$5:$N$6004,$C$5:$C$6004,R10,$O$5:$O$6004,"CONCLUÍDA")))</f>
        <v/>
      </c>
      <c r="Z10" s="2">
        <f>IF(R10="","",IF(COUNTIFS($C$5:$C$6004,R10,$O$5:$O$6004,"EM ANDAMENTO",$N$5:$N$6004,"&gt;=-99")=0,"",_xlfn.MAXIFS($N$5:$N$6004,$C$5:$C$6004,R10,$O$5:$O$6004,"EM ANDAMENTO")))</f>
        <v/>
      </c>
      <c r="AA10" s="2">
        <f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/>
      </c>
    </row>
    <row r="11">
      <c r="B11" s="4" t="n">
        <v>8215185</v>
      </c>
      <c r="C11" s="4" t="inlineStr">
        <is>
          <t>CONTENÇÃO</t>
        </is>
      </c>
      <c r="D11" s="4" t="inlineStr">
        <is>
          <t>Estacas E44 a E176</t>
        </is>
      </c>
      <c r="E11" s="4" t="inlineStr">
        <is>
          <t>TÉRREO - GARAGENS</t>
        </is>
      </c>
      <c r="F11" s="119" t="n">
        <v>45586</v>
      </c>
      <c r="G11" s="119" t="n">
        <v>45614</v>
      </c>
      <c r="H11" s="119" t="n">
        <v>46293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IF(E11="","",IF(ISNUMBER(SEARCH("SUBSOLO",E11)),IFERROR(-VALUE(LEFT(E11,FIND("º",SUBSTITUTE(E11,"°","º"))-1)),-1),IF(LEFT(E11,6)="TÉRREO",0,IFERROR(VALUE(LEFT(E11,FIND("º",SUBSTITUTE(E11,"°","º"))-1)),""))))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SUPERFICIAL - TRECHO C - N948</t>
        </is>
      </c>
      <c r="S11" s="4" t="inlineStr">
        <is>
          <t>16</t>
        </is>
      </c>
      <c r="T11" s="4" t="inlineStr">
        <is>
          <t>Fundação superficial - trecho c - n948</t>
        </is>
      </c>
      <c r="U11" s="4" t="inlineStr">
        <is>
          <t>NÃO</t>
        </is>
      </c>
      <c r="V11" s="2">
        <f>IF(R11="","",COUNTIF($C$5:$C$6004,R11))</f>
        <v/>
      </c>
      <c r="W11" s="2">
        <f>IF(R11="","",COUNTIFS($C$5:$C$6004,R11,$O$5:$O$6004,"CONCLUÍDA"))</f>
        <v/>
      </c>
      <c r="X11" s="2">
        <f>IF(R11="","",COUNTIFS($C$5:$C$6004,R11,$O$5:$O$6004,"EM ANDAMENTO"))</f>
        <v/>
      </c>
      <c r="Y11" s="2">
        <f>IF(R11="","",IF(COUNTIFS($C$5:$C$6004,R11,$O$5:$O$6004,"CONCLUÍDA",$N$5:$N$6004,"&gt;=-99")=0,"",_xlfn.MAXIFS($N$5:$N$6004,$C$5:$C$6004,R11,$O$5:$O$6004,"CONCLUÍDA")))</f>
        <v/>
      </c>
      <c r="Z11" s="2">
        <f>IF(R11="","",IF(COUNTIFS($C$5:$C$6004,R11,$O$5:$O$6004,"EM ANDAMENTO",$N$5:$N$6004,"&gt;=-99")=0,"",_xlfn.MAXIFS($N$5:$N$6004,$C$5:$C$6004,R11,$O$5:$O$6004,"EM ANDAMENTO")))</f>
        <v/>
      </c>
      <c r="AA11" s="2">
        <f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/>
      </c>
    </row>
    <row r="12">
      <c r="B12" s="4" t="n">
        <v>8215186</v>
      </c>
      <c r="C12" s="4" t="inlineStr">
        <is>
          <t>CONTENÇÃO</t>
        </is>
      </c>
      <c r="D12" s="4" t="inlineStr">
        <is>
          <t>Vigas Coroamento E44 a E176</t>
        </is>
      </c>
      <c r="E12" s="4" t="inlineStr">
        <is>
          <t>TÉRREO - GARAGENS</t>
        </is>
      </c>
      <c r="F12" s="119" t="n">
        <v>45596</v>
      </c>
      <c r="G12" s="119" t="n">
        <v>45624</v>
      </c>
      <c r="H12" s="119" t="n">
        <v>46293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IF(E12="","",IF(ISNUMBER(SEARCH("SUBSOLO",E12)),IFERROR(-VALUE(LEFT(E12,FIND("º",SUBSTITUTE(E12,"°","º"))-1)),-1),IF(LEFT(E12,6)="TÉRREO",0,IFERROR(VALUE(LEFT(E12,FIND("º",SUBSTITUTE(E12,"°","º"))-1)),""))))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FUNDAÇÃO PROFUNDA - TRECHO A</t>
        </is>
      </c>
      <c r="S12" s="4" t="inlineStr">
        <is>
          <t>15</t>
        </is>
      </c>
      <c r="T12" s="4" t="inlineStr">
        <is>
          <t>Fundação profunda - trecho a</t>
        </is>
      </c>
      <c r="U12" s="4" t="inlineStr">
        <is>
          <t>SIM</t>
        </is>
      </c>
      <c r="V12" s="2">
        <f>IF(R12="","",COUNTIF($C$5:$C$6004,R12))</f>
        <v/>
      </c>
      <c r="W12" s="2">
        <f>IF(R12="","",COUNTIFS($C$5:$C$6004,R12,$O$5:$O$6004,"CONCLUÍDA"))</f>
        <v/>
      </c>
      <c r="X12" s="2">
        <f>IF(R12="","",COUNTIFS($C$5:$C$6004,R12,$O$5:$O$6004,"EM ANDAMENTO"))</f>
        <v/>
      </c>
      <c r="Y12" s="2">
        <f>IF(R12="","",IF(COUNTIFS($C$5:$C$6004,R12,$O$5:$O$6004,"CONCLUÍDA",$N$5:$N$6004,"&gt;=-99")=0,"",_xlfn.MAXIFS($N$5:$N$6004,$C$5:$C$6004,R12,$O$5:$O$6004,"CONCLUÍDA")))</f>
        <v/>
      </c>
      <c r="Z12" s="2">
        <f>IF(R12="","",IF(COUNTIFS($C$5:$C$6004,R12,$O$5:$O$6004,"EM ANDAMENTO",$N$5:$N$6004,"&gt;=-99")=0,"",_xlfn.MAXIFS($N$5:$N$6004,$C$5:$C$6004,R12,$O$5:$O$6004,"EM ANDAMENTO")))</f>
        <v/>
      </c>
      <c r="AA12" s="2">
        <f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/>
      </c>
    </row>
    <row r="13">
      <c r="B13" s="4" t="n">
        <v>8215964</v>
      </c>
      <c r="C13" s="4" t="inlineStr">
        <is>
          <t>CONTENÇÃO</t>
        </is>
      </c>
      <c r="D13" s="4" t="inlineStr">
        <is>
          <t>Fechamento entre Estacas</t>
        </is>
      </c>
      <c r="E13" s="4" t="inlineStr">
        <is>
          <t>TÉRREO - GARAGENS</t>
        </is>
      </c>
      <c r="F13" s="119" t="n">
        <v>45639</v>
      </c>
      <c r="G13" s="119" t="n">
        <v>45665</v>
      </c>
      <c r="H13" s="119" t="n">
        <v>46293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IF(E13="","",IF(ISNUMBER(SEARCH("SUBSOLO",E13)),IFERROR(-VALUE(LEFT(E13,FIND("º",SUBSTITUTE(E13,"°","º"))-1)),-1),IF(LEFT(E13,6)="TÉRREO",0,IFERROR(VALUE(LEFT(E13,FIND("º",SUBSTITUTE(E13,"°","º"))-1)),""))))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FUNDAÇÃO PROFUNDA - TRECHO C</t>
        </is>
      </c>
      <c r="S13" s="4" t="inlineStr">
        <is>
          <t>15</t>
        </is>
      </c>
      <c r="T13" s="4" t="inlineStr">
        <is>
          <t>Fundação profunda - trecho c</t>
        </is>
      </c>
      <c r="U13" s="4" t="inlineStr">
        <is>
          <t>SIM</t>
        </is>
      </c>
      <c r="V13" s="2">
        <f>IF(R13="","",COUNTIF($C$5:$C$6004,R13))</f>
        <v/>
      </c>
      <c r="W13" s="2">
        <f>IF(R13="","",COUNTIFS($C$5:$C$6004,R13,$O$5:$O$6004,"CONCLUÍDA"))</f>
        <v/>
      </c>
      <c r="X13" s="2">
        <f>IF(R13="","",COUNTIFS($C$5:$C$6004,R13,$O$5:$O$6004,"EM ANDAMENTO"))</f>
        <v/>
      </c>
      <c r="Y13" s="2">
        <f>IF(R13="","",IF(COUNTIFS($C$5:$C$6004,R13,$O$5:$O$6004,"CONCLUÍDA",$N$5:$N$6004,"&gt;=-99")=0,"",_xlfn.MAXIFS($N$5:$N$6004,$C$5:$C$6004,R13,$O$5:$O$6004,"CONCLUÍDA")))</f>
        <v/>
      </c>
      <c r="Z13" s="2">
        <f>IF(R13="","",IF(COUNTIFS($C$5:$C$6004,R13,$O$5:$O$6004,"EM ANDAMENTO",$N$5:$N$6004,"&gt;=-99")=0,"",_xlfn.MAXIFS($N$5:$N$6004,$C$5:$C$6004,R13,$O$5:$O$6004,"EM ANDAMENTO")))</f>
        <v/>
      </c>
      <c r="AA13" s="2">
        <f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/>
      </c>
    </row>
    <row r="14">
      <c r="B14" s="4" t="n">
        <v>22139036</v>
      </c>
      <c r="C14" s="4" t="inlineStr">
        <is>
          <t>CONTENÇÃO</t>
        </is>
      </c>
      <c r="D14" s="4" t="inlineStr">
        <is>
          <t>-</t>
        </is>
      </c>
      <c r="E14" s="4" t="inlineStr">
        <is>
          <t>3º PAV. - PILOTIS</t>
        </is>
      </c>
      <c r="F14" s="119" t="n">
        <v>45629</v>
      </c>
      <c r="G14" s="119" t="n">
        <v>45720</v>
      </c>
      <c r="H14" s="119" t="n">
        <v>46293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IF(E14="","",IF(ISNUMBER(SEARCH("SUBSOLO",E14)),IFERROR(-VALUE(LEFT(E14,FIND("º",SUBSTITUTE(E14,"°","º"))-1)),-1),IF(LEFT(E14,6)="TÉRREO",0,IFERROR(VALUE(LEFT(E14,FIND("º",SUBSTITUTE(E14,"°","º"))-1)),""))))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FUNDAÇÃO SUPERFICIAL - TRECHO C - N941</t>
        </is>
      </c>
      <c r="S14" s="4" t="inlineStr">
        <is>
          <t>16</t>
        </is>
      </c>
      <c r="T14" s="4" t="inlineStr">
        <is>
          <t>Fundação superficial - trecho c - n941</t>
        </is>
      </c>
      <c r="U14" s="4" t="inlineStr">
        <is>
          <t>SIM</t>
        </is>
      </c>
      <c r="V14" s="2">
        <f>IF(R14="","",COUNTIF($C$5:$C$6004,R14))</f>
        <v/>
      </c>
      <c r="W14" s="2">
        <f>IF(R14="","",COUNTIFS($C$5:$C$6004,R14,$O$5:$O$6004,"CONCLUÍDA"))</f>
        <v/>
      </c>
      <c r="X14" s="2">
        <f>IF(R14="","",COUNTIFS($C$5:$C$6004,R14,$O$5:$O$6004,"EM ANDAMENTO"))</f>
        <v/>
      </c>
      <c r="Y14" s="2">
        <f>IF(R14="","",IF(COUNTIFS($C$5:$C$6004,R14,$O$5:$O$6004,"CONCLUÍDA",$N$5:$N$6004,"&gt;=-99")=0,"",_xlfn.MAXIFS($N$5:$N$6004,$C$5:$C$6004,R14,$O$5:$O$6004,"CONCLUÍDA")))</f>
        <v/>
      </c>
      <c r="Z14" s="2">
        <f>IF(R14="","",IF(COUNTIFS($C$5:$C$6004,R14,$O$5:$O$6004,"EM ANDAMENTO",$N$5:$N$6004,"&gt;=-99")=0,"",_xlfn.MAXIFS($N$5:$N$6004,$C$5:$C$6004,R14,$O$5:$O$6004,"EM ANDAMENTO")))</f>
        <v/>
      </c>
      <c r="AA14" s="2">
        <f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/>
      </c>
    </row>
    <row r="15">
      <c r="B15" s="4" t="n">
        <v>8215187</v>
      </c>
      <c r="C15" s="4" t="inlineStr">
        <is>
          <t>CONTENÇÃO</t>
        </is>
      </c>
      <c r="D15" s="4" t="inlineStr">
        <is>
          <t>Estacas E1 a E43</t>
        </is>
      </c>
      <c r="E15" s="4" t="inlineStr">
        <is>
          <t>3º PAV. - PILOTIS</t>
        </is>
      </c>
      <c r="F15" s="119" t="n">
        <v>45629</v>
      </c>
      <c r="G15" s="119" t="n">
        <v>45642</v>
      </c>
      <c r="H15" s="119" t="n">
        <v>46293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IF(E15="","",IF(ISNUMBER(SEARCH("SUBSOLO",E15)),IFERROR(-VALUE(LEFT(E15,FIND("º",SUBSTITUTE(E15,"°","º"))-1)),-1),IF(LEFT(E15,6)="TÉRREO",0,IFERROR(VALUE(LEFT(E15,FIND("º",SUBSTITUTE(E15,"°","º"))-1)),""))))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SUPERFICIAL</t>
        </is>
      </c>
      <c r="S15" s="4" t="inlineStr">
        <is>
          <t>16</t>
        </is>
      </c>
      <c r="T15" s="4" t="inlineStr">
        <is>
          <t>Fundação superficial</t>
        </is>
      </c>
      <c r="U15" s="4" t="inlineStr">
        <is>
          <t>NÃO</t>
        </is>
      </c>
      <c r="V15" s="2">
        <f>IF(R15="","",COUNTIF($C$5:$C$6004,R15))</f>
        <v/>
      </c>
      <c r="W15" s="2">
        <f>IF(R15="","",COUNTIFS($C$5:$C$6004,R15,$O$5:$O$6004,"CONCLUÍDA"))</f>
        <v/>
      </c>
      <c r="X15" s="2">
        <f>IF(R15="","",COUNTIFS($C$5:$C$6004,R15,$O$5:$O$6004,"EM ANDAMENTO"))</f>
        <v/>
      </c>
      <c r="Y15" s="2">
        <f>IF(R15="","",IF(COUNTIFS($C$5:$C$6004,R15,$O$5:$O$6004,"CONCLUÍDA",$N$5:$N$6004,"&gt;=-99")=0,"",_xlfn.MAXIFS($N$5:$N$6004,$C$5:$C$6004,R15,$O$5:$O$6004,"CONCLUÍDA")))</f>
        <v/>
      </c>
      <c r="Z15" s="2">
        <f>IF(R15="","",IF(COUNTIFS($C$5:$C$6004,R15,$O$5:$O$6004,"EM ANDAMENTO",$N$5:$N$6004,"&gt;=-99")=0,"",_xlfn.MAXIFS($N$5:$N$6004,$C$5:$C$6004,R15,$O$5:$O$6004,"EM ANDAMENTO")))</f>
        <v/>
      </c>
      <c r="AA15" s="2">
        <f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>
      <c r="B16" s="4" t="n">
        <v>8215188</v>
      </c>
      <c r="C16" s="4" t="inlineStr">
        <is>
          <t>CONTENÇÃO</t>
        </is>
      </c>
      <c r="D16" s="4" t="inlineStr">
        <is>
          <t>Vigas Coroamento E1 a E43</t>
        </is>
      </c>
      <c r="E16" s="4" t="inlineStr">
        <is>
          <t>3º PAV. - PILOTIS</t>
        </is>
      </c>
      <c r="F16" s="119" t="n">
        <v>45643</v>
      </c>
      <c r="G16" s="119" t="n">
        <v>45657</v>
      </c>
      <c r="H16" s="119" t="n">
        <v>46293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IF(E16="","",IF(ISNUMBER(SEARCH("SUBSOLO",E16)),IFERROR(-VALUE(LEFT(E16,FIND("º",SUBSTITUTE(E16,"°","º"))-1)),-1),IF(LEFT(E16,6)="TÉRREO",0,IFERROR(VALUE(LEFT(E16,FIND("º",SUBSTITUTE(E16,"°","º"))-1)),""))))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ESTRUTURA EMBASAMENTO B</t>
        </is>
      </c>
      <c r="S16" s="4" t="inlineStr">
        <is>
          <t>17</t>
        </is>
      </c>
      <c r="T16" s="4" t="inlineStr">
        <is>
          <t>Estrutura embasamento b</t>
        </is>
      </c>
      <c r="U16" s="4" t="inlineStr">
        <is>
          <t>SIM</t>
        </is>
      </c>
      <c r="V16" s="2">
        <f>IF(R16="","",COUNTIF($C$5:$C$6004,R16))</f>
        <v/>
      </c>
      <c r="W16" s="2">
        <f>IF(R16="","",COUNTIFS($C$5:$C$6004,R16,$O$5:$O$6004,"CONCLUÍDA"))</f>
        <v/>
      </c>
      <c r="X16" s="2">
        <f>IF(R16="","",COUNTIFS($C$5:$C$6004,R16,$O$5:$O$6004,"EM ANDAMENTO"))</f>
        <v/>
      </c>
      <c r="Y16" s="2">
        <f>IF(R16="","",IF(COUNTIFS($C$5:$C$6004,R16,$O$5:$O$6004,"CONCLUÍDA",$N$5:$N$6004,"&gt;=-99")=0,"",_xlfn.MAXIFS($N$5:$N$6004,$C$5:$C$6004,R16,$O$5:$O$6004,"CONCLUÍDA")))</f>
        <v/>
      </c>
      <c r="Z16" s="2">
        <f>IF(R16="","",IF(COUNTIFS($C$5:$C$6004,R16,$O$5:$O$6004,"EM ANDAMENTO",$N$5:$N$6004,"&gt;=-99")=0,"",_xlfn.MAXIFS($N$5:$N$6004,$C$5:$C$6004,R16,$O$5:$O$6004,"EM ANDAMENTO")))</f>
        <v/>
      </c>
      <c r="AA16" s="2">
        <f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/>
      </c>
    </row>
    <row r="17">
      <c r="B17" s="4" t="n">
        <v>8215980</v>
      </c>
      <c r="C17" s="4" t="inlineStr">
        <is>
          <t>CONTENÇÃO</t>
        </is>
      </c>
      <c r="D17" s="4" t="inlineStr">
        <is>
          <t>Fechamento entre Estacas</t>
        </is>
      </c>
      <c r="E17" s="4" t="inlineStr">
        <is>
          <t>3º PAV. - PILOTIS</t>
        </is>
      </c>
      <c r="F17" s="119" t="n">
        <v>45659</v>
      </c>
      <c r="G17" s="119" t="n">
        <v>45720</v>
      </c>
      <c r="H17" s="119" t="n">
        <v>46293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IF(E17="","",IF(ISNUMBER(SEARCH("SUBSOLO",E17)),IFERROR(-VALUE(LEFT(E17,FIND("º",SUBSTITUTE(E17,"°","º"))-1)),-1),IF(LEFT(E17,6)="TÉRREO",0,IFERROR(VALUE(LEFT(E17,FIND("º",SUBSTITUTE(E17,"°","º"))-1)),""))))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ESTRUTURA EMBASAMENTO B - MEDIÇÃO</t>
        </is>
      </c>
      <c r="S17" s="4" t="inlineStr">
        <is>
          <t>17</t>
        </is>
      </c>
      <c r="T17" s="4" t="inlineStr">
        <is>
          <t>Estrutura embasamento b - medição</t>
        </is>
      </c>
      <c r="U17" s="4" t="inlineStr">
        <is>
          <t>NÃO</t>
        </is>
      </c>
      <c r="V17" s="2">
        <f>IF(R17="","",COUNTIF($C$5:$C$6004,R17))</f>
        <v/>
      </c>
      <c r="W17" s="2">
        <f>IF(R17="","",COUNTIFS($C$5:$C$6004,R17,$O$5:$O$6004,"CONCLUÍDA"))</f>
        <v/>
      </c>
      <c r="X17" s="2">
        <f>IF(R17="","",COUNTIFS($C$5:$C$6004,R17,$O$5:$O$6004,"EM ANDAMENTO"))</f>
        <v/>
      </c>
      <c r="Y17" s="2">
        <f>IF(R17="","",IF(COUNTIFS($C$5:$C$6004,R17,$O$5:$O$6004,"CONCLUÍDA",$N$5:$N$6004,"&gt;=-99")=0,"",_xlfn.MAXIFS($N$5:$N$6004,$C$5:$C$6004,R17,$O$5:$O$6004,"CONCLUÍDA")))</f>
        <v/>
      </c>
      <c r="Z17" s="2">
        <f>IF(R17="","",IF(COUNTIFS($C$5:$C$6004,R17,$O$5:$O$6004,"EM ANDAMENTO",$N$5:$N$6004,"&gt;=-99")=0,"",_xlfn.MAXIFS($N$5:$N$6004,$C$5:$C$6004,R17,$O$5:$O$6004,"EM ANDAMENTO")))</f>
        <v/>
      </c>
      <c r="AA17" s="2">
        <f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>
      <c r="B18" s="4" t="n">
        <v>22139209</v>
      </c>
      <c r="C18" s="4" t="inlineStr">
        <is>
          <t>FUNDAÇÃO PROFUNDA</t>
        </is>
      </c>
      <c r="D18" s="4" t="inlineStr">
        <is>
          <t>-</t>
        </is>
      </c>
      <c r="E18" s="4" t="inlineStr">
        <is>
          <t>TÉRREO - GARAGENS</t>
        </is>
      </c>
      <c r="F18" s="119" t="n">
        <v>45707</v>
      </c>
      <c r="G18" s="119" t="n">
        <v>45793</v>
      </c>
      <c r="H18" s="119" t="n">
        <v>46293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IF(E18="","",IF(ISNUMBER(SEARCH("SUBSOLO",E18)),IFERROR(-VALUE(LEFT(E18,FIND("º",SUBSTITUTE(E18,"°","º"))-1)),-1),IF(LEFT(E18,6)="TÉRREO",0,IFERROR(VALUE(LEFT(E18,FIND("º",SUBSTITUTE(E18,"°","º"))-1)),""))))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 - TRECHO A (2º ETAPA)</t>
        </is>
      </c>
      <c r="S18" s="4" t="inlineStr">
        <is>
          <t>16</t>
        </is>
      </c>
      <c r="T18" s="4" t="inlineStr">
        <is>
          <t>Fundação superficial - trecho a (2º etapa)</t>
        </is>
      </c>
      <c r="U18" s="4" t="inlineStr">
        <is>
          <t>NÃO</t>
        </is>
      </c>
      <c r="V18" s="2">
        <f>IF(R18="","",COUNTIF($C$5:$C$6004,R18))</f>
        <v/>
      </c>
      <c r="W18" s="2">
        <f>IF(R18="","",COUNTIFS($C$5:$C$6004,R18,$O$5:$O$6004,"CONCLUÍDA"))</f>
        <v/>
      </c>
      <c r="X18" s="2">
        <f>IF(R18="","",COUNTIFS($C$5:$C$6004,R18,$O$5:$O$6004,"EM ANDAMENTO"))</f>
        <v/>
      </c>
      <c r="Y18" s="2">
        <f>IF(R18="","",IF(COUNTIFS($C$5:$C$6004,R18,$O$5:$O$6004,"CONCLUÍDA",$N$5:$N$6004,"&gt;=-99")=0,"",_xlfn.MAXIFS($N$5:$N$6004,$C$5:$C$6004,R18,$O$5:$O$6004,"CONCLUÍDA")))</f>
        <v/>
      </c>
      <c r="Z18" s="2">
        <f>IF(R18="","",IF(COUNTIFS($C$5:$C$6004,R18,$O$5:$O$6004,"EM ANDAMENTO",$N$5:$N$6004,"&gt;=-99")=0,"",_xlfn.MAXIFS($N$5:$N$6004,$C$5:$C$6004,R18,$O$5:$O$6004,"EM ANDAMENTO")))</f>
        <v/>
      </c>
      <c r="AA18" s="2">
        <f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>
      <c r="B19" s="4" t="n">
        <v>8215189</v>
      </c>
      <c r="C19" s="4" t="inlineStr">
        <is>
          <t>FUNDAÇÃO PROFUNDA</t>
        </is>
      </c>
      <c r="D19" s="4" t="inlineStr">
        <is>
          <t>Estaca Escavada</t>
        </is>
      </c>
      <c r="E19" s="4" t="inlineStr">
        <is>
          <t>TÉRREO - GARAGENS</t>
        </is>
      </c>
      <c r="F19" s="119" t="n">
        <v>45707</v>
      </c>
      <c r="G19" s="119" t="n">
        <v>45793</v>
      </c>
      <c r="H19" s="119" t="n">
        <v>46293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IF(E19="","",IF(ISNUMBER(SEARCH("SUBSOLO",E19)),IFERROR(-VALUE(LEFT(E19,FIND("º",SUBSTITUTE(E19,"°","º"))-1)),-1),IF(LEFT(E19,6)="TÉRREO",0,IFERROR(VALUE(LEFT(E19,FIND("º",SUBSTITUTE(E19,"°","º"))-1)),""))))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TRECHO A (4º ETAPA)</t>
        </is>
      </c>
      <c r="S19" s="4" t="inlineStr">
        <is>
          <t>16</t>
        </is>
      </c>
      <c r="T19" s="4" t="inlineStr">
        <is>
          <t>Fundação superficial - trecho a (4º etapa)</t>
        </is>
      </c>
      <c r="U19" s="4" t="inlineStr">
        <is>
          <t>SIM</t>
        </is>
      </c>
      <c r="V19" s="2">
        <f>IF(R19="","",COUNTIF($C$5:$C$6004,R19))</f>
        <v/>
      </c>
      <c r="W19" s="2">
        <f>IF(R19="","",COUNTIFS($C$5:$C$6004,R19,$O$5:$O$6004,"CONCLUÍDA"))</f>
        <v/>
      </c>
      <c r="X19" s="2">
        <f>IF(R19="","",COUNTIFS($C$5:$C$6004,R19,$O$5:$O$6004,"EM ANDAMENTO"))</f>
        <v/>
      </c>
      <c r="Y19" s="2">
        <f>IF(R19="","",IF(COUNTIFS($C$5:$C$6004,R19,$O$5:$O$6004,"CONCLUÍDA",$N$5:$N$6004,"&gt;=-99")=0,"",_xlfn.MAXIFS($N$5:$N$6004,$C$5:$C$6004,R19,$O$5:$O$6004,"CONCLUÍDA")))</f>
        <v/>
      </c>
      <c r="Z19" s="2">
        <f>IF(R19="","",IF(COUNTIFS($C$5:$C$6004,R19,$O$5:$O$6004,"EM ANDAMENTO",$N$5:$N$6004,"&gt;=-99")=0,"",_xlfn.MAXIFS($N$5:$N$6004,$C$5:$C$6004,R19,$O$5:$O$6004,"EM ANDAMENTO")))</f>
        <v/>
      </c>
      <c r="AA19" s="2">
        <f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/>
      </c>
    </row>
    <row r="20">
      <c r="B20" s="4" t="n">
        <v>27844288</v>
      </c>
      <c r="C20" s="4" t="inlineStr">
        <is>
          <t>FUNDAÇÃO SUPERFICIAL - TRECHO B</t>
        </is>
      </c>
      <c r="D20" s="4" t="inlineStr">
        <is>
          <t>-</t>
        </is>
      </c>
      <c r="E20" s="4" t="inlineStr">
        <is>
          <t>TÉRREO - GARAGENS - Parte 1</t>
        </is>
      </c>
      <c r="F20" s="119" t="n">
        <v>45775</v>
      </c>
      <c r="G20" s="119" t="n">
        <v>45785</v>
      </c>
      <c r="H20" s="119" t="n">
        <v>46293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IF(E20="","",IF(ISNUMBER(SEARCH("SUBSOLO",E20)),IFERROR(-VALUE(LEFT(E20,FIND("º",SUBSTITUTE(E20,"°","º"))-1)),-1),IF(LEFT(E20,6)="TÉRREO",0,IFERROR(VALUE(LEFT(E20,FIND("º",SUBSTITUTE(E20,"°","º"))-1)),""))))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DRENAGEM</t>
        </is>
      </c>
      <c r="S20" s="4" t="inlineStr">
        <is>
          <t>21</t>
        </is>
      </c>
      <c r="T20" s="4" t="inlineStr">
        <is>
          <t>Drenagem</t>
        </is>
      </c>
      <c r="U20" s="4" t="inlineStr">
        <is>
          <t>NÃO</t>
        </is>
      </c>
      <c r="V20" s="2">
        <f>IF(R20="","",COUNTIF($C$5:$C$6004,R20))</f>
        <v/>
      </c>
      <c r="W20" s="2">
        <f>IF(R20="","",COUNTIFS($C$5:$C$6004,R20,$O$5:$O$6004,"CONCLUÍDA"))</f>
        <v/>
      </c>
      <c r="X20" s="2">
        <f>IF(R20="","",COUNTIFS($C$5:$C$6004,R20,$O$5:$O$6004,"EM ANDAMENTO"))</f>
        <v/>
      </c>
      <c r="Y20" s="2">
        <f>IF(R20="","",IF(COUNTIFS($C$5:$C$6004,R20,$O$5:$O$6004,"CONCLUÍDA",$N$5:$N$6004,"&gt;=-99")=0,"",_xlfn.MAXIFS($N$5:$N$6004,$C$5:$C$6004,R20,$O$5:$O$6004,"CONCLUÍDA")))</f>
        <v/>
      </c>
      <c r="Z20" s="2">
        <f>IF(R20="","",IF(COUNTIFS($C$5:$C$6004,R20,$O$5:$O$6004,"EM ANDAMENTO",$N$5:$N$6004,"&gt;=-99")=0,"",_xlfn.MAXIFS($N$5:$N$6004,$C$5:$C$6004,R20,$O$5:$O$6004,"EM ANDAMENTO")))</f>
        <v/>
      </c>
      <c r="AA20" s="2">
        <f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/>
      </c>
    </row>
    <row r="21">
      <c r="B21" s="4" t="n">
        <v>9925631</v>
      </c>
      <c r="C21" s="4" t="inlineStr">
        <is>
          <t>FUNDAÇÃO SUPERFICIAL - TRECHO B</t>
        </is>
      </c>
      <c r="D21" s="4" t="inlineStr">
        <is>
          <t>MARCAÇÃO - B526 | B523 | B521 | B519 | B517 | B515 | B509 | B507 | B508</t>
        </is>
      </c>
      <c r="E21" s="4" t="inlineStr">
        <is>
          <t>TÉRREO - GARAGENS</t>
        </is>
      </c>
      <c r="F21" s="119" t="n">
        <v>45775</v>
      </c>
      <c r="G21" s="119" t="n">
        <v>45775</v>
      </c>
      <c r="H21" s="119" t="n">
        <v>46293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IF(E21="","",IF(ISNUMBER(SEARCH("SUBSOLO",E21)),IFERROR(-VALUE(LEFT(E21,FIND("º",SUBSTITUTE(E21,"°","º"))-1)),-1),IF(LEFT(E21,6)="TÉRREO",0,IFERROR(VALUE(LEFT(E21,FIND("º",SUBSTITUTE(E21,"°","º"))-1)),""))))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FUNDAÇÃO SUPERFICIAL - TRECHO A (ETAPA FINAL)</t>
        </is>
      </c>
      <c r="S21" s="4" t="inlineStr">
        <is>
          <t>16</t>
        </is>
      </c>
      <c r="T21" s="4" t="inlineStr">
        <is>
          <t>Fundação superficial - trecho a (etapa final)</t>
        </is>
      </c>
      <c r="U21" s="4" t="inlineStr">
        <is>
          <t>NÃO</t>
        </is>
      </c>
      <c r="V21" s="2">
        <f>IF(R21="","",COUNTIF($C$5:$C$6004,R21))</f>
        <v/>
      </c>
      <c r="W21" s="2">
        <f>IF(R21="","",COUNTIFS($C$5:$C$6004,R21,$O$5:$O$6004,"CONCLUÍDA"))</f>
        <v/>
      </c>
      <c r="X21" s="2">
        <f>IF(R21="","",COUNTIFS($C$5:$C$6004,R21,$O$5:$O$6004,"EM ANDAMENTO"))</f>
        <v/>
      </c>
      <c r="Y21" s="2">
        <f>IF(R21="","",IF(COUNTIFS($C$5:$C$6004,R21,$O$5:$O$6004,"CONCLUÍDA",$N$5:$N$6004,"&gt;=-99")=0,"",_xlfn.MAXIFS($N$5:$N$6004,$C$5:$C$6004,R21,$O$5:$O$6004,"CONCLUÍDA")))</f>
        <v/>
      </c>
      <c r="Z21" s="2">
        <f>IF(R21="","",IF(COUNTIFS($C$5:$C$6004,R21,$O$5:$O$6004,"EM ANDAMENTO",$N$5:$N$6004,"&gt;=-99")=0,"",_xlfn.MAXIFS($N$5:$N$6004,$C$5:$C$6004,R21,$O$5:$O$6004,"EM ANDAMENTO")))</f>
        <v/>
      </c>
      <c r="AA21" s="2">
        <f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/>
      </c>
    </row>
    <row r="22">
      <c r="B22" s="4" t="n">
        <v>9925632</v>
      </c>
      <c r="C22" s="4" t="inlineStr">
        <is>
          <t>FUNDAÇÃO SUPERFICIAL - TRECHO B</t>
        </is>
      </c>
      <c r="D22" s="4" t="inlineStr">
        <is>
          <t>ESCAVAÇÃO - B507</t>
        </is>
      </c>
      <c r="E22" s="4" t="inlineStr">
        <is>
          <t>TÉRREO - GARAGENS</t>
        </is>
      </c>
      <c r="F22" s="119" t="n">
        <v>45776</v>
      </c>
      <c r="G22" s="119" t="n">
        <v>45776</v>
      </c>
      <c r="H22" s="119" t="n">
        <v>46293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IF(E22="","",IF(ISNUMBER(SEARCH("SUBSOLO",E22)),IFERROR(-VALUE(LEFT(E22,FIND("º",SUBSTITUTE(E22,"°","º"))-1)),-1),IF(LEFT(E22,6)="TÉRREO",0,IFERROR(VALUE(LEFT(E22,FIND("º",SUBSTITUTE(E22,"°","º"))-1)),""))))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ESTRUTURA TORRE A</t>
        </is>
      </c>
      <c r="S22" s="4" t="inlineStr">
        <is>
          <t>17</t>
        </is>
      </c>
      <c r="T22" s="4" t="inlineStr">
        <is>
          <t>Estrutura torre a</t>
        </is>
      </c>
      <c r="U22" s="4" t="inlineStr">
        <is>
          <t>SIM</t>
        </is>
      </c>
      <c r="V22" s="2">
        <f>IF(R22="","",COUNTIF($C$5:$C$6004,R22))</f>
        <v/>
      </c>
      <c r="W22" s="2">
        <f>IF(R22="","",COUNTIFS($C$5:$C$6004,R22,$O$5:$O$6004,"CONCLUÍDA"))</f>
        <v/>
      </c>
      <c r="X22" s="2">
        <f>IF(R22="","",COUNTIFS($C$5:$C$6004,R22,$O$5:$O$6004,"EM ANDAMENTO"))</f>
        <v/>
      </c>
      <c r="Y22" s="2">
        <f>IF(R22="","",IF(COUNTIFS($C$5:$C$6004,R22,$O$5:$O$6004,"CONCLUÍDA",$N$5:$N$6004,"&gt;=-99")=0,"",_xlfn.MAXIFS($N$5:$N$6004,$C$5:$C$6004,R22,$O$5:$O$6004,"CONCLUÍDA")))</f>
        <v/>
      </c>
      <c r="Z22" s="2">
        <f>IF(R22="","",IF(COUNTIFS($C$5:$C$6004,R22,$O$5:$O$6004,"EM ANDAMENTO",$N$5:$N$6004,"&gt;=-99")=0,"",_xlfn.MAXIFS($N$5:$N$6004,$C$5:$C$6004,R22,$O$5:$O$6004,"EM ANDAMENTO")))</f>
        <v/>
      </c>
      <c r="AA22" s="2">
        <f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/>
      </c>
    </row>
    <row r="23">
      <c r="B23" s="4" t="n">
        <v>9925633</v>
      </c>
      <c r="C23" s="4" t="inlineStr">
        <is>
          <t>FUNDAÇÃO SUPERFICIAL - TRECHO B</t>
        </is>
      </c>
      <c r="D23" s="4" t="inlineStr">
        <is>
          <t>ARRASAMENTO - B526 | B523 | B521 | B519 | B517 | B515 | B509 | B507 | B508</t>
        </is>
      </c>
      <c r="E23" s="4" t="inlineStr">
        <is>
          <t>TÉRREO - GARAGENS</t>
        </is>
      </c>
      <c r="F23" s="119" t="n">
        <v>45776</v>
      </c>
      <c r="G23" s="119" t="n">
        <v>45777</v>
      </c>
      <c r="H23" s="119" t="n">
        <v>46293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IF(E23="","",IF(ISNUMBER(SEARCH("SUBSOLO",E23)),IFERROR(-VALUE(LEFT(E23,FIND("º",SUBSTITUTE(E23,"°","º"))-1)),-1),IF(LEFT(E23,6)="TÉRREO",0,IFERROR(VALUE(LEFT(E23,FIND("º",SUBSTITUTE(E23,"°","º"))-1)),""))))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ESTRUTURA TORRE</t>
        </is>
      </c>
      <c r="S23" s="4" t="inlineStr">
        <is>
          <t>17</t>
        </is>
      </c>
      <c r="T23" s="4" t="inlineStr">
        <is>
          <t>Estrutura torre</t>
        </is>
      </c>
      <c r="U23" s="4" t="inlineStr">
        <is>
          <t>SIM</t>
        </is>
      </c>
      <c r="V23" s="2">
        <f>IF(R23="","",COUNTIF($C$5:$C$6004,R23))</f>
        <v/>
      </c>
      <c r="W23" s="2">
        <f>IF(R23="","",COUNTIFS($C$5:$C$6004,R23,$O$5:$O$6004,"CONCLUÍDA"))</f>
        <v/>
      </c>
      <c r="X23" s="2">
        <f>IF(R23="","",COUNTIFS($C$5:$C$6004,R23,$O$5:$O$6004,"EM ANDAMENTO"))</f>
        <v/>
      </c>
      <c r="Y23" s="2">
        <f>IF(R23="","",IF(COUNTIFS($C$5:$C$6004,R23,$O$5:$O$6004,"CONCLUÍDA",$N$5:$N$6004,"&gt;=-99")=0,"",_xlfn.MAXIFS($N$5:$N$6004,$C$5:$C$6004,R23,$O$5:$O$6004,"CONCLUÍDA")))</f>
        <v/>
      </c>
      <c r="Z23" s="2">
        <f>IF(R23="","",IF(COUNTIFS($C$5:$C$6004,R23,$O$5:$O$6004,"EM ANDAMENTO",$N$5:$N$6004,"&gt;=-99")=0,"",_xlfn.MAXIFS($N$5:$N$6004,$C$5:$C$6004,R23,$O$5:$O$6004,"EM ANDAMENTO")))</f>
        <v/>
      </c>
      <c r="AA23" s="2">
        <f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/>
      </c>
    </row>
    <row r="24">
      <c r="B24" s="4" t="n">
        <v>9925634</v>
      </c>
      <c r="C24" s="4" t="inlineStr">
        <is>
          <t>FUNDAÇÃO SUPERFICIAL - TRECHO B</t>
        </is>
      </c>
      <c r="D24" s="4" t="inlineStr">
        <is>
          <t>FORMA - B523 | B521 | B519 | B517 | B515 | B509 | B508</t>
        </is>
      </c>
      <c r="E24" s="4" t="inlineStr">
        <is>
          <t>TÉRREO - GARAGENS</t>
        </is>
      </c>
      <c r="F24" s="119" t="n">
        <v>45779</v>
      </c>
      <c r="G24" s="119" t="n">
        <v>45782</v>
      </c>
      <c r="H24" s="119" t="n">
        <v>46293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IF(E24="","",IF(ISNUMBER(SEARCH("SUBSOLO",E24)),IFERROR(-VALUE(LEFT(E24,FIND("º",SUBSTITUTE(E24,"°","º"))-1)),-1),IF(LEFT(E24,6)="TÉRREO",0,IFERROR(VALUE(LEFT(E24,FIND("º",SUBSTITUTE(E24,"°","º"))-1)),""))))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ESTRUTURA EMBASAMENTO C</t>
        </is>
      </c>
      <c r="S24" s="4" t="inlineStr">
        <is>
          <t>17</t>
        </is>
      </c>
      <c r="T24" s="4" t="inlineStr">
        <is>
          <t>Estrutura embasamento c</t>
        </is>
      </c>
      <c r="U24" s="4" t="inlineStr">
        <is>
          <t>SIM</t>
        </is>
      </c>
      <c r="V24" s="2">
        <f>IF(R24="","",COUNTIF($C$5:$C$6004,R24))</f>
        <v/>
      </c>
      <c r="W24" s="2">
        <f>IF(R24="","",COUNTIFS($C$5:$C$6004,R24,$O$5:$O$6004,"CONCLUÍDA"))</f>
        <v/>
      </c>
      <c r="X24" s="2">
        <f>IF(R24="","",COUNTIFS($C$5:$C$6004,R24,$O$5:$O$6004,"EM ANDAMENTO"))</f>
        <v/>
      </c>
      <c r="Y24" s="2">
        <f>IF(R24="","",IF(COUNTIFS($C$5:$C$6004,R24,$O$5:$O$6004,"CONCLUÍDA",$N$5:$N$6004,"&gt;=-99")=0,"",_xlfn.MAXIFS($N$5:$N$6004,$C$5:$C$6004,R24,$O$5:$O$6004,"CONCLUÍDA")))</f>
        <v/>
      </c>
      <c r="Z24" s="2">
        <f>IF(R24="","",IF(COUNTIFS($C$5:$C$6004,R24,$O$5:$O$6004,"EM ANDAMENTO",$N$5:$N$6004,"&gt;=-99")=0,"",_xlfn.MAXIFS($N$5:$N$6004,$C$5:$C$6004,R24,$O$5:$O$6004,"EM ANDAMENTO")))</f>
        <v/>
      </c>
      <c r="AA24" s="2">
        <f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/>
      </c>
    </row>
    <row r="25">
      <c r="B25" s="4" t="n">
        <v>9925635</v>
      </c>
      <c r="C25" s="4" t="inlineStr">
        <is>
          <t>FUNDAÇÃO SUPERFICIAL - TRECHO B</t>
        </is>
      </c>
      <c r="D25" s="4" t="inlineStr">
        <is>
          <t>PREPARAÇÃO DO BLOCO - B526 | B507</t>
        </is>
      </c>
      <c r="E25" s="4" t="inlineStr">
        <is>
          <t>TÉRREO - GARAGENS</t>
        </is>
      </c>
      <c r="F25" s="119" t="n">
        <v>45783</v>
      </c>
      <c r="G25" s="119" t="n">
        <v>45783</v>
      </c>
      <c r="H25" s="119" t="n">
        <v>46293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IF(E25="","",IF(ISNUMBER(SEARCH("SUBSOLO",E25)),IFERROR(-VALUE(LEFT(E25,FIND("º",SUBSTITUTE(E25,"°","º"))-1)),-1),IF(LEFT(E25,6)="TÉRREO",0,IFERROR(VALUE(LEFT(E25,FIND("º",SUBSTITUTE(E25,"°","º"))-1)),""))))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 EMBASAMENTO C - MEDIÇÃO</t>
        </is>
      </c>
      <c r="S25" s="4" t="inlineStr">
        <is>
          <t>17</t>
        </is>
      </c>
      <c r="T25" s="4" t="inlineStr">
        <is>
          <t>Estrutura embasamento c - medição</t>
        </is>
      </c>
      <c r="U25" s="4" t="inlineStr">
        <is>
          <t>NÃO</t>
        </is>
      </c>
      <c r="V25" s="2">
        <f>IF(R25="","",COUNTIF($C$5:$C$6004,R25))</f>
        <v/>
      </c>
      <c r="W25" s="2">
        <f>IF(R25="","",COUNTIFS($C$5:$C$6004,R25,$O$5:$O$6004,"CONCLUÍDA"))</f>
        <v/>
      </c>
      <c r="X25" s="2">
        <f>IF(R25="","",COUNTIFS($C$5:$C$6004,R25,$O$5:$O$6004,"EM ANDAMENTO"))</f>
        <v/>
      </c>
      <c r="Y25" s="2">
        <f>IF(R25="","",IF(COUNTIFS($C$5:$C$6004,R25,$O$5:$O$6004,"CONCLUÍDA",$N$5:$N$6004,"&gt;=-99")=0,"",_xlfn.MAXIFS($N$5:$N$6004,$C$5:$C$6004,R25,$O$5:$O$6004,"CONCLUÍDA")))</f>
        <v/>
      </c>
      <c r="Z25" s="2">
        <f>IF(R25="","",IF(COUNTIFS($C$5:$C$6004,R25,$O$5:$O$6004,"EM ANDAMENTO",$N$5:$N$6004,"&gt;=-99")=0,"",_xlfn.MAXIFS($N$5:$N$6004,$C$5:$C$6004,R25,$O$5:$O$6004,"EM ANDAMENTO")))</f>
        <v/>
      </c>
      <c r="AA25" s="2">
        <f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/>
      </c>
    </row>
    <row r="26">
      <c r="B26" s="4" t="n">
        <v>9925636</v>
      </c>
      <c r="C26" s="4" t="inlineStr">
        <is>
          <t>FUNDAÇÃO SUPERFICIAL - TRECHO B</t>
        </is>
      </c>
      <c r="D26" s="4" t="inlineStr">
        <is>
          <t>ARMAÇÃO - B526 | B523 | B521 | B519 | B517 | B515 | B509 | B507 | B508</t>
        </is>
      </c>
      <c r="E26" s="4" t="inlineStr">
        <is>
          <t>TÉRREO - GARAGENS</t>
        </is>
      </c>
      <c r="F26" s="119" t="n">
        <v>45784</v>
      </c>
      <c r="G26" s="119" t="n">
        <v>45785</v>
      </c>
      <c r="H26" s="119" t="n">
        <v>46293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IF(E26="","",IF(ISNUMBER(SEARCH("SUBSOLO",E26)),IFERROR(-VALUE(LEFT(E26,FIND("º",SUBSTITUTE(E26,"°","º"))-1)),-1),IF(LEFT(E26,6)="TÉRREO",0,IFERROR(VALUE(LEFT(E26,FIND("º",SUBSTITUTE(E26,"°","º"))-1)),""))))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ALVENARIA BLOCO CHEIO + ACERTO DE TALUDE</t>
        </is>
      </c>
      <c r="S26" s="4" t="inlineStr">
        <is>
          <t>18</t>
        </is>
      </c>
      <c r="T26" s="4" t="inlineStr">
        <is>
          <t>Alvenaria bloco cheio + acerto de talude</t>
        </is>
      </c>
      <c r="U26" s="4" t="inlineStr">
        <is>
          <t>NÃO</t>
        </is>
      </c>
      <c r="V26" s="2">
        <f>IF(R26="","",COUNTIF($C$5:$C$6004,R26))</f>
        <v/>
      </c>
      <c r="W26" s="2">
        <f>IF(R26="","",COUNTIFS($C$5:$C$6004,R26,$O$5:$O$6004,"CONCLUÍDA"))</f>
        <v/>
      </c>
      <c r="X26" s="2">
        <f>IF(R26="","",COUNTIFS($C$5:$C$6004,R26,$O$5:$O$6004,"EM ANDAMENTO"))</f>
        <v/>
      </c>
      <c r="Y26" s="2">
        <f>IF(R26="","",IF(COUNTIFS($C$5:$C$6004,R26,$O$5:$O$6004,"CONCLUÍDA",$N$5:$N$6004,"&gt;=-99")=0,"",_xlfn.MAXIFS($N$5:$N$6004,$C$5:$C$6004,R26,$O$5:$O$6004,"CONCLUÍDA")))</f>
        <v/>
      </c>
      <c r="Z26" s="2">
        <f>IF(R26="","",IF(COUNTIFS($C$5:$C$6004,R26,$O$5:$O$6004,"EM ANDAMENTO",$N$5:$N$6004,"&gt;=-99")=0,"",_xlfn.MAXIFS($N$5:$N$6004,$C$5:$C$6004,R26,$O$5:$O$6004,"EM ANDAMENTO")))</f>
        <v/>
      </c>
      <c r="AA26" s="2">
        <f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/>
      </c>
    </row>
    <row r="27">
      <c r="B27" s="4" t="n">
        <v>27845152</v>
      </c>
      <c r="C27" s="4" t="inlineStr">
        <is>
          <t>RETIRADA DE TERRA DE FUNDAÇÃO(BOTA FORA)</t>
        </is>
      </c>
      <c r="D27" s="4" t="inlineStr">
        <is>
          <t>-</t>
        </is>
      </c>
      <c r="E27" s="4" t="inlineStr">
        <is>
          <t>TÉRREO - GARAGENS</t>
        </is>
      </c>
      <c r="F27" s="119" t="n">
        <v>45775</v>
      </c>
      <c r="G27" s="119" t="n">
        <v>45779</v>
      </c>
      <c r="H27" s="119" t="n">
        <v>46293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IF(E27="","",IF(ISNUMBER(SEARCH("SUBSOLO",E27)),IFERROR(-VALUE(LEFT(E27,FIND("º",SUBSTITUTE(E27,"°","º"))-1)),-1),IF(LEFT(E27,6)="TÉRREO",0,IFERROR(VALUE(LEFT(E27,FIND("º",SUBSTITUTE(E27,"°","º"))-1)),""))))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ESTRUTURA TORRE A - LOOKAHEAD</t>
        </is>
      </c>
      <c r="S27" s="4" t="inlineStr">
        <is>
          <t>17</t>
        </is>
      </c>
      <c r="T27" s="4" t="inlineStr">
        <is>
          <t>Estrutura torre a - lookahead</t>
        </is>
      </c>
      <c r="U27" s="4" t="inlineStr">
        <is>
          <t>NÃO</t>
        </is>
      </c>
      <c r="V27" s="2">
        <f>IF(R27="","",COUNTIF($C$5:$C$6004,R27))</f>
        <v/>
      </c>
      <c r="W27" s="2">
        <f>IF(R27="","",COUNTIFS($C$5:$C$6004,R27,$O$5:$O$6004,"CONCLUÍDA"))</f>
        <v/>
      </c>
      <c r="X27" s="2">
        <f>IF(R27="","",COUNTIFS($C$5:$C$6004,R27,$O$5:$O$6004,"EM ANDAMENTO"))</f>
        <v/>
      </c>
      <c r="Y27" s="2">
        <f>IF(R27="","",IF(COUNTIFS($C$5:$C$6004,R27,$O$5:$O$6004,"CONCLUÍDA",$N$5:$N$6004,"&gt;=-99")=0,"",_xlfn.MAXIFS($N$5:$N$6004,$C$5:$C$6004,R27,$O$5:$O$6004,"CONCLUÍDA")))</f>
        <v/>
      </c>
      <c r="Z27" s="2">
        <f>IF(R27="","",IF(COUNTIFS($C$5:$C$6004,R27,$O$5:$O$6004,"EM ANDAMENTO",$N$5:$N$6004,"&gt;=-99")=0,"",_xlfn.MAXIFS($N$5:$N$6004,$C$5:$C$6004,R27,$O$5:$O$6004,"EM ANDAMENTO")))</f>
        <v/>
      </c>
      <c r="AA27" s="2">
        <f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>
      <c r="B28" s="4" t="n">
        <v>9926286</v>
      </c>
      <c r="C28" s="4" t="inlineStr">
        <is>
          <t>RETIRADA DE TERRA DE FUNDAÇÃO(BOTA FORA)</t>
        </is>
      </c>
      <c r="D28" s="4" t="inlineStr">
        <is>
          <t>TRECHO C</t>
        </is>
      </c>
      <c r="E28" s="4" t="inlineStr">
        <is>
          <t>TÉRREO - GARAGENS</t>
        </is>
      </c>
      <c r="F28" s="119" t="n">
        <v>45775</v>
      </c>
      <c r="G28" s="119" t="n">
        <v>45779</v>
      </c>
      <c r="H28" s="119" t="n">
        <v>46293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IF(E28="","",IF(ISNUMBER(SEARCH("SUBSOLO",E28)),IFERROR(-VALUE(LEFT(E28,FIND("º",SUBSTITUTE(E28,"°","º"))-1)),-1),IF(LEFT(E28,6)="TÉRREO",0,IFERROR(VALUE(LEFT(E28,FIND("º",SUBSTITUTE(E28,"°","º"))-1)),""))))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ESTUQUE - SETOR B</t>
        </is>
      </c>
      <c r="S28" s="4" t="inlineStr">
        <is>
          <t>18</t>
        </is>
      </c>
      <c r="T28" s="4" t="inlineStr">
        <is>
          <t>Estuque - setor b</t>
        </is>
      </c>
      <c r="U28" s="4" t="inlineStr">
        <is>
          <t>NÃO</t>
        </is>
      </c>
      <c r="V28" s="2">
        <f>IF(R28="","",COUNTIF($C$5:$C$6004,R28))</f>
        <v/>
      </c>
      <c r="W28" s="2">
        <f>IF(R28="","",COUNTIFS($C$5:$C$6004,R28,$O$5:$O$6004,"CONCLUÍDA"))</f>
        <v/>
      </c>
      <c r="X28" s="2">
        <f>IF(R28="","",COUNTIFS($C$5:$C$6004,R28,$O$5:$O$6004,"EM ANDAMENTO"))</f>
        <v/>
      </c>
      <c r="Y28" s="2">
        <f>IF(R28="","",IF(COUNTIFS($C$5:$C$6004,R28,$O$5:$O$6004,"CONCLUÍDA",$N$5:$N$6004,"&gt;=-99")=0,"",_xlfn.MAXIFS($N$5:$N$6004,$C$5:$C$6004,R28,$O$5:$O$6004,"CONCLUÍDA")))</f>
        <v/>
      </c>
      <c r="Z28" s="2">
        <f>IF(R28="","",IF(COUNTIFS($C$5:$C$6004,R28,$O$5:$O$6004,"EM ANDAMENTO",$N$5:$N$6004,"&gt;=-99")=0,"",_xlfn.MAXIFS($N$5:$N$6004,$C$5:$C$6004,R28,$O$5:$O$6004,"EM ANDAMENTO")))</f>
        <v/>
      </c>
      <c r="AA28" s="2">
        <f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>
      <c r="B29" s="4" t="n">
        <v>27879332</v>
      </c>
      <c r="C29" s="4" t="inlineStr">
        <is>
          <t>FUNDAÇÃO SUPERFICIAL - TRECHO C - N948</t>
        </is>
      </c>
      <c r="D29" s="4" t="inlineStr">
        <is>
          <t>-</t>
        </is>
      </c>
      <c r="E29" s="4" t="inlineStr">
        <is>
          <t>TÉRREO - GARAGENS - Parte 1</t>
        </is>
      </c>
      <c r="F29" s="119" t="n">
        <v>45775</v>
      </c>
      <c r="G29" s="119" t="n">
        <v>45785</v>
      </c>
      <c r="H29" s="119" t="n">
        <v>46293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IF(E29="","",IF(ISNUMBER(SEARCH("SUBSOLO",E29)),IFERROR(-VALUE(LEFT(E29,FIND("º",SUBSTITUTE(E29,"°","º"))-1)),-1),IF(LEFT(E29,6)="TÉRREO",0,IFERROR(VALUE(LEFT(E29,FIND("º",SUBSTITUTE(E29,"°","º"))-1)),""))))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TORRE - GARDEN - LOOKAEHAD</t>
        </is>
      </c>
      <c r="S29" s="4" t="inlineStr">
        <is>
          <t>17</t>
        </is>
      </c>
      <c r="T29" s="4" t="inlineStr">
        <is>
          <t>Estrutura torre - garden - lookaehad</t>
        </is>
      </c>
      <c r="U29" s="4" t="inlineStr">
        <is>
          <t>SIM</t>
        </is>
      </c>
      <c r="V29" s="2">
        <f>IF(R29="","",COUNTIF($C$5:$C$6004,R29))</f>
        <v/>
      </c>
      <c r="W29" s="2">
        <f>IF(R29="","",COUNTIFS($C$5:$C$6004,R29,$O$5:$O$6004,"CONCLUÍDA"))</f>
        <v/>
      </c>
      <c r="X29" s="2">
        <f>IF(R29="","",COUNTIFS($C$5:$C$6004,R29,$O$5:$O$6004,"EM ANDAMENTO"))</f>
        <v/>
      </c>
      <c r="Y29" s="2">
        <f>IF(R29="","",IF(COUNTIFS($C$5:$C$6004,R29,$O$5:$O$6004,"CONCLUÍDA",$N$5:$N$6004,"&gt;=-99")=0,"",_xlfn.MAXIFS($N$5:$N$6004,$C$5:$C$6004,R29,$O$5:$O$6004,"CONCLUÍDA")))</f>
        <v/>
      </c>
      <c r="Z29" s="2">
        <f>IF(R29="","",IF(COUNTIFS($C$5:$C$6004,R29,$O$5:$O$6004,"EM ANDAMENTO",$N$5:$N$6004,"&gt;=-99")=0,"",_xlfn.MAXIFS($N$5:$N$6004,$C$5:$C$6004,R29,$O$5:$O$6004,"EM ANDAMENTO")))</f>
        <v/>
      </c>
      <c r="AA29" s="2">
        <f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/>
      </c>
    </row>
    <row r="30">
      <c r="B30" s="4" t="n">
        <v>9943569</v>
      </c>
      <c r="C30" s="4" t="inlineStr">
        <is>
          <t>FUNDAÇÃO SUPERFICIAL - TRECHO C - N948</t>
        </is>
      </c>
      <c r="D30" s="4" t="inlineStr">
        <is>
          <t>Armação bloco/Cinta equipe 2 - V303/V301|BF7C/BF16/V332|BF6C/BF15c/V330||BF5C/BF14C/V328</t>
        </is>
      </c>
      <c r="E30" s="4" t="inlineStr">
        <is>
          <t>TÉRREO - GARAGENS</t>
        </is>
      </c>
      <c r="F30" s="119" t="n">
        <v>45775</v>
      </c>
      <c r="G30" s="119" t="n">
        <v>45777</v>
      </c>
      <c r="H30" s="119" t="n">
        <v>46293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IF(E30="","",IF(ISNUMBER(SEARCH("SUBSOLO",E30)),IFERROR(-VALUE(LEFT(E30,FIND("º",SUBSTITUTE(E30,"°","º"))-1)),-1),IF(LEFT(E30,6)="TÉRREO",0,IFERROR(VALUE(LEFT(E30,FIND("º",SUBSTITUTE(E30,"°","º"))-1)),""))))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ALVENARIA - POSTERIOR E LATERAL ESQUERDA - SETOR C</t>
        </is>
      </c>
      <c r="S30" s="4" t="inlineStr">
        <is>
          <t>18</t>
        </is>
      </c>
      <c r="T30" s="4" t="inlineStr">
        <is>
          <t>Alvenaria - posterior e lateral esquerda - setor c</t>
        </is>
      </c>
      <c r="U30" s="4" t="inlineStr">
        <is>
          <t>NÃO</t>
        </is>
      </c>
      <c r="V30" s="2">
        <f>IF(R30="","",COUNTIF($C$5:$C$6004,R30))</f>
        <v/>
      </c>
      <c r="W30" s="2">
        <f>IF(R30="","",COUNTIFS($C$5:$C$6004,R30,$O$5:$O$6004,"CONCLUÍDA"))</f>
        <v/>
      </c>
      <c r="X30" s="2">
        <f>IF(R30="","",COUNTIFS($C$5:$C$6004,R30,$O$5:$O$6004,"EM ANDAMENTO"))</f>
        <v/>
      </c>
      <c r="Y30" s="2">
        <f>IF(R30="","",IF(COUNTIFS($C$5:$C$6004,R30,$O$5:$O$6004,"CONCLUÍDA",$N$5:$N$6004,"&gt;=-99")=0,"",_xlfn.MAXIFS($N$5:$N$6004,$C$5:$C$6004,R30,$O$5:$O$6004,"CONCLUÍDA")))</f>
        <v/>
      </c>
      <c r="Z30" s="2">
        <f>IF(R30="","",IF(COUNTIFS($C$5:$C$6004,R30,$O$5:$O$6004,"EM ANDAMENTO",$N$5:$N$6004,"&gt;=-99")=0,"",_xlfn.MAXIFS($N$5:$N$6004,$C$5:$C$6004,R30,$O$5:$O$6004,"EM ANDAMENTO")))</f>
        <v/>
      </c>
      <c r="AA30" s="2">
        <f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>
      <c r="B31" s="4" t="n">
        <v>9943570</v>
      </c>
      <c r="C31" s="4" t="inlineStr">
        <is>
          <t>FUNDAÇÃO SUPERFICIAL - TRECHO C - N948</t>
        </is>
      </c>
      <c r="D31" s="4" t="inlineStr">
        <is>
          <t>Armação bloco/Cinta equipe 2 - |BF12C/BF3C/V322|BF2C/BF11C/V320|BF10C/BF1C/V318|BF10C/B602/B601</t>
        </is>
      </c>
      <c r="E31" s="4" t="inlineStr">
        <is>
          <t>TÉRREO - GARAGENS</t>
        </is>
      </c>
      <c r="F31" s="119" t="n">
        <v>45782</v>
      </c>
      <c r="G31" s="119" t="n">
        <v>45785</v>
      </c>
      <c r="H31" s="119" t="n">
        <v>46293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IF(E31="","",IF(ISNUMBER(SEARCH("SUBSOLO",E31)),IFERROR(-VALUE(LEFT(E31,FIND("º",SUBSTITUTE(E31,"°","º"))-1)),-1),IF(LEFT(E31,6)="TÉRREO",0,IFERROR(VALUE(LEFT(E31,FIND("º",SUBSTITUTE(E31,"°","º"))-1)),""))))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VIGA SOLTEIRA</t>
        </is>
      </c>
      <c r="S31" s="4" t="inlineStr">
        <is>
          <t>17</t>
        </is>
      </c>
      <c r="T31" s="4" t="inlineStr">
        <is>
          <t>Viga solteira</t>
        </is>
      </c>
      <c r="U31" s="4" t="inlineStr">
        <is>
          <t>SIM</t>
        </is>
      </c>
      <c r="V31" s="2">
        <f>IF(R31="","",COUNTIF($C$5:$C$6004,R31))</f>
        <v/>
      </c>
      <c r="W31" s="2">
        <f>IF(R31="","",COUNTIFS($C$5:$C$6004,R31,$O$5:$O$6004,"CONCLUÍDA"))</f>
        <v/>
      </c>
      <c r="X31" s="2">
        <f>IF(R31="","",COUNTIFS($C$5:$C$6004,R31,$O$5:$O$6004,"EM ANDAMENTO"))</f>
        <v/>
      </c>
      <c r="Y31" s="2">
        <f>IF(R31="","",IF(COUNTIFS($C$5:$C$6004,R31,$O$5:$O$6004,"CONCLUÍDA",$N$5:$N$6004,"&gt;=-99")=0,"",_xlfn.MAXIFS($N$5:$N$6004,$C$5:$C$6004,R31,$O$5:$O$6004,"CONCLUÍDA")))</f>
        <v/>
      </c>
      <c r="Z31" s="2">
        <f>IF(R31="","",IF(COUNTIFS($C$5:$C$6004,R31,$O$5:$O$6004,"EM ANDAMENTO",$N$5:$N$6004,"&gt;=-99")=0,"",_xlfn.MAXIFS($N$5:$N$6004,$C$5:$C$6004,R31,$O$5:$O$6004,"EM ANDAMENTO")))</f>
        <v/>
      </c>
      <c r="AA31" s="2">
        <f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/>
      </c>
    </row>
    <row r="32">
      <c r="B32" s="4" t="n">
        <v>27879373</v>
      </c>
      <c r="C32" s="4" t="inlineStr">
        <is>
          <t>FUNDAÇÃO PROFUNDA - TRECHO A</t>
        </is>
      </c>
      <c r="D32" s="4" t="inlineStr">
        <is>
          <t>-</t>
        </is>
      </c>
      <c r="E32" s="4" t="inlineStr">
        <is>
          <t>TÉRREO - GARAGENS</t>
        </is>
      </c>
      <c r="F32" s="119" t="n">
        <v>45775</v>
      </c>
      <c r="G32" s="119" t="n">
        <v>45793</v>
      </c>
      <c r="H32" s="119" t="n">
        <v>46293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IF(E32="","",IF(ISNUMBER(SEARCH("SUBSOLO",E32)),IFERROR(-VALUE(LEFT(E32,FIND("º",SUBSTITUTE(E32,"°","º"))-1)),-1),IF(LEFT(E32,6)="TÉRREO",0,IFERROR(VALUE(LEFT(E32,FIND("º",SUBSTITUTE(E32,"°","º"))-1)),""))))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VIGA INVERTIDA</t>
        </is>
      </c>
      <c r="S32" s="4" t="inlineStr">
        <is>
          <t>17</t>
        </is>
      </c>
      <c r="T32" s="4" t="inlineStr">
        <is>
          <t>Viga invertida</t>
        </is>
      </c>
      <c r="U32" s="4" t="inlineStr">
        <is>
          <t>NÃO</t>
        </is>
      </c>
      <c r="V32" s="2">
        <f>IF(R32="","",COUNTIF($C$5:$C$6004,R32))</f>
        <v/>
      </c>
      <c r="W32" s="2">
        <f>IF(R32="","",COUNTIFS($C$5:$C$6004,R32,$O$5:$O$6004,"CONCLUÍDA"))</f>
        <v/>
      </c>
      <c r="X32" s="2">
        <f>IF(R32="","",COUNTIFS($C$5:$C$6004,R32,$O$5:$O$6004,"EM ANDAMENTO"))</f>
        <v/>
      </c>
      <c r="Y32" s="2">
        <f>IF(R32="","",IF(COUNTIFS($C$5:$C$6004,R32,$O$5:$O$6004,"CONCLUÍDA",$N$5:$N$6004,"&gt;=-99")=0,"",_xlfn.MAXIFS($N$5:$N$6004,$C$5:$C$6004,R32,$O$5:$O$6004,"CONCLUÍDA")))</f>
        <v/>
      </c>
      <c r="Z32" s="2">
        <f>IF(R32="","",IF(COUNTIFS($C$5:$C$6004,R32,$O$5:$O$6004,"EM ANDAMENTO",$N$5:$N$6004,"&gt;=-99")=0,"",_xlfn.MAXIFS($N$5:$N$6004,$C$5:$C$6004,R32,$O$5:$O$6004,"EM ANDAMENTO")))</f>
        <v/>
      </c>
      <c r="AA32" s="2">
        <f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>
      <c r="B33" s="4" t="n">
        <v>9943572</v>
      </c>
      <c r="C33" s="4" t="inlineStr">
        <is>
          <t>FUNDAÇÃO PROFUNDA - TRECHO A</t>
        </is>
      </c>
      <c r="D33" s="4" t="inlineStr">
        <is>
          <t>Fundação profunda - P702q / P702r|P702d / P702 o|P702j / P702s||P702n / P6a</t>
        </is>
      </c>
      <c r="E33" s="4" t="inlineStr">
        <is>
          <t>TÉRREO - GARAGENS</t>
        </is>
      </c>
      <c r="F33" s="119" t="n">
        <v>45775</v>
      </c>
      <c r="G33" s="119" t="n">
        <v>45779</v>
      </c>
      <c r="H33" s="119" t="n">
        <v>46293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IF(E33="","",IF(ISNUMBER(SEARCH("SUBSOLO",E33)),IFERROR(-VALUE(LEFT(E33,FIND("º",SUBSTITUTE(E33,"°","º"))-1)),-1),IF(LEFT(E33,6)="TÉRREO",0,IFERROR(VALUE(LEFT(E33,FIND("º",SUBSTITUTE(E33,"°","º"))-1)),""))))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ENTRADA DE ENERGIA</t>
        </is>
      </c>
      <c r="S33" s="4" t="inlineStr">
        <is>
          <t>20</t>
        </is>
      </c>
      <c r="T33" s="4" t="inlineStr">
        <is>
          <t>Entrada de energia</t>
        </is>
      </c>
      <c r="U33" s="4" t="inlineStr">
        <is>
          <t>NÃO</t>
        </is>
      </c>
      <c r="V33" s="2">
        <f>IF(R33="","",COUNTIF($C$5:$C$6004,R33))</f>
        <v/>
      </c>
      <c r="W33" s="2">
        <f>IF(R33="","",COUNTIFS($C$5:$C$6004,R33,$O$5:$O$6004,"CONCLUÍDA"))</f>
        <v/>
      </c>
      <c r="X33" s="2">
        <f>IF(R33="","",COUNTIFS($C$5:$C$6004,R33,$O$5:$O$6004,"EM ANDAMENTO"))</f>
        <v/>
      </c>
      <c r="Y33" s="2">
        <f>IF(R33="","",IF(COUNTIFS($C$5:$C$6004,R33,$O$5:$O$6004,"CONCLUÍDA",$N$5:$N$6004,"&gt;=-99")=0,"",_xlfn.MAXIFS($N$5:$N$6004,$C$5:$C$6004,R33,$O$5:$O$6004,"CONCLUÍDA")))</f>
        <v/>
      </c>
      <c r="Z33" s="2">
        <f>IF(R33="","",IF(COUNTIFS($C$5:$C$6004,R33,$O$5:$O$6004,"EM ANDAMENTO",$N$5:$N$6004,"&gt;=-99")=0,"",_xlfn.MAXIFS($N$5:$N$6004,$C$5:$C$6004,R33,$O$5:$O$6004,"EM ANDAMENTO")))</f>
        <v/>
      </c>
      <c r="AA33" s="2">
        <f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/>
      </c>
    </row>
    <row r="34">
      <c r="B34" s="4" t="n">
        <v>9943573</v>
      </c>
      <c r="C34" s="4" t="inlineStr">
        <is>
          <t>FUNDAÇÃO PROFUNDA - TRECHO A</t>
        </is>
      </c>
      <c r="D34" s="4" t="inlineStr">
        <is>
          <t>Fundação profunda - P6b|P6c|P18a|P18b|P19b / P107</t>
        </is>
      </c>
      <c r="E34" s="4" t="inlineStr">
        <is>
          <t>TÉRREO - GARAGENS</t>
        </is>
      </c>
      <c r="F34" s="119" t="n">
        <v>45782</v>
      </c>
      <c r="G34" s="119" t="n">
        <v>45786</v>
      </c>
      <c r="H34" s="119" t="n">
        <v>46293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IF(E34="","",IF(ISNUMBER(SEARCH("SUBSOLO",E34)),IFERROR(-VALUE(LEFT(E34,FIND("º",SUBSTITUTE(E34,"°","º"))-1)),-1),IF(LEFT(E34,6)="TÉRREO",0,IFERROR(VALUE(LEFT(E34,FIND("º",SUBSTITUTE(E34,"°","º"))-1)),""))))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PAISAGISMO</t>
        </is>
      </c>
      <c r="S34" s="4" t="inlineStr">
        <is>
          <t>36</t>
        </is>
      </c>
      <c r="T34" s="4" t="inlineStr">
        <is>
          <t>Paisagismo</t>
        </is>
      </c>
      <c r="U34" s="4" t="inlineStr">
        <is>
          <t>SIM</t>
        </is>
      </c>
      <c r="V34" s="2">
        <f>IF(R34="","",COUNTIF($C$5:$C$6004,R34))</f>
        <v/>
      </c>
      <c r="W34" s="2">
        <f>IF(R34="","",COUNTIFS($C$5:$C$6004,R34,$O$5:$O$6004,"CONCLUÍDA"))</f>
        <v/>
      </c>
      <c r="X34" s="2">
        <f>IF(R34="","",COUNTIFS($C$5:$C$6004,R34,$O$5:$O$6004,"EM ANDAMENTO"))</f>
        <v/>
      </c>
      <c r="Y34" s="2">
        <f>IF(R34="","",IF(COUNTIFS($C$5:$C$6004,R34,$O$5:$O$6004,"CONCLUÍDA",$N$5:$N$6004,"&gt;=-99")=0,"",_xlfn.MAXIFS($N$5:$N$6004,$C$5:$C$6004,R34,$O$5:$O$6004,"CONCLUÍDA")))</f>
        <v/>
      </c>
      <c r="Z34" s="2">
        <f>IF(R34="","",IF(COUNTIFS($C$5:$C$6004,R34,$O$5:$O$6004,"EM ANDAMENTO",$N$5:$N$6004,"&gt;=-99")=0,"",_xlfn.MAXIFS($N$5:$N$6004,$C$5:$C$6004,R34,$O$5:$O$6004,"EM ANDAMENTO")))</f>
        <v/>
      </c>
      <c r="AA34" s="2">
        <f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/>
      </c>
    </row>
    <row r="35">
      <c r="B35" s="4" t="n">
        <v>9943574</v>
      </c>
      <c r="C35" s="4" t="inlineStr">
        <is>
          <t>FUNDAÇÃO PROFUNDA - TRECHO A</t>
        </is>
      </c>
      <c r="D35" s="4" t="inlineStr">
        <is>
          <t>Fundação profunda - P19a / P26c / P331/ P101|P25a / P108/ P109|P25b / P102 / P105|P26a / P110 / P106|P26b / P111/ P112</t>
        </is>
      </c>
      <c r="E35" s="4" t="inlineStr">
        <is>
          <t>TÉRREO - GARAGENS</t>
        </is>
      </c>
      <c r="F35" s="119" t="n">
        <v>45789</v>
      </c>
      <c r="G35" s="119" t="n">
        <v>45793</v>
      </c>
      <c r="H35" s="119" t="n">
        <v>46293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IF(E35="","",IF(ISNUMBER(SEARCH("SUBSOLO",E35)),IFERROR(-VALUE(LEFT(E35,FIND("º",SUBSTITUTE(E35,"°","º"))-1)),-1),IF(LEFT(E35,6)="TÉRREO",0,IFERROR(VALUE(LEFT(E35,FIND("º",SUBSTITUTE(E35,"°","º"))-1)),""))))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RAMAL DE ENTRADA - CEMIG</t>
        </is>
      </c>
      <c r="S35" s="4" t="inlineStr">
        <is>
          <t>20</t>
        </is>
      </c>
      <c r="T35" s="4" t="inlineStr">
        <is>
          <t>Ramal de entrada - cemig</t>
        </is>
      </c>
      <c r="U35" s="4" t="inlineStr">
        <is>
          <t>NÃO</t>
        </is>
      </c>
      <c r="V35" s="2">
        <f>IF(R35="","",COUNTIF($C$5:$C$6004,R35))</f>
        <v/>
      </c>
      <c r="W35" s="2">
        <f>IF(R35="","",COUNTIFS($C$5:$C$6004,R35,$O$5:$O$6004,"CONCLUÍDA"))</f>
        <v/>
      </c>
      <c r="X35" s="2">
        <f>IF(R35="","",COUNTIFS($C$5:$C$6004,R35,$O$5:$O$6004,"EM ANDAMENTO"))</f>
        <v/>
      </c>
      <c r="Y35" s="2">
        <f>IF(R35="","",IF(COUNTIFS($C$5:$C$6004,R35,$O$5:$O$6004,"CONCLUÍDA",$N$5:$N$6004,"&gt;=-99")=0,"",_xlfn.MAXIFS($N$5:$N$6004,$C$5:$C$6004,R35,$O$5:$O$6004,"CONCLUÍDA")))</f>
        <v/>
      </c>
      <c r="Z35" s="2">
        <f>IF(R35="","",IF(COUNTIFS($C$5:$C$6004,R35,$O$5:$O$6004,"EM ANDAMENTO",$N$5:$N$6004,"&gt;=-99")=0,"",_xlfn.MAXIFS($N$5:$N$6004,$C$5:$C$6004,R35,$O$5:$O$6004,"EM ANDAMENTO")))</f>
        <v/>
      </c>
      <c r="AA35" s="2">
        <f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>
      <c r="B36" s="4" t="n">
        <v>27844830</v>
      </c>
      <c r="C36" s="4" t="inlineStr">
        <is>
          <t>FUNDAÇÃO PROFUNDA - TRECHO C</t>
        </is>
      </c>
      <c r="D36" s="4" t="inlineStr">
        <is>
          <t>-</t>
        </is>
      </c>
      <c r="E36" s="4" t="inlineStr">
        <is>
          <t>TÉRREO - GARAGENS</t>
        </is>
      </c>
      <c r="F36" s="119" t="n">
        <v>45782</v>
      </c>
      <c r="G36" s="119" t="n">
        <v>45786</v>
      </c>
      <c r="H36" s="119" t="n">
        <v>46293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IF(E36="","",IF(ISNUMBER(SEARCH("SUBSOLO",E36)),IFERROR(-VALUE(LEFT(E36,FIND("º",SUBSTITUTE(E36,"°","º"))-1)),-1),IF(LEFT(E36,6)="TÉRREO",0,IFERROR(VALUE(LEFT(E36,FIND("º",SUBSTITUTE(E36,"°","º"))-1)),""))))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ALVENARIA FECHAMENTO POSTERIOR C</t>
        </is>
      </c>
      <c r="S36" s="4" t="inlineStr">
        <is>
          <t>18</t>
        </is>
      </c>
      <c r="T36" s="4" t="inlineStr">
        <is>
          <t>Alvenaria fechamento posterior c</t>
        </is>
      </c>
      <c r="U36" s="4" t="inlineStr">
        <is>
          <t>NÃO</t>
        </is>
      </c>
      <c r="V36" s="2">
        <f>IF(R36="","",COUNTIF($C$5:$C$6004,R36))</f>
        <v/>
      </c>
      <c r="W36" s="2">
        <f>IF(R36="","",COUNTIFS($C$5:$C$6004,R36,$O$5:$O$6004,"CONCLUÍDA"))</f>
        <v/>
      </c>
      <c r="X36" s="2">
        <f>IF(R36="","",COUNTIFS($C$5:$C$6004,R36,$O$5:$O$6004,"EM ANDAMENTO"))</f>
        <v/>
      </c>
      <c r="Y36" s="2">
        <f>IF(R36="","",IF(COUNTIFS($C$5:$C$6004,R36,$O$5:$O$6004,"CONCLUÍDA",$N$5:$N$6004,"&gt;=-99")=0,"",_xlfn.MAXIFS($N$5:$N$6004,$C$5:$C$6004,R36,$O$5:$O$6004,"CONCLUÍDA")))</f>
        <v/>
      </c>
      <c r="Z36" s="2">
        <f>IF(R36="","",IF(COUNTIFS($C$5:$C$6004,R36,$O$5:$O$6004,"EM ANDAMENTO",$N$5:$N$6004,"&gt;=-99")=0,"",_xlfn.MAXIFS($N$5:$N$6004,$C$5:$C$6004,R36,$O$5:$O$6004,"EM ANDAMENTO")))</f>
        <v/>
      </c>
      <c r="AA36" s="2">
        <f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>
      <c r="B37" s="4" t="n">
        <v>9942653</v>
      </c>
      <c r="C37" s="4" t="inlineStr">
        <is>
          <t>FUNDAÇÃO PROFUNDA - TRECHO C</t>
        </is>
      </c>
      <c r="D37" s="4" t="inlineStr">
        <is>
          <t>Fundação profunda - P318 / P319 / P312</t>
        </is>
      </c>
      <c r="E37" s="4" t="inlineStr">
        <is>
          <t>TÉRREO - GARAGENS</t>
        </is>
      </c>
      <c r="F37" s="119" t="n">
        <v>45782</v>
      </c>
      <c r="G37" s="119" t="n">
        <v>45782</v>
      </c>
      <c r="H37" s="119" t="n">
        <v>46293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IF(E37="","",IF(ISNUMBER(SEARCH("SUBSOLO",E37)),IFERROR(-VALUE(LEFT(E37,FIND("º",SUBSTITUTE(E37,"°","º"))-1)),-1),IF(LEFT(E37,6)="TÉRREO",0,IFERROR(VALUE(LEFT(E37,FIND("º",SUBSTITUTE(E37,"°","º"))-1)),""))))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RESERVATÓRIO DE ÁGUA DE REUSO</t>
        </is>
      </c>
      <c r="S37" s="4" t="inlineStr">
        <is>
          <t>21</t>
        </is>
      </c>
      <c r="T37" s="4" t="inlineStr">
        <is>
          <t>Reservatório de água de reuso</t>
        </is>
      </c>
      <c r="U37" s="4" t="inlineStr">
        <is>
          <t>NÃO</t>
        </is>
      </c>
      <c r="V37" s="2">
        <f>IF(R37="","",COUNTIF($C$5:$C$6004,R37))</f>
        <v/>
      </c>
      <c r="W37" s="2">
        <f>IF(R37="","",COUNTIFS($C$5:$C$6004,R37,$O$5:$O$6004,"CONCLUÍDA"))</f>
        <v/>
      </c>
      <c r="X37" s="2">
        <f>IF(R37="","",COUNTIFS($C$5:$C$6004,R37,$O$5:$O$6004,"EM ANDAMENTO"))</f>
        <v/>
      </c>
      <c r="Y37" s="2">
        <f>IF(R37="","",IF(COUNTIFS($C$5:$C$6004,R37,$O$5:$O$6004,"CONCLUÍDA",$N$5:$N$6004,"&gt;=-99")=0,"",_xlfn.MAXIFS($N$5:$N$6004,$C$5:$C$6004,R37,$O$5:$O$6004,"CONCLUÍDA")))</f>
        <v/>
      </c>
      <c r="Z37" s="2">
        <f>IF(R37="","",IF(COUNTIFS($C$5:$C$6004,R37,$O$5:$O$6004,"EM ANDAMENTO",$N$5:$N$6004,"&gt;=-99")=0,"",_xlfn.MAXIFS($N$5:$N$6004,$C$5:$C$6004,R37,$O$5:$O$6004,"EM ANDAMENTO")))</f>
        <v/>
      </c>
      <c r="AA37" s="2">
        <f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>
      <c r="B38" s="4" t="n">
        <v>9942654</v>
      </c>
      <c r="C38" s="4" t="inlineStr">
        <is>
          <t>FUNDAÇÃO PROFUNDA - TRECHO C</t>
        </is>
      </c>
      <c r="D38" s="4" t="inlineStr">
        <is>
          <t>Fundação profunda - P305 / P306 / P313</t>
        </is>
      </c>
      <c r="E38" s="4" t="inlineStr">
        <is>
          <t>TÉRREO - GARAGENS</t>
        </is>
      </c>
      <c r="F38" s="119" t="n">
        <v>45783</v>
      </c>
      <c r="G38" s="119" t="n">
        <v>45783</v>
      </c>
      <c r="H38" s="119" t="n">
        <v>46293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IF(E38="","",IF(ISNUMBER(SEARCH("SUBSOLO",E38)),IFERROR(-VALUE(LEFT(E38,FIND("º",SUBSTITUTE(E38,"°","º"))-1)),-1),IF(LEFT(E38,6)="TÉRREO",0,IFERROR(VALUE(LEFT(E38,FIND("º",SUBSTITUTE(E38,"°","º"))-1)),""))))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REBOCO - SETOR B</t>
        </is>
      </c>
      <c r="S38" s="4" t="inlineStr">
        <is>
          <t>29</t>
        </is>
      </c>
      <c r="T38" s="4" t="inlineStr">
        <is>
          <t>Reboco - setor b</t>
        </is>
      </c>
      <c r="U38" s="4" t="inlineStr">
        <is>
          <t>NÃO</t>
        </is>
      </c>
      <c r="V38" s="2">
        <f>IF(R38="","",COUNTIF($C$5:$C$6004,R38))</f>
        <v/>
      </c>
      <c r="W38" s="2">
        <f>IF(R38="","",COUNTIFS($C$5:$C$6004,R38,$O$5:$O$6004,"CONCLUÍDA"))</f>
        <v/>
      </c>
      <c r="X38" s="2">
        <f>IF(R38="","",COUNTIFS($C$5:$C$6004,R38,$O$5:$O$6004,"EM ANDAMENTO"))</f>
        <v/>
      </c>
      <c r="Y38" s="2">
        <f>IF(R38="","",IF(COUNTIFS($C$5:$C$6004,R38,$O$5:$O$6004,"CONCLUÍDA",$N$5:$N$6004,"&gt;=-99")=0,"",_xlfn.MAXIFS($N$5:$N$6004,$C$5:$C$6004,R38,$O$5:$O$6004,"CONCLUÍDA")))</f>
        <v/>
      </c>
      <c r="Z38" s="2">
        <f>IF(R38="","",IF(COUNTIFS($C$5:$C$6004,R38,$O$5:$O$6004,"EM ANDAMENTO",$N$5:$N$6004,"&gt;=-99")=0,"",_xlfn.MAXIFS($N$5:$N$6004,$C$5:$C$6004,R38,$O$5:$O$6004,"EM ANDAMENTO")))</f>
        <v/>
      </c>
      <c r="AA38" s="2">
        <f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>
      <c r="B39" s="4" t="n">
        <v>9942655</v>
      </c>
      <c r="C39" s="4" t="inlineStr">
        <is>
          <t>FUNDAÇÃO PROFUNDA - TRECHO C</t>
        </is>
      </c>
      <c r="D39" s="4" t="inlineStr">
        <is>
          <t>Fundação profunda - P314 / P315 / P307</t>
        </is>
      </c>
      <c r="E39" s="4" t="inlineStr">
        <is>
          <t>TÉRREO - GARAGENS</t>
        </is>
      </c>
      <c r="F39" s="119" t="n">
        <v>45784</v>
      </c>
      <c r="G39" s="119" t="n">
        <v>45784</v>
      </c>
      <c r="H39" s="119" t="n">
        <v>46293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IF(E39="","",IF(ISNUMBER(SEARCH("SUBSOLO",E39)),IFERROR(-VALUE(LEFT(E39,FIND("º",SUBSTITUTE(E39,"°","º"))-1)),-1),IF(LEFT(E39,6)="TÉRREO",0,IFERROR(VALUE(LEFT(E39,FIND("º",SUBSTITUTE(E39,"°","º"))-1)),""))))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ESTUQUE - SETOR C</t>
        </is>
      </c>
      <c r="S39" s="4" t="inlineStr">
        <is>
          <t>18</t>
        </is>
      </c>
      <c r="T39" s="4" t="inlineStr">
        <is>
          <t>Estuque - setor c</t>
        </is>
      </c>
      <c r="U39" s="4" t="inlineStr">
        <is>
          <t>NÃO</t>
        </is>
      </c>
      <c r="V39" s="2">
        <f>IF(R39="","",COUNTIF($C$5:$C$6004,R39))</f>
        <v/>
      </c>
      <c r="W39" s="2">
        <f>IF(R39="","",COUNTIFS($C$5:$C$6004,R39,$O$5:$O$6004,"CONCLUÍDA"))</f>
        <v/>
      </c>
      <c r="X39" s="2">
        <f>IF(R39="","",COUNTIFS($C$5:$C$6004,R39,$O$5:$O$6004,"EM ANDAMENTO"))</f>
        <v/>
      </c>
      <c r="Y39" s="2">
        <f>IF(R39="","",IF(COUNTIFS($C$5:$C$6004,R39,$O$5:$O$6004,"CONCLUÍDA",$N$5:$N$6004,"&gt;=-99")=0,"",_xlfn.MAXIFS($N$5:$N$6004,$C$5:$C$6004,R39,$O$5:$O$6004,"CONCLUÍDA")))</f>
        <v/>
      </c>
      <c r="Z39" s="2">
        <f>IF(R39="","",IF(COUNTIFS($C$5:$C$6004,R39,$O$5:$O$6004,"EM ANDAMENTO",$N$5:$N$6004,"&gt;=-99")=0,"",_xlfn.MAXIFS($N$5:$N$6004,$C$5:$C$6004,R39,$O$5:$O$6004,"EM ANDAMENTO")))</f>
        <v/>
      </c>
      <c r="AA39" s="2">
        <f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>
      <c r="B40" s="4" t="n">
        <v>9942656</v>
      </c>
      <c r="C40" s="4" t="inlineStr">
        <is>
          <t>FUNDAÇÃO PROFUNDA - TRECHO C</t>
        </is>
      </c>
      <c r="D40" s="4" t="inlineStr">
        <is>
          <t>Fundação profunda - P316 / P308 / P321</t>
        </is>
      </c>
      <c r="E40" s="4" t="inlineStr">
        <is>
          <t>TÉRREO - GARAGENS</t>
        </is>
      </c>
      <c r="F40" s="119" t="n">
        <v>45785</v>
      </c>
      <c r="G40" s="119" t="n">
        <v>45785</v>
      </c>
      <c r="H40" s="119" t="n">
        <v>46293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IF(E40="","",IF(ISNUMBER(SEARCH("SUBSOLO",E40)),IFERROR(-VALUE(LEFT(E40,FIND("º",SUBSTITUTE(E40,"°","º"))-1)),-1),IF(LEFT(E40,6)="TÉRREO",0,IFERROR(VALUE(LEFT(E40,FIND("º",SUBSTITUTE(E40,"°","º"))-1)),""))))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ALVENARIA RAMPA B</t>
        </is>
      </c>
      <c r="S40" s="4" t="inlineStr">
        <is>
          <t>18</t>
        </is>
      </c>
      <c r="T40" s="4" t="inlineStr">
        <is>
          <t>Alvenaria rampa b</t>
        </is>
      </c>
      <c r="U40" s="4" t="inlineStr">
        <is>
          <t>NÃO</t>
        </is>
      </c>
      <c r="V40" s="2">
        <f>IF(R40="","",COUNTIF($C$5:$C$6004,R40))</f>
        <v/>
      </c>
      <c r="W40" s="2">
        <f>IF(R40="","",COUNTIFS($C$5:$C$6004,R40,$O$5:$O$6004,"CONCLUÍDA"))</f>
        <v/>
      </c>
      <c r="X40" s="2">
        <f>IF(R40="","",COUNTIFS($C$5:$C$6004,R40,$O$5:$O$6004,"EM ANDAMENTO"))</f>
        <v/>
      </c>
      <c r="Y40" s="2">
        <f>IF(R40="","",IF(COUNTIFS($C$5:$C$6004,R40,$O$5:$O$6004,"CONCLUÍDA",$N$5:$N$6004,"&gt;=-99")=0,"",_xlfn.MAXIFS($N$5:$N$6004,$C$5:$C$6004,R40,$O$5:$O$6004,"CONCLUÍDA")))</f>
        <v/>
      </c>
      <c r="Z40" s="2">
        <f>IF(R40="","",IF(COUNTIFS($C$5:$C$6004,R40,$O$5:$O$6004,"EM ANDAMENTO",$N$5:$N$6004,"&gt;=-99")=0,"",_xlfn.MAXIFS($N$5:$N$6004,$C$5:$C$6004,R40,$O$5:$O$6004,"EM ANDAMENTO")))</f>
        <v/>
      </c>
      <c r="AA40" s="2">
        <f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/>
      </c>
    </row>
    <row r="41">
      <c r="B41" s="4" t="n">
        <v>9942657</v>
      </c>
      <c r="C41" s="4" t="inlineStr">
        <is>
          <t>FUNDAÇÃO PROFUNDA - TRECHO C</t>
        </is>
      </c>
      <c r="D41" s="4" t="inlineStr">
        <is>
          <t>Fundação profunda - P324 / P323</t>
        </is>
      </c>
      <c r="E41" s="4" t="inlineStr">
        <is>
          <t>TÉRREO - GARAGENS</t>
        </is>
      </c>
      <c r="F41" s="119" t="n">
        <v>45786</v>
      </c>
      <c r="G41" s="119" t="n">
        <v>45786</v>
      </c>
      <c r="H41" s="119" t="n">
        <v>46293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IF(E41="","",IF(ISNUMBER(SEARCH("SUBSOLO",E41)),IFERROR(-VALUE(LEFT(E41,FIND("º",SUBSTITUTE(E41,"°","º"))-1)),-1),IF(LEFT(E41,6)="TÉRREO",0,IFERROR(VALUE(LEFT(E41,FIND("º",SUBSTITUTE(E41,"°","º"))-1)),""))))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ALVENARIA FECHAMENTO LATERAL - SETOR C</t>
        </is>
      </c>
      <c r="S41" s="4" t="inlineStr">
        <is>
          <t>18</t>
        </is>
      </c>
      <c r="T41" s="4" t="inlineStr">
        <is>
          <t>Alvenaria fechamento lateral - setor c</t>
        </is>
      </c>
      <c r="U41" s="4" t="inlineStr">
        <is>
          <t>NÃO</t>
        </is>
      </c>
      <c r="V41" s="2">
        <f>IF(R41="","",COUNTIF($C$5:$C$6004,R41))</f>
        <v/>
      </c>
      <c r="W41" s="2">
        <f>IF(R41="","",COUNTIFS($C$5:$C$6004,R41,$O$5:$O$6004,"CONCLUÍDA"))</f>
        <v/>
      </c>
      <c r="X41" s="2">
        <f>IF(R41="","",COUNTIFS($C$5:$C$6004,R41,$O$5:$O$6004,"EM ANDAMENTO"))</f>
        <v/>
      </c>
      <c r="Y41" s="2">
        <f>IF(R41="","",IF(COUNTIFS($C$5:$C$6004,R41,$O$5:$O$6004,"CONCLUÍDA",$N$5:$N$6004,"&gt;=-99")=0,"",_xlfn.MAXIFS($N$5:$N$6004,$C$5:$C$6004,R41,$O$5:$O$6004,"CONCLUÍDA")))</f>
        <v/>
      </c>
      <c r="Z41" s="2">
        <f>IF(R41="","",IF(COUNTIFS($C$5:$C$6004,R41,$O$5:$O$6004,"EM ANDAMENTO",$N$5:$N$6004,"&gt;=-99")=0,"",_xlfn.MAXIFS($N$5:$N$6004,$C$5:$C$6004,R41,$O$5:$O$6004,"EM ANDAMENTO")))</f>
        <v/>
      </c>
      <c r="AA41" s="2">
        <f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>
      <c r="B42" s="4" t="n">
        <v>27845161</v>
      </c>
      <c r="C42" s="4" t="inlineStr">
        <is>
          <t>FUNDAÇÃO SUPERFICIAL - TRECHO C - N941</t>
        </is>
      </c>
      <c r="D42" s="4" t="inlineStr">
        <is>
          <t>-</t>
        </is>
      </c>
      <c r="E42" s="4" t="inlineStr">
        <is>
          <t>TÉRREO - GARAGENS - Parte 1</t>
        </is>
      </c>
      <c r="F42" s="119" t="n">
        <v>45782</v>
      </c>
      <c r="G42" s="119" t="n">
        <v>45804</v>
      </c>
      <c r="H42" s="119" t="n">
        <v>46293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IF(E42="","",IF(ISNUMBER(SEARCH("SUBSOLO",E42)),IFERROR(-VALUE(LEFT(E42,FIND("º",SUBSTITUTE(E42,"°","º"))-1)),-1),IF(LEFT(E42,6)="TÉRREO",0,IFERROR(VALUE(LEFT(E42,FIND("º",SUBSTITUTE(E42,"°","º"))-1)),""))))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ESTUQUE - SETOR A</t>
        </is>
      </c>
      <c r="S42" s="4" t="inlineStr">
        <is>
          <t>18</t>
        </is>
      </c>
      <c r="T42" s="4" t="inlineStr">
        <is>
          <t>Estuque - setor a</t>
        </is>
      </c>
      <c r="U42" s="4" t="inlineStr">
        <is>
          <t>NÃO</t>
        </is>
      </c>
      <c r="V42" s="2">
        <f>IF(R42="","",COUNTIF($C$5:$C$6004,R42))</f>
        <v/>
      </c>
      <c r="W42" s="2">
        <f>IF(R42="","",COUNTIFS($C$5:$C$6004,R42,$O$5:$O$6004,"CONCLUÍDA"))</f>
        <v/>
      </c>
      <c r="X42" s="2">
        <f>IF(R42="","",COUNTIFS($C$5:$C$6004,R42,$O$5:$O$6004,"EM ANDAMENTO"))</f>
        <v/>
      </c>
      <c r="Y42" s="2">
        <f>IF(R42="","",IF(COUNTIFS($C$5:$C$6004,R42,$O$5:$O$6004,"CONCLUÍDA",$N$5:$N$6004,"&gt;=-99")=0,"",_xlfn.MAXIFS($N$5:$N$6004,$C$5:$C$6004,R42,$O$5:$O$6004,"CONCLUÍDA")))</f>
        <v/>
      </c>
      <c r="Z42" s="2">
        <f>IF(R42="","",IF(COUNTIFS($C$5:$C$6004,R42,$O$5:$O$6004,"EM ANDAMENTO",$N$5:$N$6004,"&gt;=-99")=0,"",_xlfn.MAXIFS($N$5:$N$6004,$C$5:$C$6004,R42,$O$5:$O$6004,"EM ANDAMENTO")))</f>
        <v/>
      </c>
      <c r="AA42" s="2">
        <f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>
      <c r="B43" s="4" t="n">
        <v>9942658</v>
      </c>
      <c r="C43" s="4" t="inlineStr">
        <is>
          <t>FUNDAÇÃO SUPERFICIAL - TRECHO C - N941</t>
        </is>
      </c>
      <c r="D43" s="4" t="inlineStr">
        <is>
          <t>Escavação de blocos (equipe de 3) - B301/B310/B317|C318/C317/C301/C306/C311|B302/B311/B318|C321/C320/C302|B303/B312/B319</t>
        </is>
      </c>
      <c r="E43" s="4" t="inlineStr">
        <is>
          <t>TÉRREO - GARAGENS</t>
        </is>
      </c>
      <c r="F43" s="119" t="n">
        <v>45782</v>
      </c>
      <c r="G43" s="119" t="n">
        <v>45784</v>
      </c>
      <c r="H43" s="119" t="n">
        <v>46293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IF(E43="","",IF(ISNUMBER(SEARCH("SUBSOLO",E43)),IFERROR(-VALUE(LEFT(E43,FIND("º",SUBSTITUTE(E43,"°","º"))-1)),-1),IF(LEFT(E43,6)="TÉRREO",0,IFERROR(VALUE(LEFT(E43,FIND("º",SUBSTITUTE(E43,"°","º"))-1)),""))))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POÇO ARTESIANO</t>
        </is>
      </c>
      <c r="S43" s="4" t="inlineStr">
        <is>
          <t>21</t>
        </is>
      </c>
      <c r="T43" s="4" t="inlineStr">
        <is>
          <t>Poço artesiano</t>
        </is>
      </c>
      <c r="U43" s="4" t="inlineStr">
        <is>
          <t>NÃO</t>
        </is>
      </c>
      <c r="V43" s="2">
        <f>IF(R43="","",COUNTIF($C$5:$C$6004,R43))</f>
        <v/>
      </c>
      <c r="W43" s="2">
        <f>IF(R43="","",COUNTIFS($C$5:$C$6004,R43,$O$5:$O$6004,"CONCLUÍDA"))</f>
        <v/>
      </c>
      <c r="X43" s="2">
        <f>IF(R43="","",COUNTIFS($C$5:$C$6004,R43,$O$5:$O$6004,"EM ANDAMENTO"))</f>
        <v/>
      </c>
      <c r="Y43" s="2">
        <f>IF(R43="","",IF(COUNTIFS($C$5:$C$6004,R43,$O$5:$O$6004,"CONCLUÍDA",$N$5:$N$6004,"&gt;=-99")=0,"",_xlfn.MAXIFS($N$5:$N$6004,$C$5:$C$6004,R43,$O$5:$O$6004,"CONCLUÍDA")))</f>
        <v/>
      </c>
      <c r="Z43" s="2">
        <f>IF(R43="","",IF(COUNTIFS($C$5:$C$6004,R43,$O$5:$O$6004,"EM ANDAMENTO",$N$5:$N$6004,"&gt;=-99")=0,"",_xlfn.MAXIFS($N$5:$N$6004,$C$5:$C$6004,R43,$O$5:$O$6004,"EM ANDAMENTO")))</f>
        <v/>
      </c>
      <c r="AA43" s="2">
        <f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>
      <c r="B44" s="4" t="n">
        <v>9942659</v>
      </c>
      <c r="C44" s="4" t="inlineStr">
        <is>
          <t>FUNDAÇÃO SUPERFICIAL - TRECHO C - N941</t>
        </is>
      </c>
      <c r="D44" s="4" t="inlineStr">
        <is>
          <t>Escavação de blocos (equipe de 3) - C325/C324/C307/C310|B326/B327/B328|C314/C315/C314/C319|B328/B329/C322/C315/C323|B304/B313/B320</t>
        </is>
      </c>
      <c r="E44" s="4" t="inlineStr">
        <is>
          <t>TÉRREO - GARAGENS</t>
        </is>
      </c>
      <c r="F44" s="119" t="n">
        <v>45789</v>
      </c>
      <c r="G44" s="119" t="n">
        <v>45790</v>
      </c>
      <c r="H44" s="119" t="n">
        <v>46293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IF(E44="","",IF(ISNUMBER(SEARCH("SUBSOLO",E44)),IFERROR(-VALUE(LEFT(E44,FIND("º",SUBSTITUTE(E44,"°","º"))-1)),-1),IF(LEFT(E44,6)="TÉRREO",0,IFERROR(VALUE(LEFT(E44,FIND("º",SUBSTITUTE(E44,"°","º"))-1)),""))))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ALVENARIA - SETOR B</t>
        </is>
      </c>
      <c r="S44" s="4" t="inlineStr">
        <is>
          <t>18</t>
        </is>
      </c>
      <c r="T44" s="4" t="inlineStr">
        <is>
          <t>Alvenaria - setor b</t>
        </is>
      </c>
      <c r="U44" s="4" t="inlineStr">
        <is>
          <t>NÃO</t>
        </is>
      </c>
      <c r="V44" s="2">
        <f>IF(R44="","",COUNTIF($C$5:$C$6004,R44))</f>
        <v/>
      </c>
      <c r="W44" s="2">
        <f>IF(R44="","",COUNTIFS($C$5:$C$6004,R44,$O$5:$O$6004,"CONCLUÍDA"))</f>
        <v/>
      </c>
      <c r="X44" s="2">
        <f>IF(R44="","",COUNTIFS($C$5:$C$6004,R44,$O$5:$O$6004,"EM ANDAMENTO"))</f>
        <v/>
      </c>
      <c r="Y44" s="2">
        <f>IF(R44="","",IF(COUNTIFS($C$5:$C$6004,R44,$O$5:$O$6004,"CONCLUÍDA",$N$5:$N$6004,"&gt;=-99")=0,"",_xlfn.MAXIFS($N$5:$N$6004,$C$5:$C$6004,R44,$O$5:$O$6004,"CONCLUÍDA")))</f>
        <v/>
      </c>
      <c r="Z44" s="2">
        <f>IF(R44="","",IF(COUNTIFS($C$5:$C$6004,R44,$O$5:$O$6004,"EM ANDAMENTO",$N$5:$N$6004,"&gt;=-99")=0,"",_xlfn.MAXIFS($N$5:$N$6004,$C$5:$C$6004,R44,$O$5:$O$6004,"EM ANDAMENTO")))</f>
        <v/>
      </c>
      <c r="AA44" s="2">
        <f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>
      <c r="B45" s="4" t="n">
        <v>9942661</v>
      </c>
      <c r="C45" s="4" t="inlineStr">
        <is>
          <t>FUNDAÇÃO SUPERFICIAL - TRECHO C - N941</t>
        </is>
      </c>
      <c r="D45" s="4" t="inlineStr">
        <is>
          <t>Escavação de blocos (equipe de 3) - VA5/B306|VA1/B307|B316/C308/C309|C331/B308/C330|B321/B323/C329</t>
        </is>
      </c>
      <c r="E45" s="4" t="inlineStr">
        <is>
          <t>TÉRREO - GARAGENS</t>
        </is>
      </c>
      <c r="F45" s="119" t="n">
        <v>45803</v>
      </c>
      <c r="G45" s="119" t="n">
        <v>45804</v>
      </c>
      <c r="H45" s="119" t="n">
        <v>46293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IF(E45="","",IF(ISNUMBER(SEARCH("SUBSOLO",E45)),IFERROR(-VALUE(LEFT(E45,FIND("º",SUBSTITUTE(E45,"°","º"))-1)),-1),IF(LEFT(E45,6)="TÉRREO",0,IFERROR(VALUE(LEFT(E45,FIND("º",SUBSTITUTE(E45,"°","º"))-1)),""))))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LIMPEZA DE ETULHO E MADEIRA - SETOR B</t>
        </is>
      </c>
      <c r="S45" s="4" t="inlineStr">
        <is>
          <t>37</t>
        </is>
      </c>
      <c r="T45" s="4" t="inlineStr">
        <is>
          <t>Limpeza de etulho e madeira - setor b</t>
        </is>
      </c>
      <c r="U45" s="4" t="inlineStr">
        <is>
          <t>NÃO</t>
        </is>
      </c>
      <c r="V45" s="2">
        <f>IF(R45="","",COUNTIF($C$5:$C$6004,R45))</f>
        <v/>
      </c>
      <c r="W45" s="2">
        <f>IF(R45="","",COUNTIFS($C$5:$C$6004,R45,$O$5:$O$6004,"CONCLUÍDA"))</f>
        <v/>
      </c>
      <c r="X45" s="2">
        <f>IF(R45="","",COUNTIFS($C$5:$C$6004,R45,$O$5:$O$6004,"EM ANDAMENTO"))</f>
        <v/>
      </c>
      <c r="Y45" s="2">
        <f>IF(R45="","",IF(COUNTIFS($C$5:$C$6004,R45,$O$5:$O$6004,"CONCLUÍDA",$N$5:$N$6004,"&gt;=-99")=0,"",_xlfn.MAXIFS($N$5:$N$6004,$C$5:$C$6004,R45,$O$5:$O$6004,"CONCLUÍDA")))</f>
        <v/>
      </c>
      <c r="Z45" s="2">
        <f>IF(R45="","",IF(COUNTIFS($C$5:$C$6004,R45,$O$5:$O$6004,"EM ANDAMENTO",$N$5:$N$6004,"&gt;=-99")=0,"",_xlfn.MAXIFS($N$5:$N$6004,$C$5:$C$6004,R45,$O$5:$O$6004,"EM ANDAMENTO")))</f>
        <v/>
      </c>
      <c r="AA45" s="2">
        <f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>
      <c r="B46" s="4" t="n">
        <v>22139239</v>
      </c>
      <c r="C46" s="4" t="inlineStr">
        <is>
          <t>FUNDAÇÃO SUPERFICIAL</t>
        </is>
      </c>
      <c r="D46" s="4" t="inlineStr">
        <is>
          <t>-</t>
        </is>
      </c>
      <c r="E46" s="4" t="inlineStr">
        <is>
          <t>TÉRREO - GARAGENS</t>
        </is>
      </c>
      <c r="F46" s="119" t="n">
        <v>45791</v>
      </c>
      <c r="G46" s="119" t="n">
        <v>45912</v>
      </c>
      <c r="H46" s="119" t="n">
        <v>46293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IF(E46="","",IF(ISNUMBER(SEARCH("SUBSOLO",E46)),IFERROR(-VALUE(LEFT(E46,FIND("º",SUBSTITUTE(E46,"°","º"))-1)),-1),IF(LEFT(E46,6)="TÉRREO",0,IFERROR(VALUE(LEFT(E46,FIND("º",SUBSTITUTE(E46,"°","º"))-1)),""))))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ALVENARIA CASA MAQUINAS A</t>
        </is>
      </c>
      <c r="S46" s="4" t="inlineStr">
        <is>
          <t>18</t>
        </is>
      </c>
      <c r="T46" s="4" t="inlineStr">
        <is>
          <t>Alvenaria casa maquinas a</t>
        </is>
      </c>
      <c r="U46" s="4" t="inlineStr">
        <is>
          <t>NÃO</t>
        </is>
      </c>
      <c r="V46" s="2">
        <f>IF(R46="","",COUNTIF($C$5:$C$6004,R46))</f>
        <v/>
      </c>
      <c r="W46" s="2">
        <f>IF(R46="","",COUNTIFS($C$5:$C$6004,R46,$O$5:$O$6004,"CONCLUÍDA"))</f>
        <v/>
      </c>
      <c r="X46" s="2">
        <f>IF(R46="","",COUNTIFS($C$5:$C$6004,R46,$O$5:$O$6004,"EM ANDAMENTO"))</f>
        <v/>
      </c>
      <c r="Y46" s="2">
        <f>IF(R46="","",IF(COUNTIFS($C$5:$C$6004,R46,$O$5:$O$6004,"CONCLUÍDA",$N$5:$N$6004,"&gt;=-99")=0,"",_xlfn.MAXIFS($N$5:$N$6004,$C$5:$C$6004,R46,$O$5:$O$6004,"CONCLUÍDA")))</f>
        <v/>
      </c>
      <c r="Z46" s="2">
        <f>IF(R46="","",IF(COUNTIFS($C$5:$C$6004,R46,$O$5:$O$6004,"EM ANDAMENTO",$N$5:$N$6004,"&gt;=-99")=0,"",_xlfn.MAXIFS($N$5:$N$6004,$C$5:$C$6004,R46,$O$5:$O$6004,"EM ANDAMENTO")))</f>
        <v/>
      </c>
      <c r="AA46" s="2">
        <f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>
      <c r="B47" s="4" t="n">
        <v>22146025</v>
      </c>
      <c r="C47" s="4" t="inlineStr">
        <is>
          <t>ESTRUTURA EMBASAMENTO B</t>
        </is>
      </c>
      <c r="D47" s="4" t="inlineStr">
        <is>
          <t>-</t>
        </is>
      </c>
      <c r="E47" s="4" t="inlineStr">
        <is>
          <t>2º PAV. GARAGEM.</t>
        </is>
      </c>
      <c r="F47" s="119" t="n">
        <v>45796</v>
      </c>
      <c r="G47" s="119" t="n">
        <v>45854</v>
      </c>
      <c r="H47" s="119" t="n">
        <v>46293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IF(E47="","",IF(ISNUMBER(SEARCH("SUBSOLO",E47)),IFERROR(-VALUE(LEFT(E47,FIND("º",SUBSTITUTE(E47,"°","º"))-1)),-1),IF(LEFT(E47,6)="TÉRREO",0,IFERROR(VALUE(LEFT(E47,FIND("º",SUBSTITUTE(E47,"°","º"))-1)),""))))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VIGAS V31, V403 E V405 - TERRAÇO SALÃO DE FESTA</t>
        </is>
      </c>
      <c r="S47" s="4" t="inlineStr">
        <is>
          <t>17</t>
        </is>
      </c>
      <c r="T47" s="4" t="inlineStr">
        <is>
          <t>Vigas v31, v403 e v405 - terraço salão de festa</t>
        </is>
      </c>
      <c r="U47" s="4" t="inlineStr">
        <is>
          <t>NÃO</t>
        </is>
      </c>
      <c r="V47" s="2">
        <f>IF(R47="","",COUNTIF($C$5:$C$6004,R47))</f>
        <v/>
      </c>
      <c r="W47" s="2">
        <f>IF(R47="","",COUNTIFS($C$5:$C$6004,R47,$O$5:$O$6004,"CONCLUÍDA"))</f>
        <v/>
      </c>
      <c r="X47" s="2">
        <f>IF(R47="","",COUNTIFS($C$5:$C$6004,R47,$O$5:$O$6004,"EM ANDAMENTO"))</f>
        <v/>
      </c>
      <c r="Y47" s="2">
        <f>IF(R47="","",IF(COUNTIFS($C$5:$C$6004,R47,$O$5:$O$6004,"CONCLUÍDA",$N$5:$N$6004,"&gt;=-99")=0,"",_xlfn.MAXIFS($N$5:$N$6004,$C$5:$C$6004,R47,$O$5:$O$6004,"CONCLUÍDA")))</f>
        <v/>
      </c>
      <c r="Z47" s="2">
        <f>IF(R47="","",IF(COUNTIFS($C$5:$C$6004,R47,$O$5:$O$6004,"EM ANDAMENTO",$N$5:$N$6004,"&gt;=-99")=0,"",_xlfn.MAXIFS($N$5:$N$6004,$C$5:$C$6004,R47,$O$5:$O$6004,"EM ANDAMENTO")))</f>
        <v/>
      </c>
      <c r="AA47" s="2">
        <f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/>
      </c>
    </row>
    <row r="48">
      <c r="B48" s="4" t="n">
        <v>8215662</v>
      </c>
      <c r="C48" s="4" t="inlineStr">
        <is>
          <t>ESTRUTURA EMBASAMENTO B</t>
        </is>
      </c>
      <c r="D48" s="4" t="inlineStr">
        <is>
          <t xml:space="preserve">Montagem de escoramento e pilares - escoras e longarinas </t>
        </is>
      </c>
      <c r="E48" s="4" t="inlineStr">
        <is>
          <t>2º PAV. GARAGEM.</t>
        </is>
      </c>
      <c r="F48" s="119" t="n">
        <v>45796</v>
      </c>
      <c r="G48" s="119" t="n">
        <v>45814</v>
      </c>
      <c r="H48" s="119" t="n">
        <v>46293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IF(E48="","",IF(ISNUMBER(SEARCH("SUBSOLO",E48)),IFERROR(-VALUE(LEFT(E48,FIND("º",SUBSTITUTE(E48,"°","º"))-1)),-1),IF(LEFT(E48,6)="TÉRREO",0,IFERROR(VALUE(LEFT(E48,FIND("º",SUBSTITUTE(E48,"°","º"))-1)),""))))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ALVENARIA ÁREA SOCIAL</t>
        </is>
      </c>
      <c r="S48" s="4" t="inlineStr">
        <is>
          <t>18</t>
        </is>
      </c>
      <c r="T48" s="4" t="inlineStr">
        <is>
          <t>Alvenaria área social</t>
        </is>
      </c>
      <c r="U48" s="4" t="inlineStr">
        <is>
          <t>NÃO</t>
        </is>
      </c>
      <c r="V48" s="2">
        <f>IF(R48="","",COUNTIF($C$5:$C$6004,R48))</f>
        <v/>
      </c>
      <c r="W48" s="2">
        <f>IF(R48="","",COUNTIFS($C$5:$C$6004,R48,$O$5:$O$6004,"CONCLUÍDA"))</f>
        <v/>
      </c>
      <c r="X48" s="2">
        <f>IF(R48="","",COUNTIFS($C$5:$C$6004,R48,$O$5:$O$6004,"EM ANDAMENTO"))</f>
        <v/>
      </c>
      <c r="Y48" s="2">
        <f>IF(R48="","",IF(COUNTIFS($C$5:$C$6004,R48,$O$5:$O$6004,"CONCLUÍDA",$N$5:$N$6004,"&gt;=-99")=0,"",_xlfn.MAXIFS($N$5:$N$6004,$C$5:$C$6004,R48,$O$5:$O$6004,"CONCLUÍDA")))</f>
        <v/>
      </c>
      <c r="Z48" s="2">
        <f>IF(R48="","",IF(COUNTIFS($C$5:$C$6004,R48,$O$5:$O$6004,"EM ANDAMENTO",$N$5:$N$6004,"&gt;=-99")=0,"",_xlfn.MAXIFS($N$5:$N$6004,$C$5:$C$6004,R48,$O$5:$O$6004,"EM ANDAMENTO")))</f>
        <v/>
      </c>
      <c r="AA48" s="2">
        <f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>
      <c r="B49" s="4" t="n">
        <v>8215663</v>
      </c>
      <c r="C49" s="4" t="inlineStr">
        <is>
          <t>ESTRUTURA EMBASAMENTO B</t>
        </is>
      </c>
      <c r="D49" s="4" t="inlineStr">
        <is>
          <t>Barroteamento - peças 6,5 x 6,5</t>
        </is>
      </c>
      <c r="E49" s="4" t="inlineStr">
        <is>
          <t>2º PAV. GARAGEM.</t>
        </is>
      </c>
      <c r="F49" s="119" t="n">
        <v>45803</v>
      </c>
      <c r="G49" s="119" t="n">
        <v>45814</v>
      </c>
      <c r="H49" s="119" t="n">
        <v>46293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IF(E49="","",IF(ISNUMBER(SEARCH("SUBSOLO",E49)),IFERROR(-VALUE(LEFT(E49,FIND("º",SUBSTITUTE(E49,"°","º"))-1)),-1),IF(LEFT(E49,6)="TÉRREO",0,IFERROR(VALUE(LEFT(E49,FIND("º",SUBSTITUTE(E49,"°","º"))-1)),""))))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ALVENARIA</t>
        </is>
      </c>
      <c r="S49" s="4" t="inlineStr">
        <is>
          <t>18</t>
        </is>
      </c>
      <c r="T49" s="4" t="inlineStr">
        <is>
          <t>Alvenaria</t>
        </is>
      </c>
      <c r="U49" s="4" t="inlineStr">
        <is>
          <t>SIM</t>
        </is>
      </c>
      <c r="V49" s="2">
        <f>IF(R49="","",COUNTIF($C$5:$C$6004,R49))</f>
        <v/>
      </c>
      <c r="W49" s="2">
        <f>IF(R49="","",COUNTIFS($C$5:$C$6004,R49,$O$5:$O$6004,"CONCLUÍDA"))</f>
        <v/>
      </c>
      <c r="X49" s="2">
        <f>IF(R49="","",COUNTIFS($C$5:$C$6004,R49,$O$5:$O$6004,"EM ANDAMENTO"))</f>
        <v/>
      </c>
      <c r="Y49" s="2">
        <f>IF(R49="","",IF(COUNTIFS($C$5:$C$6004,R49,$O$5:$O$6004,"CONCLUÍDA",$N$5:$N$6004,"&gt;=-99")=0,"",_xlfn.MAXIFS($N$5:$N$6004,$C$5:$C$6004,R49,$O$5:$O$6004,"CONCLUÍDA")))</f>
        <v/>
      </c>
      <c r="Z49" s="2">
        <f>IF(R49="","",IF(COUNTIFS($C$5:$C$6004,R49,$O$5:$O$6004,"EM ANDAMENTO",$N$5:$N$6004,"&gt;=-99")=0,"",_xlfn.MAXIFS($N$5:$N$6004,$C$5:$C$6004,R49,$O$5:$O$6004,"EM ANDAMENTO")))</f>
        <v/>
      </c>
      <c r="AA49" s="2">
        <f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/>
      </c>
    </row>
    <row r="50">
      <c r="B50" s="4" t="n">
        <v>8215664</v>
      </c>
      <c r="C50" s="4" t="inlineStr">
        <is>
          <t>ESTRUTURA EMBASAMENTO B</t>
        </is>
      </c>
      <c r="D50" s="4" t="inlineStr">
        <is>
          <t xml:space="preserve">Forro </t>
        </is>
      </c>
      <c r="E50" s="4" t="inlineStr">
        <is>
          <t>2º PAV. GARAGEM.</t>
        </is>
      </c>
      <c r="F50" s="119" t="n">
        <v>45805</v>
      </c>
      <c r="G50" s="119" t="n">
        <v>45821</v>
      </c>
      <c r="H50" s="119" t="n">
        <v>46293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IF(E50="","",IF(ISNUMBER(SEARCH("SUBSOLO",E50)),IFERROR(-VALUE(LEFT(E50,FIND("º",SUBSTITUTE(E50,"°","º"))-1)),-1),IF(LEFT(E50,6)="TÉRREO",0,IFERROR(VALUE(LEFT(E50,FIND("º",SUBSTITUTE(E50,"°","º"))-1)),""))))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INFRAESTRUTURA ENTERRADA - 1º QUADRANTE</t>
        </is>
      </c>
      <c r="S50" s="4" t="inlineStr">
        <is>
          <t>20</t>
        </is>
      </c>
      <c r="T50" s="4" t="inlineStr">
        <is>
          <t>Infraestrutura enterrada - 1º quadrante</t>
        </is>
      </c>
      <c r="U50" s="4" t="inlineStr">
        <is>
          <t>SIM</t>
        </is>
      </c>
      <c r="V50" s="2">
        <f>IF(R50="","",COUNTIF($C$5:$C$6004,R50))</f>
        <v/>
      </c>
      <c r="W50" s="2">
        <f>IF(R50="","",COUNTIFS($C$5:$C$6004,R50,$O$5:$O$6004,"CONCLUÍDA"))</f>
        <v/>
      </c>
      <c r="X50" s="2">
        <f>IF(R50="","",COUNTIFS($C$5:$C$6004,R50,$O$5:$O$6004,"EM ANDAMENTO"))</f>
        <v/>
      </c>
      <c r="Y50" s="2">
        <f>IF(R50="","",IF(COUNTIFS($C$5:$C$6004,R50,$O$5:$O$6004,"CONCLUÍDA",$N$5:$N$6004,"&gt;=-99")=0,"",_xlfn.MAXIFS($N$5:$N$6004,$C$5:$C$6004,R50,$O$5:$O$6004,"CONCLUÍDA")))</f>
        <v/>
      </c>
      <c r="Z50" s="2">
        <f>IF(R50="","",IF(COUNTIFS($C$5:$C$6004,R50,$O$5:$O$6004,"EM ANDAMENTO",$N$5:$N$6004,"&gt;=-99")=0,"",_xlfn.MAXIFS($N$5:$N$6004,$C$5:$C$6004,R50,$O$5:$O$6004,"EM ANDAMENTO")))</f>
        <v/>
      </c>
      <c r="AA50" s="2">
        <f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/>
      </c>
    </row>
    <row r="51">
      <c r="B51" s="4" t="n">
        <v>8215665</v>
      </c>
      <c r="C51" s="4" t="inlineStr">
        <is>
          <t>ESTRUTURA EMBASAMENTO B</t>
        </is>
      </c>
      <c r="D51" s="4" t="inlineStr">
        <is>
          <t>Montagem de armação</t>
        </is>
      </c>
      <c r="E51" s="4" t="inlineStr">
        <is>
          <t>2º PAV. GARAGEM.</t>
        </is>
      </c>
      <c r="F51" s="119" t="n">
        <v>45796</v>
      </c>
      <c r="G51" s="119" t="n">
        <v>45817</v>
      </c>
      <c r="H51" s="119" t="n">
        <v>46293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IF(E51="","",IF(ISNUMBER(SEARCH("SUBSOLO",E51)),IFERROR(-VALUE(LEFT(E51,FIND("º",SUBSTITUTE(E51,"°","º"))-1)),-1),IF(LEFT(E51,6)="TÉRREO",0,IFERROR(VALUE(LEFT(E51,FIND("º",SUBSTITUTE(E51,"°","º"))-1)),""))))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REBOCO - SETOR C</t>
        </is>
      </c>
      <c r="S51" s="4" t="inlineStr">
        <is>
          <t>29</t>
        </is>
      </c>
      <c r="T51" s="4" t="inlineStr">
        <is>
          <t>Reboco - setor c</t>
        </is>
      </c>
      <c r="U51" s="4" t="inlineStr">
        <is>
          <t>NÃO</t>
        </is>
      </c>
      <c r="V51" s="2">
        <f>IF(R51="","",COUNTIF($C$5:$C$6004,R51))</f>
        <v/>
      </c>
      <c r="W51" s="2">
        <f>IF(R51="","",COUNTIFS($C$5:$C$6004,R51,$O$5:$O$6004,"CONCLUÍDA"))</f>
        <v/>
      </c>
      <c r="X51" s="2">
        <f>IF(R51="","",COUNTIFS($C$5:$C$6004,R51,$O$5:$O$6004,"EM ANDAMENTO"))</f>
        <v/>
      </c>
      <c r="Y51" s="2">
        <f>IF(R51="","",IF(COUNTIFS($C$5:$C$6004,R51,$O$5:$O$6004,"CONCLUÍDA",$N$5:$N$6004,"&gt;=-99")=0,"",_xlfn.MAXIFS($N$5:$N$6004,$C$5:$C$6004,R51,$O$5:$O$6004,"CONCLUÍDA")))</f>
        <v/>
      </c>
      <c r="Z51" s="2">
        <f>IF(R51="","",IF(COUNTIFS($C$5:$C$6004,R51,$O$5:$O$6004,"EM ANDAMENTO",$N$5:$N$6004,"&gt;=-99")=0,"",_xlfn.MAXIFS($N$5:$N$6004,$C$5:$C$6004,R51,$O$5:$O$6004,"EM ANDAMENTO")))</f>
        <v/>
      </c>
      <c r="AA51" s="2">
        <f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>
      <c r="B52" s="4" t="n">
        <v>9925709</v>
      </c>
      <c r="C52" s="4" t="inlineStr">
        <is>
          <t>ESTRUTURA EMBASAMENTO B</t>
        </is>
      </c>
      <c r="D52" s="4" t="inlineStr">
        <is>
          <t>Lançamento de armação</t>
        </is>
      </c>
      <c r="E52" s="4" t="inlineStr">
        <is>
          <t>2º PAV. GARAGEM.</t>
        </is>
      </c>
      <c r="F52" s="119" t="n">
        <v>45817</v>
      </c>
      <c r="G52" s="119" t="n">
        <v>45835</v>
      </c>
      <c r="H52" s="119" t="n">
        <v>46293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IF(E52="","",IF(ISNUMBER(SEARCH("SUBSOLO",E52)),IFERROR(-VALUE(LEFT(E52,FIND("º",SUBSTITUTE(E52,"°","º"))-1)),-1),IF(LEFT(E52,6)="TÉRREO",0,IFERROR(VALUE(LEFT(E52,FIND("º",SUBSTITUTE(E52,"°","º"))-1)),""))))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ÁREA DE VIVÊNCIA</t>
        </is>
      </c>
      <c r="S52" s="4" t="n"/>
      <c r="T52" s="4" t="inlineStr">
        <is>
          <t>Área de vivência</t>
        </is>
      </c>
      <c r="U52" s="4" t="inlineStr">
        <is>
          <t>NÃO</t>
        </is>
      </c>
      <c r="V52" s="2">
        <f>IF(R52="","",COUNTIF($C$5:$C$6004,R52))</f>
        <v/>
      </c>
      <c r="W52" s="2">
        <f>IF(R52="","",COUNTIFS($C$5:$C$6004,R52,$O$5:$O$6004,"CONCLUÍDA"))</f>
        <v/>
      </c>
      <c r="X52" s="2">
        <f>IF(R52="","",COUNTIFS($C$5:$C$6004,R52,$O$5:$O$6004,"EM ANDAMENTO"))</f>
        <v/>
      </c>
      <c r="Y52" s="2">
        <f>IF(R52="","",IF(COUNTIFS($C$5:$C$6004,R52,$O$5:$O$6004,"CONCLUÍDA",$N$5:$N$6004,"&gt;=-99")=0,"",_xlfn.MAXIFS($N$5:$N$6004,$C$5:$C$6004,R52,$O$5:$O$6004,"CONCLUÍDA")))</f>
        <v/>
      </c>
      <c r="Z52" s="2">
        <f>IF(R52="","",IF(COUNTIFS($C$5:$C$6004,R52,$O$5:$O$6004,"EM ANDAMENTO",$N$5:$N$6004,"&gt;=-99")=0,"",_xlfn.MAXIFS($N$5:$N$6004,$C$5:$C$6004,R52,$O$5:$O$6004,"EM ANDAMENTO")))</f>
        <v/>
      </c>
      <c r="AA52" s="2">
        <f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>
      <c r="B53" s="4" t="n">
        <v>9925710</v>
      </c>
      <c r="C53" s="4" t="inlineStr">
        <is>
          <t>ESTRUTURA EMBASAMENTO B</t>
        </is>
      </c>
      <c r="D53" s="4" t="inlineStr">
        <is>
          <t xml:space="preserve">Concreto - etapa 1 </t>
        </is>
      </c>
      <c r="E53" s="4" t="inlineStr">
        <is>
          <t>2º PAV. GARAGEM.</t>
        </is>
      </c>
      <c r="F53" s="119" t="n">
        <v>45838</v>
      </c>
      <c r="G53" s="119" t="n">
        <v>45838</v>
      </c>
      <c r="H53" s="119" t="n">
        <v>46293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IF(E53="","",IF(ISNUMBER(SEARCH("SUBSOLO",E53)),IFERROR(-VALUE(LEFT(E53,FIND("º",SUBSTITUTE(E53,"°","º"))-1)),-1),IF(LEFT(E53,6)="TÉRREO",0,IFERROR(VALUE(LEFT(E53,FIND("º",SUBSTITUTE(E53,"°","º"))-1)),""))))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ALVENARIA EXTERNA</t>
        </is>
      </c>
      <c r="S53" s="4" t="inlineStr">
        <is>
          <t>18</t>
        </is>
      </c>
      <c r="T53" s="4" t="inlineStr">
        <is>
          <t>Alvenaria externa</t>
        </is>
      </c>
      <c r="U53" s="4" t="inlineStr">
        <is>
          <t>SIM</t>
        </is>
      </c>
      <c r="V53" s="2">
        <f>IF(R53="","",COUNTIF($C$5:$C$6004,R53))</f>
        <v/>
      </c>
      <c r="W53" s="2">
        <f>IF(R53="","",COUNTIFS($C$5:$C$6004,R53,$O$5:$O$6004,"CONCLUÍDA"))</f>
        <v/>
      </c>
      <c r="X53" s="2">
        <f>IF(R53="","",COUNTIFS($C$5:$C$6004,R53,$O$5:$O$6004,"EM ANDAMENTO"))</f>
        <v/>
      </c>
      <c r="Y53" s="2">
        <f>IF(R53="","",IF(COUNTIFS($C$5:$C$6004,R53,$O$5:$O$6004,"CONCLUÍDA",$N$5:$N$6004,"&gt;=-99")=0,"",_xlfn.MAXIFS($N$5:$N$6004,$C$5:$C$6004,R53,$O$5:$O$6004,"CONCLUÍDA")))</f>
        <v/>
      </c>
      <c r="Z53" s="2">
        <f>IF(R53="","",IF(COUNTIFS($C$5:$C$6004,R53,$O$5:$O$6004,"EM ANDAMENTO",$N$5:$N$6004,"&gt;=-99")=0,"",_xlfn.MAXIFS($N$5:$N$6004,$C$5:$C$6004,R53,$O$5:$O$6004,"EM ANDAMENTO")))</f>
        <v/>
      </c>
      <c r="AA53" s="2">
        <f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/>
      </c>
    </row>
    <row r="54">
      <c r="B54" s="4" t="n">
        <v>9925711</v>
      </c>
      <c r="C54" s="4" t="inlineStr">
        <is>
          <t>ESTRUTURA EMBASAMENTO B</t>
        </is>
      </c>
      <c r="D54" s="4" t="inlineStr">
        <is>
          <t>Concreto - etapa 2</t>
        </is>
      </c>
      <c r="E54" s="4" t="inlineStr">
        <is>
          <t>2º PAV. GARAGEM.</t>
        </is>
      </c>
      <c r="F54" s="119" t="n">
        <v>45839</v>
      </c>
      <c r="G54" s="119" t="n">
        <v>45839</v>
      </c>
      <c r="H54" s="119" t="n">
        <v>46293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IF(E54="","",IF(ISNUMBER(SEARCH("SUBSOLO",E54)),IFERROR(-VALUE(LEFT(E54,FIND("º",SUBSTITUTE(E54,"°","º"))-1)),-1),IF(LEFT(E54,6)="TÉRREO",0,IFERROR(VALUE(LEFT(E54,FIND("º",SUBSTITUTE(E54,"°","º"))-1)),""))))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CAMINHO DO CLIENTE</t>
        </is>
      </c>
      <c r="S54" s="4" t="inlineStr">
        <is>
          <t>36</t>
        </is>
      </c>
      <c r="T54" s="4" t="inlineStr">
        <is>
          <t>Caminho do cliente</t>
        </is>
      </c>
      <c r="U54" s="4" t="inlineStr">
        <is>
          <t>NÃO</t>
        </is>
      </c>
      <c r="V54" s="2">
        <f>IF(R54="","",COUNTIF($C$5:$C$6004,R54))</f>
        <v/>
      </c>
      <c r="W54" s="2">
        <f>IF(R54="","",COUNTIFS($C$5:$C$6004,R54,$O$5:$O$6004,"CONCLUÍDA"))</f>
        <v/>
      </c>
      <c r="X54" s="2">
        <f>IF(R54="","",COUNTIFS($C$5:$C$6004,R54,$O$5:$O$6004,"EM ANDAMENTO"))</f>
        <v/>
      </c>
      <c r="Y54" s="2">
        <f>IF(R54="","",IF(COUNTIFS($C$5:$C$6004,R54,$O$5:$O$6004,"CONCLUÍDA",$N$5:$N$6004,"&gt;=-99")=0,"",_xlfn.MAXIFS($N$5:$N$6004,$C$5:$C$6004,R54,$O$5:$O$6004,"CONCLUÍDA")))</f>
        <v/>
      </c>
      <c r="Z54" s="2">
        <f>IF(R54="","",IF(COUNTIFS($C$5:$C$6004,R54,$O$5:$O$6004,"EM ANDAMENTO",$N$5:$N$6004,"&gt;=-99")=0,"",_xlfn.MAXIFS($N$5:$N$6004,$C$5:$C$6004,R54,$O$5:$O$6004,"EM ANDAMENTO")))</f>
        <v/>
      </c>
      <c r="AA54" s="2">
        <f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>
      <c r="B55" s="4" t="n">
        <v>10693237</v>
      </c>
      <c r="C55" s="4" t="inlineStr">
        <is>
          <t>ESTRUTURA EMBASAMENTO B</t>
        </is>
      </c>
      <c r="D55" s="4" t="inlineStr">
        <is>
          <t>Protensão - amarração de galgas e furos na forma</t>
        </is>
      </c>
      <c r="E55" s="4" t="inlineStr">
        <is>
          <t>2º PAV. GARAGEM.</t>
        </is>
      </c>
      <c r="F55" s="119" t="n">
        <v>45819</v>
      </c>
      <c r="G55" s="119" t="n">
        <v>45821</v>
      </c>
      <c r="H55" s="119" t="n">
        <v>46293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IF(E55="","",IF(ISNUMBER(SEARCH("SUBSOLO",E55)),IFERROR(-VALUE(LEFT(E55,FIND("º",SUBSTITUTE(E55,"°","º"))-1)),-1),IF(LEFT(E55,6)="TÉRREO",0,IFERROR(VALUE(LEFT(E55,FIND("º",SUBSTITUTE(E55,"°","º"))-1)),""))))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REBOCO INTERNO</t>
        </is>
      </c>
      <c r="S55" s="4" t="inlineStr">
        <is>
          <t>29</t>
        </is>
      </c>
      <c r="T55" s="4" t="inlineStr">
        <is>
          <t>Reboco interno</t>
        </is>
      </c>
      <c r="U55" s="4" t="inlineStr">
        <is>
          <t>SIM</t>
        </is>
      </c>
      <c r="V55" s="2">
        <f>IF(R55="","",COUNTIF($C$5:$C$6004,R55))</f>
        <v/>
      </c>
      <c r="W55" s="2">
        <f>IF(R55="","",COUNTIFS($C$5:$C$6004,R55,$O$5:$O$6004,"CONCLUÍDA"))</f>
        <v/>
      </c>
      <c r="X55" s="2">
        <f>IF(R55="","",COUNTIFS($C$5:$C$6004,R55,$O$5:$O$6004,"EM ANDAMENTO"))</f>
        <v/>
      </c>
      <c r="Y55" s="2">
        <f>IF(R55="","",IF(COUNTIFS($C$5:$C$6004,R55,$O$5:$O$6004,"CONCLUÍDA",$N$5:$N$6004,"&gt;=-99")=0,"",_xlfn.MAXIFS($N$5:$N$6004,$C$5:$C$6004,R55,$O$5:$O$6004,"CONCLUÍDA")))</f>
        <v/>
      </c>
      <c r="Z55" s="2">
        <f>IF(R55="","",IF(COUNTIFS($C$5:$C$6004,R55,$O$5:$O$6004,"EM ANDAMENTO",$N$5:$N$6004,"&gt;=-99")=0,"",_xlfn.MAXIFS($N$5:$N$6004,$C$5:$C$6004,R55,$O$5:$O$6004,"EM ANDAMENTO")))</f>
        <v/>
      </c>
      <c r="AA55" s="2">
        <f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/>
      </c>
    </row>
    <row r="56">
      <c r="B56" s="4" t="n">
        <v>10693238</v>
      </c>
      <c r="C56" s="4" t="inlineStr">
        <is>
          <t>ESTRUTURA EMBASAMENTO B</t>
        </is>
      </c>
      <c r="D56" s="4" t="inlineStr">
        <is>
          <t>Protensão - corte e preblocagem</t>
        </is>
      </c>
      <c r="E56" s="4" t="inlineStr">
        <is>
          <t>2º PAV. GARAGEM.</t>
        </is>
      </c>
      <c r="F56" s="119" t="n">
        <v>45824</v>
      </c>
      <c r="G56" s="119" t="n">
        <v>45824</v>
      </c>
      <c r="H56" s="119" t="n">
        <v>46293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IF(E56="","",IF(ISNUMBER(SEARCH("SUBSOLO",E56)),IFERROR(-VALUE(LEFT(E56,FIND("º",SUBSTITUTE(E56,"°","º"))-1)),-1),IF(LEFT(E56,6)="TÉRREO",0,IFERROR(VALUE(LEFT(E56,FIND("º",SUBSTITUTE(E56,"°","º"))-1)),""))))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REBOCO - SETOR A</t>
        </is>
      </c>
      <c r="S56" s="4" t="inlineStr">
        <is>
          <t>29</t>
        </is>
      </c>
      <c r="T56" s="4" t="inlineStr">
        <is>
          <t>Reboco - setor a</t>
        </is>
      </c>
      <c r="U56" s="4" t="inlineStr">
        <is>
          <t>NÃO</t>
        </is>
      </c>
      <c r="V56" s="2">
        <f>IF(R56="","",COUNTIF($C$5:$C$6004,R56))</f>
        <v/>
      </c>
      <c r="W56" s="2">
        <f>IF(R56="","",COUNTIFS($C$5:$C$6004,R56,$O$5:$O$6004,"CONCLUÍDA"))</f>
        <v/>
      </c>
      <c r="X56" s="2">
        <f>IF(R56="","",COUNTIFS($C$5:$C$6004,R56,$O$5:$O$6004,"EM ANDAMENTO"))</f>
        <v/>
      </c>
      <c r="Y56" s="2">
        <f>IF(R56="","",IF(COUNTIFS($C$5:$C$6004,R56,$O$5:$O$6004,"CONCLUÍDA",$N$5:$N$6004,"&gt;=-99")=0,"",_xlfn.MAXIFS($N$5:$N$6004,$C$5:$C$6004,R56,$O$5:$O$6004,"CONCLUÍDA")))</f>
        <v/>
      </c>
      <c r="Z56" s="2">
        <f>IF(R56="","",IF(COUNTIFS($C$5:$C$6004,R56,$O$5:$O$6004,"EM ANDAMENTO",$N$5:$N$6004,"&gt;=-99")=0,"",_xlfn.MAXIFS($N$5:$N$6004,$C$5:$C$6004,R56,$O$5:$O$6004,"EM ANDAMENTO")))</f>
        <v/>
      </c>
      <c r="AA56" s="2">
        <f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/>
      </c>
    </row>
    <row r="57">
      <c r="B57" s="4" t="n">
        <v>10693239</v>
      </c>
      <c r="C57" s="4" t="inlineStr">
        <is>
          <t>ESTRUTURA EMBASAMENTO B</t>
        </is>
      </c>
      <c r="D57" s="4" t="inlineStr">
        <is>
          <t>Protensão - subida dos cabos</t>
        </is>
      </c>
      <c r="E57" s="4" t="inlineStr">
        <is>
          <t>2º PAV. GARAGEM.</t>
        </is>
      </c>
      <c r="F57" s="119" t="n">
        <v>45825</v>
      </c>
      <c r="G57" s="119" t="n">
        <v>45825</v>
      </c>
      <c r="H57" s="119" t="n">
        <v>46293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IF(E57="","",IF(ISNUMBER(SEARCH("SUBSOLO",E57)),IFERROR(-VALUE(LEFT(E57,FIND("º",SUBSTITUTE(E57,"°","º"))-1)),-1),IF(LEFT(E57,6)="TÉRREO",0,IFERROR(VALUE(LEFT(E57,FIND("º",SUBSTITUTE(E57,"°","º"))-1)),""))))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INFRAESTRUTURA ELÉTRICA - TETO</t>
        </is>
      </c>
      <c r="S57" s="4" t="inlineStr">
        <is>
          <t>20</t>
        </is>
      </c>
      <c r="T57" s="4" t="inlineStr">
        <is>
          <t>Infraestrutura elétrica - teto</t>
        </is>
      </c>
      <c r="U57" s="4" t="inlineStr">
        <is>
          <t>SIM</t>
        </is>
      </c>
      <c r="V57" s="2">
        <f>IF(R57="","",COUNTIF($C$5:$C$6004,R57))</f>
        <v/>
      </c>
      <c r="W57" s="2">
        <f>IF(R57="","",COUNTIFS($C$5:$C$6004,R57,$O$5:$O$6004,"CONCLUÍDA"))</f>
        <v/>
      </c>
      <c r="X57" s="2">
        <f>IF(R57="","",COUNTIFS($C$5:$C$6004,R57,$O$5:$O$6004,"EM ANDAMENTO"))</f>
        <v/>
      </c>
      <c r="Y57" s="2">
        <f>IF(R57="","",IF(COUNTIFS($C$5:$C$6004,R57,$O$5:$O$6004,"CONCLUÍDA",$N$5:$N$6004,"&gt;=-99")=0,"",_xlfn.MAXIFS($N$5:$N$6004,$C$5:$C$6004,R57,$O$5:$O$6004,"CONCLUÍDA")))</f>
        <v/>
      </c>
      <c r="Z57" s="2">
        <f>IF(R57="","",IF(COUNTIFS($C$5:$C$6004,R57,$O$5:$O$6004,"EM ANDAMENTO",$N$5:$N$6004,"&gt;=-99")=0,"",_xlfn.MAXIFS($N$5:$N$6004,$C$5:$C$6004,R57,$O$5:$O$6004,"EM ANDAMENTO")))</f>
        <v/>
      </c>
      <c r="AA57" s="2">
        <f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/>
      </c>
    </row>
    <row r="58">
      <c r="B58" s="4" t="n">
        <v>10693240</v>
      </c>
      <c r="C58" s="4" t="inlineStr">
        <is>
          <t>ESTRUTURA EMBASAMENTO B</t>
        </is>
      </c>
      <c r="D58" s="4" t="inlineStr">
        <is>
          <t>Protensão - lançamento de cabos</t>
        </is>
      </c>
      <c r="E58" s="4" t="inlineStr">
        <is>
          <t>2º PAV. GARAGEM.</t>
        </is>
      </c>
      <c r="F58" s="119" t="n">
        <v>45825</v>
      </c>
      <c r="G58" s="119" t="n">
        <v>45826</v>
      </c>
      <c r="H58" s="119" t="n">
        <v>46293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IF(E58="","",IF(ISNUMBER(SEARCH("SUBSOLO",E58)),IFERROR(-VALUE(LEFT(E58,FIND("º",SUBSTITUTE(E58,"°","º"))-1)),-1),IF(LEFT(E58,6)="TÉRREO",0,IFERROR(VALUE(LEFT(E58,FIND("º",SUBSTITUTE(E58,"°","º"))-1)),""))))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INSTALAÇÕES ELÉTRICAS E ESPECIAIS - SETOR C</t>
        </is>
      </c>
      <c r="S58" s="4" t="inlineStr">
        <is>
          <t>20</t>
        </is>
      </c>
      <c r="T58" s="4" t="inlineStr">
        <is>
          <t>Inst. elétricas e especiais - setor c</t>
        </is>
      </c>
      <c r="U58" s="4" t="inlineStr">
        <is>
          <t>NÃO</t>
        </is>
      </c>
      <c r="V58" s="2">
        <f>IF(R58="","",COUNTIF($C$5:$C$6004,R58))</f>
        <v/>
      </c>
      <c r="W58" s="2">
        <f>IF(R58="","",COUNTIFS($C$5:$C$6004,R58,$O$5:$O$6004,"CONCLUÍDA"))</f>
        <v/>
      </c>
      <c r="X58" s="2">
        <f>IF(R58="","",COUNTIFS($C$5:$C$6004,R58,$O$5:$O$6004,"EM ANDAMENTO"))</f>
        <v/>
      </c>
      <c r="Y58" s="2">
        <f>IF(R58="","",IF(COUNTIFS($C$5:$C$6004,R58,$O$5:$O$6004,"CONCLUÍDA",$N$5:$N$6004,"&gt;=-99")=0,"",_xlfn.MAXIFS($N$5:$N$6004,$C$5:$C$6004,R58,$O$5:$O$6004,"CONCLUÍDA")))</f>
        <v/>
      </c>
      <c r="Z58" s="2">
        <f>IF(R58="","",IF(COUNTIFS($C$5:$C$6004,R58,$O$5:$O$6004,"EM ANDAMENTO",$N$5:$N$6004,"&gt;=-99")=0,"",_xlfn.MAXIFS($N$5:$N$6004,$C$5:$C$6004,R58,$O$5:$O$6004,"EM ANDAMENTO")))</f>
        <v/>
      </c>
      <c r="AA58" s="2">
        <f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/>
      </c>
    </row>
    <row r="59">
      <c r="B59" s="4" t="n">
        <v>10693241</v>
      </c>
      <c r="C59" s="4" t="inlineStr">
        <is>
          <t>ESTRUTURA EMBASAMENTO B</t>
        </is>
      </c>
      <c r="D59" s="4" t="inlineStr">
        <is>
          <t>Fechamento painel interno - viga invertida - V205, V203, V204 e V207</t>
        </is>
      </c>
      <c r="E59" s="4" t="inlineStr">
        <is>
          <t>2º PAV. GARAGEM.</t>
        </is>
      </c>
      <c r="F59" s="119" t="n">
        <v>45840</v>
      </c>
      <c r="G59" s="119" t="n">
        <v>45841</v>
      </c>
      <c r="H59" s="119" t="n">
        <v>46293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IF(E59="","",IF(ISNUMBER(SEARCH("SUBSOLO",E59)),IFERROR(-VALUE(LEFT(E59,FIND("º",SUBSTITUTE(E59,"°","º"))-1)),-1),IF(LEFT(E59,6)="TÉRREO",0,IFERROR(VALUE(LEFT(E59,FIND("º",SUBSTITUTE(E59,"°","º"))-1)),""))))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CONTRAPISO</t>
        </is>
      </c>
      <c r="S59" s="4" t="inlineStr">
        <is>
          <t>28</t>
        </is>
      </c>
      <c r="T59" s="4" t="inlineStr">
        <is>
          <t>Contrapiso</t>
        </is>
      </c>
      <c r="U59" s="4" t="inlineStr">
        <is>
          <t>SIM</t>
        </is>
      </c>
      <c r="V59" s="2">
        <f>IF(R59="","",COUNTIF($C$5:$C$6004,R59))</f>
        <v/>
      </c>
      <c r="W59" s="2">
        <f>IF(R59="","",COUNTIFS($C$5:$C$6004,R59,$O$5:$O$6004,"CONCLUÍDA"))</f>
        <v/>
      </c>
      <c r="X59" s="2">
        <f>IF(R59="","",COUNTIFS($C$5:$C$6004,R59,$O$5:$O$6004,"EM ANDAMENTO"))</f>
        <v/>
      </c>
      <c r="Y59" s="2">
        <f>IF(R59="","",IF(COUNTIFS($C$5:$C$6004,R59,$O$5:$O$6004,"CONCLUÍDA",$N$5:$N$6004,"&gt;=-99")=0,"",_xlfn.MAXIFS($N$5:$N$6004,$C$5:$C$6004,R59,$O$5:$O$6004,"CONCLUÍDA")))</f>
        <v/>
      </c>
      <c r="Z59" s="2">
        <f>IF(R59="","",IF(COUNTIFS($C$5:$C$6004,R59,$O$5:$O$6004,"EM ANDAMENTO",$N$5:$N$6004,"&gt;=-99")=0,"",_xlfn.MAXIFS($N$5:$N$6004,$C$5:$C$6004,R59,$O$5:$O$6004,"EM ANDAMENTO")))</f>
        <v/>
      </c>
      <c r="AA59" s="2">
        <f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/>
      </c>
    </row>
    <row r="60">
      <c r="B60" s="4" t="n">
        <v>10693242</v>
      </c>
      <c r="C60" s="4" t="inlineStr">
        <is>
          <t>ESTRUTURA EMBASAMENTO B</t>
        </is>
      </c>
      <c r="D60" s="4" t="inlineStr">
        <is>
          <t>Concreto vigas invertidas</t>
        </is>
      </c>
      <c r="E60" s="4" t="inlineStr">
        <is>
          <t>2º PAV. GARAGEM.</t>
        </is>
      </c>
      <c r="F60" s="119" t="n">
        <v>45845</v>
      </c>
      <c r="G60" s="119" t="n">
        <v>45845</v>
      </c>
      <c r="H60" s="119" t="n">
        <v>46293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IF(E60="","",IF(ISNUMBER(SEARCH("SUBSOLO",E60)),IFERROR(-VALUE(LEFT(E60,FIND("º",SUBSTITUTE(E60,"°","º"))-1)),-1),IF(LEFT(E60,6)="TÉRREO",0,IFERROR(VALUE(LEFT(E60,FIND("º",SUBSTITUTE(E60,"°","º"))-1)),""))))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PISO ARMADO - SETOR B</t>
        </is>
      </c>
      <c r="S60" s="4" t="inlineStr">
        <is>
          <t>17</t>
        </is>
      </c>
      <c r="T60" s="4" t="inlineStr">
        <is>
          <t>Piso armado - setor b</t>
        </is>
      </c>
      <c r="U60" s="4" t="inlineStr">
        <is>
          <t>NÃO</t>
        </is>
      </c>
      <c r="V60" s="2">
        <f>IF(R60="","",COUNTIF($C$5:$C$6004,R60))</f>
        <v/>
      </c>
      <c r="W60" s="2">
        <f>IF(R60="","",COUNTIFS($C$5:$C$6004,R60,$O$5:$O$6004,"CONCLUÍDA"))</f>
        <v/>
      </c>
      <c r="X60" s="2">
        <f>IF(R60="","",COUNTIFS($C$5:$C$6004,R60,$O$5:$O$6004,"EM ANDAMENTO"))</f>
        <v/>
      </c>
      <c r="Y60" s="2">
        <f>IF(R60="","",IF(COUNTIFS($C$5:$C$6004,R60,$O$5:$O$6004,"CONCLUÍDA",$N$5:$N$6004,"&gt;=-99")=0,"",_xlfn.MAXIFS($N$5:$N$6004,$C$5:$C$6004,R60,$O$5:$O$6004,"CONCLUÍDA")))</f>
        <v/>
      </c>
      <c r="Z60" s="2">
        <f>IF(R60="","",IF(COUNTIFS($C$5:$C$6004,R60,$O$5:$O$6004,"EM ANDAMENTO",$N$5:$N$6004,"&gt;=-99")=0,"",_xlfn.MAXIFS($N$5:$N$6004,$C$5:$C$6004,R60,$O$5:$O$6004,"EM ANDAMENTO")))</f>
        <v/>
      </c>
      <c r="AA60" s="2">
        <f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/>
      </c>
    </row>
    <row r="61">
      <c r="B61" s="4" t="n">
        <v>10699516</v>
      </c>
      <c r="C61" s="4" t="inlineStr">
        <is>
          <t>ESTRUTURA EMBASAMENTO B</t>
        </is>
      </c>
      <c r="D61" s="4" t="inlineStr">
        <is>
          <t>Protensão dos cabos</t>
        </is>
      </c>
      <c r="E61" s="4" t="inlineStr">
        <is>
          <t>2º PAV. GARAGEM.</t>
        </is>
      </c>
      <c r="F61" s="119" t="n">
        <v>45854</v>
      </c>
      <c r="G61" s="119" t="n">
        <v>45854</v>
      </c>
      <c r="H61" s="119" t="n">
        <v>46293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IF(E61="","",IF(ISNUMBER(SEARCH("SUBSOLO",E61)),IFERROR(-VALUE(LEFT(E61,FIND("º",SUBSTITUTE(E61,"°","º"))-1)),-1),IF(LEFT(E61,6)="TÉRREO",0,IFERROR(VALUE(LEFT(E61,FIND("º",SUBSTITUTE(E61,"°","º"))-1)),""))))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INFRAESTRUTURA ENTERRADA - 2º QUADRANTE</t>
        </is>
      </c>
      <c r="S61" s="4" t="inlineStr">
        <is>
          <t>20</t>
        </is>
      </c>
      <c r="T61" s="4" t="inlineStr">
        <is>
          <t>Infraestrutura enterrada - 2º quadrante</t>
        </is>
      </c>
      <c r="U61" s="4" t="inlineStr">
        <is>
          <t>NÃO</t>
        </is>
      </c>
      <c r="V61" s="2">
        <f>IF(R61="","",COUNTIF($C$5:$C$6004,R61))</f>
        <v/>
      </c>
      <c r="W61" s="2">
        <f>IF(R61="","",COUNTIFS($C$5:$C$6004,R61,$O$5:$O$6004,"CONCLUÍDA"))</f>
        <v/>
      </c>
      <c r="X61" s="2">
        <f>IF(R61="","",COUNTIFS($C$5:$C$6004,R61,$O$5:$O$6004,"EM ANDAMENTO"))</f>
        <v/>
      </c>
      <c r="Y61" s="2">
        <f>IF(R61="","",IF(COUNTIFS($C$5:$C$6004,R61,$O$5:$O$6004,"CONCLUÍDA",$N$5:$N$6004,"&gt;=-99")=0,"",_xlfn.MAXIFS($N$5:$N$6004,$C$5:$C$6004,R61,$O$5:$O$6004,"CONCLUÍDA")))</f>
        <v/>
      </c>
      <c r="Z61" s="2">
        <f>IF(R61="","",IF(COUNTIFS($C$5:$C$6004,R61,$O$5:$O$6004,"EM ANDAMENTO",$N$5:$N$6004,"&gt;=-99")=0,"",_xlfn.MAXIFS($N$5:$N$6004,$C$5:$C$6004,R61,$O$5:$O$6004,"EM ANDAMENTO")))</f>
        <v/>
      </c>
      <c r="AA61" s="2">
        <f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>
      <c r="B62" s="4" t="n">
        <v>30641109</v>
      </c>
      <c r="C62" s="4" t="inlineStr">
        <is>
          <t>ESTRUTURA EMBASAMENTO B - MEDIÇÃO</t>
        </is>
      </c>
      <c r="D62" s="4" t="inlineStr">
        <is>
          <t>-</t>
        </is>
      </c>
      <c r="E62" s="4" t="inlineStr">
        <is>
          <t>2º PAV. GARAGEM.</t>
        </is>
      </c>
      <c r="F62" s="119" t="n">
        <v>45796</v>
      </c>
      <c r="G62" s="119" t="n">
        <v>45854</v>
      </c>
      <c r="H62" s="119" t="n">
        <v>46293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IF(E62="","",IF(ISNUMBER(SEARCH("SUBSOLO",E62)),IFERROR(-VALUE(LEFT(E62,FIND("º",SUBSTITUTE(E62,"°","º"))-1)),-1),IF(LEFT(E62,6)="TÉRREO",0,IFERROR(VALUE(LEFT(E62,FIND("º",SUBSTITUTE(E62,"°","º"))-1)),""))))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INSTALAÇÕES ELÉTRICAS E ESPECIAIS - SETOR B</t>
        </is>
      </c>
      <c r="S62" s="4" t="inlineStr">
        <is>
          <t>20</t>
        </is>
      </c>
      <c r="T62" s="4" t="inlineStr">
        <is>
          <t>Inst. elétricas e especiais - setor b</t>
        </is>
      </c>
      <c r="U62" s="4" t="inlineStr">
        <is>
          <t>NÃO</t>
        </is>
      </c>
      <c r="V62" s="2">
        <f>IF(R62="","",COUNTIF($C$5:$C$6004,R62))</f>
        <v/>
      </c>
      <c r="W62" s="2">
        <f>IF(R62="","",COUNTIFS($C$5:$C$6004,R62,$O$5:$O$6004,"CONCLUÍDA"))</f>
        <v/>
      </c>
      <c r="X62" s="2">
        <f>IF(R62="","",COUNTIFS($C$5:$C$6004,R62,$O$5:$O$6004,"EM ANDAMENTO"))</f>
        <v/>
      </c>
      <c r="Y62" s="2">
        <f>IF(R62="","",IF(COUNTIFS($C$5:$C$6004,R62,$O$5:$O$6004,"CONCLUÍDA",$N$5:$N$6004,"&gt;=-99")=0,"",_xlfn.MAXIFS($N$5:$N$6004,$C$5:$C$6004,R62,$O$5:$O$6004,"CONCLUÍDA")))</f>
        <v/>
      </c>
      <c r="Z62" s="2">
        <f>IF(R62="","",IF(COUNTIFS($C$5:$C$6004,R62,$O$5:$O$6004,"EM ANDAMENTO",$N$5:$N$6004,"&gt;=-99")=0,"",_xlfn.MAXIFS($N$5:$N$6004,$C$5:$C$6004,R62,$O$5:$O$6004,"EM ANDAMENTO")))</f>
        <v/>
      </c>
      <c r="AA62" s="2">
        <f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>
      <c r="B63" s="4" t="n">
        <v>29407793</v>
      </c>
      <c r="C63" s="4" t="inlineStr">
        <is>
          <t>FUNDAÇÃO SUPERFICIAL - TRECHO B</t>
        </is>
      </c>
      <c r="D63" s="4" t="inlineStr">
        <is>
          <t>-</t>
        </is>
      </c>
      <c r="E63" s="4" t="inlineStr">
        <is>
          <t>TÉRREO - GARAGENS - Parte 2</t>
        </is>
      </c>
      <c r="F63" s="119" t="n">
        <v>45810</v>
      </c>
      <c r="G63" s="119" t="n">
        <v>45866</v>
      </c>
      <c r="H63" s="119" t="n">
        <v>46293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IF(E63="","",IF(ISNUMBER(SEARCH("SUBSOLO",E63)),IFERROR(-VALUE(LEFT(E63,FIND("º",SUBSTITUTE(E63,"°","º"))-1)),-1),IF(LEFT(E63,6)="TÉRREO",0,IFERROR(VALUE(LEFT(E63,FIND("º",SUBSTITUTE(E63,"°","º"))-1)),""))))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ÁREA DE VIVÊNCIA + SALAS DE JOGOS</t>
        </is>
      </c>
      <c r="S63" s="4" t="n"/>
      <c r="T63" s="4" t="inlineStr">
        <is>
          <t>Área de vivência + salas de jogos</t>
        </is>
      </c>
      <c r="U63" s="4" t="inlineStr">
        <is>
          <t>NÃO</t>
        </is>
      </c>
      <c r="V63" s="2">
        <f>IF(R63="","",COUNTIF($C$5:$C$6004,R63))</f>
        <v/>
      </c>
      <c r="W63" s="2">
        <f>IF(R63="","",COUNTIFS($C$5:$C$6004,R63,$O$5:$O$6004,"CONCLUÍDA"))</f>
        <v/>
      </c>
      <c r="X63" s="2">
        <f>IF(R63="","",COUNTIFS($C$5:$C$6004,R63,$O$5:$O$6004,"EM ANDAMENTO"))</f>
        <v/>
      </c>
      <c r="Y63" s="2">
        <f>IF(R63="","",IF(COUNTIFS($C$5:$C$6004,R63,$O$5:$O$6004,"CONCLUÍDA",$N$5:$N$6004,"&gt;=-99")=0,"",_xlfn.MAXIFS($N$5:$N$6004,$C$5:$C$6004,R63,$O$5:$O$6004,"CONCLUÍDA")))</f>
        <v/>
      </c>
      <c r="Z63" s="2">
        <f>IF(R63="","",IF(COUNTIFS($C$5:$C$6004,R63,$O$5:$O$6004,"EM ANDAMENTO",$N$5:$N$6004,"&gt;=-99")=0,"",_xlfn.MAXIFS($N$5:$N$6004,$C$5:$C$6004,R63,$O$5:$O$6004,"EM ANDAMENTO")))</f>
        <v/>
      </c>
      <c r="AA63" s="2">
        <f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>
      <c r="B64" s="4" t="n">
        <v>10658512</v>
      </c>
      <c r="C64" s="4" t="inlineStr">
        <is>
          <t>FUNDAÇÃO SUPERFICIAL - TRECHO B</t>
        </is>
      </c>
      <c r="D64" s="4" t="inlineStr">
        <is>
          <t>CONCRETAGEM - BF1B | BF2B | B502 | B503 | B505 | B506 | BF3B | BF4B</t>
        </is>
      </c>
      <c r="E64" s="4" t="inlineStr">
        <is>
          <t>TÉRREO - GARAGENS</t>
        </is>
      </c>
      <c r="F64" s="119" t="n">
        <v>45866</v>
      </c>
      <c r="G64" s="119" t="n">
        <v>45866</v>
      </c>
      <c r="H64" s="119" t="n">
        <v>46293</v>
      </c>
      <c r="I64" s="4" t="n">
        <v>100</v>
      </c>
      <c r="J64" s="4" t="n">
        <v>100</v>
      </c>
      <c r="K64" s="4" t="n">
        <v>0</v>
      </c>
      <c r="M64" s="2">
        <f>IF(C64="","",IFERROR(INDEX($S$5:$S$304,MATCH(C64,$R$5:$R$304,0))&amp;"","?"))</f>
        <v/>
      </c>
      <c r="N64" s="2">
        <f>IF(E64="","",IF(ISNUMBER(SEARCH("SUBSOLO",E64)),IFERROR(-VALUE(LEFT(E64,FIND("º",SUBSTITUTE(E64,"°","º"))-1)),-1),IF(LEFT(E64,6)="TÉRREO",0,IFERROR(VALUE(LEFT(E64,FIND("º",SUBSTITUTE(E64,"°","º"))-1)),""))))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INFRAESTRUTURA ENTERRADA - 3º QUADRANTE</t>
        </is>
      </c>
      <c r="S64" s="4" t="inlineStr">
        <is>
          <t>20</t>
        </is>
      </c>
      <c r="T64" s="4" t="inlineStr">
        <is>
          <t>Infraestrutura enterrada - 3º quadrante</t>
        </is>
      </c>
      <c r="U64" s="4" t="inlineStr">
        <is>
          <t>NÃO</t>
        </is>
      </c>
      <c r="V64" s="2">
        <f>IF(R64="","",COUNTIF($C$5:$C$6004,R64))</f>
        <v/>
      </c>
      <c r="W64" s="2">
        <f>IF(R64="","",COUNTIFS($C$5:$C$6004,R64,$O$5:$O$6004,"CONCLUÍDA"))</f>
        <v/>
      </c>
      <c r="X64" s="2">
        <f>IF(R64="","",COUNTIFS($C$5:$C$6004,R64,$O$5:$O$6004,"EM ANDAMENTO"))</f>
        <v/>
      </c>
      <c r="Y64" s="2">
        <f>IF(R64="","",IF(COUNTIFS($C$5:$C$6004,R64,$O$5:$O$6004,"CONCLUÍDA",$N$5:$N$6004,"&gt;=-99")=0,"",_xlfn.MAXIFS($N$5:$N$6004,$C$5:$C$6004,R64,$O$5:$O$6004,"CONCLUÍDA")))</f>
        <v/>
      </c>
      <c r="Z64" s="2">
        <f>IF(R64="","",IF(COUNTIFS($C$5:$C$6004,R64,$O$5:$O$6004,"EM ANDAMENTO",$N$5:$N$6004,"&gt;=-99")=0,"",_xlfn.MAXIFS($N$5:$N$6004,$C$5:$C$6004,R64,$O$5:$O$6004,"EM ANDAMENTO")))</f>
        <v/>
      </c>
      <c r="AA64" s="2">
        <f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/>
      </c>
    </row>
    <row r="65">
      <c r="B65" s="4" t="n">
        <v>10658513</v>
      </c>
      <c r="C65" s="4" t="inlineStr">
        <is>
          <t>FUNDAÇÃO SUPERFICIAL - TRECHO B</t>
        </is>
      </c>
      <c r="D65" s="4" t="inlineStr">
        <is>
          <t>FORMA - B523 | B521 | B519 | B517 | B515 | B509 | B508</t>
        </is>
      </c>
      <c r="E65" s="4" t="inlineStr">
        <is>
          <t>TÉRREO - GARAGENS</t>
        </is>
      </c>
      <c r="F65" s="119" t="n">
        <v>45810</v>
      </c>
      <c r="G65" s="119" t="n">
        <v>45811</v>
      </c>
      <c r="H65" s="119" t="n">
        <v>46293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IF(E65="","",IF(ISNUMBER(SEARCH("SUBSOLO",E65)),IFERROR(-VALUE(LEFT(E65,FIND("º",SUBSTITUTE(E65,"°","º"))-1)),-1),IF(LEFT(E65,6)="TÉRREO",0,IFERROR(VALUE(LEFT(E65,FIND("º",SUBSTITUTE(E65,"°","º"))-1)),""))))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INFRAESTRUTURA ELÉTRICA - PAREDES</t>
        </is>
      </c>
      <c r="S65" s="4" t="inlineStr">
        <is>
          <t>20</t>
        </is>
      </c>
      <c r="T65" s="4" t="inlineStr">
        <is>
          <t>Infraestrutura elétrica - paredes</t>
        </is>
      </c>
      <c r="U65" s="4" t="inlineStr">
        <is>
          <t>SIM</t>
        </is>
      </c>
      <c r="V65" s="2">
        <f>IF(R65="","",COUNTIF($C$5:$C$6004,R65))</f>
        <v/>
      </c>
      <c r="W65" s="2">
        <f>IF(R65="","",COUNTIFS($C$5:$C$6004,R65,$O$5:$O$6004,"CONCLUÍDA"))</f>
        <v/>
      </c>
      <c r="X65" s="2">
        <f>IF(R65="","",COUNTIFS($C$5:$C$6004,R65,$O$5:$O$6004,"EM ANDAMENTO"))</f>
        <v/>
      </c>
      <c r="Y65" s="2">
        <f>IF(R65="","",IF(COUNTIFS($C$5:$C$6004,R65,$O$5:$O$6004,"CONCLUÍDA",$N$5:$N$6004,"&gt;=-99")=0,"",_xlfn.MAXIFS($N$5:$N$6004,$C$5:$C$6004,R65,$O$5:$O$6004,"CONCLUÍDA")))</f>
        <v/>
      </c>
      <c r="Z65" s="2">
        <f>IF(R65="","",IF(COUNTIFS($C$5:$C$6004,R65,$O$5:$O$6004,"EM ANDAMENTO",$N$5:$N$6004,"&gt;=-99")=0,"",_xlfn.MAXIFS($N$5:$N$6004,$C$5:$C$6004,R65,$O$5:$O$6004,"EM ANDAMENTO")))</f>
        <v/>
      </c>
      <c r="AA65" s="2">
        <f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/>
      </c>
    </row>
    <row r="66">
      <c r="B66" s="4" t="n">
        <v>10658514</v>
      </c>
      <c r="C66" s="4" t="inlineStr">
        <is>
          <t>FUNDAÇÃO SUPERFICIAL - TRECHO B</t>
        </is>
      </c>
      <c r="D66" s="4" t="inlineStr">
        <is>
          <t>CONCRETAGEM - B526 | B523 | B521 | B519 | B517 | B515 | B509 | B507 | B508</t>
        </is>
      </c>
      <c r="E66" s="4" t="inlineStr">
        <is>
          <t>TÉRREO - GARAGENS</t>
        </is>
      </c>
      <c r="F66" s="119" t="n">
        <v>45812</v>
      </c>
      <c r="G66" s="119" t="n">
        <v>45812</v>
      </c>
      <c r="H66" s="119" t="n">
        <v>46293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IF(E66="","",IF(ISNUMBER(SEARCH("SUBSOLO",E66)),IFERROR(-VALUE(LEFT(E66,FIND("º",SUBSTITUTE(E66,"°","º"))-1)),-1),IF(LEFT(E66,6)="TÉRREO",0,IFERROR(VALUE(LEFT(E66,FIND("º",SUBSTITUTE(E66,"°","º"))-1)),""))))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REGULARIZAÇÃO DE PISO PARA IMPERMEABILIZAÇÃO</t>
        </is>
      </c>
      <c r="S66" s="4" t="inlineStr">
        <is>
          <t>19</t>
        </is>
      </c>
      <c r="T66" s="4" t="inlineStr">
        <is>
          <t>Regularização de piso para impermeabilização</t>
        </is>
      </c>
      <c r="U66" s="4" t="inlineStr">
        <is>
          <t>NÃO</t>
        </is>
      </c>
      <c r="V66" s="2">
        <f>IF(R66="","",COUNTIF($C$5:$C$6004,R66))</f>
        <v/>
      </c>
      <c r="W66" s="2">
        <f>IF(R66="","",COUNTIFS($C$5:$C$6004,R66,$O$5:$O$6004,"CONCLUÍDA"))</f>
        <v/>
      </c>
      <c r="X66" s="2">
        <f>IF(R66="","",COUNTIFS($C$5:$C$6004,R66,$O$5:$O$6004,"EM ANDAMENTO"))</f>
        <v/>
      </c>
      <c r="Y66" s="2">
        <f>IF(R66="","",IF(COUNTIFS($C$5:$C$6004,R66,$O$5:$O$6004,"CONCLUÍDA",$N$5:$N$6004,"&gt;=-99")=0,"",_xlfn.MAXIFS($N$5:$N$6004,$C$5:$C$6004,R66,$O$5:$O$6004,"CONCLUÍDA")))</f>
        <v/>
      </c>
      <c r="Z66" s="2">
        <f>IF(R66="","",IF(COUNTIFS($C$5:$C$6004,R66,$O$5:$O$6004,"EM ANDAMENTO",$N$5:$N$6004,"&gt;=-99")=0,"",_xlfn.MAXIFS($N$5:$N$6004,$C$5:$C$6004,R66,$O$5:$O$6004,"EM ANDAMENTO")))</f>
        <v/>
      </c>
      <c r="AA66" s="2">
        <f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>
      <c r="B67" s="4" t="n">
        <v>29400243</v>
      </c>
      <c r="C67" s="4" t="inlineStr">
        <is>
          <t>FUNDAÇÃO SUPERFICIAL - TRECHO C - N941</t>
        </is>
      </c>
      <c r="D67" s="4" t="inlineStr">
        <is>
          <t>-</t>
        </is>
      </c>
      <c r="E67" s="4" t="inlineStr">
        <is>
          <t>TÉRREO - GARAGENS - Parte 2</t>
        </is>
      </c>
      <c r="F67" s="119" t="n">
        <v>45810</v>
      </c>
      <c r="G67" s="119" t="n">
        <v>45848</v>
      </c>
      <c r="H67" s="119" t="n">
        <v>46293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IF(E67="","",IF(ISNUMBER(SEARCH("SUBSOLO",E67)),IFERROR(-VALUE(LEFT(E67,FIND("º",SUBSTITUTE(E67,"°","º"))-1)),-1),IF(LEFT(E67,6)="TÉRREO",0,IFERROR(VALUE(LEFT(E67,FIND("º",SUBSTITUTE(E67,"°","º"))-1)),""))))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PISO ARMADO - SETOR C</t>
        </is>
      </c>
      <c r="S67" s="4" t="inlineStr">
        <is>
          <t>17</t>
        </is>
      </c>
      <c r="T67" s="4" t="inlineStr">
        <is>
          <t>Piso armado - setor c</t>
        </is>
      </c>
      <c r="U67" s="4" t="inlineStr">
        <is>
          <t>NÃO</t>
        </is>
      </c>
      <c r="V67" s="2">
        <f>IF(R67="","",COUNTIF($C$5:$C$6004,R67))</f>
        <v/>
      </c>
      <c r="W67" s="2">
        <f>IF(R67="","",COUNTIFS($C$5:$C$6004,R67,$O$5:$O$6004,"CONCLUÍDA"))</f>
        <v/>
      </c>
      <c r="X67" s="2">
        <f>IF(R67="","",COUNTIFS($C$5:$C$6004,R67,$O$5:$O$6004,"EM ANDAMENTO"))</f>
        <v/>
      </c>
      <c r="Y67" s="2">
        <f>IF(R67="","",IF(COUNTIFS($C$5:$C$6004,R67,$O$5:$O$6004,"CONCLUÍDA",$N$5:$N$6004,"&gt;=-99")=0,"",_xlfn.MAXIFS($N$5:$N$6004,$C$5:$C$6004,R67,$O$5:$O$6004,"CONCLUÍDA")))</f>
        <v/>
      </c>
      <c r="Z67" s="2">
        <f>IF(R67="","",IF(COUNTIFS($C$5:$C$6004,R67,$O$5:$O$6004,"EM ANDAMENTO",$N$5:$N$6004,"&gt;=-99")=0,"",_xlfn.MAXIFS($N$5:$N$6004,$C$5:$C$6004,R67,$O$5:$O$6004,"EM ANDAMENTO")))</f>
        <v/>
      </c>
      <c r="AA67" s="2">
        <f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>
      <c r="B68" s="4" t="n">
        <v>10645727</v>
      </c>
      <c r="C68" s="4" t="inlineStr">
        <is>
          <t>FUNDAÇÃO SUPERFICIAL - TRECHO C - N941</t>
        </is>
      </c>
      <c r="D68" s="4" t="inlineStr">
        <is>
          <t>Escavação de blocos  - B301/B310/B317|C318/C317/C301/C306/C311|B302/B311/B318|C321/C320/C302|B303/B312/B319 - Parte 2</t>
        </is>
      </c>
      <c r="E68" s="4" t="inlineStr">
        <is>
          <t>TÉRREO - GARAGENS</t>
        </is>
      </c>
      <c r="F68" s="119" t="n">
        <v>45810</v>
      </c>
      <c r="G68" s="119" t="n">
        <v>45814</v>
      </c>
      <c r="H68" s="119" t="n">
        <v>46293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IF(E68="","",IF(ISNUMBER(SEARCH("SUBSOLO",E68)),IFERROR(-VALUE(LEFT(E68,FIND("º",SUBSTITUTE(E68,"°","º"))-1)),-1),IF(LEFT(E68,6)="TÉRREO",0,IFERROR(VALUE(LEFT(E68,FIND("º",SUBSTITUTE(E68,"°","º"))-1)),""))))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INSTALAÇÕES ELÉTRICAS E ESPECIAIS - SETOR A</t>
        </is>
      </c>
      <c r="S68" s="4" t="inlineStr">
        <is>
          <t>20</t>
        </is>
      </c>
      <c r="T68" s="4" t="inlineStr">
        <is>
          <t>Inst. elétricas e especiais - setor a</t>
        </is>
      </c>
      <c r="U68" s="4" t="inlineStr">
        <is>
          <t>NÃO</t>
        </is>
      </c>
      <c r="V68" s="2">
        <f>IF(R68="","",COUNTIF($C$5:$C$6004,R68))</f>
        <v/>
      </c>
      <c r="W68" s="2">
        <f>IF(R68="","",COUNTIFS($C$5:$C$6004,R68,$O$5:$O$6004,"CONCLUÍDA"))</f>
        <v/>
      </c>
      <c r="X68" s="2">
        <f>IF(R68="","",COUNTIFS($C$5:$C$6004,R68,$O$5:$O$6004,"EM ANDAMENTO"))</f>
        <v/>
      </c>
      <c r="Y68" s="2">
        <f>IF(R68="","",IF(COUNTIFS($C$5:$C$6004,R68,$O$5:$O$6004,"CONCLUÍDA",$N$5:$N$6004,"&gt;=-99")=0,"",_xlfn.MAXIFS($N$5:$N$6004,$C$5:$C$6004,R68,$O$5:$O$6004,"CONCLUÍDA")))</f>
        <v/>
      </c>
      <c r="Z68" s="2">
        <f>IF(R68="","",IF(COUNTIFS($C$5:$C$6004,R68,$O$5:$O$6004,"EM ANDAMENTO",$N$5:$N$6004,"&gt;=-99")=0,"",_xlfn.MAXIFS($N$5:$N$6004,$C$5:$C$6004,R68,$O$5:$O$6004,"EM ANDAMENTO")))</f>
        <v/>
      </c>
      <c r="AA68" s="2">
        <f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>
      <c r="B69" s="4" t="n">
        <v>10645728</v>
      </c>
      <c r="C69" s="4" t="inlineStr">
        <is>
          <t>FUNDAÇÃO SUPERFICIAL - TRECHO C - N941</t>
        </is>
      </c>
      <c r="D69" s="4" t="inlineStr">
        <is>
          <t>Escavação de blocos - C325/C324/C307/C310|B326/B327/B328|C314/C315/C314/C319|B328/B329/C322/C315/C323|B304/B313/B320 - Parte 2</t>
        </is>
      </c>
      <c r="E69" s="4" t="inlineStr">
        <is>
          <t>TÉRREO - GARAGENS</t>
        </is>
      </c>
      <c r="F69" s="119" t="n">
        <v>45810</v>
      </c>
      <c r="G69" s="119" t="n">
        <v>45814</v>
      </c>
      <c r="H69" s="119" t="n">
        <v>46293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IF(E69="","",IF(ISNUMBER(SEARCH("SUBSOLO",E69)),IFERROR(-VALUE(LEFT(E69,FIND("º",SUBSTITUTE(E69,"°","º"))-1)),-1),IF(LEFT(E69,6)="TÉRREO",0,IFERROR(VALUE(LEFT(E69,FIND("º",SUBSTITUTE(E69,"°","º"))-1)),""))))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INFRAESTRUTURA ELÉTRICA (TETO) - SETOR B</t>
        </is>
      </c>
      <c r="S69" s="4" t="inlineStr">
        <is>
          <t>20</t>
        </is>
      </c>
      <c r="T69" s="4" t="inlineStr">
        <is>
          <t>Infraestrutura elétrica (teto) - setor b</t>
        </is>
      </c>
      <c r="U69" s="4" t="inlineStr">
        <is>
          <t>NÃO</t>
        </is>
      </c>
      <c r="V69" s="2">
        <f>IF(R69="","",COUNTIF($C$5:$C$6004,R69))</f>
        <v/>
      </c>
      <c r="W69" s="2">
        <f>IF(R69="","",COUNTIFS($C$5:$C$6004,R69,$O$5:$O$6004,"CONCLUÍDA"))</f>
        <v/>
      </c>
      <c r="X69" s="2">
        <f>IF(R69="","",COUNTIFS($C$5:$C$6004,R69,$O$5:$O$6004,"EM ANDAMENTO"))</f>
        <v/>
      </c>
      <c r="Y69" s="2">
        <f>IF(R69="","",IF(COUNTIFS($C$5:$C$6004,R69,$O$5:$O$6004,"CONCLUÍDA",$N$5:$N$6004,"&gt;=-99")=0,"",_xlfn.MAXIFS($N$5:$N$6004,$C$5:$C$6004,R69,$O$5:$O$6004,"CONCLUÍDA")))</f>
        <v/>
      </c>
      <c r="Z69" s="2">
        <f>IF(R69="","",IF(COUNTIFS($C$5:$C$6004,R69,$O$5:$O$6004,"EM ANDAMENTO",$N$5:$N$6004,"&gt;=-99")=0,"",_xlfn.MAXIFS($N$5:$N$6004,$C$5:$C$6004,R69,$O$5:$O$6004,"EM ANDAMENTO")))</f>
        <v/>
      </c>
      <c r="AA69" s="2">
        <f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>
      <c r="B70" s="4" t="n">
        <v>10645729</v>
      </c>
      <c r="C70" s="4" t="inlineStr">
        <is>
          <t>FUNDAÇÃO SUPERFICIAL - TRECHO C - N941</t>
        </is>
      </c>
      <c r="D70" s="4" t="inlineStr">
        <is>
          <t>Escavação de blocos - C327/C326|VA3/B330|C303/B305/C304|VA4/B314|VA2/B315</t>
        </is>
      </c>
      <c r="E70" s="4" t="inlineStr">
        <is>
          <t>TÉRREO - GARAGENS</t>
        </is>
      </c>
      <c r="F70" s="119" t="n">
        <v>45817</v>
      </c>
      <c r="G70" s="119" t="n">
        <v>45821</v>
      </c>
      <c r="H70" s="119" t="n">
        <v>46293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IF(E70="","",IF(ISNUMBER(SEARCH("SUBSOLO",E70)),IFERROR(-VALUE(LEFT(E70,FIND("º",SUBSTITUTE(E70,"°","º"))-1)),-1),IF(LEFT(E70,6)="TÉRREO",0,IFERROR(VALUE(LEFT(E70,FIND("º",SUBSTITUTE(E70,"°","º"))-1)),""))))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REVESTIMENTO DE MASSA</t>
        </is>
      </c>
      <c r="S70" s="4" t="inlineStr">
        <is>
          <t>29</t>
        </is>
      </c>
      <c r="T70" s="4" t="inlineStr">
        <is>
          <t>Revestimento de massa</t>
        </is>
      </c>
      <c r="U70" s="4" t="inlineStr">
        <is>
          <t>SIM</t>
        </is>
      </c>
      <c r="V70" s="2">
        <f>IF(R70="","",COUNTIF($C$5:$C$6004,R70))</f>
        <v/>
      </c>
      <c r="W70" s="2">
        <f>IF(R70="","",COUNTIFS($C$5:$C$6004,R70,$O$5:$O$6004,"CONCLUÍDA"))</f>
        <v/>
      </c>
      <c r="X70" s="2">
        <f>IF(R70="","",COUNTIFS($C$5:$C$6004,R70,$O$5:$O$6004,"EM ANDAMENTO"))</f>
        <v/>
      </c>
      <c r="Y70" s="2">
        <f>IF(R70="","",IF(COUNTIFS($C$5:$C$6004,R70,$O$5:$O$6004,"CONCLUÍDA",$N$5:$N$6004,"&gt;=-99")=0,"",_xlfn.MAXIFS($N$5:$N$6004,$C$5:$C$6004,R70,$O$5:$O$6004,"CONCLUÍDA")))</f>
        <v/>
      </c>
      <c r="Z70" s="2">
        <f>IF(R70="","",IF(COUNTIFS($C$5:$C$6004,R70,$O$5:$O$6004,"EM ANDAMENTO",$N$5:$N$6004,"&gt;=-99")=0,"",_xlfn.MAXIFS($N$5:$N$6004,$C$5:$C$6004,R70,$O$5:$O$6004,"EM ANDAMENTO")))</f>
        <v/>
      </c>
      <c r="AA70" s="2">
        <f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/>
      </c>
    </row>
    <row r="71">
      <c r="B71" s="4" t="n">
        <v>10645730</v>
      </c>
      <c r="C71" s="4" t="inlineStr">
        <is>
          <t>FUNDAÇÃO SUPERFICIAL - TRECHO C - N941</t>
        </is>
      </c>
      <c r="D71" s="4" t="inlineStr">
        <is>
          <t>Escavação de blocos - VA5/B306|VA1/B307|B316/C308/C309|C331/B308/C330|B321/B323/C329 - Parte 2</t>
        </is>
      </c>
      <c r="E71" s="4" t="inlineStr">
        <is>
          <t>TÉRREO - GARAGENS</t>
        </is>
      </c>
      <c r="F71" s="119" t="n">
        <v>45817</v>
      </c>
      <c r="G71" s="119" t="n">
        <v>45821</v>
      </c>
      <c r="H71" s="119" t="n">
        <v>46293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IF(E71="","",IF(ISNUMBER(SEARCH("SUBSOLO",E71)),IFERROR(-VALUE(LEFT(E71,FIND("º",SUBSTITUTE(E71,"°","º"))-1)),-1),IF(LEFT(E71,6)="TÉRREO",0,IFERROR(VALUE(LEFT(E71,FIND("º",SUBSTITUTE(E71,"°","º"))-1)),""))))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TALISCAMENTO</t>
        </is>
      </c>
      <c r="S71" s="4" t="inlineStr">
        <is>
          <t>29</t>
        </is>
      </c>
      <c r="T71" s="4" t="inlineStr">
        <is>
          <t>Taliscamento</t>
        </is>
      </c>
      <c r="U71" s="4" t="inlineStr">
        <is>
          <t>SIM</t>
        </is>
      </c>
      <c r="V71" s="2">
        <f>IF(R71="","",COUNTIF($C$5:$C$6004,R71))</f>
        <v/>
      </c>
      <c r="W71" s="2">
        <f>IF(R71="","",COUNTIFS($C$5:$C$6004,R71,$O$5:$O$6004,"CONCLUÍDA"))</f>
        <v/>
      </c>
      <c r="X71" s="2">
        <f>IF(R71="","",COUNTIFS($C$5:$C$6004,R71,$O$5:$O$6004,"EM ANDAMENTO"))</f>
        <v/>
      </c>
      <c r="Y71" s="2">
        <f>IF(R71="","",IF(COUNTIFS($C$5:$C$6004,R71,$O$5:$O$6004,"CONCLUÍDA",$N$5:$N$6004,"&gt;=-99")=0,"",_xlfn.MAXIFS($N$5:$N$6004,$C$5:$C$6004,R71,$O$5:$O$6004,"CONCLUÍDA")))</f>
        <v/>
      </c>
      <c r="Z71" s="2">
        <f>IF(R71="","",IF(COUNTIFS($C$5:$C$6004,R71,$O$5:$O$6004,"EM ANDAMENTO",$N$5:$N$6004,"&gt;=-99")=0,"",_xlfn.MAXIFS($N$5:$N$6004,$C$5:$C$6004,R71,$O$5:$O$6004,"EM ANDAMENTO")))</f>
        <v/>
      </c>
      <c r="AA71" s="2">
        <f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/>
      </c>
    </row>
    <row r="72">
      <c r="B72" s="4" t="n">
        <v>10645731</v>
      </c>
      <c r="C72" s="4" t="inlineStr">
        <is>
          <t>FUNDAÇÃO SUPERFICIAL - TRECHO C - N941</t>
        </is>
      </c>
      <c r="D72" s="4" t="inlineStr">
        <is>
          <t>Escavação de blocos  - C328/B324|C312/B331/C142|SC301|SC301|SC301</t>
        </is>
      </c>
      <c r="E72" s="4" t="inlineStr">
        <is>
          <t>TÉRREO - GARAGENS</t>
        </is>
      </c>
      <c r="F72" s="119" t="n">
        <v>45824</v>
      </c>
      <c r="G72" s="119" t="n">
        <v>45831</v>
      </c>
      <c r="H72" s="119" t="n">
        <v>46293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IF(E72="","",IF(ISNUMBER(SEARCH("SUBSOLO",E72)),IFERROR(-VALUE(LEFT(E72,FIND("º",SUBSTITUTE(E72,"°","º"))-1)),-1),IF(LEFT(E72,6)="TÉRREO",0,IFERROR(VALUE(LEFT(E72,FIND("º",SUBSTITUTE(E72,"°","º"))-1)),""))))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DISTRIBUIÇÃO ELÉTRICA / QUADRO - SETOR B</t>
        </is>
      </c>
      <c r="S72" s="4" t="inlineStr">
        <is>
          <t>20</t>
        </is>
      </c>
      <c r="T72" s="4" t="inlineStr">
        <is>
          <t>Distribuição elétrica / quadro - setor b</t>
        </is>
      </c>
      <c r="U72" s="4" t="inlineStr">
        <is>
          <t>SIM</t>
        </is>
      </c>
      <c r="V72" s="2">
        <f>IF(R72="","",COUNTIF($C$5:$C$6004,R72))</f>
        <v/>
      </c>
      <c r="W72" s="2">
        <f>IF(R72="","",COUNTIFS($C$5:$C$6004,R72,$O$5:$O$6004,"CONCLUÍDA"))</f>
        <v/>
      </c>
      <c r="X72" s="2">
        <f>IF(R72="","",COUNTIFS($C$5:$C$6004,R72,$O$5:$O$6004,"EM ANDAMENTO"))</f>
        <v/>
      </c>
      <c r="Y72" s="2">
        <f>IF(R72="","",IF(COUNTIFS($C$5:$C$6004,R72,$O$5:$O$6004,"CONCLUÍDA",$N$5:$N$6004,"&gt;=-99")=0,"",_xlfn.MAXIFS($N$5:$N$6004,$C$5:$C$6004,R72,$O$5:$O$6004,"CONCLUÍDA")))</f>
        <v/>
      </c>
      <c r="Z72" s="2">
        <f>IF(R72="","",IF(COUNTIFS($C$5:$C$6004,R72,$O$5:$O$6004,"EM ANDAMENTO",$N$5:$N$6004,"&gt;=-99")=0,"",_xlfn.MAXIFS($N$5:$N$6004,$C$5:$C$6004,R72,$O$5:$O$6004,"EM ANDAMENTO")))</f>
        <v/>
      </c>
      <c r="AA72" s="2">
        <f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/>
      </c>
    </row>
    <row r="73">
      <c r="B73" s="4" t="n">
        <v>10645732</v>
      </c>
      <c r="C73" s="4" t="inlineStr">
        <is>
          <t>FUNDAÇÃO SUPERFICIAL - TRECHO C - N941</t>
        </is>
      </c>
      <c r="D73" s="4" t="inlineStr">
        <is>
          <t>Escavação de sapatas  - SC301|SC301|SC301||</t>
        </is>
      </c>
      <c r="E73" s="4" t="inlineStr">
        <is>
          <t>TÉRREO - GARAGENS</t>
        </is>
      </c>
      <c r="F73" s="119" t="n">
        <v>45824</v>
      </c>
      <c r="G73" s="119" t="n">
        <v>45834</v>
      </c>
      <c r="H73" s="119" t="n">
        <v>46293</v>
      </c>
      <c r="I73" s="4" t="n">
        <v>100</v>
      </c>
      <c r="J73" s="4" t="n">
        <v>100</v>
      </c>
      <c r="K73" s="4" t="n">
        <v>0</v>
      </c>
      <c r="M73" s="2">
        <f>IF(C73="","",IFERROR(INDEX($S$5:$S$304,MATCH(C73,$R$5:$R$304,0))&amp;"","?"))</f>
        <v/>
      </c>
      <c r="N73" s="2">
        <f>IF(E73="","",IF(ISNUMBER(SEARCH("SUBSOLO",E73)),IFERROR(-VALUE(LEFT(E73,FIND("º",SUBSTITUTE(E73,"°","º"))-1)),-1),IF(LEFT(E73,6)="TÉRREO",0,IFERROR(VALUE(LEFT(E73,FIND("º",SUBSTITUTE(E73,"°","º"))-1)),""))))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TRATAMENTO DE SHAFTS</t>
        </is>
      </c>
      <c r="S73" s="4" t="inlineStr">
        <is>
          <t>18</t>
        </is>
      </c>
      <c r="T73" s="4" t="inlineStr">
        <is>
          <t>Tratamento de shafts</t>
        </is>
      </c>
      <c r="U73" s="4" t="inlineStr">
        <is>
          <t>NÃO</t>
        </is>
      </c>
      <c r="V73" s="2">
        <f>IF(R73="","",COUNTIF($C$5:$C$6004,R73))</f>
        <v/>
      </c>
      <c r="W73" s="2">
        <f>IF(R73="","",COUNTIFS($C$5:$C$6004,R73,$O$5:$O$6004,"CONCLUÍDA"))</f>
        <v/>
      </c>
      <c r="X73" s="2">
        <f>IF(R73="","",COUNTIFS($C$5:$C$6004,R73,$O$5:$O$6004,"EM ANDAMENTO"))</f>
        <v/>
      </c>
      <c r="Y73" s="2">
        <f>IF(R73="","",IF(COUNTIFS($C$5:$C$6004,R73,$O$5:$O$6004,"CONCLUÍDA",$N$5:$N$6004,"&gt;=-99")=0,"",_xlfn.MAXIFS($N$5:$N$6004,$C$5:$C$6004,R73,$O$5:$O$6004,"CONCLUÍDA")))</f>
        <v/>
      </c>
      <c r="Z73" s="2">
        <f>IF(R73="","",IF(COUNTIFS($C$5:$C$6004,R73,$O$5:$O$6004,"EM ANDAMENTO",$N$5:$N$6004,"&gt;=-99")=0,"",_xlfn.MAXIFS($N$5:$N$6004,$C$5:$C$6004,R73,$O$5:$O$6004,"EM ANDAMENTO")))</f>
        <v/>
      </c>
      <c r="AA73" s="2">
        <f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>
      <c r="B74" s="4" t="n">
        <v>10645733</v>
      </c>
      <c r="C74" s="4" t="inlineStr">
        <is>
          <t>FUNDAÇÃO SUPERFICIAL - TRECHO C - N941</t>
        </is>
      </c>
      <c r="D74" s="4" t="inlineStr">
        <is>
          <t>Arrasamento de estacas  - B301/B310/B317||B302/B311/B318||B303/B312/B319</t>
        </is>
      </c>
      <c r="E74" s="4" t="inlineStr">
        <is>
          <t>TÉRREO - GARAGENS</t>
        </is>
      </c>
      <c r="F74" s="119" t="n">
        <v>45810</v>
      </c>
      <c r="G74" s="119" t="n">
        <v>45814</v>
      </c>
      <c r="H74" s="119" t="n">
        <v>46293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IF(E74="","",IF(ISNUMBER(SEARCH("SUBSOLO",E74)),IFERROR(-VALUE(LEFT(E74,FIND("º",SUBSTITUTE(E74,"°","º"))-1)),-1),IF(LEFT(E74,6)="TÉRREO",0,IFERROR(VALUE(LEFT(E74,FIND("º",SUBSTITUTE(E74,"°","º"))-1)),""))))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PISCINA</t>
        </is>
      </c>
      <c r="S74" s="4" t="inlineStr">
        <is>
          <t>23</t>
        </is>
      </c>
      <c r="T74" s="4" t="inlineStr">
        <is>
          <t>Piscina</t>
        </is>
      </c>
      <c r="U74" s="4" t="inlineStr">
        <is>
          <t>NÃO</t>
        </is>
      </c>
      <c r="V74" s="2">
        <f>IF(R74="","",COUNTIF($C$5:$C$6004,R74))</f>
        <v/>
      </c>
      <c r="W74" s="2">
        <f>IF(R74="","",COUNTIFS($C$5:$C$6004,R74,$O$5:$O$6004,"CONCLUÍDA"))</f>
        <v/>
      </c>
      <c r="X74" s="2">
        <f>IF(R74="","",COUNTIFS($C$5:$C$6004,R74,$O$5:$O$6004,"EM ANDAMENTO"))</f>
        <v/>
      </c>
      <c r="Y74" s="2">
        <f>IF(R74="","",IF(COUNTIFS($C$5:$C$6004,R74,$O$5:$O$6004,"CONCLUÍDA",$N$5:$N$6004,"&gt;=-99")=0,"",_xlfn.MAXIFS($N$5:$N$6004,$C$5:$C$6004,R74,$O$5:$O$6004,"CONCLUÍDA")))</f>
        <v/>
      </c>
      <c r="Z74" s="2">
        <f>IF(R74="","",IF(COUNTIFS($C$5:$C$6004,R74,$O$5:$O$6004,"EM ANDAMENTO",$N$5:$N$6004,"&gt;=-99")=0,"",_xlfn.MAXIFS($N$5:$N$6004,$C$5:$C$6004,R74,$O$5:$O$6004,"EM ANDAMENTO")))</f>
        <v/>
      </c>
      <c r="AA74" s="2">
        <f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/>
      </c>
    </row>
    <row r="75">
      <c r="B75" s="4" t="n">
        <v>10645734</v>
      </c>
      <c r="C75" s="4" t="inlineStr">
        <is>
          <t>FUNDAÇÃO SUPERFICIAL - TRECHO C - N941</t>
        </is>
      </c>
      <c r="D75" s="4" t="inlineStr">
        <is>
          <t>Arrasamento de estacas  - |B326/B327/B328||B328/B329|B304/B313/B320</t>
        </is>
      </c>
      <c r="E75" s="4" t="inlineStr">
        <is>
          <t>TÉRREO - GARAGENS</t>
        </is>
      </c>
      <c r="F75" s="119" t="n">
        <v>45810</v>
      </c>
      <c r="G75" s="119" t="n">
        <v>45814</v>
      </c>
      <c r="H75" s="119" t="n">
        <v>46293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IF(E75="","",IF(ISNUMBER(SEARCH("SUBSOLO",E75)),IFERROR(-VALUE(LEFT(E75,FIND("º",SUBSTITUTE(E75,"°","º"))-1)),-1),IF(LEFT(E75,6)="TÉRREO",0,IFERROR(VALUE(LEFT(E75,FIND("º",SUBSTITUTE(E75,"°","º"))-1)),""))))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PRUMADA HIDROSSANITÁRIA</t>
        </is>
      </c>
      <c r="S75" s="4" t="inlineStr">
        <is>
          <t>21</t>
        </is>
      </c>
      <c r="T75" s="4" t="inlineStr">
        <is>
          <t>Prumada hidrossanitária</t>
        </is>
      </c>
      <c r="U75" s="4" t="inlineStr">
        <is>
          <t>SIM</t>
        </is>
      </c>
      <c r="V75" s="2">
        <f>IF(R75="","",COUNTIF($C$5:$C$6004,R75))</f>
        <v/>
      </c>
      <c r="W75" s="2">
        <f>IF(R75="","",COUNTIFS($C$5:$C$6004,R75,$O$5:$O$6004,"CONCLUÍDA"))</f>
        <v/>
      </c>
      <c r="X75" s="2">
        <f>IF(R75="","",COUNTIFS($C$5:$C$6004,R75,$O$5:$O$6004,"EM ANDAMENTO"))</f>
        <v/>
      </c>
      <c r="Y75" s="2">
        <f>IF(R75="","",IF(COUNTIFS($C$5:$C$6004,R75,$O$5:$O$6004,"CONCLUÍDA",$N$5:$N$6004,"&gt;=-99")=0,"",_xlfn.MAXIFS($N$5:$N$6004,$C$5:$C$6004,R75,$O$5:$O$6004,"CONCLUÍDA")))</f>
        <v/>
      </c>
      <c r="Z75" s="2">
        <f>IF(R75="","",IF(COUNTIFS($C$5:$C$6004,R75,$O$5:$O$6004,"EM ANDAMENTO",$N$5:$N$6004,"&gt;=-99")=0,"",_xlfn.MAXIFS($N$5:$N$6004,$C$5:$C$6004,R75,$O$5:$O$6004,"EM ANDAMENTO")))</f>
        <v/>
      </c>
      <c r="AA75" s="2">
        <f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/>
      </c>
    </row>
    <row r="76">
      <c r="B76" s="4" t="n">
        <v>10645735</v>
      </c>
      <c r="C76" s="4" t="inlineStr">
        <is>
          <t>FUNDAÇÃO SUPERFICIAL - TRECHO C - N941</t>
        </is>
      </c>
      <c r="D76" s="4" t="inlineStr">
        <is>
          <t>Arrasamento de estacas  - |B330|B305|B314|B315</t>
        </is>
      </c>
      <c r="E76" s="4" t="inlineStr">
        <is>
          <t>TÉRREO - GARAGENS</t>
        </is>
      </c>
      <c r="F76" s="119" t="n">
        <v>45817</v>
      </c>
      <c r="G76" s="119" t="n">
        <v>45821</v>
      </c>
      <c r="H76" s="119" t="n">
        <v>46293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IF(E76="","",IF(ISNUMBER(SEARCH("SUBSOLO",E76)),IFERROR(-VALUE(LEFT(E76,FIND("º",SUBSTITUTE(E76,"°","º"))-1)),-1),IF(LEFT(E76,6)="TÉRREO",0,IFERROR(VALUE(LEFT(E76,FIND("º",SUBSTITUTE(E76,"°","º"))-1)),""))))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PISO ARMADO - SETOR A</t>
        </is>
      </c>
      <c r="S76" s="4" t="inlineStr">
        <is>
          <t>17</t>
        </is>
      </c>
      <c r="T76" s="4" t="inlineStr">
        <is>
          <t>Piso armado - setor a</t>
        </is>
      </c>
      <c r="U76" s="4" t="inlineStr">
        <is>
          <t>NÃO</t>
        </is>
      </c>
      <c r="V76" s="2">
        <f>IF(R76="","",COUNTIF($C$5:$C$6004,R76))</f>
        <v/>
      </c>
      <c r="W76" s="2">
        <f>IF(R76="","",COUNTIFS($C$5:$C$6004,R76,$O$5:$O$6004,"CONCLUÍDA"))</f>
        <v/>
      </c>
      <c r="X76" s="2">
        <f>IF(R76="","",COUNTIFS($C$5:$C$6004,R76,$O$5:$O$6004,"EM ANDAMENTO"))</f>
        <v/>
      </c>
      <c r="Y76" s="2">
        <f>IF(R76="","",IF(COUNTIFS($C$5:$C$6004,R76,$O$5:$O$6004,"CONCLUÍDA",$N$5:$N$6004,"&gt;=-99")=0,"",_xlfn.MAXIFS($N$5:$N$6004,$C$5:$C$6004,R76,$O$5:$O$6004,"CONCLUÍDA")))</f>
        <v/>
      </c>
      <c r="Z76" s="2">
        <f>IF(R76="","",IF(COUNTIFS($C$5:$C$6004,R76,$O$5:$O$6004,"EM ANDAMENTO",$N$5:$N$6004,"&gt;=-99")=0,"",_xlfn.MAXIFS($N$5:$N$6004,$C$5:$C$6004,R76,$O$5:$O$6004,"EM ANDAMENTO")))</f>
        <v/>
      </c>
      <c r="AA76" s="2">
        <f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>
      <c r="B77" s="4" t="n">
        <v>10645736</v>
      </c>
      <c r="C77" s="4" t="inlineStr">
        <is>
          <t>FUNDAÇÃO SUPERFICIAL - TRECHO C - N941</t>
        </is>
      </c>
      <c r="D77" s="4" t="inlineStr">
        <is>
          <t>Arrasamento de estacas  - B306|B307|B316|B308|B321/B323</t>
        </is>
      </c>
      <c r="E77" s="4" t="inlineStr">
        <is>
          <t>TÉRREO - GARAGENS</t>
        </is>
      </c>
      <c r="F77" s="119" t="n">
        <v>45817</v>
      </c>
      <c r="G77" s="119" t="n">
        <v>45821</v>
      </c>
      <c r="H77" s="119" t="n">
        <v>46293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IF(E77="","",IF(ISNUMBER(SEARCH("SUBSOLO",E77)),IFERROR(-VALUE(LEFT(E77,FIND("º",SUBSTITUTE(E77,"°","º"))-1)),-1),IF(LEFT(E77,6)="TÉRREO",0,IFERROR(VALUE(LEFT(E77,FIND("º",SUBSTITUTE(E77,"°","º"))-1)),""))))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INSTALAÇÕES ELÉTRICAS</t>
        </is>
      </c>
      <c r="S77" s="4" t="inlineStr">
        <is>
          <t>20</t>
        </is>
      </c>
      <c r="T77" s="4" t="inlineStr">
        <is>
          <t>Inst. elétricas</t>
        </is>
      </c>
      <c r="U77" s="4" t="inlineStr">
        <is>
          <t>NÃO</t>
        </is>
      </c>
      <c r="V77" s="2">
        <f>IF(R77="","",COUNTIF($C$5:$C$6004,R77))</f>
        <v/>
      </c>
      <c r="W77" s="2">
        <f>IF(R77="","",COUNTIFS($C$5:$C$6004,R77,$O$5:$O$6004,"CONCLUÍDA"))</f>
        <v/>
      </c>
      <c r="X77" s="2">
        <f>IF(R77="","",COUNTIFS($C$5:$C$6004,R77,$O$5:$O$6004,"EM ANDAMENTO"))</f>
        <v/>
      </c>
      <c r="Y77" s="2">
        <f>IF(R77="","",IF(COUNTIFS($C$5:$C$6004,R77,$O$5:$O$6004,"CONCLUÍDA",$N$5:$N$6004,"&gt;=-99")=0,"",_xlfn.MAXIFS($N$5:$N$6004,$C$5:$C$6004,R77,$O$5:$O$6004,"CONCLUÍDA")))</f>
        <v/>
      </c>
      <c r="Z77" s="2">
        <f>IF(R77="","",IF(COUNTIFS($C$5:$C$6004,R77,$O$5:$O$6004,"EM ANDAMENTO",$N$5:$N$6004,"&gt;=-99")=0,"",_xlfn.MAXIFS($N$5:$N$6004,$C$5:$C$6004,R77,$O$5:$O$6004,"EM ANDAMENTO")))</f>
        <v/>
      </c>
      <c r="AA77" s="2">
        <f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>
      <c r="B78" s="4" t="n">
        <v>10645737</v>
      </c>
      <c r="C78" s="4" t="inlineStr">
        <is>
          <t>FUNDAÇÃO SUPERFICIAL - TRECHO C - N941</t>
        </is>
      </c>
      <c r="D78" s="4" t="inlineStr">
        <is>
          <t>Arrasamento de estacas  - B324|B331|||</t>
        </is>
      </c>
      <c r="E78" s="4" t="inlineStr">
        <is>
          <t>TÉRREO - GARAGENS</t>
        </is>
      </c>
      <c r="F78" s="119" t="n">
        <v>45834</v>
      </c>
      <c r="G78" s="119" t="n">
        <v>45835</v>
      </c>
      <c r="H78" s="119" t="n">
        <v>46293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IF(E78="","",IF(ISNUMBER(SEARCH("SUBSOLO",E78)),IFERROR(-VALUE(LEFT(E78,FIND("º",SUBSTITUTE(E78,"°","º"))-1)),-1),IF(LEFT(E78,6)="TÉRREO",0,IFERROR(VALUE(LEFT(E78,FIND("º",SUBSTITUTE(E78,"°","º"))-1)),""))))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IMPERMEABILIZAÇÃO</t>
        </is>
      </c>
      <c r="S78" s="4" t="inlineStr">
        <is>
          <t>19</t>
        </is>
      </c>
      <c r="T78" s="4" t="inlineStr">
        <is>
          <t>Impermeabilização</t>
        </is>
      </c>
      <c r="U78" s="4" t="inlineStr">
        <is>
          <t>SIM</t>
        </is>
      </c>
      <c r="V78" s="2">
        <f>IF(R78="","",COUNTIF($C$5:$C$6004,R78))</f>
        <v/>
      </c>
      <c r="W78" s="2">
        <f>IF(R78="","",COUNTIFS($C$5:$C$6004,R78,$O$5:$O$6004,"CONCLUÍDA"))</f>
        <v/>
      </c>
      <c r="X78" s="2">
        <f>IF(R78="","",COUNTIFS($C$5:$C$6004,R78,$O$5:$O$6004,"EM ANDAMENTO"))</f>
        <v/>
      </c>
      <c r="Y78" s="2">
        <f>IF(R78="","",IF(COUNTIFS($C$5:$C$6004,R78,$O$5:$O$6004,"CONCLUÍDA",$N$5:$N$6004,"&gt;=-99")=0,"",_xlfn.MAXIFS($N$5:$N$6004,$C$5:$C$6004,R78,$O$5:$O$6004,"CONCLUÍDA")))</f>
        <v/>
      </c>
      <c r="Z78" s="2">
        <f>IF(R78="","",IF(COUNTIFS($C$5:$C$6004,R78,$O$5:$O$6004,"EM ANDAMENTO",$N$5:$N$6004,"&gt;=-99")=0,"",_xlfn.MAXIFS($N$5:$N$6004,$C$5:$C$6004,R78,$O$5:$O$6004,"EM ANDAMENTO")))</f>
        <v/>
      </c>
      <c r="AA78" s="2">
        <f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/>
      </c>
    </row>
    <row r="79">
      <c r="B79" s="4" t="n">
        <v>10645738</v>
      </c>
      <c r="C79" s="4" t="inlineStr">
        <is>
          <t>FUNDAÇÃO SUPERFICIAL - TRECHO C - N941</t>
        </is>
      </c>
      <c r="D79" s="4" t="inlineStr">
        <is>
          <t>Preparação bloco - |B301/B310/B317||B302/B311/B318|</t>
        </is>
      </c>
      <c r="E79" s="4" t="inlineStr">
        <is>
          <t>TÉRREO - GARAGENS</t>
        </is>
      </c>
      <c r="F79" s="119" t="n">
        <v>45811</v>
      </c>
      <c r="G79" s="119" t="n">
        <v>45814</v>
      </c>
      <c r="H79" s="119" t="n">
        <v>46293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IF(E79="","",IF(ISNUMBER(SEARCH("SUBSOLO",E79)),IFERROR(-VALUE(LEFT(E79,FIND("º",SUBSTITUTE(E79,"°","º"))-1)),-1),IF(LEFT(E79,6)="TÉRREO",0,IFERROR(VALUE(LEFT(E79,FIND("º",SUBSTITUTE(E79,"°","º"))-1)),""))))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DISTRIBUIÇÃO HIDROSSANITÁRIA</t>
        </is>
      </c>
      <c r="S79" s="4" t="inlineStr">
        <is>
          <t>21</t>
        </is>
      </c>
      <c r="T79" s="4" t="inlineStr">
        <is>
          <t>Distribuição hidrossanitária</t>
        </is>
      </c>
      <c r="U79" s="4" t="inlineStr">
        <is>
          <t>SIM</t>
        </is>
      </c>
      <c r="V79" s="2">
        <f>IF(R79="","",COUNTIF($C$5:$C$6004,R79))</f>
        <v/>
      </c>
      <c r="W79" s="2">
        <f>IF(R79="","",COUNTIFS($C$5:$C$6004,R79,$O$5:$O$6004,"CONCLUÍDA"))</f>
        <v/>
      </c>
      <c r="X79" s="2">
        <f>IF(R79="","",COUNTIFS($C$5:$C$6004,R79,$O$5:$O$6004,"EM ANDAMENTO"))</f>
        <v/>
      </c>
      <c r="Y79" s="2">
        <f>IF(R79="","",IF(COUNTIFS($C$5:$C$6004,R79,$O$5:$O$6004,"CONCLUÍDA",$N$5:$N$6004,"&gt;=-99")=0,"",_xlfn.MAXIFS($N$5:$N$6004,$C$5:$C$6004,R79,$O$5:$O$6004,"CONCLUÍDA")))</f>
        <v/>
      </c>
      <c r="Z79" s="2">
        <f>IF(R79="","",IF(COUNTIFS($C$5:$C$6004,R79,$O$5:$O$6004,"EM ANDAMENTO",$N$5:$N$6004,"&gt;=-99")=0,"",_xlfn.MAXIFS($N$5:$N$6004,$C$5:$C$6004,R79,$O$5:$O$6004,"EM ANDAMENTO")))</f>
        <v/>
      </c>
      <c r="AA79" s="2">
        <f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/>
      </c>
    </row>
    <row r="80">
      <c r="B80" s="4" t="n">
        <v>10645739</v>
      </c>
      <c r="C80" s="4" t="inlineStr">
        <is>
          <t>FUNDAÇÃO SUPERFICIAL - TRECHO C - N941</t>
        </is>
      </c>
      <c r="D80" s="4" t="inlineStr">
        <is>
          <t>Preparação bloco - B303/B312/B319||||B328/B329</t>
        </is>
      </c>
      <c r="E80" s="4" t="inlineStr">
        <is>
          <t>TÉRREO - GARAGENS</t>
        </is>
      </c>
      <c r="F80" s="119" t="n">
        <v>45812</v>
      </c>
      <c r="G80" s="119" t="n">
        <v>45818</v>
      </c>
      <c r="H80" s="119" t="n">
        <v>46293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IF(E80="","",IF(ISNUMBER(SEARCH("SUBSOLO",E80)),IFERROR(-VALUE(LEFT(E80,FIND("º",SUBSTITUTE(E80,"°","º"))-1)),-1),IF(LEFT(E80,6)="TÉRREO",0,IFERROR(VALUE(LEFT(E80,FIND("º",SUBSTITUTE(E80,"°","º"))-1)),""))))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GÁS</t>
        </is>
      </c>
      <c r="S80" s="4" t="inlineStr">
        <is>
          <t>21</t>
        </is>
      </c>
      <c r="T80" s="4" t="inlineStr">
        <is>
          <t>Gás</t>
        </is>
      </c>
      <c r="U80" s="4" t="inlineStr">
        <is>
          <t>SIM</t>
        </is>
      </c>
      <c r="V80" s="2">
        <f>IF(R80="","",COUNTIF($C$5:$C$6004,R80))</f>
        <v/>
      </c>
      <c r="W80" s="2">
        <f>IF(R80="","",COUNTIFS($C$5:$C$6004,R80,$O$5:$O$6004,"CONCLUÍDA"))</f>
        <v/>
      </c>
      <c r="X80" s="2">
        <f>IF(R80="","",COUNTIFS($C$5:$C$6004,R80,$O$5:$O$6004,"EM ANDAMENTO"))</f>
        <v/>
      </c>
      <c r="Y80" s="2">
        <f>IF(R80="","",IF(COUNTIFS($C$5:$C$6004,R80,$O$5:$O$6004,"CONCLUÍDA",$N$5:$N$6004,"&gt;=-99")=0,"",_xlfn.MAXIFS($N$5:$N$6004,$C$5:$C$6004,R80,$O$5:$O$6004,"CONCLUÍDA")))</f>
        <v/>
      </c>
      <c r="Z80" s="2">
        <f>IF(R80="","",IF(COUNTIFS($C$5:$C$6004,R80,$O$5:$O$6004,"EM ANDAMENTO",$N$5:$N$6004,"&gt;=-99")=0,"",_xlfn.MAXIFS($N$5:$N$6004,$C$5:$C$6004,R80,$O$5:$O$6004,"EM ANDAMENTO")))</f>
        <v/>
      </c>
      <c r="AA80" s="2">
        <f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/>
      </c>
    </row>
    <row r="81">
      <c r="B81" s="4" t="n">
        <v>10645740</v>
      </c>
      <c r="C81" s="4" t="inlineStr">
        <is>
          <t>FUNDAÇÃO SUPERFICIAL - TRECHO C - N941</t>
        </is>
      </c>
      <c r="D81" s="4" t="inlineStr">
        <is>
          <t>Preparação bloco - B304/B313/B320|||B330/B305/B314|</t>
        </is>
      </c>
      <c r="E81" s="4" t="inlineStr">
        <is>
          <t>TÉRREO - GARAGENS</t>
        </is>
      </c>
      <c r="F81" s="119" t="n">
        <v>45818</v>
      </c>
      <c r="G81" s="119" t="n">
        <v>45824</v>
      </c>
      <c r="H81" s="119" t="n">
        <v>46293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IF(E81="","",IF(ISNUMBER(SEARCH("SUBSOLO",E81)),IFERROR(-VALUE(LEFT(E81,FIND("º",SUBSTITUTE(E81,"°","º"))-1)),-1),IF(LEFT(E81,6)="TÉRREO",0,IFERROR(VALUE(LEFT(E81,FIND("º",SUBSTITUTE(E81,"°","º"))-1)),""))))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ALVENARIA - SETOR C</t>
        </is>
      </c>
      <c r="S81" s="4" t="inlineStr">
        <is>
          <t>18</t>
        </is>
      </c>
      <c r="T81" s="4" t="inlineStr">
        <is>
          <t>Alvenaria - setor c</t>
        </is>
      </c>
      <c r="U81" s="4" t="inlineStr">
        <is>
          <t>NÃO</t>
        </is>
      </c>
      <c r="V81" s="2">
        <f>IF(R81="","",COUNTIF($C$5:$C$6004,R81))</f>
        <v/>
      </c>
      <c r="W81" s="2">
        <f>IF(R81="","",COUNTIFS($C$5:$C$6004,R81,$O$5:$O$6004,"CONCLUÍDA"))</f>
        <v/>
      </c>
      <c r="X81" s="2">
        <f>IF(R81="","",COUNTIFS($C$5:$C$6004,R81,$O$5:$O$6004,"EM ANDAMENTO"))</f>
        <v/>
      </c>
      <c r="Y81" s="2">
        <f>IF(R81="","",IF(COUNTIFS($C$5:$C$6004,R81,$O$5:$O$6004,"CONCLUÍDA",$N$5:$N$6004,"&gt;=-99")=0,"",_xlfn.MAXIFS($N$5:$N$6004,$C$5:$C$6004,R81,$O$5:$O$6004,"CONCLUÍDA")))</f>
        <v/>
      </c>
      <c r="Z81" s="2">
        <f>IF(R81="","",IF(COUNTIFS($C$5:$C$6004,R81,$O$5:$O$6004,"EM ANDAMENTO",$N$5:$N$6004,"&gt;=-99")=0,"",_xlfn.MAXIFS($N$5:$N$6004,$C$5:$C$6004,R81,$O$5:$O$6004,"EM ANDAMENTO")))</f>
        <v/>
      </c>
      <c r="AA81" s="2">
        <f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>
      <c r="B82" s="4" t="n">
        <v>10645741</v>
      </c>
      <c r="C82" s="4" t="inlineStr">
        <is>
          <t>FUNDAÇÃO SUPERFICIAL - TRECHO C - N941</t>
        </is>
      </c>
      <c r="D82" s="4" t="inlineStr">
        <is>
          <t>Preparação bloco - |B315/B306|||B316/B308</t>
        </is>
      </c>
      <c r="E82" s="4" t="inlineStr">
        <is>
          <t>TÉRREO - GARAGENS</t>
        </is>
      </c>
      <c r="F82" s="119" t="n">
        <v>45819</v>
      </c>
      <c r="G82" s="119" t="n">
        <v>45825</v>
      </c>
      <c r="H82" s="119" t="n">
        <v>46293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IF(E82="","",IF(ISNUMBER(SEARCH("SUBSOLO",E82)),IFERROR(-VALUE(LEFT(E82,FIND("º",SUBSTITUTE(E82,"°","º"))-1)),-1),IF(LEFT(E82,6)="TÉRREO",0,IFERROR(VALUE(LEFT(E82,FIND("º",SUBSTITUTE(E82,"°","º"))-1)),""))))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DISTRIBUIÇÃO HIDRÁULICA - SETOR B</t>
        </is>
      </c>
      <c r="S82" s="4" t="inlineStr">
        <is>
          <t>21</t>
        </is>
      </c>
      <c r="T82" s="4" t="inlineStr">
        <is>
          <t>Distribuição hidráulica - setor b</t>
        </is>
      </c>
      <c r="U82" s="4" t="inlineStr">
        <is>
          <t>NÃO</t>
        </is>
      </c>
      <c r="V82" s="2">
        <f>IF(R82="","",COUNTIF($C$5:$C$6004,R82))</f>
        <v/>
      </c>
      <c r="W82" s="2">
        <f>IF(R82="","",COUNTIFS($C$5:$C$6004,R82,$O$5:$O$6004,"CONCLUÍDA"))</f>
        <v/>
      </c>
      <c r="X82" s="2">
        <f>IF(R82="","",COUNTIFS($C$5:$C$6004,R82,$O$5:$O$6004,"EM ANDAMENTO"))</f>
        <v/>
      </c>
      <c r="Y82" s="2">
        <f>IF(R82="","",IF(COUNTIFS($C$5:$C$6004,R82,$O$5:$O$6004,"CONCLUÍDA",$N$5:$N$6004,"&gt;=-99")=0,"",_xlfn.MAXIFS($N$5:$N$6004,$C$5:$C$6004,R82,$O$5:$O$6004,"CONCLUÍDA")))</f>
        <v/>
      </c>
      <c r="Z82" s="2">
        <f>IF(R82="","",IF(COUNTIFS($C$5:$C$6004,R82,$O$5:$O$6004,"EM ANDAMENTO",$N$5:$N$6004,"&gt;=-99")=0,"",_xlfn.MAXIFS($N$5:$N$6004,$C$5:$C$6004,R82,$O$5:$O$6004,"EM ANDAMENTO")))</f>
        <v/>
      </c>
      <c r="AA82" s="2">
        <f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>
      <c r="B83" s="4" t="n">
        <v>10645742</v>
      </c>
      <c r="C83" s="4" t="inlineStr">
        <is>
          <t>FUNDAÇÃO SUPERFICIAL - TRECHO C - N941</t>
        </is>
      </c>
      <c r="D83" s="4" t="inlineStr">
        <is>
          <t>Preparação bloco - |B321/B323/B324|B331||</t>
        </is>
      </c>
      <c r="E83" s="4" t="inlineStr">
        <is>
          <t>TÉRREO - GARAGENS</t>
        </is>
      </c>
      <c r="F83" s="119" t="n">
        <v>45828</v>
      </c>
      <c r="G83" s="119" t="n">
        <v>45832</v>
      </c>
      <c r="H83" s="119" t="n">
        <v>46293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IF(E83="","",IF(ISNUMBER(SEARCH("SUBSOLO",E83)),IFERROR(-VALUE(LEFT(E83,FIND("º",SUBSTITUTE(E83,"°","º"))-1)),-1),IF(LEFT(E83,6)="TÉRREO",0,IFERROR(VALUE(LEFT(E83,FIND("º",SUBSTITUTE(E83,"°","º"))-1)),""))))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FACHADA POSTERIOR - F1 (A)</t>
        </is>
      </c>
      <c r="S83" s="4" t="inlineStr">
        <is>
          <t>32</t>
        </is>
      </c>
      <c r="T83" s="4" t="inlineStr">
        <is>
          <t>Fachada posterior - F1 (a)</t>
        </is>
      </c>
      <c r="U83" s="4" t="inlineStr">
        <is>
          <t>SIM</t>
        </is>
      </c>
      <c r="V83" s="2">
        <f>IF(R83="","",COUNTIF($C$5:$C$6004,R83))</f>
        <v/>
      </c>
      <c r="W83" s="2">
        <f>IF(R83="","",COUNTIFS($C$5:$C$6004,R83,$O$5:$O$6004,"CONCLUÍDA"))</f>
        <v/>
      </c>
      <c r="X83" s="2">
        <f>IF(R83="","",COUNTIFS($C$5:$C$6004,R83,$O$5:$O$6004,"EM ANDAMENTO"))</f>
        <v/>
      </c>
      <c r="Y83" s="2">
        <f>IF(R83="","",IF(COUNTIFS($C$5:$C$6004,R83,$O$5:$O$6004,"CONCLUÍDA",$N$5:$N$6004,"&gt;=-99")=0,"",_xlfn.MAXIFS($N$5:$N$6004,$C$5:$C$6004,R83,$O$5:$O$6004,"CONCLUÍDA")))</f>
        <v/>
      </c>
      <c r="Z83" s="2">
        <f>IF(R83="","",IF(COUNTIFS($C$5:$C$6004,R83,$O$5:$O$6004,"EM ANDAMENTO",$N$5:$N$6004,"&gt;=-99")=0,"",_xlfn.MAXIFS($N$5:$N$6004,$C$5:$C$6004,R83,$O$5:$O$6004,"EM ANDAMENTO")))</f>
        <v/>
      </c>
      <c r="AA83" s="2">
        <f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/>
      </c>
    </row>
    <row r="84">
      <c r="B84" s="4" t="n">
        <v>10645753</v>
      </c>
      <c r="C84" s="4" t="inlineStr">
        <is>
          <t>FUNDAÇÃO SUPERFICIAL - TRECHO C - N941</t>
        </is>
      </c>
      <c r="D84" s="4" t="inlineStr">
        <is>
          <t>Concreto - nível 941 - SC301 - 1ª etapa</t>
        </is>
      </c>
      <c r="E84" s="4" t="inlineStr">
        <is>
          <t>TÉRREO - GARAGENS</t>
        </is>
      </c>
      <c r="F84" s="119" t="n">
        <v>45835</v>
      </c>
      <c r="G84" s="119" t="n">
        <v>45835</v>
      </c>
      <c r="H84" s="119" t="n">
        <v>46293</v>
      </c>
      <c r="I84" s="4" t="n">
        <v>100</v>
      </c>
      <c r="J84" s="4" t="n">
        <v>100</v>
      </c>
      <c r="K84" s="4" t="n">
        <v>0</v>
      </c>
      <c r="M84" s="2">
        <f>IF(C84="","",IFERROR(INDEX($S$5:$S$304,MATCH(C84,$R$5:$R$304,0))&amp;"","?"))</f>
        <v/>
      </c>
      <c r="N84" s="2">
        <f>IF(E84="","",IF(ISNUMBER(SEARCH("SUBSOLO",E84)),IFERROR(-VALUE(LEFT(E84,FIND("º",SUBSTITUTE(E84,"°","º"))-1)),-1),IF(LEFT(E84,6)="TÉRREO",0,IFERROR(VALUE(LEFT(E84,FIND("º",SUBSTITUTE(E84,"°","º"))-1)),""))))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INFRAESTRUTURA ELÉTRICA (TETO) - SETOR C</t>
        </is>
      </c>
      <c r="S84" s="4" t="inlineStr">
        <is>
          <t>20</t>
        </is>
      </c>
      <c r="T84" s="4" t="inlineStr">
        <is>
          <t>Infraestrutura elétrica (teto) - setor c</t>
        </is>
      </c>
      <c r="U84" s="4" t="inlineStr">
        <is>
          <t>NÃO</t>
        </is>
      </c>
      <c r="V84" s="2">
        <f>IF(R84="","",COUNTIF($C$5:$C$6004,R84))</f>
        <v/>
      </c>
      <c r="W84" s="2">
        <f>IF(R84="","",COUNTIFS($C$5:$C$6004,R84,$O$5:$O$6004,"CONCLUÍDA"))</f>
        <v/>
      </c>
      <c r="X84" s="2">
        <f>IF(R84="","",COUNTIFS($C$5:$C$6004,R84,$O$5:$O$6004,"EM ANDAMENTO"))</f>
        <v/>
      </c>
      <c r="Y84" s="2">
        <f>IF(R84="","",IF(COUNTIFS($C$5:$C$6004,R84,$O$5:$O$6004,"CONCLUÍDA",$N$5:$N$6004,"&gt;=-99")=0,"",_xlfn.MAXIFS($N$5:$N$6004,$C$5:$C$6004,R84,$O$5:$O$6004,"CONCLUÍDA")))</f>
        <v/>
      </c>
      <c r="Z84" s="2">
        <f>IF(R84="","",IF(COUNTIFS($C$5:$C$6004,R84,$O$5:$O$6004,"EM ANDAMENTO",$N$5:$N$6004,"&gt;=-99")=0,"",_xlfn.MAXIFS($N$5:$N$6004,$C$5:$C$6004,R84,$O$5:$O$6004,"EM ANDAMENTO")))</f>
        <v/>
      </c>
      <c r="AA84" s="2">
        <f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>
      <c r="B85" s="4" t="n">
        <v>10645754</v>
      </c>
      <c r="C85" s="4" t="inlineStr">
        <is>
          <t>FUNDAÇÃO SUPERFICIAL - TRECHO C - N941</t>
        </is>
      </c>
      <c r="D85" s="4" t="inlineStr">
        <is>
          <t>Concreto - nível 941 - SC301 - 2ª etapa</t>
        </is>
      </c>
      <c r="E85" s="4" t="inlineStr">
        <is>
          <t>TÉRREO - GARAGENS</t>
        </is>
      </c>
      <c r="F85" s="119" t="n">
        <v>45848</v>
      </c>
      <c r="G85" s="119" t="n">
        <v>45848</v>
      </c>
      <c r="H85" s="119" t="n">
        <v>46293</v>
      </c>
      <c r="I85" s="4" t="n">
        <v>100</v>
      </c>
      <c r="J85" s="4" t="n">
        <v>100</v>
      </c>
      <c r="K85" s="4" t="n">
        <v>0</v>
      </c>
      <c r="M85" s="2">
        <f>IF(C85="","",IFERROR(INDEX($S$5:$S$304,MATCH(C85,$R$5:$R$304,0))&amp;"","?"))</f>
        <v/>
      </c>
      <c r="N85" s="2">
        <f>IF(E85="","",IF(ISNUMBER(SEARCH("SUBSOLO",E85)),IFERROR(-VALUE(LEFT(E85,FIND("º",SUBSTITUTE(E85,"°","º"))-1)),-1),IF(LEFT(E85,6)="TÉRREO",0,IFERROR(VALUE(LEFT(E85,FIND("º",SUBSTITUTE(E85,"°","º"))-1)),""))))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SHAFT INTERNO INST. HIDRAÚLICAS</t>
        </is>
      </c>
      <c r="S85" s="4" t="inlineStr">
        <is>
          <t>21</t>
        </is>
      </c>
      <c r="T85" s="4" t="inlineStr">
        <is>
          <t>Shaft interno inst. hidraúlicas</t>
        </is>
      </c>
      <c r="U85" s="4" t="inlineStr">
        <is>
          <t>SIM</t>
        </is>
      </c>
      <c r="V85" s="2">
        <f>IF(R85="","",COUNTIF($C$5:$C$6004,R85))</f>
        <v/>
      </c>
      <c r="W85" s="2">
        <f>IF(R85="","",COUNTIFS($C$5:$C$6004,R85,$O$5:$O$6004,"CONCLUÍDA"))</f>
        <v/>
      </c>
      <c r="X85" s="2">
        <f>IF(R85="","",COUNTIFS($C$5:$C$6004,R85,$O$5:$O$6004,"EM ANDAMENTO"))</f>
        <v/>
      </c>
      <c r="Y85" s="2">
        <f>IF(R85="","",IF(COUNTIFS($C$5:$C$6004,R85,$O$5:$O$6004,"CONCLUÍDA",$N$5:$N$6004,"&gt;=-99")=0,"",_xlfn.MAXIFS($N$5:$N$6004,$C$5:$C$6004,R85,$O$5:$O$6004,"CONCLUÍDA")))</f>
        <v/>
      </c>
      <c r="Z85" s="2">
        <f>IF(R85="","",IF(COUNTIFS($C$5:$C$6004,R85,$O$5:$O$6004,"EM ANDAMENTO",$N$5:$N$6004,"&gt;=-99")=0,"",_xlfn.MAXIFS($N$5:$N$6004,$C$5:$C$6004,R85,$O$5:$O$6004,"EM ANDAMENTO")))</f>
        <v/>
      </c>
      <c r="AA85" s="2">
        <f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/>
      </c>
    </row>
    <row r="86">
      <c r="B86" s="4" t="n">
        <v>10712431</v>
      </c>
      <c r="C86" s="4" t="inlineStr">
        <is>
          <t>FUNDAÇÃO SUPERFICIAL - TRECHO C - N941</t>
        </is>
      </c>
      <c r="D86" s="4" t="inlineStr">
        <is>
          <t>Forma - sapata corrida SC01</t>
        </is>
      </c>
      <c r="E86" s="4" t="inlineStr">
        <is>
          <t>TÉRREO - GARAGENS</t>
        </is>
      </c>
      <c r="F86" s="119" t="n">
        <v>45838</v>
      </c>
      <c r="G86" s="119" t="n">
        <v>45847</v>
      </c>
      <c r="H86" s="119" t="n">
        <v>46293</v>
      </c>
      <c r="I86" s="4" t="n">
        <v>100</v>
      </c>
      <c r="J86" s="4" t="n">
        <v>100</v>
      </c>
      <c r="K86" s="4" t="n">
        <v>0</v>
      </c>
      <c r="M86" s="2">
        <f>IF(C86="","",IFERROR(INDEX($S$5:$S$304,MATCH(C86,$R$5:$R$304,0))&amp;"","?"))</f>
        <v/>
      </c>
      <c r="N86" s="2">
        <f>IF(E86="","",IF(ISNUMBER(SEARCH("SUBSOLO",E86)),IFERROR(-VALUE(LEFT(E86,FIND("º",SUBSTITUTE(E86,"°","º"))-1)),-1),IF(LEFT(E86,6)="TÉRREO",0,IFERROR(VALUE(LEFT(E86,FIND("º",SUBSTITUTE(E86,"°","º"))-1)),""))))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PRUMADA DE INCÊNDIO</t>
        </is>
      </c>
      <c r="S86" s="4" t="inlineStr">
        <is>
          <t>22</t>
        </is>
      </c>
      <c r="T86" s="4" t="inlineStr">
        <is>
          <t>Prumada de incêndio</t>
        </is>
      </c>
      <c r="U86" s="4" t="inlineStr">
        <is>
          <t>SIM</t>
        </is>
      </c>
      <c r="V86" s="2">
        <f>IF(R86="","",COUNTIF($C$5:$C$6004,R86))</f>
        <v/>
      </c>
      <c r="W86" s="2">
        <f>IF(R86="","",COUNTIFS($C$5:$C$6004,R86,$O$5:$O$6004,"CONCLUÍDA"))</f>
        <v/>
      </c>
      <c r="X86" s="2">
        <f>IF(R86="","",COUNTIFS($C$5:$C$6004,R86,$O$5:$O$6004,"EM ANDAMENTO"))</f>
        <v/>
      </c>
      <c r="Y86" s="2">
        <f>IF(R86="","",IF(COUNTIFS($C$5:$C$6004,R86,$O$5:$O$6004,"CONCLUÍDA",$N$5:$N$6004,"&gt;=-99")=0,"",_xlfn.MAXIFS($N$5:$N$6004,$C$5:$C$6004,R86,$O$5:$O$6004,"CONCLUÍDA")))</f>
        <v/>
      </c>
      <c r="Z86" s="2">
        <f>IF(R86="","",IF(COUNTIFS($C$5:$C$6004,R86,$O$5:$O$6004,"EM ANDAMENTO",$N$5:$N$6004,"&gt;=-99")=0,"",_xlfn.MAXIFS($N$5:$N$6004,$C$5:$C$6004,R86,$O$5:$O$6004,"EM ANDAMENTO")))</f>
        <v/>
      </c>
      <c r="AA86" s="2">
        <f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/>
      </c>
    </row>
    <row r="87">
      <c r="B87" s="4" t="n">
        <v>10712468</v>
      </c>
      <c r="C87" s="4" t="inlineStr">
        <is>
          <t>FUNDAÇÃO SUPERFICIAL - TRECHO C - N941</t>
        </is>
      </c>
      <c r="D87" s="4" t="inlineStr">
        <is>
          <t>Concreto - Setor C - blocos e cintas</t>
        </is>
      </c>
      <c r="E87" s="4" t="inlineStr">
        <is>
          <t>TÉRREO - GARAGENS</t>
        </is>
      </c>
      <c r="F87" s="119" t="n">
        <v>45833</v>
      </c>
      <c r="G87" s="119" t="n">
        <v>45833</v>
      </c>
      <c r="H87" s="119" t="n">
        <v>46293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IF(E87="","",IF(ISNUMBER(SEARCH("SUBSOLO",E87)),IFERROR(-VALUE(LEFT(E87,FIND("º",SUBSTITUTE(E87,"°","º"))-1)),-1),IF(LEFT(E87,6)="TÉRREO",0,IFERROR(VALUE(LEFT(E87,FIND("º",SUBSTITUTE(E87,"°","º"))-1)),""))))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CONTRAMARCO</t>
        </is>
      </c>
      <c r="S87" s="4" t="inlineStr">
        <is>
          <t>25</t>
        </is>
      </c>
      <c r="T87" s="4" t="inlineStr">
        <is>
          <t>Contramarco</t>
        </is>
      </c>
      <c r="U87" s="4" t="inlineStr">
        <is>
          <t>SIM</t>
        </is>
      </c>
      <c r="V87" s="2">
        <f>IF(R87="","",COUNTIF($C$5:$C$6004,R87))</f>
        <v/>
      </c>
      <c r="W87" s="2">
        <f>IF(R87="","",COUNTIFS($C$5:$C$6004,R87,$O$5:$O$6004,"CONCLUÍDA"))</f>
        <v/>
      </c>
      <c r="X87" s="2">
        <f>IF(R87="","",COUNTIFS($C$5:$C$6004,R87,$O$5:$O$6004,"EM ANDAMENTO"))</f>
        <v/>
      </c>
      <c r="Y87" s="2">
        <f>IF(R87="","",IF(COUNTIFS($C$5:$C$6004,R87,$O$5:$O$6004,"CONCLUÍDA",$N$5:$N$6004,"&gt;=-99")=0,"",_xlfn.MAXIFS($N$5:$N$6004,$C$5:$C$6004,R87,$O$5:$O$6004,"CONCLUÍDA")))</f>
        <v/>
      </c>
      <c r="Z87" s="2">
        <f>IF(R87="","",IF(COUNTIFS($C$5:$C$6004,R87,$O$5:$O$6004,"EM ANDAMENTO",$N$5:$N$6004,"&gt;=-99")=0,"",_xlfn.MAXIFS($N$5:$N$6004,$C$5:$C$6004,R87,$O$5:$O$6004,"EM ANDAMENTO")))</f>
        <v/>
      </c>
      <c r="AA87" s="2">
        <f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/>
      </c>
    </row>
    <row r="88">
      <c r="B88" s="4" t="n">
        <v>22146026</v>
      </c>
      <c r="C88" s="4" t="inlineStr">
        <is>
          <t>ESTRUTURA EMBASAMENTO B</t>
        </is>
      </c>
      <c r="D88" s="4" t="inlineStr">
        <is>
          <t>-</t>
        </is>
      </c>
      <c r="E88" s="4" t="inlineStr">
        <is>
          <t>3º PAV. - PILOTIS</t>
        </is>
      </c>
      <c r="F88" s="119" t="n">
        <v>45855</v>
      </c>
      <c r="G88" s="119" t="n">
        <v>45905</v>
      </c>
      <c r="H88" s="119" t="n">
        <v>46293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IF(E88="","",IF(ISNUMBER(SEARCH("SUBSOLO",E88)),IFERROR(-VALUE(LEFT(E88,FIND("º",SUBSTITUTE(E88,"°","º"))-1)),-1),IF(LEFT(E88,6)="TÉRREO",0,IFERROR(VALUE(LEFT(E88,FIND("º",SUBSTITUTE(E88,"°","º"))-1)),""))))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INSTALAÇÕES HIDRÁULICAS</t>
        </is>
      </c>
      <c r="S88" s="4" t="inlineStr">
        <is>
          <t>21</t>
        </is>
      </c>
      <c r="T88" s="4" t="inlineStr">
        <is>
          <t>Inst. hidráulicas</t>
        </is>
      </c>
      <c r="U88" s="4" t="inlineStr">
        <is>
          <t>NÃO</t>
        </is>
      </c>
      <c r="V88" s="2">
        <f>IF(R88="","",COUNTIF($C$5:$C$6004,R88))</f>
        <v/>
      </c>
      <c r="W88" s="2">
        <f>IF(R88="","",COUNTIFS($C$5:$C$6004,R88,$O$5:$O$6004,"CONCLUÍDA"))</f>
        <v/>
      </c>
      <c r="X88" s="2">
        <f>IF(R88="","",COUNTIFS($C$5:$C$6004,R88,$O$5:$O$6004,"EM ANDAMENTO"))</f>
        <v/>
      </c>
      <c r="Y88" s="2">
        <f>IF(R88="","",IF(COUNTIFS($C$5:$C$6004,R88,$O$5:$O$6004,"CONCLUÍDA",$N$5:$N$6004,"&gt;=-99")=0,"",_xlfn.MAXIFS($N$5:$N$6004,$C$5:$C$6004,R88,$O$5:$O$6004,"CONCLUÍDA")))</f>
        <v/>
      </c>
      <c r="Z88" s="2">
        <f>IF(R88="","",IF(COUNTIFS($C$5:$C$6004,R88,$O$5:$O$6004,"EM ANDAMENTO",$N$5:$N$6004,"&gt;=-99")=0,"",_xlfn.MAXIFS($N$5:$N$6004,$C$5:$C$6004,R88,$O$5:$O$6004,"EM ANDAMENTO")))</f>
        <v/>
      </c>
      <c r="AA88" s="2">
        <f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>
      <c r="B89" s="4" t="n">
        <v>13002004</v>
      </c>
      <c r="C89" s="4" t="inlineStr">
        <is>
          <t>ESTRUTURA EMBASAMENTO B</t>
        </is>
      </c>
      <c r="D89" s="4" t="inlineStr">
        <is>
          <t>Lote 1 - armação de vigas e laje</t>
        </is>
      </c>
      <c r="E89" s="4" t="inlineStr">
        <is>
          <t>3º PAV. - PILOTIS</t>
        </is>
      </c>
      <c r="F89" s="119" t="n">
        <v>45855</v>
      </c>
      <c r="G89" s="119" t="n">
        <v>45876</v>
      </c>
      <c r="H89" s="119" t="n">
        <v>46293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IF(E89="","",IF(ISNUMBER(SEARCH("SUBSOLO",E89)),IFERROR(-VALUE(LEFT(E89,FIND("º",SUBSTITUTE(E89,"°","º"))-1)),-1),IF(LEFT(E89,6)="TÉRREO",0,IFERROR(VALUE(LEFT(E89,FIND("º",SUBSTITUTE(E89,"°","º"))-1)),""))))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PRUMADA ELÉTRICA INFRA</t>
        </is>
      </c>
      <c r="S89" s="4" t="inlineStr">
        <is>
          <t>20</t>
        </is>
      </c>
      <c r="T89" s="4" t="inlineStr">
        <is>
          <t>Prumada elétrica infra</t>
        </is>
      </c>
      <c r="U89" s="4" t="inlineStr">
        <is>
          <t>SIM</t>
        </is>
      </c>
      <c r="V89" s="2">
        <f>IF(R89="","",COUNTIF($C$5:$C$6004,R89))</f>
        <v/>
      </c>
      <c r="W89" s="2">
        <f>IF(R89="","",COUNTIFS($C$5:$C$6004,R89,$O$5:$O$6004,"CONCLUÍDA"))</f>
        <v/>
      </c>
      <c r="X89" s="2">
        <f>IF(R89="","",COUNTIFS($C$5:$C$6004,R89,$O$5:$O$6004,"EM ANDAMENTO"))</f>
        <v/>
      </c>
      <c r="Y89" s="2">
        <f>IF(R89="","",IF(COUNTIFS($C$5:$C$6004,R89,$O$5:$O$6004,"CONCLUÍDA",$N$5:$N$6004,"&gt;=-99")=0,"",_xlfn.MAXIFS($N$5:$N$6004,$C$5:$C$6004,R89,$O$5:$O$6004,"CONCLUÍDA")))</f>
        <v/>
      </c>
      <c r="Z89" s="2">
        <f>IF(R89="","",IF(COUNTIFS($C$5:$C$6004,R89,$O$5:$O$6004,"EM ANDAMENTO",$N$5:$N$6004,"&gt;=-99")=0,"",_xlfn.MAXIFS($N$5:$N$6004,$C$5:$C$6004,R89,$O$5:$O$6004,"EM ANDAMENTO")))</f>
        <v/>
      </c>
      <c r="AA89" s="2">
        <f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/>
      </c>
    </row>
    <row r="90">
      <c r="B90" s="4" t="n">
        <v>13002005</v>
      </c>
      <c r="C90" s="4" t="inlineStr">
        <is>
          <t>ESTRUTURA EMBASAMENTO B</t>
        </is>
      </c>
      <c r="D90" s="4" t="inlineStr">
        <is>
          <t>Lote 1 - protenção de cabos - lançamento de cabos - V225 e V213</t>
        </is>
      </c>
      <c r="E90" s="4" t="inlineStr">
        <is>
          <t>3º PAV. - PILOTIS</t>
        </is>
      </c>
      <c r="F90" s="119" t="n">
        <v>45870</v>
      </c>
      <c r="G90" s="119" t="n">
        <v>45870</v>
      </c>
      <c r="H90" s="119" t="n">
        <v>46293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IF(E90="","",IF(ISNUMBER(SEARCH("SUBSOLO",E90)),IFERROR(-VALUE(LEFT(E90,FIND("º",SUBSTITUTE(E90,"°","º"))-1)),-1),IF(LEFT(E90,6)="TÉRREO",0,IFERROR(VALUE(LEFT(E90,FIND("º",SUBSTITUTE(E90,"°","º"))-1)),""))))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ALVENARIA - SETOR A</t>
        </is>
      </c>
      <c r="S90" s="4" t="inlineStr">
        <is>
          <t>18</t>
        </is>
      </c>
      <c r="T90" s="4" t="inlineStr">
        <is>
          <t>Alvenaria - setor a</t>
        </is>
      </c>
      <c r="U90" s="4" t="inlineStr">
        <is>
          <t>NÃO</t>
        </is>
      </c>
      <c r="V90" s="2">
        <f>IF(R90="","",COUNTIF($C$5:$C$6004,R90))</f>
        <v/>
      </c>
      <c r="W90" s="2">
        <f>IF(R90="","",COUNTIFS($C$5:$C$6004,R90,$O$5:$O$6004,"CONCLUÍDA"))</f>
        <v/>
      </c>
      <c r="X90" s="2">
        <f>IF(R90="","",COUNTIFS($C$5:$C$6004,R90,$O$5:$O$6004,"EM ANDAMENTO"))</f>
        <v/>
      </c>
      <c r="Y90" s="2">
        <f>IF(R90="","",IF(COUNTIFS($C$5:$C$6004,R90,$O$5:$O$6004,"CONCLUÍDA",$N$5:$N$6004,"&gt;=-99")=0,"",_xlfn.MAXIFS($N$5:$N$6004,$C$5:$C$6004,R90,$O$5:$O$6004,"CONCLUÍDA")))</f>
        <v/>
      </c>
      <c r="Z90" s="2">
        <f>IF(R90="","",IF(COUNTIFS($C$5:$C$6004,R90,$O$5:$O$6004,"EM ANDAMENTO",$N$5:$N$6004,"&gt;=-99")=0,"",_xlfn.MAXIFS($N$5:$N$6004,$C$5:$C$6004,R90,$O$5:$O$6004,"EM ANDAMENTO")))</f>
        <v/>
      </c>
      <c r="AA90" s="2">
        <f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>
      <c r="B91" s="4" t="n">
        <v>13011751</v>
      </c>
      <c r="C91" s="4" t="inlineStr">
        <is>
          <t>ESTRUTURA EMBASAMENTO B</t>
        </is>
      </c>
      <c r="D91" s="4" t="inlineStr">
        <is>
          <t>Lote 1 - fechamento do painel externo das vigas V211 e V213</t>
        </is>
      </c>
      <c r="E91" s="4" t="inlineStr">
        <is>
          <t>3º PAV. - PILOTIS</t>
        </is>
      </c>
      <c r="F91" s="119" t="n">
        <v>45873</v>
      </c>
      <c r="G91" s="119" t="n">
        <v>45875</v>
      </c>
      <c r="H91" s="119" t="n">
        <v>46293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IF(E91="","",IF(ISNUMBER(SEARCH("SUBSOLO",E91)),IFERROR(-VALUE(LEFT(E91,FIND("º",SUBSTITUTE(E91,"°","º"))-1)),-1),IF(LEFT(E91,6)="TÉRREO",0,IFERROR(VALUE(LEFT(E91,FIND("º",SUBSTITUTE(E91,"°","º"))-1)),""))))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DISTRIBUIÇÃO ELÉTRICA / QUADRO - SETOR C</t>
        </is>
      </c>
      <c r="S91" s="4" t="inlineStr">
        <is>
          <t>20</t>
        </is>
      </c>
      <c r="T91" s="4" t="inlineStr">
        <is>
          <t>Distribuição elétrica / quadro - setor c</t>
        </is>
      </c>
      <c r="U91" s="4" t="inlineStr">
        <is>
          <t>NÃO</t>
        </is>
      </c>
      <c r="V91" s="2">
        <f>IF(R91="","",COUNTIF($C$5:$C$6004,R91))</f>
        <v/>
      </c>
      <c r="W91" s="2">
        <f>IF(R91="","",COUNTIFS($C$5:$C$6004,R91,$O$5:$O$6004,"CONCLUÍDA"))</f>
        <v/>
      </c>
      <c r="X91" s="2">
        <f>IF(R91="","",COUNTIFS($C$5:$C$6004,R91,$O$5:$O$6004,"EM ANDAMENTO"))</f>
        <v/>
      </c>
      <c r="Y91" s="2">
        <f>IF(R91="","",IF(COUNTIFS($C$5:$C$6004,R91,$O$5:$O$6004,"CONCLUÍDA",$N$5:$N$6004,"&gt;=-99")=0,"",_xlfn.MAXIFS($N$5:$N$6004,$C$5:$C$6004,R91,$O$5:$O$6004,"CONCLUÍDA")))</f>
        <v/>
      </c>
      <c r="Z91" s="2">
        <f>IF(R91="","",IF(COUNTIFS($C$5:$C$6004,R91,$O$5:$O$6004,"EM ANDAMENTO",$N$5:$N$6004,"&gt;=-99")=0,"",_xlfn.MAXIFS($N$5:$N$6004,$C$5:$C$6004,R91,$O$5:$O$6004,"EM ANDAMENTO")))</f>
        <v/>
      </c>
      <c r="AA91" s="2">
        <f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>
      <c r="B92" s="4" t="n">
        <v>13011752</v>
      </c>
      <c r="C92" s="4" t="inlineStr">
        <is>
          <t>ESTRUTURA EMBASAMENTO B</t>
        </is>
      </c>
      <c r="D92" s="4" t="inlineStr">
        <is>
          <t>Lote 1 - concreto laje L219</t>
        </is>
      </c>
      <c r="E92" s="4" t="inlineStr">
        <is>
          <t>3º PAV. - PILOTIS</t>
        </is>
      </c>
      <c r="F92" s="119" t="n">
        <v>45877</v>
      </c>
      <c r="G92" s="119" t="n">
        <v>45877</v>
      </c>
      <c r="H92" s="119" t="n">
        <v>46293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IF(E92="","",IF(ISNUMBER(SEARCH("SUBSOLO",E92)),IFERROR(-VALUE(LEFT(E92,FIND("º",SUBSTITUTE(E92,"°","º"))-1)),-1),IF(LEFT(E92,6)="TÉRREO",0,IFERROR(VALUE(LEFT(E92,FIND("º",SUBSTITUTE(E92,"°","º"))-1)),""))))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DISTRIBUIÇÃO HIDRÁULICA - SETOR C</t>
        </is>
      </c>
      <c r="S92" s="4" t="inlineStr">
        <is>
          <t>21</t>
        </is>
      </c>
      <c r="T92" s="4" t="inlineStr">
        <is>
          <t>Distribuição hidráulica - setor c</t>
        </is>
      </c>
      <c r="U92" s="4" t="inlineStr">
        <is>
          <t>NÃO</t>
        </is>
      </c>
      <c r="V92" s="2">
        <f>IF(R92="","",COUNTIF($C$5:$C$6004,R92))</f>
        <v/>
      </c>
      <c r="W92" s="2">
        <f>IF(R92="","",COUNTIFS($C$5:$C$6004,R92,$O$5:$O$6004,"CONCLUÍDA"))</f>
        <v/>
      </c>
      <c r="X92" s="2">
        <f>IF(R92="","",COUNTIFS($C$5:$C$6004,R92,$O$5:$O$6004,"EM ANDAMENTO"))</f>
        <v/>
      </c>
      <c r="Y92" s="2">
        <f>IF(R92="","",IF(COUNTIFS($C$5:$C$6004,R92,$O$5:$O$6004,"CONCLUÍDA",$N$5:$N$6004,"&gt;=-99")=0,"",_xlfn.MAXIFS($N$5:$N$6004,$C$5:$C$6004,R92,$O$5:$O$6004,"CONCLUÍDA")))</f>
        <v/>
      </c>
      <c r="Z92" s="2">
        <f>IF(R92="","",IF(COUNTIFS($C$5:$C$6004,R92,$O$5:$O$6004,"EM ANDAMENTO",$N$5:$N$6004,"&gt;=-99")=0,"",_xlfn.MAXIFS($N$5:$N$6004,$C$5:$C$6004,R92,$O$5:$O$6004,"EM ANDAMENTO")))</f>
        <v/>
      </c>
      <c r="AA92" s="2">
        <f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/>
      </c>
    </row>
    <row r="93">
      <c r="B93" s="4" t="n">
        <v>13011753</v>
      </c>
      <c r="C93" s="4" t="inlineStr">
        <is>
          <t>ESTRUTURA EMBASAMENTO B</t>
        </is>
      </c>
      <c r="D93" s="4" t="inlineStr">
        <is>
          <t>Lote 1 - fechamento painel interno vigas V211, V213 e V212</t>
        </is>
      </c>
      <c r="E93" s="4" t="inlineStr">
        <is>
          <t>3º PAV. - PILOTIS</t>
        </is>
      </c>
      <c r="F93" s="119" t="n">
        <v>45880</v>
      </c>
      <c r="G93" s="119" t="n">
        <v>45880</v>
      </c>
      <c r="H93" s="119" t="n">
        <v>46293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IF(E93="","",IF(ISNUMBER(SEARCH("SUBSOLO",E93)),IFERROR(-VALUE(LEFT(E93,FIND("º",SUBSTITUTE(E93,"°","º"))-1)),-1),IF(LEFT(E93,6)="TÉRREO",0,IFERROR(VALUE(LEFT(E93,FIND("º",SUBSTITUTE(E93,"°","º"))-1)),""))))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ENCUNHAMENTO</t>
        </is>
      </c>
      <c r="S93" s="4" t="inlineStr">
        <is>
          <t>18</t>
        </is>
      </c>
      <c r="T93" s="4" t="inlineStr">
        <is>
          <t>Encunhamento</t>
        </is>
      </c>
      <c r="U93" s="4" t="inlineStr">
        <is>
          <t>SIM</t>
        </is>
      </c>
      <c r="V93" s="2">
        <f>IF(R93="","",COUNTIF($C$5:$C$6004,R93))</f>
        <v/>
      </c>
      <c r="W93" s="2">
        <f>IF(R93="","",COUNTIFS($C$5:$C$6004,R93,$O$5:$O$6004,"CONCLUÍDA"))</f>
        <v/>
      </c>
      <c r="X93" s="2">
        <f>IF(R93="","",COUNTIFS($C$5:$C$6004,R93,$O$5:$O$6004,"EM ANDAMENTO"))</f>
        <v/>
      </c>
      <c r="Y93" s="2">
        <f>IF(R93="","",IF(COUNTIFS($C$5:$C$6004,R93,$O$5:$O$6004,"CONCLUÍDA",$N$5:$N$6004,"&gt;=-99")=0,"",_xlfn.MAXIFS($N$5:$N$6004,$C$5:$C$6004,R93,$O$5:$O$6004,"CONCLUÍDA")))</f>
        <v/>
      </c>
      <c r="Z93" s="2">
        <f>IF(R93="","",IF(COUNTIFS($C$5:$C$6004,R93,$O$5:$O$6004,"EM ANDAMENTO",$N$5:$N$6004,"&gt;=-99")=0,"",_xlfn.MAXIFS($N$5:$N$6004,$C$5:$C$6004,R93,$O$5:$O$6004,"EM ANDAMENTO")))</f>
        <v/>
      </c>
      <c r="AA93" s="2">
        <f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/>
      </c>
    </row>
    <row r="94">
      <c r="B94" s="4" t="n">
        <v>13011754</v>
      </c>
      <c r="C94" s="4" t="inlineStr">
        <is>
          <t>ESTRUTURA EMBASAMENTO B</t>
        </is>
      </c>
      <c r="D94" s="4" t="inlineStr">
        <is>
          <t>Lote 1 - concreto das vigas invertidas V211, V213 e V212</t>
        </is>
      </c>
      <c r="E94" s="4" t="inlineStr">
        <is>
          <t>3º PAV. - PILOTIS</t>
        </is>
      </c>
      <c r="F94" s="119" t="n">
        <v>45881</v>
      </c>
      <c r="G94" s="119" t="n">
        <v>45881</v>
      </c>
      <c r="H94" s="119" t="n">
        <v>46293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IF(E94="","",IF(ISNUMBER(SEARCH("SUBSOLO",E94)),IFERROR(-VALUE(LEFT(E94,FIND("º",SUBSTITUTE(E94,"°","º"))-1)),-1),IF(LEFT(E94,6)="TÉRREO",0,IFERROR(VALUE(LEFT(E94,FIND("º",SUBSTITUTE(E94,"°","º"))-1)),""))))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INFRAESTRUTURA ELÉTRICA (TETO) - SETOR A</t>
        </is>
      </c>
      <c r="S94" s="4" t="inlineStr">
        <is>
          <t>20</t>
        </is>
      </c>
      <c r="T94" s="4" t="inlineStr">
        <is>
          <t>Infraestrutura elétrica (teto) - setor a</t>
        </is>
      </c>
      <c r="U94" s="4" t="inlineStr">
        <is>
          <t>NÃO</t>
        </is>
      </c>
      <c r="V94" s="2">
        <f>IF(R94="","",COUNTIF($C$5:$C$6004,R94))</f>
        <v/>
      </c>
      <c r="W94" s="2">
        <f>IF(R94="","",COUNTIFS($C$5:$C$6004,R94,$O$5:$O$6004,"CONCLUÍDA"))</f>
        <v/>
      </c>
      <c r="X94" s="2">
        <f>IF(R94="","",COUNTIFS($C$5:$C$6004,R94,$O$5:$O$6004,"EM ANDAMENTO"))</f>
        <v/>
      </c>
      <c r="Y94" s="2">
        <f>IF(R94="","",IF(COUNTIFS($C$5:$C$6004,R94,$O$5:$O$6004,"CONCLUÍDA",$N$5:$N$6004,"&gt;=-99")=0,"",_xlfn.MAXIFS($N$5:$N$6004,$C$5:$C$6004,R94,$O$5:$O$6004,"CONCLUÍDA")))</f>
        <v/>
      </c>
      <c r="Z94" s="2">
        <f>IF(R94="","",IF(COUNTIFS($C$5:$C$6004,R94,$O$5:$O$6004,"EM ANDAMENTO",$N$5:$N$6004,"&gt;=-99")=0,"",_xlfn.MAXIFS($N$5:$N$6004,$C$5:$C$6004,R94,$O$5:$O$6004,"EM ANDAMENTO")))</f>
        <v/>
      </c>
      <c r="AA94" s="2">
        <f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>
      <c r="B95" s="4" t="n">
        <v>13011755</v>
      </c>
      <c r="C95" s="4" t="inlineStr">
        <is>
          <t>ESTRUTURA EMBASAMENTO B</t>
        </is>
      </c>
      <c r="D95" s="4" t="inlineStr">
        <is>
          <t>Lote 1 - protensão (puxada de cabo)</t>
        </is>
      </c>
      <c r="E95" s="4" t="inlineStr">
        <is>
          <t>3º PAV. - PILOTIS</t>
        </is>
      </c>
      <c r="F95" s="119" t="n">
        <v>45890</v>
      </c>
      <c r="G95" s="119" t="n">
        <v>45890</v>
      </c>
      <c r="H95" s="119" t="n">
        <v>46293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IF(E95="","",IF(ISNUMBER(SEARCH("SUBSOLO",E95)),IFERROR(-VALUE(LEFT(E95,FIND("º",SUBSTITUTE(E95,"°","º"))-1)),-1),IF(LEFT(E95,6)="TÉRREO",0,IFERROR(VALUE(LEFT(E95,FIND("º",SUBSTITUTE(E95,"°","º"))-1)),""))))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ESPALA ESQUADRIA DE ALUMINIO</t>
        </is>
      </c>
      <c r="S95" s="4" t="inlineStr">
        <is>
          <t>25</t>
        </is>
      </c>
      <c r="T95" s="4" t="inlineStr">
        <is>
          <t>Espala esquadria de aluminio</t>
        </is>
      </c>
      <c r="U95" s="4" t="inlineStr">
        <is>
          <t>SIM</t>
        </is>
      </c>
      <c r="V95" s="2">
        <f>IF(R95="","",COUNTIF($C$5:$C$6004,R95))</f>
        <v/>
      </c>
      <c r="W95" s="2">
        <f>IF(R95="","",COUNTIFS($C$5:$C$6004,R95,$O$5:$O$6004,"CONCLUÍDA"))</f>
        <v/>
      </c>
      <c r="X95" s="2">
        <f>IF(R95="","",COUNTIFS($C$5:$C$6004,R95,$O$5:$O$6004,"EM ANDAMENTO"))</f>
        <v/>
      </c>
      <c r="Y95" s="2">
        <f>IF(R95="","",IF(COUNTIFS($C$5:$C$6004,R95,$O$5:$O$6004,"CONCLUÍDA",$N$5:$N$6004,"&gt;=-99")=0,"",_xlfn.MAXIFS($N$5:$N$6004,$C$5:$C$6004,R95,$O$5:$O$6004,"CONCLUÍDA")))</f>
        <v/>
      </c>
      <c r="Z95" s="2">
        <f>IF(R95="","",IF(COUNTIFS($C$5:$C$6004,R95,$O$5:$O$6004,"EM ANDAMENTO",$N$5:$N$6004,"&gt;=-99")=0,"",_xlfn.MAXIFS($N$5:$N$6004,$C$5:$C$6004,R95,$O$5:$O$6004,"EM ANDAMENTO")))</f>
        <v/>
      </c>
      <c r="AA95" s="2">
        <f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/>
      </c>
    </row>
    <row r="96">
      <c r="B96" s="4" t="n">
        <v>13011756</v>
      </c>
      <c r="C96" s="4" t="inlineStr">
        <is>
          <t>ESTRUTURA EMBASAMENTO B</t>
        </is>
      </c>
      <c r="D96" s="4" t="inlineStr">
        <is>
          <t>Lote 2 - escoramento + forma</t>
        </is>
      </c>
      <c r="E96" s="4" t="inlineStr">
        <is>
          <t>3º PAV. - PILOTIS</t>
        </is>
      </c>
      <c r="F96" s="119" t="n">
        <v>45855</v>
      </c>
      <c r="G96" s="119" t="n">
        <v>45877</v>
      </c>
      <c r="H96" s="119" t="n">
        <v>46293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IF(E96="","",IF(ISNUMBER(SEARCH("SUBSOLO",E96)),IFERROR(-VALUE(LEFT(E96,FIND("º",SUBSTITUTE(E96,"°","º"))-1)),-1),IF(LEFT(E96,6)="TÉRREO",0,IFERROR(VALUE(LEFT(E96,FIND("º",SUBSTITUTE(E96,"°","º"))-1)),""))))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FACHADA JAIRO - F1 (B)</t>
        </is>
      </c>
      <c r="S96" s="4" t="inlineStr">
        <is>
          <t>32</t>
        </is>
      </c>
      <c r="T96" s="4" t="inlineStr">
        <is>
          <t>Fachada jairo - F1 (b)</t>
        </is>
      </c>
      <c r="U96" s="4" t="inlineStr">
        <is>
          <t>SIM</t>
        </is>
      </c>
      <c r="V96" s="2">
        <f>IF(R96="","",COUNTIF($C$5:$C$6004,R96))</f>
        <v/>
      </c>
      <c r="W96" s="2">
        <f>IF(R96="","",COUNTIFS($C$5:$C$6004,R96,$O$5:$O$6004,"CONCLUÍDA"))</f>
        <v/>
      </c>
      <c r="X96" s="2">
        <f>IF(R96="","",COUNTIFS($C$5:$C$6004,R96,$O$5:$O$6004,"EM ANDAMENTO"))</f>
        <v/>
      </c>
      <c r="Y96" s="2">
        <f>IF(R96="","",IF(COUNTIFS($C$5:$C$6004,R96,$O$5:$O$6004,"CONCLUÍDA",$N$5:$N$6004,"&gt;=-99")=0,"",_xlfn.MAXIFS($N$5:$N$6004,$C$5:$C$6004,R96,$O$5:$O$6004,"CONCLUÍDA")))</f>
        <v/>
      </c>
      <c r="Z96" s="2">
        <f>IF(R96="","",IF(COUNTIFS($C$5:$C$6004,R96,$O$5:$O$6004,"EM ANDAMENTO",$N$5:$N$6004,"&gt;=-99")=0,"",_xlfn.MAXIFS($N$5:$N$6004,$C$5:$C$6004,R96,$O$5:$O$6004,"EM ANDAMENTO")))</f>
        <v/>
      </c>
      <c r="AA96" s="2">
        <f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/>
      </c>
    </row>
    <row r="97">
      <c r="B97" s="4" t="n">
        <v>13011757</v>
      </c>
      <c r="C97" s="4" t="inlineStr">
        <is>
          <t>ESTRUTURA EMBASAMENTO B</t>
        </is>
      </c>
      <c r="D97" s="4" t="inlineStr">
        <is>
          <t>Lote 2 - armação de vigas e laje</t>
        </is>
      </c>
      <c r="E97" s="4" t="inlineStr">
        <is>
          <t>3º PAV. - PILOTIS</t>
        </is>
      </c>
      <c r="F97" s="119" t="n">
        <v>45866</v>
      </c>
      <c r="G97" s="119" t="n">
        <v>45880</v>
      </c>
      <c r="H97" s="119" t="n">
        <v>46293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IF(E97="","",IF(ISNUMBER(SEARCH("SUBSOLO",E97)),IFERROR(-VALUE(LEFT(E97,FIND("º",SUBSTITUTE(E97,"°","º"))-1)),-1),IF(LEFT(E97,6)="TÉRREO",0,IFERROR(VALUE(LEFT(E97,FIND("º",SUBSTITUTE(E97,"°","º"))-1)),""))))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DISTRIBUIÇÃO ELÉTRICA / QUADRO - SETOR A</t>
        </is>
      </c>
      <c r="S97" s="4" t="inlineStr">
        <is>
          <t>20</t>
        </is>
      </c>
      <c r="T97" s="4" t="inlineStr">
        <is>
          <t>Distribuição elétrica / quadro - setor a</t>
        </is>
      </c>
      <c r="U97" s="4" t="inlineStr">
        <is>
          <t>NÃO</t>
        </is>
      </c>
      <c r="V97" s="2">
        <f>IF(R97="","",COUNTIF($C$5:$C$6004,R97))</f>
        <v/>
      </c>
      <c r="W97" s="2">
        <f>IF(R97="","",COUNTIFS($C$5:$C$6004,R97,$O$5:$O$6004,"CONCLUÍDA"))</f>
        <v/>
      </c>
      <c r="X97" s="2">
        <f>IF(R97="","",COUNTIFS($C$5:$C$6004,R97,$O$5:$O$6004,"EM ANDAMENTO"))</f>
        <v/>
      </c>
      <c r="Y97" s="2">
        <f>IF(R97="","",IF(COUNTIFS($C$5:$C$6004,R97,$O$5:$O$6004,"CONCLUÍDA",$N$5:$N$6004,"&gt;=-99")=0,"",_xlfn.MAXIFS($N$5:$N$6004,$C$5:$C$6004,R97,$O$5:$O$6004,"CONCLUÍDA")))</f>
        <v/>
      </c>
      <c r="Z97" s="2">
        <f>IF(R97="","",IF(COUNTIFS($C$5:$C$6004,R97,$O$5:$O$6004,"EM ANDAMENTO",$N$5:$N$6004,"&gt;=-99")=0,"",_xlfn.MAXIFS($N$5:$N$6004,$C$5:$C$6004,R97,$O$5:$O$6004,"EM ANDAMENTO")))</f>
        <v/>
      </c>
      <c r="AA97" s="2">
        <f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>
      <c r="B98" s="4" t="n">
        <v>13011758</v>
      </c>
      <c r="C98" s="4" t="inlineStr">
        <is>
          <t>ESTRUTURA EMBASAMENTO B</t>
        </is>
      </c>
      <c r="D98" s="4" t="inlineStr">
        <is>
          <t>Lote 2 - protenção de cabos - lançamento de cabos - V501, V502, V503, V504, V505 e V508</t>
        </is>
      </c>
      <c r="E98" s="4" t="inlineStr">
        <is>
          <t>3º PAV. - PILOTIS</t>
        </is>
      </c>
      <c r="F98" s="119" t="n">
        <v>45876</v>
      </c>
      <c r="G98" s="119" t="n">
        <v>45877</v>
      </c>
      <c r="H98" s="119" t="n">
        <v>46293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IF(E98="","",IF(ISNUMBER(SEARCH("SUBSOLO",E98)),IFERROR(-VALUE(LEFT(E98,FIND("º",SUBSTITUTE(E98,"°","º"))-1)),-1),IF(LEFT(E98,6)="TÉRREO",0,IFERROR(VALUE(LEFT(E98,FIND("º",SUBSTITUTE(E98,"°","º"))-1)),""))))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DISTRIBUIÇÃO HIDRÁULICA - SETOR A</t>
        </is>
      </c>
      <c r="S98" s="4" t="inlineStr">
        <is>
          <t>21</t>
        </is>
      </c>
      <c r="T98" s="4" t="inlineStr">
        <is>
          <t>Distribuição hidráulica - setor a</t>
        </is>
      </c>
      <c r="U98" s="4" t="inlineStr">
        <is>
          <t>NÃO</t>
        </is>
      </c>
      <c r="V98" s="2">
        <f>IF(R98="","",COUNTIF($C$5:$C$6004,R98))</f>
        <v/>
      </c>
      <c r="W98" s="2">
        <f>IF(R98="","",COUNTIFS($C$5:$C$6004,R98,$O$5:$O$6004,"CONCLUÍDA"))</f>
        <v/>
      </c>
      <c r="X98" s="2">
        <f>IF(R98="","",COUNTIFS($C$5:$C$6004,R98,$O$5:$O$6004,"EM ANDAMENTO"))</f>
        <v/>
      </c>
      <c r="Y98" s="2">
        <f>IF(R98="","",IF(COUNTIFS($C$5:$C$6004,R98,$O$5:$O$6004,"CONCLUÍDA",$N$5:$N$6004,"&gt;=-99")=0,"",_xlfn.MAXIFS($N$5:$N$6004,$C$5:$C$6004,R98,$O$5:$O$6004,"CONCLUÍDA")))</f>
        <v/>
      </c>
      <c r="Z98" s="2">
        <f>IF(R98="","",IF(COUNTIFS($C$5:$C$6004,R98,$O$5:$O$6004,"EM ANDAMENTO",$N$5:$N$6004,"&gt;=-99")=0,"",_xlfn.MAXIFS($N$5:$N$6004,$C$5:$C$6004,R98,$O$5:$O$6004,"EM ANDAMENTO")))</f>
        <v/>
      </c>
      <c r="AA98" s="2">
        <f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>
      <c r="B99" s="4" t="n">
        <v>13011759</v>
      </c>
      <c r="C99" s="4" t="inlineStr">
        <is>
          <t>ESTRUTURA EMBASAMENTO B</t>
        </is>
      </c>
      <c r="D99" s="4" t="inlineStr">
        <is>
          <t>Lote 2 - concreto laje L219</t>
        </is>
      </c>
      <c r="E99" s="4" t="inlineStr">
        <is>
          <t>3º PAV. - PILOTIS</t>
        </is>
      </c>
      <c r="F99" s="119" t="n">
        <v>45881</v>
      </c>
      <c r="G99" s="119" t="n">
        <v>45881</v>
      </c>
      <c r="H99" s="119" t="n">
        <v>46293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IF(E99="","",IF(ISNUMBER(SEARCH("SUBSOLO",E99)),IFERROR(-VALUE(LEFT(E99,FIND("º",SUBSTITUTE(E99,"°","º"))-1)),-1),IF(LEFT(E99,6)="TÉRREO",0,IFERROR(VALUE(LEFT(E99,FIND("º",SUBSTITUTE(E99,"°","º"))-1)),""))))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IMPERMEABILIZAÇÃO INTERNA</t>
        </is>
      </c>
      <c r="S99" s="4" t="inlineStr">
        <is>
          <t>19</t>
        </is>
      </c>
      <c r="T99" s="4" t="inlineStr">
        <is>
          <t>Impermeabilização interna</t>
        </is>
      </c>
      <c r="U99" s="4" t="inlineStr">
        <is>
          <t>SIM</t>
        </is>
      </c>
      <c r="V99" s="2">
        <f>IF(R99="","",COUNTIF($C$5:$C$6004,R99))</f>
        <v/>
      </c>
      <c r="W99" s="2">
        <f>IF(R99="","",COUNTIFS($C$5:$C$6004,R99,$O$5:$O$6004,"CONCLUÍDA"))</f>
        <v/>
      </c>
      <c r="X99" s="2">
        <f>IF(R99="","",COUNTIFS($C$5:$C$6004,R99,$O$5:$O$6004,"EM ANDAMENTO"))</f>
        <v/>
      </c>
      <c r="Y99" s="2">
        <f>IF(R99="","",IF(COUNTIFS($C$5:$C$6004,R99,$O$5:$O$6004,"CONCLUÍDA",$N$5:$N$6004,"&gt;=-99")=0,"",_xlfn.MAXIFS($N$5:$N$6004,$C$5:$C$6004,R99,$O$5:$O$6004,"CONCLUÍDA")))</f>
        <v/>
      </c>
      <c r="Z99" s="2">
        <f>IF(R99="","",IF(COUNTIFS($C$5:$C$6004,R99,$O$5:$O$6004,"EM ANDAMENTO",$N$5:$N$6004,"&gt;=-99")=0,"",_xlfn.MAXIFS($N$5:$N$6004,$C$5:$C$6004,R99,$O$5:$O$6004,"EM ANDAMENTO")))</f>
        <v/>
      </c>
      <c r="AA99" s="2">
        <f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/>
      </c>
    </row>
    <row r="100">
      <c r="B100" s="4" t="n">
        <v>13011798</v>
      </c>
      <c r="C100" s="4" t="inlineStr">
        <is>
          <t>ESTRUTURA EMBASAMENTO B</t>
        </is>
      </c>
      <c r="D100" s="4" t="inlineStr">
        <is>
          <t>Lote 2 - fechamento painel interno vigas</t>
        </is>
      </c>
      <c r="E100" s="4" t="inlineStr">
        <is>
          <t>3º PAV. - PILOTIS</t>
        </is>
      </c>
      <c r="F100" s="119" t="n">
        <v>45882</v>
      </c>
      <c r="G100" s="119" t="n">
        <v>45884</v>
      </c>
      <c r="H100" s="119" t="n">
        <v>46293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IF(E100="","",IF(ISNUMBER(SEARCH("SUBSOLO",E100)),IFERROR(-VALUE(LEFT(E100,FIND("º",SUBSTITUTE(E100,"°","º"))-1)),-1),IF(LEFT(E100,6)="TÉRREO",0,IFERROR(VALUE(LEFT(E100,FIND("º",SUBSTITUTE(E100,"°","º"))-1)),""))))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TRATAMENTO ACÚSTICO</t>
        </is>
      </c>
      <c r="S100" s="4" t="inlineStr">
        <is>
          <t>18</t>
        </is>
      </c>
      <c r="T100" s="4" t="inlineStr">
        <is>
          <t>Tratamento acústico</t>
        </is>
      </c>
      <c r="U100" s="4" t="inlineStr">
        <is>
          <t>SIM</t>
        </is>
      </c>
      <c r="V100" s="2">
        <f>IF(R100="","",COUNTIF($C$5:$C$6004,R100))</f>
        <v/>
      </c>
      <c r="W100" s="2">
        <f>IF(R100="","",COUNTIFS($C$5:$C$6004,R100,$O$5:$O$6004,"CONCLUÍDA"))</f>
        <v/>
      </c>
      <c r="X100" s="2">
        <f>IF(R100="","",COUNTIFS($C$5:$C$6004,R100,$O$5:$O$6004,"EM ANDAMENTO"))</f>
        <v/>
      </c>
      <c r="Y100" s="2">
        <f>IF(R100="","",IF(COUNTIFS($C$5:$C$6004,R100,$O$5:$O$6004,"CONCLUÍDA",$N$5:$N$6004,"&gt;=-99")=0,"",_xlfn.MAXIFS($N$5:$N$6004,$C$5:$C$6004,R100,$O$5:$O$6004,"CONCLUÍDA")))</f>
        <v/>
      </c>
      <c r="Z100" s="2">
        <f>IF(R100="","",IF(COUNTIFS($C$5:$C$6004,R100,$O$5:$O$6004,"EM ANDAMENTO",$N$5:$N$6004,"&gt;=-99")=0,"",_xlfn.MAXIFS($N$5:$N$6004,$C$5:$C$6004,R100,$O$5:$O$6004,"EM ANDAMENTO")))</f>
        <v/>
      </c>
      <c r="AA100" s="2">
        <f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/>
      </c>
    </row>
    <row r="101">
      <c r="B101" s="4" t="n">
        <v>13011799</v>
      </c>
      <c r="C101" s="4" t="inlineStr">
        <is>
          <t>ESTRUTURA EMBASAMENTO B</t>
        </is>
      </c>
      <c r="D101" s="4" t="inlineStr">
        <is>
          <t>Lote 2 - concreto das vigas invertidas</t>
        </is>
      </c>
      <c r="E101" s="4" t="inlineStr">
        <is>
          <t>3º PAV. - PILOTIS</t>
        </is>
      </c>
      <c r="F101" s="119" t="n">
        <v>45887</v>
      </c>
      <c r="G101" s="119" t="n">
        <v>45887</v>
      </c>
      <c r="H101" s="119" t="n">
        <v>46293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IF(E101="","",IF(ISNUMBER(SEARCH("SUBSOLO",E101)),IFERROR(-VALUE(LEFT(E101,FIND("º",SUBSTITUTE(E101,"°","º"))-1)),-1),IF(LEFT(E101,6)="TÉRREO",0,IFERROR(VALUE(LEFT(E101,FIND("º",SUBSTITUTE(E101,"°","º"))-1)),""))))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FACHADA FRONTAL - F1 (C)</t>
        </is>
      </c>
      <c r="S101" s="4" t="inlineStr">
        <is>
          <t>32</t>
        </is>
      </c>
      <c r="T101" s="4" t="inlineStr">
        <is>
          <t>Fachada frontal - F1 (c)</t>
        </is>
      </c>
      <c r="U101" s="4" t="inlineStr">
        <is>
          <t>SIM</t>
        </is>
      </c>
      <c r="V101" s="2">
        <f>IF(R101="","",COUNTIF($C$5:$C$6004,R101))</f>
        <v/>
      </c>
      <c r="W101" s="2">
        <f>IF(R101="","",COUNTIFS($C$5:$C$6004,R101,$O$5:$O$6004,"CONCLUÍDA"))</f>
        <v/>
      </c>
      <c r="X101" s="2">
        <f>IF(R101="","",COUNTIFS($C$5:$C$6004,R101,$O$5:$O$6004,"EM ANDAMENTO"))</f>
        <v/>
      </c>
      <c r="Y101" s="2">
        <f>IF(R101="","",IF(COUNTIFS($C$5:$C$6004,R101,$O$5:$O$6004,"CONCLUÍDA",$N$5:$N$6004,"&gt;=-99")=0,"",_xlfn.MAXIFS($N$5:$N$6004,$C$5:$C$6004,R101,$O$5:$O$6004,"CONCLUÍDA")))</f>
        <v/>
      </c>
      <c r="Z101" s="2">
        <f>IF(R101="","",IF(COUNTIFS($C$5:$C$6004,R101,$O$5:$O$6004,"EM ANDAMENTO",$N$5:$N$6004,"&gt;=-99")=0,"",_xlfn.MAXIFS($N$5:$N$6004,$C$5:$C$6004,R101,$O$5:$O$6004,"EM ANDAMENTO")))</f>
        <v/>
      </c>
      <c r="AA101" s="2">
        <f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/>
      </c>
    </row>
    <row r="102">
      <c r="B102" s="4" t="n">
        <v>13011800</v>
      </c>
      <c r="C102" s="4" t="inlineStr">
        <is>
          <t>ESTRUTURA EMBASAMENTO B</t>
        </is>
      </c>
      <c r="D102" s="4" t="inlineStr">
        <is>
          <t>Lote 2 - protensão (puxada de cabo)</t>
        </is>
      </c>
      <c r="E102" s="4" t="inlineStr">
        <is>
          <t>3º PAV. - PILOTIS</t>
        </is>
      </c>
      <c r="F102" s="119" t="n">
        <v>45905</v>
      </c>
      <c r="G102" s="119" t="n">
        <v>45905</v>
      </c>
      <c r="H102" s="119" t="n">
        <v>46293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IF(E102="","",IF(ISNUMBER(SEARCH("SUBSOLO",E102)),IFERROR(-VALUE(LEFT(E102,FIND("º",SUBSTITUTE(E102,"°","º"))-1)),-1),IF(LEFT(E102,6)="TÉRREO",0,IFERROR(VALUE(LEFT(E102,FIND("º",SUBSTITUTE(E102,"°","º"))-1)),""))))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IMPERMEABILIZAÇÃO VARANDA E JARDINEIRAS</t>
        </is>
      </c>
      <c r="S102" s="4" t="inlineStr">
        <is>
          <t>19</t>
        </is>
      </c>
      <c r="T102" s="4" t="inlineStr">
        <is>
          <t>Impermeabilização varanda e jardineiras</t>
        </is>
      </c>
      <c r="U102" s="4" t="inlineStr">
        <is>
          <t>SIM</t>
        </is>
      </c>
      <c r="V102" s="2">
        <f>IF(R102="","",COUNTIF($C$5:$C$6004,R102))</f>
        <v/>
      </c>
      <c r="W102" s="2">
        <f>IF(R102="","",COUNTIFS($C$5:$C$6004,R102,$O$5:$O$6004,"CONCLUÍDA"))</f>
        <v/>
      </c>
      <c r="X102" s="2">
        <f>IF(R102="","",COUNTIFS($C$5:$C$6004,R102,$O$5:$O$6004,"EM ANDAMENTO"))</f>
        <v/>
      </c>
      <c r="Y102" s="2">
        <f>IF(R102="","",IF(COUNTIFS($C$5:$C$6004,R102,$O$5:$O$6004,"CONCLUÍDA",$N$5:$N$6004,"&gt;=-99")=0,"",_xlfn.MAXIFS($N$5:$N$6004,$C$5:$C$6004,R102,$O$5:$O$6004,"CONCLUÍDA")))</f>
        <v/>
      </c>
      <c r="Z102" s="2">
        <f>IF(R102="","",IF(COUNTIFS($C$5:$C$6004,R102,$O$5:$O$6004,"EM ANDAMENTO",$N$5:$N$6004,"&gt;=-99")=0,"",_xlfn.MAXIFS($N$5:$N$6004,$C$5:$C$6004,R102,$O$5:$O$6004,"EM ANDAMENTO")))</f>
        <v/>
      </c>
      <c r="AA102" s="2">
        <f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/>
      </c>
    </row>
    <row r="103">
      <c r="B103" s="4" t="n">
        <v>13011801</v>
      </c>
      <c r="C103" s="4" t="inlineStr">
        <is>
          <t>ESTRUTURA EMBASAMENTO B</t>
        </is>
      </c>
      <c r="D103" s="4" t="inlineStr">
        <is>
          <t xml:space="preserve">Lote 3 - escoramento + forma </t>
        </is>
      </c>
      <c r="E103" s="4" t="inlineStr">
        <is>
          <t>3º PAV. - PILOTIS</t>
        </is>
      </c>
      <c r="F103" s="119" t="n">
        <v>45870</v>
      </c>
      <c r="G103" s="119" t="n">
        <v>45882</v>
      </c>
      <c r="H103" s="119" t="n">
        <v>46293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IF(E103="","",IF(ISNUMBER(SEARCH("SUBSOLO",E103)),IFERROR(-VALUE(LEFT(E103,FIND("º",SUBSTITUTE(E103,"°","º"))-1)),-1),IF(LEFT(E103,6)="TÉRREO",0,IFERROR(VALUE(LEFT(E103,FIND("º",SUBSTITUTE(E103,"°","º"))-1)),""))))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FACHADA BALTAZAR - F1 (D)</t>
        </is>
      </c>
      <c r="S103" s="4" t="inlineStr">
        <is>
          <t>32</t>
        </is>
      </c>
      <c r="T103" s="4" t="inlineStr">
        <is>
          <t>Fachada baltazar - F1 (d)</t>
        </is>
      </c>
      <c r="U103" s="4" t="inlineStr">
        <is>
          <t>SIM</t>
        </is>
      </c>
      <c r="V103" s="2">
        <f>IF(R103="","",COUNTIF($C$5:$C$6004,R103))</f>
        <v/>
      </c>
      <c r="W103" s="2">
        <f>IF(R103="","",COUNTIFS($C$5:$C$6004,R103,$O$5:$O$6004,"CONCLUÍDA"))</f>
        <v/>
      </c>
      <c r="X103" s="2">
        <f>IF(R103="","",COUNTIFS($C$5:$C$6004,R103,$O$5:$O$6004,"EM ANDAMENTO"))</f>
        <v/>
      </c>
      <c r="Y103" s="2">
        <f>IF(R103="","",IF(COUNTIFS($C$5:$C$6004,R103,$O$5:$O$6004,"CONCLUÍDA",$N$5:$N$6004,"&gt;=-99")=0,"",_xlfn.MAXIFS($N$5:$N$6004,$C$5:$C$6004,R103,$O$5:$O$6004,"CONCLUÍDA")))</f>
        <v/>
      </c>
      <c r="Z103" s="2">
        <f>IF(R103="","",IF(COUNTIFS($C$5:$C$6004,R103,$O$5:$O$6004,"EM ANDAMENTO",$N$5:$N$6004,"&gt;=-99")=0,"",_xlfn.MAXIFS($N$5:$N$6004,$C$5:$C$6004,R103,$O$5:$O$6004,"EM ANDAMENTO")))</f>
        <v/>
      </c>
      <c r="AA103" s="2">
        <f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/>
      </c>
    </row>
    <row r="104">
      <c r="B104" s="4" t="n">
        <v>13011802</v>
      </c>
      <c r="C104" s="4" t="inlineStr">
        <is>
          <t>ESTRUTURA EMBASAMENTO B</t>
        </is>
      </c>
      <c r="D104" s="4" t="inlineStr">
        <is>
          <t>Lote 3 - armação de vigas e laje</t>
        </is>
      </c>
      <c r="E104" s="4" t="inlineStr">
        <is>
          <t>3º PAV. - PILOTIS</t>
        </is>
      </c>
      <c r="F104" s="119" t="n">
        <v>45873</v>
      </c>
      <c r="G104" s="119" t="n">
        <v>45884</v>
      </c>
      <c r="H104" s="119" t="n">
        <v>46293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IF(E104="","",IF(ISNUMBER(SEARCH("SUBSOLO",E104)),IFERROR(-VALUE(LEFT(E104,FIND("º",SUBSTITUTE(E104,"°","º"))-1)),-1),IF(LEFT(E104,6)="TÉRREO",0,IFERROR(VALUE(LEFT(E104,FIND("º",SUBSTITUTE(E104,"°","º"))-1)),""))))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SISTEMA DE IRRIGAÇÃO</t>
        </is>
      </c>
      <c r="S104" s="4" t="inlineStr">
        <is>
          <t>36</t>
        </is>
      </c>
      <c r="T104" s="4" t="inlineStr">
        <is>
          <t>Sistema de irrigação</t>
        </is>
      </c>
      <c r="U104" s="4" t="inlineStr">
        <is>
          <t>NÃO</t>
        </is>
      </c>
      <c r="V104" s="2">
        <f>IF(R104="","",COUNTIF($C$5:$C$6004,R104))</f>
        <v/>
      </c>
      <c r="W104" s="2">
        <f>IF(R104="","",COUNTIFS($C$5:$C$6004,R104,$O$5:$O$6004,"CONCLUÍDA"))</f>
        <v/>
      </c>
      <c r="X104" s="2">
        <f>IF(R104="","",COUNTIFS($C$5:$C$6004,R104,$O$5:$O$6004,"EM ANDAMENTO"))</f>
        <v/>
      </c>
      <c r="Y104" s="2">
        <f>IF(R104="","",IF(COUNTIFS($C$5:$C$6004,R104,$O$5:$O$6004,"CONCLUÍDA",$N$5:$N$6004,"&gt;=-99")=0,"",_xlfn.MAXIFS($N$5:$N$6004,$C$5:$C$6004,R104,$O$5:$O$6004,"CONCLUÍDA")))</f>
        <v/>
      </c>
      <c r="Z104" s="2">
        <f>IF(R104="","",IF(COUNTIFS($C$5:$C$6004,R104,$O$5:$O$6004,"EM ANDAMENTO",$N$5:$N$6004,"&gt;=-99")=0,"",_xlfn.MAXIFS($N$5:$N$6004,$C$5:$C$6004,R104,$O$5:$O$6004,"EM ANDAMENTO")))</f>
        <v/>
      </c>
      <c r="AA104" s="2">
        <f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>
      <c r="B105" s="4" t="n">
        <v>13011803</v>
      </c>
      <c r="C105" s="4" t="inlineStr">
        <is>
          <t>ESTRUTURA EMBASAMENTO B</t>
        </is>
      </c>
      <c r="D105" s="4" t="inlineStr">
        <is>
          <t>Lote 3 - concreto laje</t>
        </is>
      </c>
      <c r="E105" s="4" t="inlineStr">
        <is>
          <t>3º PAV. - PILOTIS</t>
        </is>
      </c>
      <c r="F105" s="119" t="n">
        <v>45887</v>
      </c>
      <c r="G105" s="119" t="n">
        <v>45887</v>
      </c>
      <c r="H105" s="119" t="n">
        <v>46293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IF(E105="","",IF(ISNUMBER(SEARCH("SUBSOLO",E105)),IFERROR(-VALUE(LEFT(E105,FIND("º",SUBSTITUTE(E105,"°","º"))-1)),-1),IF(LEFT(E105,6)="TÉRREO",0,IFERROR(VALUE(LEFT(E105,FIND("º",SUBSTITUTE(E105,"°","º"))-1)),""))))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DRENO + ATERRO JARDINEIRAS</t>
        </is>
      </c>
      <c r="S105" s="4" t="inlineStr">
        <is>
          <t>19</t>
        </is>
      </c>
      <c r="T105" s="4" t="inlineStr">
        <is>
          <t>Dreno + aterro jardineiras</t>
        </is>
      </c>
      <c r="U105" s="4" t="inlineStr">
        <is>
          <t>SIM</t>
        </is>
      </c>
      <c r="V105" s="2">
        <f>IF(R105="","",COUNTIF($C$5:$C$6004,R105))</f>
        <v/>
      </c>
      <c r="W105" s="2">
        <f>IF(R105="","",COUNTIFS($C$5:$C$6004,R105,$O$5:$O$6004,"CONCLUÍDA"))</f>
        <v/>
      </c>
      <c r="X105" s="2">
        <f>IF(R105="","",COUNTIFS($C$5:$C$6004,R105,$O$5:$O$6004,"EM ANDAMENTO"))</f>
        <v/>
      </c>
      <c r="Y105" s="2">
        <f>IF(R105="","",IF(COUNTIFS($C$5:$C$6004,R105,$O$5:$O$6004,"CONCLUÍDA",$N$5:$N$6004,"&gt;=-99")=0,"",_xlfn.MAXIFS($N$5:$N$6004,$C$5:$C$6004,R105,$O$5:$O$6004,"CONCLUÍDA")))</f>
        <v/>
      </c>
      <c r="Z105" s="2">
        <f>IF(R105="","",IF(COUNTIFS($C$5:$C$6004,R105,$O$5:$O$6004,"EM ANDAMENTO",$N$5:$N$6004,"&gt;=-99")=0,"",_xlfn.MAXIFS($N$5:$N$6004,$C$5:$C$6004,R105,$O$5:$O$6004,"EM ANDAMENTO")))</f>
        <v/>
      </c>
      <c r="AA105" s="2">
        <f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/>
      </c>
    </row>
    <row r="106">
      <c r="B106" s="4" t="n">
        <v>13011804</v>
      </c>
      <c r="C106" s="4" t="inlineStr">
        <is>
          <t>ESTRUTURA EMBASAMENTO B</t>
        </is>
      </c>
      <c r="D106" s="4" t="inlineStr">
        <is>
          <t>Lote 3 - fechamento de paineis das vigas invertidas - V508 e V212</t>
        </is>
      </c>
      <c r="E106" s="4" t="inlineStr">
        <is>
          <t>3º PAV. - PILOTIS</t>
        </is>
      </c>
      <c r="F106" s="119" t="n">
        <v>45888</v>
      </c>
      <c r="G106" s="119" t="n">
        <v>45889</v>
      </c>
      <c r="H106" s="119" t="n">
        <v>46293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IF(E106="","",IF(ISNUMBER(SEARCH("SUBSOLO",E106)),IFERROR(-VALUE(LEFT(E106,FIND("º",SUBSTITUTE(E106,"°","º"))-1)),-1),IF(LEFT(E106,6)="TÉRREO",0,IFERROR(VALUE(LEFT(E106,FIND("º",SUBSTITUTE(E106,"°","º"))-1)),""))))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REVESTIMENTOS PORCELANATO PISO</t>
        </is>
      </c>
      <c r="S106" s="4" t="inlineStr">
        <is>
          <t>30</t>
        </is>
      </c>
      <c r="T106" s="4" t="inlineStr">
        <is>
          <t>Revestimentos porcelanato piso</t>
        </is>
      </c>
      <c r="U106" s="4" t="inlineStr">
        <is>
          <t>NÃO</t>
        </is>
      </c>
      <c r="V106" s="2">
        <f>IF(R106="","",COUNTIF($C$5:$C$6004,R106))</f>
        <v/>
      </c>
      <c r="W106" s="2">
        <f>IF(R106="","",COUNTIFS($C$5:$C$6004,R106,$O$5:$O$6004,"CONCLUÍDA"))</f>
        <v/>
      </c>
      <c r="X106" s="2">
        <f>IF(R106="","",COUNTIFS($C$5:$C$6004,R106,$O$5:$O$6004,"EM ANDAMENTO"))</f>
        <v/>
      </c>
      <c r="Y106" s="2">
        <f>IF(R106="","",IF(COUNTIFS($C$5:$C$6004,R106,$O$5:$O$6004,"CONCLUÍDA",$N$5:$N$6004,"&gt;=-99")=0,"",_xlfn.MAXIFS($N$5:$N$6004,$C$5:$C$6004,R106,$O$5:$O$6004,"CONCLUÍDA")))</f>
        <v/>
      </c>
      <c r="Z106" s="2">
        <f>IF(R106="","",IF(COUNTIFS($C$5:$C$6004,R106,$O$5:$O$6004,"EM ANDAMENTO",$N$5:$N$6004,"&gt;=-99")=0,"",_xlfn.MAXIFS($N$5:$N$6004,$C$5:$C$6004,R106,$O$5:$O$6004,"EM ANDAMENTO")))</f>
        <v/>
      </c>
      <c r="AA106" s="2">
        <f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>
      <c r="B107" s="4" t="n">
        <v>13011805</v>
      </c>
      <c r="C107" s="4" t="inlineStr">
        <is>
          <t>ESTRUTURA EMBASAMENTO B</t>
        </is>
      </c>
      <c r="D107" s="4" t="inlineStr">
        <is>
          <t>Lote 3 - concreto das vigas invertidas</t>
        </is>
      </c>
      <c r="E107" s="4" t="inlineStr">
        <is>
          <t>3º PAV. - PILOTIS</t>
        </is>
      </c>
      <c r="F107" s="119" t="n">
        <v>45890</v>
      </c>
      <c r="G107" s="119" t="n">
        <v>45890</v>
      </c>
      <c r="H107" s="119" t="n">
        <v>46293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IF(E107="","",IF(ISNUMBER(SEARCH("SUBSOLO",E107)),IFERROR(-VALUE(LEFT(E107,FIND("º",SUBSTITUTE(E107,"°","º"))-1)),-1),IF(LEFT(E107,6)="TÉRREO",0,IFERROR(VALUE(LEFT(E107,FIND("º",SUBSTITUTE(E107,"°","º"))-1)),""))))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FIAÇÃO ELÉTRICA</t>
        </is>
      </c>
      <c r="S107" s="4" t="inlineStr">
        <is>
          <t>20</t>
        </is>
      </c>
      <c r="T107" s="4" t="inlineStr">
        <is>
          <t>Fiação elétrica</t>
        </is>
      </c>
      <c r="U107" s="4" t="inlineStr">
        <is>
          <t>SIM</t>
        </is>
      </c>
      <c r="V107" s="2">
        <f>IF(R107="","",COUNTIF($C$5:$C$6004,R107))</f>
        <v/>
      </c>
      <c r="W107" s="2">
        <f>IF(R107="","",COUNTIFS($C$5:$C$6004,R107,$O$5:$O$6004,"CONCLUÍDA"))</f>
        <v/>
      </c>
      <c r="X107" s="2">
        <f>IF(R107="","",COUNTIFS($C$5:$C$6004,R107,$O$5:$O$6004,"EM ANDAMENTO"))</f>
        <v/>
      </c>
      <c r="Y107" s="2">
        <f>IF(R107="","",IF(COUNTIFS($C$5:$C$6004,R107,$O$5:$O$6004,"CONCLUÍDA",$N$5:$N$6004,"&gt;=-99")=0,"",_xlfn.MAXIFS($N$5:$N$6004,$C$5:$C$6004,R107,$O$5:$O$6004,"CONCLUÍDA")))</f>
        <v/>
      </c>
      <c r="Z107" s="2">
        <f>IF(R107="","",IF(COUNTIFS($C$5:$C$6004,R107,$O$5:$O$6004,"EM ANDAMENTO",$N$5:$N$6004,"&gt;=-99")=0,"",_xlfn.MAXIFS($N$5:$N$6004,$C$5:$C$6004,R107,$O$5:$O$6004,"EM ANDAMENTO")))</f>
        <v/>
      </c>
      <c r="AA107" s="2">
        <f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/>
      </c>
    </row>
    <row r="108">
      <c r="B108" s="4" t="n">
        <v>13011806</v>
      </c>
      <c r="C108" s="4" t="inlineStr">
        <is>
          <t>ESTRUTURA EMBASAMENTO B</t>
        </is>
      </c>
      <c r="D108" s="4" t="inlineStr">
        <is>
          <t>Lote 4 - escoramento e forma</t>
        </is>
      </c>
      <c r="E108" s="4" t="inlineStr">
        <is>
          <t>3º PAV. - PILOTIS</t>
        </is>
      </c>
      <c r="F108" s="119" t="n">
        <v>45873</v>
      </c>
      <c r="G108" s="119" t="n">
        <v>45887</v>
      </c>
      <c r="H108" s="119" t="n">
        <v>46293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IF(E108="","",IF(ISNUMBER(SEARCH("SUBSOLO",E108)),IFERROR(-VALUE(LEFT(E108,FIND("º",SUBSTITUTE(E108,"°","º"))-1)),-1),IF(LEFT(E108,6)="TÉRREO",0,IFERROR(VALUE(LEFT(E108,FIND("º",SUBSTITUTE(E108,"°","º"))-1)),""))))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REVESTIMENTO PAREDE</t>
        </is>
      </c>
      <c r="S108" s="4" t="inlineStr">
        <is>
          <t>30</t>
        </is>
      </c>
      <c r="T108" s="4" t="inlineStr">
        <is>
          <t>Revestimento parede</t>
        </is>
      </c>
      <c r="U108" s="4" t="inlineStr">
        <is>
          <t>SIM</t>
        </is>
      </c>
      <c r="V108" s="2">
        <f>IF(R108="","",COUNTIF($C$5:$C$6004,R108))</f>
        <v/>
      </c>
      <c r="W108" s="2">
        <f>IF(R108="","",COUNTIFS($C$5:$C$6004,R108,$O$5:$O$6004,"CONCLUÍDA"))</f>
        <v/>
      </c>
      <c r="X108" s="2">
        <f>IF(R108="","",COUNTIFS($C$5:$C$6004,R108,$O$5:$O$6004,"EM ANDAMENTO"))</f>
        <v/>
      </c>
      <c r="Y108" s="2">
        <f>IF(R108="","",IF(COUNTIFS($C$5:$C$6004,R108,$O$5:$O$6004,"CONCLUÍDA",$N$5:$N$6004,"&gt;=-99")=0,"",_xlfn.MAXIFS($N$5:$N$6004,$C$5:$C$6004,R108,$O$5:$O$6004,"CONCLUÍDA")))</f>
        <v/>
      </c>
      <c r="Z108" s="2">
        <f>IF(R108="","",IF(COUNTIFS($C$5:$C$6004,R108,$O$5:$O$6004,"EM ANDAMENTO",$N$5:$N$6004,"&gt;=-99")=0,"",_xlfn.MAXIFS($N$5:$N$6004,$C$5:$C$6004,R108,$O$5:$O$6004,"EM ANDAMENTO")))</f>
        <v/>
      </c>
      <c r="AA108" s="2">
        <f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/>
      </c>
    </row>
    <row r="109">
      <c r="B109" s="4" t="n">
        <v>13011807</v>
      </c>
      <c r="C109" s="4" t="inlineStr">
        <is>
          <t>ESTRUTURA EMBASAMENTO B</t>
        </is>
      </c>
      <c r="D109" s="4" t="inlineStr">
        <is>
          <t>Lote 4 - armação de vigas e laje</t>
        </is>
      </c>
      <c r="E109" s="4" t="inlineStr">
        <is>
          <t>3º PAV. - PILOTIS</t>
        </is>
      </c>
      <c r="F109" s="119" t="n">
        <v>45882</v>
      </c>
      <c r="G109" s="119" t="n">
        <v>45891</v>
      </c>
      <c r="H109" s="119" t="n">
        <v>46293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IF(E109="","",IF(ISNUMBER(SEARCH("SUBSOLO",E109)),IFERROR(-VALUE(LEFT(E109,FIND("º",SUBSTITUTE(E109,"°","º"))-1)),-1),IF(LEFT(E109,6)="TÉRREO",0,IFERROR(VALUE(LEFT(E109,FIND("º",SUBSTITUTE(E109,"°","º"))-1)),""))))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INFRAESTRUTURA - AR CONDICIONADO</t>
        </is>
      </c>
      <c r="S109" s="4" t="inlineStr">
        <is>
          <t>23</t>
        </is>
      </c>
      <c r="T109" s="4" t="inlineStr">
        <is>
          <t>Infraestrutura - ar condicionado</t>
        </is>
      </c>
      <c r="U109" s="4" t="inlineStr">
        <is>
          <t>SIM</t>
        </is>
      </c>
      <c r="V109" s="2">
        <f>IF(R109="","",COUNTIF($C$5:$C$6004,R109))</f>
        <v/>
      </c>
      <c r="W109" s="2">
        <f>IF(R109="","",COUNTIFS($C$5:$C$6004,R109,$O$5:$O$6004,"CONCLUÍDA"))</f>
        <v/>
      </c>
      <c r="X109" s="2">
        <f>IF(R109="","",COUNTIFS($C$5:$C$6004,R109,$O$5:$O$6004,"EM ANDAMENTO"))</f>
        <v/>
      </c>
      <c r="Y109" s="2">
        <f>IF(R109="","",IF(COUNTIFS($C$5:$C$6004,R109,$O$5:$O$6004,"CONCLUÍDA",$N$5:$N$6004,"&gt;=-99")=0,"",_xlfn.MAXIFS($N$5:$N$6004,$C$5:$C$6004,R109,$O$5:$O$6004,"CONCLUÍDA")))</f>
        <v/>
      </c>
      <c r="Z109" s="2">
        <f>IF(R109="","",IF(COUNTIFS($C$5:$C$6004,R109,$O$5:$O$6004,"EM ANDAMENTO",$N$5:$N$6004,"&gt;=-99")=0,"",_xlfn.MAXIFS($N$5:$N$6004,$C$5:$C$6004,R109,$O$5:$O$6004,"EM ANDAMENTO")))</f>
        <v/>
      </c>
      <c r="AA109" s="2">
        <f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/>
      </c>
    </row>
    <row r="110">
      <c r="B110" s="4" t="n">
        <v>13011808</v>
      </c>
      <c r="C110" s="4" t="inlineStr">
        <is>
          <t>ESTRUTURA EMBASAMENTO B</t>
        </is>
      </c>
      <c r="D110" s="4" t="inlineStr">
        <is>
          <t>Lote 4 - concreto laje</t>
        </is>
      </c>
      <c r="E110" s="4" t="inlineStr">
        <is>
          <t>3º PAV. - PILOTIS</t>
        </is>
      </c>
      <c r="F110" s="119" t="n">
        <v>45894</v>
      </c>
      <c r="G110" s="119" t="n">
        <v>45894</v>
      </c>
      <c r="H110" s="119" t="n">
        <v>46293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IF(E110="","",IF(ISNUMBER(SEARCH("SUBSOLO",E110)),IFERROR(-VALUE(LEFT(E110,FIND("º",SUBSTITUTE(E110,"°","º"))-1)),-1),IF(LEFT(E110,6)="TÉRREO",0,IFERROR(VALUE(LEFT(E110,FIND("º",SUBSTITUTE(E110,"°","º"))-1)),""))))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DEMOLIÇÃO BALTAZAR</t>
        </is>
      </c>
      <c r="S110" s="4" t="inlineStr">
        <is>
          <t>12</t>
        </is>
      </c>
      <c r="T110" s="4" t="inlineStr">
        <is>
          <t>Demolição baltazar</t>
        </is>
      </c>
      <c r="U110" s="4" t="inlineStr">
        <is>
          <t>SIM</t>
        </is>
      </c>
      <c r="V110" s="2">
        <f>IF(R110="","",COUNTIF($C$5:$C$6004,R110))</f>
        <v/>
      </c>
      <c r="W110" s="2">
        <f>IF(R110="","",COUNTIFS($C$5:$C$6004,R110,$O$5:$O$6004,"CONCLUÍDA"))</f>
        <v/>
      </c>
      <c r="X110" s="2">
        <f>IF(R110="","",COUNTIFS($C$5:$C$6004,R110,$O$5:$O$6004,"EM ANDAMENTO"))</f>
        <v/>
      </c>
      <c r="Y110" s="2">
        <f>IF(R110="","",IF(COUNTIFS($C$5:$C$6004,R110,$O$5:$O$6004,"CONCLUÍDA",$N$5:$N$6004,"&gt;=-99")=0,"",_xlfn.MAXIFS($N$5:$N$6004,$C$5:$C$6004,R110,$O$5:$O$6004,"CONCLUÍDA")))</f>
        <v/>
      </c>
      <c r="Z110" s="2">
        <f>IF(R110="","",IF(COUNTIFS($C$5:$C$6004,R110,$O$5:$O$6004,"EM ANDAMENTO",$N$5:$N$6004,"&gt;=-99")=0,"",_xlfn.MAXIFS($N$5:$N$6004,$C$5:$C$6004,R110,$O$5:$O$6004,"EM ANDAMENTO")))</f>
        <v/>
      </c>
      <c r="AA110" s="2">
        <f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/>
      </c>
    </row>
    <row r="111">
      <c r="B111" s="4" t="n">
        <v>13011809</v>
      </c>
      <c r="C111" s="4" t="inlineStr">
        <is>
          <t>ESTRUTURA EMBASAMENTO B</t>
        </is>
      </c>
      <c r="D111" s="4" t="inlineStr">
        <is>
          <t>Lote 4 - fechamento de paineis das vigas invertidas</t>
        </is>
      </c>
      <c r="E111" s="4" t="inlineStr">
        <is>
          <t>3º PAV. - PILOTIS</t>
        </is>
      </c>
      <c r="F111" s="119" t="n">
        <v>45895</v>
      </c>
      <c r="G111" s="119" t="n">
        <v>45895</v>
      </c>
      <c r="H111" s="119" t="n">
        <v>46293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IF(E111="","",IF(ISNUMBER(SEARCH("SUBSOLO",E111)),IFERROR(-VALUE(LEFT(E111,FIND("º",SUBSTITUTE(E111,"°","º"))-1)),-1),IF(LEFT(E111,6)="TÉRREO",0,IFERROR(VALUE(LEFT(E111,FIND("º",SUBSTITUTE(E111,"°","º"))-1)),""))))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QUADRA DE TÊNIS E POLIESPORTIVA</t>
        </is>
      </c>
      <c r="S111" s="4" t="inlineStr">
        <is>
          <t>36</t>
        </is>
      </c>
      <c r="T111" s="4" t="inlineStr">
        <is>
          <t>Quadra de tênis e poliesportiva</t>
        </is>
      </c>
      <c r="U111" s="4" t="inlineStr">
        <is>
          <t>NÃO</t>
        </is>
      </c>
      <c r="V111" s="2">
        <f>IF(R111="","",COUNTIF($C$5:$C$6004,R111))</f>
        <v/>
      </c>
      <c r="W111" s="2">
        <f>IF(R111="","",COUNTIFS($C$5:$C$6004,R111,$O$5:$O$6004,"CONCLUÍDA"))</f>
        <v/>
      </c>
      <c r="X111" s="2">
        <f>IF(R111="","",COUNTIFS($C$5:$C$6004,R111,$O$5:$O$6004,"EM ANDAMENTO"))</f>
        <v/>
      </c>
      <c r="Y111" s="2">
        <f>IF(R111="","",IF(COUNTIFS($C$5:$C$6004,R111,$O$5:$O$6004,"CONCLUÍDA",$N$5:$N$6004,"&gt;=-99")=0,"",_xlfn.MAXIFS($N$5:$N$6004,$C$5:$C$6004,R111,$O$5:$O$6004,"CONCLUÍDA")))</f>
        <v/>
      </c>
      <c r="Z111" s="2">
        <f>IF(R111="","",IF(COUNTIFS($C$5:$C$6004,R111,$O$5:$O$6004,"EM ANDAMENTO",$N$5:$N$6004,"&gt;=-99")=0,"",_xlfn.MAXIFS($N$5:$N$6004,$C$5:$C$6004,R111,$O$5:$O$6004,"EM ANDAMENTO")))</f>
        <v/>
      </c>
      <c r="AA111" s="2">
        <f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>
      <c r="B112" s="4" t="n">
        <v>13011810</v>
      </c>
      <c r="C112" s="4" t="inlineStr">
        <is>
          <t>ESTRUTURA EMBASAMENTO B</t>
        </is>
      </c>
      <c r="D112" s="4" t="inlineStr">
        <is>
          <t>Lote 4 - concreto das vigas invertidas</t>
        </is>
      </c>
      <c r="E112" s="4" t="inlineStr">
        <is>
          <t>3º PAV. - PILOTIS</t>
        </is>
      </c>
      <c r="F112" s="119" t="n">
        <v>45896</v>
      </c>
      <c r="G112" s="119" t="n">
        <v>45896</v>
      </c>
      <c r="H112" s="119" t="n">
        <v>46293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IF(E112="","",IF(ISNUMBER(SEARCH("SUBSOLO",E112)),IFERROR(-VALUE(LEFT(E112,FIND("º",SUBSTITUTE(E112,"°","º"))-1)),-1),IF(LEFT(E112,6)="TÉRREO",0,IFERROR(VALUE(LEFT(E112,FIND("º",SUBSTITUTE(E112,"°","º"))-1)),""))))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AR CONDICIONADO</t>
        </is>
      </c>
      <c r="S112" s="4" t="inlineStr">
        <is>
          <t>23</t>
        </is>
      </c>
      <c r="T112" s="4" t="inlineStr">
        <is>
          <t>Ar condicionado</t>
        </is>
      </c>
      <c r="U112" s="4" t="inlineStr">
        <is>
          <t>NÃO</t>
        </is>
      </c>
      <c r="V112" s="2">
        <f>IF(R112="","",COUNTIF($C$5:$C$6004,R112))</f>
        <v/>
      </c>
      <c r="W112" s="2">
        <f>IF(R112="","",COUNTIFS($C$5:$C$6004,R112,$O$5:$O$6004,"CONCLUÍDA"))</f>
        <v/>
      </c>
      <c r="X112" s="2">
        <f>IF(R112="","",COUNTIFS($C$5:$C$6004,R112,$O$5:$O$6004,"EM ANDAMENTO"))</f>
        <v/>
      </c>
      <c r="Y112" s="2">
        <f>IF(R112="","",IF(COUNTIFS($C$5:$C$6004,R112,$O$5:$O$6004,"CONCLUÍDA",$N$5:$N$6004,"&gt;=-99")=0,"",_xlfn.MAXIFS($N$5:$N$6004,$C$5:$C$6004,R112,$O$5:$O$6004,"CONCLUÍDA")))</f>
        <v/>
      </c>
      <c r="Z112" s="2">
        <f>IF(R112="","",IF(COUNTIFS($C$5:$C$6004,R112,$O$5:$O$6004,"EM ANDAMENTO",$N$5:$N$6004,"&gt;=-99")=0,"",_xlfn.MAXIFS($N$5:$N$6004,$C$5:$C$6004,R112,$O$5:$O$6004,"EM ANDAMENTO")))</f>
        <v/>
      </c>
      <c r="AA112" s="2">
        <f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>
      <c r="B113" s="4" t="n">
        <v>13011811</v>
      </c>
      <c r="C113" s="4" t="inlineStr">
        <is>
          <t>ESTRUTURA EMBASAMENTO B</t>
        </is>
      </c>
      <c r="D113" s="4" t="inlineStr">
        <is>
          <t>Lote 5 - armação de blocos e vigas</t>
        </is>
      </c>
      <c r="E113" s="4" t="inlineStr">
        <is>
          <t>3º PAV. - PILOTIS</t>
        </is>
      </c>
      <c r="F113" s="119" t="n">
        <v>45880</v>
      </c>
      <c r="G113" s="119" t="n">
        <v>45884</v>
      </c>
      <c r="H113" s="119" t="n">
        <v>46293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IF(E113="","",IF(ISNUMBER(SEARCH("SUBSOLO",E113)),IFERROR(-VALUE(LEFT(E113,FIND("º",SUBSTITUTE(E113,"°","º"))-1)),-1),IF(LEFT(E113,6)="TÉRREO",0,IFERROR(VALUE(LEFT(E113,FIND("º",SUBSTITUTE(E113,"°","º"))-1)),""))))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EXECUÇÃO DE MURO</t>
        </is>
      </c>
      <c r="S113" s="4" t="inlineStr">
        <is>
          <t>17</t>
        </is>
      </c>
      <c r="T113" s="4" t="inlineStr">
        <is>
          <t>Execução de muro</t>
        </is>
      </c>
      <c r="U113" s="4" t="inlineStr">
        <is>
          <t>NÃO</t>
        </is>
      </c>
      <c r="V113" s="2">
        <f>IF(R113="","",COUNTIF($C$5:$C$6004,R113))</f>
        <v/>
      </c>
      <c r="W113" s="2">
        <f>IF(R113="","",COUNTIFS($C$5:$C$6004,R113,$O$5:$O$6004,"CONCLUÍDA"))</f>
        <v/>
      </c>
      <c r="X113" s="2">
        <f>IF(R113="","",COUNTIFS($C$5:$C$6004,R113,$O$5:$O$6004,"EM ANDAMENTO"))</f>
        <v/>
      </c>
      <c r="Y113" s="2">
        <f>IF(R113="","",IF(COUNTIFS($C$5:$C$6004,R113,$O$5:$O$6004,"CONCLUÍDA",$N$5:$N$6004,"&gt;=-99")=0,"",_xlfn.MAXIFS($N$5:$N$6004,$C$5:$C$6004,R113,$O$5:$O$6004,"CONCLUÍDA")))</f>
        <v/>
      </c>
      <c r="Z113" s="2">
        <f>IF(R113="","",IF(COUNTIFS($C$5:$C$6004,R113,$O$5:$O$6004,"EM ANDAMENTO",$N$5:$N$6004,"&gt;=-99")=0,"",_xlfn.MAXIFS($N$5:$N$6004,$C$5:$C$6004,R113,$O$5:$O$6004,"EM ANDAMENTO")))</f>
        <v/>
      </c>
      <c r="AA113" s="2">
        <f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>
      <c r="B114" s="4" t="n">
        <v>13011812</v>
      </c>
      <c r="C114" s="4" t="inlineStr">
        <is>
          <t>ESTRUTURA EMBASAMENTO B</t>
        </is>
      </c>
      <c r="D114" s="4" t="inlineStr">
        <is>
          <t>Lote 5 - concreto dos blocos</t>
        </is>
      </c>
      <c r="E114" s="4" t="inlineStr">
        <is>
          <t>3º PAV. - PILOTIS</t>
        </is>
      </c>
      <c r="F114" s="119" t="n">
        <v>45887</v>
      </c>
      <c r="G114" s="119" t="n">
        <v>45887</v>
      </c>
      <c r="H114" s="119" t="n">
        <v>46293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IF(E114="","",IF(ISNUMBER(SEARCH("SUBSOLO",E114)),IFERROR(-VALUE(LEFT(E114,FIND("º",SUBSTITUTE(E114,"°","º"))-1)),-1),IF(LEFT(E114,6)="TÉRREO",0,IFERROR(VALUE(LEFT(E114,FIND("º",SUBSTITUTE(E114,"°","º"))-1)),""))))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REVESTIMENTOS PISO</t>
        </is>
      </c>
      <c r="S114" s="4" t="inlineStr">
        <is>
          <t>30</t>
        </is>
      </c>
      <c r="T114" s="4" t="inlineStr">
        <is>
          <t>Revestimentos piso</t>
        </is>
      </c>
      <c r="U114" s="4" t="inlineStr">
        <is>
          <t>SIM</t>
        </is>
      </c>
      <c r="V114" s="2">
        <f>IF(R114="","",COUNTIF($C$5:$C$6004,R114))</f>
        <v/>
      </c>
      <c r="W114" s="2">
        <f>IF(R114="","",COUNTIFS($C$5:$C$6004,R114,$O$5:$O$6004,"CONCLUÍDA"))</f>
        <v/>
      </c>
      <c r="X114" s="2">
        <f>IF(R114="","",COUNTIFS($C$5:$C$6004,R114,$O$5:$O$6004,"EM ANDAMENTO"))</f>
        <v/>
      </c>
      <c r="Y114" s="2">
        <f>IF(R114="","",IF(COUNTIFS($C$5:$C$6004,R114,$O$5:$O$6004,"CONCLUÍDA",$N$5:$N$6004,"&gt;=-99")=0,"",_xlfn.MAXIFS($N$5:$N$6004,$C$5:$C$6004,R114,$O$5:$O$6004,"CONCLUÍDA")))</f>
        <v/>
      </c>
      <c r="Z114" s="2">
        <f>IF(R114="","",IF(COUNTIFS($C$5:$C$6004,R114,$O$5:$O$6004,"EM ANDAMENTO",$N$5:$N$6004,"&gt;=-99")=0,"",_xlfn.MAXIFS($N$5:$N$6004,$C$5:$C$6004,R114,$O$5:$O$6004,"EM ANDAMENTO")))</f>
        <v/>
      </c>
      <c r="AA114" s="2">
        <f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/>
      </c>
    </row>
    <row r="115">
      <c r="B115" s="4" t="n">
        <v>13011813</v>
      </c>
      <c r="C115" s="4" t="inlineStr">
        <is>
          <t>ESTRUTURA EMBASAMENTO B</t>
        </is>
      </c>
      <c r="D115" s="4" t="inlineStr">
        <is>
          <t>Lote 5 - preparo do terreno</t>
        </is>
      </c>
      <c r="E115" s="4" t="inlineStr">
        <is>
          <t>3º PAV. - PILOTIS</t>
        </is>
      </c>
      <c r="F115" s="119" t="n">
        <v>45888</v>
      </c>
      <c r="G115" s="119" t="n">
        <v>45890</v>
      </c>
      <c r="H115" s="119" t="n">
        <v>46293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IF(E115="","",IF(ISNUMBER(SEARCH("SUBSOLO",E115)),IFERROR(-VALUE(LEFT(E115,FIND("º",SUBSTITUTE(E115,"°","º"))-1)),-1),IF(LEFT(E115,6)="TÉRREO",0,IFERROR(VALUE(LEFT(E115,FIND("º",SUBSTITUTE(E115,"°","º"))-1)),""))))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REVESTIMENTO PORCELANATO PAREDE</t>
        </is>
      </c>
      <c r="S115" s="4" t="inlineStr">
        <is>
          <t>30</t>
        </is>
      </c>
      <c r="T115" s="4" t="inlineStr">
        <is>
          <t>Revestimento porcelanato parede</t>
        </is>
      </c>
      <c r="U115" s="4" t="inlineStr">
        <is>
          <t>NÃO</t>
        </is>
      </c>
      <c r="V115" s="2">
        <f>IF(R115="","",COUNTIF($C$5:$C$6004,R115))</f>
        <v/>
      </c>
      <c r="W115" s="2">
        <f>IF(R115="","",COUNTIFS($C$5:$C$6004,R115,$O$5:$O$6004,"CONCLUÍDA"))</f>
        <v/>
      </c>
      <c r="X115" s="2">
        <f>IF(R115="","",COUNTIFS($C$5:$C$6004,R115,$O$5:$O$6004,"EM ANDAMENTO"))</f>
        <v/>
      </c>
      <c r="Y115" s="2">
        <f>IF(R115="","",IF(COUNTIFS($C$5:$C$6004,R115,$O$5:$O$6004,"CONCLUÍDA",$N$5:$N$6004,"&gt;=-99")=0,"",_xlfn.MAXIFS($N$5:$N$6004,$C$5:$C$6004,R115,$O$5:$O$6004,"CONCLUÍDA")))</f>
        <v/>
      </c>
      <c r="Z115" s="2">
        <f>IF(R115="","",IF(COUNTIFS($C$5:$C$6004,R115,$O$5:$O$6004,"EM ANDAMENTO",$N$5:$N$6004,"&gt;=-99")=0,"",_xlfn.MAXIFS($N$5:$N$6004,$C$5:$C$6004,R115,$O$5:$O$6004,"EM ANDAMENTO")))</f>
        <v/>
      </c>
      <c r="AA115" s="2">
        <f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>
      <c r="B116" s="4" t="n">
        <v>13011814</v>
      </c>
      <c r="C116" s="4" t="inlineStr">
        <is>
          <t>ESTRUTURA EMBASAMENTO B</t>
        </is>
      </c>
      <c r="D116" s="4" t="inlineStr">
        <is>
          <t>Lote 5 - armação da laje</t>
        </is>
      </c>
      <c r="E116" s="4" t="inlineStr">
        <is>
          <t>3º PAV. - PILOTIS</t>
        </is>
      </c>
      <c r="F116" s="119" t="n">
        <v>45891</v>
      </c>
      <c r="G116" s="119" t="n">
        <v>45895</v>
      </c>
      <c r="H116" s="119" t="n">
        <v>46293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IF(E116="","",IF(ISNUMBER(SEARCH("SUBSOLO",E116)),IFERROR(-VALUE(LEFT(E116,FIND("º",SUBSTITUTE(E116,"°","º"))-1)),-1),IF(LEFT(E116,6)="TÉRREO",0,IFERROR(VALUE(LEFT(E116,FIND("º",SUBSTITUTE(E116,"°","º"))-1)),""))))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BANCADAS</t>
        </is>
      </c>
      <c r="S116" s="4" t="inlineStr">
        <is>
          <t>30</t>
        </is>
      </c>
      <c r="T116" s="4" t="inlineStr">
        <is>
          <t>Bancadas</t>
        </is>
      </c>
      <c r="U116" s="4" t="inlineStr">
        <is>
          <t>SIM</t>
        </is>
      </c>
      <c r="V116" s="2">
        <f>IF(R116="","",COUNTIF($C$5:$C$6004,R116))</f>
        <v/>
      </c>
      <c r="W116" s="2">
        <f>IF(R116="","",COUNTIFS($C$5:$C$6004,R116,$O$5:$O$6004,"CONCLUÍDA"))</f>
        <v/>
      </c>
      <c r="X116" s="2">
        <f>IF(R116="","",COUNTIFS($C$5:$C$6004,R116,$O$5:$O$6004,"EM ANDAMENTO"))</f>
        <v/>
      </c>
      <c r="Y116" s="2">
        <f>IF(R116="","",IF(COUNTIFS($C$5:$C$6004,R116,$O$5:$O$6004,"CONCLUÍDA",$N$5:$N$6004,"&gt;=-99")=0,"",_xlfn.MAXIFS($N$5:$N$6004,$C$5:$C$6004,R116,$O$5:$O$6004,"CONCLUÍDA")))</f>
        <v/>
      </c>
      <c r="Z116" s="2">
        <f>IF(R116="","",IF(COUNTIFS($C$5:$C$6004,R116,$O$5:$O$6004,"EM ANDAMENTO",$N$5:$N$6004,"&gt;=-99")=0,"",_xlfn.MAXIFS($N$5:$N$6004,$C$5:$C$6004,R116,$O$5:$O$6004,"EM ANDAMENTO")))</f>
        <v/>
      </c>
      <c r="AA116" s="2">
        <f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/>
      </c>
    </row>
    <row r="117">
      <c r="B117" s="4" t="n">
        <v>13011815</v>
      </c>
      <c r="C117" s="4" t="inlineStr">
        <is>
          <t>ESTRUTURA EMBASAMENTO B</t>
        </is>
      </c>
      <c r="D117" s="4" t="inlineStr">
        <is>
          <t>Lote 5 - concreto da laje</t>
        </is>
      </c>
      <c r="E117" s="4" t="inlineStr">
        <is>
          <t>3º PAV. - PILOTIS</t>
        </is>
      </c>
      <c r="F117" s="119" t="n">
        <v>45896</v>
      </c>
      <c r="G117" s="119" t="n">
        <v>45896</v>
      </c>
      <c r="H117" s="119" t="n">
        <v>46293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IF(E117="","",IF(ISNUMBER(SEARCH("SUBSOLO",E117)),IFERROR(-VALUE(LEFT(E117,FIND("º",SUBSTITUTE(E117,"°","º"))-1)),-1),IF(LEFT(E117,6)="TÉRREO",0,IFERROR(VALUE(LEFT(E117,FIND("º",SUBSTITUTE(E117,"°","º"))-1)),""))))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VENTILAÇÃO / EXAUSTÃO</t>
        </is>
      </c>
      <c r="S117" s="4" t="inlineStr">
        <is>
          <t>23</t>
        </is>
      </c>
      <c r="T117" s="4" t="inlineStr">
        <is>
          <t>Ventilação / exaustão</t>
        </is>
      </c>
      <c r="U117" s="4" t="inlineStr">
        <is>
          <t>SIM</t>
        </is>
      </c>
      <c r="V117" s="2">
        <f>IF(R117="","",COUNTIF($C$5:$C$6004,R117))</f>
        <v/>
      </c>
      <c r="W117" s="2">
        <f>IF(R117="","",COUNTIFS($C$5:$C$6004,R117,$O$5:$O$6004,"CONCLUÍDA"))</f>
        <v/>
      </c>
      <c r="X117" s="2">
        <f>IF(R117="","",COUNTIFS($C$5:$C$6004,R117,$O$5:$O$6004,"EM ANDAMENTO"))</f>
        <v/>
      </c>
      <c r="Y117" s="2">
        <f>IF(R117="","",IF(COUNTIFS($C$5:$C$6004,R117,$O$5:$O$6004,"CONCLUÍDA",$N$5:$N$6004,"&gt;=-99")=0,"",_xlfn.MAXIFS($N$5:$N$6004,$C$5:$C$6004,R117,$O$5:$O$6004,"CONCLUÍDA")))</f>
        <v/>
      </c>
      <c r="Z117" s="2">
        <f>IF(R117="","",IF(COUNTIFS($C$5:$C$6004,R117,$O$5:$O$6004,"EM ANDAMENTO",$N$5:$N$6004,"&gt;=-99")=0,"",_xlfn.MAXIFS($N$5:$N$6004,$C$5:$C$6004,R117,$O$5:$O$6004,"EM ANDAMENTO")))</f>
        <v/>
      </c>
      <c r="AA117" s="2">
        <f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/>
      </c>
    </row>
    <row r="118">
      <c r="B118" s="4" t="n">
        <v>30641113</v>
      </c>
      <c r="C118" s="4" t="inlineStr">
        <is>
          <t>ESTRUTURA EMBASAMENTO B - MEDIÇÃO</t>
        </is>
      </c>
      <c r="D118" s="4" t="inlineStr">
        <is>
          <t>-</t>
        </is>
      </c>
      <c r="E118" s="4" t="inlineStr">
        <is>
          <t>3º PAV. - PILOTIS</t>
        </is>
      </c>
      <c r="F118" s="119" t="n">
        <v>45855</v>
      </c>
      <c r="G118" s="119" t="n">
        <v>45896</v>
      </c>
      <c r="H118" s="119" t="n">
        <v>46293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IF(E118="","",IF(ISNUMBER(SEARCH("SUBSOLO",E118)),IFERROR(-VALUE(LEFT(E118,FIND("º",SUBSTITUTE(E118,"°","º"))-1)),-1),IF(LEFT(E118,6)="TÉRREO",0,IFERROR(VALUE(LEFT(E118,FIND("º",SUBSTITUTE(E118,"°","º"))-1)),""))))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FORRO</t>
        </is>
      </c>
      <c r="S118" s="4" t="inlineStr">
        <is>
          <t>33</t>
        </is>
      </c>
      <c r="T118" s="4" t="inlineStr">
        <is>
          <t>Forro</t>
        </is>
      </c>
      <c r="U118" s="4" t="inlineStr">
        <is>
          <t>SIM</t>
        </is>
      </c>
      <c r="V118" s="2">
        <f>IF(R118="","",COUNTIF($C$5:$C$6004,R118))</f>
        <v/>
      </c>
      <c r="W118" s="2">
        <f>IF(R118="","",COUNTIFS($C$5:$C$6004,R118,$O$5:$O$6004,"CONCLUÍDA"))</f>
        <v/>
      </c>
      <c r="X118" s="2">
        <f>IF(R118="","",COUNTIFS($C$5:$C$6004,R118,$O$5:$O$6004,"EM ANDAMENTO"))</f>
        <v/>
      </c>
      <c r="Y118" s="2">
        <f>IF(R118="","",IF(COUNTIFS($C$5:$C$6004,R118,$O$5:$O$6004,"CONCLUÍDA",$N$5:$N$6004,"&gt;=-99")=0,"",_xlfn.MAXIFS($N$5:$N$6004,$C$5:$C$6004,R118,$O$5:$O$6004,"CONCLUÍDA")))</f>
        <v/>
      </c>
      <c r="Z118" s="2">
        <f>IF(R118="","",IF(COUNTIFS($C$5:$C$6004,R118,$O$5:$O$6004,"EM ANDAMENTO",$N$5:$N$6004,"&gt;=-99")=0,"",_xlfn.MAXIFS($N$5:$N$6004,$C$5:$C$6004,R118,$O$5:$O$6004,"EM ANDAMENTO")))</f>
        <v/>
      </c>
      <c r="AA118" s="2">
        <f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/>
      </c>
    </row>
    <row r="119">
      <c r="B119" s="4" t="n">
        <v>27879869</v>
      </c>
      <c r="C119" s="4" t="inlineStr">
        <is>
          <t>FUNDAÇÃO SUPERFICIAL - TRECHO A (2º ETAPA)</t>
        </is>
      </c>
      <c r="D119" s="4" t="inlineStr">
        <is>
          <t>-</t>
        </is>
      </c>
      <c r="E119" s="4" t="inlineStr">
        <is>
          <t>TÉRREO - GARAGENS</t>
        </is>
      </c>
      <c r="F119" s="119" t="n">
        <v>45860</v>
      </c>
      <c r="G119" s="119" t="n">
        <v>45863</v>
      </c>
      <c r="H119" s="119" t="n">
        <v>46293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IF(E119="","",IF(ISNUMBER(SEARCH("SUBSOLO",E119)),IFERROR(-VALUE(LEFT(E119,FIND("º",SUBSTITUTE(E119,"°","º"))-1)),-1),IF(LEFT(E119,6)="TÉRREO",0,IFERROR(VALUE(LEFT(E119,FIND("º",SUBSTITUTE(E119,"°","º"))-1)),""))))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FACHADA POSTERIOR - F2 (A)</t>
        </is>
      </c>
      <c r="S119" s="4" t="inlineStr">
        <is>
          <t>32</t>
        </is>
      </c>
      <c r="T119" s="4" t="inlineStr">
        <is>
          <t>Fachada posterior - F2 (a)</t>
        </is>
      </c>
      <c r="U119" s="4" t="inlineStr">
        <is>
          <t>SIM</t>
        </is>
      </c>
      <c r="V119" s="2">
        <f>IF(R119="","",COUNTIF($C$5:$C$6004,R119))</f>
        <v/>
      </c>
      <c r="W119" s="2">
        <f>IF(R119="","",COUNTIFS($C$5:$C$6004,R119,$O$5:$O$6004,"CONCLUÍDA"))</f>
        <v/>
      </c>
      <c r="X119" s="2">
        <f>IF(R119="","",COUNTIFS($C$5:$C$6004,R119,$O$5:$O$6004,"EM ANDAMENTO"))</f>
        <v/>
      </c>
      <c r="Y119" s="2">
        <f>IF(R119="","",IF(COUNTIFS($C$5:$C$6004,R119,$O$5:$O$6004,"CONCLUÍDA",$N$5:$N$6004,"&gt;=-99")=0,"",_xlfn.MAXIFS($N$5:$N$6004,$C$5:$C$6004,R119,$O$5:$O$6004,"CONCLUÍDA")))</f>
        <v/>
      </c>
      <c r="Z119" s="2">
        <f>IF(R119="","",IF(COUNTIFS($C$5:$C$6004,R119,$O$5:$O$6004,"EM ANDAMENTO",$N$5:$N$6004,"&gt;=-99")=0,"",_xlfn.MAXIFS($N$5:$N$6004,$C$5:$C$6004,R119,$O$5:$O$6004,"EM ANDAMENTO")))</f>
        <v/>
      </c>
      <c r="AA119" s="2">
        <f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/>
      </c>
    </row>
    <row r="120">
      <c r="B120" s="4" t="n">
        <v>32195518</v>
      </c>
      <c r="C120" s="4" t="inlineStr">
        <is>
          <t>FUNDAÇÃO SUPERFICIAL - TRECHO A (4º ETAPA)</t>
        </is>
      </c>
      <c r="D120" s="4" t="inlineStr">
        <is>
          <t>-</t>
        </is>
      </c>
      <c r="E120" s="4" t="inlineStr">
        <is>
          <t>TÉRREO - GARAGENS</t>
        </is>
      </c>
      <c r="F120" s="119" t="n">
        <v>45862</v>
      </c>
      <c r="G120" s="119" t="n">
        <v>45896</v>
      </c>
      <c r="H120" s="119" t="n">
        <v>46293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IF(E120="","",IF(ISNUMBER(SEARCH("SUBSOLO",E120)),IFERROR(-VALUE(LEFT(E120,FIND("º",SUBSTITUTE(E120,"°","º"))-1)),-1),IF(LEFT(E120,6)="TÉRREO",0,IFERROR(VALUE(LEFT(E120,FIND("º",SUBSTITUTE(E120,"°","º"))-1)),""))))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CAIXAS DE PASSAGEM</t>
        </is>
      </c>
      <c r="S120" s="4" t="inlineStr">
        <is>
          <t>20</t>
        </is>
      </c>
      <c r="T120" s="4" t="inlineStr">
        <is>
          <t>Caixas de passagem</t>
        </is>
      </c>
      <c r="U120" s="4" t="inlineStr">
        <is>
          <t>NÃO</t>
        </is>
      </c>
      <c r="V120" s="2">
        <f>IF(R120="","",COUNTIF($C$5:$C$6004,R120))</f>
        <v/>
      </c>
      <c r="W120" s="2">
        <f>IF(R120="","",COUNTIFS($C$5:$C$6004,R120,$O$5:$O$6004,"CONCLUÍDA"))</f>
        <v/>
      </c>
      <c r="X120" s="2">
        <f>IF(R120="","",COUNTIFS($C$5:$C$6004,R120,$O$5:$O$6004,"EM ANDAMENTO"))</f>
        <v/>
      </c>
      <c r="Y120" s="2">
        <f>IF(R120="","",IF(COUNTIFS($C$5:$C$6004,R120,$O$5:$O$6004,"CONCLUÍDA",$N$5:$N$6004,"&gt;=-99")=0,"",_xlfn.MAXIFS($N$5:$N$6004,$C$5:$C$6004,R120,$O$5:$O$6004,"CONCLUÍDA")))</f>
        <v/>
      </c>
      <c r="Z120" s="2">
        <f>IF(R120="","",IF(COUNTIFS($C$5:$C$6004,R120,$O$5:$O$6004,"EM ANDAMENTO",$N$5:$N$6004,"&gt;=-99")=0,"",_xlfn.MAXIFS($N$5:$N$6004,$C$5:$C$6004,R120,$O$5:$O$6004,"EM ANDAMENTO")))</f>
        <v/>
      </c>
      <c r="AA120" s="2">
        <f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>
      <c r="B121" s="4" t="n">
        <v>12999924</v>
      </c>
      <c r="C121" s="4" t="inlineStr">
        <is>
          <t>FUNDAÇÃO SUPERFICIAL - TRECHO A (4º ETAPA)</t>
        </is>
      </c>
      <c r="D121" s="4" t="inlineStr">
        <is>
          <t>B18 - arrasamento de estacas</t>
        </is>
      </c>
      <c r="E121" s="4" t="inlineStr">
        <is>
          <t>TÉRREO - GARAGENS</t>
        </is>
      </c>
      <c r="F121" s="119" t="n">
        <v>45862</v>
      </c>
      <c r="G121" s="119" t="n">
        <v>45862</v>
      </c>
      <c r="H121" s="119" t="n">
        <v>46293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IF(E121="","",IF(ISNUMBER(SEARCH("SUBSOLO",E121)),IFERROR(-VALUE(LEFT(E121,FIND("º",SUBSTITUTE(E121,"°","º"))-1)),-1),IF(LEFT(E121,6)="TÉRREO",0,IFERROR(VALUE(LEFT(E121,FIND("º",SUBSTITUTE(E121,"°","º"))-1)),""))))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ESQUADRIA</t>
        </is>
      </c>
      <c r="S121" s="4" t="inlineStr">
        <is>
          <t>25</t>
        </is>
      </c>
      <c r="T121" s="4" t="inlineStr">
        <is>
          <t>Esquadria</t>
        </is>
      </c>
      <c r="U121" s="4" t="inlineStr">
        <is>
          <t>SIM</t>
        </is>
      </c>
      <c r="V121" s="2">
        <f>IF(R121="","",COUNTIF($C$5:$C$6004,R121))</f>
        <v/>
      </c>
      <c r="W121" s="2">
        <f>IF(R121="","",COUNTIFS($C$5:$C$6004,R121,$O$5:$O$6004,"CONCLUÍDA"))</f>
        <v/>
      </c>
      <c r="X121" s="2">
        <f>IF(R121="","",COUNTIFS($C$5:$C$6004,R121,$O$5:$O$6004,"EM ANDAMENTO"))</f>
        <v/>
      </c>
      <c r="Y121" s="2">
        <f>IF(R121="","",IF(COUNTIFS($C$5:$C$6004,R121,$O$5:$O$6004,"CONCLUÍDA",$N$5:$N$6004,"&gt;=-99")=0,"",_xlfn.MAXIFS($N$5:$N$6004,$C$5:$C$6004,R121,$O$5:$O$6004,"CONCLUÍDA")))</f>
        <v/>
      </c>
      <c r="Z121" s="2">
        <f>IF(R121="","",IF(COUNTIFS($C$5:$C$6004,R121,$O$5:$O$6004,"EM ANDAMENTO",$N$5:$N$6004,"&gt;=-99")=0,"",_xlfn.MAXIFS($N$5:$N$6004,$C$5:$C$6004,R121,$O$5:$O$6004,"EM ANDAMENTO")))</f>
        <v/>
      </c>
      <c r="AA121" s="2">
        <f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/>
      </c>
    </row>
    <row r="122">
      <c r="B122" s="4" t="n">
        <v>12999925</v>
      </c>
      <c r="C122" s="4" t="inlineStr">
        <is>
          <t>FUNDAÇÃO SUPERFICIAL - TRECHO A (4º ETAPA)</t>
        </is>
      </c>
      <c r="D122" s="4" t="inlineStr">
        <is>
          <t>B2 / C238 - concretagem</t>
        </is>
      </c>
      <c r="E122" s="4" t="inlineStr">
        <is>
          <t>TÉRREO - GARAGENS</t>
        </is>
      </c>
      <c r="F122" s="119" t="n">
        <v>45862</v>
      </c>
      <c r="G122" s="119" t="n">
        <v>45862</v>
      </c>
      <c r="H122" s="119" t="n">
        <v>46293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IF(E122="","",IF(ISNUMBER(SEARCH("SUBSOLO",E122)),IFERROR(-VALUE(LEFT(E122,FIND("º",SUBSTITUTE(E122,"°","º"))-1)),-1),IF(LEFT(E122,6)="TÉRREO",0,IFERROR(VALUE(LEFT(E122,FIND("º",SUBSTITUTE(E122,"°","º"))-1)),""))))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PREPARAÇÃO POÇO ELEVADOR</t>
        </is>
      </c>
      <c r="S122" s="4" t="inlineStr">
        <is>
          <t>24</t>
        </is>
      </c>
      <c r="T122" s="4" t="inlineStr">
        <is>
          <t>Preparação poço elevador</t>
        </is>
      </c>
      <c r="U122" s="4" t="inlineStr">
        <is>
          <t>SIM</t>
        </is>
      </c>
      <c r="V122" s="2">
        <f>IF(R122="","",COUNTIF($C$5:$C$6004,R122))</f>
        <v/>
      </c>
      <c r="W122" s="2">
        <f>IF(R122="","",COUNTIFS($C$5:$C$6004,R122,$O$5:$O$6004,"CONCLUÍDA"))</f>
        <v/>
      </c>
      <c r="X122" s="2">
        <f>IF(R122="","",COUNTIFS($C$5:$C$6004,R122,$O$5:$O$6004,"EM ANDAMENTO"))</f>
        <v/>
      </c>
      <c r="Y122" s="2">
        <f>IF(R122="","",IF(COUNTIFS($C$5:$C$6004,R122,$O$5:$O$6004,"CONCLUÍDA",$N$5:$N$6004,"&gt;=-99")=0,"",_xlfn.MAXIFS($N$5:$N$6004,$C$5:$C$6004,R122,$O$5:$O$6004,"CONCLUÍDA")))</f>
        <v/>
      </c>
      <c r="Z122" s="2">
        <f>IF(R122="","",IF(COUNTIFS($C$5:$C$6004,R122,$O$5:$O$6004,"EM ANDAMENTO",$N$5:$N$6004,"&gt;=-99")=0,"",_xlfn.MAXIFS($N$5:$N$6004,$C$5:$C$6004,R122,$O$5:$O$6004,"EM ANDAMENTO")))</f>
        <v/>
      </c>
      <c r="AA122" s="2">
        <f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/>
      </c>
    </row>
    <row r="123">
      <c r="B123" s="4" t="n">
        <v>12999926</v>
      </c>
      <c r="C123" s="4" t="inlineStr">
        <is>
          <t>FUNDAÇÃO SUPERFICIAL - TRECHO A (4º ETAPA)</t>
        </is>
      </c>
      <c r="D123" s="4" t="inlineStr">
        <is>
          <t>B22 / B23 / B24 / B25 / CE1 / C120 / C121 / C122 - marcação</t>
        </is>
      </c>
      <c r="E123" s="4" t="inlineStr">
        <is>
          <t>TÉRREO - GARAGENS</t>
        </is>
      </c>
      <c r="F123" s="119" t="n">
        <v>45863</v>
      </c>
      <c r="G123" s="119" t="n">
        <v>45863</v>
      </c>
      <c r="H123" s="119" t="n">
        <v>46293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IF(E123="","",IF(ISNUMBER(SEARCH("SUBSOLO",E123)),IFERROR(-VALUE(LEFT(E123,FIND("º",SUBSTITUTE(E123,"°","º"))-1)),-1),IF(LEFT(E123,6)="TÉRREO",0,IFERROR(VALUE(LEFT(E123,FIND("º",SUBSTITUTE(E123,"°","º"))-1)),""))))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RESERVATÓRIO - CAIXA DE DETENÇÃO</t>
        </is>
      </c>
      <c r="S123" s="4" t="inlineStr">
        <is>
          <t>21</t>
        </is>
      </c>
      <c r="T123" s="4" t="inlineStr">
        <is>
          <t>Reservatório - caixa de detenção</t>
        </is>
      </c>
      <c r="U123" s="4" t="inlineStr">
        <is>
          <t>NÃO</t>
        </is>
      </c>
      <c r="V123" s="2">
        <f>IF(R123="","",COUNTIF($C$5:$C$6004,R123))</f>
        <v/>
      </c>
      <c r="W123" s="2">
        <f>IF(R123="","",COUNTIFS($C$5:$C$6004,R123,$O$5:$O$6004,"CONCLUÍDA"))</f>
        <v/>
      </c>
      <c r="X123" s="2">
        <f>IF(R123="","",COUNTIFS($C$5:$C$6004,R123,$O$5:$O$6004,"EM ANDAMENTO"))</f>
        <v/>
      </c>
      <c r="Y123" s="2">
        <f>IF(R123="","",IF(COUNTIFS($C$5:$C$6004,R123,$O$5:$O$6004,"CONCLUÍDA",$N$5:$N$6004,"&gt;=-99")=0,"",_xlfn.MAXIFS($N$5:$N$6004,$C$5:$C$6004,R123,$O$5:$O$6004,"CONCLUÍDA")))</f>
        <v/>
      </c>
      <c r="Z123" s="2">
        <f>IF(R123="","",IF(COUNTIFS($C$5:$C$6004,R123,$O$5:$O$6004,"EM ANDAMENTO",$N$5:$N$6004,"&gt;=-99")=0,"",_xlfn.MAXIFS($N$5:$N$6004,$C$5:$C$6004,R123,$O$5:$O$6004,"EM ANDAMENTO")))</f>
        <v/>
      </c>
      <c r="AA123" s="2">
        <f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>
      <c r="B124" s="4" t="n">
        <v>12999927</v>
      </c>
      <c r="C124" s="4" t="inlineStr">
        <is>
          <t>FUNDAÇÃO SUPERFICIAL - TRECHO A (4º ETAPA)</t>
        </is>
      </c>
      <c r="D124" s="4" t="inlineStr">
        <is>
          <t>B701/C131/C109/PAR1/PAR7/C104/C132 - armação</t>
        </is>
      </c>
      <c r="E124" s="4" t="inlineStr">
        <is>
          <t>TÉRREO - GARAGENS</t>
        </is>
      </c>
      <c r="F124" s="119" t="n">
        <v>45863</v>
      </c>
      <c r="G124" s="119" t="n">
        <v>45869</v>
      </c>
      <c r="H124" s="119" t="n">
        <v>46293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IF(E124="","",IF(ISNUMBER(SEARCH("SUBSOLO",E124)),IFERROR(-VALUE(LEFT(E124,FIND("º",SUBSTITUTE(E124,"°","º"))-1)),-1),IF(LEFT(E124,6)="TÉRREO",0,IFERROR(VALUE(LEFT(E124,FIND("º",SUBSTITUTE(E124,"°","º"))-1)),""))))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MASSA CORRIDA</t>
        </is>
      </c>
      <c r="S124" s="4" t="inlineStr">
        <is>
          <t>35</t>
        </is>
      </c>
      <c r="T124" s="4" t="inlineStr">
        <is>
          <t>Massa corrida</t>
        </is>
      </c>
      <c r="U124" s="4" t="inlineStr">
        <is>
          <t>SIM</t>
        </is>
      </c>
      <c r="V124" s="2">
        <f>IF(R124="","",COUNTIF($C$5:$C$6004,R124))</f>
        <v/>
      </c>
      <c r="W124" s="2">
        <f>IF(R124="","",COUNTIFS($C$5:$C$6004,R124,$O$5:$O$6004,"CONCLUÍDA"))</f>
        <v/>
      </c>
      <c r="X124" s="2">
        <f>IF(R124="","",COUNTIFS($C$5:$C$6004,R124,$O$5:$O$6004,"EM ANDAMENTO"))</f>
        <v/>
      </c>
      <c r="Y124" s="2">
        <f>IF(R124="","",IF(COUNTIFS($C$5:$C$6004,R124,$O$5:$O$6004,"CONCLUÍDA",$N$5:$N$6004,"&gt;=-99")=0,"",_xlfn.MAXIFS($N$5:$N$6004,$C$5:$C$6004,R124,$O$5:$O$6004,"CONCLUÍDA")))</f>
        <v/>
      </c>
      <c r="Z124" s="2">
        <f>IF(R124="","",IF(COUNTIFS($C$5:$C$6004,R124,$O$5:$O$6004,"EM ANDAMENTO",$N$5:$N$6004,"&gt;=-99")=0,"",_xlfn.MAXIFS($N$5:$N$6004,$C$5:$C$6004,R124,$O$5:$O$6004,"EM ANDAMENTO")))</f>
        <v/>
      </c>
      <c r="AA124" s="2">
        <f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/>
      </c>
    </row>
    <row r="125">
      <c r="B125" s="4" t="n">
        <v>12999928</v>
      </c>
      <c r="C125" s="4" t="inlineStr">
        <is>
          <t>FUNDAÇÃO SUPERFICIAL - TRECHO A (4º ETAPA)</t>
        </is>
      </c>
      <c r="D125" s="4" t="inlineStr">
        <is>
          <t>B701 / C132 - concretagem</t>
        </is>
      </c>
      <c r="E125" s="4" t="inlineStr">
        <is>
          <t>TÉRREO - GARAGENS</t>
        </is>
      </c>
      <c r="F125" s="119" t="n">
        <v>45870</v>
      </c>
      <c r="G125" s="119" t="n">
        <v>45870</v>
      </c>
      <c r="H125" s="119" t="n">
        <v>46293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IF(E125="","",IF(ISNUMBER(SEARCH("SUBSOLO",E125)),IFERROR(-VALUE(LEFT(E125,FIND("º",SUBSTITUTE(E125,"°","º"))-1)),-1),IF(LEFT(E125,6)="TÉRREO",0,IFERROR(VALUE(LEFT(E125,FIND("º",SUBSTITUTE(E125,"°","º"))-1)),""))))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1º DEMÃO</t>
        </is>
      </c>
      <c r="S125" s="4" t="inlineStr">
        <is>
          <t>35</t>
        </is>
      </c>
      <c r="T125" s="4" t="inlineStr">
        <is>
          <t>Pintura 1ª demão</t>
        </is>
      </c>
      <c r="U125" s="4" t="inlineStr">
        <is>
          <t>SIM</t>
        </is>
      </c>
      <c r="V125" s="2">
        <f>IF(R125="","",COUNTIF($C$5:$C$6004,R125))</f>
        <v/>
      </c>
      <c r="W125" s="2">
        <f>IF(R125="","",COUNTIFS($C$5:$C$6004,R125,$O$5:$O$6004,"CONCLUÍDA"))</f>
        <v/>
      </c>
      <c r="X125" s="2">
        <f>IF(R125="","",COUNTIFS($C$5:$C$6004,R125,$O$5:$O$6004,"EM ANDAMENTO"))</f>
        <v/>
      </c>
      <c r="Y125" s="2">
        <f>IF(R125="","",IF(COUNTIFS($C$5:$C$6004,R125,$O$5:$O$6004,"CONCLUÍDA",$N$5:$N$6004,"&gt;=-99")=0,"",_xlfn.MAXIFS($N$5:$N$6004,$C$5:$C$6004,R125,$O$5:$O$6004,"CONCLUÍDA")))</f>
        <v/>
      </c>
      <c r="Z125" s="2">
        <f>IF(R125="","",IF(COUNTIFS($C$5:$C$6004,R125,$O$5:$O$6004,"EM ANDAMENTO",$N$5:$N$6004,"&gt;=-99")=0,"",_xlfn.MAXIFS($N$5:$N$6004,$C$5:$C$6004,R125,$O$5:$O$6004,"EM ANDAMENTO")))</f>
        <v/>
      </c>
      <c r="AA125" s="2">
        <f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/>
      </c>
    </row>
    <row r="126">
      <c r="B126" s="4" t="n">
        <v>12999929</v>
      </c>
      <c r="C126" s="4" t="inlineStr">
        <is>
          <t>FUNDAÇÃO SUPERFICIAL - TRECHO A (4º ETAPA)</t>
        </is>
      </c>
      <c r="D126" s="4" t="inlineStr">
        <is>
          <t>B22 / B23 - escavação</t>
        </is>
      </c>
      <c r="E126" s="4" t="inlineStr">
        <is>
          <t>TÉRREO - GARAGENS</t>
        </is>
      </c>
      <c r="F126" s="119" t="n">
        <v>45866</v>
      </c>
      <c r="G126" s="119" t="n">
        <v>45867</v>
      </c>
      <c r="H126" s="119" t="n">
        <v>46293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IF(E126="","",IF(ISNUMBER(SEARCH("SUBSOLO",E126)),IFERROR(-VALUE(LEFT(E126,FIND("º",SUBSTITUTE(E126,"°","º"))-1)),-1),IF(LEFT(E126,6)="TÉRREO",0,IFERROR(VALUE(LEFT(E126,FIND("º",SUBSTITUTE(E126,"°","º"))-1)),""))))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FACHADA JAIRO - F2 (B)</t>
        </is>
      </c>
      <c r="S126" s="4" t="inlineStr">
        <is>
          <t>32</t>
        </is>
      </c>
      <c r="T126" s="4" t="inlineStr">
        <is>
          <t>Fachada jairo - F2 (b)</t>
        </is>
      </c>
      <c r="U126" s="4" t="inlineStr">
        <is>
          <t>SIM</t>
        </is>
      </c>
      <c r="V126" s="2">
        <f>IF(R126="","",COUNTIF($C$5:$C$6004,R126))</f>
        <v/>
      </c>
      <c r="W126" s="2">
        <f>IF(R126="","",COUNTIFS($C$5:$C$6004,R126,$O$5:$O$6004,"CONCLUÍDA"))</f>
        <v/>
      </c>
      <c r="X126" s="2">
        <f>IF(R126="","",COUNTIFS($C$5:$C$6004,R126,$O$5:$O$6004,"EM ANDAMENTO"))</f>
        <v/>
      </c>
      <c r="Y126" s="2">
        <f>IF(R126="","",IF(COUNTIFS($C$5:$C$6004,R126,$O$5:$O$6004,"CONCLUÍDA",$N$5:$N$6004,"&gt;=-99")=0,"",_xlfn.MAXIFS($N$5:$N$6004,$C$5:$C$6004,R126,$O$5:$O$6004,"CONCLUÍDA")))</f>
        <v/>
      </c>
      <c r="Z126" s="2">
        <f>IF(R126="","",IF(COUNTIFS($C$5:$C$6004,R126,$O$5:$O$6004,"EM ANDAMENTO",$N$5:$N$6004,"&gt;=-99")=0,"",_xlfn.MAXIFS($N$5:$N$6004,$C$5:$C$6004,R126,$O$5:$O$6004,"EM ANDAMENTO")))</f>
        <v/>
      </c>
      <c r="AA126" s="2">
        <f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/>
      </c>
    </row>
    <row r="127">
      <c r="B127" s="4" t="n">
        <v>12999930</v>
      </c>
      <c r="C127" s="4" t="inlineStr">
        <is>
          <t>FUNDAÇÃO SUPERFICIAL - TRECHO A (4º ETAPA)</t>
        </is>
      </c>
      <c r="D127" s="4" t="inlineStr">
        <is>
          <t>B22 / B23 - arrasamento</t>
        </is>
      </c>
      <c r="E127" s="4" t="inlineStr">
        <is>
          <t>TÉRREO - GARAGENS</t>
        </is>
      </c>
      <c r="F127" s="119" t="n">
        <v>45868</v>
      </c>
      <c r="G127" s="119" t="n">
        <v>45869</v>
      </c>
      <c r="H127" s="119" t="n">
        <v>46293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IF(E127="","",IF(ISNUMBER(SEARCH("SUBSOLO",E127)),IFERROR(-VALUE(LEFT(E127,FIND("º",SUBSTITUTE(E127,"°","º"))-1)),-1),IF(LEFT(E127,6)="TÉRREO",0,IFERROR(VALUE(LEFT(E127,FIND("º",SUBSTITUTE(E127,"°","º"))-1)),""))))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ACABAMENTOS INCÊNDIO</t>
        </is>
      </c>
      <c r="S127" s="4" t="inlineStr">
        <is>
          <t>22</t>
        </is>
      </c>
      <c r="T127" s="4" t="inlineStr">
        <is>
          <t>Acabamentos incêndio</t>
        </is>
      </c>
      <c r="U127" s="4" t="inlineStr">
        <is>
          <t>SIM</t>
        </is>
      </c>
      <c r="V127" s="2">
        <f>IF(R127="","",COUNTIF($C$5:$C$6004,R127))</f>
        <v/>
      </c>
      <c r="W127" s="2">
        <f>IF(R127="","",COUNTIFS($C$5:$C$6004,R127,$O$5:$O$6004,"CONCLUÍDA"))</f>
        <v/>
      </c>
      <c r="X127" s="2">
        <f>IF(R127="","",COUNTIFS($C$5:$C$6004,R127,$O$5:$O$6004,"EM ANDAMENTO"))</f>
        <v/>
      </c>
      <c r="Y127" s="2">
        <f>IF(R127="","",IF(COUNTIFS($C$5:$C$6004,R127,$O$5:$O$6004,"CONCLUÍDA",$N$5:$N$6004,"&gt;=-99")=0,"",_xlfn.MAXIFS($N$5:$N$6004,$C$5:$C$6004,R127,$O$5:$O$6004,"CONCLUÍDA")))</f>
        <v/>
      </c>
      <c r="Z127" s="2">
        <f>IF(R127="","",IF(COUNTIFS($C$5:$C$6004,R127,$O$5:$O$6004,"EM ANDAMENTO",$N$5:$N$6004,"&gt;=-99")=0,"",_xlfn.MAXIFS($N$5:$N$6004,$C$5:$C$6004,R127,$O$5:$O$6004,"EM ANDAMENTO")))</f>
        <v/>
      </c>
      <c r="AA127" s="2">
        <f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/>
      </c>
    </row>
    <row r="128">
      <c r="B128" s="4" t="n">
        <v>12999931</v>
      </c>
      <c r="C128" s="4" t="inlineStr">
        <is>
          <t>FUNDAÇÃO SUPERFICIAL - TRECHO A (4º ETAPA)</t>
        </is>
      </c>
      <c r="D128" s="4" t="inlineStr">
        <is>
          <t>B22 / B23 - lastro</t>
        </is>
      </c>
      <c r="E128" s="4" t="inlineStr">
        <is>
          <t>TÉRREO - GARAGENS</t>
        </is>
      </c>
      <c r="F128" s="119" t="n">
        <v>45870</v>
      </c>
      <c r="G128" s="119" t="n">
        <v>45870</v>
      </c>
      <c r="H128" s="119" t="n">
        <v>46293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IF(E128="","",IF(ISNUMBER(SEARCH("SUBSOLO",E128)),IFERROR(-VALUE(LEFT(E128,FIND("º",SUBSTITUTE(E128,"°","º"))-1)),-1),IF(LEFT(E128,6)="TÉRREO",0,IFERROR(VALUE(LEFT(E128,FIND("º",SUBSTITUTE(E128,"°","º"))-1)),""))))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PISO MADEIRA / LAMINADO</t>
        </is>
      </c>
      <c r="S128" s="4" t="inlineStr">
        <is>
          <t>30</t>
        </is>
      </c>
      <c r="T128" s="4" t="inlineStr">
        <is>
          <t>Piso madeira / laminado</t>
        </is>
      </c>
      <c r="U128" s="4" t="inlineStr">
        <is>
          <t>SIM</t>
        </is>
      </c>
      <c r="V128" s="2">
        <f>IF(R128="","",COUNTIF($C$5:$C$6004,R128))</f>
        <v/>
      </c>
      <c r="W128" s="2">
        <f>IF(R128="","",COUNTIFS($C$5:$C$6004,R128,$O$5:$O$6004,"CONCLUÍDA"))</f>
        <v/>
      </c>
      <c r="X128" s="2">
        <f>IF(R128="","",COUNTIFS($C$5:$C$6004,R128,$O$5:$O$6004,"EM ANDAMENTO"))</f>
        <v/>
      </c>
      <c r="Y128" s="2">
        <f>IF(R128="","",IF(COUNTIFS($C$5:$C$6004,R128,$O$5:$O$6004,"CONCLUÍDA",$N$5:$N$6004,"&gt;=-99")=0,"",_xlfn.MAXIFS($N$5:$N$6004,$C$5:$C$6004,R128,$O$5:$O$6004,"CONCLUÍDA")))</f>
        <v/>
      </c>
      <c r="Z128" s="2">
        <f>IF(R128="","",IF(COUNTIFS($C$5:$C$6004,R128,$O$5:$O$6004,"EM ANDAMENTO",$N$5:$N$6004,"&gt;=-99")=0,"",_xlfn.MAXIFS($N$5:$N$6004,$C$5:$C$6004,R128,$O$5:$O$6004,"EM ANDAMENTO")))</f>
        <v/>
      </c>
      <c r="AA128" s="2">
        <f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/>
      </c>
    </row>
    <row r="129">
      <c r="B129" s="4" t="n">
        <v>12999932</v>
      </c>
      <c r="C129" s="4" t="inlineStr">
        <is>
          <t>FUNDAÇÃO SUPERFICIAL - TRECHO A (4º ETAPA)</t>
        </is>
      </c>
      <c r="D129" s="4" t="inlineStr">
        <is>
          <t>B6/B18/C103/C106/C107/C136/C137/C138 - armação</t>
        </is>
      </c>
      <c r="E129" s="4" t="inlineStr">
        <is>
          <t>TÉRREO - GARAGENS</t>
        </is>
      </c>
      <c r="F129" s="119" t="n">
        <v>45870</v>
      </c>
      <c r="G129" s="119" t="n">
        <v>45877</v>
      </c>
      <c r="H129" s="119" t="n">
        <v>46293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IF(E129="","",IF(ISNUMBER(SEARCH("SUBSOLO",E129)),IFERROR(-VALUE(LEFT(E129,FIND("º",SUBSTITUTE(E129,"°","º"))-1)),-1),IF(LEFT(E129,6)="TÉRREO",0,IFERROR(VALUE(LEFT(E129,FIND("º",SUBSTITUTE(E129,"°","º"))-1)),""))))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RESERVATÓRIOS / BOILERS</t>
        </is>
      </c>
      <c r="S129" s="4" t="inlineStr">
        <is>
          <t>21</t>
        </is>
      </c>
      <c r="T129" s="4" t="inlineStr">
        <is>
          <t>Reservatórios / boilers</t>
        </is>
      </c>
      <c r="U129" s="4" t="inlineStr">
        <is>
          <t>NÃO</t>
        </is>
      </c>
      <c r="V129" s="2">
        <f>IF(R129="","",COUNTIF($C$5:$C$6004,R129))</f>
        <v/>
      </c>
      <c r="W129" s="2">
        <f>IF(R129="","",COUNTIFS($C$5:$C$6004,R129,$O$5:$O$6004,"CONCLUÍDA"))</f>
        <v/>
      </c>
      <c r="X129" s="2">
        <f>IF(R129="","",COUNTIFS($C$5:$C$6004,R129,$O$5:$O$6004,"EM ANDAMENTO"))</f>
        <v/>
      </c>
      <c r="Y129" s="2">
        <f>IF(R129="","",IF(COUNTIFS($C$5:$C$6004,R129,$O$5:$O$6004,"CONCLUÍDA",$N$5:$N$6004,"&gt;=-99")=0,"",_xlfn.MAXIFS($N$5:$N$6004,$C$5:$C$6004,R129,$O$5:$O$6004,"CONCLUÍDA")))</f>
        <v/>
      </c>
      <c r="Z129" s="2">
        <f>IF(R129="","",IF(COUNTIFS($C$5:$C$6004,R129,$O$5:$O$6004,"EM ANDAMENTO",$N$5:$N$6004,"&gt;=-99")=0,"",_xlfn.MAXIFS($N$5:$N$6004,$C$5:$C$6004,R129,$O$5:$O$6004,"EM ANDAMENTO")))</f>
        <v/>
      </c>
      <c r="AA129" s="2">
        <f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>
      <c r="B130" s="4" t="n">
        <v>12999933</v>
      </c>
      <c r="C130" s="4" t="inlineStr">
        <is>
          <t>FUNDAÇÃO SUPERFICIAL - TRECHO A (4º ETAPA)</t>
        </is>
      </c>
      <c r="D130" s="4" t="inlineStr">
        <is>
          <t>B6/B18/C103/C106/C107/C136/C137/C138 - concretagem</t>
        </is>
      </c>
      <c r="E130" s="4" t="inlineStr">
        <is>
          <t>TÉRREO - GARAGENS</t>
        </is>
      </c>
      <c r="F130" s="119" t="n">
        <v>45880</v>
      </c>
      <c r="G130" s="119" t="n">
        <v>45880</v>
      </c>
      <c r="H130" s="119" t="n">
        <v>46293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IF(E130="","",IF(ISNUMBER(SEARCH("SUBSOLO",E130)),IFERROR(-VALUE(LEFT(E130,FIND("º",SUBSTITUTE(E130,"°","º"))-1)),-1),IF(LEFT(E130,6)="TÉRREO",0,IFERROR(VALUE(LEFT(E130,FIND("º",SUBSTITUTE(E130,"°","º"))-1)),""))))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ELEVADOR 1</t>
        </is>
      </c>
      <c r="S130" s="4" t="inlineStr">
        <is>
          <t>24</t>
        </is>
      </c>
      <c r="T130" s="4" t="inlineStr">
        <is>
          <t>Elevador 1</t>
        </is>
      </c>
      <c r="U130" s="4" t="inlineStr">
        <is>
          <t>SIM</t>
        </is>
      </c>
      <c r="V130" s="2">
        <f>IF(R130="","",COUNTIF($C$5:$C$6004,R130))</f>
        <v/>
      </c>
      <c r="W130" s="2">
        <f>IF(R130="","",COUNTIFS($C$5:$C$6004,R130,$O$5:$O$6004,"CONCLUÍDA"))</f>
        <v/>
      </c>
      <c r="X130" s="2">
        <f>IF(R130="","",COUNTIFS($C$5:$C$6004,R130,$O$5:$O$6004,"EM ANDAMENTO"))</f>
        <v/>
      </c>
      <c r="Y130" s="2">
        <f>IF(R130="","",IF(COUNTIFS($C$5:$C$6004,R130,$O$5:$O$6004,"CONCLUÍDA",$N$5:$N$6004,"&gt;=-99")=0,"",_xlfn.MAXIFS($N$5:$N$6004,$C$5:$C$6004,R130,$O$5:$O$6004,"CONCLUÍDA")))</f>
        <v/>
      </c>
      <c r="Z130" s="2">
        <f>IF(R130="","",IF(COUNTIFS($C$5:$C$6004,R130,$O$5:$O$6004,"EM ANDAMENTO",$N$5:$N$6004,"&gt;=-99")=0,"",_xlfn.MAXIFS($N$5:$N$6004,$C$5:$C$6004,R130,$O$5:$O$6004,"EM ANDAMENTO")))</f>
        <v/>
      </c>
      <c r="AA130" s="2">
        <f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/>
      </c>
    </row>
    <row r="131">
      <c r="B131" s="4" t="n">
        <v>12999934</v>
      </c>
      <c r="C131" s="4" t="inlineStr">
        <is>
          <t>FUNDAÇÃO SUPERFICIAL - TRECHO A (4º ETAPA)</t>
        </is>
      </c>
      <c r="D131" s="4" t="inlineStr">
        <is>
          <t>B24 / B25 - escavação</t>
        </is>
      </c>
      <c r="E131" s="4" t="inlineStr">
        <is>
          <t>TÉRREO - GARAGENS</t>
        </is>
      </c>
      <c r="F131" s="119" t="n">
        <v>45870</v>
      </c>
      <c r="G131" s="119" t="n">
        <v>45873</v>
      </c>
      <c r="H131" s="119" t="n">
        <v>46293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IF(E131="","",IF(ISNUMBER(SEARCH("SUBSOLO",E131)),IFERROR(-VALUE(LEFT(E131,FIND("º",SUBSTITUTE(E131,"°","º"))-1)),-1),IF(LEFT(E131,6)="TÉRREO",0,IFERROR(VALUE(LEFT(E131,FIND("º",SUBSTITUTE(E131,"°","º"))-1)),""))))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RAMAL DE ENTRADA - COPASA</t>
        </is>
      </c>
      <c r="S131" s="4" t="inlineStr">
        <is>
          <t>21</t>
        </is>
      </c>
      <c r="T131" s="4" t="inlineStr">
        <is>
          <t>Ramal de entrada - copasa</t>
        </is>
      </c>
      <c r="U131" s="4" t="inlineStr">
        <is>
          <t>NÃO</t>
        </is>
      </c>
      <c r="V131" s="2">
        <f>IF(R131="","",COUNTIF($C$5:$C$6004,R131))</f>
        <v/>
      </c>
      <c r="W131" s="2">
        <f>IF(R131="","",COUNTIFS($C$5:$C$6004,R131,$O$5:$O$6004,"CONCLUÍDA"))</f>
        <v/>
      </c>
      <c r="X131" s="2">
        <f>IF(R131="","",COUNTIFS($C$5:$C$6004,R131,$O$5:$O$6004,"EM ANDAMENTO"))</f>
        <v/>
      </c>
      <c r="Y131" s="2">
        <f>IF(R131="","",IF(COUNTIFS($C$5:$C$6004,R131,$O$5:$O$6004,"CONCLUÍDA",$N$5:$N$6004,"&gt;=-99")=0,"",_xlfn.MAXIFS($N$5:$N$6004,$C$5:$C$6004,R131,$O$5:$O$6004,"CONCLUÍDA")))</f>
        <v/>
      </c>
      <c r="Z131" s="2">
        <f>IF(R131="","",IF(COUNTIFS($C$5:$C$6004,R131,$O$5:$O$6004,"EM ANDAMENTO",$N$5:$N$6004,"&gt;=-99")=0,"",_xlfn.MAXIFS($N$5:$N$6004,$C$5:$C$6004,R131,$O$5:$O$6004,"EM ANDAMENTO")))</f>
        <v/>
      </c>
      <c r="AA131" s="2">
        <f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>
      <c r="B132" s="4" t="n">
        <v>12999935</v>
      </c>
      <c r="C132" s="4" t="inlineStr">
        <is>
          <t>FUNDAÇÃO SUPERFICIAL - TRECHO A (4º ETAPA)</t>
        </is>
      </c>
      <c r="D132" s="4" t="inlineStr">
        <is>
          <t>B24 / B25 - arrasamento</t>
        </is>
      </c>
      <c r="E132" s="4" t="inlineStr">
        <is>
          <t>TÉRREO - GARAGENS</t>
        </is>
      </c>
      <c r="F132" s="119" t="n">
        <v>45874</v>
      </c>
      <c r="G132" s="119" t="n">
        <v>45875</v>
      </c>
      <c r="H132" s="119" t="n">
        <v>46293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IF(E132="","",IF(ISNUMBER(SEARCH("SUBSOLO",E132)),IFERROR(-VALUE(LEFT(E132,FIND("º",SUBSTITUTE(E132,"°","º"))-1)),-1),IF(LEFT(E132,6)="TÉRREO",0,IFERROR(VALUE(LEFT(E132,FIND("º",SUBSTITUTE(E132,"°","º"))-1)),""))))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LIGAÇÃO COPASA</t>
        </is>
      </c>
      <c r="S132" s="4" t="inlineStr">
        <is>
          <t>21</t>
        </is>
      </c>
      <c r="T132" s="4" t="inlineStr">
        <is>
          <t>Ligação copasa</t>
        </is>
      </c>
      <c r="U132" s="4" t="inlineStr">
        <is>
          <t>NÃO</t>
        </is>
      </c>
      <c r="V132" s="2">
        <f>IF(R132="","",COUNTIF($C$5:$C$6004,R132))</f>
        <v/>
      </c>
      <c r="W132" s="2">
        <f>IF(R132="","",COUNTIFS($C$5:$C$6004,R132,$O$5:$O$6004,"CONCLUÍDA"))</f>
        <v/>
      </c>
      <c r="X132" s="2">
        <f>IF(R132="","",COUNTIFS($C$5:$C$6004,R132,$O$5:$O$6004,"EM ANDAMENTO"))</f>
        <v/>
      </c>
      <c r="Y132" s="2">
        <f>IF(R132="","",IF(COUNTIFS($C$5:$C$6004,R132,$O$5:$O$6004,"CONCLUÍDA",$N$5:$N$6004,"&gt;=-99")=0,"",_xlfn.MAXIFS($N$5:$N$6004,$C$5:$C$6004,R132,$O$5:$O$6004,"CONCLUÍDA")))</f>
        <v/>
      </c>
      <c r="Z132" s="2">
        <f>IF(R132="","",IF(COUNTIFS($C$5:$C$6004,R132,$O$5:$O$6004,"EM ANDAMENTO",$N$5:$N$6004,"&gt;=-99")=0,"",_xlfn.MAXIFS($N$5:$N$6004,$C$5:$C$6004,R132,$O$5:$O$6004,"EM ANDAMENTO")))</f>
        <v/>
      </c>
      <c r="AA132" s="2">
        <f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>
      <c r="B133" s="4" t="n">
        <v>12999936</v>
      </c>
      <c r="C133" s="4" t="inlineStr">
        <is>
          <t>FUNDAÇÃO SUPERFICIAL - TRECHO A (4º ETAPA)</t>
        </is>
      </c>
      <c r="D133" s="4" t="inlineStr">
        <is>
          <t>B24 / B25 - lastro</t>
        </is>
      </c>
      <c r="E133" s="4" t="inlineStr">
        <is>
          <t>TÉRREO - GARAGENS</t>
        </is>
      </c>
      <c r="F133" s="119" t="n">
        <v>45876</v>
      </c>
      <c r="G133" s="119" t="n">
        <v>45877</v>
      </c>
      <c r="H133" s="119" t="n">
        <v>46293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IF(E133="","",IF(ISNUMBER(SEARCH("SUBSOLO",E133)),IFERROR(-VALUE(LEFT(E133,FIND("º",SUBSTITUTE(E133,"°","º"))-1)),-1),IF(LEFT(E133,6)="TÉRREO",0,IFERROR(VALUE(LEFT(E133,FIND("º",SUBSTITUTE(E133,"°","º"))-1)),""))))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ESQUADRIA MADEIRA</t>
        </is>
      </c>
      <c r="S133" s="4" t="inlineStr">
        <is>
          <t>25</t>
        </is>
      </c>
      <c r="T133" s="4" t="inlineStr">
        <is>
          <t>Esquadria madeira</t>
        </is>
      </c>
      <c r="U133" s="4" t="inlineStr">
        <is>
          <t>SIM</t>
        </is>
      </c>
      <c r="V133" s="2">
        <f>IF(R133="","",COUNTIF($C$5:$C$6004,R133))</f>
        <v/>
      </c>
      <c r="W133" s="2">
        <f>IF(R133="","",COUNTIFS($C$5:$C$6004,R133,$O$5:$O$6004,"CONCLUÍDA"))</f>
        <v/>
      </c>
      <c r="X133" s="2">
        <f>IF(R133="","",COUNTIFS($C$5:$C$6004,R133,$O$5:$O$6004,"EM ANDAMENTO"))</f>
        <v/>
      </c>
      <c r="Y133" s="2">
        <f>IF(R133="","",IF(COUNTIFS($C$5:$C$6004,R133,$O$5:$O$6004,"CONCLUÍDA",$N$5:$N$6004,"&gt;=-99")=0,"",_xlfn.MAXIFS($N$5:$N$6004,$C$5:$C$6004,R133,$O$5:$O$6004,"CONCLUÍDA")))</f>
        <v/>
      </c>
      <c r="Z133" s="2">
        <f>IF(R133="","",IF(COUNTIFS($C$5:$C$6004,R133,$O$5:$O$6004,"EM ANDAMENTO",$N$5:$N$6004,"&gt;=-99")=0,"",_xlfn.MAXIFS($N$5:$N$6004,$C$5:$C$6004,R133,$O$5:$O$6004,"EM ANDAMENTO")))</f>
        <v/>
      </c>
      <c r="AA133" s="2">
        <f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/>
      </c>
    </row>
    <row r="134">
      <c r="B134" s="4" t="n">
        <v>12999937</v>
      </c>
      <c r="C134" s="4" t="inlineStr">
        <is>
          <t>FUNDAÇÃO SUPERFICIAL - TRECHO A (4º ETAPA)</t>
        </is>
      </c>
      <c r="D134" s="4" t="inlineStr">
        <is>
          <t>B22 - armação</t>
        </is>
      </c>
      <c r="E134" s="4" t="inlineStr">
        <is>
          <t>TÉRREO - GARAGENS</t>
        </is>
      </c>
      <c r="F134" s="119" t="n">
        <v>45880</v>
      </c>
      <c r="G134" s="119" t="n">
        <v>45880</v>
      </c>
      <c r="H134" s="119" t="n">
        <v>46293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IF(E134="","",IF(ISNUMBER(SEARCH("SUBSOLO",E134)),IFERROR(-VALUE(LEFT(E134,FIND("º",SUBSTITUTE(E134,"°","º"))-1)),-1),IF(LEFT(E134,6)="TÉRREO",0,IFERROR(VALUE(LEFT(E134,FIND("º",SUBSTITUTE(E134,"°","º"))-1)),""))))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FORRO DE MADEIRA</t>
        </is>
      </c>
      <c r="S134" s="4" t="inlineStr">
        <is>
          <t>33</t>
        </is>
      </c>
      <c r="T134" s="4" t="inlineStr">
        <is>
          <t>Forro de madeira</t>
        </is>
      </c>
      <c r="U134" s="4" t="inlineStr">
        <is>
          <t>SIM</t>
        </is>
      </c>
      <c r="V134" s="2">
        <f>IF(R134="","",COUNTIF($C$5:$C$6004,R134))</f>
        <v/>
      </c>
      <c r="W134" s="2">
        <f>IF(R134="","",COUNTIFS($C$5:$C$6004,R134,$O$5:$O$6004,"CONCLUÍDA"))</f>
        <v/>
      </c>
      <c r="X134" s="2">
        <f>IF(R134="","",COUNTIFS($C$5:$C$6004,R134,$O$5:$O$6004,"EM ANDAMENTO"))</f>
        <v/>
      </c>
      <c r="Y134" s="2">
        <f>IF(R134="","",IF(COUNTIFS($C$5:$C$6004,R134,$O$5:$O$6004,"CONCLUÍDA",$N$5:$N$6004,"&gt;=-99")=0,"",_xlfn.MAXIFS($N$5:$N$6004,$C$5:$C$6004,R134,$O$5:$O$6004,"CONCLUÍDA")))</f>
        <v/>
      </c>
      <c r="Z134" s="2">
        <f>IF(R134="","",IF(COUNTIFS($C$5:$C$6004,R134,$O$5:$O$6004,"EM ANDAMENTO",$N$5:$N$6004,"&gt;=-99")=0,"",_xlfn.MAXIFS($N$5:$N$6004,$C$5:$C$6004,R134,$O$5:$O$6004,"EM ANDAMENTO")))</f>
        <v/>
      </c>
      <c r="AA134" s="2">
        <f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/>
      </c>
    </row>
    <row r="135">
      <c r="B135" s="4" t="n">
        <v>12999938</v>
      </c>
      <c r="C135" s="4" t="inlineStr">
        <is>
          <t>FUNDAÇÃO SUPERFICIAL - TRECHO A (4º ETAPA)</t>
        </is>
      </c>
      <c r="D135" s="4" t="inlineStr">
        <is>
          <t>B22 / B23 - armação</t>
        </is>
      </c>
      <c r="E135" s="4" t="inlineStr">
        <is>
          <t>TÉRREO - GARAGENS</t>
        </is>
      </c>
      <c r="F135" s="119" t="n">
        <v>45881</v>
      </c>
      <c r="G135" s="119" t="n">
        <v>45881</v>
      </c>
      <c r="H135" s="119" t="n">
        <v>46293</v>
      </c>
      <c r="I135" s="4" t="n">
        <v>100</v>
      </c>
      <c r="J135" s="4" t="n">
        <v>100</v>
      </c>
      <c r="K135" s="4" t="n">
        <v>100</v>
      </c>
      <c r="M135" s="2">
        <f>IF(C135="","",IFERROR(INDEX($S$5:$S$304,MATCH(C135,$R$5:$R$304,0))&amp;"","?"))</f>
        <v/>
      </c>
      <c r="N135" s="2">
        <f>IF(E135="","",IF(ISNUMBER(SEARCH("SUBSOLO",E135)),IFERROR(-VALUE(LEFT(E135,FIND("º",SUBSTITUTE(E135,"°","º"))-1)),-1),IF(LEFT(E135,6)="TÉRREO",0,IFERROR(VALUE(LEFT(E135,FIND("º",SUBSTITUTE(E135,"°","º"))-1)),""))))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RODAPÉ MADEIRA / PVC</t>
        </is>
      </c>
      <c r="S135" s="4" t="inlineStr">
        <is>
          <t>30</t>
        </is>
      </c>
      <c r="T135" s="4" t="inlineStr">
        <is>
          <t>Rodapé madeira / pvc</t>
        </is>
      </c>
      <c r="U135" s="4" t="inlineStr">
        <is>
          <t>SIM</t>
        </is>
      </c>
      <c r="V135" s="2">
        <f>IF(R135="","",COUNTIF($C$5:$C$6004,R135))</f>
        <v/>
      </c>
      <c r="W135" s="2">
        <f>IF(R135="","",COUNTIFS($C$5:$C$6004,R135,$O$5:$O$6004,"CONCLUÍDA"))</f>
        <v/>
      </c>
      <c r="X135" s="2">
        <f>IF(R135="","",COUNTIFS($C$5:$C$6004,R135,$O$5:$O$6004,"EM ANDAMENTO"))</f>
        <v/>
      </c>
      <c r="Y135" s="2">
        <f>IF(R135="","",IF(COUNTIFS($C$5:$C$6004,R135,$O$5:$O$6004,"CONCLUÍDA",$N$5:$N$6004,"&gt;=-99")=0,"",_xlfn.MAXIFS($N$5:$N$6004,$C$5:$C$6004,R135,$O$5:$O$6004,"CONCLUÍDA")))</f>
        <v/>
      </c>
      <c r="Z135" s="2">
        <f>IF(R135="","",IF(COUNTIFS($C$5:$C$6004,R135,$O$5:$O$6004,"EM ANDAMENTO",$N$5:$N$6004,"&gt;=-99")=0,"",_xlfn.MAXIFS($N$5:$N$6004,$C$5:$C$6004,R135,$O$5:$O$6004,"EM ANDAMENTO")))</f>
        <v/>
      </c>
      <c r="AA135" s="2">
        <f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/>
      </c>
    </row>
    <row r="136">
      <c r="B136" s="4" t="n">
        <v>12999939</v>
      </c>
      <c r="C136" s="4" t="inlineStr">
        <is>
          <t>FUNDAÇÃO SUPERFICIAL - TRECHO A (4º ETAPA)</t>
        </is>
      </c>
      <c r="D136" s="4" t="inlineStr">
        <is>
          <t>B23 - armação</t>
        </is>
      </c>
      <c r="E136" s="4" t="inlineStr">
        <is>
          <t>TÉRREO - GARAGENS</t>
        </is>
      </c>
      <c r="F136" s="119" t="n">
        <v>45882</v>
      </c>
      <c r="G136" s="119" t="n">
        <v>45882</v>
      </c>
      <c r="H136" s="119" t="n">
        <v>46293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IF(E136="","",IF(ISNUMBER(SEARCH("SUBSOLO",E136)),IFERROR(-VALUE(LEFT(E136,FIND("º",SUBSTITUTE(E136,"°","º"))-1)),-1),IF(LEFT(E136,6)="TÉRREO",0,IFERROR(VALUE(LEFT(E136,FIND("º",SUBSTITUTE(E136,"°","º"))-1)),""))))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FACHADA FRONTAL - F2 (C)</t>
        </is>
      </c>
      <c r="S136" s="4" t="inlineStr">
        <is>
          <t>32</t>
        </is>
      </c>
      <c r="T136" s="4" t="inlineStr">
        <is>
          <t>Fachada frontal - F2 (c)</t>
        </is>
      </c>
      <c r="U136" s="4" t="inlineStr">
        <is>
          <t>SIM</t>
        </is>
      </c>
      <c r="V136" s="2">
        <f>IF(R136="","",COUNTIF($C$5:$C$6004,R136))</f>
        <v/>
      </c>
      <c r="W136" s="2">
        <f>IF(R136="","",COUNTIFS($C$5:$C$6004,R136,$O$5:$O$6004,"CONCLUÍDA"))</f>
        <v/>
      </c>
      <c r="X136" s="2">
        <f>IF(R136="","",COUNTIFS($C$5:$C$6004,R136,$O$5:$O$6004,"EM ANDAMENTO"))</f>
        <v/>
      </c>
      <c r="Y136" s="2">
        <f>IF(R136="","",IF(COUNTIFS($C$5:$C$6004,R136,$O$5:$O$6004,"CONCLUÍDA",$N$5:$N$6004,"&gt;=-99")=0,"",_xlfn.MAXIFS($N$5:$N$6004,$C$5:$C$6004,R136,$O$5:$O$6004,"CONCLUÍDA")))</f>
        <v/>
      </c>
      <c r="Z136" s="2">
        <f>IF(R136="","",IF(COUNTIFS($C$5:$C$6004,R136,$O$5:$O$6004,"EM ANDAMENTO",$N$5:$N$6004,"&gt;=-99")=0,"",_xlfn.MAXIFS($N$5:$N$6004,$C$5:$C$6004,R136,$O$5:$O$6004,"EM ANDAMENTO")))</f>
        <v/>
      </c>
      <c r="AA136" s="2">
        <f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/>
      </c>
    </row>
    <row r="137">
      <c r="B137" s="4" t="n">
        <v>12999940</v>
      </c>
      <c r="C137" s="4" t="inlineStr">
        <is>
          <t>FUNDAÇÃO SUPERFICIAL - TRECHO A (4º ETAPA)</t>
        </is>
      </c>
      <c r="D137" s="4" t="inlineStr">
        <is>
          <t>B23 / B24 - armação</t>
        </is>
      </c>
      <c r="E137" s="4" t="inlineStr">
        <is>
          <t>TÉRREO - GARAGENS</t>
        </is>
      </c>
      <c r="F137" s="119" t="n">
        <v>45883</v>
      </c>
      <c r="G137" s="119" t="n">
        <v>45883</v>
      </c>
      <c r="H137" s="119" t="n">
        <v>46293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IF(E137="","",IF(ISNUMBER(SEARCH("SUBSOLO",E137)),IFERROR(-VALUE(LEFT(E137,FIND("º",SUBSTITUTE(E137,"°","º"))-1)),-1),IF(LEFT(E137,6)="TÉRREO",0,IFERROR(VALUE(LEFT(E137,FIND("º",SUBSTITUTE(E137,"°","º"))-1)),""))))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POLIMENTO PISO</t>
        </is>
      </c>
      <c r="S137" s="4" t="inlineStr">
        <is>
          <t>30</t>
        </is>
      </c>
      <c r="T137" s="4" t="inlineStr">
        <is>
          <t>Polimento piso</t>
        </is>
      </c>
      <c r="U137" s="4" t="inlineStr">
        <is>
          <t>NÃO</t>
        </is>
      </c>
      <c r="V137" s="2">
        <f>IF(R137="","",COUNTIF($C$5:$C$6004,R137))</f>
        <v/>
      </c>
      <c r="W137" s="2">
        <f>IF(R137="","",COUNTIFS($C$5:$C$6004,R137,$O$5:$O$6004,"CONCLUÍDA"))</f>
        <v/>
      </c>
      <c r="X137" s="2">
        <f>IF(R137="","",COUNTIFS($C$5:$C$6004,R137,$O$5:$O$6004,"EM ANDAMENTO"))</f>
        <v/>
      </c>
      <c r="Y137" s="2">
        <f>IF(R137="","",IF(COUNTIFS($C$5:$C$6004,R137,$O$5:$O$6004,"CONCLUÍDA",$N$5:$N$6004,"&gt;=-99")=0,"",_xlfn.MAXIFS($N$5:$N$6004,$C$5:$C$6004,R137,$O$5:$O$6004,"CONCLUÍDA")))</f>
        <v/>
      </c>
      <c r="Z137" s="2">
        <f>IF(R137="","",IF(COUNTIFS($C$5:$C$6004,R137,$O$5:$O$6004,"EM ANDAMENTO",$N$5:$N$6004,"&gt;=-99")=0,"",_xlfn.MAXIFS($N$5:$N$6004,$C$5:$C$6004,R137,$O$5:$O$6004,"EM ANDAMENTO")))</f>
        <v/>
      </c>
      <c r="AA137" s="2">
        <f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>
      <c r="B138" s="4" t="n">
        <v>12999941</v>
      </c>
      <c r="C138" s="4" t="inlineStr">
        <is>
          <t>FUNDAÇÃO SUPERFICIAL - TRECHO A (4º ETAPA)</t>
        </is>
      </c>
      <c r="D138" s="4" t="inlineStr">
        <is>
          <t>B24 / B25 - armação</t>
        </is>
      </c>
      <c r="E138" s="4" t="inlineStr">
        <is>
          <t>TÉRREO - GARAGENS</t>
        </is>
      </c>
      <c r="F138" s="119" t="n">
        <v>45884</v>
      </c>
      <c r="G138" s="119" t="n">
        <v>45884</v>
      </c>
      <c r="H138" s="119" t="n">
        <v>46293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IF(E138="","",IF(ISNUMBER(SEARCH("SUBSOLO",E138)),IFERROR(-VALUE(LEFT(E138,FIND("º",SUBSTITUTE(E138,"°","º"))-1)),-1),IF(LEFT(E138,6)="TÉRREO",0,IFERROR(VALUE(LEFT(E138,FIND("º",SUBSTITUTE(E138,"°","º"))-1)),""))))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DECK</t>
        </is>
      </c>
      <c r="S138" s="4" t="inlineStr">
        <is>
          <t>30</t>
        </is>
      </c>
      <c r="T138" s="4" t="inlineStr">
        <is>
          <t>Deck</t>
        </is>
      </c>
      <c r="U138" s="4" t="inlineStr">
        <is>
          <t>NÃO</t>
        </is>
      </c>
      <c r="V138" s="2">
        <f>IF(R138="","",COUNTIF($C$5:$C$6004,R138))</f>
        <v/>
      </c>
      <c r="W138" s="2">
        <f>IF(R138="","",COUNTIFS($C$5:$C$6004,R138,$O$5:$O$6004,"CONCLUÍDA"))</f>
        <v/>
      </c>
      <c r="X138" s="2">
        <f>IF(R138="","",COUNTIFS($C$5:$C$6004,R138,$O$5:$O$6004,"EM ANDAMENTO"))</f>
        <v/>
      </c>
      <c r="Y138" s="2">
        <f>IF(R138="","",IF(COUNTIFS($C$5:$C$6004,R138,$O$5:$O$6004,"CONCLUÍDA",$N$5:$N$6004,"&gt;=-99")=0,"",_xlfn.MAXIFS($N$5:$N$6004,$C$5:$C$6004,R138,$O$5:$O$6004,"CONCLUÍDA")))</f>
        <v/>
      </c>
      <c r="Z138" s="2">
        <f>IF(R138="","",IF(COUNTIFS($C$5:$C$6004,R138,$O$5:$O$6004,"EM ANDAMENTO",$N$5:$N$6004,"&gt;=-99")=0,"",_xlfn.MAXIFS($N$5:$N$6004,$C$5:$C$6004,R138,$O$5:$O$6004,"EM ANDAMENTO")))</f>
        <v/>
      </c>
      <c r="AA138" s="2">
        <f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>
      <c r="B139" s="4" t="n">
        <v>12999942</v>
      </c>
      <c r="C139" s="4" t="inlineStr">
        <is>
          <t>FUNDAÇÃO SUPERFICIAL - TRECHO A (4º ETAPA)</t>
        </is>
      </c>
      <c r="D139" s="4" t="inlineStr">
        <is>
          <t>B25 - armação</t>
        </is>
      </c>
      <c r="E139" s="4" t="inlineStr">
        <is>
          <t>TÉRREO - GARAGENS</t>
        </is>
      </c>
      <c r="F139" s="119" t="n">
        <v>45887</v>
      </c>
      <c r="G139" s="119" t="n">
        <v>45887</v>
      </c>
      <c r="H139" s="119" t="n">
        <v>46293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IF(E139="","",IF(ISNUMBER(SEARCH("SUBSOLO",E139)),IFERROR(-VALUE(LEFT(E139,FIND("º",SUBSTITUTE(E139,"°","º"))-1)),-1),IF(LEFT(E139,6)="TÉRREO",0,IFERROR(VALUE(LEFT(E139,FIND("º",SUBSTITUTE(E139,"°","º"))-1)),""))))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VINÍLICO / LAMINADO</t>
        </is>
      </c>
      <c r="S139" s="4" t="inlineStr">
        <is>
          <t>30</t>
        </is>
      </c>
      <c r="T139" s="4" t="inlineStr">
        <is>
          <t>Piso vinílico / laminado</t>
        </is>
      </c>
      <c r="U139" s="4" t="inlineStr">
        <is>
          <t>NÃO</t>
        </is>
      </c>
      <c r="V139" s="2">
        <f>IF(R139="","",COUNTIF($C$5:$C$6004,R139))</f>
        <v/>
      </c>
      <c r="W139" s="2">
        <f>IF(R139="","",COUNTIFS($C$5:$C$6004,R139,$O$5:$O$6004,"CONCLUÍDA"))</f>
        <v/>
      </c>
      <c r="X139" s="2">
        <f>IF(R139="","",COUNTIFS($C$5:$C$6004,R139,$O$5:$O$6004,"EM ANDAMENTO"))</f>
        <v/>
      </c>
      <c r="Y139" s="2">
        <f>IF(R139="","",IF(COUNTIFS($C$5:$C$6004,R139,$O$5:$O$6004,"CONCLUÍDA",$N$5:$N$6004,"&gt;=-99")=0,"",_xlfn.MAXIFS($N$5:$N$6004,$C$5:$C$6004,R139,$O$5:$O$6004,"CONCLUÍDA")))</f>
        <v/>
      </c>
      <c r="Z139" s="2">
        <f>IF(R139="","",IF(COUNTIFS($C$5:$C$6004,R139,$O$5:$O$6004,"EM ANDAMENTO",$N$5:$N$6004,"&gt;=-99")=0,"",_xlfn.MAXIFS($N$5:$N$6004,$C$5:$C$6004,R139,$O$5:$O$6004,"EM ANDAMENTO")))</f>
        <v/>
      </c>
      <c r="AA139" s="2">
        <f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>
      <c r="B140" s="4" t="n">
        <v>12999943</v>
      </c>
      <c r="C140" s="4" t="inlineStr">
        <is>
          <t>FUNDAÇÃO SUPERFICIAL - TRECHO A (4º ETAPA)</t>
        </is>
      </c>
      <c r="D140" s="4" t="inlineStr">
        <is>
          <t>CE1 / C120 / C121 / C122 - armação</t>
        </is>
      </c>
      <c r="E140" s="4" t="inlineStr">
        <is>
          <t>TÉRREO - GARAGENS</t>
        </is>
      </c>
      <c r="F140" s="119" t="n">
        <v>45888</v>
      </c>
      <c r="G140" s="119" t="n">
        <v>45888</v>
      </c>
      <c r="H140" s="119" t="n">
        <v>46293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IF(E140="","",IF(ISNUMBER(SEARCH("SUBSOLO",E140)),IFERROR(-VALUE(LEFT(E140,FIND("º",SUBSTITUTE(E140,"°","º"))-1)),-1),IF(LEFT(E140,6)="TÉRREO",0,IFERROR(VALUE(LEFT(E140,FIND("º",SUBSTITUTE(E140,"°","º"))-1)),""))))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DISJUNTORES / MIOLOS</t>
        </is>
      </c>
      <c r="S140" s="4" t="inlineStr">
        <is>
          <t>20</t>
        </is>
      </c>
      <c r="T140" s="4" t="inlineStr">
        <is>
          <t>Disjuntores / miolos</t>
        </is>
      </c>
      <c r="U140" s="4" t="inlineStr">
        <is>
          <t>SIM</t>
        </is>
      </c>
      <c r="V140" s="2">
        <f>IF(R140="","",COUNTIF($C$5:$C$6004,R140))</f>
        <v/>
      </c>
      <c r="W140" s="2">
        <f>IF(R140="","",COUNTIFS($C$5:$C$6004,R140,$O$5:$O$6004,"CONCLUÍDA"))</f>
        <v/>
      </c>
      <c r="X140" s="2">
        <f>IF(R140="","",COUNTIFS($C$5:$C$6004,R140,$O$5:$O$6004,"EM ANDAMENTO"))</f>
        <v/>
      </c>
      <c r="Y140" s="2">
        <f>IF(R140="","",IF(COUNTIFS($C$5:$C$6004,R140,$O$5:$O$6004,"CONCLUÍDA",$N$5:$N$6004,"&gt;=-99")=0,"",_xlfn.MAXIFS($N$5:$N$6004,$C$5:$C$6004,R140,$O$5:$O$6004,"CONCLUÍDA")))</f>
        <v/>
      </c>
      <c r="Z140" s="2">
        <f>IF(R140="","",IF(COUNTIFS($C$5:$C$6004,R140,$O$5:$O$6004,"EM ANDAMENTO",$N$5:$N$6004,"&gt;=-99")=0,"",_xlfn.MAXIFS($N$5:$N$6004,$C$5:$C$6004,R140,$O$5:$O$6004,"EM ANDAMENTO")))</f>
        <v/>
      </c>
      <c r="AA140" s="2">
        <f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/>
      </c>
    </row>
    <row r="141">
      <c r="B141" s="4" t="n">
        <v>12999944</v>
      </c>
      <c r="C141" s="4" t="inlineStr">
        <is>
          <t>FUNDAÇÃO SUPERFICIAL - TRECHO A (4º ETAPA)</t>
        </is>
      </c>
      <c r="D141" s="4" t="inlineStr">
        <is>
          <t>P22/P23/P24/P25/CE1/C120/C121/C122 - concretagem</t>
        </is>
      </c>
      <c r="E141" s="4" t="inlineStr">
        <is>
          <t>TÉRREO - GARAGENS</t>
        </is>
      </c>
      <c r="F141" s="119" t="n">
        <v>45889</v>
      </c>
      <c r="G141" s="119" t="n">
        <v>45889</v>
      </c>
      <c r="H141" s="119" t="n">
        <v>46293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IF(E141="","",IF(ISNUMBER(SEARCH("SUBSOLO",E141)),IFERROR(-VALUE(LEFT(E141,FIND("º",SUBSTITUTE(E141,"°","º"))-1)),-1),IF(LEFT(E141,6)="TÉRREO",0,IFERROR(VALUE(LEFT(E141,FIND("º",SUBSTITUTE(E141,"°","º"))-1)),""))))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CFTV</t>
        </is>
      </c>
      <c r="S141" s="4" t="inlineStr">
        <is>
          <t>23</t>
        </is>
      </c>
      <c r="T141" s="4" t="inlineStr">
        <is>
          <t>Cftv</t>
        </is>
      </c>
      <c r="U141" s="4" t="inlineStr">
        <is>
          <t>SIM</t>
        </is>
      </c>
      <c r="V141" s="2">
        <f>IF(R141="","",COUNTIF($C$5:$C$6004,R141))</f>
        <v/>
      </c>
      <c r="W141" s="2">
        <f>IF(R141="","",COUNTIFS($C$5:$C$6004,R141,$O$5:$O$6004,"CONCLUÍDA"))</f>
        <v/>
      </c>
      <c r="X141" s="2">
        <f>IF(R141="","",COUNTIFS($C$5:$C$6004,R141,$O$5:$O$6004,"EM ANDAMENTO"))</f>
        <v/>
      </c>
      <c r="Y141" s="2">
        <f>IF(R141="","",IF(COUNTIFS($C$5:$C$6004,R141,$O$5:$O$6004,"CONCLUÍDA",$N$5:$N$6004,"&gt;=-99")=0,"",_xlfn.MAXIFS($N$5:$N$6004,$C$5:$C$6004,R141,$O$5:$O$6004,"CONCLUÍDA")))</f>
        <v/>
      </c>
      <c r="Z141" s="2">
        <f>IF(R141="","",IF(COUNTIFS($C$5:$C$6004,R141,$O$5:$O$6004,"EM ANDAMENTO",$N$5:$N$6004,"&gt;=-99")=0,"",_xlfn.MAXIFS($N$5:$N$6004,$C$5:$C$6004,R141,$O$5:$O$6004,"EM ANDAMENTO")))</f>
        <v/>
      </c>
      <c r="AA141" s="2">
        <f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/>
      </c>
    </row>
    <row r="142">
      <c r="B142" s="4" t="n">
        <v>12999945</v>
      </c>
      <c r="C142" s="4" t="inlineStr">
        <is>
          <t>FUNDAÇÃO SUPERFICIAL - TRECHO A (4º ETAPA)</t>
        </is>
      </c>
      <c r="D142" s="4" t="inlineStr">
        <is>
          <t>B26/B105/C124/C139/C114/C143/C141/C117 - marcação</t>
        </is>
      </c>
      <c r="E142" s="4" t="inlineStr">
        <is>
          <t>TÉRREO - GARAGENS</t>
        </is>
      </c>
      <c r="F142" s="119" t="n">
        <v>45877</v>
      </c>
      <c r="G142" s="119" t="n">
        <v>45877</v>
      </c>
      <c r="H142" s="119" t="n">
        <v>46293</v>
      </c>
      <c r="I142" s="4" t="n">
        <v>100</v>
      </c>
      <c r="J142" s="4" t="n">
        <v>100</v>
      </c>
      <c r="K142" s="4" t="n">
        <v>100</v>
      </c>
      <c r="M142" s="2">
        <f>IF(C142="","",IFERROR(INDEX($S$5:$S$304,MATCH(C142,$R$5:$R$304,0))&amp;"","?"))</f>
        <v/>
      </c>
      <c r="N142" s="2">
        <f>IF(E142="","",IF(ISNUMBER(SEARCH("SUBSOLO",E142)),IFERROR(-VALUE(LEFT(E142,FIND("º",SUBSTITUTE(E142,"°","º"))-1)),-1),IF(LEFT(E142,6)="TÉRREO",0,IFERROR(VALUE(LEFT(E142,FIND("º",SUBSTITUTE(E142,"°","º"))-1)),""))))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ELEVADOR 2</t>
        </is>
      </c>
      <c r="S142" s="4" t="inlineStr">
        <is>
          <t>24</t>
        </is>
      </c>
      <c r="T142" s="4" t="inlineStr">
        <is>
          <t>Elevador 2</t>
        </is>
      </c>
      <c r="U142" s="4" t="inlineStr">
        <is>
          <t>SIM</t>
        </is>
      </c>
      <c r="V142" s="2">
        <f>IF(R142="","",COUNTIF($C$5:$C$6004,R142))</f>
        <v/>
      </c>
      <c r="W142" s="2">
        <f>IF(R142="","",COUNTIFS($C$5:$C$6004,R142,$O$5:$O$6004,"CONCLUÍDA"))</f>
        <v/>
      </c>
      <c r="X142" s="2">
        <f>IF(R142="","",COUNTIFS($C$5:$C$6004,R142,$O$5:$O$6004,"EM ANDAMENTO"))</f>
        <v/>
      </c>
      <c r="Y142" s="2">
        <f>IF(R142="","",IF(COUNTIFS($C$5:$C$6004,R142,$O$5:$O$6004,"CONCLUÍDA",$N$5:$N$6004,"&gt;=-99")=0,"",_xlfn.MAXIFS($N$5:$N$6004,$C$5:$C$6004,R142,$O$5:$O$6004,"CONCLUÍDA")))</f>
        <v/>
      </c>
      <c r="Z142" s="2">
        <f>IF(R142="","",IF(COUNTIFS($C$5:$C$6004,R142,$O$5:$O$6004,"EM ANDAMENTO",$N$5:$N$6004,"&gt;=-99")=0,"",_xlfn.MAXIFS($N$5:$N$6004,$C$5:$C$6004,R142,$O$5:$O$6004,"EM ANDAMENTO")))</f>
        <v/>
      </c>
      <c r="AA142" s="2">
        <f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/>
      </c>
    </row>
    <row r="143">
      <c r="B143" s="4" t="n">
        <v>12999946</v>
      </c>
      <c r="C143" s="4" t="inlineStr">
        <is>
          <t>FUNDAÇÃO SUPERFICIAL - TRECHO A (4º ETAPA)</t>
        </is>
      </c>
      <c r="D143" s="4" t="inlineStr">
        <is>
          <t>B26 / B105 - escavação</t>
        </is>
      </c>
      <c r="E143" s="4" t="inlineStr">
        <is>
          <t>TÉRREO - GARAGENS</t>
        </is>
      </c>
      <c r="F143" s="119" t="n">
        <v>45880</v>
      </c>
      <c r="G143" s="119" t="n">
        <v>45883</v>
      </c>
      <c r="H143" s="119" t="n">
        <v>46293</v>
      </c>
      <c r="I143" s="4" t="n">
        <v>100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IF(E143="","",IF(ISNUMBER(SEARCH("SUBSOLO",E143)),IFERROR(-VALUE(LEFT(E143,FIND("º",SUBSTITUTE(E143,"°","º"))-1)),-1),IF(LEFT(E143,6)="TÉRREO",0,IFERROR(VALUE(LEFT(E143,FIND("º",SUBSTITUTE(E143,"°","º"))-1)),""))))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TRATAMENTO DE GRANITO/MÁRMORE</t>
        </is>
      </c>
      <c r="S143" s="4" t="inlineStr">
        <is>
          <t>30</t>
        </is>
      </c>
      <c r="T143" s="4" t="inlineStr">
        <is>
          <t>Tratamento de granito/mármore</t>
        </is>
      </c>
      <c r="U143" s="4" t="inlineStr">
        <is>
          <t>SIM</t>
        </is>
      </c>
      <c r="V143" s="2">
        <f>IF(R143="","",COUNTIF($C$5:$C$6004,R143))</f>
        <v/>
      </c>
      <c r="W143" s="2">
        <f>IF(R143="","",COUNTIFS($C$5:$C$6004,R143,$O$5:$O$6004,"CONCLUÍDA"))</f>
        <v/>
      </c>
      <c r="X143" s="2">
        <f>IF(R143="","",COUNTIFS($C$5:$C$6004,R143,$O$5:$O$6004,"EM ANDAMENTO"))</f>
        <v/>
      </c>
      <c r="Y143" s="2">
        <f>IF(R143="","",IF(COUNTIFS($C$5:$C$6004,R143,$O$5:$O$6004,"CONCLUÍDA",$N$5:$N$6004,"&gt;=-99")=0,"",_xlfn.MAXIFS($N$5:$N$6004,$C$5:$C$6004,R143,$O$5:$O$6004,"CONCLUÍDA")))</f>
        <v/>
      </c>
      <c r="Z143" s="2">
        <f>IF(R143="","",IF(COUNTIFS($C$5:$C$6004,R143,$O$5:$O$6004,"EM ANDAMENTO",$N$5:$N$6004,"&gt;=-99")=0,"",_xlfn.MAXIFS($N$5:$N$6004,$C$5:$C$6004,R143,$O$5:$O$6004,"EM ANDAMENTO")))</f>
        <v/>
      </c>
      <c r="AA143" s="2">
        <f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/>
      </c>
    </row>
    <row r="144">
      <c r="B144" s="4" t="n">
        <v>12999947</v>
      </c>
      <c r="C144" s="4" t="inlineStr">
        <is>
          <t>FUNDAÇÃO SUPERFICIAL - TRECHO A (4º ETAPA)</t>
        </is>
      </c>
      <c r="D144" s="4" t="inlineStr">
        <is>
          <t>B26 / B105 -arrasamento</t>
        </is>
      </c>
      <c r="E144" s="4" t="inlineStr">
        <is>
          <t>TÉRREO - GARAGENS</t>
        </is>
      </c>
      <c r="F144" s="119" t="n">
        <v>45884</v>
      </c>
      <c r="G144" s="119" t="n">
        <v>45887</v>
      </c>
      <c r="H144" s="119" t="n">
        <v>46293</v>
      </c>
      <c r="I144" s="4" t="n">
        <v>100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IF(E144="","",IF(ISNUMBER(SEARCH("SUBSOLO",E144)),IFERROR(-VALUE(LEFT(E144,FIND("º",SUBSTITUTE(E144,"°","º"))-1)),-1),IF(LEFT(E144,6)="TÉRREO",0,IFERROR(VALUE(LEFT(E144,FIND("º",SUBSTITUTE(E144,"°","º"))-1)),""))))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LOUÇAS</t>
        </is>
      </c>
      <c r="S144" s="4" t="inlineStr">
        <is>
          <t>34</t>
        </is>
      </c>
      <c r="T144" s="4" t="inlineStr">
        <is>
          <t>Louças</t>
        </is>
      </c>
      <c r="U144" s="4" t="inlineStr">
        <is>
          <t>SIM</t>
        </is>
      </c>
      <c r="V144" s="2">
        <f>IF(R144="","",COUNTIF($C$5:$C$6004,R144))</f>
        <v/>
      </c>
      <c r="W144" s="2">
        <f>IF(R144="","",COUNTIFS($C$5:$C$6004,R144,$O$5:$O$6004,"CONCLUÍDA"))</f>
        <v/>
      </c>
      <c r="X144" s="2">
        <f>IF(R144="","",COUNTIFS($C$5:$C$6004,R144,$O$5:$O$6004,"EM ANDAMENTO"))</f>
        <v/>
      </c>
      <c r="Y144" s="2">
        <f>IF(R144="","",IF(COUNTIFS($C$5:$C$6004,R144,$O$5:$O$6004,"CONCLUÍDA",$N$5:$N$6004,"&gt;=-99")=0,"",_xlfn.MAXIFS($N$5:$N$6004,$C$5:$C$6004,R144,$O$5:$O$6004,"CONCLUÍDA")))</f>
        <v/>
      </c>
      <c r="Z144" s="2">
        <f>IF(R144="","",IF(COUNTIFS($C$5:$C$6004,R144,$O$5:$O$6004,"EM ANDAMENTO",$N$5:$N$6004,"&gt;=-99")=0,"",_xlfn.MAXIFS($N$5:$N$6004,$C$5:$C$6004,R144,$O$5:$O$6004,"EM ANDAMENTO")))</f>
        <v/>
      </c>
      <c r="AA144" s="2">
        <f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/>
      </c>
    </row>
    <row r="145">
      <c r="B145" s="4" t="n">
        <v>12999948</v>
      </c>
      <c r="C145" s="4" t="inlineStr">
        <is>
          <t>FUNDAÇÃO SUPERFICIAL - TRECHO A (4º ETAPA)</t>
        </is>
      </c>
      <c r="D145" s="4" t="inlineStr">
        <is>
          <t>B26 / B105 - lastro</t>
        </is>
      </c>
      <c r="E145" s="4" t="inlineStr">
        <is>
          <t>TÉRREO - GARAGENS</t>
        </is>
      </c>
      <c r="F145" s="119" t="n">
        <v>45888</v>
      </c>
      <c r="G145" s="119" t="n">
        <v>45888</v>
      </c>
      <c r="H145" s="119" t="n">
        <v>46293</v>
      </c>
      <c r="I145" s="4" t="n">
        <v>100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IF(E145="","",IF(ISNUMBER(SEARCH("SUBSOLO",E145)),IFERROR(-VALUE(LEFT(E145,FIND("º",SUBSTITUTE(E145,"°","º"))-1)),-1),IF(LEFT(E145,6)="TÉRREO",0,IFERROR(VALUE(LEFT(E145,FIND("º",SUBSTITUTE(E145,"°","º"))-1)),""))))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FACHADA BALTAZAR - F2 (D)</t>
        </is>
      </c>
      <c r="S145" s="4" t="inlineStr">
        <is>
          <t>32</t>
        </is>
      </c>
      <c r="T145" s="4" t="inlineStr">
        <is>
          <t>Fachada baltazar - F2 (d)</t>
        </is>
      </c>
      <c r="U145" s="4" t="inlineStr">
        <is>
          <t>SIM</t>
        </is>
      </c>
      <c r="V145" s="2">
        <f>IF(R145="","",COUNTIF($C$5:$C$6004,R145))</f>
        <v/>
      </c>
      <c r="W145" s="2">
        <f>IF(R145="","",COUNTIFS($C$5:$C$6004,R145,$O$5:$O$6004,"CONCLUÍDA"))</f>
        <v/>
      </c>
      <c r="X145" s="2">
        <f>IF(R145="","",COUNTIFS($C$5:$C$6004,R145,$O$5:$O$6004,"EM ANDAMENTO"))</f>
        <v/>
      </c>
      <c r="Y145" s="2">
        <f>IF(R145="","",IF(COUNTIFS($C$5:$C$6004,R145,$O$5:$O$6004,"CONCLUÍDA",$N$5:$N$6004,"&gt;=-99")=0,"",_xlfn.MAXIFS($N$5:$N$6004,$C$5:$C$6004,R145,$O$5:$O$6004,"CONCLUÍDA")))</f>
        <v/>
      </c>
      <c r="Z145" s="2">
        <f>IF(R145="","",IF(COUNTIFS($C$5:$C$6004,R145,$O$5:$O$6004,"EM ANDAMENTO",$N$5:$N$6004,"&gt;=-99")=0,"",_xlfn.MAXIFS($N$5:$N$6004,$C$5:$C$6004,R145,$O$5:$O$6004,"EM ANDAMENTO")))</f>
        <v/>
      </c>
      <c r="AA145" s="2">
        <f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/>
      </c>
    </row>
    <row r="146">
      <c r="B146" s="4" t="n">
        <v>12999949</v>
      </c>
      <c r="C146" s="4" t="inlineStr">
        <is>
          <t>FUNDAÇÃO SUPERFICIAL - TRECHO A (4º ETAPA)</t>
        </is>
      </c>
      <c r="D146" s="4" t="inlineStr">
        <is>
          <t>B26/B105/C124/C139/C114/C143/C141/C117/LE2/LE3/LE4/LE5 - armação</t>
        </is>
      </c>
      <c r="E146" s="4" t="inlineStr">
        <is>
          <t>TÉRREO - GARAGENS</t>
        </is>
      </c>
      <c r="F146" s="119" t="n">
        <v>45889</v>
      </c>
      <c r="G146" s="119" t="n">
        <v>45895</v>
      </c>
      <c r="H146" s="119" t="n">
        <v>46293</v>
      </c>
      <c r="I146" s="4" t="n">
        <v>100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IF(E146="","",IF(ISNUMBER(SEARCH("SUBSOLO",E146)),IFERROR(-VALUE(LEFT(E146,FIND("º",SUBSTITUTE(E146,"°","º"))-1)),-1),IF(LEFT(E146,6)="TÉRREO",0,IFERROR(VALUE(LEFT(E146,FIND("º",SUBSTITUTE(E146,"°","º"))-1)),""))))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LIMPEZA GROSSA</t>
        </is>
      </c>
      <c r="S146" s="4" t="inlineStr">
        <is>
          <t>37</t>
        </is>
      </c>
      <c r="T146" s="4" t="inlineStr">
        <is>
          <t>Limpeza grossa</t>
        </is>
      </c>
      <c r="U146" s="4" t="inlineStr">
        <is>
          <t>SIM</t>
        </is>
      </c>
      <c r="V146" s="2">
        <f>IF(R146="","",COUNTIF($C$5:$C$6004,R146))</f>
        <v/>
      </c>
      <c r="W146" s="2">
        <f>IF(R146="","",COUNTIFS($C$5:$C$6004,R146,$O$5:$O$6004,"CONCLUÍDA"))</f>
        <v/>
      </c>
      <c r="X146" s="2">
        <f>IF(R146="","",COUNTIFS($C$5:$C$6004,R146,$O$5:$O$6004,"EM ANDAMENTO"))</f>
        <v/>
      </c>
      <c r="Y146" s="2">
        <f>IF(R146="","",IF(COUNTIFS($C$5:$C$6004,R146,$O$5:$O$6004,"CONCLUÍDA",$N$5:$N$6004,"&gt;=-99")=0,"",_xlfn.MAXIFS($N$5:$N$6004,$C$5:$C$6004,R146,$O$5:$O$6004,"CONCLUÍDA")))</f>
        <v/>
      </c>
      <c r="Z146" s="2">
        <f>IF(R146="","",IF(COUNTIFS($C$5:$C$6004,R146,$O$5:$O$6004,"EM ANDAMENTO",$N$5:$N$6004,"&gt;=-99")=0,"",_xlfn.MAXIFS($N$5:$N$6004,$C$5:$C$6004,R146,$O$5:$O$6004,"EM ANDAMENTO")))</f>
        <v/>
      </c>
      <c r="AA146" s="2">
        <f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/>
      </c>
    </row>
    <row r="147">
      <c r="B147" s="4" t="n">
        <v>12999950</v>
      </c>
      <c r="C147" s="4" t="inlineStr">
        <is>
          <t>FUNDAÇÃO SUPERFICIAL - TRECHO A (4º ETAPA)</t>
        </is>
      </c>
      <c r="D147" s="4" t="inlineStr">
        <is>
          <t>B26/B105/C124/C139/C114/C143/C141/C117/LE2/LE3/LE4/LE5 - concretagem</t>
        </is>
      </c>
      <c r="E147" s="4" t="inlineStr">
        <is>
          <t>TÉRREO - GARAGENS</t>
        </is>
      </c>
      <c r="F147" s="119" t="n">
        <v>45896</v>
      </c>
      <c r="G147" s="119" t="n">
        <v>45896</v>
      </c>
      <c r="H147" s="119" t="n">
        <v>46293</v>
      </c>
      <c r="I147" s="4" t="n">
        <v>100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IF(E147="","",IF(ISNUMBER(SEARCH("SUBSOLO",E147)),IFERROR(-VALUE(LEFT(E147,FIND("º",SUBSTITUTE(E147,"°","º"))-1)),-1),IF(LEFT(E147,6)="TÉRREO",0,IFERROR(VALUE(LEFT(E147,FIND("º",SUBSTITUTE(E147,"°","º"))-1)),""))))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SPDA</t>
        </is>
      </c>
      <c r="S147" s="4" t="inlineStr">
        <is>
          <t>20</t>
        </is>
      </c>
      <c r="T147" s="4" t="inlineStr">
        <is>
          <t>Spda</t>
        </is>
      </c>
      <c r="U147" s="4" t="inlineStr">
        <is>
          <t>NÃO</t>
        </is>
      </c>
      <c r="V147" s="2">
        <f>IF(R147="","",COUNTIF($C$5:$C$6004,R147))</f>
        <v/>
      </c>
      <c r="W147" s="2">
        <f>IF(R147="","",COUNTIFS($C$5:$C$6004,R147,$O$5:$O$6004,"CONCLUÍDA"))</f>
        <v/>
      </c>
      <c r="X147" s="2">
        <f>IF(R147="","",COUNTIFS($C$5:$C$6004,R147,$O$5:$O$6004,"EM ANDAMENTO"))</f>
        <v/>
      </c>
      <c r="Y147" s="2">
        <f>IF(R147="","",IF(COUNTIFS($C$5:$C$6004,R147,$O$5:$O$6004,"CONCLUÍDA",$N$5:$N$6004,"&gt;=-99")=0,"",_xlfn.MAXIFS($N$5:$N$6004,$C$5:$C$6004,R147,$O$5:$O$6004,"CONCLUÍDA")))</f>
        <v/>
      </c>
      <c r="Z147" s="2">
        <f>IF(R147="","",IF(COUNTIFS($C$5:$C$6004,R147,$O$5:$O$6004,"EM ANDAMENTO",$N$5:$N$6004,"&gt;=-99")=0,"",_xlfn.MAXIFS($N$5:$N$6004,$C$5:$C$6004,R147,$O$5:$O$6004,"EM ANDAMENTO")))</f>
        <v/>
      </c>
      <c r="AA147" s="2">
        <f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>
      <c r="B148" s="4" t="n">
        <v>32166298</v>
      </c>
      <c r="C148" s="4" t="inlineStr">
        <is>
          <t>DRENAGEM</t>
        </is>
      </c>
      <c r="D148" s="4" t="inlineStr">
        <is>
          <t>-</t>
        </is>
      </c>
      <c r="E148" s="4" t="inlineStr">
        <is>
          <t>GERAL</t>
        </is>
      </c>
      <c r="F148" s="119" t="n">
        <v>45870</v>
      </c>
      <c r="G148" s="119" t="n">
        <v>45933</v>
      </c>
      <c r="H148" s="119" t="n">
        <v>46293</v>
      </c>
      <c r="I148" s="4" t="n">
        <v>100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IF(E148="","",IF(ISNUMBER(SEARCH("SUBSOLO",E148)),IFERROR(-VALUE(LEFT(E148,FIND("º",SUBSTITUTE(E148,"°","º"))-1)),-1),IF(LEFT(E148,6)="TÉRREO",0,IFERROR(VALUE(LEFT(E148,FIND("º",SUBSTITUTE(E148,"°","º"))-1)),""))))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COMUNICAÇÃO E ALARME</t>
        </is>
      </c>
      <c r="S148" s="4" t="inlineStr">
        <is>
          <t>23</t>
        </is>
      </c>
      <c r="T148" s="4" t="inlineStr">
        <is>
          <t>Comunicação e alarme</t>
        </is>
      </c>
      <c r="U148" s="4" t="inlineStr">
        <is>
          <t>NÃO</t>
        </is>
      </c>
      <c r="V148" s="2">
        <f>IF(R148="","",COUNTIF($C$5:$C$6004,R148))</f>
        <v/>
      </c>
      <c r="W148" s="2">
        <f>IF(R148="","",COUNTIFS($C$5:$C$6004,R148,$O$5:$O$6004,"CONCLUÍDA"))</f>
        <v/>
      </c>
      <c r="X148" s="2">
        <f>IF(R148="","",COUNTIFS($C$5:$C$6004,R148,$O$5:$O$6004,"EM ANDAMENTO"))</f>
        <v/>
      </c>
      <c r="Y148" s="2">
        <f>IF(R148="","",IF(COUNTIFS($C$5:$C$6004,R148,$O$5:$O$6004,"CONCLUÍDA",$N$5:$N$6004,"&gt;=-99")=0,"",_xlfn.MAXIFS($N$5:$N$6004,$C$5:$C$6004,R148,$O$5:$O$6004,"CONCLUÍDA")))</f>
        <v/>
      </c>
      <c r="Z148" s="2">
        <f>IF(R148="","",IF(COUNTIFS($C$5:$C$6004,R148,$O$5:$O$6004,"EM ANDAMENTO",$N$5:$N$6004,"&gt;=-99")=0,"",_xlfn.MAXIFS($N$5:$N$6004,$C$5:$C$6004,R148,$O$5:$O$6004,"EM ANDAMENTO")))</f>
        <v/>
      </c>
      <c r="AA148" s="2">
        <f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>
      <c r="B149" s="4" t="n">
        <v>12990502</v>
      </c>
      <c r="C149" s="4" t="inlineStr">
        <is>
          <t>DRENAGEM</t>
        </is>
      </c>
      <c r="D149" s="4" t="inlineStr">
        <is>
          <t>Trecho 01 - nível 948 - 14 metros de tubo + 2 caixas de passagem</t>
        </is>
      </c>
      <c r="E149" s="4" t="inlineStr">
        <is>
          <t>GERAL</t>
        </is>
      </c>
      <c r="F149" s="119" t="n">
        <v>45870</v>
      </c>
      <c r="G149" s="119" t="n">
        <v>45877</v>
      </c>
      <c r="H149" s="119" t="n">
        <v>46293</v>
      </c>
      <c r="I149" s="4" t="n">
        <v>100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IF(E149="","",IF(ISNUMBER(SEARCH("SUBSOLO",E149)),IFERROR(-VALUE(LEFT(E149,FIND("º",SUBSTITUTE(E149,"°","º"))-1)),-1),IF(LEFT(E149,6)="TÉRREO",0,IFERROR(VALUE(LEFT(E149,FIND("º",SUBSTITUTE(E149,"°","º"))-1)),""))))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PINTURA 2º DEMÃO</t>
        </is>
      </c>
      <c r="S149" s="4" t="inlineStr">
        <is>
          <t>35</t>
        </is>
      </c>
      <c r="T149" s="4" t="inlineStr">
        <is>
          <t>Pintura 2ª demão</t>
        </is>
      </c>
      <c r="U149" s="4" t="inlineStr">
        <is>
          <t>SIM</t>
        </is>
      </c>
      <c r="V149" s="2">
        <f>IF(R149="","",COUNTIF($C$5:$C$6004,R149))</f>
        <v/>
      </c>
      <c r="W149" s="2">
        <f>IF(R149="","",COUNTIFS($C$5:$C$6004,R149,$O$5:$O$6004,"CONCLUÍDA"))</f>
        <v/>
      </c>
      <c r="X149" s="2">
        <f>IF(R149="","",COUNTIFS($C$5:$C$6004,R149,$O$5:$O$6004,"EM ANDAMENTO"))</f>
        <v/>
      </c>
      <c r="Y149" s="2">
        <f>IF(R149="","",IF(COUNTIFS($C$5:$C$6004,R149,$O$5:$O$6004,"CONCLUÍDA",$N$5:$N$6004,"&gt;=-99")=0,"",_xlfn.MAXIFS($N$5:$N$6004,$C$5:$C$6004,R149,$O$5:$O$6004,"CONCLUÍDA")))</f>
        <v/>
      </c>
      <c r="Z149" s="2">
        <f>IF(R149="","",IF(COUNTIFS($C$5:$C$6004,R149,$O$5:$O$6004,"EM ANDAMENTO",$N$5:$N$6004,"&gt;=-99")=0,"",_xlfn.MAXIFS($N$5:$N$6004,$C$5:$C$6004,R149,$O$5:$O$6004,"EM ANDAMENTO")))</f>
        <v/>
      </c>
      <c r="AA149" s="2">
        <f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/>
      </c>
    </row>
    <row r="150">
      <c r="B150" s="4" t="n">
        <v>12990517</v>
      </c>
      <c r="C150" s="4" t="inlineStr">
        <is>
          <t>DRENAGEM</t>
        </is>
      </c>
      <c r="D150" s="4" t="inlineStr">
        <is>
          <t>Trecho 02 - tubulação sobre viga de coramento - 21 m + 01 caixa de passagem</t>
        </is>
      </c>
      <c r="E150" s="4" t="inlineStr">
        <is>
          <t>GERAL</t>
        </is>
      </c>
      <c r="F150" s="119" t="n">
        <v>45880</v>
      </c>
      <c r="G150" s="119" t="n">
        <v>45884</v>
      </c>
      <c r="H150" s="119" t="n">
        <v>46293</v>
      </c>
      <c r="I150" s="4" t="n">
        <v>100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IF(E150="","",IF(ISNUMBER(SEARCH("SUBSOLO",E150)),IFERROR(-VALUE(LEFT(E150,FIND("º",SUBSTITUTE(E150,"°","º"))-1)),-1),IF(LEFT(E150,6)="TÉRREO",0,IFERROR(VALUE(LEFT(E150,FIND("º",SUBSTITUTE(E150,"°","º"))-1)),""))))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ACABAMENTOS ELÉTRICOS</t>
        </is>
      </c>
      <c r="S150" s="4" t="inlineStr">
        <is>
          <t>20</t>
        </is>
      </c>
      <c r="T150" s="4" t="inlineStr">
        <is>
          <t>Acabamentos elétricos</t>
        </is>
      </c>
      <c r="U150" s="4" t="inlineStr">
        <is>
          <t>SIM</t>
        </is>
      </c>
      <c r="V150" s="2">
        <f>IF(R150="","",COUNTIF($C$5:$C$6004,R150))</f>
        <v/>
      </c>
      <c r="W150" s="2">
        <f>IF(R150="","",COUNTIFS($C$5:$C$6004,R150,$O$5:$O$6004,"CONCLUÍDA"))</f>
        <v/>
      </c>
      <c r="X150" s="2">
        <f>IF(R150="","",COUNTIFS($C$5:$C$6004,R150,$O$5:$O$6004,"EM ANDAMENTO"))</f>
        <v/>
      </c>
      <c r="Y150" s="2">
        <f>IF(R150="","",IF(COUNTIFS($C$5:$C$6004,R150,$O$5:$O$6004,"CONCLUÍDA",$N$5:$N$6004,"&gt;=-99")=0,"",_xlfn.MAXIFS($N$5:$N$6004,$C$5:$C$6004,R150,$O$5:$O$6004,"CONCLUÍDA")))</f>
        <v/>
      </c>
      <c r="Z150" s="2">
        <f>IF(R150="","",IF(COUNTIFS($C$5:$C$6004,R150,$O$5:$O$6004,"EM ANDAMENTO",$N$5:$N$6004,"&gt;=-99")=0,"",_xlfn.MAXIFS($N$5:$N$6004,$C$5:$C$6004,R150,$O$5:$O$6004,"EM ANDAMENTO")))</f>
        <v/>
      </c>
      <c r="AA150" s="2">
        <f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/>
      </c>
    </row>
    <row r="151">
      <c r="B151" s="4" t="n">
        <v>12990518</v>
      </c>
      <c r="C151" s="4" t="inlineStr">
        <is>
          <t>DRENAGEM</t>
        </is>
      </c>
      <c r="D151" s="4" t="inlineStr">
        <is>
          <t>Trecho 03 - 6,8 m de tubos de 400 + 18 m de tubo de 300 + 4 caixas de passagem</t>
        </is>
      </c>
      <c r="E151" s="4" t="inlineStr">
        <is>
          <t>GERAL</t>
        </is>
      </c>
      <c r="F151" s="119" t="n">
        <v>45887</v>
      </c>
      <c r="G151" s="119" t="n">
        <v>45891</v>
      </c>
      <c r="H151" s="119" t="n">
        <v>46293</v>
      </c>
      <c r="I151" s="4" t="n">
        <v>100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IF(E151="","",IF(ISNUMBER(SEARCH("SUBSOLO",E151)),IFERROR(-VALUE(LEFT(E151,FIND("º",SUBSTITUTE(E151,"°","º"))-1)),-1),IF(LEFT(E151,6)="TÉRREO",0,IFERROR(VALUE(LEFT(E151,FIND("º",SUBSTITUTE(E151,"°","º"))-1)),""))))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TEXTURA</t>
        </is>
      </c>
      <c r="S151" s="4" t="inlineStr">
        <is>
          <t>32</t>
        </is>
      </c>
      <c r="T151" s="4" t="inlineStr">
        <is>
          <t>Textura</t>
        </is>
      </c>
      <c r="U151" s="4" t="inlineStr">
        <is>
          <t>SIM</t>
        </is>
      </c>
      <c r="V151" s="2">
        <f>IF(R151="","",COUNTIF($C$5:$C$6004,R151))</f>
        <v/>
      </c>
      <c r="W151" s="2">
        <f>IF(R151="","",COUNTIFS($C$5:$C$6004,R151,$O$5:$O$6004,"CONCLUÍDA"))</f>
        <v/>
      </c>
      <c r="X151" s="2">
        <f>IF(R151="","",COUNTIFS($C$5:$C$6004,R151,$O$5:$O$6004,"EM ANDAMENTO"))</f>
        <v/>
      </c>
      <c r="Y151" s="2">
        <f>IF(R151="","",IF(COUNTIFS($C$5:$C$6004,R151,$O$5:$O$6004,"CONCLUÍDA",$N$5:$N$6004,"&gt;=-99")=0,"",_xlfn.MAXIFS($N$5:$N$6004,$C$5:$C$6004,R151,$O$5:$O$6004,"CONCLUÍDA")))</f>
        <v/>
      </c>
      <c r="Z151" s="2">
        <f>IF(R151="","",IF(COUNTIFS($C$5:$C$6004,R151,$O$5:$O$6004,"EM ANDAMENTO",$N$5:$N$6004,"&gt;=-99")=0,"",_xlfn.MAXIFS($N$5:$N$6004,$C$5:$C$6004,R151,$O$5:$O$6004,"EM ANDAMENTO")))</f>
        <v/>
      </c>
      <c r="AA151" s="2">
        <f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/>
      </c>
    </row>
    <row r="152">
      <c r="B152" s="4" t="n">
        <v>12990519</v>
      </c>
      <c r="C152" s="4" t="inlineStr">
        <is>
          <t>DRENAGEM</t>
        </is>
      </c>
      <c r="D152" s="4" t="inlineStr">
        <is>
          <t>Trecho 04 - canaletas setor esquerdo + 2 reservatórios + saída Baltazar</t>
        </is>
      </c>
      <c r="E152" s="4" t="inlineStr">
        <is>
          <t>GERAL</t>
        </is>
      </c>
      <c r="F152" s="119" t="n">
        <v>45894</v>
      </c>
      <c r="G152" s="119" t="n">
        <v>45933</v>
      </c>
      <c r="H152" s="119" t="n">
        <v>46293</v>
      </c>
      <c r="I152" s="4" t="n">
        <v>100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IF(E152="","",IF(ISNUMBER(SEARCH("SUBSOLO",E152)),IFERROR(-VALUE(LEFT(E152,FIND("º",SUBSTITUTE(E152,"°","º"))-1)),-1),IF(LEFT(E152,6)="TÉRREO",0,IFERROR(VALUE(LEFT(E152,FIND("º",SUBSTITUTE(E152,"°","º"))-1)),""))))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SERRALHERIA</t>
        </is>
      </c>
      <c r="S152" s="4" t="inlineStr">
        <is>
          <t>26</t>
        </is>
      </c>
      <c r="T152" s="4" t="inlineStr">
        <is>
          <t>Serralheria</t>
        </is>
      </c>
      <c r="U152" s="4" t="inlineStr">
        <is>
          <t>SIM</t>
        </is>
      </c>
      <c r="V152" s="2">
        <f>IF(R152="","",COUNTIF($C$5:$C$6004,R152))</f>
        <v/>
      </c>
      <c r="W152" s="2">
        <f>IF(R152="","",COUNTIFS($C$5:$C$6004,R152,$O$5:$O$6004,"CONCLUÍDA"))</f>
        <v/>
      </c>
      <c r="X152" s="2">
        <f>IF(R152="","",COUNTIFS($C$5:$C$6004,R152,$O$5:$O$6004,"EM ANDAMENTO"))</f>
        <v/>
      </c>
      <c r="Y152" s="2">
        <f>IF(R152="","",IF(COUNTIFS($C$5:$C$6004,R152,$O$5:$O$6004,"CONCLUÍDA",$N$5:$N$6004,"&gt;=-99")=0,"",_xlfn.MAXIFS($N$5:$N$6004,$C$5:$C$6004,R152,$O$5:$O$6004,"CONCLUÍDA")))</f>
        <v/>
      </c>
      <c r="Z152" s="2">
        <f>IF(R152="","",IF(COUNTIFS($C$5:$C$6004,R152,$O$5:$O$6004,"EM ANDAMENTO",$N$5:$N$6004,"&gt;=-99")=0,"",_xlfn.MAXIFS($N$5:$N$6004,$C$5:$C$6004,R152,$O$5:$O$6004,"EM ANDAMENTO")))</f>
        <v/>
      </c>
      <c r="AA152" s="2">
        <f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/>
      </c>
    </row>
    <row r="153">
      <c r="B153" s="4" t="n">
        <v>22146027</v>
      </c>
      <c r="C153" s="4" t="inlineStr">
        <is>
          <t>ESTRUTURA EMBASAMENTO B</t>
        </is>
      </c>
      <c r="D153" s="4" t="inlineStr">
        <is>
          <t>-</t>
        </is>
      </c>
      <c r="E153" s="4" t="inlineStr">
        <is>
          <t>4° PAV. APTO GARDEN</t>
        </is>
      </c>
      <c r="F153" s="119" t="n">
        <v>45888</v>
      </c>
      <c r="G153" s="119" t="n">
        <v>45940</v>
      </c>
      <c r="H153" s="119" t="n">
        <v>46293</v>
      </c>
      <c r="I153" s="4" t="n">
        <v>100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IF(E153="","",IF(ISNUMBER(SEARCH("SUBSOLO",E153)),IFERROR(-VALUE(LEFT(E153,FIND("º",SUBSTITUTE(E153,"°","º"))-1)),-1),IF(LEFT(E153,6)="TÉRREO",0,IFERROR(VALUE(LEFT(E153,FIND("º",SUBSTITUTE(E153,"°","º"))-1)),""))))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METAIS</t>
        </is>
      </c>
      <c r="S153" s="4" t="inlineStr">
        <is>
          <t>34</t>
        </is>
      </c>
      <c r="T153" s="4" t="inlineStr">
        <is>
          <t>Metais</t>
        </is>
      </c>
      <c r="U153" s="4" t="inlineStr">
        <is>
          <t>SIM</t>
        </is>
      </c>
      <c r="V153" s="2">
        <f>IF(R153="","",COUNTIF($C$5:$C$6004,R153))</f>
        <v/>
      </c>
      <c r="W153" s="2">
        <f>IF(R153="","",COUNTIFS($C$5:$C$6004,R153,$O$5:$O$6004,"CONCLUÍDA"))</f>
        <v/>
      </c>
      <c r="X153" s="2">
        <f>IF(R153="","",COUNTIFS($C$5:$C$6004,R153,$O$5:$O$6004,"EM ANDAMENTO"))</f>
        <v/>
      </c>
      <c r="Y153" s="2">
        <f>IF(R153="","",IF(COUNTIFS($C$5:$C$6004,R153,$O$5:$O$6004,"CONCLUÍDA",$N$5:$N$6004,"&gt;=-99")=0,"",_xlfn.MAXIFS($N$5:$N$6004,$C$5:$C$6004,R153,$O$5:$O$6004,"CONCLUÍDA")))</f>
        <v/>
      </c>
      <c r="Z153" s="2">
        <f>IF(R153="","",IF(COUNTIFS($C$5:$C$6004,R153,$O$5:$O$6004,"EM ANDAMENTO",$N$5:$N$6004,"&gt;=-99")=0,"",_xlfn.MAXIFS($N$5:$N$6004,$C$5:$C$6004,R153,$O$5:$O$6004,"EM ANDAMENTO")))</f>
        <v/>
      </c>
      <c r="AA153" s="2">
        <f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/>
      </c>
    </row>
    <row r="154">
      <c r="B154" s="4" t="n">
        <v>13046998</v>
      </c>
      <c r="C154" s="4" t="inlineStr">
        <is>
          <t>ESTRUTURA EMBASAMENTO B</t>
        </is>
      </c>
      <c r="D154" s="4" t="inlineStr">
        <is>
          <t>Armação de pilares</t>
        </is>
      </c>
      <c r="E154" s="4" t="inlineStr">
        <is>
          <t>4° PAV. APTO GARDEN</t>
        </is>
      </c>
      <c r="F154" s="119" t="n">
        <v>45888</v>
      </c>
      <c r="G154" s="119" t="n">
        <v>45890</v>
      </c>
      <c r="H154" s="119" t="n">
        <v>46293</v>
      </c>
      <c r="I154" s="4" t="n">
        <v>100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IF(E154="","",IF(ISNUMBER(SEARCH("SUBSOLO",E154)),IFERROR(-VALUE(LEFT(E154,FIND("º",SUBSTITUTE(E154,"°","º"))-1)),-1),IF(LEFT(E154,6)="TÉRREO",0,IFERROR(VALUE(LEFT(E154,FIND("º",SUBSTITUTE(E154,"°","º"))-1)),""))))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FACHADA CREMALHEIRA</t>
        </is>
      </c>
      <c r="S154" s="4" t="inlineStr">
        <is>
          <t>32</t>
        </is>
      </c>
      <c r="T154" s="4" t="inlineStr">
        <is>
          <t>Fachada cremalheira</t>
        </is>
      </c>
      <c r="U154" s="4" t="inlineStr">
        <is>
          <t>SIM</t>
        </is>
      </c>
      <c r="V154" s="2">
        <f>IF(R154="","",COUNTIF($C$5:$C$6004,R154))</f>
        <v/>
      </c>
      <c r="W154" s="2">
        <f>IF(R154="","",COUNTIFS($C$5:$C$6004,R154,$O$5:$O$6004,"CONCLUÍDA"))</f>
        <v/>
      </c>
      <c r="X154" s="2">
        <f>IF(R154="","",COUNTIFS($C$5:$C$6004,R154,$O$5:$O$6004,"EM ANDAMENTO"))</f>
        <v/>
      </c>
      <c r="Y154" s="2">
        <f>IF(R154="","",IF(COUNTIFS($C$5:$C$6004,R154,$O$5:$O$6004,"CONCLUÍDA",$N$5:$N$6004,"&gt;=-99")=0,"",_xlfn.MAXIFS($N$5:$N$6004,$C$5:$C$6004,R154,$O$5:$O$6004,"CONCLUÍDA")))</f>
        <v/>
      </c>
      <c r="Z154" s="2">
        <f>IF(R154="","",IF(COUNTIFS($C$5:$C$6004,R154,$O$5:$O$6004,"EM ANDAMENTO",$N$5:$N$6004,"&gt;=-99")=0,"",_xlfn.MAXIFS($N$5:$N$6004,$C$5:$C$6004,R154,$O$5:$O$6004,"EM ANDAMENTO")))</f>
        <v/>
      </c>
      <c r="AA154" s="2">
        <f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/>
      </c>
    </row>
    <row r="155">
      <c r="B155" s="4" t="n">
        <v>13046999</v>
      </c>
      <c r="C155" s="4" t="inlineStr">
        <is>
          <t>ESTRUTURA EMBASAMENTO B</t>
        </is>
      </c>
      <c r="D155" s="4" t="inlineStr">
        <is>
          <t>Armação de vigas</t>
        </is>
      </c>
      <c r="E155" s="4" t="inlineStr">
        <is>
          <t>4° PAV. APTO GARDEN</t>
        </is>
      </c>
      <c r="F155" s="119" t="n">
        <v>45888</v>
      </c>
      <c r="G155" s="119" t="n">
        <v>45912</v>
      </c>
      <c r="H155" s="119" t="n">
        <v>46293</v>
      </c>
      <c r="I155" s="4" t="n">
        <v>100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IF(E155="","",IF(ISNUMBER(SEARCH("SUBSOLO",E155)),IFERROR(-VALUE(LEFT(E155,FIND("º",SUBSTITUTE(E155,"°","º"))-1)),-1),IF(LEFT(E155,6)="TÉRREO",0,IFERROR(VALUE(LEFT(E155,FIND("º",SUBSTITUTE(E155,"°","º"))-1)),""))))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ELEVADOR 3</t>
        </is>
      </c>
      <c r="S155" s="4" t="inlineStr">
        <is>
          <t>24</t>
        </is>
      </c>
      <c r="T155" s="4" t="inlineStr">
        <is>
          <t>Elevador 3</t>
        </is>
      </c>
      <c r="U155" s="4" t="inlineStr">
        <is>
          <t>SIM</t>
        </is>
      </c>
      <c r="V155" s="2">
        <f>IF(R155="","",COUNTIF($C$5:$C$6004,R155))</f>
        <v/>
      </c>
      <c r="W155" s="2">
        <f>IF(R155="","",COUNTIFS($C$5:$C$6004,R155,$O$5:$O$6004,"CONCLUÍDA"))</f>
        <v/>
      </c>
      <c r="X155" s="2">
        <f>IF(R155="","",COUNTIFS($C$5:$C$6004,R155,$O$5:$O$6004,"EM ANDAMENTO"))</f>
        <v/>
      </c>
      <c r="Y155" s="2">
        <f>IF(R155="","",IF(COUNTIFS($C$5:$C$6004,R155,$O$5:$O$6004,"CONCLUÍDA",$N$5:$N$6004,"&gt;=-99")=0,"",_xlfn.MAXIFS($N$5:$N$6004,$C$5:$C$6004,R155,$O$5:$O$6004,"CONCLUÍDA")))</f>
        <v/>
      </c>
      <c r="Z155" s="2">
        <f>IF(R155="","",IF(COUNTIFS($C$5:$C$6004,R155,$O$5:$O$6004,"EM ANDAMENTO",$N$5:$N$6004,"&gt;=-99")=0,"",_xlfn.MAXIFS($N$5:$N$6004,$C$5:$C$6004,R155,$O$5:$O$6004,"EM ANDAMENTO")))</f>
        <v/>
      </c>
      <c r="AA155" s="2">
        <f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/>
      </c>
    </row>
    <row r="156">
      <c r="B156" s="4" t="n">
        <v>13047000</v>
      </c>
      <c r="C156" s="4" t="inlineStr">
        <is>
          <t>ESTRUTURA EMBASAMENTO B</t>
        </is>
      </c>
      <c r="D156" s="4" t="inlineStr">
        <is>
          <t>Forma de pilares</t>
        </is>
      </c>
      <c r="E156" s="4" t="inlineStr">
        <is>
          <t>4° PAV. APTO GARDEN</t>
        </is>
      </c>
      <c r="F156" s="119" t="n">
        <v>45889</v>
      </c>
      <c r="G156" s="119" t="n">
        <v>45912</v>
      </c>
      <c r="H156" s="119" t="n">
        <v>46293</v>
      </c>
      <c r="I156" s="4" t="n">
        <v>100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IF(E156="","",IF(ISNUMBER(SEARCH("SUBSOLO",E156)),IFERROR(-VALUE(LEFT(E156,FIND("º",SUBSTITUTE(E156,"°","º"))-1)),-1),IF(LEFT(E156,6)="TÉRREO",0,IFERROR(VALUE(LEFT(E156,FIND("º",SUBSTITUTE(E156,"°","º"))-1)),""))))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PINTURA 3º DEMÃO</t>
        </is>
      </c>
      <c r="S156" s="4" t="inlineStr">
        <is>
          <t>35</t>
        </is>
      </c>
      <c r="T156" s="4" t="inlineStr">
        <is>
          <t>Pintura 3ª demão</t>
        </is>
      </c>
      <c r="U156" s="4" t="inlineStr">
        <is>
          <t>SIM</t>
        </is>
      </c>
      <c r="V156" s="2">
        <f>IF(R156="","",COUNTIF($C$5:$C$6004,R156))</f>
        <v/>
      </c>
      <c r="W156" s="2">
        <f>IF(R156="","",COUNTIFS($C$5:$C$6004,R156,$O$5:$O$6004,"CONCLUÍDA"))</f>
        <v/>
      </c>
      <c r="X156" s="2">
        <f>IF(R156="","",COUNTIFS($C$5:$C$6004,R156,$O$5:$O$6004,"EM ANDAMENTO"))</f>
        <v/>
      </c>
      <c r="Y156" s="2">
        <f>IF(R156="","",IF(COUNTIFS($C$5:$C$6004,R156,$O$5:$O$6004,"CONCLUÍDA",$N$5:$N$6004,"&gt;=-99")=0,"",_xlfn.MAXIFS($N$5:$N$6004,$C$5:$C$6004,R156,$O$5:$O$6004,"CONCLUÍDA")))</f>
        <v/>
      </c>
      <c r="Z156" s="2">
        <f>IF(R156="","",IF(COUNTIFS($C$5:$C$6004,R156,$O$5:$O$6004,"EM ANDAMENTO",$N$5:$N$6004,"&gt;=-99")=0,"",_xlfn.MAXIFS($N$5:$N$6004,$C$5:$C$6004,R156,$O$5:$O$6004,"EM ANDAMENTO")))</f>
        <v/>
      </c>
      <c r="AA156" s="2">
        <f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/>
      </c>
    </row>
    <row r="157">
      <c r="B157" s="4" t="n">
        <v>13047001</v>
      </c>
      <c r="C157" s="4" t="inlineStr">
        <is>
          <t>ESTRUTURA EMBASAMENTO B</t>
        </is>
      </c>
      <c r="D157" s="4" t="inlineStr">
        <is>
          <t>1ª concretagem de pilares</t>
        </is>
      </c>
      <c r="E157" s="4" t="inlineStr">
        <is>
          <t>4° PAV. APTO GARDEN</t>
        </is>
      </c>
      <c r="F157" s="119" t="n">
        <v>45903</v>
      </c>
      <c r="G157" s="119" t="n">
        <v>45903</v>
      </c>
      <c r="H157" s="119" t="n">
        <v>46293</v>
      </c>
      <c r="I157" s="4" t="n">
        <v>100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IF(E157="","",IF(ISNUMBER(SEARCH("SUBSOLO",E157)),IFERROR(-VALUE(LEFT(E157,FIND("º",SUBSTITUTE(E157,"°","º"))-1)),-1),IF(LEFT(E157,6)="TÉRREO",0,IFERROR(VALUE(LEFT(E157,FIND("º",SUBSTITUTE(E157,"°","º"))-1)),""))))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PINTURA VAGAS</t>
        </is>
      </c>
      <c r="S157" s="4" t="inlineStr">
        <is>
          <t>35</t>
        </is>
      </c>
      <c r="T157" s="4" t="inlineStr">
        <is>
          <t>Pintura vagas</t>
        </is>
      </c>
      <c r="U157" s="4" t="inlineStr">
        <is>
          <t>NÃO</t>
        </is>
      </c>
      <c r="V157" s="2">
        <f>IF(R157="","",COUNTIF($C$5:$C$6004,R157))</f>
        <v/>
      </c>
      <c r="W157" s="2">
        <f>IF(R157="","",COUNTIFS($C$5:$C$6004,R157,$O$5:$O$6004,"CONCLUÍDA"))</f>
        <v/>
      </c>
      <c r="X157" s="2">
        <f>IF(R157="","",COUNTIFS($C$5:$C$6004,R157,$O$5:$O$6004,"EM ANDAMENTO"))</f>
        <v/>
      </c>
      <c r="Y157" s="2">
        <f>IF(R157="","",IF(COUNTIFS($C$5:$C$6004,R157,$O$5:$O$6004,"CONCLUÍDA",$N$5:$N$6004,"&gt;=-99")=0,"",_xlfn.MAXIFS($N$5:$N$6004,$C$5:$C$6004,R157,$O$5:$O$6004,"CONCLUÍDA")))</f>
        <v/>
      </c>
      <c r="Z157" s="2">
        <f>IF(R157="","",IF(COUNTIFS($C$5:$C$6004,R157,$O$5:$O$6004,"EM ANDAMENTO",$N$5:$N$6004,"&gt;=-99")=0,"",_xlfn.MAXIFS($N$5:$N$6004,$C$5:$C$6004,R157,$O$5:$O$6004,"EM ANDAMENTO")))</f>
        <v/>
      </c>
      <c r="AA157" s="2">
        <f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>
      <c r="B158" s="4" t="n">
        <v>13047002</v>
      </c>
      <c r="C158" s="4" t="inlineStr">
        <is>
          <t>ESTRUTURA EMBASAMENTO B</t>
        </is>
      </c>
      <c r="D158" s="4" t="inlineStr">
        <is>
          <t>2ª concretagem de pilares</t>
        </is>
      </c>
      <c r="E158" s="4" t="inlineStr">
        <is>
          <t>4° PAV. APTO GARDEN</t>
        </is>
      </c>
      <c r="F158" s="119" t="n">
        <v>45912</v>
      </c>
      <c r="G158" s="119" t="n">
        <v>45912</v>
      </c>
      <c r="H158" s="119" t="n">
        <v>46293</v>
      </c>
      <c r="I158" s="4" t="n">
        <v>100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IF(E158="","",IF(ISNUMBER(SEARCH("SUBSOLO",E158)),IFERROR(-VALUE(LEFT(E158,FIND("º",SUBSTITUTE(E158,"°","º"))-1)),-1),IF(LEFT(E158,6)="TÉRREO",0,IFERROR(VALUE(LEFT(E158,FIND("º",SUBSTITUTE(E158,"°","º"))-1)),""))))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LIMPEZA FINA</t>
        </is>
      </c>
      <c r="S158" s="4" t="inlineStr">
        <is>
          <t>37</t>
        </is>
      </c>
      <c r="T158" s="4" t="inlineStr">
        <is>
          <t>Limpeza fina</t>
        </is>
      </c>
      <c r="U158" s="4" t="inlineStr">
        <is>
          <t>SIM</t>
        </is>
      </c>
      <c r="V158" s="2">
        <f>IF(R158="","",COUNTIF($C$5:$C$6004,R158))</f>
        <v/>
      </c>
      <c r="W158" s="2">
        <f>IF(R158="","",COUNTIFS($C$5:$C$6004,R158,$O$5:$O$6004,"CONCLUÍDA"))</f>
        <v/>
      </c>
      <c r="X158" s="2">
        <f>IF(R158="","",COUNTIFS($C$5:$C$6004,R158,$O$5:$O$6004,"EM ANDAMENTO"))</f>
        <v/>
      </c>
      <c r="Y158" s="2">
        <f>IF(R158="","",IF(COUNTIFS($C$5:$C$6004,R158,$O$5:$O$6004,"CONCLUÍDA",$N$5:$N$6004,"&gt;=-99")=0,"",_xlfn.MAXIFS($N$5:$N$6004,$C$5:$C$6004,R158,$O$5:$O$6004,"CONCLUÍDA")))</f>
        <v/>
      </c>
      <c r="Z158" s="2">
        <f>IF(R158="","",IF(COUNTIFS($C$5:$C$6004,R158,$O$5:$O$6004,"EM ANDAMENTO",$N$5:$N$6004,"&gt;=-99")=0,"",_xlfn.MAXIFS($N$5:$N$6004,$C$5:$C$6004,R158,$O$5:$O$6004,"EM ANDAMENTO")))</f>
        <v/>
      </c>
      <c r="AA158" s="2">
        <f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/>
      </c>
    </row>
    <row r="159">
      <c r="B159" s="4" t="n">
        <v>13047003</v>
      </c>
      <c r="C159" s="4" t="inlineStr">
        <is>
          <t>ESTRUTURA EMBASAMENTO B</t>
        </is>
      </c>
      <c r="D159" s="4" t="inlineStr">
        <is>
          <t>3ª concretagem de pilares</t>
        </is>
      </c>
      <c r="E159" s="4" t="inlineStr">
        <is>
          <t>4° PAV. APTO GARDEN</t>
        </is>
      </c>
      <c r="F159" s="119" t="n">
        <v>45918</v>
      </c>
      <c r="G159" s="119" t="n">
        <v>45918</v>
      </c>
      <c r="H159" s="119" t="n">
        <v>46293</v>
      </c>
      <c r="I159" s="4" t="n">
        <v>100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IF(E159="","",IF(ISNUMBER(SEARCH("SUBSOLO",E159)),IFERROR(-VALUE(LEFT(E159,FIND("º",SUBSTITUTE(E159,"°","º"))-1)),-1),IF(LEFT(E159,6)="TÉRREO",0,IFERROR(VALUE(LEFT(E159,FIND("º",SUBSTITUTE(E159,"°","º"))-1)),""))))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COMUNICAÇÃO VISUAL</t>
        </is>
      </c>
      <c r="S159" s="4" t="n"/>
      <c r="T159" s="4" t="inlineStr">
        <is>
          <t>Comunicação visual</t>
        </is>
      </c>
      <c r="U159" s="4" t="inlineStr">
        <is>
          <t>SIM</t>
        </is>
      </c>
      <c r="V159" s="2">
        <f>IF(R159="","",COUNTIF($C$5:$C$6004,R159))</f>
        <v/>
      </c>
      <c r="W159" s="2">
        <f>IF(R159="","",COUNTIFS($C$5:$C$6004,R159,$O$5:$O$6004,"CONCLUÍDA"))</f>
        <v/>
      </c>
      <c r="X159" s="2">
        <f>IF(R159="","",COUNTIFS($C$5:$C$6004,R159,$O$5:$O$6004,"EM ANDAMENTO"))</f>
        <v/>
      </c>
      <c r="Y159" s="2">
        <f>IF(R159="","",IF(COUNTIFS($C$5:$C$6004,R159,$O$5:$O$6004,"CONCLUÍDA",$N$5:$N$6004,"&gt;=-99")=0,"",_xlfn.MAXIFS($N$5:$N$6004,$C$5:$C$6004,R159,$O$5:$O$6004,"CONCLUÍDA")))</f>
        <v/>
      </c>
      <c r="Z159" s="2">
        <f>IF(R159="","",IF(COUNTIFS($C$5:$C$6004,R159,$O$5:$O$6004,"EM ANDAMENTO",$N$5:$N$6004,"&gt;=-99")=0,"",_xlfn.MAXIFS($N$5:$N$6004,$C$5:$C$6004,R159,$O$5:$O$6004,"EM ANDAMENTO")))</f>
        <v/>
      </c>
      <c r="AA159" s="2">
        <f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>
      <c r="B160" s="4" t="n">
        <v>13047004</v>
      </c>
      <c r="C160" s="4" t="inlineStr">
        <is>
          <t>ESTRUTURA EMBASAMENTO B</t>
        </is>
      </c>
      <c r="D160" s="4" t="inlineStr">
        <is>
          <t>Montagem de escoramento e forma</t>
        </is>
      </c>
      <c r="E160" s="4" t="inlineStr">
        <is>
          <t>4° PAV. APTO GARDEN</t>
        </is>
      </c>
      <c r="F160" s="119" t="n">
        <v>45898</v>
      </c>
      <c r="G160" s="119" t="n">
        <v>45918</v>
      </c>
      <c r="H160" s="119" t="n">
        <v>46293</v>
      </c>
      <c r="I160" s="4" t="n">
        <v>100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IF(E160="","",IF(ISNUMBER(SEARCH("SUBSOLO",E160)),IFERROR(-VALUE(LEFT(E160,FIND("º",SUBSTITUTE(E160,"°","º"))-1)),-1),IF(LEFT(E160,6)="TÉRREO",0,IFERROR(VALUE(LEFT(E160,FIND("º",SUBSTITUTE(E160,"°","º"))-1)),""))))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PISO ELEVADO / EXTERNO</t>
        </is>
      </c>
      <c r="S160" s="4" t="inlineStr">
        <is>
          <t>30</t>
        </is>
      </c>
      <c r="T160" s="4" t="inlineStr">
        <is>
          <t>Piso elevado / externo</t>
        </is>
      </c>
      <c r="U160" s="4" t="inlineStr">
        <is>
          <t>NÃO</t>
        </is>
      </c>
      <c r="V160" s="2">
        <f>IF(R160="","",COUNTIF($C$5:$C$6004,R160))</f>
        <v/>
      </c>
      <c r="W160" s="2">
        <f>IF(R160="","",COUNTIFS($C$5:$C$6004,R160,$O$5:$O$6004,"CONCLUÍDA"))</f>
        <v/>
      </c>
      <c r="X160" s="2">
        <f>IF(R160="","",COUNTIFS($C$5:$C$6004,R160,$O$5:$O$6004,"EM ANDAMENTO"))</f>
        <v/>
      </c>
      <c r="Y160" s="2">
        <f>IF(R160="","",IF(COUNTIFS($C$5:$C$6004,R160,$O$5:$O$6004,"CONCLUÍDA",$N$5:$N$6004,"&gt;=-99")=0,"",_xlfn.MAXIFS($N$5:$N$6004,$C$5:$C$6004,R160,$O$5:$O$6004,"CONCLUÍDA")))</f>
        <v/>
      </c>
      <c r="Z160" s="2">
        <f>IF(R160="","",IF(COUNTIFS($C$5:$C$6004,R160,$O$5:$O$6004,"EM ANDAMENTO",$N$5:$N$6004,"&gt;=-99")=0,"",_xlfn.MAXIFS($N$5:$N$6004,$C$5:$C$6004,R160,$O$5:$O$6004,"EM ANDAMENTO")))</f>
        <v/>
      </c>
      <c r="AA160" s="2">
        <f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>
      <c r="B161" s="4" t="n">
        <v>13047005</v>
      </c>
      <c r="C161" s="4" t="inlineStr">
        <is>
          <t>ESTRUTURA EMBASAMENTO B</t>
        </is>
      </c>
      <c r="D161" s="4" t="inlineStr">
        <is>
          <t>Armação de laje e lançamento de vigas</t>
        </is>
      </c>
      <c r="E161" s="4" t="inlineStr">
        <is>
          <t>4° PAV. APTO GARDEN</t>
        </is>
      </c>
      <c r="F161" s="119" t="n">
        <v>45908</v>
      </c>
      <c r="G161" s="119" t="n">
        <v>45925</v>
      </c>
      <c r="H161" s="119" t="n">
        <v>46293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IF(E161="","",IF(ISNUMBER(SEARCH("SUBSOLO",E161)),IFERROR(-VALUE(LEFT(E161,FIND("º",SUBSTITUTE(E161,"°","º"))-1)),-1),IF(LEFT(E161,6)="TÉRREO",0,IFERROR(VALUE(LEFT(E161,FIND("º",SUBSTITUTE(E161,"°","º"))-1)),""))))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EQUIPAMENTOS</t>
        </is>
      </c>
      <c r="S161" s="4" t="inlineStr">
        <is>
          <t>23</t>
        </is>
      </c>
      <c r="T161" s="4" t="inlineStr">
        <is>
          <t>Equipamentos</t>
        </is>
      </c>
      <c r="U161" s="4" t="inlineStr">
        <is>
          <t>NÃO</t>
        </is>
      </c>
      <c r="V161" s="2">
        <f>IF(R161="","",COUNTIF($C$5:$C$6004,R161))</f>
        <v/>
      </c>
      <c r="W161" s="2">
        <f>IF(R161="","",COUNTIFS($C$5:$C$6004,R161,$O$5:$O$6004,"CONCLUÍDA"))</f>
        <v/>
      </c>
      <c r="X161" s="2">
        <f>IF(R161="","",COUNTIFS($C$5:$C$6004,R161,$O$5:$O$6004,"EM ANDAMENTO"))</f>
        <v/>
      </c>
      <c r="Y161" s="2">
        <f>IF(R161="","",IF(COUNTIFS($C$5:$C$6004,R161,$O$5:$O$6004,"CONCLUÍDA",$N$5:$N$6004,"&gt;=-99")=0,"",_xlfn.MAXIFS($N$5:$N$6004,$C$5:$C$6004,R161,$O$5:$O$6004,"CONCLUÍDA")))</f>
        <v/>
      </c>
      <c r="Z161" s="2">
        <f>IF(R161="","",IF(COUNTIFS($C$5:$C$6004,R161,$O$5:$O$6004,"EM ANDAMENTO",$N$5:$N$6004,"&gt;=-99")=0,"",_xlfn.MAXIFS($N$5:$N$6004,$C$5:$C$6004,R161,$O$5:$O$6004,"EM ANDAMENTO")))</f>
        <v/>
      </c>
      <c r="AA161" s="2">
        <f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>
      <c r="B162" s="4" t="n">
        <v>13047006</v>
      </c>
      <c r="C162" s="4" t="inlineStr">
        <is>
          <t>ESTRUTURA EMBASAMENTO B</t>
        </is>
      </c>
      <c r="D162" s="4" t="inlineStr">
        <is>
          <t>Concreto beiral</t>
        </is>
      </c>
      <c r="E162" s="4" t="inlineStr">
        <is>
          <t>4° PAV. APTO GARDEN</t>
        </is>
      </c>
      <c r="F162" s="119" t="n">
        <v>45918</v>
      </c>
      <c r="G162" s="119" t="n">
        <v>45918</v>
      </c>
      <c r="H162" s="119" t="n">
        <v>46293</v>
      </c>
      <c r="I162" s="4" t="n">
        <v>100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IF(E162="","",IF(ISNUMBER(SEARCH("SUBSOLO",E162)),IFERROR(-VALUE(LEFT(E162,FIND("º",SUBSTITUTE(E162,"°","º"))-1)),-1),IF(LEFT(E162,6)="TÉRREO",0,IFERROR(VALUE(LEFT(E162,FIND("º",SUBSTITUTE(E162,"°","º"))-1)),""))))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CHECKLIST</t>
        </is>
      </c>
      <c r="S162" s="4" t="n"/>
      <c r="T162" s="4" t="inlineStr">
        <is>
          <t>Checklist</t>
        </is>
      </c>
      <c r="U162" s="4" t="inlineStr">
        <is>
          <t>SIM</t>
        </is>
      </c>
      <c r="V162" s="2">
        <f>IF(R162="","",COUNTIF($C$5:$C$6004,R162))</f>
        <v/>
      </c>
      <c r="W162" s="2">
        <f>IF(R162="","",COUNTIFS($C$5:$C$6004,R162,$O$5:$O$6004,"CONCLUÍDA"))</f>
        <v/>
      </c>
      <c r="X162" s="2">
        <f>IF(R162="","",COUNTIFS($C$5:$C$6004,R162,$O$5:$O$6004,"EM ANDAMENTO"))</f>
        <v/>
      </c>
      <c r="Y162" s="2">
        <f>IF(R162="","",IF(COUNTIFS($C$5:$C$6004,R162,$O$5:$O$6004,"CONCLUÍDA",$N$5:$N$6004,"&gt;=-99")=0,"",_xlfn.MAXIFS($N$5:$N$6004,$C$5:$C$6004,R162,$O$5:$O$6004,"CONCLUÍDA")))</f>
        <v/>
      </c>
      <c r="Z162" s="2">
        <f>IF(R162="","",IF(COUNTIFS($C$5:$C$6004,R162,$O$5:$O$6004,"EM ANDAMENTO",$N$5:$N$6004,"&gt;=-99")=0,"",_xlfn.MAXIFS($N$5:$N$6004,$C$5:$C$6004,R162,$O$5:$O$6004,"EM ANDAMENTO")))</f>
        <v/>
      </c>
      <c r="AA162" s="2">
        <f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>
      <c r="B163" s="4" t="n">
        <v>13047007</v>
      </c>
      <c r="C163" s="4" t="inlineStr">
        <is>
          <t>ESTRUTURA EMBASAMENTO B</t>
        </is>
      </c>
      <c r="D163" s="4" t="inlineStr">
        <is>
          <t>Protensão (lançamento dos cabos)</t>
        </is>
      </c>
      <c r="E163" s="4" t="inlineStr">
        <is>
          <t>4° PAV. APTO GARDEN</t>
        </is>
      </c>
      <c r="F163" s="119" t="n">
        <v>45922</v>
      </c>
      <c r="G163" s="119" t="n">
        <v>45923</v>
      </c>
      <c r="H163" s="119" t="n">
        <v>46293</v>
      </c>
      <c r="I163" s="4" t="n">
        <v>100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IF(E163="","",IF(ISNUMBER(SEARCH("SUBSOLO",E163)),IFERROR(-VALUE(LEFT(E163,FIND("º",SUBSTITUTE(E163,"°","º"))-1)),-1),IF(LEFT(E163,6)="TÉRREO",0,IFERROR(VALUE(LEFT(E163,FIND("º",SUBSTITUTE(E163,"°","º"))-1)),""))))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CARREGADOR VEICULAR / PORTA BOX</t>
        </is>
      </c>
      <c r="S163" s="4" t="inlineStr">
        <is>
          <t>23</t>
        </is>
      </c>
      <c r="T163" s="4" t="inlineStr">
        <is>
          <t>Carregador veicular / porta box</t>
        </is>
      </c>
      <c r="U163" s="4" t="inlineStr">
        <is>
          <t>NÃO</t>
        </is>
      </c>
      <c r="V163" s="2">
        <f>IF(R163="","",COUNTIF($C$5:$C$6004,R163))</f>
        <v/>
      </c>
      <c r="W163" s="2">
        <f>IF(R163="","",COUNTIFS($C$5:$C$6004,R163,$O$5:$O$6004,"CONCLUÍDA"))</f>
        <v/>
      </c>
      <c r="X163" s="2">
        <f>IF(R163="","",COUNTIFS($C$5:$C$6004,R163,$O$5:$O$6004,"EM ANDAMENTO"))</f>
        <v/>
      </c>
      <c r="Y163" s="2">
        <f>IF(R163="","",IF(COUNTIFS($C$5:$C$6004,R163,$O$5:$O$6004,"CONCLUÍDA",$N$5:$N$6004,"&gt;=-99")=0,"",_xlfn.MAXIFS($N$5:$N$6004,$C$5:$C$6004,R163,$O$5:$O$6004,"CONCLUÍDA")))</f>
        <v/>
      </c>
      <c r="Z163" s="2">
        <f>IF(R163="","",IF(COUNTIFS($C$5:$C$6004,R163,$O$5:$O$6004,"EM ANDAMENTO",$N$5:$N$6004,"&gt;=-99")=0,"",_xlfn.MAXIFS($N$5:$N$6004,$C$5:$C$6004,R163,$O$5:$O$6004,"EM ANDAMENTO")))</f>
        <v/>
      </c>
      <c r="AA163" s="2">
        <f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>
      <c r="B164" s="4" t="n">
        <v>13047008</v>
      </c>
      <c r="C164" s="4" t="inlineStr">
        <is>
          <t>ESTRUTURA EMBASAMENTO B</t>
        </is>
      </c>
      <c r="D164" s="4" t="inlineStr">
        <is>
          <t>Concreto de laje</t>
        </is>
      </c>
      <c r="E164" s="4" t="inlineStr">
        <is>
          <t>4° PAV. APTO GARDEN</t>
        </is>
      </c>
      <c r="F164" s="119" t="n">
        <v>45924</v>
      </c>
      <c r="G164" s="119" t="n">
        <v>45924</v>
      </c>
      <c r="H164" s="119" t="n">
        <v>46293</v>
      </c>
      <c r="I164" s="4" t="n">
        <v>100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IF(E164="","",IF(ISNUMBER(SEARCH("SUBSOLO",E164)),IFERROR(-VALUE(LEFT(E164,FIND("º",SUBSTITUTE(E164,"°","º"))-1)),-1),IF(LEFT(E164,6)="TÉRREO",0,IFERROR(VALUE(LEFT(E164,FIND("º",SUBSTITUTE(E164,"°","º"))-1)),""))))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ENXOVAL</t>
        </is>
      </c>
      <c r="S164" s="4" t="n"/>
      <c r="T164" s="4" t="inlineStr">
        <is>
          <t>Enxoval</t>
        </is>
      </c>
      <c r="U164" s="4" t="inlineStr">
        <is>
          <t>NÃO</t>
        </is>
      </c>
      <c r="V164" s="2">
        <f>IF(R164="","",COUNTIF($C$5:$C$6004,R164))</f>
        <v/>
      </c>
      <c r="W164" s="2">
        <f>IF(R164="","",COUNTIFS($C$5:$C$6004,R164,$O$5:$O$6004,"CONCLUÍDA"))</f>
        <v/>
      </c>
      <c r="X164" s="2">
        <f>IF(R164="","",COUNTIFS($C$5:$C$6004,R164,$O$5:$O$6004,"EM ANDAMENTO"))</f>
        <v/>
      </c>
      <c r="Y164" s="2">
        <f>IF(R164="","",IF(COUNTIFS($C$5:$C$6004,R164,$O$5:$O$6004,"CONCLUÍDA",$N$5:$N$6004,"&gt;=-99")=0,"",_xlfn.MAXIFS($N$5:$N$6004,$C$5:$C$6004,R164,$O$5:$O$6004,"CONCLUÍDA")))</f>
        <v/>
      </c>
      <c r="Z164" s="2">
        <f>IF(R164="","",IF(COUNTIFS($C$5:$C$6004,R164,$O$5:$O$6004,"EM ANDAMENTO",$N$5:$N$6004,"&gt;=-99")=0,"",_xlfn.MAXIFS($N$5:$N$6004,$C$5:$C$6004,R164,$O$5:$O$6004,"EM ANDAMENTO")))</f>
        <v/>
      </c>
      <c r="AA164" s="2">
        <f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>
      <c r="B165" s="4" t="n">
        <v>13047009</v>
      </c>
      <c r="C165" s="4" t="inlineStr">
        <is>
          <t>ESTRUTURA EMBASAMENTO B</t>
        </is>
      </c>
      <c r="D165" s="4" t="inlineStr">
        <is>
          <t>Forma de vigas invertidas</t>
        </is>
      </c>
      <c r="E165" s="4" t="inlineStr">
        <is>
          <t>4° PAV. APTO GARDEN</t>
        </is>
      </c>
      <c r="F165" s="119" t="n">
        <v>45925</v>
      </c>
      <c r="G165" s="119" t="n">
        <v>45930</v>
      </c>
      <c r="H165" s="119" t="n">
        <v>46293</v>
      </c>
      <c r="I165" s="4" t="n">
        <v>100</v>
      </c>
      <c r="J165" s="4" t="n">
        <v>100</v>
      </c>
      <c r="K165" s="4" t="n">
        <v>0</v>
      </c>
      <c r="M165" s="2">
        <f>IF(C165="","",IFERROR(INDEX($S$5:$S$304,MATCH(C165,$R$5:$R$304,0))&amp;"","?"))</f>
        <v/>
      </c>
      <c r="N165" s="2">
        <f>IF(E165="","",IF(ISNUMBER(SEARCH("SUBSOLO",E165)),IFERROR(-VALUE(LEFT(E165,FIND("º",SUBSTITUTE(E165,"°","º"))-1)),-1),IF(LEFT(E165,6)="TÉRREO",0,IFERROR(VALUE(LEFT(E165,FIND("º",SUBSTITUTE(E165,"°","º"))-1)),""))))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MANUAL DE USO E OPERAÇÃO</t>
        </is>
      </c>
      <c r="S165" s="4" t="n"/>
      <c r="T165" s="4" t="inlineStr">
        <is>
          <t>Manual de uso e operação</t>
        </is>
      </c>
      <c r="U165" s="4" t="inlineStr">
        <is>
          <t>NÃO</t>
        </is>
      </c>
      <c r="V165" s="2">
        <f>IF(R165="","",COUNTIF($C$5:$C$6004,R165))</f>
        <v/>
      </c>
      <c r="W165" s="2">
        <f>IF(R165="","",COUNTIFS($C$5:$C$6004,R165,$O$5:$O$6004,"CONCLUÍDA"))</f>
        <v/>
      </c>
      <c r="X165" s="2">
        <f>IF(R165="","",COUNTIFS($C$5:$C$6004,R165,$O$5:$O$6004,"EM ANDAMENTO"))</f>
        <v/>
      </c>
      <c r="Y165" s="2">
        <f>IF(R165="","",IF(COUNTIFS($C$5:$C$6004,R165,$O$5:$O$6004,"CONCLUÍDA",$N$5:$N$6004,"&gt;=-99")=0,"",_xlfn.MAXIFS($N$5:$N$6004,$C$5:$C$6004,R165,$O$5:$O$6004,"CONCLUÍDA")))</f>
        <v/>
      </c>
      <c r="Z165" s="2">
        <f>IF(R165="","",IF(COUNTIFS($C$5:$C$6004,R165,$O$5:$O$6004,"EM ANDAMENTO",$N$5:$N$6004,"&gt;=-99")=0,"",_xlfn.MAXIFS($N$5:$N$6004,$C$5:$C$6004,R165,$O$5:$O$6004,"EM ANDAMENTO")))</f>
        <v/>
      </c>
      <c r="AA165" s="2">
        <f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>
      <c r="B166" s="4" t="n">
        <v>13047010</v>
      </c>
      <c r="C166" s="4" t="inlineStr">
        <is>
          <t>ESTRUTURA EMBASAMENTO B</t>
        </is>
      </c>
      <c r="D166" s="4" t="inlineStr">
        <is>
          <t>Concreto viga invertida</t>
        </is>
      </c>
      <c r="E166" s="4" t="inlineStr">
        <is>
          <t>4° PAV. APTO GARDEN</t>
        </is>
      </c>
      <c r="F166" s="119" t="n">
        <v>45931</v>
      </c>
      <c r="G166" s="119" t="n">
        <v>45931</v>
      </c>
      <c r="H166" s="119" t="n">
        <v>46293</v>
      </c>
      <c r="I166" s="4" t="n">
        <v>100</v>
      </c>
      <c r="J166" s="4" t="n">
        <v>100</v>
      </c>
      <c r="K166" s="4" t="n">
        <v>0</v>
      </c>
      <c r="M166" s="2">
        <f>IF(C166="","",IFERROR(INDEX($S$5:$S$304,MATCH(C166,$R$5:$R$304,0))&amp;"","?"))</f>
        <v/>
      </c>
      <c r="N166" s="2">
        <f>IF(E166="","",IF(ISNUMBER(SEARCH("SUBSOLO",E166)),IFERROR(-VALUE(LEFT(E166,FIND("º",SUBSTITUTE(E166,"°","º"))-1)),-1),IF(LEFT(E166,6)="TÉRREO",0,IFERROR(VALUE(LEFT(E166,FIND("º",SUBSTITUTE(E166,"°","º"))-1)),""))))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REBOCO EXTERNO</t>
        </is>
      </c>
      <c r="S166" s="4" t="inlineStr">
        <is>
          <t>32</t>
        </is>
      </c>
      <c r="T166" s="4" t="inlineStr">
        <is>
          <t>Reboco externo</t>
        </is>
      </c>
      <c r="U166" s="4" t="inlineStr">
        <is>
          <t>SIM</t>
        </is>
      </c>
      <c r="V166" s="2">
        <f>IF(R166="","",COUNTIF($C$5:$C$6004,R166))</f>
        <v/>
      </c>
      <c r="W166" s="2">
        <f>IF(R166="","",COUNTIFS($C$5:$C$6004,R166,$O$5:$O$6004,"CONCLUÍDA"))</f>
        <v/>
      </c>
      <c r="X166" s="2">
        <f>IF(R166="","",COUNTIFS($C$5:$C$6004,R166,$O$5:$O$6004,"EM ANDAMENTO"))</f>
        <v/>
      </c>
      <c r="Y166" s="2">
        <f>IF(R166="","",IF(COUNTIFS($C$5:$C$6004,R166,$O$5:$O$6004,"CONCLUÍDA",$N$5:$N$6004,"&gt;=-99")=0,"",_xlfn.MAXIFS($N$5:$N$6004,$C$5:$C$6004,R166,$O$5:$O$6004,"CONCLUÍDA")))</f>
        <v/>
      </c>
      <c r="Z166" s="2">
        <f>IF(R166="","",IF(COUNTIFS($C$5:$C$6004,R166,$O$5:$O$6004,"EM ANDAMENTO",$N$5:$N$6004,"&gt;=-99")=0,"",_xlfn.MAXIFS($N$5:$N$6004,$C$5:$C$6004,R166,$O$5:$O$6004,"EM ANDAMENTO")))</f>
        <v/>
      </c>
      <c r="AA166" s="2">
        <f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>
      <c r="B167" s="4" t="n">
        <v>13047011</v>
      </c>
      <c r="C167" s="4" t="inlineStr">
        <is>
          <t>ESTRUTURA EMBASAMENTO B</t>
        </is>
      </c>
      <c r="D167" s="4" t="inlineStr">
        <is>
          <t>Protensão (puxada de cabos)</t>
        </is>
      </c>
      <c r="E167" s="4" t="inlineStr">
        <is>
          <t>4° PAV. APTO GARDEN</t>
        </is>
      </c>
      <c r="F167" s="119" t="n">
        <v>45940</v>
      </c>
      <c r="G167" s="119" t="n">
        <v>45940</v>
      </c>
      <c r="H167" s="119" t="n">
        <v>46293</v>
      </c>
      <c r="I167" s="4" t="n">
        <v>100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IF(E167="","",IF(ISNUMBER(SEARCH("SUBSOLO",E167)),IFERROR(-VALUE(LEFT(E167,FIND("º",SUBSTITUTE(E167,"°","º"))-1)),-1),IF(LEFT(E167,6)="TÉRREO",0,IFERROR(VALUE(LEFT(E167,FIND("º",SUBSTITUTE(E167,"°","º"))-1)),""))))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PRUMADA ELÉTRICA CABOS</t>
        </is>
      </c>
      <c r="S167" s="4" t="inlineStr">
        <is>
          <t>20</t>
        </is>
      </c>
      <c r="T167" s="4" t="inlineStr">
        <is>
          <t>Prumada elétrica cabos</t>
        </is>
      </c>
      <c r="U167" s="4" t="inlineStr">
        <is>
          <t>NÃO</t>
        </is>
      </c>
      <c r="V167" s="2">
        <f>IF(R167="","",COUNTIF($C$5:$C$6004,R167))</f>
        <v/>
      </c>
      <c r="W167" s="2">
        <f>IF(R167="","",COUNTIFS($C$5:$C$6004,R167,$O$5:$O$6004,"CONCLUÍDA"))</f>
        <v/>
      </c>
      <c r="X167" s="2">
        <f>IF(R167="","",COUNTIFS($C$5:$C$6004,R167,$O$5:$O$6004,"EM ANDAMENTO"))</f>
        <v/>
      </c>
      <c r="Y167" s="2">
        <f>IF(R167="","",IF(COUNTIFS($C$5:$C$6004,R167,$O$5:$O$6004,"CONCLUÍDA",$N$5:$N$6004,"&gt;=-99")=0,"",_xlfn.MAXIFS($N$5:$N$6004,$C$5:$C$6004,R167,$O$5:$O$6004,"CONCLUÍDA")))</f>
        <v/>
      </c>
      <c r="Z167" s="2">
        <f>IF(R167="","",IF(COUNTIFS($C$5:$C$6004,R167,$O$5:$O$6004,"EM ANDAMENTO",$N$5:$N$6004,"&gt;=-99")=0,"",_xlfn.MAXIFS($N$5:$N$6004,$C$5:$C$6004,R167,$O$5:$O$6004,"EM ANDAMENTO")))</f>
        <v/>
      </c>
      <c r="AA167" s="2">
        <f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>
      <c r="B168" s="4" t="n">
        <v>35344228</v>
      </c>
      <c r="C168" s="4" t="inlineStr">
        <is>
          <t>ESTRUTURA EMBASAMENTO B - MEDIÇÃO</t>
        </is>
      </c>
      <c r="D168" s="4" t="inlineStr">
        <is>
          <t>-</t>
        </is>
      </c>
      <c r="E168" s="4" t="inlineStr">
        <is>
          <t>4° PAV. APTO GARDEN</t>
        </is>
      </c>
      <c r="F168" s="119" t="n">
        <v>45888</v>
      </c>
      <c r="G168" s="119" t="n">
        <v>45940</v>
      </c>
      <c r="H168" s="119" t="n">
        <v>46293</v>
      </c>
      <c r="I168" s="4" t="n">
        <v>100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IF(E168="","",IF(ISNUMBER(SEARCH("SUBSOLO",E168)),IFERROR(-VALUE(LEFT(E168,FIND("º",SUBSTITUTE(E168,"°","º"))-1)),-1),IF(LEFT(E168,6)="TÉRREO",0,IFERROR(VALUE(LEFT(E168,FIND("º",SUBSTITUTE(E168,"°","º"))-1)),""))))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GERADOR</t>
        </is>
      </c>
      <c r="S168" s="4" t="inlineStr">
        <is>
          <t>20</t>
        </is>
      </c>
      <c r="T168" s="4" t="inlineStr">
        <is>
          <t>Gerador</t>
        </is>
      </c>
      <c r="U168" s="4" t="inlineStr">
        <is>
          <t>NÃO</t>
        </is>
      </c>
      <c r="V168" s="2">
        <f>IF(R168="","",COUNTIF($C$5:$C$6004,R168))</f>
        <v/>
      </c>
      <c r="W168" s="2">
        <f>IF(R168="","",COUNTIFS($C$5:$C$6004,R168,$O$5:$O$6004,"CONCLUÍDA"))</f>
        <v/>
      </c>
      <c r="X168" s="2">
        <f>IF(R168="","",COUNTIFS($C$5:$C$6004,R168,$O$5:$O$6004,"EM ANDAMENTO"))</f>
        <v/>
      </c>
      <c r="Y168" s="2">
        <f>IF(R168="","",IF(COUNTIFS($C$5:$C$6004,R168,$O$5:$O$6004,"CONCLUÍDA",$N$5:$N$6004,"&gt;=-99")=0,"",_xlfn.MAXIFS($N$5:$N$6004,$C$5:$C$6004,R168,$O$5:$O$6004,"CONCLUÍDA")))</f>
        <v/>
      </c>
      <c r="Z168" s="2">
        <f>IF(R168="","",IF(COUNTIFS($C$5:$C$6004,R168,$O$5:$O$6004,"EM ANDAMENTO",$N$5:$N$6004,"&gt;=-99")=0,"",_xlfn.MAXIFS($N$5:$N$6004,$C$5:$C$6004,R168,$O$5:$O$6004,"EM ANDAMENTO")))</f>
        <v/>
      </c>
      <c r="AA168" s="2">
        <f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>
      <c r="B169" s="4" t="n">
        <v>29471341</v>
      </c>
      <c r="C169" s="4" t="inlineStr">
        <is>
          <t>FUNDAÇÃO SUPERFICIAL - TRECHO C - N948</t>
        </is>
      </c>
      <c r="D169" s="4" t="inlineStr">
        <is>
          <t>-</t>
        </is>
      </c>
      <c r="E169" s="4" t="inlineStr">
        <is>
          <t>TÉRREO - GARAGENS - Parte 2</t>
        </is>
      </c>
      <c r="F169" s="119" t="n">
        <v>45901</v>
      </c>
      <c r="G169" s="119" t="n">
        <v>45912</v>
      </c>
      <c r="H169" s="119" t="n">
        <v>46293</v>
      </c>
      <c r="I169" s="4" t="n">
        <v>100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IF(E169="","",IF(ISNUMBER(SEARCH("SUBSOLO",E169)),IFERROR(-VALUE(LEFT(E169,FIND("º",SUBSTITUTE(E169,"°","º"))-1)),-1),IF(LEFT(E169,6)="TÉRREO",0,IFERROR(VALUE(LEFT(E169,FIND("º",SUBSTITUTE(E169,"°","º"))-1)),""))))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PASSEIO</t>
        </is>
      </c>
      <c r="S169" s="4" t="inlineStr">
        <is>
          <t>36</t>
        </is>
      </c>
      <c r="T169" s="4" t="inlineStr">
        <is>
          <t>Passeio</t>
        </is>
      </c>
      <c r="U169" s="4" t="inlineStr">
        <is>
          <t>NÃO</t>
        </is>
      </c>
      <c r="V169" s="2">
        <f>IF(R169="","",COUNTIF($C$5:$C$6004,R169))</f>
        <v/>
      </c>
      <c r="W169" s="2">
        <f>IF(R169="","",COUNTIFS($C$5:$C$6004,R169,$O$5:$O$6004,"CONCLUÍDA"))</f>
        <v/>
      </c>
      <c r="X169" s="2">
        <f>IF(R169="","",COUNTIFS($C$5:$C$6004,R169,$O$5:$O$6004,"EM ANDAMENTO"))</f>
        <v/>
      </c>
      <c r="Y169" s="2">
        <f>IF(R169="","",IF(COUNTIFS($C$5:$C$6004,R169,$O$5:$O$6004,"CONCLUÍDA",$N$5:$N$6004,"&gt;=-99")=0,"",_xlfn.MAXIFS($N$5:$N$6004,$C$5:$C$6004,R169,$O$5:$O$6004,"CONCLUÍDA")))</f>
        <v/>
      </c>
      <c r="Z169" s="2">
        <f>IF(R169="","",IF(COUNTIFS($C$5:$C$6004,R169,$O$5:$O$6004,"EM ANDAMENTO",$N$5:$N$6004,"&gt;=-99")=0,"",_xlfn.MAXIFS($N$5:$N$6004,$C$5:$C$6004,R169,$O$5:$O$6004,"EM ANDAMENTO")))</f>
        <v/>
      </c>
      <c r="AA169" s="2">
        <f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>
      <c r="B170" s="4" t="n">
        <v>13375009</v>
      </c>
      <c r="C170" s="4" t="inlineStr">
        <is>
          <t>FUNDAÇÃO SUPERFICIAL - TRECHO C - N948</t>
        </is>
      </c>
      <c r="D170" s="4" t="inlineStr">
        <is>
          <t>Escavação da V301, rebaixamento de terreno e limpeza de vigas</t>
        </is>
      </c>
      <c r="E170" s="4" t="inlineStr">
        <is>
          <t>TÉRREO - GARAGENS</t>
        </is>
      </c>
      <c r="F170" s="119" t="n">
        <v>45901</v>
      </c>
      <c r="G170" s="119" t="n">
        <v>45911</v>
      </c>
      <c r="H170" s="119" t="n">
        <v>46293</v>
      </c>
      <c r="I170" s="4" t="n">
        <v>100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IF(E170="","",IF(ISNUMBER(SEARCH("SUBSOLO",E170)),IFERROR(-VALUE(LEFT(E170,FIND("º",SUBSTITUTE(E170,"°","º"))-1)),-1),IF(LEFT(E170,6)="TÉRREO",0,IFERROR(VALUE(LEFT(E170,FIND("º",SUBSTITUTE(E170,"°","º"))-1)),""))))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HABITE-SE</t>
        </is>
      </c>
      <c r="S170" s="4" t="n"/>
      <c r="T170" s="4" t="inlineStr">
        <is>
          <t>Habite-se</t>
        </is>
      </c>
      <c r="U170" s="4" t="inlineStr">
        <is>
          <t>NÃO</t>
        </is>
      </c>
      <c r="V170" s="2">
        <f>IF(R170="","",COUNTIF($C$5:$C$6004,R170))</f>
        <v/>
      </c>
      <c r="W170" s="2">
        <f>IF(R170="","",COUNTIFS($C$5:$C$6004,R170,$O$5:$O$6004,"CONCLUÍDA"))</f>
        <v/>
      </c>
      <c r="X170" s="2">
        <f>IF(R170="","",COUNTIFS($C$5:$C$6004,R170,$O$5:$O$6004,"EM ANDAMENTO"))</f>
        <v/>
      </c>
      <c r="Y170" s="2">
        <f>IF(R170="","",IF(COUNTIFS($C$5:$C$6004,R170,$O$5:$O$6004,"CONCLUÍDA",$N$5:$N$6004,"&gt;=-99")=0,"",_xlfn.MAXIFS($N$5:$N$6004,$C$5:$C$6004,R170,$O$5:$O$6004,"CONCLUÍDA")))</f>
        <v/>
      </c>
      <c r="Z170" s="2">
        <f>IF(R170="","",IF(COUNTIFS($C$5:$C$6004,R170,$O$5:$O$6004,"EM ANDAMENTO",$N$5:$N$6004,"&gt;=-99")=0,"",_xlfn.MAXIFS($N$5:$N$6004,$C$5:$C$6004,R170,$O$5:$O$6004,"EM ANDAMENTO")))</f>
        <v/>
      </c>
      <c r="AA170" s="2">
        <f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>
      <c r="B171" s="4" t="n">
        <v>13375010</v>
      </c>
      <c r="C171" s="4" t="inlineStr">
        <is>
          <t>FUNDAÇÃO SUPERFICIAL - TRECHO C - N948</t>
        </is>
      </c>
      <c r="D171" s="4" t="inlineStr">
        <is>
          <t>Armação V301/V303/V318/V320/V322/V326/V328/V332/V330/V302</t>
        </is>
      </c>
      <c r="E171" s="4" t="inlineStr">
        <is>
          <t>TÉRREO - GARAGENS</t>
        </is>
      </c>
      <c r="F171" s="119" t="n">
        <v>45901</v>
      </c>
      <c r="G171" s="119" t="n">
        <v>45911</v>
      </c>
      <c r="H171" s="119" t="n">
        <v>46293</v>
      </c>
      <c r="I171" s="4" t="n">
        <v>100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IF(E171="","",IF(ISNUMBER(SEARCH("SUBSOLO",E171)),IFERROR(-VALUE(LEFT(E171,FIND("º",SUBSTITUTE(E171,"°","º"))-1)),-1),IF(LEFT(E171,6)="TÉRREO",0,IFERROR(VALUE(LEFT(E171,FIND("º",SUBSTITUTE(E171,"°","º"))-1)),""))))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AVCB</t>
        </is>
      </c>
      <c r="S171" s="4" t="n"/>
      <c r="T171" s="4" t="inlineStr">
        <is>
          <t>Avcb</t>
        </is>
      </c>
      <c r="U171" s="4" t="inlineStr">
        <is>
          <t>NÃO</t>
        </is>
      </c>
      <c r="V171" s="2">
        <f>IF(R171="","",COUNTIF($C$5:$C$6004,R171))</f>
        <v/>
      </c>
      <c r="W171" s="2">
        <f>IF(R171="","",COUNTIFS($C$5:$C$6004,R171,$O$5:$O$6004,"CONCLUÍDA"))</f>
        <v/>
      </c>
      <c r="X171" s="2">
        <f>IF(R171="","",COUNTIFS($C$5:$C$6004,R171,$O$5:$O$6004,"EM ANDAMENTO"))</f>
        <v/>
      </c>
      <c r="Y171" s="2">
        <f>IF(R171="","",IF(COUNTIFS($C$5:$C$6004,R171,$O$5:$O$6004,"CONCLUÍDA",$N$5:$N$6004,"&gt;=-99")=0,"",_xlfn.MAXIFS($N$5:$N$6004,$C$5:$C$6004,R171,$O$5:$O$6004,"CONCLUÍDA")))</f>
        <v/>
      </c>
      <c r="Z171" s="2">
        <f>IF(R171="","",IF(COUNTIFS($C$5:$C$6004,R171,$O$5:$O$6004,"EM ANDAMENTO",$N$5:$N$6004,"&gt;=-99")=0,"",_xlfn.MAXIFS($N$5:$N$6004,$C$5:$C$6004,R171,$O$5:$O$6004,"EM ANDAMENTO")))</f>
        <v/>
      </c>
      <c r="AA171" s="2">
        <f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>
      <c r="B172" s="4" t="n">
        <v>13375011</v>
      </c>
      <c r="C172" s="4" t="inlineStr">
        <is>
          <t>FUNDAÇÃO SUPERFICIAL - TRECHO C - N948</t>
        </is>
      </c>
      <c r="D172" s="4" t="inlineStr">
        <is>
          <t>Forma bloco BF17c</t>
        </is>
      </c>
      <c r="E172" s="4" t="inlineStr">
        <is>
          <t>TÉRREO - GARAGENS</t>
        </is>
      </c>
      <c r="F172" s="119" t="n">
        <v>45908</v>
      </c>
      <c r="G172" s="119" t="n">
        <v>45910</v>
      </c>
      <c r="H172" s="119" t="n">
        <v>46293</v>
      </c>
      <c r="I172" s="4" t="n">
        <v>100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IF(E172="","",IF(ISNUMBER(SEARCH("SUBSOLO",E172)),IFERROR(-VALUE(LEFT(E172,FIND("º",SUBSTITUTE(E172,"°","º"))-1)),-1),IF(LEFT(E172,6)="TÉRREO",0,IFERROR(VALUE(LEFT(E172,FIND("º",SUBSTITUTE(E172,"°","º"))-1)),""))))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LIMPEZA FACHADA</t>
        </is>
      </c>
      <c r="S172" s="4" t="inlineStr">
        <is>
          <t>37</t>
        </is>
      </c>
      <c r="T172" s="4" t="inlineStr">
        <is>
          <t>Limpeza fachada</t>
        </is>
      </c>
      <c r="U172" s="4" t="inlineStr">
        <is>
          <t>NÃO</t>
        </is>
      </c>
      <c r="V172" s="2">
        <f>IF(R172="","",COUNTIF($C$5:$C$6004,R172))</f>
        <v/>
      </c>
      <c r="W172" s="2">
        <f>IF(R172="","",COUNTIFS($C$5:$C$6004,R172,$O$5:$O$6004,"CONCLUÍDA"))</f>
        <v/>
      </c>
      <c r="X172" s="2">
        <f>IF(R172="","",COUNTIFS($C$5:$C$6004,R172,$O$5:$O$6004,"EM ANDAMENTO"))</f>
        <v/>
      </c>
      <c r="Y172" s="2">
        <f>IF(R172="","",IF(COUNTIFS($C$5:$C$6004,R172,$O$5:$O$6004,"CONCLUÍDA",$N$5:$N$6004,"&gt;=-99")=0,"",_xlfn.MAXIFS($N$5:$N$6004,$C$5:$C$6004,R172,$O$5:$O$6004,"CONCLUÍDA")))</f>
        <v/>
      </c>
      <c r="Z172" s="2">
        <f>IF(R172="","",IF(COUNTIFS($C$5:$C$6004,R172,$O$5:$O$6004,"EM ANDAMENTO",$N$5:$N$6004,"&gt;=-99")=0,"",_xlfn.MAXIFS($N$5:$N$6004,$C$5:$C$6004,R172,$O$5:$O$6004,"EM ANDAMENTO")))</f>
        <v/>
      </c>
      <c r="AA172" s="2">
        <f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>
      <c r="B173" s="4" t="n">
        <v>13375012</v>
      </c>
      <c r="C173" s="4" t="inlineStr">
        <is>
          <t>FUNDAÇÃO SUPERFICIAL - TRECHO C - N948</t>
        </is>
      </c>
      <c r="D173" s="4" t="inlineStr">
        <is>
          <t>Concretagem - nível 948,17</t>
        </is>
      </c>
      <c r="E173" s="4" t="inlineStr">
        <is>
          <t>TÉRREO - GARAGENS</t>
        </is>
      </c>
      <c r="F173" s="119" t="n">
        <v>45912</v>
      </c>
      <c r="G173" s="119" t="n">
        <v>45912</v>
      </c>
      <c r="H173" s="119" t="n">
        <v>46293</v>
      </c>
      <c r="I173" s="4" t="n">
        <v>100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IF(E173="","",IF(ISNUMBER(SEARCH("SUBSOLO",E173)),IFERROR(-VALUE(LEFT(E173,FIND("º",SUBSTITUTE(E173,"°","º"))-1)),-1),IF(LEFT(E173,6)="TÉRREO",0,IFERROR(VALUE(LEFT(E173,FIND("º",SUBSTITUTE(E173,"°","º"))-1)),""))))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ENTREGA OBRA / CONDOMÍNIO</t>
        </is>
      </c>
      <c r="S173" s="4" t="n"/>
      <c r="T173" s="4" t="inlineStr">
        <is>
          <t>Entrega obra / condomínio</t>
        </is>
      </c>
      <c r="U173" s="4" t="inlineStr">
        <is>
          <t>NÃO</t>
        </is>
      </c>
      <c r="V173" s="2">
        <f>IF(R173="","",COUNTIF($C$5:$C$6004,R173))</f>
        <v/>
      </c>
      <c r="W173" s="2">
        <f>IF(R173="","",COUNTIFS($C$5:$C$6004,R173,$O$5:$O$6004,"CONCLUÍDA"))</f>
        <v/>
      </c>
      <c r="X173" s="2">
        <f>IF(R173="","",COUNTIFS($C$5:$C$6004,R173,$O$5:$O$6004,"EM ANDAMENTO"))</f>
        <v/>
      </c>
      <c r="Y173" s="2">
        <f>IF(R173="","",IF(COUNTIFS($C$5:$C$6004,R173,$O$5:$O$6004,"CONCLUÍDA",$N$5:$N$6004,"&gt;=-99")=0,"",_xlfn.MAXIFS($N$5:$N$6004,$C$5:$C$6004,R173,$O$5:$O$6004,"CONCLUÍDA")))</f>
        <v/>
      </c>
      <c r="Z173" s="2">
        <f>IF(R173="","",IF(COUNTIFS($C$5:$C$6004,R173,$O$5:$O$6004,"EM ANDAMENTO",$N$5:$N$6004,"&gt;=-99")=0,"",_xlfn.MAXIFS($N$5:$N$6004,$C$5:$C$6004,R173,$O$5:$O$6004,"EM ANDAMENTO")))</f>
        <v/>
      </c>
      <c r="AA173" s="2">
        <f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>
      <c r="B174" s="4" t="n">
        <v>33059160</v>
      </c>
      <c r="C174" s="4" t="inlineStr">
        <is>
          <t>FUNDAÇÃO SUPERFICIAL - TRECHO A (ETAPA FINAL)</t>
        </is>
      </c>
      <c r="D174" s="4" t="inlineStr">
        <is>
          <t>-</t>
        </is>
      </c>
      <c r="E174" s="4" t="inlineStr">
        <is>
          <t>TÉRREO - GARAGENS</t>
        </is>
      </c>
      <c r="F174" s="119" t="n">
        <v>45901</v>
      </c>
      <c r="G174" s="119" t="n">
        <v>45912</v>
      </c>
      <c r="H174" s="119" t="n">
        <v>46293</v>
      </c>
      <c r="I174" s="4" t="n">
        <v>100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IF(E174="","",IF(ISNUMBER(SEARCH("SUBSOLO",E174)),IFERROR(-VALUE(LEFT(E174,FIND("º",SUBSTITUTE(E174,"°","º"))-1)),-1),IF(LEFT(E174,6)="TÉRREO",0,IFERROR(VALUE(LEFT(E174,FIND("º",SUBSTITUTE(E174,"°","º"))-1)),""))))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COBERTURA</t>
        </is>
      </c>
      <c r="S174" s="4" t="inlineStr">
        <is>
          <t>31</t>
        </is>
      </c>
      <c r="T174" s="4" t="inlineStr">
        <is>
          <t>Cobertura</t>
        </is>
      </c>
      <c r="U174" s="4" t="inlineStr">
        <is>
          <t>SIM</t>
        </is>
      </c>
      <c r="V174" s="2">
        <f>IF(R174="","",COUNTIF($C$5:$C$6004,R174))</f>
        <v/>
      </c>
      <c r="W174" s="2">
        <f>IF(R174="","",COUNTIFS($C$5:$C$6004,R174,$O$5:$O$6004,"CONCLUÍDA"))</f>
        <v/>
      </c>
      <c r="X174" s="2">
        <f>IF(R174="","",COUNTIFS($C$5:$C$6004,R174,$O$5:$O$6004,"EM ANDAMENTO"))</f>
        <v/>
      </c>
      <c r="Y174" s="2">
        <f>IF(R174="","",IF(COUNTIFS($C$5:$C$6004,R174,$O$5:$O$6004,"CONCLUÍDA",$N$5:$N$6004,"&gt;=-99")=0,"",_xlfn.MAXIFS($N$5:$N$6004,$C$5:$C$6004,R174,$O$5:$O$6004,"CONCLUÍDA")))</f>
        <v/>
      </c>
      <c r="Z174" s="2">
        <f>IF(R174="","",IF(COUNTIFS($C$5:$C$6004,R174,$O$5:$O$6004,"EM ANDAMENTO",$N$5:$N$6004,"&gt;=-99")=0,"",_xlfn.MAXIFS($N$5:$N$6004,$C$5:$C$6004,R174,$O$5:$O$6004,"EM ANDAMENTO")))</f>
        <v/>
      </c>
      <c r="AA174" s="2">
        <f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>
      <c r="B175" s="4" t="n">
        <v>13375013</v>
      </c>
      <c r="C175" s="4" t="inlineStr">
        <is>
          <t>FUNDAÇÃO SUPERFICIAL - TRECHO A (ETAPA FINAL)</t>
        </is>
      </c>
      <c r="D175" s="4" t="inlineStr">
        <is>
          <t>Armação - blocos B26/B105 - cintas C124, C139, C114, C141, C115, C143, C117, C131, CE1, C120, C121, C122, LE2, LE3, LE4 e LE5</t>
        </is>
      </c>
      <c r="E175" s="4" t="inlineStr">
        <is>
          <t>TÉRREO - GARAGENS</t>
        </is>
      </c>
      <c r="F175" s="119" t="n">
        <v>45901</v>
      </c>
      <c r="G175" s="119" t="n">
        <v>45904</v>
      </c>
      <c r="H175" s="119" t="n">
        <v>46293</v>
      </c>
      <c r="I175" s="4" t="n">
        <v>100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IF(E175="","",IF(ISNUMBER(SEARCH("SUBSOLO",E175)),IFERROR(-VALUE(LEFT(E175,FIND("º",SUBSTITUTE(E175,"°","º"))-1)),-1),IF(LEFT(E175,6)="TÉRREO",0,IFERROR(VALUE(LEFT(E175,FIND("º",SUBSTITUTE(E175,"°","º"))-1)),""))))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IF(R175="","",COUNTIF($C$5:$C$6004,R175))</f>
        <v/>
      </c>
      <c r="W175" s="2">
        <f>IF(R175="","",COUNTIFS($C$5:$C$6004,R175,$O$5:$O$6004,"CONCLUÍDA"))</f>
        <v/>
      </c>
      <c r="X175" s="2">
        <f>IF(R175="","",COUNTIFS($C$5:$C$6004,R175,$O$5:$O$6004,"EM ANDAMENTO"))</f>
        <v/>
      </c>
      <c r="Y175" s="2">
        <f>IF(R175="","",IF(COUNTIFS($C$5:$C$6004,R175,$O$5:$O$6004,"CONCLUÍDA",$N$5:$N$6004,"&gt;=-99")=0,"",_xlfn.MAXIFS($N$5:$N$6004,$C$5:$C$6004,R175,$O$5:$O$6004,"CONCLUÍDA")))</f>
        <v/>
      </c>
      <c r="Z175" s="2">
        <f>IF(R175="","",IF(COUNTIFS($C$5:$C$6004,R175,$O$5:$O$6004,"EM ANDAMENTO",$N$5:$N$6004,"&gt;=-99")=0,"",_xlfn.MAXIFS($N$5:$N$6004,$C$5:$C$6004,R175,$O$5:$O$6004,"EM ANDAMENTO")))</f>
        <v/>
      </c>
      <c r="AA175" s="2">
        <f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>
      <c r="B176" s="4" t="n">
        <v>13375014</v>
      </c>
      <c r="C176" s="4" t="inlineStr">
        <is>
          <t>FUNDAÇÃO SUPERFICIAL - TRECHO A (ETAPA FINAL)</t>
        </is>
      </c>
      <c r="D176" s="4" t="inlineStr">
        <is>
          <t>Escavação - C124</t>
        </is>
      </c>
      <c r="E176" s="4" t="inlineStr">
        <is>
          <t>TÉRREO - GARAGENS</t>
        </is>
      </c>
      <c r="F176" s="119" t="n">
        <v>45901</v>
      </c>
      <c r="G176" s="119" t="n">
        <v>45903</v>
      </c>
      <c r="H176" s="119" t="n">
        <v>46293</v>
      </c>
      <c r="I176" s="4" t="n">
        <v>100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IF(E176="","",IF(ISNUMBER(SEARCH("SUBSOLO",E176)),IFERROR(-VALUE(LEFT(E176,FIND("º",SUBSTITUTE(E176,"°","º"))-1)),-1),IF(LEFT(E176,6)="TÉRREO",0,IFERROR(VALUE(LEFT(E176,FIND("º",SUBSTITUTE(E176,"°","º"))-1)),""))))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IF(R176="","",COUNTIF($C$5:$C$6004,R176))</f>
        <v/>
      </c>
      <c r="W176" s="2">
        <f>IF(R176="","",COUNTIFS($C$5:$C$6004,R176,$O$5:$O$6004,"CONCLUÍDA"))</f>
        <v/>
      </c>
      <c r="X176" s="2">
        <f>IF(R176="","",COUNTIFS($C$5:$C$6004,R176,$O$5:$O$6004,"EM ANDAMENTO"))</f>
        <v/>
      </c>
      <c r="Y176" s="2">
        <f>IF(R176="","",IF(COUNTIFS($C$5:$C$6004,R176,$O$5:$O$6004,"CONCLUÍDA",$N$5:$N$6004,"&gt;=-99")=0,"",_xlfn.MAXIFS($N$5:$N$6004,$C$5:$C$6004,R176,$O$5:$O$6004,"CONCLUÍDA")))</f>
        <v/>
      </c>
      <c r="Z176" s="2">
        <f>IF(R176="","",IF(COUNTIFS($C$5:$C$6004,R176,$O$5:$O$6004,"EM ANDAMENTO",$N$5:$N$6004,"&gt;=-99")=0,"",_xlfn.MAXIFS($N$5:$N$6004,$C$5:$C$6004,R176,$O$5:$O$6004,"EM ANDAMENTO")))</f>
        <v/>
      </c>
      <c r="AA176" s="2">
        <f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>
      <c r="B177" s="4" t="n">
        <v>13375032</v>
      </c>
      <c r="C177" s="4" t="inlineStr">
        <is>
          <t>FUNDAÇÃO SUPERFICIAL - TRECHO A (ETAPA FINAL)</t>
        </is>
      </c>
      <c r="D177" s="4" t="inlineStr">
        <is>
          <t>Concreto - blocos B22, B23, B24, B25, B26, B105 - cintas C124, C139, C114, C141, C115, C143, C117, C131, CE1, C120, C121, C122, LE2, LE3, LE4 e LE5</t>
        </is>
      </c>
      <c r="E177" s="4" t="inlineStr">
        <is>
          <t>TÉRREO - GARAGENS</t>
        </is>
      </c>
      <c r="F177" s="119" t="n">
        <v>45905</v>
      </c>
      <c r="G177" s="119" t="n">
        <v>45905</v>
      </c>
      <c r="H177" s="119" t="n">
        <v>46293</v>
      </c>
      <c r="I177" s="4" t="n">
        <v>100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IF(E177="","",IF(ISNUMBER(SEARCH("SUBSOLO",E177)),IFERROR(-VALUE(LEFT(E177,FIND("º",SUBSTITUTE(E177,"°","º"))-1)),-1),IF(LEFT(E177,6)="TÉRREO",0,IFERROR(VALUE(LEFT(E177,FIND("º",SUBSTITUTE(E177,"°","º"))-1)),""))))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IF(R177="","",COUNTIF($C$5:$C$6004,R177))</f>
        <v/>
      </c>
      <c r="W177" s="2">
        <f>IF(R177="","",COUNTIFS($C$5:$C$6004,R177,$O$5:$O$6004,"CONCLUÍDA"))</f>
        <v/>
      </c>
      <c r="X177" s="2">
        <f>IF(R177="","",COUNTIFS($C$5:$C$6004,R177,$O$5:$O$6004,"EM ANDAMENTO"))</f>
        <v/>
      </c>
      <c r="Y177" s="2">
        <f>IF(R177="","",IF(COUNTIFS($C$5:$C$6004,R177,$O$5:$O$6004,"CONCLUÍDA",$N$5:$N$6004,"&gt;=-99")=0,"",_xlfn.MAXIFS($N$5:$N$6004,$C$5:$C$6004,R177,$O$5:$O$6004,"CONCLUÍDA")))</f>
        <v/>
      </c>
      <c r="Z177" s="2">
        <f>IF(R177="","",IF(COUNTIFS($C$5:$C$6004,R177,$O$5:$O$6004,"EM ANDAMENTO",$N$5:$N$6004,"&gt;=-99")=0,"",_xlfn.MAXIFS($N$5:$N$6004,$C$5:$C$6004,R177,$O$5:$O$6004,"EM ANDAMENTO")))</f>
        <v/>
      </c>
      <c r="AA177" s="2">
        <f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>
      <c r="B178" s="4" t="n">
        <v>13378499</v>
      </c>
      <c r="C178" s="4" t="inlineStr">
        <is>
          <t>FUNDAÇÃO SUPERFICIAL - TRECHO A (ETAPA FINAL)</t>
        </is>
      </c>
      <c r="D178" s="4" t="inlineStr">
        <is>
          <t>Reaterro dos blocos B701 e B702</t>
        </is>
      </c>
      <c r="E178" s="4" t="inlineStr">
        <is>
          <t>TÉRREO - GARAGENS</t>
        </is>
      </c>
      <c r="F178" s="119" t="n">
        <v>45901</v>
      </c>
      <c r="G178" s="119" t="n">
        <v>45905</v>
      </c>
      <c r="H178" s="119" t="n">
        <v>46293</v>
      </c>
      <c r="I178" s="4" t="n">
        <v>100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IF(E178="","",IF(ISNUMBER(SEARCH("SUBSOLO",E178)),IFERROR(-VALUE(LEFT(E178,FIND("º",SUBSTITUTE(E178,"°","º"))-1)),-1),IF(LEFT(E178,6)="TÉRREO",0,IFERROR(VALUE(LEFT(E178,FIND("º",SUBSTITUTE(E178,"°","º"))-1)),""))))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IF(R178="","",COUNTIF($C$5:$C$6004,R178))</f>
        <v/>
      </c>
      <c r="W178" s="2">
        <f>IF(R178="","",COUNTIFS($C$5:$C$6004,R178,$O$5:$O$6004,"CONCLUÍDA"))</f>
        <v/>
      </c>
      <c r="X178" s="2">
        <f>IF(R178="","",COUNTIFS($C$5:$C$6004,R178,$O$5:$O$6004,"EM ANDAMENTO"))</f>
        <v/>
      </c>
      <c r="Y178" s="2">
        <f>IF(R178="","",IF(COUNTIFS($C$5:$C$6004,R178,$O$5:$O$6004,"CONCLUÍDA",$N$5:$N$6004,"&gt;=-99")=0,"",_xlfn.MAXIFS($N$5:$N$6004,$C$5:$C$6004,R178,$O$5:$O$6004,"CONCLUÍDA")))</f>
        <v/>
      </c>
      <c r="Z178" s="2">
        <f>IF(R178="","",IF(COUNTIFS($C$5:$C$6004,R178,$O$5:$O$6004,"EM ANDAMENTO",$N$5:$N$6004,"&gt;=-99")=0,"",_xlfn.MAXIFS($N$5:$N$6004,$C$5:$C$6004,R178,$O$5:$O$6004,"EM ANDAMENTO")))</f>
        <v/>
      </c>
      <c r="AA178" s="2">
        <f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>
      <c r="B179" s="4" t="n">
        <v>13378500</v>
      </c>
      <c r="C179" s="4" t="inlineStr">
        <is>
          <t>FUNDAÇÃO SUPERFICIAL - TRECHO A (ETAPA FINAL)</t>
        </is>
      </c>
      <c r="D179" s="4" t="inlineStr">
        <is>
          <t>Forma - cintas CE, C102, C121, C122</t>
        </is>
      </c>
      <c r="E179" s="4" t="inlineStr">
        <is>
          <t>TÉRREO - GARAGENS</t>
        </is>
      </c>
      <c r="F179" s="119" t="n">
        <v>45908</v>
      </c>
      <c r="G179" s="119" t="n">
        <v>45911</v>
      </c>
      <c r="H179" s="119" t="n">
        <v>46293</v>
      </c>
      <c r="I179" s="4" t="n">
        <v>100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IF(E179="","",IF(ISNUMBER(SEARCH("SUBSOLO",E179)),IFERROR(-VALUE(LEFT(E179,FIND("º",SUBSTITUTE(E179,"°","º"))-1)),-1),IF(LEFT(E179,6)="TÉRREO",0,IFERROR(VALUE(LEFT(E179,FIND("º",SUBSTITUTE(E179,"°","º"))-1)),""))))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IF(R179="","",COUNTIF($C$5:$C$6004,R179))</f>
        <v/>
      </c>
      <c r="W179" s="2">
        <f>IF(R179="","",COUNTIFS($C$5:$C$6004,R179,$O$5:$O$6004,"CONCLUÍDA"))</f>
        <v/>
      </c>
      <c r="X179" s="2">
        <f>IF(R179="","",COUNTIFS($C$5:$C$6004,R179,$O$5:$O$6004,"EM ANDAMENTO"))</f>
        <v/>
      </c>
      <c r="Y179" s="2">
        <f>IF(R179="","",IF(COUNTIFS($C$5:$C$6004,R179,$O$5:$O$6004,"CONCLUÍDA",$N$5:$N$6004,"&gt;=-99")=0,"",_xlfn.MAXIFS($N$5:$N$6004,$C$5:$C$6004,R179,$O$5:$O$6004,"CONCLUÍDA")))</f>
        <v/>
      </c>
      <c r="Z179" s="2">
        <f>IF(R179="","",IF(COUNTIFS($C$5:$C$6004,R179,$O$5:$O$6004,"EM ANDAMENTO",$N$5:$N$6004,"&gt;=-99")=0,"",_xlfn.MAXIFS($N$5:$N$6004,$C$5:$C$6004,R179,$O$5:$O$6004,"EM ANDAMENTO")))</f>
        <v/>
      </c>
      <c r="AA179" s="2">
        <f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>
      <c r="B180" s="4" t="n">
        <v>13378501</v>
      </c>
      <c r="C180" s="4" t="inlineStr">
        <is>
          <t>FUNDAÇÃO SUPERFICIAL - TRECHO A (ETAPA FINAL)</t>
        </is>
      </c>
      <c r="D180" s="4" t="inlineStr">
        <is>
          <t>Concreto - viga invertida CE1, C120, C121, C122</t>
        </is>
      </c>
      <c r="E180" s="4" t="inlineStr">
        <is>
          <t>TÉRREO - GARAGENS</t>
        </is>
      </c>
      <c r="F180" s="119" t="n">
        <v>45912</v>
      </c>
      <c r="G180" s="119" t="n">
        <v>45912</v>
      </c>
      <c r="H180" s="119" t="n">
        <v>46293</v>
      </c>
      <c r="I180" s="4" t="n">
        <v>100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IF(E180="","",IF(ISNUMBER(SEARCH("SUBSOLO",E180)),IFERROR(-VALUE(LEFT(E180,FIND("º",SUBSTITUTE(E180,"°","º"))-1)),-1),IF(LEFT(E180,6)="TÉRREO",0,IFERROR(VALUE(LEFT(E180,FIND("º",SUBSTITUTE(E180,"°","º"))-1)),""))))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IF(R180="","",COUNTIF($C$5:$C$6004,R180))</f>
        <v/>
      </c>
      <c r="W180" s="2">
        <f>IF(R180="","",COUNTIFS($C$5:$C$6004,R180,$O$5:$O$6004,"CONCLUÍDA"))</f>
        <v/>
      </c>
      <c r="X180" s="2">
        <f>IF(R180="","",COUNTIFS($C$5:$C$6004,R180,$O$5:$O$6004,"EM ANDAMENTO"))</f>
        <v/>
      </c>
      <c r="Y180" s="2">
        <f>IF(R180="","",IF(COUNTIFS($C$5:$C$6004,R180,$O$5:$O$6004,"CONCLUÍDA",$N$5:$N$6004,"&gt;=-99")=0,"",_xlfn.MAXIFS($N$5:$N$6004,$C$5:$C$6004,R180,$O$5:$O$6004,"CONCLUÍDA")))</f>
        <v/>
      </c>
      <c r="Z180" s="2">
        <f>IF(R180="","",IF(COUNTIFS($C$5:$C$6004,R180,$O$5:$O$6004,"EM ANDAMENTO",$N$5:$N$6004,"&gt;=-99")=0,"",_xlfn.MAXIFS($N$5:$N$6004,$C$5:$C$6004,R180,$O$5:$O$6004,"EM ANDAMENTO")))</f>
        <v/>
      </c>
      <c r="AA180" s="2">
        <f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>
      <c r="B181" s="4" t="n">
        <v>33059091</v>
      </c>
      <c r="C181" s="4" t="inlineStr">
        <is>
          <t>ESTRUTURA TORRE A</t>
        </is>
      </c>
      <c r="D181" s="4" t="inlineStr">
        <is>
          <t>-</t>
        </is>
      </c>
      <c r="E181" s="4" t="inlineStr">
        <is>
          <t>2º PAV. GARAGEM.</t>
        </is>
      </c>
      <c r="F181" s="119" t="n">
        <v>45901</v>
      </c>
      <c r="G181" s="119" t="n">
        <v>45945</v>
      </c>
      <c r="H181" s="119" t="n">
        <v>46293</v>
      </c>
      <c r="I181" s="4" t="n">
        <v>100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IF(E181="","",IF(ISNUMBER(SEARCH("SUBSOLO",E181)),IFERROR(-VALUE(LEFT(E181,FIND("º",SUBSTITUTE(E181,"°","º"))-1)),-1),IF(LEFT(E181,6)="TÉRREO",0,IFERROR(VALUE(LEFT(E181,FIND("º",SUBSTITUTE(E181,"°","º"))-1)),""))))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IF(R181="","",COUNTIF($C$5:$C$6004,R181))</f>
        <v/>
      </c>
      <c r="W181" s="2">
        <f>IF(R181="","",COUNTIFS($C$5:$C$6004,R181,$O$5:$O$6004,"CONCLUÍDA"))</f>
        <v/>
      </c>
      <c r="X181" s="2">
        <f>IF(R181="","",COUNTIFS($C$5:$C$6004,R181,$O$5:$O$6004,"EM ANDAMENTO"))</f>
        <v/>
      </c>
      <c r="Y181" s="2">
        <f>IF(R181="","",IF(COUNTIFS($C$5:$C$6004,R181,$O$5:$O$6004,"CONCLUÍDA",$N$5:$N$6004,"&gt;=-99")=0,"",_xlfn.MAXIFS($N$5:$N$6004,$C$5:$C$6004,R181,$O$5:$O$6004,"CONCLUÍDA")))</f>
        <v/>
      </c>
      <c r="Z181" s="2">
        <f>IF(R181="","",IF(COUNTIFS($C$5:$C$6004,R181,$O$5:$O$6004,"EM ANDAMENTO",$N$5:$N$6004,"&gt;=-99")=0,"",_xlfn.MAXIFS($N$5:$N$6004,$C$5:$C$6004,R181,$O$5:$O$6004,"EM ANDAMENTO")))</f>
        <v/>
      </c>
      <c r="AA181" s="2">
        <f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>
      <c r="B182" s="4" t="n">
        <v>13386571</v>
      </c>
      <c r="C182" s="4" t="inlineStr">
        <is>
          <t>ESTRUTURA TORRE A</t>
        </is>
      </c>
      <c r="D182" s="4" t="inlineStr">
        <is>
          <t>Armação - pilares P2, P15, P10, P13 e P17</t>
        </is>
      </c>
      <c r="E182" s="4" t="inlineStr">
        <is>
          <t>2º PAV. GARAGEM.</t>
        </is>
      </c>
      <c r="F182" s="119" t="n">
        <v>45901</v>
      </c>
      <c r="G182" s="119" t="n">
        <v>45905</v>
      </c>
      <c r="H182" s="119" t="n">
        <v>46293</v>
      </c>
      <c r="I182" s="4" t="n">
        <v>100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IF(E182="","",IF(ISNUMBER(SEARCH("SUBSOLO",E182)),IFERROR(-VALUE(LEFT(E182,FIND("º",SUBSTITUTE(E182,"°","º"))-1)),-1),IF(LEFT(E182,6)="TÉRREO",0,IFERROR(VALUE(LEFT(E182,FIND("º",SUBSTITUTE(E182,"°","º"))-1)),""))))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IF(R182="","",COUNTIF($C$5:$C$6004,R182))</f>
        <v/>
      </c>
      <c r="W182" s="2">
        <f>IF(R182="","",COUNTIFS($C$5:$C$6004,R182,$O$5:$O$6004,"CONCLUÍDA"))</f>
        <v/>
      </c>
      <c r="X182" s="2">
        <f>IF(R182="","",COUNTIFS($C$5:$C$6004,R182,$O$5:$O$6004,"EM ANDAMENTO"))</f>
        <v/>
      </c>
      <c r="Y182" s="2">
        <f>IF(R182="","",IF(COUNTIFS($C$5:$C$6004,R182,$O$5:$O$6004,"CONCLUÍDA",$N$5:$N$6004,"&gt;=-99")=0,"",_xlfn.MAXIFS($N$5:$N$6004,$C$5:$C$6004,R182,$O$5:$O$6004,"CONCLUÍDA")))</f>
        <v/>
      </c>
      <c r="Z182" s="2">
        <f>IF(R182="","",IF(COUNTIFS($C$5:$C$6004,R182,$O$5:$O$6004,"EM ANDAMENTO",$N$5:$N$6004,"&gt;=-99")=0,"",_xlfn.MAXIFS($N$5:$N$6004,$C$5:$C$6004,R182,$O$5:$O$6004,"EM ANDAMENTO")))</f>
        <v/>
      </c>
      <c r="AA182" s="2">
        <f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>
      <c r="B183" s="4" t="n">
        <v>13386572</v>
      </c>
      <c r="C183" s="4" t="inlineStr">
        <is>
          <t>ESTRUTURA TORRE A</t>
        </is>
      </c>
      <c r="D183" s="4" t="inlineStr">
        <is>
          <t>Armação - pilares P9, P16, P12, P08, P11, P1, P14, P20, P103, P21</t>
        </is>
      </c>
      <c r="E183" s="4" t="inlineStr">
        <is>
          <t>2º PAV. GARAGEM.</t>
        </is>
      </c>
      <c r="F183" s="119" t="n">
        <v>45908</v>
      </c>
      <c r="G183" s="119" t="n">
        <v>45912</v>
      </c>
      <c r="H183" s="119" t="n">
        <v>46293</v>
      </c>
      <c r="I183" s="4" t="n">
        <v>100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IF(E183="","",IF(ISNUMBER(SEARCH("SUBSOLO",E183)),IFERROR(-VALUE(LEFT(E183,FIND("º",SUBSTITUTE(E183,"°","º"))-1)),-1),IF(LEFT(E183,6)="TÉRREO",0,IFERROR(VALUE(LEFT(E183,FIND("º",SUBSTITUTE(E183,"°","º"))-1)),""))))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IF(R183="","",COUNTIF($C$5:$C$6004,R183))</f>
        <v/>
      </c>
      <c r="W183" s="2">
        <f>IF(R183="","",COUNTIFS($C$5:$C$6004,R183,$O$5:$O$6004,"CONCLUÍDA"))</f>
        <v/>
      </c>
      <c r="X183" s="2">
        <f>IF(R183="","",COUNTIFS($C$5:$C$6004,R183,$O$5:$O$6004,"EM ANDAMENTO"))</f>
        <v/>
      </c>
      <c r="Y183" s="2">
        <f>IF(R183="","",IF(COUNTIFS($C$5:$C$6004,R183,$O$5:$O$6004,"CONCLUÍDA",$N$5:$N$6004,"&gt;=-99")=0,"",_xlfn.MAXIFS($N$5:$N$6004,$C$5:$C$6004,R183,$O$5:$O$6004,"CONCLUÍDA")))</f>
        <v/>
      </c>
      <c r="Z183" s="2">
        <f>IF(R183="","",IF(COUNTIFS($C$5:$C$6004,R183,$O$5:$O$6004,"EM ANDAMENTO",$N$5:$N$6004,"&gt;=-99")=0,"",_xlfn.MAXIFS($N$5:$N$6004,$C$5:$C$6004,R183,$O$5:$O$6004,"EM ANDAMENTO")))</f>
        <v/>
      </c>
      <c r="AA183" s="2">
        <f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>
      <c r="B184" s="4" t="n">
        <v>13386573</v>
      </c>
      <c r="C184" s="4" t="inlineStr">
        <is>
          <t>ESTRUTURA TORRE A</t>
        </is>
      </c>
      <c r="D184" s="4" t="inlineStr">
        <is>
          <t>Armação - pilares P6, P18, P26, P7, P19, P22, P23, P24, P25 e P26</t>
        </is>
      </c>
      <c r="E184" s="4" t="inlineStr">
        <is>
          <t>2º PAV. GARAGEM.</t>
        </is>
      </c>
      <c r="F184" s="119" t="n">
        <v>45915</v>
      </c>
      <c r="G184" s="119" t="n">
        <v>45919</v>
      </c>
      <c r="H184" s="119" t="n">
        <v>46293</v>
      </c>
      <c r="I184" s="4" t="n">
        <v>100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IF(E184="","",IF(ISNUMBER(SEARCH("SUBSOLO",E184)),IFERROR(-VALUE(LEFT(E184,FIND("º",SUBSTITUTE(E184,"°","º"))-1)),-1),IF(LEFT(E184,6)="TÉRREO",0,IFERROR(VALUE(LEFT(E184,FIND("º",SUBSTITUTE(E184,"°","º"))-1)),""))))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IF(R184="","",COUNTIF($C$5:$C$6004,R184))</f>
        <v/>
      </c>
      <c r="W184" s="2">
        <f>IF(R184="","",COUNTIFS($C$5:$C$6004,R184,$O$5:$O$6004,"CONCLUÍDA"))</f>
        <v/>
      </c>
      <c r="X184" s="2">
        <f>IF(R184="","",COUNTIFS($C$5:$C$6004,R184,$O$5:$O$6004,"EM ANDAMENTO"))</f>
        <v/>
      </c>
      <c r="Y184" s="2">
        <f>IF(R184="","",IF(COUNTIFS($C$5:$C$6004,R184,$O$5:$O$6004,"CONCLUÍDA",$N$5:$N$6004,"&gt;=-99")=0,"",_xlfn.MAXIFS($N$5:$N$6004,$C$5:$C$6004,R184,$O$5:$O$6004,"CONCLUÍDA")))</f>
        <v/>
      </c>
      <c r="Z184" s="2">
        <f>IF(R184="","",IF(COUNTIFS($C$5:$C$6004,R184,$O$5:$O$6004,"EM ANDAMENTO",$N$5:$N$6004,"&gt;=-99")=0,"",_xlfn.MAXIFS($N$5:$N$6004,$C$5:$C$6004,R184,$O$5:$O$6004,"EM ANDAMENTO")))</f>
        <v/>
      </c>
      <c r="AA184" s="2">
        <f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>
      <c r="B185" s="4" t="n">
        <v>13386574</v>
      </c>
      <c r="C185" s="4" t="inlineStr">
        <is>
          <t>ESTRUTURA TORRE A</t>
        </is>
      </c>
      <c r="D185" s="4" t="inlineStr">
        <is>
          <t>Armação - pilares P106, P112, P111, P110, P109, P108 e P107</t>
        </is>
      </c>
      <c r="E185" s="4" t="inlineStr">
        <is>
          <t>2º PAV. GARAGEM.</t>
        </is>
      </c>
      <c r="F185" s="119" t="n">
        <v>45922</v>
      </c>
      <c r="G185" s="119" t="n">
        <v>45924</v>
      </c>
      <c r="H185" s="119" t="n">
        <v>46293</v>
      </c>
      <c r="I185" s="4" t="n">
        <v>100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IF(E185="","",IF(ISNUMBER(SEARCH("SUBSOLO",E185)),IFERROR(-VALUE(LEFT(E185,FIND("º",SUBSTITUTE(E185,"°","º"))-1)),-1),IF(LEFT(E185,6)="TÉRREO",0,IFERROR(VALUE(LEFT(E185,FIND("º",SUBSTITUTE(E185,"°","º"))-1)),""))))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IF(R185="","",COUNTIF($C$5:$C$6004,R185))</f>
        <v/>
      </c>
      <c r="W185" s="2">
        <f>IF(R185="","",COUNTIFS($C$5:$C$6004,R185,$O$5:$O$6004,"CONCLUÍDA"))</f>
        <v/>
      </c>
      <c r="X185" s="2">
        <f>IF(R185="","",COUNTIFS($C$5:$C$6004,R185,$O$5:$O$6004,"EM ANDAMENTO"))</f>
        <v/>
      </c>
      <c r="Y185" s="2">
        <f>IF(R185="","",IF(COUNTIFS($C$5:$C$6004,R185,$O$5:$O$6004,"CONCLUÍDA",$N$5:$N$6004,"&gt;=-99")=0,"",_xlfn.MAXIFS($N$5:$N$6004,$C$5:$C$6004,R185,$O$5:$O$6004,"CONCLUÍDA")))</f>
        <v/>
      </c>
      <c r="Z185" s="2">
        <f>IF(R185="","",IF(COUNTIFS($C$5:$C$6004,R185,$O$5:$O$6004,"EM ANDAMENTO",$N$5:$N$6004,"&gt;=-99")=0,"",_xlfn.MAXIFS($N$5:$N$6004,$C$5:$C$6004,R185,$O$5:$O$6004,"EM ANDAMENTO")))</f>
        <v/>
      </c>
      <c r="AA185" s="2">
        <f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>
      <c r="B186" s="4" t="n">
        <v>13386575</v>
      </c>
      <c r="C186" s="4" t="inlineStr">
        <is>
          <t>ESTRUTURA TORRE A</t>
        </is>
      </c>
      <c r="D186" s="4" t="inlineStr">
        <is>
          <t>Forma - pilares P2, P15, P10, P13 e P17</t>
        </is>
      </c>
      <c r="E186" s="4" t="inlineStr">
        <is>
          <t>2º PAV. GARAGEM.</t>
        </is>
      </c>
      <c r="F186" s="119" t="n">
        <v>45908</v>
      </c>
      <c r="G186" s="119" t="n">
        <v>45909</v>
      </c>
      <c r="H186" s="119" t="n">
        <v>46293</v>
      </c>
      <c r="I186" s="4" t="n">
        <v>100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IF(E186="","",IF(ISNUMBER(SEARCH("SUBSOLO",E186)),IFERROR(-VALUE(LEFT(E186,FIND("º",SUBSTITUTE(E186,"°","º"))-1)),-1),IF(LEFT(E186,6)="TÉRREO",0,IFERROR(VALUE(LEFT(E186,FIND("º",SUBSTITUTE(E186,"°","º"))-1)),""))))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IF(R186="","",COUNTIF($C$5:$C$6004,R186))</f>
        <v/>
      </c>
      <c r="W186" s="2">
        <f>IF(R186="","",COUNTIFS($C$5:$C$6004,R186,$O$5:$O$6004,"CONCLUÍDA"))</f>
        <v/>
      </c>
      <c r="X186" s="2">
        <f>IF(R186="","",COUNTIFS($C$5:$C$6004,R186,$O$5:$O$6004,"EM ANDAMENTO"))</f>
        <v/>
      </c>
      <c r="Y186" s="2">
        <f>IF(R186="","",IF(COUNTIFS($C$5:$C$6004,R186,$O$5:$O$6004,"CONCLUÍDA",$N$5:$N$6004,"&gt;=-99")=0,"",_xlfn.MAXIFS($N$5:$N$6004,$C$5:$C$6004,R186,$O$5:$O$6004,"CONCLUÍDA")))</f>
        <v/>
      </c>
      <c r="Z186" s="2">
        <f>IF(R186="","",IF(COUNTIFS($C$5:$C$6004,R186,$O$5:$O$6004,"EM ANDAMENTO",$N$5:$N$6004,"&gt;=-99")=0,"",_xlfn.MAXIFS($N$5:$N$6004,$C$5:$C$6004,R186,$O$5:$O$6004,"EM ANDAMENTO")))</f>
        <v/>
      </c>
      <c r="AA186" s="2">
        <f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>
      <c r="B187" s="4" t="n">
        <v>13386576</v>
      </c>
      <c r="C187" s="4" t="inlineStr">
        <is>
          <t>ESTRUTURA TORRE A</t>
        </is>
      </c>
      <c r="D187" s="4" t="inlineStr">
        <is>
          <t>Concreto - pilares P2, P15, P10, P13 e P17</t>
        </is>
      </c>
      <c r="E187" s="4" t="inlineStr">
        <is>
          <t>2º PAV. GARAGEM.</t>
        </is>
      </c>
      <c r="F187" s="119" t="n">
        <v>45912</v>
      </c>
      <c r="G187" s="119" t="n">
        <v>45912</v>
      </c>
      <c r="H187" s="119" t="n">
        <v>46293</v>
      </c>
      <c r="I187" s="4" t="n">
        <v>100</v>
      </c>
      <c r="J187" s="4" t="n">
        <v>100</v>
      </c>
      <c r="K187" s="4" t="n">
        <v>100</v>
      </c>
      <c r="M187" s="2">
        <f>IF(C187="","",IFERROR(INDEX($S$5:$S$304,MATCH(C187,$R$5:$R$304,0))&amp;"","?"))</f>
        <v/>
      </c>
      <c r="N187" s="2">
        <f>IF(E187="","",IF(ISNUMBER(SEARCH("SUBSOLO",E187)),IFERROR(-VALUE(LEFT(E187,FIND("º",SUBSTITUTE(E187,"°","º"))-1)),-1),IF(LEFT(E187,6)="TÉRREO",0,IFERROR(VALUE(LEFT(E187,FIND("º",SUBSTITUTE(E187,"°","º"))-1)),""))))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IF(R187="","",COUNTIF($C$5:$C$6004,R187))</f>
        <v/>
      </c>
      <c r="W187" s="2">
        <f>IF(R187="","",COUNTIFS($C$5:$C$6004,R187,$O$5:$O$6004,"CONCLUÍDA"))</f>
        <v/>
      </c>
      <c r="X187" s="2">
        <f>IF(R187="","",COUNTIFS($C$5:$C$6004,R187,$O$5:$O$6004,"EM ANDAMENTO"))</f>
        <v/>
      </c>
      <c r="Y187" s="2">
        <f>IF(R187="","",IF(COUNTIFS($C$5:$C$6004,R187,$O$5:$O$6004,"CONCLUÍDA",$N$5:$N$6004,"&gt;=-99")=0,"",_xlfn.MAXIFS($N$5:$N$6004,$C$5:$C$6004,R187,$O$5:$O$6004,"CONCLUÍDA")))</f>
        <v/>
      </c>
      <c r="Z187" s="2">
        <f>IF(R187="","",IF(COUNTIFS($C$5:$C$6004,R187,$O$5:$O$6004,"EM ANDAMENTO",$N$5:$N$6004,"&gt;=-99")=0,"",_xlfn.MAXIFS($N$5:$N$6004,$C$5:$C$6004,R187,$O$5:$O$6004,"EM ANDAMENTO")))</f>
        <v/>
      </c>
      <c r="AA187" s="2">
        <f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>
      <c r="B188" s="4" t="n">
        <v>13386587</v>
      </c>
      <c r="C188" s="4" t="inlineStr">
        <is>
          <t>ESTRUTURA TORRE A</t>
        </is>
      </c>
      <c r="D188" s="4" t="inlineStr">
        <is>
          <t>Forma - pilares P9, P16, P12, P08, P11, P1, P14, P20, P103, P21</t>
        </is>
      </c>
      <c r="E188" s="4" t="inlineStr">
        <is>
          <t>2º PAV. GARAGEM.</t>
        </is>
      </c>
      <c r="F188" s="119" t="n">
        <v>45910</v>
      </c>
      <c r="G188" s="119" t="n">
        <v>45915</v>
      </c>
      <c r="H188" s="119" t="n">
        <v>46293</v>
      </c>
      <c r="I188" s="4" t="n">
        <v>100</v>
      </c>
      <c r="J188" s="4" t="n">
        <v>100</v>
      </c>
      <c r="K188" s="4" t="n">
        <v>100</v>
      </c>
      <c r="M188" s="2">
        <f>IF(C188="","",IFERROR(INDEX($S$5:$S$304,MATCH(C188,$R$5:$R$304,0))&amp;"","?"))</f>
        <v/>
      </c>
      <c r="N188" s="2">
        <f>IF(E188="","",IF(ISNUMBER(SEARCH("SUBSOLO",E188)),IFERROR(-VALUE(LEFT(E188,FIND("º",SUBSTITUTE(E188,"°","º"))-1)),-1),IF(LEFT(E188,6)="TÉRREO",0,IFERROR(VALUE(LEFT(E188,FIND("º",SUBSTITUTE(E188,"°","º"))-1)),""))))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IF(R188="","",COUNTIF($C$5:$C$6004,R188))</f>
        <v/>
      </c>
      <c r="W188" s="2">
        <f>IF(R188="","",COUNTIFS($C$5:$C$6004,R188,$O$5:$O$6004,"CONCLUÍDA"))</f>
        <v/>
      </c>
      <c r="X188" s="2">
        <f>IF(R188="","",COUNTIFS($C$5:$C$6004,R188,$O$5:$O$6004,"EM ANDAMENTO"))</f>
        <v/>
      </c>
      <c r="Y188" s="2">
        <f>IF(R188="","",IF(COUNTIFS($C$5:$C$6004,R188,$O$5:$O$6004,"CONCLUÍDA",$N$5:$N$6004,"&gt;=-99")=0,"",_xlfn.MAXIFS($N$5:$N$6004,$C$5:$C$6004,R188,$O$5:$O$6004,"CONCLUÍDA")))</f>
        <v/>
      </c>
      <c r="Z188" s="2">
        <f>IF(R188="","",IF(COUNTIFS($C$5:$C$6004,R188,$O$5:$O$6004,"EM ANDAMENTO",$N$5:$N$6004,"&gt;=-99")=0,"",_xlfn.MAXIFS($N$5:$N$6004,$C$5:$C$6004,R188,$O$5:$O$6004,"EM ANDAMENTO")))</f>
        <v/>
      </c>
      <c r="AA188" s="2">
        <f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>
      <c r="B189" s="4" t="n">
        <v>13386592</v>
      </c>
      <c r="C189" s="4" t="inlineStr">
        <is>
          <t>ESTRUTURA TORRE A</t>
        </is>
      </c>
      <c r="D189" s="4" t="inlineStr">
        <is>
          <t>Concreto - pilares P9, P16, P12, P08, P11, P1, P14, P20, P103, P21</t>
        </is>
      </c>
      <c r="E189" s="4" t="inlineStr">
        <is>
          <t>2º PAV. GARAGEM.</t>
        </is>
      </c>
      <c r="F189" s="119" t="n">
        <v>45918</v>
      </c>
      <c r="G189" s="119" t="n">
        <v>45918</v>
      </c>
      <c r="H189" s="119" t="n">
        <v>46293</v>
      </c>
      <c r="I189" s="4" t="n">
        <v>100</v>
      </c>
      <c r="J189" s="4" t="n">
        <v>100</v>
      </c>
      <c r="K189" s="4" t="n">
        <v>100</v>
      </c>
      <c r="M189" s="2">
        <f>IF(C189="","",IFERROR(INDEX($S$5:$S$304,MATCH(C189,$R$5:$R$304,0))&amp;"","?"))</f>
        <v/>
      </c>
      <c r="N189" s="2">
        <f>IF(E189="","",IF(ISNUMBER(SEARCH("SUBSOLO",E189)),IFERROR(-VALUE(LEFT(E189,FIND("º",SUBSTITUTE(E189,"°","º"))-1)),-1),IF(LEFT(E189,6)="TÉRREO",0,IFERROR(VALUE(LEFT(E189,FIND("º",SUBSTITUTE(E189,"°","º"))-1)),""))))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IF(R189="","",COUNTIF($C$5:$C$6004,R189))</f>
        <v/>
      </c>
      <c r="W189" s="2">
        <f>IF(R189="","",COUNTIFS($C$5:$C$6004,R189,$O$5:$O$6004,"CONCLUÍDA"))</f>
        <v/>
      </c>
      <c r="X189" s="2">
        <f>IF(R189="","",COUNTIFS($C$5:$C$6004,R189,$O$5:$O$6004,"EM ANDAMENTO"))</f>
        <v/>
      </c>
      <c r="Y189" s="2">
        <f>IF(R189="","",IF(COUNTIFS($C$5:$C$6004,R189,$O$5:$O$6004,"CONCLUÍDA",$N$5:$N$6004,"&gt;=-99")=0,"",_xlfn.MAXIFS($N$5:$N$6004,$C$5:$C$6004,R189,$O$5:$O$6004,"CONCLUÍDA")))</f>
        <v/>
      </c>
      <c r="Z189" s="2">
        <f>IF(R189="","",IF(COUNTIFS($C$5:$C$6004,R189,$O$5:$O$6004,"EM ANDAMENTO",$N$5:$N$6004,"&gt;=-99")=0,"",_xlfn.MAXIFS($N$5:$N$6004,$C$5:$C$6004,R189,$O$5:$O$6004,"EM ANDAMENTO")))</f>
        <v/>
      </c>
      <c r="AA189" s="2">
        <f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>
      <c r="B190" s="4" t="n">
        <v>13386593</v>
      </c>
      <c r="C190" s="4" t="inlineStr">
        <is>
          <t>ESTRUTURA TORRE A</t>
        </is>
      </c>
      <c r="D190" s="4" t="inlineStr">
        <is>
          <t>Forma - pilares P6, P18, P26, P7, P19, P22, P23, P24, P25 e P26</t>
        </is>
      </c>
      <c r="E190" s="4" t="inlineStr">
        <is>
          <t>2º PAV. GARAGEM.</t>
        </is>
      </c>
      <c r="F190" s="119" t="n">
        <v>45923</v>
      </c>
      <c r="G190" s="119" t="n">
        <v>45926</v>
      </c>
      <c r="H190" s="119" t="n">
        <v>46293</v>
      </c>
      <c r="I190" s="4" t="n">
        <v>100</v>
      </c>
      <c r="J190" s="4" t="n">
        <v>100</v>
      </c>
      <c r="K190" s="4" t="n">
        <v>100</v>
      </c>
      <c r="M190" s="2">
        <f>IF(C190="","",IFERROR(INDEX($S$5:$S$304,MATCH(C190,$R$5:$R$304,0))&amp;"","?"))</f>
        <v/>
      </c>
      <c r="N190" s="2">
        <f>IF(E190="","",IF(ISNUMBER(SEARCH("SUBSOLO",E190)),IFERROR(-VALUE(LEFT(E190,FIND("º",SUBSTITUTE(E190,"°","º"))-1)),-1),IF(LEFT(E190,6)="TÉRREO",0,IFERROR(VALUE(LEFT(E190,FIND("º",SUBSTITUTE(E190,"°","º"))-1)),""))))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IF(R190="","",COUNTIF($C$5:$C$6004,R190))</f>
        <v/>
      </c>
      <c r="W190" s="2">
        <f>IF(R190="","",COUNTIFS($C$5:$C$6004,R190,$O$5:$O$6004,"CONCLUÍDA"))</f>
        <v/>
      </c>
      <c r="X190" s="2">
        <f>IF(R190="","",COUNTIFS($C$5:$C$6004,R190,$O$5:$O$6004,"EM ANDAMENTO"))</f>
        <v/>
      </c>
      <c r="Y190" s="2">
        <f>IF(R190="","",IF(COUNTIFS($C$5:$C$6004,R190,$O$5:$O$6004,"CONCLUÍDA",$N$5:$N$6004,"&gt;=-99")=0,"",_xlfn.MAXIFS($N$5:$N$6004,$C$5:$C$6004,R190,$O$5:$O$6004,"CONCLUÍDA")))</f>
        <v/>
      </c>
      <c r="Z190" s="2">
        <f>IF(R190="","",IF(COUNTIFS($C$5:$C$6004,R190,$O$5:$O$6004,"EM ANDAMENTO",$N$5:$N$6004,"&gt;=-99")=0,"",_xlfn.MAXIFS($N$5:$N$6004,$C$5:$C$6004,R190,$O$5:$O$6004,"EM ANDAMENTO")))</f>
        <v/>
      </c>
      <c r="AA190" s="2">
        <f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>
      <c r="B191" s="4" t="n">
        <v>13386599</v>
      </c>
      <c r="C191" s="4" t="inlineStr">
        <is>
          <t>ESTRUTURA TORRE A</t>
        </is>
      </c>
      <c r="D191" s="4" t="inlineStr">
        <is>
          <t>Concreto - pilares P6, P18, P26, P7, P19, P22, P23, P24, P25 e P26</t>
        </is>
      </c>
      <c r="E191" s="4" t="inlineStr">
        <is>
          <t>2º PAV. GARAGEM.</t>
        </is>
      </c>
      <c r="F191" s="119" t="n">
        <v>45929</v>
      </c>
      <c r="G191" s="119" t="n">
        <v>45929</v>
      </c>
      <c r="H191" s="119" t="n">
        <v>46293</v>
      </c>
      <c r="I191" s="4" t="n">
        <v>100</v>
      </c>
      <c r="J191" s="4" t="n">
        <v>100</v>
      </c>
      <c r="K191" s="4" t="n">
        <v>100</v>
      </c>
      <c r="M191" s="2">
        <f>IF(C191="","",IFERROR(INDEX($S$5:$S$304,MATCH(C191,$R$5:$R$304,0))&amp;"","?"))</f>
        <v/>
      </c>
      <c r="N191" s="2">
        <f>IF(E191="","",IF(ISNUMBER(SEARCH("SUBSOLO",E191)),IFERROR(-VALUE(LEFT(E191,FIND("º",SUBSTITUTE(E191,"°","º"))-1)),-1),IF(LEFT(E191,6)="TÉRREO",0,IFERROR(VALUE(LEFT(E191,FIND("º",SUBSTITUTE(E191,"°","º"))-1)),""))))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IF(R191="","",COUNTIF($C$5:$C$6004,R191))</f>
        <v/>
      </c>
      <c r="W191" s="2">
        <f>IF(R191="","",COUNTIFS($C$5:$C$6004,R191,$O$5:$O$6004,"CONCLUÍDA"))</f>
        <v/>
      </c>
      <c r="X191" s="2">
        <f>IF(R191="","",COUNTIFS($C$5:$C$6004,R191,$O$5:$O$6004,"EM ANDAMENTO"))</f>
        <v/>
      </c>
      <c r="Y191" s="2">
        <f>IF(R191="","",IF(COUNTIFS($C$5:$C$6004,R191,$O$5:$O$6004,"CONCLUÍDA",$N$5:$N$6004,"&gt;=-99")=0,"",_xlfn.MAXIFS($N$5:$N$6004,$C$5:$C$6004,R191,$O$5:$O$6004,"CONCLUÍDA")))</f>
        <v/>
      </c>
      <c r="Z191" s="2">
        <f>IF(R191="","",IF(COUNTIFS($C$5:$C$6004,R191,$O$5:$O$6004,"EM ANDAMENTO",$N$5:$N$6004,"&gt;=-99")=0,"",_xlfn.MAXIFS($N$5:$N$6004,$C$5:$C$6004,R191,$O$5:$O$6004,"EM ANDAMENTO")))</f>
        <v/>
      </c>
      <c r="AA191" s="2">
        <f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>
      <c r="B192" s="4" t="n">
        <v>13386610</v>
      </c>
      <c r="C192" s="4" t="inlineStr">
        <is>
          <t>ESTRUTURA TORRE A</t>
        </is>
      </c>
      <c r="D192" s="4" t="inlineStr">
        <is>
          <t>Forma - pilares P106, P112, P111, P110, P109, P108 e P107</t>
        </is>
      </c>
      <c r="E192" s="4" t="inlineStr">
        <is>
          <t>2º PAV. GARAGEM.</t>
        </is>
      </c>
      <c r="F192" s="119" t="n">
        <v>45925</v>
      </c>
      <c r="G192" s="119" t="n">
        <v>45925</v>
      </c>
      <c r="H192" s="119" t="n">
        <v>46293</v>
      </c>
      <c r="I192" s="4" t="n">
        <v>100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IF(E192="","",IF(ISNUMBER(SEARCH("SUBSOLO",E192)),IFERROR(-VALUE(LEFT(E192,FIND("º",SUBSTITUTE(E192,"°","º"))-1)),-1),IF(LEFT(E192,6)="TÉRREO",0,IFERROR(VALUE(LEFT(E192,FIND("º",SUBSTITUTE(E192,"°","º"))-1)),""))))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IF(R192="","",COUNTIF($C$5:$C$6004,R192))</f>
        <v/>
      </c>
      <c r="W192" s="2">
        <f>IF(R192="","",COUNTIFS($C$5:$C$6004,R192,$O$5:$O$6004,"CONCLUÍDA"))</f>
        <v/>
      </c>
      <c r="X192" s="2">
        <f>IF(R192="","",COUNTIFS($C$5:$C$6004,R192,$O$5:$O$6004,"EM ANDAMENTO"))</f>
        <v/>
      </c>
      <c r="Y192" s="2">
        <f>IF(R192="","",IF(COUNTIFS($C$5:$C$6004,R192,$O$5:$O$6004,"CONCLUÍDA",$N$5:$N$6004,"&gt;=-99")=0,"",_xlfn.MAXIFS($N$5:$N$6004,$C$5:$C$6004,R192,$O$5:$O$6004,"CONCLUÍDA")))</f>
        <v/>
      </c>
      <c r="Z192" s="2">
        <f>IF(R192="","",IF(COUNTIFS($C$5:$C$6004,R192,$O$5:$O$6004,"EM ANDAMENTO",$N$5:$N$6004,"&gt;=-99")=0,"",_xlfn.MAXIFS($N$5:$N$6004,$C$5:$C$6004,R192,$O$5:$O$6004,"EM ANDAMENTO")))</f>
        <v/>
      </c>
      <c r="AA192" s="2">
        <f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>
      <c r="B193" s="4" t="n">
        <v>13386616</v>
      </c>
      <c r="C193" s="4" t="inlineStr">
        <is>
          <t>ESTRUTURA TORRE A</t>
        </is>
      </c>
      <c r="D193" s="4" t="inlineStr">
        <is>
          <t>Concreto - pilares P106, P112, P111, P110, P109, P108 e P107</t>
        </is>
      </c>
      <c r="E193" s="4" t="inlineStr">
        <is>
          <t>2º PAV. GARAGEM.</t>
        </is>
      </c>
      <c r="F193" s="119" t="n">
        <v>45929</v>
      </c>
      <c r="G193" s="119" t="n">
        <v>45929</v>
      </c>
      <c r="H193" s="119" t="n">
        <v>46293</v>
      </c>
      <c r="I193" s="4" t="n">
        <v>100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IF(E193="","",IF(ISNUMBER(SEARCH("SUBSOLO",E193)),IFERROR(-VALUE(LEFT(E193,FIND("º",SUBSTITUTE(E193,"°","º"))-1)),-1),IF(LEFT(E193,6)="TÉRREO",0,IFERROR(VALUE(LEFT(E193,FIND("º",SUBSTITUTE(E193,"°","º"))-1)),""))))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IF(R193="","",COUNTIF($C$5:$C$6004,R193))</f>
        <v/>
      </c>
      <c r="W193" s="2">
        <f>IF(R193="","",COUNTIFS($C$5:$C$6004,R193,$O$5:$O$6004,"CONCLUÍDA"))</f>
        <v/>
      </c>
      <c r="X193" s="2">
        <f>IF(R193="","",COUNTIFS($C$5:$C$6004,R193,$O$5:$O$6004,"EM ANDAMENTO"))</f>
        <v/>
      </c>
      <c r="Y193" s="2">
        <f>IF(R193="","",IF(COUNTIFS($C$5:$C$6004,R193,$O$5:$O$6004,"CONCLUÍDA",$N$5:$N$6004,"&gt;=-99")=0,"",_xlfn.MAXIFS($N$5:$N$6004,$C$5:$C$6004,R193,$O$5:$O$6004,"CONCLUÍDA")))</f>
        <v/>
      </c>
      <c r="Z193" s="2">
        <f>IF(R193="","",IF(COUNTIFS($C$5:$C$6004,R193,$O$5:$O$6004,"EM ANDAMENTO",$N$5:$N$6004,"&gt;=-99")=0,"",_xlfn.MAXIFS($N$5:$N$6004,$C$5:$C$6004,R193,$O$5:$O$6004,"EM ANDAMENTO")))</f>
        <v/>
      </c>
      <c r="AA193" s="2">
        <f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>
      <c r="B194" s="4" t="n">
        <v>13386632</v>
      </c>
      <c r="C194" s="4" t="inlineStr">
        <is>
          <t>ESTRUTURA TORRE A</t>
        </is>
      </c>
      <c r="D194" s="4" t="inlineStr">
        <is>
          <t>Montagem de escoramento e forma</t>
        </is>
      </c>
      <c r="E194" s="4" t="inlineStr">
        <is>
          <t>2º PAV. GARAGEM.</t>
        </is>
      </c>
      <c r="F194" s="119" t="n">
        <v>45915</v>
      </c>
      <c r="G194" s="119" t="n">
        <v>45938</v>
      </c>
      <c r="H194" s="119" t="n">
        <v>46293</v>
      </c>
      <c r="I194" s="4" t="n">
        <v>100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IF(E194="","",IF(ISNUMBER(SEARCH("SUBSOLO",E194)),IFERROR(-VALUE(LEFT(E194,FIND("º",SUBSTITUTE(E194,"°","º"))-1)),-1),IF(LEFT(E194,6)="TÉRREO",0,IFERROR(VALUE(LEFT(E194,FIND("º",SUBSTITUTE(E194,"°","º"))-1)),""))))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IF(R194="","",COUNTIF($C$5:$C$6004,R194))</f>
        <v/>
      </c>
      <c r="W194" s="2">
        <f>IF(R194="","",COUNTIFS($C$5:$C$6004,R194,$O$5:$O$6004,"CONCLUÍDA"))</f>
        <v/>
      </c>
      <c r="X194" s="2">
        <f>IF(R194="","",COUNTIFS($C$5:$C$6004,R194,$O$5:$O$6004,"EM ANDAMENTO"))</f>
        <v/>
      </c>
      <c r="Y194" s="2">
        <f>IF(R194="","",IF(COUNTIFS($C$5:$C$6004,R194,$O$5:$O$6004,"CONCLUÍDA",$N$5:$N$6004,"&gt;=-99")=0,"",_xlfn.MAXIFS($N$5:$N$6004,$C$5:$C$6004,R194,$O$5:$O$6004,"CONCLUÍDA")))</f>
        <v/>
      </c>
      <c r="Z194" s="2">
        <f>IF(R194="","",IF(COUNTIFS($C$5:$C$6004,R194,$O$5:$O$6004,"EM ANDAMENTO",$N$5:$N$6004,"&gt;=-99")=0,"",_xlfn.MAXIFS($N$5:$N$6004,$C$5:$C$6004,R194,$O$5:$O$6004,"EM ANDAMENTO")))</f>
        <v/>
      </c>
      <c r="AA194" s="2">
        <f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>
      <c r="B195" s="4" t="n">
        <v>13386636</v>
      </c>
      <c r="C195" s="4" t="inlineStr">
        <is>
          <t>ESTRUTURA TORRE A</t>
        </is>
      </c>
      <c r="D195" s="4" t="inlineStr">
        <is>
          <t>Armação de vigas</t>
        </is>
      </c>
      <c r="E195" s="4" t="inlineStr">
        <is>
          <t>2º PAV. GARAGEM.</t>
        </is>
      </c>
      <c r="F195" s="119" t="n">
        <v>45925</v>
      </c>
      <c r="G195" s="119" t="n">
        <v>45931</v>
      </c>
      <c r="H195" s="119" t="n">
        <v>46293</v>
      </c>
      <c r="I195" s="4" t="n">
        <v>100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IF(E195="","",IF(ISNUMBER(SEARCH("SUBSOLO",E195)),IFERROR(-VALUE(LEFT(E195,FIND("º",SUBSTITUTE(E195,"°","º"))-1)),-1),IF(LEFT(E195,6)="TÉRREO",0,IFERROR(VALUE(LEFT(E195,FIND("º",SUBSTITUTE(E195,"°","º"))-1)),""))))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IF(R195="","",COUNTIF($C$5:$C$6004,R195))</f>
        <v/>
      </c>
      <c r="W195" s="2">
        <f>IF(R195="","",COUNTIFS($C$5:$C$6004,R195,$O$5:$O$6004,"CONCLUÍDA"))</f>
        <v/>
      </c>
      <c r="X195" s="2">
        <f>IF(R195="","",COUNTIFS($C$5:$C$6004,R195,$O$5:$O$6004,"EM ANDAMENTO"))</f>
        <v/>
      </c>
      <c r="Y195" s="2">
        <f>IF(R195="","",IF(COUNTIFS($C$5:$C$6004,R195,$O$5:$O$6004,"CONCLUÍDA",$N$5:$N$6004,"&gt;=-99")=0,"",_xlfn.MAXIFS($N$5:$N$6004,$C$5:$C$6004,R195,$O$5:$O$6004,"CONCLUÍDA")))</f>
        <v/>
      </c>
      <c r="Z195" s="2">
        <f>IF(R195="","",IF(COUNTIFS($C$5:$C$6004,R195,$O$5:$O$6004,"EM ANDAMENTO",$N$5:$N$6004,"&gt;=-99")=0,"",_xlfn.MAXIFS($N$5:$N$6004,$C$5:$C$6004,R195,$O$5:$O$6004,"EM ANDAMENTO")))</f>
        <v/>
      </c>
      <c r="AA195" s="2">
        <f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>
      <c r="B196" s="4" t="n">
        <v>13386637</v>
      </c>
      <c r="C196" s="4" t="inlineStr">
        <is>
          <t>ESTRUTURA TORRE A</t>
        </is>
      </c>
      <c r="D196" s="4" t="inlineStr">
        <is>
          <t>Armação - Lançamento de vigas e lajes</t>
        </is>
      </c>
      <c r="E196" s="4" t="inlineStr">
        <is>
          <t>2º PAV. GARAGEM.</t>
        </is>
      </c>
      <c r="F196" s="119" t="n">
        <v>45932</v>
      </c>
      <c r="G196" s="119" t="n">
        <v>45938</v>
      </c>
      <c r="H196" s="119" t="n">
        <v>46293</v>
      </c>
      <c r="I196" s="4" t="n">
        <v>100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IF(E196="","",IF(ISNUMBER(SEARCH("SUBSOLO",E196)),IFERROR(-VALUE(LEFT(E196,FIND("º",SUBSTITUTE(E196,"°","º"))-1)),-1),IF(LEFT(E196,6)="TÉRREO",0,IFERROR(VALUE(LEFT(E196,FIND("º",SUBSTITUTE(E196,"°","º"))-1)),""))))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IF(R196="","",COUNTIF($C$5:$C$6004,R196))</f>
        <v/>
      </c>
      <c r="W196" s="2">
        <f>IF(R196="","",COUNTIFS($C$5:$C$6004,R196,$O$5:$O$6004,"CONCLUÍDA"))</f>
        <v/>
      </c>
      <c r="X196" s="2">
        <f>IF(R196="","",COUNTIFS($C$5:$C$6004,R196,$O$5:$O$6004,"EM ANDAMENTO"))</f>
        <v/>
      </c>
      <c r="Y196" s="2">
        <f>IF(R196="","",IF(COUNTIFS($C$5:$C$6004,R196,$O$5:$O$6004,"CONCLUÍDA",$N$5:$N$6004,"&gt;=-99")=0,"",_xlfn.MAXIFS($N$5:$N$6004,$C$5:$C$6004,R196,$O$5:$O$6004,"CONCLUÍDA")))</f>
        <v/>
      </c>
      <c r="Z196" s="2">
        <f>IF(R196="","",IF(COUNTIFS($C$5:$C$6004,R196,$O$5:$O$6004,"EM ANDAMENTO",$N$5:$N$6004,"&gt;=-99")=0,"",_xlfn.MAXIFS($N$5:$N$6004,$C$5:$C$6004,R196,$O$5:$O$6004,"EM ANDAMENTO")))</f>
        <v/>
      </c>
      <c r="AA196" s="2">
        <f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>
      <c r="B197" s="4" t="n">
        <v>13386651</v>
      </c>
      <c r="C197" s="4" t="inlineStr">
        <is>
          <t>ESTRUTURA TORRE A</t>
        </is>
      </c>
      <c r="D197" s="4" t="inlineStr">
        <is>
          <t>Concreto beiral e L2, L5 e L12</t>
        </is>
      </c>
      <c r="E197" s="4" t="inlineStr">
        <is>
          <t>2º PAV. GARAGEM.</t>
        </is>
      </c>
      <c r="F197" s="119" t="n">
        <v>45939</v>
      </c>
      <c r="G197" s="119" t="n">
        <v>45939</v>
      </c>
      <c r="H197" s="119" t="n">
        <v>46293</v>
      </c>
      <c r="I197" s="4" t="n">
        <v>100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IF(E197="","",IF(ISNUMBER(SEARCH("SUBSOLO",E197)),IFERROR(-VALUE(LEFT(E197,FIND("º",SUBSTITUTE(E197,"°","º"))-1)),-1),IF(LEFT(E197,6)="TÉRREO",0,IFERROR(VALUE(LEFT(E197,FIND("º",SUBSTITUTE(E197,"°","º"))-1)),""))))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IF(R197="","",COUNTIF($C$5:$C$6004,R197))</f>
        <v/>
      </c>
      <c r="W197" s="2">
        <f>IF(R197="","",COUNTIFS($C$5:$C$6004,R197,$O$5:$O$6004,"CONCLUÍDA"))</f>
        <v/>
      </c>
      <c r="X197" s="2">
        <f>IF(R197="","",COUNTIFS($C$5:$C$6004,R197,$O$5:$O$6004,"EM ANDAMENTO"))</f>
        <v/>
      </c>
      <c r="Y197" s="2">
        <f>IF(R197="","",IF(COUNTIFS($C$5:$C$6004,R197,$O$5:$O$6004,"CONCLUÍDA",$N$5:$N$6004,"&gt;=-99")=0,"",_xlfn.MAXIFS($N$5:$N$6004,$C$5:$C$6004,R197,$O$5:$O$6004,"CONCLUÍDA")))</f>
        <v/>
      </c>
      <c r="Z197" s="2">
        <f>IF(R197="","",IF(COUNTIFS($C$5:$C$6004,R197,$O$5:$O$6004,"EM ANDAMENTO",$N$5:$N$6004,"&gt;=-99")=0,"",_xlfn.MAXIFS($N$5:$N$6004,$C$5:$C$6004,R197,$O$5:$O$6004,"EM ANDAMENTO")))</f>
        <v/>
      </c>
      <c r="AA197" s="2">
        <f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>
      <c r="B198" s="4" t="n">
        <v>13386669</v>
      </c>
      <c r="C198" s="4" t="inlineStr">
        <is>
          <t>ESTRUTURA TORRE A</t>
        </is>
      </c>
      <c r="D198" s="4" t="inlineStr">
        <is>
          <t>Fechamento das vigas V28, V11 e V29</t>
        </is>
      </c>
      <c r="E198" s="4" t="inlineStr">
        <is>
          <t>2º PAV. GARAGEM.</t>
        </is>
      </c>
      <c r="F198" s="119" t="n">
        <v>45940</v>
      </c>
      <c r="G198" s="119" t="n">
        <v>45940</v>
      </c>
      <c r="H198" s="119" t="n">
        <v>46293</v>
      </c>
      <c r="I198" s="4" t="n">
        <v>100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IF(E198="","",IF(ISNUMBER(SEARCH("SUBSOLO",E198)),IFERROR(-VALUE(LEFT(E198,FIND("º",SUBSTITUTE(E198,"°","º"))-1)),-1),IF(LEFT(E198,6)="TÉRREO",0,IFERROR(VALUE(LEFT(E198,FIND("º",SUBSTITUTE(E198,"°","º"))-1)),""))))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IF(R198="","",COUNTIF($C$5:$C$6004,R198))</f>
        <v/>
      </c>
      <c r="W198" s="2">
        <f>IF(R198="","",COUNTIFS($C$5:$C$6004,R198,$O$5:$O$6004,"CONCLUÍDA"))</f>
        <v/>
      </c>
      <c r="X198" s="2">
        <f>IF(R198="","",COUNTIFS($C$5:$C$6004,R198,$O$5:$O$6004,"EM ANDAMENTO"))</f>
        <v/>
      </c>
      <c r="Y198" s="2">
        <f>IF(R198="","",IF(COUNTIFS($C$5:$C$6004,R198,$O$5:$O$6004,"CONCLUÍDA",$N$5:$N$6004,"&gt;=-99")=0,"",_xlfn.MAXIFS($N$5:$N$6004,$C$5:$C$6004,R198,$O$5:$O$6004,"CONCLUÍDA")))</f>
        <v/>
      </c>
      <c r="Z198" s="2">
        <f>IF(R198="","",IF(COUNTIFS($C$5:$C$6004,R198,$O$5:$O$6004,"EM ANDAMENTO",$N$5:$N$6004,"&gt;=-99")=0,"",_xlfn.MAXIFS($N$5:$N$6004,$C$5:$C$6004,R198,$O$5:$O$6004,"EM ANDAMENTO")))</f>
        <v/>
      </c>
      <c r="AA198" s="2">
        <f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>
      <c r="B199" s="4" t="n">
        <v>13386670</v>
      </c>
      <c r="C199" s="4" t="inlineStr">
        <is>
          <t>ESTRUTURA TORRE A</t>
        </is>
      </c>
      <c r="D199" s="4" t="inlineStr">
        <is>
          <t>Concreto L3, L6 e laje nível 944,45</t>
        </is>
      </c>
      <c r="E199" s="4" t="inlineStr">
        <is>
          <t>2º PAV. GARAGEM.</t>
        </is>
      </c>
      <c r="F199" s="119" t="n">
        <v>45943</v>
      </c>
      <c r="G199" s="119" t="n">
        <v>45943</v>
      </c>
      <c r="H199" s="119" t="n">
        <v>46293</v>
      </c>
      <c r="I199" s="4" t="n">
        <v>100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IF(E199="","",IF(ISNUMBER(SEARCH("SUBSOLO",E199)),IFERROR(-VALUE(LEFT(E199,FIND("º",SUBSTITUTE(E199,"°","º"))-1)),-1),IF(LEFT(E199,6)="TÉRREO",0,IFERROR(VALUE(LEFT(E199,FIND("º",SUBSTITUTE(E199,"°","º"))-1)),""))))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IF(R199="","",COUNTIF($C$5:$C$6004,R199))</f>
        <v/>
      </c>
      <c r="W199" s="2">
        <f>IF(R199="","",COUNTIFS($C$5:$C$6004,R199,$O$5:$O$6004,"CONCLUÍDA"))</f>
        <v/>
      </c>
      <c r="X199" s="2">
        <f>IF(R199="","",COUNTIFS($C$5:$C$6004,R199,$O$5:$O$6004,"EM ANDAMENTO"))</f>
        <v/>
      </c>
      <c r="Y199" s="2">
        <f>IF(R199="","",IF(COUNTIFS($C$5:$C$6004,R199,$O$5:$O$6004,"CONCLUÍDA",$N$5:$N$6004,"&gt;=-99")=0,"",_xlfn.MAXIFS($N$5:$N$6004,$C$5:$C$6004,R199,$O$5:$O$6004,"CONCLUÍDA")))</f>
        <v/>
      </c>
      <c r="Z199" s="2">
        <f>IF(R199="","",IF(COUNTIFS($C$5:$C$6004,R199,$O$5:$O$6004,"EM ANDAMENTO",$N$5:$N$6004,"&gt;=-99")=0,"",_xlfn.MAXIFS($N$5:$N$6004,$C$5:$C$6004,R199,$O$5:$O$6004,"EM ANDAMENTO")))</f>
        <v/>
      </c>
      <c r="AA199" s="2">
        <f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>
      <c r="B200" s="4" t="n">
        <v>13386671</v>
      </c>
      <c r="C200" s="4" t="inlineStr">
        <is>
          <t>ESTRUTURA TORRE A</t>
        </is>
      </c>
      <c r="D200" s="4" t="inlineStr">
        <is>
          <t>Fechamento V14 e V17</t>
        </is>
      </c>
      <c r="E200" s="4" t="inlineStr">
        <is>
          <t>2º PAV. GARAGEM.</t>
        </is>
      </c>
      <c r="F200" s="119" t="n">
        <v>45944</v>
      </c>
      <c r="G200" s="119" t="n">
        <v>45944</v>
      </c>
      <c r="H200" s="119" t="n">
        <v>46293</v>
      </c>
      <c r="I200" s="4" t="n">
        <v>100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IF(E200="","",IF(ISNUMBER(SEARCH("SUBSOLO",E200)),IFERROR(-VALUE(LEFT(E200,FIND("º",SUBSTITUTE(E200,"°","º"))-1)),-1),IF(LEFT(E200,6)="TÉRREO",0,IFERROR(VALUE(LEFT(E200,FIND("º",SUBSTITUTE(E200,"°","º"))-1)),""))))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IF(R200="","",COUNTIF($C$5:$C$6004,R200))</f>
        <v/>
      </c>
      <c r="W200" s="2">
        <f>IF(R200="","",COUNTIFS($C$5:$C$6004,R200,$O$5:$O$6004,"CONCLUÍDA"))</f>
        <v/>
      </c>
      <c r="X200" s="2">
        <f>IF(R200="","",COUNTIFS($C$5:$C$6004,R200,$O$5:$O$6004,"EM ANDAMENTO"))</f>
        <v/>
      </c>
      <c r="Y200" s="2">
        <f>IF(R200="","",IF(COUNTIFS($C$5:$C$6004,R200,$O$5:$O$6004,"CONCLUÍDA",$N$5:$N$6004,"&gt;=-99")=0,"",_xlfn.MAXIFS($N$5:$N$6004,$C$5:$C$6004,R200,$O$5:$O$6004,"CONCLUÍDA")))</f>
        <v/>
      </c>
      <c r="Z200" s="2">
        <f>IF(R200="","",IF(COUNTIFS($C$5:$C$6004,R200,$O$5:$O$6004,"EM ANDAMENTO",$N$5:$N$6004,"&gt;=-99")=0,"",_xlfn.MAXIFS($N$5:$N$6004,$C$5:$C$6004,R200,$O$5:$O$6004,"EM ANDAMENTO")))</f>
        <v/>
      </c>
      <c r="AA200" s="2">
        <f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>
      <c r="B201" s="4" t="n">
        <v>13386672</v>
      </c>
      <c r="C201" s="4" t="inlineStr">
        <is>
          <t>ESTRUTURA TORRE A</t>
        </is>
      </c>
      <c r="D201" s="4" t="inlineStr">
        <is>
          <t>Concreto - V14 e V17</t>
        </is>
      </c>
      <c r="E201" s="4" t="inlineStr">
        <is>
          <t>2º PAV. GARAGEM.</t>
        </is>
      </c>
      <c r="F201" s="119" t="n">
        <v>45945</v>
      </c>
      <c r="G201" s="119" t="n">
        <v>45945</v>
      </c>
      <c r="H201" s="119" t="n">
        <v>46293</v>
      </c>
      <c r="I201" s="4" t="n">
        <v>100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IF(E201="","",IF(ISNUMBER(SEARCH("SUBSOLO",E201)),IFERROR(-VALUE(LEFT(E201,FIND("º",SUBSTITUTE(E201,"°","º"))-1)),-1),IF(LEFT(E201,6)="TÉRREO",0,IFERROR(VALUE(LEFT(E201,FIND("º",SUBSTITUTE(E201,"°","º"))-1)),""))))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IF(R201="","",COUNTIF($C$5:$C$6004,R201))</f>
        <v/>
      </c>
      <c r="W201" s="2">
        <f>IF(R201="","",COUNTIFS($C$5:$C$6004,R201,$O$5:$O$6004,"CONCLUÍDA"))</f>
        <v/>
      </c>
      <c r="X201" s="2">
        <f>IF(R201="","",COUNTIFS($C$5:$C$6004,R201,$O$5:$O$6004,"EM ANDAMENTO"))</f>
        <v/>
      </c>
      <c r="Y201" s="2">
        <f>IF(R201="","",IF(COUNTIFS($C$5:$C$6004,R201,$O$5:$O$6004,"CONCLUÍDA",$N$5:$N$6004,"&gt;=-99")=0,"",_xlfn.MAXIFS($N$5:$N$6004,$C$5:$C$6004,R201,$O$5:$O$6004,"CONCLUÍDA")))</f>
        <v/>
      </c>
      <c r="Z201" s="2">
        <f>IF(R201="","",IF(COUNTIFS($C$5:$C$6004,R201,$O$5:$O$6004,"EM ANDAMENTO",$N$5:$N$6004,"&gt;=-99")=0,"",_xlfn.MAXIFS($N$5:$N$6004,$C$5:$C$6004,R201,$O$5:$O$6004,"EM ANDAMENTO")))</f>
        <v/>
      </c>
      <c r="AA201" s="2">
        <f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>
      <c r="B202" s="4" t="n">
        <v>29699800</v>
      </c>
      <c r="C202" s="4" t="inlineStr">
        <is>
          <t>CONTENÇÃO</t>
        </is>
      </c>
      <c r="D202" s="4" t="inlineStr">
        <is>
          <t>-</t>
        </is>
      </c>
      <c r="E202" s="4" t="inlineStr">
        <is>
          <t>TÉRREO - GARAGENS - Parte 2</t>
        </is>
      </c>
      <c r="F202" s="119" t="n">
        <v>45915</v>
      </c>
      <c r="G202" s="119" t="n">
        <v>45989</v>
      </c>
      <c r="H202" s="119" t="n">
        <v>46293</v>
      </c>
      <c r="I202" s="4" t="n">
        <v>100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IF(E202="","",IF(ISNUMBER(SEARCH("SUBSOLO",E202)),IFERROR(-VALUE(LEFT(E202,FIND("º",SUBSTITUTE(E202,"°","º"))-1)),-1),IF(LEFT(E202,6)="TÉRREO",0,IFERROR(VALUE(LEFT(E202,FIND("º",SUBSTITUTE(E202,"°","º"))-1)),""))))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IF(R202="","",COUNTIF($C$5:$C$6004,R202))</f>
        <v/>
      </c>
      <c r="W202" s="2">
        <f>IF(R202="","",COUNTIFS($C$5:$C$6004,R202,$O$5:$O$6004,"CONCLUÍDA"))</f>
        <v/>
      </c>
      <c r="X202" s="2">
        <f>IF(R202="","",COUNTIFS($C$5:$C$6004,R202,$O$5:$O$6004,"EM ANDAMENTO"))</f>
        <v/>
      </c>
      <c r="Y202" s="2">
        <f>IF(R202="","",IF(COUNTIFS($C$5:$C$6004,R202,$O$5:$O$6004,"CONCLUÍDA",$N$5:$N$6004,"&gt;=-99")=0,"",_xlfn.MAXIFS($N$5:$N$6004,$C$5:$C$6004,R202,$O$5:$O$6004,"CONCLUÍDA")))</f>
        <v/>
      </c>
      <c r="Z202" s="2">
        <f>IF(R202="","",IF(COUNTIFS($C$5:$C$6004,R202,$O$5:$O$6004,"EM ANDAMENTO",$N$5:$N$6004,"&gt;=-99")=0,"",_xlfn.MAXIFS($N$5:$N$6004,$C$5:$C$6004,R202,$O$5:$O$6004,"EM ANDAMENTO")))</f>
        <v/>
      </c>
      <c r="AA202" s="2">
        <f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>
      <c r="B203" s="4" t="n">
        <v>10761342</v>
      </c>
      <c r="C203" s="4" t="inlineStr">
        <is>
          <t>CONTENÇÃO</t>
        </is>
      </c>
      <c r="D203" s="4" t="inlineStr">
        <is>
          <t>Escavação  (30 m³)</t>
        </is>
      </c>
      <c r="E203" s="4" t="inlineStr">
        <is>
          <t>TÉRREO - GARAGENS</t>
        </is>
      </c>
      <c r="F203" s="119" t="n">
        <v>45915</v>
      </c>
      <c r="G203" s="119" t="n">
        <v>45965</v>
      </c>
      <c r="H203" s="119" t="n">
        <v>46293</v>
      </c>
      <c r="I203" s="4" t="n">
        <v>100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IF(E203="","",IF(ISNUMBER(SEARCH("SUBSOLO",E203)),IFERROR(-VALUE(LEFT(E203,FIND("º",SUBSTITUTE(E203,"°","º"))-1)),-1),IF(LEFT(E203,6)="TÉRREO",0,IFERROR(VALUE(LEFT(E203,FIND("º",SUBSTITUTE(E203,"°","º"))-1)),""))))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IF(R203="","",COUNTIF($C$5:$C$6004,R203))</f>
        <v/>
      </c>
      <c r="W203" s="2">
        <f>IF(R203="","",COUNTIFS($C$5:$C$6004,R203,$O$5:$O$6004,"CONCLUÍDA"))</f>
        <v/>
      </c>
      <c r="X203" s="2">
        <f>IF(R203="","",COUNTIFS($C$5:$C$6004,R203,$O$5:$O$6004,"EM ANDAMENTO"))</f>
        <v/>
      </c>
      <c r="Y203" s="2">
        <f>IF(R203="","",IF(COUNTIFS($C$5:$C$6004,R203,$O$5:$O$6004,"CONCLUÍDA",$N$5:$N$6004,"&gt;=-99")=0,"",_xlfn.MAXIFS($N$5:$N$6004,$C$5:$C$6004,R203,$O$5:$O$6004,"CONCLUÍDA")))</f>
        <v/>
      </c>
      <c r="Z203" s="2">
        <f>IF(R203="","",IF(COUNTIFS($C$5:$C$6004,R203,$O$5:$O$6004,"EM ANDAMENTO",$N$5:$N$6004,"&gt;=-99")=0,"",_xlfn.MAXIFS($N$5:$N$6004,$C$5:$C$6004,R203,$O$5:$O$6004,"EM ANDAMENTO")))</f>
        <v/>
      </c>
      <c r="AA203" s="2">
        <f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>
      <c r="B204" s="4" t="n">
        <v>10761343</v>
      </c>
      <c r="C204" s="4" t="inlineStr">
        <is>
          <t>CONTENÇÃO</t>
        </is>
      </c>
      <c r="D204" s="4" t="inlineStr">
        <is>
          <t>Armação (~1500 kg) - Parte 2</t>
        </is>
      </c>
      <c r="E204" s="4" t="inlineStr">
        <is>
          <t>TÉRREO - GARAGENS</t>
        </is>
      </c>
      <c r="F204" s="119" t="n">
        <v>45915</v>
      </c>
      <c r="G204" s="119" t="n">
        <v>45923</v>
      </c>
      <c r="H204" s="119" t="n">
        <v>46293</v>
      </c>
      <c r="I204" s="4" t="n">
        <v>100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IF(E204="","",IF(ISNUMBER(SEARCH("SUBSOLO",E204)),IFERROR(-VALUE(LEFT(E204,FIND("º",SUBSTITUTE(E204,"°","º"))-1)),-1),IF(LEFT(E204,6)="TÉRREO",0,IFERROR(VALUE(LEFT(E204,FIND("º",SUBSTITUTE(E204,"°","º"))-1)),""))))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IF(R204="","",COUNTIF($C$5:$C$6004,R204))</f>
        <v/>
      </c>
      <c r="W204" s="2">
        <f>IF(R204="","",COUNTIFS($C$5:$C$6004,R204,$O$5:$O$6004,"CONCLUÍDA"))</f>
        <v/>
      </c>
      <c r="X204" s="2">
        <f>IF(R204="","",COUNTIFS($C$5:$C$6004,R204,$O$5:$O$6004,"EM ANDAMENTO"))</f>
        <v/>
      </c>
      <c r="Y204" s="2">
        <f>IF(R204="","",IF(COUNTIFS($C$5:$C$6004,R204,$O$5:$O$6004,"CONCLUÍDA",$N$5:$N$6004,"&gt;=-99")=0,"",_xlfn.MAXIFS($N$5:$N$6004,$C$5:$C$6004,R204,$O$5:$O$6004,"CONCLUÍDA")))</f>
        <v/>
      </c>
      <c r="Z204" s="2">
        <f>IF(R204="","",IF(COUNTIFS($C$5:$C$6004,R204,$O$5:$O$6004,"EM ANDAMENTO",$N$5:$N$6004,"&gt;=-99")=0,"",_xlfn.MAXIFS($N$5:$N$6004,$C$5:$C$6004,R204,$O$5:$O$6004,"EM ANDAMENTO")))</f>
        <v/>
      </c>
      <c r="AA204" s="2">
        <f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>
      <c r="B205" s="4" t="n">
        <v>10761344</v>
      </c>
      <c r="C205" s="4" t="inlineStr">
        <is>
          <t>CONTENÇÃO</t>
        </is>
      </c>
      <c r="D205" s="4" t="inlineStr">
        <is>
          <t xml:space="preserve">Forma (30 m²) - Parte 2 </t>
        </is>
      </c>
      <c r="E205" s="4" t="inlineStr">
        <is>
          <t>TÉRREO - GARAGENS</t>
        </is>
      </c>
      <c r="F205" s="119" t="n">
        <v>45966</v>
      </c>
      <c r="G205" s="119" t="n">
        <v>45989</v>
      </c>
      <c r="H205" s="119" t="n">
        <v>46293</v>
      </c>
      <c r="I205" s="4" t="n">
        <v>100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IF(E205="","",IF(ISNUMBER(SEARCH("SUBSOLO",E205)),IFERROR(-VALUE(LEFT(E205,FIND("º",SUBSTITUTE(E205,"°","º"))-1)),-1),IF(LEFT(E205,6)="TÉRREO",0,IFERROR(VALUE(LEFT(E205,FIND("º",SUBSTITUTE(E205,"°","º"))-1)),""))))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IF(R205="","",COUNTIF($C$5:$C$6004,R205))</f>
        <v/>
      </c>
      <c r="W205" s="2">
        <f>IF(R205="","",COUNTIFS($C$5:$C$6004,R205,$O$5:$O$6004,"CONCLUÍDA"))</f>
        <v/>
      </c>
      <c r="X205" s="2">
        <f>IF(R205="","",COUNTIFS($C$5:$C$6004,R205,$O$5:$O$6004,"EM ANDAMENTO"))</f>
        <v/>
      </c>
      <c r="Y205" s="2">
        <f>IF(R205="","",IF(COUNTIFS($C$5:$C$6004,R205,$O$5:$O$6004,"CONCLUÍDA",$N$5:$N$6004,"&gt;=-99")=0,"",_xlfn.MAXIFS($N$5:$N$6004,$C$5:$C$6004,R205,$O$5:$O$6004,"CONCLUÍDA")))</f>
        <v/>
      </c>
      <c r="Z205" s="2">
        <f>IF(R205="","",IF(COUNTIFS($C$5:$C$6004,R205,$O$5:$O$6004,"EM ANDAMENTO",$N$5:$N$6004,"&gt;=-99")=0,"",_xlfn.MAXIFS($N$5:$N$6004,$C$5:$C$6004,R205,$O$5:$O$6004,"EM ANDAMENTO")))</f>
        <v/>
      </c>
      <c r="AA205" s="2">
        <f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>
      <c r="B206" s="4" t="n">
        <v>13001922</v>
      </c>
      <c r="C206" s="4" t="inlineStr">
        <is>
          <t>CONTENÇÃO</t>
        </is>
      </c>
      <c r="D206" s="4" t="inlineStr">
        <is>
          <t>Concreto base - porção do meio</t>
        </is>
      </c>
      <c r="E206" s="4" t="inlineStr">
        <is>
          <t>TÉRREO - GARAGENS</t>
        </is>
      </c>
      <c r="F206" s="119" t="n">
        <v>45924</v>
      </c>
      <c r="G206" s="119" t="n">
        <v>45964</v>
      </c>
      <c r="H206" s="119" t="n">
        <v>46293</v>
      </c>
      <c r="I206" s="4" t="n">
        <v>100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IF(E206="","",IF(ISNUMBER(SEARCH("SUBSOLO",E206)),IFERROR(-VALUE(LEFT(E206,FIND("º",SUBSTITUTE(E206,"°","º"))-1)),-1),IF(LEFT(E206,6)="TÉRREO",0,IFERROR(VALUE(LEFT(E206,FIND("º",SUBSTITUTE(E206,"°","º"))-1)),""))))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IF(R206="","",COUNTIF($C$5:$C$6004,R206))</f>
        <v/>
      </c>
      <c r="W206" s="2">
        <f>IF(R206="","",COUNTIFS($C$5:$C$6004,R206,$O$5:$O$6004,"CONCLUÍDA"))</f>
        <v/>
      </c>
      <c r="X206" s="2">
        <f>IF(R206="","",COUNTIFS($C$5:$C$6004,R206,$O$5:$O$6004,"EM ANDAMENTO"))</f>
        <v/>
      </c>
      <c r="Y206" s="2">
        <f>IF(R206="","",IF(COUNTIFS($C$5:$C$6004,R206,$O$5:$O$6004,"CONCLUÍDA",$N$5:$N$6004,"&gt;=-99")=0,"",_xlfn.MAXIFS($N$5:$N$6004,$C$5:$C$6004,R206,$O$5:$O$6004,"CONCLUÍDA")))</f>
        <v/>
      </c>
      <c r="Z206" s="2">
        <f>IF(R206="","",IF(COUNTIFS($C$5:$C$6004,R206,$O$5:$O$6004,"EM ANDAMENTO",$N$5:$N$6004,"&gt;=-99")=0,"",_xlfn.MAXIFS($N$5:$N$6004,$C$5:$C$6004,R206,$O$5:$O$6004,"EM ANDAMENTO")))</f>
        <v/>
      </c>
      <c r="AA206" s="2">
        <f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>
      <c r="B207" s="4" t="n">
        <v>13001923</v>
      </c>
      <c r="C207" s="4" t="inlineStr">
        <is>
          <t>CONTENÇÃO</t>
        </is>
      </c>
      <c r="D207" s="4" t="inlineStr">
        <is>
          <t xml:space="preserve">Concreto parede - geral </t>
        </is>
      </c>
      <c r="E207" s="4" t="inlineStr">
        <is>
          <t>TÉRREO - GARAGENS</t>
        </is>
      </c>
      <c r="F207" s="119" t="n">
        <v>45932</v>
      </c>
      <c r="G207" s="119" t="n">
        <v>45972</v>
      </c>
      <c r="H207" s="119" t="n">
        <v>46293</v>
      </c>
      <c r="I207" s="4" t="n">
        <v>100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IF(E207="","",IF(ISNUMBER(SEARCH("SUBSOLO",E207)),IFERROR(-VALUE(LEFT(E207,FIND("º",SUBSTITUTE(E207,"°","º"))-1)),-1),IF(LEFT(E207,6)="TÉRREO",0,IFERROR(VALUE(LEFT(E207,FIND("º",SUBSTITUTE(E207,"°","º"))-1)),""))))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IF(R207="","",COUNTIF($C$5:$C$6004,R207))</f>
        <v/>
      </c>
      <c r="W207" s="2">
        <f>IF(R207="","",COUNTIFS($C$5:$C$6004,R207,$O$5:$O$6004,"CONCLUÍDA"))</f>
        <v/>
      </c>
      <c r="X207" s="2">
        <f>IF(R207="","",COUNTIFS($C$5:$C$6004,R207,$O$5:$O$6004,"EM ANDAMENTO"))</f>
        <v/>
      </c>
      <c r="Y207" s="2">
        <f>IF(R207="","",IF(COUNTIFS($C$5:$C$6004,R207,$O$5:$O$6004,"CONCLUÍDA",$N$5:$N$6004,"&gt;=-99")=0,"",_xlfn.MAXIFS($N$5:$N$6004,$C$5:$C$6004,R207,$O$5:$O$6004,"CONCLUÍDA")))</f>
        <v/>
      </c>
      <c r="Z207" s="2">
        <f>IF(R207="","",IF(COUNTIFS($C$5:$C$6004,R207,$O$5:$O$6004,"EM ANDAMENTO",$N$5:$N$6004,"&gt;=-99")=0,"",_xlfn.MAXIFS($N$5:$N$6004,$C$5:$C$6004,R207,$O$5:$O$6004,"EM ANDAMENTO")))</f>
        <v/>
      </c>
      <c r="AA207" s="2">
        <f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>
      <c r="B208" s="4" t="n">
        <v>22139440</v>
      </c>
      <c r="C208" s="4" t="inlineStr">
        <is>
          <t>ESTRUTURA TORRE</t>
        </is>
      </c>
      <c r="D208" s="4" t="inlineStr">
        <is>
          <t>-</t>
        </is>
      </c>
      <c r="E208" s="4" t="inlineStr">
        <is>
          <t>2º PAV. GARAGEM.</t>
        </is>
      </c>
      <c r="F208" s="119" t="n">
        <v>45915</v>
      </c>
      <c r="G208" s="119" t="n">
        <v>45945</v>
      </c>
      <c r="H208" s="119" t="n">
        <v>46293</v>
      </c>
      <c r="I208" s="4" t="n">
        <v>100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IF(E208="","",IF(ISNUMBER(SEARCH("SUBSOLO",E208)),IFERROR(-VALUE(LEFT(E208,FIND("º",SUBSTITUTE(E208,"°","º"))-1)),-1),IF(LEFT(E208,6)="TÉRREO",0,IFERROR(VALUE(LEFT(E208,FIND("º",SUBSTITUTE(E208,"°","º"))-1)),""))))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IF(R208="","",COUNTIF($C$5:$C$6004,R208))</f>
        <v/>
      </c>
      <c r="W208" s="2">
        <f>IF(R208="","",COUNTIFS($C$5:$C$6004,R208,$O$5:$O$6004,"CONCLUÍDA"))</f>
        <v/>
      </c>
      <c r="X208" s="2">
        <f>IF(R208="","",COUNTIFS($C$5:$C$6004,R208,$O$5:$O$6004,"EM ANDAMENTO"))</f>
        <v/>
      </c>
      <c r="Y208" s="2">
        <f>IF(R208="","",IF(COUNTIFS($C$5:$C$6004,R208,$O$5:$O$6004,"CONCLUÍDA",$N$5:$N$6004,"&gt;=-99")=0,"",_xlfn.MAXIFS($N$5:$N$6004,$C$5:$C$6004,R208,$O$5:$O$6004,"CONCLUÍDA")))</f>
        <v/>
      </c>
      <c r="Z208" s="2">
        <f>IF(R208="","",IF(COUNTIFS($C$5:$C$6004,R208,$O$5:$O$6004,"EM ANDAMENTO",$N$5:$N$6004,"&gt;=-99")=0,"",_xlfn.MAXIFS($N$5:$N$6004,$C$5:$C$6004,R208,$O$5:$O$6004,"EM ANDAMENTO")))</f>
        <v/>
      </c>
      <c r="AA208" s="2">
        <f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>
      <c r="B209" s="4" t="n">
        <v>9877570</v>
      </c>
      <c r="C209" s="4" t="inlineStr">
        <is>
          <t>ESTRUTURA TORRE</t>
        </is>
      </c>
      <c r="D209" s="4" t="inlineStr">
        <is>
          <t>Forma Pilar</t>
        </is>
      </c>
      <c r="E209" s="4" t="inlineStr">
        <is>
          <t>2º PAV. GARAGEM.</t>
        </is>
      </c>
      <c r="F209" s="119" t="n">
        <v>45915</v>
      </c>
      <c r="G209" s="119" t="n">
        <v>45922</v>
      </c>
      <c r="H209" s="119" t="n">
        <v>46293</v>
      </c>
      <c r="I209" s="4" t="n">
        <v>100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IF(E209="","",IF(ISNUMBER(SEARCH("SUBSOLO",E209)),IFERROR(-VALUE(LEFT(E209,FIND("º",SUBSTITUTE(E209,"°","º"))-1)),-1),IF(LEFT(E209,6)="TÉRREO",0,IFERROR(VALUE(LEFT(E209,FIND("º",SUBSTITUTE(E209,"°","º"))-1)),""))))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IF(R209="","",COUNTIF($C$5:$C$6004,R209))</f>
        <v/>
      </c>
      <c r="W209" s="2">
        <f>IF(R209="","",COUNTIFS($C$5:$C$6004,R209,$O$5:$O$6004,"CONCLUÍDA"))</f>
        <v/>
      </c>
      <c r="X209" s="2">
        <f>IF(R209="","",COUNTIFS($C$5:$C$6004,R209,$O$5:$O$6004,"EM ANDAMENTO"))</f>
        <v/>
      </c>
      <c r="Y209" s="2">
        <f>IF(R209="","",IF(COUNTIFS($C$5:$C$6004,R209,$O$5:$O$6004,"CONCLUÍDA",$N$5:$N$6004,"&gt;=-99")=0,"",_xlfn.MAXIFS($N$5:$N$6004,$C$5:$C$6004,R209,$O$5:$O$6004,"CONCLUÍDA")))</f>
        <v/>
      </c>
      <c r="Z209" s="2">
        <f>IF(R209="","",IF(COUNTIFS($C$5:$C$6004,R209,$O$5:$O$6004,"EM ANDAMENTO",$N$5:$N$6004,"&gt;=-99")=0,"",_xlfn.MAXIFS($N$5:$N$6004,$C$5:$C$6004,R209,$O$5:$O$6004,"EM ANDAMENTO")))</f>
        <v/>
      </c>
      <c r="AA209" s="2">
        <f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>
      <c r="B210" s="4" t="n">
        <v>9877571</v>
      </c>
      <c r="C210" s="4" t="inlineStr">
        <is>
          <t>ESTRUTURA TORRE</t>
        </is>
      </c>
      <c r="D210" s="4" t="inlineStr">
        <is>
          <t>Armação Pilar</t>
        </is>
      </c>
      <c r="E210" s="4" t="inlineStr">
        <is>
          <t>2º PAV. GARAGEM.</t>
        </is>
      </c>
      <c r="F210" s="119" t="n">
        <v>45922</v>
      </c>
      <c r="G210" s="119" t="n">
        <v>45929</v>
      </c>
      <c r="H210" s="119" t="n">
        <v>46293</v>
      </c>
      <c r="I210" s="4" t="n">
        <v>100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IF(E210="","",IF(ISNUMBER(SEARCH("SUBSOLO",E210)),IFERROR(-VALUE(LEFT(E210,FIND("º",SUBSTITUTE(E210,"°","º"))-1)),-1),IF(LEFT(E210,6)="TÉRREO",0,IFERROR(VALUE(LEFT(E210,FIND("º",SUBSTITUTE(E210,"°","º"))-1)),""))))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IF(R210="","",COUNTIF($C$5:$C$6004,R210))</f>
        <v/>
      </c>
      <c r="W210" s="2">
        <f>IF(R210="","",COUNTIFS($C$5:$C$6004,R210,$O$5:$O$6004,"CONCLUÍDA"))</f>
        <v/>
      </c>
      <c r="X210" s="2">
        <f>IF(R210="","",COUNTIFS($C$5:$C$6004,R210,$O$5:$O$6004,"EM ANDAMENTO"))</f>
        <v/>
      </c>
      <c r="Y210" s="2">
        <f>IF(R210="","",IF(COUNTIFS($C$5:$C$6004,R210,$O$5:$O$6004,"CONCLUÍDA",$N$5:$N$6004,"&gt;=-99")=0,"",_xlfn.MAXIFS($N$5:$N$6004,$C$5:$C$6004,R210,$O$5:$O$6004,"CONCLUÍDA")))</f>
        <v/>
      </c>
      <c r="Z210" s="2">
        <f>IF(R210="","",IF(COUNTIFS($C$5:$C$6004,R210,$O$5:$O$6004,"EM ANDAMENTO",$N$5:$N$6004,"&gt;=-99")=0,"",_xlfn.MAXIFS($N$5:$N$6004,$C$5:$C$6004,R210,$O$5:$O$6004,"EM ANDAMENTO")))</f>
        <v/>
      </c>
      <c r="AA210" s="2">
        <f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>
      <c r="B211" s="4" t="n">
        <v>9877572</v>
      </c>
      <c r="C211" s="4" t="inlineStr">
        <is>
          <t>ESTRUTURA TORRE</t>
        </is>
      </c>
      <c r="D211" s="4" t="inlineStr">
        <is>
          <t>Escoramento</t>
        </is>
      </c>
      <c r="E211" s="4" t="inlineStr">
        <is>
          <t>2º PAV. GARAGEM.</t>
        </is>
      </c>
      <c r="F211" s="119" t="n">
        <v>45923</v>
      </c>
      <c r="G211" s="119" t="n">
        <v>45930</v>
      </c>
      <c r="H211" s="119" t="n">
        <v>46293</v>
      </c>
      <c r="I211" s="4" t="n">
        <v>100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IF(E211="","",IF(ISNUMBER(SEARCH("SUBSOLO",E211)),IFERROR(-VALUE(LEFT(E211,FIND("º",SUBSTITUTE(E211,"°","º"))-1)),-1),IF(LEFT(E211,6)="TÉRREO",0,IFERROR(VALUE(LEFT(E211,FIND("º",SUBSTITUTE(E211,"°","º"))-1)),""))))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IF(R211="","",COUNTIF($C$5:$C$6004,R211))</f>
        <v/>
      </c>
      <c r="W211" s="2">
        <f>IF(R211="","",COUNTIFS($C$5:$C$6004,R211,$O$5:$O$6004,"CONCLUÍDA"))</f>
        <v/>
      </c>
      <c r="X211" s="2">
        <f>IF(R211="","",COUNTIFS($C$5:$C$6004,R211,$O$5:$O$6004,"EM ANDAMENTO"))</f>
        <v/>
      </c>
      <c r="Y211" s="2">
        <f>IF(R211="","",IF(COUNTIFS($C$5:$C$6004,R211,$O$5:$O$6004,"CONCLUÍDA",$N$5:$N$6004,"&gt;=-99")=0,"",_xlfn.MAXIFS($N$5:$N$6004,$C$5:$C$6004,R211,$O$5:$O$6004,"CONCLUÍDA")))</f>
        <v/>
      </c>
      <c r="Z211" s="2">
        <f>IF(R211="","",IF(COUNTIFS($C$5:$C$6004,R211,$O$5:$O$6004,"EM ANDAMENTO",$N$5:$N$6004,"&gt;=-99")=0,"",_xlfn.MAXIFS($N$5:$N$6004,$C$5:$C$6004,R211,$O$5:$O$6004,"EM ANDAMENTO")))</f>
        <v/>
      </c>
      <c r="AA211" s="2">
        <f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>
      <c r="B212" s="4" t="n">
        <v>9877573</v>
      </c>
      <c r="C212" s="4" t="inlineStr">
        <is>
          <t>ESTRUTURA TORRE</t>
        </is>
      </c>
      <c r="D212" s="4" t="inlineStr">
        <is>
          <t>Concretagem Pilar</t>
        </is>
      </c>
      <c r="E212" s="4" t="inlineStr">
        <is>
          <t>2º PAV. GARAGEM.</t>
        </is>
      </c>
      <c r="F212" s="119" t="n">
        <v>45931</v>
      </c>
      <c r="G212" s="119" t="n">
        <v>45931</v>
      </c>
      <c r="H212" s="119" t="n">
        <v>46293</v>
      </c>
      <c r="I212" s="4" t="n">
        <v>100</v>
      </c>
      <c r="J212" s="4" t="n">
        <v>100</v>
      </c>
      <c r="K212" s="4" t="n">
        <v>50</v>
      </c>
      <c r="M212" s="2">
        <f>IF(C212="","",IFERROR(INDEX($S$5:$S$304,MATCH(C212,$R$5:$R$304,0))&amp;"","?"))</f>
        <v/>
      </c>
      <c r="N212" s="2">
        <f>IF(E212="","",IF(ISNUMBER(SEARCH("SUBSOLO",E212)),IFERROR(-VALUE(LEFT(E212,FIND("º",SUBSTITUTE(E212,"°","º"))-1)),-1),IF(LEFT(E212,6)="TÉRREO",0,IFERROR(VALUE(LEFT(E212,FIND("º",SUBSTITUTE(E212,"°","º"))-1)),""))))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IF(R212="","",COUNTIF($C$5:$C$6004,R212))</f>
        <v/>
      </c>
      <c r="W212" s="2">
        <f>IF(R212="","",COUNTIFS($C$5:$C$6004,R212,$O$5:$O$6004,"CONCLUÍDA"))</f>
        <v/>
      </c>
      <c r="X212" s="2">
        <f>IF(R212="","",COUNTIFS($C$5:$C$6004,R212,$O$5:$O$6004,"EM ANDAMENTO"))</f>
        <v/>
      </c>
      <c r="Y212" s="2">
        <f>IF(R212="","",IF(COUNTIFS($C$5:$C$6004,R212,$O$5:$O$6004,"CONCLUÍDA",$N$5:$N$6004,"&gt;=-99")=0,"",_xlfn.MAXIFS($N$5:$N$6004,$C$5:$C$6004,R212,$O$5:$O$6004,"CONCLUÍDA")))</f>
        <v/>
      </c>
      <c r="Z212" s="2">
        <f>IF(R212="","",IF(COUNTIFS($C$5:$C$6004,R212,$O$5:$O$6004,"EM ANDAMENTO",$N$5:$N$6004,"&gt;=-99")=0,"",_xlfn.MAXIFS($N$5:$N$6004,$C$5:$C$6004,R212,$O$5:$O$6004,"EM ANDAMENTO")))</f>
        <v/>
      </c>
      <c r="AA212" s="2">
        <f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>
      <c r="B213" s="4" t="n">
        <v>9877574</v>
      </c>
      <c r="C213" s="4" t="inlineStr">
        <is>
          <t>ESTRUTURA TORRE</t>
        </is>
      </c>
      <c r="D213" s="4" t="inlineStr">
        <is>
          <t>Forma Vigas e Lajes</t>
        </is>
      </c>
      <c r="E213" s="4" t="inlineStr">
        <is>
          <t>2º PAV. GARAGEM.</t>
        </is>
      </c>
      <c r="F213" s="119" t="n">
        <v>45932</v>
      </c>
      <c r="G213" s="119" t="n">
        <v>45940</v>
      </c>
      <c r="H213" s="119" t="n">
        <v>46293</v>
      </c>
      <c r="I213" s="4" t="n">
        <v>100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IF(E213="","",IF(ISNUMBER(SEARCH("SUBSOLO",E213)),IFERROR(-VALUE(LEFT(E213,FIND("º",SUBSTITUTE(E213,"°","º"))-1)),-1),IF(LEFT(E213,6)="TÉRREO",0,IFERROR(VALUE(LEFT(E213,FIND("º",SUBSTITUTE(E213,"°","º"))-1)),""))))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IF(R213="","",COUNTIF($C$5:$C$6004,R213))</f>
        <v/>
      </c>
      <c r="W213" s="2">
        <f>IF(R213="","",COUNTIFS($C$5:$C$6004,R213,$O$5:$O$6004,"CONCLUÍDA"))</f>
        <v/>
      </c>
      <c r="X213" s="2">
        <f>IF(R213="","",COUNTIFS($C$5:$C$6004,R213,$O$5:$O$6004,"EM ANDAMENTO"))</f>
        <v/>
      </c>
      <c r="Y213" s="2">
        <f>IF(R213="","",IF(COUNTIFS($C$5:$C$6004,R213,$O$5:$O$6004,"CONCLUÍDA",$N$5:$N$6004,"&gt;=-99")=0,"",_xlfn.MAXIFS($N$5:$N$6004,$C$5:$C$6004,R213,$O$5:$O$6004,"CONCLUÍDA")))</f>
        <v/>
      </c>
      <c r="Z213" s="2">
        <f>IF(R213="","",IF(COUNTIFS($C$5:$C$6004,R213,$O$5:$O$6004,"EM ANDAMENTO",$N$5:$N$6004,"&gt;=-99")=0,"",_xlfn.MAXIFS($N$5:$N$6004,$C$5:$C$6004,R213,$O$5:$O$6004,"EM ANDAMENTO")))</f>
        <v/>
      </c>
      <c r="AA213" s="2">
        <f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>
      <c r="B214" s="4" t="n">
        <v>9877575</v>
      </c>
      <c r="C214" s="4" t="inlineStr">
        <is>
          <t>ESTRUTURA TORRE</t>
        </is>
      </c>
      <c r="D214" s="4" t="inlineStr">
        <is>
          <t>Armação Vigas e Lajes</t>
        </is>
      </c>
      <c r="E214" s="4" t="inlineStr">
        <is>
          <t>2º PAV. GARAGEM.</t>
        </is>
      </c>
      <c r="F214" s="119" t="n">
        <v>45933</v>
      </c>
      <c r="G214" s="119" t="n">
        <v>45943</v>
      </c>
      <c r="H214" s="119" t="n">
        <v>46293</v>
      </c>
      <c r="I214" s="4" t="n">
        <v>100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IF(E214="","",IF(ISNUMBER(SEARCH("SUBSOLO",E214)),IFERROR(-VALUE(LEFT(E214,FIND("º",SUBSTITUTE(E214,"°","º"))-1)),-1),IF(LEFT(E214,6)="TÉRREO",0,IFERROR(VALUE(LEFT(E214,FIND("º",SUBSTITUTE(E214,"°","º"))-1)),""))))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IF(R214="","",COUNTIF($C$5:$C$6004,R214))</f>
        <v/>
      </c>
      <c r="W214" s="2">
        <f>IF(R214="","",COUNTIFS($C$5:$C$6004,R214,$O$5:$O$6004,"CONCLUÍDA"))</f>
        <v/>
      </c>
      <c r="X214" s="2">
        <f>IF(R214="","",COUNTIFS($C$5:$C$6004,R214,$O$5:$O$6004,"EM ANDAMENTO"))</f>
        <v/>
      </c>
      <c r="Y214" s="2">
        <f>IF(R214="","",IF(COUNTIFS($C$5:$C$6004,R214,$O$5:$O$6004,"CONCLUÍDA",$N$5:$N$6004,"&gt;=-99")=0,"",_xlfn.MAXIFS($N$5:$N$6004,$C$5:$C$6004,R214,$O$5:$O$6004,"CONCLUÍDA")))</f>
        <v/>
      </c>
      <c r="Z214" s="2">
        <f>IF(R214="","",IF(COUNTIFS($C$5:$C$6004,R214,$O$5:$O$6004,"EM ANDAMENTO",$N$5:$N$6004,"&gt;=-99")=0,"",_xlfn.MAXIFS($N$5:$N$6004,$C$5:$C$6004,R214,$O$5:$O$6004,"EM ANDAMENTO")))</f>
        <v/>
      </c>
      <c r="AA214" s="2">
        <f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>
      <c r="B215" s="4" t="n">
        <v>9877576</v>
      </c>
      <c r="C215" s="4" t="inlineStr">
        <is>
          <t>ESTRUTURA TORRE</t>
        </is>
      </c>
      <c r="D215" s="4" t="inlineStr">
        <is>
          <t>Passagem Hidráulica</t>
        </is>
      </c>
      <c r="E215" s="4" t="inlineStr">
        <is>
          <t>2º PAV. GARAGEM.</t>
        </is>
      </c>
      <c r="F215" s="119" t="n">
        <v>45940</v>
      </c>
      <c r="G215" s="119" t="n">
        <v>45943</v>
      </c>
      <c r="H215" s="119" t="n">
        <v>46293</v>
      </c>
      <c r="I215" s="4" t="n">
        <v>100</v>
      </c>
      <c r="J215" s="4" t="n">
        <v>100</v>
      </c>
      <c r="K215" s="4" t="n">
        <v>0</v>
      </c>
      <c r="M215" s="2">
        <f>IF(C215="","",IFERROR(INDEX($S$5:$S$304,MATCH(C215,$R$5:$R$304,0))&amp;"","?"))</f>
        <v/>
      </c>
      <c r="N215" s="2">
        <f>IF(E215="","",IF(ISNUMBER(SEARCH("SUBSOLO",E215)),IFERROR(-VALUE(LEFT(E215,FIND("º",SUBSTITUTE(E215,"°","º"))-1)),-1),IF(LEFT(E215,6)="TÉRREO",0,IFERROR(VALUE(LEFT(E215,FIND("º",SUBSTITUTE(E215,"°","º"))-1)),""))))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IF(R215="","",COUNTIF($C$5:$C$6004,R215))</f>
        <v/>
      </c>
      <c r="W215" s="2">
        <f>IF(R215="","",COUNTIFS($C$5:$C$6004,R215,$O$5:$O$6004,"CONCLUÍDA"))</f>
        <v/>
      </c>
      <c r="X215" s="2">
        <f>IF(R215="","",COUNTIFS($C$5:$C$6004,R215,$O$5:$O$6004,"EM ANDAMENTO"))</f>
        <v/>
      </c>
      <c r="Y215" s="2">
        <f>IF(R215="","",IF(COUNTIFS($C$5:$C$6004,R215,$O$5:$O$6004,"CONCLUÍDA",$N$5:$N$6004,"&gt;=-99")=0,"",_xlfn.MAXIFS($N$5:$N$6004,$C$5:$C$6004,R215,$O$5:$O$6004,"CONCLUÍDA")))</f>
        <v/>
      </c>
      <c r="Z215" s="2">
        <f>IF(R215="","",IF(COUNTIFS($C$5:$C$6004,R215,$O$5:$O$6004,"EM ANDAMENTO",$N$5:$N$6004,"&gt;=-99")=0,"",_xlfn.MAXIFS($N$5:$N$6004,$C$5:$C$6004,R215,$O$5:$O$6004,"EM ANDAMENTO")))</f>
        <v/>
      </c>
      <c r="AA215" s="2">
        <f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>
      <c r="B216" s="4" t="n">
        <v>9877577</v>
      </c>
      <c r="C216" s="4" t="inlineStr">
        <is>
          <t>ESTRUTURA TORRE</t>
        </is>
      </c>
      <c r="D216" s="4" t="inlineStr">
        <is>
          <t>Passagem Elétrica</t>
        </is>
      </c>
      <c r="E216" s="4" t="inlineStr">
        <is>
          <t>2º PAV. GARAGEM.</t>
        </is>
      </c>
      <c r="F216" s="119" t="n">
        <v>45943</v>
      </c>
      <c r="G216" s="119" t="n">
        <v>45944</v>
      </c>
      <c r="H216" s="119" t="n">
        <v>46293</v>
      </c>
      <c r="I216" s="4" t="n">
        <v>100</v>
      </c>
      <c r="J216" s="4" t="n">
        <v>100</v>
      </c>
      <c r="K216" s="4" t="n">
        <v>0</v>
      </c>
      <c r="M216" s="2">
        <f>IF(C216="","",IFERROR(INDEX($S$5:$S$304,MATCH(C216,$R$5:$R$304,0))&amp;"","?"))</f>
        <v/>
      </c>
      <c r="N216" s="2">
        <f>IF(E216="","",IF(ISNUMBER(SEARCH("SUBSOLO",E216)),IFERROR(-VALUE(LEFT(E216,FIND("º",SUBSTITUTE(E216,"°","º"))-1)),-1),IF(LEFT(E216,6)="TÉRREO",0,IFERROR(VALUE(LEFT(E216,FIND("º",SUBSTITUTE(E216,"°","º"))-1)),""))))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IF(R216="","",COUNTIF($C$5:$C$6004,R216))</f>
        <v/>
      </c>
      <c r="W216" s="2">
        <f>IF(R216="","",COUNTIFS($C$5:$C$6004,R216,$O$5:$O$6004,"CONCLUÍDA"))</f>
        <v/>
      </c>
      <c r="X216" s="2">
        <f>IF(R216="","",COUNTIFS($C$5:$C$6004,R216,$O$5:$O$6004,"EM ANDAMENTO"))</f>
        <v/>
      </c>
      <c r="Y216" s="2">
        <f>IF(R216="","",IF(COUNTIFS($C$5:$C$6004,R216,$O$5:$O$6004,"CONCLUÍDA",$N$5:$N$6004,"&gt;=-99")=0,"",_xlfn.MAXIFS($N$5:$N$6004,$C$5:$C$6004,R216,$O$5:$O$6004,"CONCLUÍDA")))</f>
        <v/>
      </c>
      <c r="Z216" s="2">
        <f>IF(R216="","",IF(COUNTIFS($C$5:$C$6004,R216,$O$5:$O$6004,"EM ANDAMENTO",$N$5:$N$6004,"&gt;=-99")=0,"",_xlfn.MAXIFS($N$5:$N$6004,$C$5:$C$6004,R216,$O$5:$O$6004,"EM ANDAMENTO")))</f>
        <v/>
      </c>
      <c r="AA216" s="2">
        <f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>
      <c r="B217" s="4" t="n">
        <v>9877578</v>
      </c>
      <c r="C217" s="4" t="inlineStr">
        <is>
          <t>ESTRUTURA TORRE</t>
        </is>
      </c>
      <c r="D217" s="4" t="inlineStr">
        <is>
          <t>Concretagem</t>
        </is>
      </c>
      <c r="E217" s="4" t="inlineStr">
        <is>
          <t>2º PAV. GARAGEM.</t>
        </is>
      </c>
      <c r="F217" s="119" t="n">
        <v>45945</v>
      </c>
      <c r="G217" s="119" t="n">
        <v>45945</v>
      </c>
      <c r="H217" s="119" t="n">
        <v>46293</v>
      </c>
      <c r="I217" s="4" t="n">
        <v>100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IF(E217="","",IF(ISNUMBER(SEARCH("SUBSOLO",E217)),IFERROR(-VALUE(LEFT(E217,FIND("º",SUBSTITUTE(E217,"°","º"))-1)),-1),IF(LEFT(E217,6)="TÉRREO",0,IFERROR(VALUE(LEFT(E217,FIND("º",SUBSTITUTE(E217,"°","º"))-1)),""))))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IF(R217="","",COUNTIF($C$5:$C$6004,R217))</f>
        <v/>
      </c>
      <c r="W217" s="2">
        <f>IF(R217="","",COUNTIFS($C$5:$C$6004,R217,$O$5:$O$6004,"CONCLUÍDA"))</f>
        <v/>
      </c>
      <c r="X217" s="2">
        <f>IF(R217="","",COUNTIFS($C$5:$C$6004,R217,$O$5:$O$6004,"EM ANDAMENTO"))</f>
        <v/>
      </c>
      <c r="Y217" s="2">
        <f>IF(R217="","",IF(COUNTIFS($C$5:$C$6004,R217,$O$5:$O$6004,"CONCLUÍDA",$N$5:$N$6004,"&gt;=-99")=0,"",_xlfn.MAXIFS($N$5:$N$6004,$C$5:$C$6004,R217,$O$5:$O$6004,"CONCLUÍDA")))</f>
        <v/>
      </c>
      <c r="Z217" s="2">
        <f>IF(R217="","",IF(COUNTIFS($C$5:$C$6004,R217,$O$5:$O$6004,"EM ANDAMENTO",$N$5:$N$6004,"&gt;=-99")=0,"",_xlfn.MAXIFS($N$5:$N$6004,$C$5:$C$6004,R217,$O$5:$O$6004,"EM ANDAMENTO")))</f>
        <v/>
      </c>
      <c r="AA217" s="2">
        <f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>
      <c r="B218" s="4" t="n">
        <v>29174116</v>
      </c>
      <c r="C218" s="4" t="inlineStr">
        <is>
          <t>ESTRUTURA EMBASAMENTO C</t>
        </is>
      </c>
      <c r="D218" s="4" t="inlineStr">
        <is>
          <t>-</t>
        </is>
      </c>
      <c r="E218" s="4" t="inlineStr">
        <is>
          <t>2º PAV. GARAGEM.</t>
        </is>
      </c>
      <c r="F218" s="119" t="n">
        <v>45937</v>
      </c>
      <c r="G218" s="119" t="n">
        <v>45967</v>
      </c>
      <c r="H218" s="119" t="n">
        <v>46293</v>
      </c>
      <c r="I218" s="4" t="n">
        <v>100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IF(E218="","",IF(ISNUMBER(SEARCH("SUBSOLO",E218)),IFERROR(-VALUE(LEFT(E218,FIND("º",SUBSTITUTE(E218,"°","º"))-1)),-1),IF(LEFT(E218,6)="TÉRREO",0,IFERROR(VALUE(LEFT(E218,FIND("º",SUBSTITUTE(E218,"°","º"))-1)),""))))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IF(R218="","",COUNTIF($C$5:$C$6004,R218))</f>
        <v/>
      </c>
      <c r="W218" s="2">
        <f>IF(R218="","",COUNTIFS($C$5:$C$6004,R218,$O$5:$O$6004,"CONCLUÍDA"))</f>
        <v/>
      </c>
      <c r="X218" s="2">
        <f>IF(R218="","",COUNTIFS($C$5:$C$6004,R218,$O$5:$O$6004,"EM ANDAMENTO"))</f>
        <v/>
      </c>
      <c r="Y218" s="2">
        <f>IF(R218="","",IF(COUNTIFS($C$5:$C$6004,R218,$O$5:$O$6004,"CONCLUÍDA",$N$5:$N$6004,"&gt;=-99")=0,"",_xlfn.MAXIFS($N$5:$N$6004,$C$5:$C$6004,R218,$O$5:$O$6004,"CONCLUÍDA")))</f>
        <v/>
      </c>
      <c r="Z218" s="2">
        <f>IF(R218="","",IF(COUNTIFS($C$5:$C$6004,R218,$O$5:$O$6004,"EM ANDAMENTO",$N$5:$N$6004,"&gt;=-99")=0,"",_xlfn.MAXIFS($N$5:$N$6004,$C$5:$C$6004,R218,$O$5:$O$6004,"EM ANDAMENTO")))</f>
        <v/>
      </c>
      <c r="AA218" s="2">
        <f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>
      <c r="B219" s="4" t="n">
        <v>10568976</v>
      </c>
      <c r="C219" s="4" t="inlineStr">
        <is>
          <t>ESTRUTURA EMBASAMENTO C</t>
        </is>
      </c>
      <c r="D219" s="4" t="inlineStr">
        <is>
          <t>Armação Pilar</t>
        </is>
      </c>
      <c r="E219" s="4" t="inlineStr">
        <is>
          <t>2º PAV. GARAGEM.</t>
        </is>
      </c>
      <c r="F219" s="119" t="n">
        <v>45937</v>
      </c>
      <c r="G219" s="119" t="n">
        <v>45943</v>
      </c>
      <c r="H219" s="119" t="n">
        <v>46293</v>
      </c>
      <c r="I219" s="4" t="n">
        <v>100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IF(E219="","",IF(ISNUMBER(SEARCH("SUBSOLO",E219)),IFERROR(-VALUE(LEFT(E219,FIND("º",SUBSTITUTE(E219,"°","º"))-1)),-1),IF(LEFT(E219,6)="TÉRREO",0,IFERROR(VALUE(LEFT(E219,FIND("º",SUBSTITUTE(E219,"°","º"))-1)),""))))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IF(R219="","",COUNTIF($C$5:$C$6004,R219))</f>
        <v/>
      </c>
      <c r="W219" s="2">
        <f>IF(R219="","",COUNTIFS($C$5:$C$6004,R219,$O$5:$O$6004,"CONCLUÍDA"))</f>
        <v/>
      </c>
      <c r="X219" s="2">
        <f>IF(R219="","",COUNTIFS($C$5:$C$6004,R219,$O$5:$O$6004,"EM ANDAMENTO"))</f>
        <v/>
      </c>
      <c r="Y219" s="2">
        <f>IF(R219="","",IF(COUNTIFS($C$5:$C$6004,R219,$O$5:$O$6004,"CONCLUÍDA",$N$5:$N$6004,"&gt;=-99")=0,"",_xlfn.MAXIFS($N$5:$N$6004,$C$5:$C$6004,R219,$O$5:$O$6004,"CONCLUÍDA")))</f>
        <v/>
      </c>
      <c r="Z219" s="2">
        <f>IF(R219="","",IF(COUNTIFS($C$5:$C$6004,R219,$O$5:$O$6004,"EM ANDAMENTO",$N$5:$N$6004,"&gt;=-99")=0,"",_xlfn.MAXIFS($N$5:$N$6004,$C$5:$C$6004,R219,$O$5:$O$6004,"EM ANDAMENTO")))</f>
        <v/>
      </c>
      <c r="AA219" s="2">
        <f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>
      <c r="B220" s="4" t="n">
        <v>10568977</v>
      </c>
      <c r="C220" s="4" t="inlineStr">
        <is>
          <t>ESTRUTURA EMBASAMENTO C</t>
        </is>
      </c>
      <c r="D220" s="4" t="inlineStr">
        <is>
          <t>Forma Pilar</t>
        </is>
      </c>
      <c r="E220" s="4" t="inlineStr">
        <is>
          <t>2º PAV. GARAGEM.</t>
        </is>
      </c>
      <c r="F220" s="119" t="n">
        <v>45944</v>
      </c>
      <c r="G220" s="119" t="n">
        <v>45950</v>
      </c>
      <c r="H220" s="119" t="n">
        <v>46293</v>
      </c>
      <c r="I220" s="4" t="n">
        <v>100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IF(E220="","",IF(ISNUMBER(SEARCH("SUBSOLO",E220)),IFERROR(-VALUE(LEFT(E220,FIND("º",SUBSTITUTE(E220,"°","º"))-1)),-1),IF(LEFT(E220,6)="TÉRREO",0,IFERROR(VALUE(LEFT(E220,FIND("º",SUBSTITUTE(E220,"°","º"))-1)),""))))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IF(R220="","",COUNTIF($C$5:$C$6004,R220))</f>
        <v/>
      </c>
      <c r="W220" s="2">
        <f>IF(R220="","",COUNTIFS($C$5:$C$6004,R220,$O$5:$O$6004,"CONCLUÍDA"))</f>
        <v/>
      </c>
      <c r="X220" s="2">
        <f>IF(R220="","",COUNTIFS($C$5:$C$6004,R220,$O$5:$O$6004,"EM ANDAMENTO"))</f>
        <v/>
      </c>
      <c r="Y220" s="2">
        <f>IF(R220="","",IF(COUNTIFS($C$5:$C$6004,R220,$O$5:$O$6004,"CONCLUÍDA",$N$5:$N$6004,"&gt;=-99")=0,"",_xlfn.MAXIFS($N$5:$N$6004,$C$5:$C$6004,R220,$O$5:$O$6004,"CONCLUÍDA")))</f>
        <v/>
      </c>
      <c r="Z220" s="2">
        <f>IF(R220="","",IF(COUNTIFS($C$5:$C$6004,R220,$O$5:$O$6004,"EM ANDAMENTO",$N$5:$N$6004,"&gt;=-99")=0,"",_xlfn.MAXIFS($N$5:$N$6004,$C$5:$C$6004,R220,$O$5:$O$6004,"EM ANDAMENTO")))</f>
        <v/>
      </c>
      <c r="AA220" s="2">
        <f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>
      <c r="B221" s="4" t="n">
        <v>10568978</v>
      </c>
      <c r="C221" s="4" t="inlineStr">
        <is>
          <t>ESTRUTURA EMBASAMENTO C</t>
        </is>
      </c>
      <c r="D221" s="4" t="inlineStr">
        <is>
          <t>Escoramento</t>
        </is>
      </c>
      <c r="E221" s="4" t="inlineStr">
        <is>
          <t>2º PAV. GARAGEM.</t>
        </is>
      </c>
      <c r="F221" s="119" t="n">
        <v>45951</v>
      </c>
      <c r="G221" s="119" t="n">
        <v>45958</v>
      </c>
      <c r="H221" s="119" t="n">
        <v>46293</v>
      </c>
      <c r="I221" s="4" t="n">
        <v>100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IF(E221="","",IF(ISNUMBER(SEARCH("SUBSOLO",E221)),IFERROR(-VALUE(LEFT(E221,FIND("º",SUBSTITUTE(E221,"°","º"))-1)),-1),IF(LEFT(E221,6)="TÉRREO",0,IFERROR(VALUE(LEFT(E221,FIND("º",SUBSTITUTE(E221,"°","º"))-1)),""))))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IF(R221="","",COUNTIF($C$5:$C$6004,R221))</f>
        <v/>
      </c>
      <c r="W221" s="2">
        <f>IF(R221="","",COUNTIFS($C$5:$C$6004,R221,$O$5:$O$6004,"CONCLUÍDA"))</f>
        <v/>
      </c>
      <c r="X221" s="2">
        <f>IF(R221="","",COUNTIFS($C$5:$C$6004,R221,$O$5:$O$6004,"EM ANDAMENTO"))</f>
        <v/>
      </c>
      <c r="Y221" s="2">
        <f>IF(R221="","",IF(COUNTIFS($C$5:$C$6004,R221,$O$5:$O$6004,"CONCLUÍDA",$N$5:$N$6004,"&gt;=-99")=0,"",_xlfn.MAXIFS($N$5:$N$6004,$C$5:$C$6004,R221,$O$5:$O$6004,"CONCLUÍDA")))</f>
        <v/>
      </c>
      <c r="Z221" s="2">
        <f>IF(R221="","",IF(COUNTIFS($C$5:$C$6004,R221,$O$5:$O$6004,"EM ANDAMENTO",$N$5:$N$6004,"&gt;=-99")=0,"",_xlfn.MAXIFS($N$5:$N$6004,$C$5:$C$6004,R221,$O$5:$O$6004,"EM ANDAMENTO")))</f>
        <v/>
      </c>
      <c r="AA221" s="2">
        <f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>
      <c r="B222" s="4" t="n">
        <v>10568979</v>
      </c>
      <c r="C222" s="4" t="inlineStr">
        <is>
          <t>ESTRUTURA EMBASAMENTO C</t>
        </is>
      </c>
      <c r="D222" s="4" t="inlineStr">
        <is>
          <t>Forma Vigas e Lajes</t>
        </is>
      </c>
      <c r="E222" s="4" t="inlineStr">
        <is>
          <t>2º PAV. GARAGEM.</t>
        </is>
      </c>
      <c r="F222" s="119" t="n">
        <v>45952</v>
      </c>
      <c r="G222" s="119" t="n">
        <v>45960</v>
      </c>
      <c r="H222" s="119" t="n">
        <v>46293</v>
      </c>
      <c r="I222" s="4" t="n">
        <v>100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IF(E222="","",IF(ISNUMBER(SEARCH("SUBSOLO",E222)),IFERROR(-VALUE(LEFT(E222,FIND("º",SUBSTITUTE(E222,"°","º"))-1)),-1),IF(LEFT(E222,6)="TÉRREO",0,IFERROR(VALUE(LEFT(E222,FIND("º",SUBSTITUTE(E222,"°","º"))-1)),""))))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IF(R222="","",COUNTIF($C$5:$C$6004,R222))</f>
        <v/>
      </c>
      <c r="W222" s="2">
        <f>IF(R222="","",COUNTIFS($C$5:$C$6004,R222,$O$5:$O$6004,"CONCLUÍDA"))</f>
        <v/>
      </c>
      <c r="X222" s="2">
        <f>IF(R222="","",COUNTIFS($C$5:$C$6004,R222,$O$5:$O$6004,"EM ANDAMENTO"))</f>
        <v/>
      </c>
      <c r="Y222" s="2">
        <f>IF(R222="","",IF(COUNTIFS($C$5:$C$6004,R222,$O$5:$O$6004,"CONCLUÍDA",$N$5:$N$6004,"&gt;=-99")=0,"",_xlfn.MAXIFS($N$5:$N$6004,$C$5:$C$6004,R222,$O$5:$O$6004,"CONCLUÍDA")))</f>
        <v/>
      </c>
      <c r="Z222" s="2">
        <f>IF(R222="","",IF(COUNTIFS($C$5:$C$6004,R222,$O$5:$O$6004,"EM ANDAMENTO",$N$5:$N$6004,"&gt;=-99")=0,"",_xlfn.MAXIFS($N$5:$N$6004,$C$5:$C$6004,R222,$O$5:$O$6004,"EM ANDAMENTO")))</f>
        <v/>
      </c>
      <c r="AA222" s="2">
        <f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>
      <c r="B223" s="4" t="n">
        <v>10568980</v>
      </c>
      <c r="C223" s="4" t="inlineStr">
        <is>
          <t>ESTRUTURA EMBASAMENTO C</t>
        </is>
      </c>
      <c r="D223" s="4" t="inlineStr">
        <is>
          <t>Armação Vigas e Lajes</t>
        </is>
      </c>
      <c r="E223" s="4" t="inlineStr">
        <is>
          <t>2º PAV. GARAGEM.</t>
        </is>
      </c>
      <c r="F223" s="119" t="n">
        <v>45957</v>
      </c>
      <c r="G223" s="119" t="n">
        <v>45964</v>
      </c>
      <c r="H223" s="119" t="n">
        <v>46293</v>
      </c>
      <c r="I223" s="4" t="n">
        <v>100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IF(E223="","",IF(ISNUMBER(SEARCH("SUBSOLO",E223)),IFERROR(-VALUE(LEFT(E223,FIND("º",SUBSTITUTE(E223,"°","º"))-1)),-1),IF(LEFT(E223,6)="TÉRREO",0,IFERROR(VALUE(LEFT(E223,FIND("º",SUBSTITUTE(E223,"°","º"))-1)),""))))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IF(R223="","",COUNTIF($C$5:$C$6004,R223))</f>
        <v/>
      </c>
      <c r="W223" s="2">
        <f>IF(R223="","",COUNTIFS($C$5:$C$6004,R223,$O$5:$O$6004,"CONCLUÍDA"))</f>
        <v/>
      </c>
      <c r="X223" s="2">
        <f>IF(R223="","",COUNTIFS($C$5:$C$6004,R223,$O$5:$O$6004,"EM ANDAMENTO"))</f>
        <v/>
      </c>
      <c r="Y223" s="2">
        <f>IF(R223="","",IF(COUNTIFS($C$5:$C$6004,R223,$O$5:$O$6004,"CONCLUÍDA",$N$5:$N$6004,"&gt;=-99")=0,"",_xlfn.MAXIFS($N$5:$N$6004,$C$5:$C$6004,R223,$O$5:$O$6004,"CONCLUÍDA")))</f>
        <v/>
      </c>
      <c r="Z223" s="2">
        <f>IF(R223="","",IF(COUNTIFS($C$5:$C$6004,R223,$O$5:$O$6004,"EM ANDAMENTO",$N$5:$N$6004,"&gt;=-99")=0,"",_xlfn.MAXIFS($N$5:$N$6004,$C$5:$C$6004,R223,$O$5:$O$6004,"EM ANDAMENTO")))</f>
        <v/>
      </c>
      <c r="AA223" s="2">
        <f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>
      <c r="B224" s="4" t="n">
        <v>10568981</v>
      </c>
      <c r="C224" s="4" t="inlineStr">
        <is>
          <t>ESTRUTURA EMBASAMENTO C</t>
        </is>
      </c>
      <c r="D224" s="4" t="inlineStr">
        <is>
          <t>Passagem Hidráulica</t>
        </is>
      </c>
      <c r="E224" s="4" t="inlineStr">
        <is>
          <t>2º PAV. GARAGEM.</t>
        </is>
      </c>
      <c r="F224" s="119" t="n">
        <v>45965</v>
      </c>
      <c r="G224" s="119" t="n">
        <v>45965</v>
      </c>
      <c r="H224" s="119" t="n">
        <v>46293</v>
      </c>
      <c r="I224" s="4" t="n">
        <v>100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IF(E224="","",IF(ISNUMBER(SEARCH("SUBSOLO",E224)),IFERROR(-VALUE(LEFT(E224,FIND("º",SUBSTITUTE(E224,"°","º"))-1)),-1),IF(LEFT(E224,6)="TÉRREO",0,IFERROR(VALUE(LEFT(E224,FIND("º",SUBSTITUTE(E224,"°","º"))-1)),""))))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IF(R224="","",COUNTIF($C$5:$C$6004,R224))</f>
        <v/>
      </c>
      <c r="W224" s="2">
        <f>IF(R224="","",COUNTIFS($C$5:$C$6004,R224,$O$5:$O$6004,"CONCLUÍDA"))</f>
        <v/>
      </c>
      <c r="X224" s="2">
        <f>IF(R224="","",COUNTIFS($C$5:$C$6004,R224,$O$5:$O$6004,"EM ANDAMENTO"))</f>
        <v/>
      </c>
      <c r="Y224" s="2">
        <f>IF(R224="","",IF(COUNTIFS($C$5:$C$6004,R224,$O$5:$O$6004,"CONCLUÍDA",$N$5:$N$6004,"&gt;=-99")=0,"",_xlfn.MAXIFS($N$5:$N$6004,$C$5:$C$6004,R224,$O$5:$O$6004,"CONCLUÍDA")))</f>
        <v/>
      </c>
      <c r="Z224" s="2">
        <f>IF(R224="","",IF(COUNTIFS($C$5:$C$6004,R224,$O$5:$O$6004,"EM ANDAMENTO",$N$5:$N$6004,"&gt;=-99")=0,"",_xlfn.MAXIFS($N$5:$N$6004,$C$5:$C$6004,R224,$O$5:$O$6004,"EM ANDAMENTO")))</f>
        <v/>
      </c>
      <c r="AA224" s="2">
        <f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>
      <c r="B225" s="4" t="n">
        <v>10568982</v>
      </c>
      <c r="C225" s="4" t="inlineStr">
        <is>
          <t>ESTRUTURA EMBASAMENTO C</t>
        </is>
      </c>
      <c r="D225" s="4" t="inlineStr">
        <is>
          <t>Passagem Elétrica</t>
        </is>
      </c>
      <c r="E225" s="4" t="inlineStr">
        <is>
          <t>2º PAV. GARAGEM.</t>
        </is>
      </c>
      <c r="F225" s="119" t="n">
        <v>45966</v>
      </c>
      <c r="G225" s="119" t="n">
        <v>45966</v>
      </c>
      <c r="H225" s="119" t="n">
        <v>46293</v>
      </c>
      <c r="I225" s="4" t="n">
        <v>100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IF(E225="","",IF(ISNUMBER(SEARCH("SUBSOLO",E225)),IFERROR(-VALUE(LEFT(E225,FIND("º",SUBSTITUTE(E225,"°","º"))-1)),-1),IF(LEFT(E225,6)="TÉRREO",0,IFERROR(VALUE(LEFT(E225,FIND("º",SUBSTITUTE(E225,"°","º"))-1)),""))))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IF(R225="","",COUNTIF($C$5:$C$6004,R225))</f>
        <v/>
      </c>
      <c r="W225" s="2">
        <f>IF(R225="","",COUNTIFS($C$5:$C$6004,R225,$O$5:$O$6004,"CONCLUÍDA"))</f>
        <v/>
      </c>
      <c r="X225" s="2">
        <f>IF(R225="","",COUNTIFS($C$5:$C$6004,R225,$O$5:$O$6004,"EM ANDAMENTO"))</f>
        <v/>
      </c>
      <c r="Y225" s="2">
        <f>IF(R225="","",IF(COUNTIFS($C$5:$C$6004,R225,$O$5:$O$6004,"CONCLUÍDA",$N$5:$N$6004,"&gt;=-99")=0,"",_xlfn.MAXIFS($N$5:$N$6004,$C$5:$C$6004,R225,$O$5:$O$6004,"CONCLUÍDA")))</f>
        <v/>
      </c>
      <c r="Z225" s="2">
        <f>IF(R225="","",IF(COUNTIFS($C$5:$C$6004,R225,$O$5:$O$6004,"EM ANDAMENTO",$N$5:$N$6004,"&gt;=-99")=0,"",_xlfn.MAXIFS($N$5:$N$6004,$C$5:$C$6004,R225,$O$5:$O$6004,"EM ANDAMENTO")))</f>
        <v/>
      </c>
      <c r="AA225" s="2">
        <f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>
      <c r="B226" s="4" t="n">
        <v>10568983</v>
      </c>
      <c r="C226" s="4" t="inlineStr">
        <is>
          <t>ESTRUTURA EMBASAMENTO C</t>
        </is>
      </c>
      <c r="D226" s="4" t="inlineStr">
        <is>
          <t>Concretagem</t>
        </is>
      </c>
      <c r="E226" s="4" t="inlineStr">
        <is>
          <t>2º PAV. GARAGEM.</t>
        </is>
      </c>
      <c r="F226" s="119" t="n">
        <v>45967</v>
      </c>
      <c r="G226" s="119" t="n">
        <v>45967</v>
      </c>
      <c r="H226" s="119" t="n">
        <v>46293</v>
      </c>
      <c r="I226" s="4" t="n">
        <v>100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IF(E226="","",IF(ISNUMBER(SEARCH("SUBSOLO",E226)),IFERROR(-VALUE(LEFT(E226,FIND("º",SUBSTITUTE(E226,"°","º"))-1)),-1),IF(LEFT(E226,6)="TÉRREO",0,IFERROR(VALUE(LEFT(E226,FIND("º",SUBSTITUTE(E226,"°","º"))-1)),""))))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IF(R226="","",COUNTIF($C$5:$C$6004,R226))</f>
        <v/>
      </c>
      <c r="W226" s="2">
        <f>IF(R226="","",COUNTIFS($C$5:$C$6004,R226,$O$5:$O$6004,"CONCLUÍDA"))</f>
        <v/>
      </c>
      <c r="X226" s="2">
        <f>IF(R226="","",COUNTIFS($C$5:$C$6004,R226,$O$5:$O$6004,"EM ANDAMENTO"))</f>
        <v/>
      </c>
      <c r="Y226" s="2">
        <f>IF(R226="","",IF(COUNTIFS($C$5:$C$6004,R226,$O$5:$O$6004,"CONCLUÍDA",$N$5:$N$6004,"&gt;=-99")=0,"",_xlfn.MAXIFS($N$5:$N$6004,$C$5:$C$6004,R226,$O$5:$O$6004,"CONCLUÍDA")))</f>
        <v/>
      </c>
      <c r="Z226" s="2">
        <f>IF(R226="","",IF(COUNTIFS($C$5:$C$6004,R226,$O$5:$O$6004,"EM ANDAMENTO",$N$5:$N$6004,"&gt;=-99")=0,"",_xlfn.MAXIFS($N$5:$N$6004,$C$5:$C$6004,R226,$O$5:$O$6004,"EM ANDAMENTO")))</f>
        <v/>
      </c>
      <c r="AA226" s="2">
        <f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>
      <c r="B227" s="4" t="n">
        <v>30641116</v>
      </c>
      <c r="C227" s="4" t="inlineStr">
        <is>
          <t>ESTRUTURA EMBASAMENTO C - MEDIÇÃO</t>
        </is>
      </c>
      <c r="D227" s="4" t="inlineStr">
        <is>
          <t>-</t>
        </is>
      </c>
      <c r="E227" s="4" t="inlineStr">
        <is>
          <t>2º PAV. GARAGEM.</t>
        </is>
      </c>
      <c r="F227" s="119" t="n">
        <v>45937</v>
      </c>
      <c r="G227" s="119" t="n">
        <v>45967</v>
      </c>
      <c r="H227" s="119" t="n">
        <v>46293</v>
      </c>
      <c r="I227" s="4" t="n">
        <v>100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IF(E227="","",IF(ISNUMBER(SEARCH("SUBSOLO",E227)),IFERROR(-VALUE(LEFT(E227,FIND("º",SUBSTITUTE(E227,"°","º"))-1)),-1),IF(LEFT(E227,6)="TÉRREO",0,IFERROR(VALUE(LEFT(E227,FIND("º",SUBSTITUTE(E227,"°","º"))-1)),""))))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IF(R227="","",COUNTIF($C$5:$C$6004,R227))</f>
        <v/>
      </c>
      <c r="W227" s="2">
        <f>IF(R227="","",COUNTIFS($C$5:$C$6004,R227,$O$5:$O$6004,"CONCLUÍDA"))</f>
        <v/>
      </c>
      <c r="X227" s="2">
        <f>IF(R227="","",COUNTIFS($C$5:$C$6004,R227,$O$5:$O$6004,"EM ANDAMENTO"))</f>
        <v/>
      </c>
      <c r="Y227" s="2">
        <f>IF(R227="","",IF(COUNTIFS($C$5:$C$6004,R227,$O$5:$O$6004,"CONCLUÍDA",$N$5:$N$6004,"&gt;=-99")=0,"",_xlfn.MAXIFS($N$5:$N$6004,$C$5:$C$6004,R227,$O$5:$O$6004,"CONCLUÍDA")))</f>
        <v/>
      </c>
      <c r="Z227" s="2">
        <f>IF(R227="","",IF(COUNTIFS($C$5:$C$6004,R227,$O$5:$O$6004,"EM ANDAMENTO",$N$5:$N$6004,"&gt;=-99")=0,"",_xlfn.MAXIFS($N$5:$N$6004,$C$5:$C$6004,R227,$O$5:$O$6004,"EM ANDAMENTO")))</f>
        <v/>
      </c>
      <c r="AA227" s="2">
        <f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>
      <c r="B228" s="4" t="n">
        <v>22139497</v>
      </c>
      <c r="C228" s="4" t="inlineStr">
        <is>
          <t>ESTRUTURA TORRE</t>
        </is>
      </c>
      <c r="D228" s="4" t="inlineStr">
        <is>
          <t>-</t>
        </is>
      </c>
      <c r="E228" s="4" t="inlineStr">
        <is>
          <t>3º PAV. - PILOTIS</t>
        </is>
      </c>
      <c r="F228" s="119" t="n">
        <v>45946</v>
      </c>
      <c r="G228" s="119" t="n">
        <v>45989</v>
      </c>
      <c r="H228" s="119" t="n">
        <v>46293</v>
      </c>
      <c r="I228" s="4" t="n">
        <v>100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IF(E228="","",IF(ISNUMBER(SEARCH("SUBSOLO",E228)),IFERROR(-VALUE(LEFT(E228,FIND("º",SUBSTITUTE(E228,"°","º"))-1)),-1),IF(LEFT(E228,6)="TÉRREO",0,IFERROR(VALUE(LEFT(E228,FIND("º",SUBSTITUTE(E228,"°","º"))-1)),""))))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IF(R228="","",COUNTIF($C$5:$C$6004,R228))</f>
        <v/>
      </c>
      <c r="W228" s="2">
        <f>IF(R228="","",COUNTIFS($C$5:$C$6004,R228,$O$5:$O$6004,"CONCLUÍDA"))</f>
        <v/>
      </c>
      <c r="X228" s="2">
        <f>IF(R228="","",COUNTIFS($C$5:$C$6004,R228,$O$5:$O$6004,"EM ANDAMENTO"))</f>
        <v/>
      </c>
      <c r="Y228" s="2">
        <f>IF(R228="","",IF(COUNTIFS($C$5:$C$6004,R228,$O$5:$O$6004,"CONCLUÍDA",$N$5:$N$6004,"&gt;=-99")=0,"",_xlfn.MAXIFS($N$5:$N$6004,$C$5:$C$6004,R228,$O$5:$O$6004,"CONCLUÍDA")))</f>
        <v/>
      </c>
      <c r="Z228" s="2">
        <f>IF(R228="","",IF(COUNTIFS($C$5:$C$6004,R228,$O$5:$O$6004,"EM ANDAMENTO",$N$5:$N$6004,"&gt;=-99")=0,"",_xlfn.MAXIFS($N$5:$N$6004,$C$5:$C$6004,R228,$O$5:$O$6004,"EM ANDAMENTO")))</f>
        <v/>
      </c>
      <c r="AA228" s="2">
        <f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>
      <c r="B229" s="4" t="n">
        <v>9877549</v>
      </c>
      <c r="C229" s="4" t="inlineStr">
        <is>
          <t>ESTRUTURA TORRE</t>
        </is>
      </c>
      <c r="D229" s="4" t="inlineStr">
        <is>
          <t>Forma Pilar</t>
        </is>
      </c>
      <c r="E229" s="4" t="inlineStr">
        <is>
          <t>3º PAV. - PILOTIS</t>
        </is>
      </c>
      <c r="F229" s="119" t="n">
        <v>45946</v>
      </c>
      <c r="G229" s="119" t="n">
        <v>45957</v>
      </c>
      <c r="H229" s="119" t="n">
        <v>46293</v>
      </c>
      <c r="I229" s="4" t="n">
        <v>100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IF(E229="","",IF(ISNUMBER(SEARCH("SUBSOLO",E229)),IFERROR(-VALUE(LEFT(E229,FIND("º",SUBSTITUTE(E229,"°","º"))-1)),-1),IF(LEFT(E229,6)="TÉRREO",0,IFERROR(VALUE(LEFT(E229,FIND("º",SUBSTITUTE(E229,"°","º"))-1)),""))))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IF(R229="","",COUNTIF($C$5:$C$6004,R229))</f>
        <v/>
      </c>
      <c r="W229" s="2">
        <f>IF(R229="","",COUNTIFS($C$5:$C$6004,R229,$O$5:$O$6004,"CONCLUÍDA"))</f>
        <v/>
      </c>
      <c r="X229" s="2">
        <f>IF(R229="","",COUNTIFS($C$5:$C$6004,R229,$O$5:$O$6004,"EM ANDAMENTO"))</f>
        <v/>
      </c>
      <c r="Y229" s="2">
        <f>IF(R229="","",IF(COUNTIFS($C$5:$C$6004,R229,$O$5:$O$6004,"CONCLUÍDA",$N$5:$N$6004,"&gt;=-99")=0,"",_xlfn.MAXIFS($N$5:$N$6004,$C$5:$C$6004,R229,$O$5:$O$6004,"CONCLUÍDA")))</f>
        <v/>
      </c>
      <c r="Z229" s="2">
        <f>IF(R229="","",IF(COUNTIFS($C$5:$C$6004,R229,$O$5:$O$6004,"EM ANDAMENTO",$N$5:$N$6004,"&gt;=-99")=0,"",_xlfn.MAXIFS($N$5:$N$6004,$C$5:$C$6004,R229,$O$5:$O$6004,"EM ANDAMENTO")))</f>
        <v/>
      </c>
      <c r="AA229" s="2">
        <f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>
      <c r="B230" s="4" t="n">
        <v>9877550</v>
      </c>
      <c r="C230" s="4" t="inlineStr">
        <is>
          <t>ESTRUTURA TORRE</t>
        </is>
      </c>
      <c r="D230" s="4" t="inlineStr">
        <is>
          <t>Armação Pilar</t>
        </is>
      </c>
      <c r="E230" s="4" t="inlineStr">
        <is>
          <t>3º PAV. - PILOTIS</t>
        </is>
      </c>
      <c r="F230" s="119" t="n">
        <v>45957</v>
      </c>
      <c r="G230" s="119" t="n">
        <v>45966</v>
      </c>
      <c r="H230" s="119" t="n">
        <v>46293</v>
      </c>
      <c r="I230" s="4" t="n">
        <v>100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IF(E230="","",IF(ISNUMBER(SEARCH("SUBSOLO",E230)),IFERROR(-VALUE(LEFT(E230,FIND("º",SUBSTITUTE(E230,"°","º"))-1)),-1),IF(LEFT(E230,6)="TÉRREO",0,IFERROR(VALUE(LEFT(E230,FIND("º",SUBSTITUTE(E230,"°","º"))-1)),""))))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IF(R230="","",COUNTIF($C$5:$C$6004,R230))</f>
        <v/>
      </c>
      <c r="W230" s="2">
        <f>IF(R230="","",COUNTIFS($C$5:$C$6004,R230,$O$5:$O$6004,"CONCLUÍDA"))</f>
        <v/>
      </c>
      <c r="X230" s="2">
        <f>IF(R230="","",COUNTIFS($C$5:$C$6004,R230,$O$5:$O$6004,"EM ANDAMENTO"))</f>
        <v/>
      </c>
      <c r="Y230" s="2">
        <f>IF(R230="","",IF(COUNTIFS($C$5:$C$6004,R230,$O$5:$O$6004,"CONCLUÍDA",$N$5:$N$6004,"&gt;=-99")=0,"",_xlfn.MAXIFS($N$5:$N$6004,$C$5:$C$6004,R230,$O$5:$O$6004,"CONCLUÍDA")))</f>
        <v/>
      </c>
      <c r="Z230" s="2">
        <f>IF(R230="","",IF(COUNTIFS($C$5:$C$6004,R230,$O$5:$O$6004,"EM ANDAMENTO",$N$5:$N$6004,"&gt;=-99")=0,"",_xlfn.MAXIFS($N$5:$N$6004,$C$5:$C$6004,R230,$O$5:$O$6004,"EM ANDAMENTO")))</f>
        <v/>
      </c>
      <c r="AA230" s="2">
        <f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>
      <c r="B231" s="4" t="n">
        <v>9877551</v>
      </c>
      <c r="C231" s="4" t="inlineStr">
        <is>
          <t>ESTRUTURA TORRE</t>
        </is>
      </c>
      <c r="D231" s="4" t="inlineStr">
        <is>
          <t>Escoramento</t>
        </is>
      </c>
      <c r="E231" s="4" t="inlineStr">
        <is>
          <t>3º PAV. - PILOTIS</t>
        </is>
      </c>
      <c r="F231" s="119" t="n">
        <v>45958</v>
      </c>
      <c r="G231" s="119" t="n">
        <v>45968</v>
      </c>
      <c r="H231" s="119" t="n">
        <v>46293</v>
      </c>
      <c r="I231" s="4" t="n">
        <v>100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IF(E231="","",IF(ISNUMBER(SEARCH("SUBSOLO",E231)),IFERROR(-VALUE(LEFT(E231,FIND("º",SUBSTITUTE(E231,"°","º"))-1)),-1),IF(LEFT(E231,6)="TÉRREO",0,IFERROR(VALUE(LEFT(E231,FIND("º",SUBSTITUTE(E231,"°","º"))-1)),""))))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IF(R231="","",COUNTIF($C$5:$C$6004,R231))</f>
        <v/>
      </c>
      <c r="W231" s="2">
        <f>IF(R231="","",COUNTIFS($C$5:$C$6004,R231,$O$5:$O$6004,"CONCLUÍDA"))</f>
        <v/>
      </c>
      <c r="X231" s="2">
        <f>IF(R231="","",COUNTIFS($C$5:$C$6004,R231,$O$5:$O$6004,"EM ANDAMENTO"))</f>
        <v/>
      </c>
      <c r="Y231" s="2">
        <f>IF(R231="","",IF(COUNTIFS($C$5:$C$6004,R231,$O$5:$O$6004,"CONCLUÍDA",$N$5:$N$6004,"&gt;=-99")=0,"",_xlfn.MAXIFS($N$5:$N$6004,$C$5:$C$6004,R231,$O$5:$O$6004,"CONCLUÍDA")))</f>
        <v/>
      </c>
      <c r="Z231" s="2">
        <f>IF(R231="","",IF(COUNTIFS($C$5:$C$6004,R231,$O$5:$O$6004,"EM ANDAMENTO",$N$5:$N$6004,"&gt;=-99")=0,"",_xlfn.MAXIFS($N$5:$N$6004,$C$5:$C$6004,R231,$O$5:$O$6004,"EM ANDAMENTO")))</f>
        <v/>
      </c>
      <c r="AA231" s="2">
        <f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>
      <c r="B232" s="4" t="n">
        <v>9877980</v>
      </c>
      <c r="C232" s="4" t="inlineStr">
        <is>
          <t>ESTRUTURA TORRE</t>
        </is>
      </c>
      <c r="D232" s="4" t="inlineStr">
        <is>
          <t>Concretagem Pilar</t>
        </is>
      </c>
      <c r="E232" s="4" t="inlineStr">
        <is>
          <t>3º PAV. - PILOTIS</t>
        </is>
      </c>
      <c r="F232" s="119" t="n">
        <v>45971</v>
      </c>
      <c r="G232" s="119" t="n">
        <v>45971</v>
      </c>
      <c r="H232" s="119" t="n">
        <v>46293</v>
      </c>
      <c r="I232" s="4" t="n">
        <v>100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IF(E232="","",IF(ISNUMBER(SEARCH("SUBSOLO",E232)),IFERROR(-VALUE(LEFT(E232,FIND("º",SUBSTITUTE(E232,"°","º"))-1)),-1),IF(LEFT(E232,6)="TÉRREO",0,IFERROR(VALUE(LEFT(E232,FIND("º",SUBSTITUTE(E232,"°","º"))-1)),""))))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IF(R232="","",COUNTIF($C$5:$C$6004,R232))</f>
        <v/>
      </c>
      <c r="W232" s="2">
        <f>IF(R232="","",COUNTIFS($C$5:$C$6004,R232,$O$5:$O$6004,"CONCLUÍDA"))</f>
        <v/>
      </c>
      <c r="X232" s="2">
        <f>IF(R232="","",COUNTIFS($C$5:$C$6004,R232,$O$5:$O$6004,"EM ANDAMENTO"))</f>
        <v/>
      </c>
      <c r="Y232" s="2">
        <f>IF(R232="","",IF(COUNTIFS($C$5:$C$6004,R232,$O$5:$O$6004,"CONCLUÍDA",$N$5:$N$6004,"&gt;=-99")=0,"",_xlfn.MAXIFS($N$5:$N$6004,$C$5:$C$6004,R232,$O$5:$O$6004,"CONCLUÍDA")))</f>
        <v/>
      </c>
      <c r="Z232" s="2">
        <f>IF(R232="","",IF(COUNTIFS($C$5:$C$6004,R232,$O$5:$O$6004,"EM ANDAMENTO",$N$5:$N$6004,"&gt;=-99")=0,"",_xlfn.MAXIFS($N$5:$N$6004,$C$5:$C$6004,R232,$O$5:$O$6004,"EM ANDAMENTO")))</f>
        <v/>
      </c>
      <c r="AA232" s="2">
        <f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>
      <c r="B233" s="4" t="n">
        <v>9877981</v>
      </c>
      <c r="C233" s="4" t="inlineStr">
        <is>
          <t>ESTRUTURA TORRE</t>
        </is>
      </c>
      <c r="D233" s="4" t="inlineStr">
        <is>
          <t>Forma Vigas e Lajes</t>
        </is>
      </c>
      <c r="E233" s="4" t="inlineStr">
        <is>
          <t>3º PAV. - PILOTIS</t>
        </is>
      </c>
      <c r="F233" s="119" t="n">
        <v>45972</v>
      </c>
      <c r="G233" s="119" t="n">
        <v>45981</v>
      </c>
      <c r="H233" s="119" t="n">
        <v>46293</v>
      </c>
      <c r="I233" s="4" t="n">
        <v>100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IF(E233="","",IF(ISNUMBER(SEARCH("SUBSOLO",E233)),IFERROR(-VALUE(LEFT(E233,FIND("º",SUBSTITUTE(E233,"°","º"))-1)),-1),IF(LEFT(E233,6)="TÉRREO",0,IFERROR(VALUE(LEFT(E233,FIND("º",SUBSTITUTE(E233,"°","º"))-1)),""))))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IF(R233="","",COUNTIF($C$5:$C$6004,R233))</f>
        <v/>
      </c>
      <c r="W233" s="2">
        <f>IF(R233="","",COUNTIFS($C$5:$C$6004,R233,$O$5:$O$6004,"CONCLUÍDA"))</f>
        <v/>
      </c>
      <c r="X233" s="2">
        <f>IF(R233="","",COUNTIFS($C$5:$C$6004,R233,$O$5:$O$6004,"EM ANDAMENTO"))</f>
        <v/>
      </c>
      <c r="Y233" s="2">
        <f>IF(R233="","",IF(COUNTIFS($C$5:$C$6004,R233,$O$5:$O$6004,"CONCLUÍDA",$N$5:$N$6004,"&gt;=-99")=0,"",_xlfn.MAXIFS($N$5:$N$6004,$C$5:$C$6004,R233,$O$5:$O$6004,"CONCLUÍDA")))</f>
        <v/>
      </c>
      <c r="Z233" s="2">
        <f>IF(R233="","",IF(COUNTIFS($C$5:$C$6004,R233,$O$5:$O$6004,"EM ANDAMENTO",$N$5:$N$6004,"&gt;=-99")=0,"",_xlfn.MAXIFS($N$5:$N$6004,$C$5:$C$6004,R233,$O$5:$O$6004,"EM ANDAMENTO")))</f>
        <v/>
      </c>
      <c r="AA233" s="2">
        <f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>
      <c r="B234" s="4" t="n">
        <v>9877982</v>
      </c>
      <c r="C234" s="4" t="inlineStr">
        <is>
          <t>ESTRUTURA TORRE</t>
        </is>
      </c>
      <c r="D234" s="4" t="inlineStr">
        <is>
          <t>Armação Vigas e Lajes</t>
        </is>
      </c>
      <c r="E234" s="4" t="inlineStr">
        <is>
          <t>3º PAV. - PILOTIS</t>
        </is>
      </c>
      <c r="F234" s="119" t="n">
        <v>45973</v>
      </c>
      <c r="G234" s="119" t="n">
        <v>45982</v>
      </c>
      <c r="H234" s="119" t="n">
        <v>46293</v>
      </c>
      <c r="I234" s="4" t="n">
        <v>100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IF(E234="","",IF(ISNUMBER(SEARCH("SUBSOLO",E234)),IFERROR(-VALUE(LEFT(E234,FIND("º",SUBSTITUTE(E234,"°","º"))-1)),-1),IF(LEFT(E234,6)="TÉRREO",0,IFERROR(VALUE(LEFT(E234,FIND("º",SUBSTITUTE(E234,"°","º"))-1)),""))))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IF(R234="","",COUNTIF($C$5:$C$6004,R234))</f>
        <v/>
      </c>
      <c r="W234" s="2">
        <f>IF(R234="","",COUNTIFS($C$5:$C$6004,R234,$O$5:$O$6004,"CONCLUÍDA"))</f>
        <v/>
      </c>
      <c r="X234" s="2">
        <f>IF(R234="","",COUNTIFS($C$5:$C$6004,R234,$O$5:$O$6004,"EM ANDAMENTO"))</f>
        <v/>
      </c>
      <c r="Y234" s="2">
        <f>IF(R234="","",IF(COUNTIFS($C$5:$C$6004,R234,$O$5:$O$6004,"CONCLUÍDA",$N$5:$N$6004,"&gt;=-99")=0,"",_xlfn.MAXIFS($N$5:$N$6004,$C$5:$C$6004,R234,$O$5:$O$6004,"CONCLUÍDA")))</f>
        <v/>
      </c>
      <c r="Z234" s="2">
        <f>IF(R234="","",IF(COUNTIFS($C$5:$C$6004,R234,$O$5:$O$6004,"EM ANDAMENTO",$N$5:$N$6004,"&gt;=-99")=0,"",_xlfn.MAXIFS($N$5:$N$6004,$C$5:$C$6004,R234,$O$5:$O$6004,"EM ANDAMENTO")))</f>
        <v/>
      </c>
      <c r="AA234" s="2">
        <f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>
      <c r="B235" s="4" t="n">
        <v>9877983</v>
      </c>
      <c r="C235" s="4" t="inlineStr">
        <is>
          <t>ESTRUTURA TORRE</t>
        </is>
      </c>
      <c r="D235" s="4" t="inlineStr">
        <is>
          <t>Passagem Hidráulica</t>
        </is>
      </c>
      <c r="E235" s="4" t="inlineStr">
        <is>
          <t>3º PAV. - PILOTIS</t>
        </is>
      </c>
      <c r="F235" s="119" t="n">
        <v>45981</v>
      </c>
      <c r="G235" s="119" t="n">
        <v>45985</v>
      </c>
      <c r="H235" s="119" t="n">
        <v>46293</v>
      </c>
      <c r="I235" s="4" t="n">
        <v>100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IF(E235="","",IF(ISNUMBER(SEARCH("SUBSOLO",E235)),IFERROR(-VALUE(LEFT(E235,FIND("º",SUBSTITUTE(E235,"°","º"))-1)),-1),IF(LEFT(E235,6)="TÉRREO",0,IFERROR(VALUE(LEFT(E235,FIND("º",SUBSTITUTE(E235,"°","º"))-1)),""))))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IF(R235="","",COUNTIF($C$5:$C$6004,R235))</f>
        <v/>
      </c>
      <c r="W235" s="2">
        <f>IF(R235="","",COUNTIFS($C$5:$C$6004,R235,$O$5:$O$6004,"CONCLUÍDA"))</f>
        <v/>
      </c>
      <c r="X235" s="2">
        <f>IF(R235="","",COUNTIFS($C$5:$C$6004,R235,$O$5:$O$6004,"EM ANDAMENTO"))</f>
        <v/>
      </c>
      <c r="Y235" s="2">
        <f>IF(R235="","",IF(COUNTIFS($C$5:$C$6004,R235,$O$5:$O$6004,"CONCLUÍDA",$N$5:$N$6004,"&gt;=-99")=0,"",_xlfn.MAXIFS($N$5:$N$6004,$C$5:$C$6004,R235,$O$5:$O$6004,"CONCLUÍDA")))</f>
        <v/>
      </c>
      <c r="Z235" s="2">
        <f>IF(R235="","",IF(COUNTIFS($C$5:$C$6004,R235,$O$5:$O$6004,"EM ANDAMENTO",$N$5:$N$6004,"&gt;=-99")=0,"",_xlfn.MAXIFS($N$5:$N$6004,$C$5:$C$6004,R235,$O$5:$O$6004,"EM ANDAMENTO")))</f>
        <v/>
      </c>
      <c r="AA235" s="2">
        <f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>
      <c r="B236" s="4" t="n">
        <v>9877984</v>
      </c>
      <c r="C236" s="4" t="inlineStr">
        <is>
          <t>ESTRUTURA TORRE</t>
        </is>
      </c>
      <c r="D236" s="4" t="inlineStr">
        <is>
          <t>Passagem Elétrica</t>
        </is>
      </c>
      <c r="E236" s="4" t="inlineStr">
        <is>
          <t>3º PAV. - PILOTIS</t>
        </is>
      </c>
      <c r="F236" s="119" t="n">
        <v>45985</v>
      </c>
      <c r="G236" s="119" t="n">
        <v>45987</v>
      </c>
      <c r="H236" s="119" t="n">
        <v>46293</v>
      </c>
      <c r="I236" s="4" t="n">
        <v>100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IF(E236="","",IF(ISNUMBER(SEARCH("SUBSOLO",E236)),IFERROR(-VALUE(LEFT(E236,FIND("º",SUBSTITUTE(E236,"°","º"))-1)),-1),IF(LEFT(E236,6)="TÉRREO",0,IFERROR(VALUE(LEFT(E236,FIND("º",SUBSTITUTE(E236,"°","º"))-1)),""))))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IF(R236="","",COUNTIF($C$5:$C$6004,R236))</f>
        <v/>
      </c>
      <c r="W236" s="2">
        <f>IF(R236="","",COUNTIFS($C$5:$C$6004,R236,$O$5:$O$6004,"CONCLUÍDA"))</f>
        <v/>
      </c>
      <c r="X236" s="2">
        <f>IF(R236="","",COUNTIFS($C$5:$C$6004,R236,$O$5:$O$6004,"EM ANDAMENTO"))</f>
        <v/>
      </c>
      <c r="Y236" s="2">
        <f>IF(R236="","",IF(COUNTIFS($C$5:$C$6004,R236,$O$5:$O$6004,"CONCLUÍDA",$N$5:$N$6004,"&gt;=-99")=0,"",_xlfn.MAXIFS($N$5:$N$6004,$C$5:$C$6004,R236,$O$5:$O$6004,"CONCLUÍDA")))</f>
        <v/>
      </c>
      <c r="Z236" s="2">
        <f>IF(R236="","",IF(COUNTIFS($C$5:$C$6004,R236,$O$5:$O$6004,"EM ANDAMENTO",$N$5:$N$6004,"&gt;=-99")=0,"",_xlfn.MAXIFS($N$5:$N$6004,$C$5:$C$6004,R236,$O$5:$O$6004,"EM ANDAMENTO")))</f>
        <v/>
      </c>
      <c r="AA236" s="2">
        <f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>
      <c r="B237" s="4" t="n">
        <v>9877985</v>
      </c>
      <c r="C237" s="4" t="inlineStr">
        <is>
          <t>ESTRUTURA TORRE</t>
        </is>
      </c>
      <c r="D237" s="4" t="inlineStr">
        <is>
          <t>Concretagem</t>
        </is>
      </c>
      <c r="E237" s="4" t="inlineStr">
        <is>
          <t>3º PAV. - PILOTIS</t>
        </is>
      </c>
      <c r="F237" s="119" t="n">
        <v>45988</v>
      </c>
      <c r="G237" s="119" t="n">
        <v>45989</v>
      </c>
      <c r="H237" s="119" t="n">
        <v>46293</v>
      </c>
      <c r="I237" s="4" t="n">
        <v>100</v>
      </c>
      <c r="J237" s="4" t="n">
        <v>100</v>
      </c>
      <c r="K237" s="4" t="n">
        <v>100</v>
      </c>
      <c r="M237" s="2">
        <f>IF(C237="","",IFERROR(INDEX($S$5:$S$304,MATCH(C237,$R$5:$R$304,0))&amp;"","?"))</f>
        <v/>
      </c>
      <c r="N237" s="2">
        <f>IF(E237="","",IF(ISNUMBER(SEARCH("SUBSOLO",E237)),IFERROR(-VALUE(LEFT(E237,FIND("º",SUBSTITUTE(E237,"°","º"))-1)),-1),IF(LEFT(E237,6)="TÉRREO",0,IFERROR(VALUE(LEFT(E237,FIND("º",SUBSTITUTE(E237,"°","º"))-1)),""))))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IF(R237="","",COUNTIF($C$5:$C$6004,R237))</f>
        <v/>
      </c>
      <c r="W237" s="2">
        <f>IF(R237="","",COUNTIFS($C$5:$C$6004,R237,$O$5:$O$6004,"CONCLUÍDA"))</f>
        <v/>
      </c>
      <c r="X237" s="2">
        <f>IF(R237="","",COUNTIFS($C$5:$C$6004,R237,$O$5:$O$6004,"EM ANDAMENTO"))</f>
        <v/>
      </c>
      <c r="Y237" s="2">
        <f>IF(R237="","",IF(COUNTIFS($C$5:$C$6004,R237,$O$5:$O$6004,"CONCLUÍDA",$N$5:$N$6004,"&gt;=-99")=0,"",_xlfn.MAXIFS($N$5:$N$6004,$C$5:$C$6004,R237,$O$5:$O$6004,"CONCLUÍDA")))</f>
        <v/>
      </c>
      <c r="Z237" s="2">
        <f>IF(R237="","",IF(COUNTIFS($C$5:$C$6004,R237,$O$5:$O$6004,"EM ANDAMENTO",$N$5:$N$6004,"&gt;=-99")=0,"",_xlfn.MAXIFS($N$5:$N$6004,$C$5:$C$6004,R237,$O$5:$O$6004,"EM ANDAMENTO")))</f>
        <v/>
      </c>
      <c r="AA237" s="2">
        <f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>
      <c r="B238" s="4" t="n">
        <v>35202462</v>
      </c>
      <c r="C238" s="4" t="inlineStr">
        <is>
          <t>ALVENARIA BLOCO CHEIO + ACERTO DE TALUDE</t>
        </is>
      </c>
      <c r="D238" s="4" t="inlineStr">
        <is>
          <t>-</t>
        </is>
      </c>
      <c r="E238" s="4" t="inlineStr">
        <is>
          <t>2º PAV. GARAGEM.</t>
        </is>
      </c>
      <c r="F238" s="119" t="n">
        <v>45964</v>
      </c>
      <c r="G238" s="119" t="n">
        <v>45989</v>
      </c>
      <c r="H238" s="119" t="n">
        <v>46293</v>
      </c>
      <c r="I238" s="4" t="n">
        <v>100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IF(E238="","",IF(ISNUMBER(SEARCH("SUBSOLO",E238)),IFERROR(-VALUE(LEFT(E238,FIND("º",SUBSTITUTE(E238,"°","º"))-1)),-1),IF(LEFT(E238,6)="TÉRREO",0,IFERROR(VALUE(LEFT(E238,FIND("º",SUBSTITUTE(E238,"°","º"))-1)),""))))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IF(R238="","",COUNTIF($C$5:$C$6004,R238))</f>
        <v/>
      </c>
      <c r="W238" s="2">
        <f>IF(R238="","",COUNTIFS($C$5:$C$6004,R238,$O$5:$O$6004,"CONCLUÍDA"))</f>
        <v/>
      </c>
      <c r="X238" s="2">
        <f>IF(R238="","",COUNTIFS($C$5:$C$6004,R238,$O$5:$O$6004,"EM ANDAMENTO"))</f>
        <v/>
      </c>
      <c r="Y238" s="2">
        <f>IF(R238="","",IF(COUNTIFS($C$5:$C$6004,R238,$O$5:$O$6004,"CONCLUÍDA",$N$5:$N$6004,"&gt;=-99")=0,"",_xlfn.MAXIFS($N$5:$N$6004,$C$5:$C$6004,R238,$O$5:$O$6004,"CONCLUÍDA")))</f>
        <v/>
      </c>
      <c r="Z238" s="2">
        <f>IF(R238="","",IF(COUNTIFS($C$5:$C$6004,R238,$O$5:$O$6004,"EM ANDAMENTO",$N$5:$N$6004,"&gt;=-99")=0,"",_xlfn.MAXIFS($N$5:$N$6004,$C$5:$C$6004,R238,$O$5:$O$6004,"EM ANDAMENTO")))</f>
        <v/>
      </c>
      <c r="AA238" s="2">
        <f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>
      <c r="B239" s="4" t="n">
        <v>14371910</v>
      </c>
      <c r="C239" s="4" t="inlineStr">
        <is>
          <t>ALVENARIA BLOCO CHEIO + ACERTO DE TALUDE</t>
        </is>
      </c>
      <c r="D239" s="4" t="inlineStr">
        <is>
          <t>Alvenaria bloco cheio</t>
        </is>
      </c>
      <c r="E239" s="4" t="inlineStr">
        <is>
          <t>2º PAV. GARAGEM.</t>
        </is>
      </c>
      <c r="F239" s="119" t="n">
        <v>45964</v>
      </c>
      <c r="G239" s="119" t="n">
        <v>45982</v>
      </c>
      <c r="H239" s="119" t="n">
        <v>46293</v>
      </c>
      <c r="I239" s="4" t="n">
        <v>100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IF(E239="","",IF(ISNUMBER(SEARCH("SUBSOLO",E239)),IFERROR(-VALUE(LEFT(E239,FIND("º",SUBSTITUTE(E239,"°","º"))-1)),-1),IF(LEFT(E239,6)="TÉRREO",0,IFERROR(VALUE(LEFT(E239,FIND("º",SUBSTITUTE(E239,"°","º"))-1)),""))))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IF(R239="","",COUNTIF($C$5:$C$6004,R239))</f>
        <v/>
      </c>
      <c r="W239" s="2">
        <f>IF(R239="","",COUNTIFS($C$5:$C$6004,R239,$O$5:$O$6004,"CONCLUÍDA"))</f>
        <v/>
      </c>
      <c r="X239" s="2">
        <f>IF(R239="","",COUNTIFS($C$5:$C$6004,R239,$O$5:$O$6004,"EM ANDAMENTO"))</f>
        <v/>
      </c>
      <c r="Y239" s="2">
        <f>IF(R239="","",IF(COUNTIFS($C$5:$C$6004,R239,$O$5:$O$6004,"CONCLUÍDA",$N$5:$N$6004,"&gt;=-99")=0,"",_xlfn.MAXIFS($N$5:$N$6004,$C$5:$C$6004,R239,$O$5:$O$6004,"CONCLUÍDA")))</f>
        <v/>
      </c>
      <c r="Z239" s="2">
        <f>IF(R239="","",IF(COUNTIFS($C$5:$C$6004,R239,$O$5:$O$6004,"EM ANDAMENTO",$N$5:$N$6004,"&gt;=-99")=0,"",_xlfn.MAXIFS($N$5:$N$6004,$C$5:$C$6004,R239,$O$5:$O$6004,"EM ANDAMENTO")))</f>
        <v/>
      </c>
      <c r="AA239" s="2">
        <f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>
      <c r="B240" s="4" t="n">
        <v>14371911</v>
      </c>
      <c r="C240" s="4" t="inlineStr">
        <is>
          <t>ALVENARIA BLOCO CHEIO + ACERTO DE TALUDE</t>
        </is>
      </c>
      <c r="D240" s="4" t="inlineStr">
        <is>
          <t>Acerto talude</t>
        </is>
      </c>
      <c r="E240" s="4" t="inlineStr">
        <is>
          <t>2º PAV. GARAGEM.</t>
        </is>
      </c>
      <c r="F240" s="119" t="n">
        <v>45985</v>
      </c>
      <c r="G240" s="119" t="n">
        <v>45989</v>
      </c>
      <c r="H240" s="119" t="n">
        <v>46293</v>
      </c>
      <c r="I240" s="4" t="n">
        <v>100</v>
      </c>
      <c r="J240" s="4" t="n">
        <v>100</v>
      </c>
      <c r="K240" s="4" t="n">
        <v>100</v>
      </c>
      <c r="M240" s="2">
        <f>IF(C240="","",IFERROR(INDEX($S$5:$S$304,MATCH(C240,$R$5:$R$304,0))&amp;"","?"))</f>
        <v/>
      </c>
      <c r="N240" s="2">
        <f>IF(E240="","",IF(ISNUMBER(SEARCH("SUBSOLO",E240)),IFERROR(-VALUE(LEFT(E240,FIND("º",SUBSTITUTE(E240,"°","º"))-1)),-1),IF(LEFT(E240,6)="TÉRREO",0,IFERROR(VALUE(LEFT(E240,FIND("º",SUBSTITUTE(E240,"°","º"))-1)),""))))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IF(R240="","",COUNTIF($C$5:$C$6004,R240))</f>
        <v/>
      </c>
      <c r="W240" s="2">
        <f>IF(R240="","",COUNTIFS($C$5:$C$6004,R240,$O$5:$O$6004,"CONCLUÍDA"))</f>
        <v/>
      </c>
      <c r="X240" s="2">
        <f>IF(R240="","",COUNTIFS($C$5:$C$6004,R240,$O$5:$O$6004,"EM ANDAMENTO"))</f>
        <v/>
      </c>
      <c r="Y240" s="2">
        <f>IF(R240="","",IF(COUNTIFS($C$5:$C$6004,R240,$O$5:$O$6004,"CONCLUÍDA",$N$5:$N$6004,"&gt;=-99")=0,"",_xlfn.MAXIFS($N$5:$N$6004,$C$5:$C$6004,R240,$O$5:$O$6004,"CONCLUÍDA")))</f>
        <v/>
      </c>
      <c r="Z240" s="2">
        <f>IF(R240="","",IF(COUNTIFS($C$5:$C$6004,R240,$O$5:$O$6004,"EM ANDAMENTO",$N$5:$N$6004,"&gt;=-99")=0,"",_xlfn.MAXIFS($N$5:$N$6004,$C$5:$C$6004,R240,$O$5:$O$6004,"EM ANDAMENTO")))</f>
        <v/>
      </c>
      <c r="AA240" s="2">
        <f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>
      <c r="B241" s="4" t="n">
        <v>35168137</v>
      </c>
      <c r="C241" s="4" t="inlineStr">
        <is>
          <t>ESTRUTURA TORRE A - LOOKAHEAD</t>
        </is>
      </c>
      <c r="D241" s="4" t="inlineStr">
        <is>
          <t>-</t>
        </is>
      </c>
      <c r="E241" s="4" t="inlineStr">
        <is>
          <t>3º PAV. - PILOTIS</t>
        </is>
      </c>
      <c r="F241" s="119" t="n">
        <v>45964</v>
      </c>
      <c r="G241" s="119" t="n">
        <v>45989</v>
      </c>
      <c r="H241" s="119" t="n">
        <v>46293</v>
      </c>
      <c r="I241" s="4" t="n">
        <v>100</v>
      </c>
      <c r="J241" s="4" t="n">
        <v>100</v>
      </c>
      <c r="K241" s="4" t="n">
        <v>100</v>
      </c>
      <c r="M241" s="2">
        <f>IF(C241="","",IFERROR(INDEX($S$5:$S$304,MATCH(C241,$R$5:$R$304,0))&amp;"","?"))</f>
        <v/>
      </c>
      <c r="N241" s="2">
        <f>IF(E241="","",IF(ISNUMBER(SEARCH("SUBSOLO",E241)),IFERROR(-VALUE(LEFT(E241,FIND("º",SUBSTITUTE(E241,"°","º"))-1)),-1),IF(LEFT(E241,6)="TÉRREO",0,IFERROR(VALUE(LEFT(E241,FIND("º",SUBSTITUTE(E241,"°","º"))-1)),""))))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IF(R241="","",COUNTIF($C$5:$C$6004,R241))</f>
        <v/>
      </c>
      <c r="W241" s="2">
        <f>IF(R241="","",COUNTIFS($C$5:$C$6004,R241,$O$5:$O$6004,"CONCLUÍDA"))</f>
        <v/>
      </c>
      <c r="X241" s="2">
        <f>IF(R241="","",COUNTIFS($C$5:$C$6004,R241,$O$5:$O$6004,"EM ANDAMENTO"))</f>
        <v/>
      </c>
      <c r="Y241" s="2">
        <f>IF(R241="","",IF(COUNTIFS($C$5:$C$6004,R241,$O$5:$O$6004,"CONCLUÍDA",$N$5:$N$6004,"&gt;=-99")=0,"",_xlfn.MAXIFS($N$5:$N$6004,$C$5:$C$6004,R241,$O$5:$O$6004,"CONCLUÍDA")))</f>
        <v/>
      </c>
      <c r="Z241" s="2">
        <f>IF(R241="","",IF(COUNTIFS($C$5:$C$6004,R241,$O$5:$O$6004,"EM ANDAMENTO",$N$5:$N$6004,"&gt;=-99")=0,"",_xlfn.MAXIFS($N$5:$N$6004,$C$5:$C$6004,R241,$O$5:$O$6004,"EM ANDAMENTO")))</f>
        <v/>
      </c>
      <c r="AA241" s="2">
        <f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>
      <c r="B242" s="4" t="n">
        <v>14366898</v>
      </c>
      <c r="C242" s="4" t="inlineStr">
        <is>
          <t>ESTRUTURA TORRE A - LOOKAHEAD</t>
        </is>
      </c>
      <c r="D242" s="4" t="inlineStr">
        <is>
          <t>Concreto - pilares P23, P24, P18, P16, P22 e P25</t>
        </is>
      </c>
      <c r="E242" s="4" t="inlineStr">
        <is>
          <t>3º PAV. - PILOTIS</t>
        </is>
      </c>
      <c r="F242" s="119" t="n">
        <v>45972</v>
      </c>
      <c r="G242" s="119" t="n">
        <v>45972</v>
      </c>
      <c r="H242" s="119" t="n">
        <v>46293</v>
      </c>
      <c r="I242" s="4" t="n">
        <v>100</v>
      </c>
      <c r="J242" s="4" t="n">
        <v>100</v>
      </c>
      <c r="K242" s="4" t="n">
        <v>100</v>
      </c>
      <c r="M242" s="2">
        <f>IF(C242="","",IFERROR(INDEX($S$5:$S$304,MATCH(C242,$R$5:$R$304,0))&amp;"","?"))</f>
        <v/>
      </c>
      <c r="N242" s="2">
        <f>IF(E242="","",IF(ISNUMBER(SEARCH("SUBSOLO",E242)),IFERROR(-VALUE(LEFT(E242,FIND("º",SUBSTITUTE(E242,"°","º"))-1)),-1),IF(LEFT(E242,6)="TÉRREO",0,IFERROR(VALUE(LEFT(E242,FIND("º",SUBSTITUTE(E242,"°","º"))-1)),""))))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IF(R242="","",COUNTIF($C$5:$C$6004,R242))</f>
        <v/>
      </c>
      <c r="W242" s="2">
        <f>IF(R242="","",COUNTIFS($C$5:$C$6004,R242,$O$5:$O$6004,"CONCLUÍDA"))</f>
        <v/>
      </c>
      <c r="X242" s="2">
        <f>IF(R242="","",COUNTIFS($C$5:$C$6004,R242,$O$5:$O$6004,"EM ANDAMENTO"))</f>
        <v/>
      </c>
      <c r="Y242" s="2">
        <f>IF(R242="","",IF(COUNTIFS($C$5:$C$6004,R242,$O$5:$O$6004,"CONCLUÍDA",$N$5:$N$6004,"&gt;=-99")=0,"",_xlfn.MAXIFS($N$5:$N$6004,$C$5:$C$6004,R242,$O$5:$O$6004,"CONCLUÍDA")))</f>
        <v/>
      </c>
      <c r="Z242" s="2">
        <f>IF(R242="","",IF(COUNTIFS($C$5:$C$6004,R242,$O$5:$O$6004,"EM ANDAMENTO",$N$5:$N$6004,"&gt;=-99")=0,"",_xlfn.MAXIFS($N$5:$N$6004,$C$5:$C$6004,R242,$O$5:$O$6004,"EM ANDAMENTO")))</f>
        <v/>
      </c>
      <c r="AA242" s="2">
        <f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>
      <c r="B243" s="4" t="n">
        <v>14366899</v>
      </c>
      <c r="C243" s="4" t="inlineStr">
        <is>
          <t>ESTRUTURA TORRE A - LOOKAHEAD</t>
        </is>
      </c>
      <c r="D243" s="4" t="inlineStr">
        <is>
          <t>Montagem de escoramento, longarinas e barrotes</t>
        </is>
      </c>
      <c r="E243" s="4" t="inlineStr">
        <is>
          <t>3º PAV. - PILOTIS</t>
        </is>
      </c>
      <c r="F243" s="119" t="n">
        <v>45964</v>
      </c>
      <c r="G243" s="119" t="n">
        <v>45968</v>
      </c>
      <c r="H243" s="119" t="n">
        <v>46293</v>
      </c>
      <c r="I243" s="4" t="n">
        <v>100</v>
      </c>
      <c r="J243" s="4" t="n">
        <v>100</v>
      </c>
      <c r="K243" s="4" t="n">
        <v>100</v>
      </c>
      <c r="M243" s="2">
        <f>IF(C243="","",IFERROR(INDEX($S$5:$S$304,MATCH(C243,$R$5:$R$304,0))&amp;"","?"))</f>
        <v/>
      </c>
      <c r="N243" s="2">
        <f>IF(E243="","",IF(ISNUMBER(SEARCH("SUBSOLO",E243)),IFERROR(-VALUE(LEFT(E243,FIND("º",SUBSTITUTE(E243,"°","º"))-1)),-1),IF(LEFT(E243,6)="TÉRREO",0,IFERROR(VALUE(LEFT(E243,FIND("º",SUBSTITUTE(E243,"°","º"))-1)),""))))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IF(R243="","",COUNTIF($C$5:$C$6004,R243))</f>
        <v/>
      </c>
      <c r="W243" s="2">
        <f>IF(R243="","",COUNTIFS($C$5:$C$6004,R243,$O$5:$O$6004,"CONCLUÍDA"))</f>
        <v/>
      </c>
      <c r="X243" s="2">
        <f>IF(R243="","",COUNTIFS($C$5:$C$6004,R243,$O$5:$O$6004,"EM ANDAMENTO"))</f>
        <v/>
      </c>
      <c r="Y243" s="2">
        <f>IF(R243="","",IF(COUNTIFS($C$5:$C$6004,R243,$O$5:$O$6004,"CONCLUÍDA",$N$5:$N$6004,"&gt;=-99")=0,"",_xlfn.MAXIFS($N$5:$N$6004,$C$5:$C$6004,R243,$O$5:$O$6004,"CONCLUÍDA")))</f>
        <v/>
      </c>
      <c r="Z243" s="2">
        <f>IF(R243="","",IF(COUNTIFS($C$5:$C$6004,R243,$O$5:$O$6004,"EM ANDAMENTO",$N$5:$N$6004,"&gt;=-99")=0,"",_xlfn.MAXIFS($N$5:$N$6004,$C$5:$C$6004,R243,$O$5:$O$6004,"EM ANDAMENTO")))</f>
        <v/>
      </c>
      <c r="AA243" s="2">
        <f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>
      <c r="B244" s="4" t="n">
        <v>14366900</v>
      </c>
      <c r="C244" s="4" t="inlineStr">
        <is>
          <t>ESTRUTURA TORRE A - LOOKAHEAD</t>
        </is>
      </c>
      <c r="D244" s="4" t="inlineStr">
        <is>
          <t>Forro de laje</t>
        </is>
      </c>
      <c r="E244" s="4" t="inlineStr">
        <is>
          <t>3º PAV. - PILOTIS</t>
        </is>
      </c>
      <c r="F244" s="119" t="n">
        <v>45971</v>
      </c>
      <c r="G244" s="119" t="n">
        <v>45986</v>
      </c>
      <c r="H244" s="119" t="n">
        <v>46293</v>
      </c>
      <c r="I244" s="4" t="n">
        <v>100</v>
      </c>
      <c r="J244" s="4" t="n">
        <v>100</v>
      </c>
      <c r="K244" s="4" t="n">
        <v>100</v>
      </c>
      <c r="M244" s="2">
        <f>IF(C244="","",IFERROR(INDEX($S$5:$S$304,MATCH(C244,$R$5:$R$304,0))&amp;"","?"))</f>
        <v/>
      </c>
      <c r="N244" s="2">
        <f>IF(E244="","",IF(ISNUMBER(SEARCH("SUBSOLO",E244)),IFERROR(-VALUE(LEFT(E244,FIND("º",SUBSTITUTE(E244,"°","º"))-1)),-1),IF(LEFT(E244,6)="TÉRREO",0,IFERROR(VALUE(LEFT(E244,FIND("º",SUBSTITUTE(E244,"°","º"))-1)),""))))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IF(R244="","",COUNTIF($C$5:$C$6004,R244))</f>
        <v/>
      </c>
      <c r="W244" s="2">
        <f>IF(R244="","",COUNTIFS($C$5:$C$6004,R244,$O$5:$O$6004,"CONCLUÍDA"))</f>
        <v/>
      </c>
      <c r="X244" s="2">
        <f>IF(R244="","",COUNTIFS($C$5:$C$6004,R244,$O$5:$O$6004,"EM ANDAMENTO"))</f>
        <v/>
      </c>
      <c r="Y244" s="2">
        <f>IF(R244="","",IF(COUNTIFS($C$5:$C$6004,R244,$O$5:$O$6004,"CONCLUÍDA",$N$5:$N$6004,"&gt;=-99")=0,"",_xlfn.MAXIFS($N$5:$N$6004,$C$5:$C$6004,R244,$O$5:$O$6004,"CONCLUÍDA")))</f>
        <v/>
      </c>
      <c r="Z244" s="2">
        <f>IF(R244="","",IF(COUNTIFS($C$5:$C$6004,R244,$O$5:$O$6004,"EM ANDAMENTO",$N$5:$N$6004,"&gt;=-99")=0,"",_xlfn.MAXIFS($N$5:$N$6004,$C$5:$C$6004,R244,$O$5:$O$6004,"EM ANDAMENTO")))</f>
        <v/>
      </c>
      <c r="AA244" s="2">
        <f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>
      <c r="B245" s="4" t="n">
        <v>14366901</v>
      </c>
      <c r="C245" s="4" t="inlineStr">
        <is>
          <t>ESTRUTURA TORRE A - LOOKAHEAD</t>
        </is>
      </c>
      <c r="D245" s="4" t="inlineStr">
        <is>
          <t>Armação de vigas</t>
        </is>
      </c>
      <c r="E245" s="4" t="inlineStr">
        <is>
          <t>3º PAV. - PILOTIS</t>
        </is>
      </c>
      <c r="F245" s="119" t="n">
        <v>45964</v>
      </c>
      <c r="G245" s="119" t="n">
        <v>45975</v>
      </c>
      <c r="H245" s="119" t="n">
        <v>46293</v>
      </c>
      <c r="I245" s="4" t="n">
        <v>100</v>
      </c>
      <c r="J245" s="4" t="n">
        <v>100</v>
      </c>
      <c r="K245" s="4" t="n">
        <v>100</v>
      </c>
      <c r="M245" s="2">
        <f>IF(C245="","",IFERROR(INDEX($S$5:$S$304,MATCH(C245,$R$5:$R$304,0))&amp;"","?"))</f>
        <v/>
      </c>
      <c r="N245" s="2">
        <f>IF(E245="","",IF(ISNUMBER(SEARCH("SUBSOLO",E245)),IFERROR(-VALUE(LEFT(E245,FIND("º",SUBSTITUTE(E245,"°","º"))-1)),-1),IF(LEFT(E245,6)="TÉRREO",0,IFERROR(VALUE(LEFT(E245,FIND("º",SUBSTITUTE(E245,"°","º"))-1)),""))))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IF(R245="","",COUNTIF($C$5:$C$6004,R245))</f>
        <v/>
      </c>
      <c r="W245" s="2">
        <f>IF(R245="","",COUNTIFS($C$5:$C$6004,R245,$O$5:$O$6004,"CONCLUÍDA"))</f>
        <v/>
      </c>
      <c r="X245" s="2">
        <f>IF(R245="","",COUNTIFS($C$5:$C$6004,R245,$O$5:$O$6004,"EM ANDAMENTO"))</f>
        <v/>
      </c>
      <c r="Y245" s="2">
        <f>IF(R245="","",IF(COUNTIFS($C$5:$C$6004,R245,$O$5:$O$6004,"CONCLUÍDA",$N$5:$N$6004,"&gt;=-99")=0,"",_xlfn.MAXIFS($N$5:$N$6004,$C$5:$C$6004,R245,$O$5:$O$6004,"CONCLUÍDA")))</f>
        <v/>
      </c>
      <c r="Z245" s="2">
        <f>IF(R245="","",IF(COUNTIFS($C$5:$C$6004,R245,$O$5:$O$6004,"EM ANDAMENTO",$N$5:$N$6004,"&gt;=-99")=0,"",_xlfn.MAXIFS($N$5:$N$6004,$C$5:$C$6004,R245,$O$5:$O$6004,"EM ANDAMENTO")))</f>
        <v/>
      </c>
      <c r="AA245" s="2">
        <f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>
      <c r="B246" s="4" t="n">
        <v>14366902</v>
      </c>
      <c r="C246" s="4" t="inlineStr">
        <is>
          <t>ESTRUTURA TORRE A - LOOKAHEAD</t>
        </is>
      </c>
      <c r="D246" s="4" t="inlineStr">
        <is>
          <t>Armação de lajes</t>
        </is>
      </c>
      <c r="E246" s="4" t="inlineStr">
        <is>
          <t>3º PAV. - PILOTIS</t>
        </is>
      </c>
      <c r="F246" s="119" t="n">
        <v>45978</v>
      </c>
      <c r="G246" s="119" t="n">
        <v>45988</v>
      </c>
      <c r="H246" s="119" t="n">
        <v>46293</v>
      </c>
      <c r="I246" s="4" t="n">
        <v>100</v>
      </c>
      <c r="J246" s="4" t="n">
        <v>100</v>
      </c>
      <c r="K246" s="4" t="n">
        <v>100</v>
      </c>
      <c r="M246" s="2">
        <f>IF(C246="","",IFERROR(INDEX($S$5:$S$304,MATCH(C246,$R$5:$R$304,0))&amp;"","?"))</f>
        <v/>
      </c>
      <c r="N246" s="2">
        <f>IF(E246="","",IF(ISNUMBER(SEARCH("SUBSOLO",E246)),IFERROR(-VALUE(LEFT(E246,FIND("º",SUBSTITUTE(E246,"°","º"))-1)),-1),IF(LEFT(E246,6)="TÉRREO",0,IFERROR(VALUE(LEFT(E246,FIND("º",SUBSTITUTE(E246,"°","º"))-1)),""))))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IF(R246="","",COUNTIF($C$5:$C$6004,R246))</f>
        <v/>
      </c>
      <c r="W246" s="2">
        <f>IF(R246="","",COUNTIFS($C$5:$C$6004,R246,$O$5:$O$6004,"CONCLUÍDA"))</f>
        <v/>
      </c>
      <c r="X246" s="2">
        <f>IF(R246="","",COUNTIFS($C$5:$C$6004,R246,$O$5:$O$6004,"EM ANDAMENTO"))</f>
        <v/>
      </c>
      <c r="Y246" s="2">
        <f>IF(R246="","",IF(COUNTIFS($C$5:$C$6004,R246,$O$5:$O$6004,"CONCLUÍDA",$N$5:$N$6004,"&gt;=-99")=0,"",_xlfn.MAXIFS($N$5:$N$6004,$C$5:$C$6004,R246,$O$5:$O$6004,"CONCLUÍDA")))</f>
        <v/>
      </c>
      <c r="Z246" s="2">
        <f>IF(R246="","",IF(COUNTIFS($C$5:$C$6004,R246,$O$5:$O$6004,"EM ANDAMENTO",$N$5:$N$6004,"&gt;=-99")=0,"",_xlfn.MAXIFS($N$5:$N$6004,$C$5:$C$6004,R246,$O$5:$O$6004,"EM ANDAMENTO")))</f>
        <v/>
      </c>
      <c r="AA246" s="2">
        <f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>
      <c r="B247" s="4" t="n">
        <v>14366903</v>
      </c>
      <c r="C247" s="4" t="inlineStr">
        <is>
          <t>ESTRUTURA TORRE A - LOOKAHEAD</t>
        </is>
      </c>
      <c r="D247" s="4" t="inlineStr">
        <is>
          <t>1ª concretagem de laje</t>
        </is>
      </c>
      <c r="E247" s="4" t="inlineStr">
        <is>
          <t>3º PAV. - PILOTIS</t>
        </is>
      </c>
      <c r="F247" s="119" t="n">
        <v>45980</v>
      </c>
      <c r="G247" s="119" t="n">
        <v>45980</v>
      </c>
      <c r="H247" s="119" t="n">
        <v>46293</v>
      </c>
      <c r="I247" s="4" t="n">
        <v>100</v>
      </c>
      <c r="J247" s="4" t="n">
        <v>100</v>
      </c>
      <c r="K247" s="4" t="n">
        <v>100</v>
      </c>
      <c r="M247" s="2">
        <f>IF(C247="","",IFERROR(INDEX($S$5:$S$304,MATCH(C247,$R$5:$R$304,0))&amp;"","?"))</f>
        <v/>
      </c>
      <c r="N247" s="2">
        <f>IF(E247="","",IF(ISNUMBER(SEARCH("SUBSOLO",E247)),IFERROR(-VALUE(LEFT(E247,FIND("º",SUBSTITUTE(E247,"°","º"))-1)),-1),IF(LEFT(E247,6)="TÉRREO",0,IFERROR(VALUE(LEFT(E247,FIND("º",SUBSTITUTE(E247,"°","º"))-1)),""))))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IF(R247="","",COUNTIF($C$5:$C$6004,R247))</f>
        <v/>
      </c>
      <c r="W247" s="2">
        <f>IF(R247="","",COUNTIFS($C$5:$C$6004,R247,$O$5:$O$6004,"CONCLUÍDA"))</f>
        <v/>
      </c>
      <c r="X247" s="2">
        <f>IF(R247="","",COUNTIFS($C$5:$C$6004,R247,$O$5:$O$6004,"EM ANDAMENTO"))</f>
        <v/>
      </c>
      <c r="Y247" s="2">
        <f>IF(R247="","",IF(COUNTIFS($C$5:$C$6004,R247,$O$5:$O$6004,"CONCLUÍDA",$N$5:$N$6004,"&gt;=-99")=0,"",_xlfn.MAXIFS($N$5:$N$6004,$C$5:$C$6004,R247,$O$5:$O$6004,"CONCLUÍDA")))</f>
        <v/>
      </c>
      <c r="Z247" s="2">
        <f>IF(R247="","",IF(COUNTIFS($C$5:$C$6004,R247,$O$5:$O$6004,"EM ANDAMENTO",$N$5:$N$6004,"&gt;=-99")=0,"",_xlfn.MAXIFS($N$5:$N$6004,$C$5:$C$6004,R247,$O$5:$O$6004,"EM ANDAMENTO")))</f>
        <v/>
      </c>
      <c r="AA247" s="2">
        <f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>
      <c r="B248" s="4" t="n">
        <v>14366904</v>
      </c>
      <c r="C248" s="4" t="inlineStr">
        <is>
          <t>ESTRUTURA TORRE A - LOOKAHEAD</t>
        </is>
      </c>
      <c r="D248" s="4" t="inlineStr">
        <is>
          <t>2ª concretagem de laje</t>
        </is>
      </c>
      <c r="E248" s="4" t="inlineStr">
        <is>
          <t>3º PAV. - PILOTIS</t>
        </is>
      </c>
      <c r="F248" s="119" t="n">
        <v>45989</v>
      </c>
      <c r="G248" s="119" t="n">
        <v>45989</v>
      </c>
      <c r="H248" s="119" t="n">
        <v>46293</v>
      </c>
      <c r="I248" s="4" t="n">
        <v>100</v>
      </c>
      <c r="J248" s="4" t="n">
        <v>100</v>
      </c>
      <c r="K248" s="4" t="n">
        <v>100</v>
      </c>
      <c r="M248" s="2">
        <f>IF(C248="","",IFERROR(INDEX($S$5:$S$304,MATCH(C248,$R$5:$R$304,0))&amp;"","?"))</f>
        <v/>
      </c>
      <c r="N248" s="2">
        <f>IF(E248="","",IF(ISNUMBER(SEARCH("SUBSOLO",E248)),IFERROR(-VALUE(LEFT(E248,FIND("º",SUBSTITUTE(E248,"°","º"))-1)),-1),IF(LEFT(E248,6)="TÉRREO",0,IFERROR(VALUE(LEFT(E248,FIND("º",SUBSTITUTE(E248,"°","º"))-1)),""))))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IF(R248="","",COUNTIF($C$5:$C$6004,R248))</f>
        <v/>
      </c>
      <c r="W248" s="2">
        <f>IF(R248="","",COUNTIFS($C$5:$C$6004,R248,$O$5:$O$6004,"CONCLUÍDA"))</f>
        <v/>
      </c>
      <c r="X248" s="2">
        <f>IF(R248="","",COUNTIFS($C$5:$C$6004,R248,$O$5:$O$6004,"EM ANDAMENTO"))</f>
        <v/>
      </c>
      <c r="Y248" s="2">
        <f>IF(R248="","",IF(COUNTIFS($C$5:$C$6004,R248,$O$5:$O$6004,"CONCLUÍDA",$N$5:$N$6004,"&gt;=-99")=0,"",_xlfn.MAXIFS($N$5:$N$6004,$C$5:$C$6004,R248,$O$5:$O$6004,"CONCLUÍDA")))</f>
        <v/>
      </c>
      <c r="Z248" s="2">
        <f>IF(R248="","",IF(COUNTIFS($C$5:$C$6004,R248,$O$5:$O$6004,"EM ANDAMENTO",$N$5:$N$6004,"&gt;=-99")=0,"",_xlfn.MAXIFS($N$5:$N$6004,$C$5:$C$6004,R248,$O$5:$O$6004,"EM ANDAMENTO")))</f>
        <v/>
      </c>
      <c r="AA248" s="2">
        <f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>
      <c r="B249" s="4" t="n">
        <v>14371903</v>
      </c>
      <c r="C249" s="4" t="inlineStr">
        <is>
          <t>ESTRUTURA TORRE A - LOOKAHEAD</t>
        </is>
      </c>
      <c r="D249" s="4" t="inlineStr">
        <is>
          <t>Armação de pilar - P14, P106 ao P112</t>
        </is>
      </c>
      <c r="E249" s="4" t="inlineStr">
        <is>
          <t>3º PAV. - PILOTIS</t>
        </is>
      </c>
      <c r="F249" s="119" t="n">
        <v>45964</v>
      </c>
      <c r="G249" s="119" t="n">
        <v>45968</v>
      </c>
      <c r="H249" s="119" t="n">
        <v>46293</v>
      </c>
      <c r="I249" s="4" t="n">
        <v>100</v>
      </c>
      <c r="J249" s="4" t="n">
        <v>100</v>
      </c>
      <c r="K249" s="4" t="n">
        <v>100</v>
      </c>
      <c r="M249" s="2">
        <f>IF(C249="","",IFERROR(INDEX($S$5:$S$304,MATCH(C249,$R$5:$R$304,0))&amp;"","?"))</f>
        <v/>
      </c>
      <c r="N249" s="2">
        <f>IF(E249="","",IF(ISNUMBER(SEARCH("SUBSOLO",E249)),IFERROR(-VALUE(LEFT(E249,FIND("º",SUBSTITUTE(E249,"°","º"))-1)),-1),IF(LEFT(E249,6)="TÉRREO",0,IFERROR(VALUE(LEFT(E249,FIND("º",SUBSTITUTE(E249,"°","º"))-1)),""))))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IF(R249="","",COUNTIF($C$5:$C$6004,R249))</f>
        <v/>
      </c>
      <c r="W249" s="2">
        <f>IF(R249="","",COUNTIFS($C$5:$C$6004,R249,$O$5:$O$6004,"CONCLUÍDA"))</f>
        <v/>
      </c>
      <c r="X249" s="2">
        <f>IF(R249="","",COUNTIFS($C$5:$C$6004,R249,$O$5:$O$6004,"EM ANDAMENTO"))</f>
        <v/>
      </c>
      <c r="Y249" s="2">
        <f>IF(R249="","",IF(COUNTIFS($C$5:$C$6004,R249,$O$5:$O$6004,"CONCLUÍDA",$N$5:$N$6004,"&gt;=-99")=0,"",_xlfn.MAXIFS($N$5:$N$6004,$C$5:$C$6004,R249,$O$5:$O$6004,"CONCLUÍDA")))</f>
        <v/>
      </c>
      <c r="Z249" s="2">
        <f>IF(R249="","",IF(COUNTIFS($C$5:$C$6004,R249,$O$5:$O$6004,"EM ANDAMENTO",$N$5:$N$6004,"&gt;=-99")=0,"",_xlfn.MAXIFS($N$5:$N$6004,$C$5:$C$6004,R249,$O$5:$O$6004,"EM ANDAMENTO")))</f>
        <v/>
      </c>
      <c r="AA249" s="2">
        <f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>
      <c r="B250" s="4" t="n">
        <v>25752742</v>
      </c>
      <c r="C250" s="4" t="inlineStr">
        <is>
          <t>ESTUQUE - SETOR B</t>
        </is>
      </c>
      <c r="D250" s="4" t="inlineStr">
        <is>
          <t>-</t>
        </is>
      </c>
      <c r="E250" s="4" t="inlineStr">
        <is>
          <t>2º PAV. GARAGEM.</t>
        </is>
      </c>
      <c r="F250" s="119" t="n">
        <v>45971</v>
      </c>
      <c r="G250" s="119" t="n">
        <v>46059</v>
      </c>
      <c r="H250" s="119" t="n">
        <v>46293</v>
      </c>
      <c r="I250" s="4" t="n">
        <v>100</v>
      </c>
      <c r="J250" s="4" t="n">
        <v>100</v>
      </c>
      <c r="K250" s="4" t="n">
        <v>100</v>
      </c>
      <c r="M250" s="2">
        <f>IF(C250="","",IFERROR(INDEX($S$5:$S$304,MATCH(C250,$R$5:$R$304,0))&amp;"","?"))</f>
        <v/>
      </c>
      <c r="N250" s="2">
        <f>IF(E250="","",IF(ISNUMBER(SEARCH("SUBSOLO",E250)),IFERROR(-VALUE(LEFT(E250,FIND("º",SUBSTITUTE(E250,"°","º"))-1)),-1),IF(LEFT(E250,6)="TÉRREO",0,IFERROR(VALUE(LEFT(E250,FIND("º",SUBSTITUTE(E250,"°","º"))-1)),""))))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IF(R250="","",COUNTIF($C$5:$C$6004,R250))</f>
        <v/>
      </c>
      <c r="W250" s="2">
        <f>IF(R250="","",COUNTIFS($C$5:$C$6004,R250,$O$5:$O$6004,"CONCLUÍDA"))</f>
        <v/>
      </c>
      <c r="X250" s="2">
        <f>IF(R250="","",COUNTIFS($C$5:$C$6004,R250,$O$5:$O$6004,"EM ANDAMENTO"))</f>
        <v/>
      </c>
      <c r="Y250" s="2">
        <f>IF(R250="","",IF(COUNTIFS($C$5:$C$6004,R250,$O$5:$O$6004,"CONCLUÍDA",$N$5:$N$6004,"&gt;=-99")=0,"",_xlfn.MAXIFS($N$5:$N$6004,$C$5:$C$6004,R250,$O$5:$O$6004,"CONCLUÍDA")))</f>
        <v/>
      </c>
      <c r="Z250" s="2">
        <f>IF(R250="","",IF(COUNTIFS($C$5:$C$6004,R250,$O$5:$O$6004,"EM ANDAMENTO",$N$5:$N$6004,"&gt;=-99")=0,"",_xlfn.MAXIFS($N$5:$N$6004,$C$5:$C$6004,R250,$O$5:$O$6004,"EM ANDAMENTO")))</f>
        <v/>
      </c>
      <c r="AA250" s="2">
        <f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>
      <c r="B251" s="4" t="n">
        <v>9203179</v>
      </c>
      <c r="C251" s="4" t="inlineStr">
        <is>
          <t>ESTUQUE - SETOR B</t>
        </is>
      </c>
      <c r="D251" s="4" t="inlineStr">
        <is>
          <t>TRECHO B</t>
        </is>
      </c>
      <c r="E251" s="4" t="inlineStr">
        <is>
          <t>2º PAV. GARAGEM.</t>
        </is>
      </c>
      <c r="F251" s="119" t="n">
        <v>45971</v>
      </c>
      <c r="G251" s="119" t="n">
        <v>45989</v>
      </c>
      <c r="H251" s="119" t="n">
        <v>46293</v>
      </c>
      <c r="I251" s="4" t="n">
        <v>100</v>
      </c>
      <c r="J251" s="4" t="n">
        <v>100</v>
      </c>
      <c r="K251" s="4" t="n">
        <v>100</v>
      </c>
      <c r="M251" s="2">
        <f>IF(C251="","",IFERROR(INDEX($S$5:$S$304,MATCH(C251,$R$5:$R$304,0))&amp;"","?"))</f>
        <v/>
      </c>
      <c r="N251" s="2">
        <f>IF(E251="","",IF(ISNUMBER(SEARCH("SUBSOLO",E251)),IFERROR(-VALUE(LEFT(E251,FIND("º",SUBSTITUTE(E251,"°","º"))-1)),-1),IF(LEFT(E251,6)="TÉRREO",0,IFERROR(VALUE(LEFT(E251,FIND("º",SUBSTITUTE(E251,"°","º"))-1)),""))))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IF(R251="","",COUNTIF($C$5:$C$6004,R251))</f>
        <v/>
      </c>
      <c r="W251" s="2">
        <f>IF(R251="","",COUNTIFS($C$5:$C$6004,R251,$O$5:$O$6004,"CONCLUÍDA"))</f>
        <v/>
      </c>
      <c r="X251" s="2">
        <f>IF(R251="","",COUNTIFS($C$5:$C$6004,R251,$O$5:$O$6004,"EM ANDAMENTO"))</f>
        <v/>
      </c>
      <c r="Y251" s="2">
        <f>IF(R251="","",IF(COUNTIFS($C$5:$C$6004,R251,$O$5:$O$6004,"CONCLUÍDA",$N$5:$N$6004,"&gt;=-99")=0,"",_xlfn.MAXIFS($N$5:$N$6004,$C$5:$C$6004,R251,$O$5:$O$6004,"CONCLUÍDA")))</f>
        <v/>
      </c>
      <c r="Z251" s="2">
        <f>IF(R251="","",IF(COUNTIFS($C$5:$C$6004,R251,$O$5:$O$6004,"EM ANDAMENTO",$N$5:$N$6004,"&gt;=-99")=0,"",_xlfn.MAXIFS($N$5:$N$6004,$C$5:$C$6004,R251,$O$5:$O$6004,"EM ANDAMENTO")))</f>
        <v/>
      </c>
      <c r="AA251" s="2">
        <f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>
      <c r="B252" s="4" t="n">
        <v>9203180</v>
      </c>
      <c r="C252" s="4" t="inlineStr">
        <is>
          <t>ESTUQUE - SETOR B</t>
        </is>
      </c>
      <c r="D252" s="4" t="inlineStr">
        <is>
          <t>TRECHO B - Parte 2</t>
        </is>
      </c>
      <c r="E252" s="4" t="inlineStr">
        <is>
          <t>2º PAV. GARAGEM.</t>
        </is>
      </c>
      <c r="F252" s="119" t="n">
        <v>45992</v>
      </c>
      <c r="G252" s="119" t="n">
        <v>46059</v>
      </c>
      <c r="H252" s="119" t="n">
        <v>46293</v>
      </c>
      <c r="I252" s="4" t="n">
        <v>100</v>
      </c>
      <c r="J252" s="4" t="n">
        <v>100</v>
      </c>
      <c r="K252" s="4" t="n">
        <v>100</v>
      </c>
      <c r="M252" s="2">
        <f>IF(C252="","",IFERROR(INDEX($S$5:$S$304,MATCH(C252,$R$5:$R$304,0))&amp;"","?"))</f>
        <v/>
      </c>
      <c r="N252" s="2">
        <f>IF(E252="","",IF(ISNUMBER(SEARCH("SUBSOLO",E252)),IFERROR(-VALUE(LEFT(E252,FIND("º",SUBSTITUTE(E252,"°","º"))-1)),-1),IF(LEFT(E252,6)="TÉRREO",0,IFERROR(VALUE(LEFT(E252,FIND("º",SUBSTITUTE(E252,"°","º"))-1)),""))))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IF(R252="","",COUNTIF($C$5:$C$6004,R252))</f>
        <v/>
      </c>
      <c r="W252" s="2">
        <f>IF(R252="","",COUNTIFS($C$5:$C$6004,R252,$O$5:$O$6004,"CONCLUÍDA"))</f>
        <v/>
      </c>
      <c r="X252" s="2">
        <f>IF(R252="","",COUNTIFS($C$5:$C$6004,R252,$O$5:$O$6004,"EM ANDAMENTO"))</f>
        <v/>
      </c>
      <c r="Y252" s="2">
        <f>IF(R252="","",IF(COUNTIFS($C$5:$C$6004,R252,$O$5:$O$6004,"CONCLUÍDA",$N$5:$N$6004,"&gt;=-99")=0,"",_xlfn.MAXIFS($N$5:$N$6004,$C$5:$C$6004,R252,$O$5:$O$6004,"CONCLUÍDA")))</f>
        <v/>
      </c>
      <c r="Z252" s="2">
        <f>IF(R252="","",IF(COUNTIFS($C$5:$C$6004,R252,$O$5:$O$6004,"EM ANDAMENTO",$N$5:$N$6004,"&gt;=-99")=0,"",_xlfn.MAXIFS($N$5:$N$6004,$C$5:$C$6004,R252,$O$5:$O$6004,"EM ANDAMENTO")))</f>
        <v/>
      </c>
      <c r="AA252" s="2">
        <f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>
      <c r="B253" s="4" t="n">
        <v>29174117</v>
      </c>
      <c r="C253" s="4" t="inlineStr">
        <is>
          <t>ESTRUTURA EMBASAMENTO C</t>
        </is>
      </c>
      <c r="D253" s="4" t="inlineStr">
        <is>
          <t>-</t>
        </is>
      </c>
      <c r="E253" s="4" t="inlineStr">
        <is>
          <t>3º PAV. - PILOTIS</t>
        </is>
      </c>
      <c r="F253" s="119" t="n">
        <v>45971</v>
      </c>
      <c r="G253" s="119" t="n">
        <v>46006</v>
      </c>
      <c r="H253" s="119" t="n">
        <v>46293</v>
      </c>
      <c r="I253" s="4" t="n">
        <v>100</v>
      </c>
      <c r="J253" s="4" t="n">
        <v>100</v>
      </c>
      <c r="K253" s="4" t="n">
        <v>100</v>
      </c>
      <c r="M253" s="2">
        <f>IF(C253="","",IFERROR(INDEX($S$5:$S$304,MATCH(C253,$R$5:$R$304,0))&amp;"","?"))</f>
        <v/>
      </c>
      <c r="N253" s="2">
        <f>IF(E253="","",IF(ISNUMBER(SEARCH("SUBSOLO",E253)),IFERROR(-VALUE(LEFT(E253,FIND("º",SUBSTITUTE(E253,"°","º"))-1)),-1),IF(LEFT(E253,6)="TÉRREO",0,IFERROR(VALUE(LEFT(E253,FIND("º",SUBSTITUTE(E253,"°","º"))-1)),""))))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IF(R253="","",COUNTIF($C$5:$C$6004,R253))</f>
        <v/>
      </c>
      <c r="W253" s="2">
        <f>IF(R253="","",COUNTIFS($C$5:$C$6004,R253,$O$5:$O$6004,"CONCLUÍDA"))</f>
        <v/>
      </c>
      <c r="X253" s="2">
        <f>IF(R253="","",COUNTIFS($C$5:$C$6004,R253,$O$5:$O$6004,"EM ANDAMENTO"))</f>
        <v/>
      </c>
      <c r="Y253" s="2">
        <f>IF(R253="","",IF(COUNTIFS($C$5:$C$6004,R253,$O$5:$O$6004,"CONCLUÍDA",$N$5:$N$6004,"&gt;=-99")=0,"",_xlfn.MAXIFS($N$5:$N$6004,$C$5:$C$6004,R253,$O$5:$O$6004,"CONCLUÍDA")))</f>
        <v/>
      </c>
      <c r="Z253" s="2">
        <f>IF(R253="","",IF(COUNTIFS($C$5:$C$6004,R253,$O$5:$O$6004,"EM ANDAMENTO",$N$5:$N$6004,"&gt;=-99")=0,"",_xlfn.MAXIFS($N$5:$N$6004,$C$5:$C$6004,R253,$O$5:$O$6004,"EM ANDAMENTO")))</f>
        <v/>
      </c>
      <c r="AA253" s="2">
        <f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>
      <c r="B254" s="4" t="n">
        <v>14361765</v>
      </c>
      <c r="C254" s="4" t="inlineStr">
        <is>
          <t>ESTRUTURA EMBASAMENTO C</t>
        </is>
      </c>
      <c r="D254" s="4" t="inlineStr">
        <is>
          <t>Armação de pilares (2150 kg)</t>
        </is>
      </c>
      <c r="E254" s="4" t="inlineStr">
        <is>
          <t>3º PAV. - PILOTIS</t>
        </is>
      </c>
      <c r="F254" s="119" t="n">
        <v>45971</v>
      </c>
      <c r="G254" s="119" t="n">
        <v>45973</v>
      </c>
      <c r="H254" s="119" t="n">
        <v>46293</v>
      </c>
      <c r="I254" s="4" t="n">
        <v>100</v>
      </c>
      <c r="J254" s="4" t="n">
        <v>100</v>
      </c>
      <c r="K254" s="4" t="n">
        <v>100</v>
      </c>
      <c r="M254" s="2">
        <f>IF(C254="","",IFERROR(INDEX($S$5:$S$304,MATCH(C254,$R$5:$R$304,0))&amp;"","?"))</f>
        <v/>
      </c>
      <c r="N254" s="2">
        <f>IF(E254="","",IF(ISNUMBER(SEARCH("SUBSOLO",E254)),IFERROR(-VALUE(LEFT(E254,FIND("º",SUBSTITUTE(E254,"°","º"))-1)),-1),IF(LEFT(E254,6)="TÉRREO",0,IFERROR(VALUE(LEFT(E254,FIND("º",SUBSTITUTE(E254,"°","º"))-1)),""))))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IF(R254="","",COUNTIF($C$5:$C$6004,R254))</f>
        <v/>
      </c>
      <c r="W254" s="2">
        <f>IF(R254="","",COUNTIFS($C$5:$C$6004,R254,$O$5:$O$6004,"CONCLUÍDA"))</f>
        <v/>
      </c>
      <c r="X254" s="2">
        <f>IF(R254="","",COUNTIFS($C$5:$C$6004,R254,$O$5:$O$6004,"EM ANDAMENTO"))</f>
        <v/>
      </c>
      <c r="Y254" s="2">
        <f>IF(R254="","",IF(COUNTIFS($C$5:$C$6004,R254,$O$5:$O$6004,"CONCLUÍDA",$N$5:$N$6004,"&gt;=-99")=0,"",_xlfn.MAXIFS($N$5:$N$6004,$C$5:$C$6004,R254,$O$5:$O$6004,"CONCLUÍDA")))</f>
        <v/>
      </c>
      <c r="Z254" s="2">
        <f>IF(R254="","",IF(COUNTIFS($C$5:$C$6004,R254,$O$5:$O$6004,"EM ANDAMENTO",$N$5:$N$6004,"&gt;=-99")=0,"",_xlfn.MAXIFS($N$5:$N$6004,$C$5:$C$6004,R254,$O$5:$O$6004,"EM ANDAMENTO")))</f>
        <v/>
      </c>
      <c r="AA254" s="2">
        <f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>
      <c r="B255" s="4" t="n">
        <v>14361766</v>
      </c>
      <c r="C255" s="4" t="inlineStr">
        <is>
          <t>ESTRUTURA EMBASAMENTO C</t>
        </is>
      </c>
      <c r="D255" s="4" t="inlineStr">
        <is>
          <t>Forma de pilares</t>
        </is>
      </c>
      <c r="E255" s="4" t="inlineStr">
        <is>
          <t>3º PAV. - PILOTIS</t>
        </is>
      </c>
      <c r="F255" s="119" t="n">
        <v>45971</v>
      </c>
      <c r="G255" s="119" t="n">
        <v>45979</v>
      </c>
      <c r="H255" s="119" t="n">
        <v>46293</v>
      </c>
      <c r="I255" s="4" t="n">
        <v>100</v>
      </c>
      <c r="J255" s="4" t="n">
        <v>100</v>
      </c>
      <c r="K255" s="4" t="n">
        <v>100</v>
      </c>
      <c r="M255" s="2">
        <f>IF(C255="","",IFERROR(INDEX($S$5:$S$304,MATCH(C255,$R$5:$R$304,0))&amp;"","?"))</f>
        <v/>
      </c>
      <c r="N255" s="2">
        <f>IF(E255="","",IF(ISNUMBER(SEARCH("SUBSOLO",E255)),IFERROR(-VALUE(LEFT(E255,FIND("º",SUBSTITUTE(E255,"°","º"))-1)),-1),IF(LEFT(E255,6)="TÉRREO",0,IFERROR(VALUE(LEFT(E255,FIND("º",SUBSTITUTE(E255,"°","º"))-1)),""))))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IF(R255="","",COUNTIF($C$5:$C$6004,R255))</f>
        <v/>
      </c>
      <c r="W255" s="2">
        <f>IF(R255="","",COUNTIFS($C$5:$C$6004,R255,$O$5:$O$6004,"CONCLUÍDA"))</f>
        <v/>
      </c>
      <c r="X255" s="2">
        <f>IF(R255="","",COUNTIFS($C$5:$C$6004,R255,$O$5:$O$6004,"EM ANDAMENTO"))</f>
        <v/>
      </c>
      <c r="Y255" s="2">
        <f>IF(R255="","",IF(COUNTIFS($C$5:$C$6004,R255,$O$5:$O$6004,"CONCLUÍDA",$N$5:$N$6004,"&gt;=-99")=0,"",_xlfn.MAXIFS($N$5:$N$6004,$C$5:$C$6004,R255,$O$5:$O$6004,"CONCLUÍDA")))</f>
        <v/>
      </c>
      <c r="Z255" s="2">
        <f>IF(R255="","",IF(COUNTIFS($C$5:$C$6004,R255,$O$5:$O$6004,"EM ANDAMENTO",$N$5:$N$6004,"&gt;=-99")=0,"",_xlfn.MAXIFS($N$5:$N$6004,$C$5:$C$6004,R255,$O$5:$O$6004,"EM ANDAMENTO")))</f>
        <v/>
      </c>
      <c r="AA255" s="2">
        <f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>
      <c r="B256" s="4" t="n">
        <v>14361767</v>
      </c>
      <c r="C256" s="4" t="inlineStr">
        <is>
          <t>ESTRUTURA EMBASAMENTO C</t>
        </is>
      </c>
      <c r="D256" s="4" t="inlineStr">
        <is>
          <t>1ª concretagem de pilares</t>
        </is>
      </c>
      <c r="E256" s="4" t="inlineStr">
        <is>
          <t>3º PAV. - PILOTIS</t>
        </is>
      </c>
      <c r="F256" s="119" t="n">
        <v>45971</v>
      </c>
      <c r="G256" s="119" t="n">
        <v>45971</v>
      </c>
      <c r="H256" s="119" t="n">
        <v>46293</v>
      </c>
      <c r="I256" s="4" t="n">
        <v>100</v>
      </c>
      <c r="J256" s="4" t="n">
        <v>100</v>
      </c>
      <c r="K256" s="4" t="n">
        <v>100</v>
      </c>
      <c r="M256" s="2">
        <f>IF(C256="","",IFERROR(INDEX($S$5:$S$304,MATCH(C256,$R$5:$R$304,0))&amp;"","?"))</f>
        <v/>
      </c>
      <c r="N256" s="2">
        <f>IF(E256="","",IF(ISNUMBER(SEARCH("SUBSOLO",E256)),IFERROR(-VALUE(LEFT(E256,FIND("º",SUBSTITUTE(E256,"°","º"))-1)),-1),IF(LEFT(E256,6)="TÉRREO",0,IFERROR(VALUE(LEFT(E256,FIND("º",SUBSTITUTE(E256,"°","º"))-1)),""))))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IF(R256="","",COUNTIF($C$5:$C$6004,R256))</f>
        <v/>
      </c>
      <c r="W256" s="2">
        <f>IF(R256="","",COUNTIFS($C$5:$C$6004,R256,$O$5:$O$6004,"CONCLUÍDA"))</f>
        <v/>
      </c>
      <c r="X256" s="2">
        <f>IF(R256="","",COUNTIFS($C$5:$C$6004,R256,$O$5:$O$6004,"EM ANDAMENTO"))</f>
        <v/>
      </c>
      <c r="Y256" s="2">
        <f>IF(R256="","",IF(COUNTIFS($C$5:$C$6004,R256,$O$5:$O$6004,"CONCLUÍDA",$N$5:$N$6004,"&gt;=-99")=0,"",_xlfn.MAXIFS($N$5:$N$6004,$C$5:$C$6004,R256,$O$5:$O$6004,"CONCLUÍDA")))</f>
        <v/>
      </c>
      <c r="Z256" s="2">
        <f>IF(R256="","",IF(COUNTIFS($C$5:$C$6004,R256,$O$5:$O$6004,"EM ANDAMENTO",$N$5:$N$6004,"&gt;=-99")=0,"",_xlfn.MAXIFS($N$5:$N$6004,$C$5:$C$6004,R256,$O$5:$O$6004,"EM ANDAMENTO")))</f>
        <v/>
      </c>
      <c r="AA256" s="2">
        <f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>
      <c r="B257" s="4" t="n">
        <v>14361768</v>
      </c>
      <c r="C257" s="4" t="inlineStr">
        <is>
          <t>ESTRUTURA EMBASAMENTO C</t>
        </is>
      </c>
      <c r="D257" s="4" t="inlineStr">
        <is>
          <t>2ª concretagem de pilares</t>
        </is>
      </c>
      <c r="E257" s="4" t="inlineStr">
        <is>
          <t>3º PAV. - PILOTIS</t>
        </is>
      </c>
      <c r="F257" s="119" t="n">
        <v>45971</v>
      </c>
      <c r="G257" s="119" t="n">
        <v>45971</v>
      </c>
      <c r="H257" s="119" t="n">
        <v>46293</v>
      </c>
      <c r="I257" s="4" t="n">
        <v>100</v>
      </c>
      <c r="J257" s="4" t="n">
        <v>100</v>
      </c>
      <c r="K257" s="4" t="n">
        <v>100</v>
      </c>
      <c r="M257" s="2">
        <f>IF(C257="","",IFERROR(INDEX($S$5:$S$304,MATCH(C257,$R$5:$R$304,0))&amp;"","?"))</f>
        <v/>
      </c>
      <c r="N257" s="2">
        <f>IF(E257="","",IF(ISNUMBER(SEARCH("SUBSOLO",E257)),IFERROR(-VALUE(LEFT(E257,FIND("º",SUBSTITUTE(E257,"°","º"))-1)),-1),IF(LEFT(E257,6)="TÉRREO",0,IFERROR(VALUE(LEFT(E257,FIND("º",SUBSTITUTE(E257,"°","º"))-1)),""))))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IF(R257="","",COUNTIF($C$5:$C$6004,R257))</f>
        <v/>
      </c>
      <c r="W257" s="2">
        <f>IF(R257="","",COUNTIFS($C$5:$C$6004,R257,$O$5:$O$6004,"CONCLUÍDA"))</f>
        <v/>
      </c>
      <c r="X257" s="2">
        <f>IF(R257="","",COUNTIFS($C$5:$C$6004,R257,$O$5:$O$6004,"EM ANDAMENTO"))</f>
        <v/>
      </c>
      <c r="Y257" s="2">
        <f>IF(R257="","",IF(COUNTIFS($C$5:$C$6004,R257,$O$5:$O$6004,"CONCLUÍDA",$N$5:$N$6004,"&gt;=-99")=0,"",_xlfn.MAXIFS($N$5:$N$6004,$C$5:$C$6004,R257,$O$5:$O$6004,"CONCLUÍDA")))</f>
        <v/>
      </c>
      <c r="Z257" s="2">
        <f>IF(R257="","",IF(COUNTIFS($C$5:$C$6004,R257,$O$5:$O$6004,"EM ANDAMENTO",$N$5:$N$6004,"&gt;=-99")=0,"",_xlfn.MAXIFS($N$5:$N$6004,$C$5:$C$6004,R257,$O$5:$O$6004,"EM ANDAMENTO")))</f>
        <v/>
      </c>
      <c r="AA257" s="2">
        <f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>
      <c r="B258" s="4" t="n">
        <v>14361769</v>
      </c>
      <c r="C258" s="4" t="inlineStr">
        <is>
          <t>ESTRUTURA EMBASAMENTO C</t>
        </is>
      </c>
      <c r="D258" s="4" t="inlineStr">
        <is>
          <t>Montagem de escoramento, longarinas, barrotes e forma - nível 947,97 e 947,17 (verde + fundo da piscina)</t>
        </is>
      </c>
      <c r="E258" s="4" t="inlineStr">
        <is>
          <t>3º PAV. - PILOTIS</t>
        </is>
      </c>
      <c r="F258" s="119" t="n">
        <v>45971</v>
      </c>
      <c r="G258" s="119" t="n">
        <v>45989</v>
      </c>
      <c r="H258" s="119" t="n">
        <v>46293</v>
      </c>
      <c r="I258" s="4" t="n">
        <v>100</v>
      </c>
      <c r="J258" s="4" t="n">
        <v>100</v>
      </c>
      <c r="K258" s="4" t="n">
        <v>100</v>
      </c>
      <c r="M258" s="2">
        <f>IF(C258="","",IFERROR(INDEX($S$5:$S$304,MATCH(C258,$R$5:$R$304,0))&amp;"","?"))</f>
        <v/>
      </c>
      <c r="N258" s="2">
        <f>IF(E258="","",IF(ISNUMBER(SEARCH("SUBSOLO",E258)),IFERROR(-VALUE(LEFT(E258,FIND("º",SUBSTITUTE(E258,"°","º"))-1)),-1),IF(LEFT(E258,6)="TÉRREO",0,IFERROR(VALUE(LEFT(E258,FIND("º",SUBSTITUTE(E258,"°","º"))-1)),""))))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IF(R258="","",COUNTIF($C$5:$C$6004,R258))</f>
        <v/>
      </c>
      <c r="W258" s="2">
        <f>IF(R258="","",COUNTIFS($C$5:$C$6004,R258,$O$5:$O$6004,"CONCLUÍDA"))</f>
        <v/>
      </c>
      <c r="X258" s="2">
        <f>IF(R258="","",COUNTIFS($C$5:$C$6004,R258,$O$5:$O$6004,"EM ANDAMENTO"))</f>
        <v/>
      </c>
      <c r="Y258" s="2">
        <f>IF(R258="","",IF(COUNTIFS($C$5:$C$6004,R258,$O$5:$O$6004,"CONCLUÍDA",$N$5:$N$6004,"&gt;=-99")=0,"",_xlfn.MAXIFS($N$5:$N$6004,$C$5:$C$6004,R258,$O$5:$O$6004,"CONCLUÍDA")))</f>
        <v/>
      </c>
      <c r="Z258" s="2">
        <f>IF(R258="","",IF(COUNTIFS($C$5:$C$6004,R258,$O$5:$O$6004,"EM ANDAMENTO",$N$5:$N$6004,"&gt;=-99")=0,"",_xlfn.MAXIFS($N$5:$N$6004,$C$5:$C$6004,R258,$O$5:$O$6004,"EM ANDAMENTO")))</f>
        <v/>
      </c>
      <c r="AA258" s="2">
        <f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>
      <c r="B259" s="4" t="n">
        <v>14361770</v>
      </c>
      <c r="C259" s="4" t="inlineStr">
        <is>
          <t>ESTRUTURA EMBASAMENTO C</t>
        </is>
      </c>
      <c r="D259" s="4" t="inlineStr">
        <is>
          <t>Montagens de vigas (14888 kg)</t>
        </is>
      </c>
      <c r="E259" s="4" t="inlineStr">
        <is>
          <t>3º PAV. - PILOTIS</t>
        </is>
      </c>
      <c r="F259" s="119" t="n">
        <v>45971</v>
      </c>
      <c r="G259" s="119" t="n">
        <v>46003</v>
      </c>
      <c r="H259" s="119" t="n">
        <v>46293</v>
      </c>
      <c r="I259" s="4" t="n">
        <v>100</v>
      </c>
      <c r="J259" s="4" t="n">
        <v>100</v>
      </c>
      <c r="K259" s="4" t="n">
        <v>100</v>
      </c>
      <c r="M259" s="2">
        <f>IF(C259="","",IFERROR(INDEX($S$5:$S$304,MATCH(C259,$R$5:$R$304,0))&amp;"","?"))</f>
        <v/>
      </c>
      <c r="N259" s="2">
        <f>IF(E259="","",IF(ISNUMBER(SEARCH("SUBSOLO",E259)),IFERROR(-VALUE(LEFT(E259,FIND("º",SUBSTITUTE(E259,"°","º"))-1)),-1),IF(LEFT(E259,6)="TÉRREO",0,IFERROR(VALUE(LEFT(E259,FIND("º",SUBSTITUTE(E259,"°","º"))-1)),""))))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IF(R259="","",COUNTIF($C$5:$C$6004,R259))</f>
        <v/>
      </c>
      <c r="W259" s="2">
        <f>IF(R259="","",COUNTIFS($C$5:$C$6004,R259,$O$5:$O$6004,"CONCLUÍDA"))</f>
        <v/>
      </c>
      <c r="X259" s="2">
        <f>IF(R259="","",COUNTIFS($C$5:$C$6004,R259,$O$5:$O$6004,"EM ANDAMENTO"))</f>
        <v/>
      </c>
      <c r="Y259" s="2">
        <f>IF(R259="","",IF(COUNTIFS($C$5:$C$6004,R259,$O$5:$O$6004,"CONCLUÍDA",$N$5:$N$6004,"&gt;=-99")=0,"",_xlfn.MAXIFS($N$5:$N$6004,$C$5:$C$6004,R259,$O$5:$O$6004,"CONCLUÍDA")))</f>
        <v/>
      </c>
      <c r="Z259" s="2">
        <f>IF(R259="","",IF(COUNTIFS($C$5:$C$6004,R259,$O$5:$O$6004,"EM ANDAMENTO",$N$5:$N$6004,"&gt;=-99")=0,"",_xlfn.MAXIFS($N$5:$N$6004,$C$5:$C$6004,R259,$O$5:$O$6004,"EM ANDAMENTO")))</f>
        <v/>
      </c>
      <c r="AA259" s="2">
        <f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>
      <c r="B260" s="4" t="n">
        <v>14361775</v>
      </c>
      <c r="C260" s="4" t="inlineStr">
        <is>
          <t>ESTRUTURA EMBASAMENTO C</t>
        </is>
      </c>
      <c r="D260" s="4" t="inlineStr">
        <is>
          <t>Lançamento de vigas + montagem de laje</t>
        </is>
      </c>
      <c r="E260" s="4" t="inlineStr">
        <is>
          <t>3º PAV. - PILOTIS</t>
        </is>
      </c>
      <c r="F260" s="119" t="n">
        <v>45971</v>
      </c>
      <c r="G260" s="119" t="n">
        <v>46003</v>
      </c>
      <c r="H260" s="119" t="n">
        <v>46293</v>
      </c>
      <c r="I260" s="4" t="n">
        <v>100</v>
      </c>
      <c r="J260" s="4" t="n">
        <v>100</v>
      </c>
      <c r="K260" s="4" t="n">
        <v>100</v>
      </c>
      <c r="M260" s="2">
        <f>IF(C260="","",IFERROR(INDEX($S$5:$S$304,MATCH(C260,$R$5:$R$304,0))&amp;"","?"))</f>
        <v/>
      </c>
      <c r="N260" s="2">
        <f>IF(E260="","",IF(ISNUMBER(SEARCH("SUBSOLO",E260)),IFERROR(-VALUE(LEFT(E260,FIND("º",SUBSTITUTE(E260,"°","º"))-1)),-1),IF(LEFT(E260,6)="TÉRREO",0,IFERROR(VALUE(LEFT(E260,FIND("º",SUBSTITUTE(E260,"°","º"))-1)),""))))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IF(R260="","",COUNTIF($C$5:$C$6004,R260))</f>
        <v/>
      </c>
      <c r="W260" s="2">
        <f>IF(R260="","",COUNTIFS($C$5:$C$6004,R260,$O$5:$O$6004,"CONCLUÍDA"))</f>
        <v/>
      </c>
      <c r="X260" s="2">
        <f>IF(R260="","",COUNTIFS($C$5:$C$6004,R260,$O$5:$O$6004,"EM ANDAMENTO"))</f>
        <v/>
      </c>
      <c r="Y260" s="2">
        <f>IF(R260="","",IF(COUNTIFS($C$5:$C$6004,R260,$O$5:$O$6004,"CONCLUÍDA",$N$5:$N$6004,"&gt;=-99")=0,"",_xlfn.MAXIFS($N$5:$N$6004,$C$5:$C$6004,R260,$O$5:$O$6004,"CONCLUÍDA")))</f>
        <v/>
      </c>
      <c r="Z260" s="2">
        <f>IF(R260="","",IF(COUNTIFS($C$5:$C$6004,R260,$O$5:$O$6004,"EM ANDAMENTO",$N$5:$N$6004,"&gt;=-99")=0,"",_xlfn.MAXIFS($N$5:$N$6004,$C$5:$C$6004,R260,$O$5:$O$6004,"EM ANDAMENTO")))</f>
        <v/>
      </c>
      <c r="AA260" s="2">
        <f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>
      <c r="B261" s="4" t="n">
        <v>14361776</v>
      </c>
      <c r="C261" s="4" t="inlineStr">
        <is>
          <t>ESTRUTURA EMBASAMENTO C</t>
        </is>
      </c>
      <c r="D261" s="4" t="inlineStr">
        <is>
          <t>Concreto nível 947,97 e 947,17 (verde + fundo da piscina)</t>
        </is>
      </c>
      <c r="E261" s="4" t="inlineStr">
        <is>
          <t>3º PAV. - PILOTIS</t>
        </is>
      </c>
      <c r="F261" s="119" t="n">
        <v>45996</v>
      </c>
      <c r="G261" s="119" t="n">
        <v>45996</v>
      </c>
      <c r="H261" s="119" t="n">
        <v>46293</v>
      </c>
      <c r="I261" s="4" t="n">
        <v>100</v>
      </c>
      <c r="J261" s="4" t="n">
        <v>100</v>
      </c>
      <c r="K261" s="4" t="n">
        <v>100</v>
      </c>
      <c r="M261" s="2">
        <f>IF(C261="","",IFERROR(INDEX($S$5:$S$304,MATCH(C261,$R$5:$R$304,0))&amp;"","?"))</f>
        <v/>
      </c>
      <c r="N261" s="2">
        <f>IF(E261="","",IF(ISNUMBER(SEARCH("SUBSOLO",E261)),IFERROR(-VALUE(LEFT(E261,FIND("º",SUBSTITUTE(E261,"°","º"))-1)),-1),IF(LEFT(E261,6)="TÉRREO",0,IFERROR(VALUE(LEFT(E261,FIND("º",SUBSTITUTE(E261,"°","º"))-1)),""))))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IF(R261="","",COUNTIF($C$5:$C$6004,R261))</f>
        <v/>
      </c>
      <c r="W261" s="2">
        <f>IF(R261="","",COUNTIFS($C$5:$C$6004,R261,$O$5:$O$6004,"CONCLUÍDA"))</f>
        <v/>
      </c>
      <c r="X261" s="2">
        <f>IF(R261="","",COUNTIFS($C$5:$C$6004,R261,$O$5:$O$6004,"EM ANDAMENTO"))</f>
        <v/>
      </c>
      <c r="Y261" s="2">
        <f>IF(R261="","",IF(COUNTIFS($C$5:$C$6004,R261,$O$5:$O$6004,"CONCLUÍDA",$N$5:$N$6004,"&gt;=-99")=0,"",_xlfn.MAXIFS($N$5:$N$6004,$C$5:$C$6004,R261,$O$5:$O$6004,"CONCLUÍDA")))</f>
        <v/>
      </c>
      <c r="Z261" s="2">
        <f>IF(R261="","",IF(COUNTIFS($C$5:$C$6004,R261,$O$5:$O$6004,"EM ANDAMENTO",$N$5:$N$6004,"&gt;=-99")=0,"",_xlfn.MAXIFS($N$5:$N$6004,$C$5:$C$6004,R261,$O$5:$O$6004,"EM ANDAMENTO")))</f>
        <v/>
      </c>
      <c r="AA261" s="2">
        <f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>
      <c r="B262" s="4" t="n">
        <v>14361777</v>
      </c>
      <c r="C262" s="4" t="inlineStr">
        <is>
          <t>ESTRUTURA EMBASAMENTO C</t>
        </is>
      </c>
      <c r="D262" s="4" t="inlineStr">
        <is>
          <t>Concreto nível 948,17 (amarelo)</t>
        </is>
      </c>
      <c r="E262" s="4" t="inlineStr">
        <is>
          <t>3º PAV. - PILOTIS</t>
        </is>
      </c>
      <c r="F262" s="119" t="n">
        <v>46001</v>
      </c>
      <c r="G262" s="119" t="n">
        <v>46001</v>
      </c>
      <c r="H262" s="119" t="n">
        <v>46293</v>
      </c>
      <c r="I262" s="4" t="n">
        <v>100</v>
      </c>
      <c r="J262" s="4" t="n">
        <v>100</v>
      </c>
      <c r="K262" s="4" t="n">
        <v>100</v>
      </c>
      <c r="M262" s="2">
        <f>IF(C262="","",IFERROR(INDEX($S$5:$S$304,MATCH(C262,$R$5:$R$304,0))&amp;"","?"))</f>
        <v/>
      </c>
      <c r="N262" s="2">
        <f>IF(E262="","",IF(ISNUMBER(SEARCH("SUBSOLO",E262)),IFERROR(-VALUE(LEFT(E262,FIND("º",SUBSTITUTE(E262,"°","º"))-1)),-1),IF(LEFT(E262,6)="TÉRREO",0,IFERROR(VALUE(LEFT(E262,FIND("º",SUBSTITUTE(E262,"°","º"))-1)),""))))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IF(R262="","",COUNTIF($C$5:$C$6004,R262))</f>
        <v/>
      </c>
      <c r="W262" s="2">
        <f>IF(R262="","",COUNTIFS($C$5:$C$6004,R262,$O$5:$O$6004,"CONCLUÍDA"))</f>
        <v/>
      </c>
      <c r="X262" s="2">
        <f>IF(R262="","",COUNTIFS($C$5:$C$6004,R262,$O$5:$O$6004,"EM ANDAMENTO"))</f>
        <v/>
      </c>
      <c r="Y262" s="2">
        <f>IF(R262="","",IF(COUNTIFS($C$5:$C$6004,R262,$O$5:$O$6004,"CONCLUÍDA",$N$5:$N$6004,"&gt;=-99")=0,"",_xlfn.MAXIFS($N$5:$N$6004,$C$5:$C$6004,R262,$O$5:$O$6004,"CONCLUÍDA")))</f>
        <v/>
      </c>
      <c r="Z262" s="2">
        <f>IF(R262="","",IF(COUNTIFS($C$5:$C$6004,R262,$O$5:$O$6004,"EM ANDAMENTO",$N$5:$N$6004,"&gt;=-99")=0,"",_xlfn.MAXIFS($N$5:$N$6004,$C$5:$C$6004,R262,$O$5:$O$6004,"EM ANDAMENTO")))</f>
        <v/>
      </c>
      <c r="AA262" s="2">
        <f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>
      <c r="B263" s="4" t="n">
        <v>14361778</v>
      </c>
      <c r="C263" s="4" t="inlineStr">
        <is>
          <t>ESTRUTURA EMBASAMENTO C</t>
        </is>
      </c>
      <c r="D263" s="4" t="inlineStr">
        <is>
          <t>Concreto nível 948,37 (roxo)</t>
        </is>
      </c>
      <c r="E263" s="4" t="inlineStr">
        <is>
          <t>3º PAV. - PILOTIS</t>
        </is>
      </c>
      <c r="F263" s="119" t="n">
        <v>46001</v>
      </c>
      <c r="G263" s="119" t="n">
        <v>46001</v>
      </c>
      <c r="H263" s="119" t="n">
        <v>46293</v>
      </c>
      <c r="I263" s="4" t="n">
        <v>100</v>
      </c>
      <c r="J263" s="4" t="n">
        <v>100</v>
      </c>
      <c r="K263" s="4" t="n">
        <v>100</v>
      </c>
      <c r="M263" s="2">
        <f>IF(C263="","",IFERROR(INDEX($S$5:$S$304,MATCH(C263,$R$5:$R$304,0))&amp;"","?"))</f>
        <v/>
      </c>
      <c r="N263" s="2">
        <f>IF(E263="","",IF(ISNUMBER(SEARCH("SUBSOLO",E263)),IFERROR(-VALUE(LEFT(E263,FIND("º",SUBSTITUTE(E263,"°","º"))-1)),-1),IF(LEFT(E263,6)="TÉRREO",0,IFERROR(VALUE(LEFT(E263,FIND("º",SUBSTITUTE(E263,"°","º"))-1)),""))))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IF(R263="","",COUNTIF($C$5:$C$6004,R263))</f>
        <v/>
      </c>
      <c r="W263" s="2">
        <f>IF(R263="","",COUNTIFS($C$5:$C$6004,R263,$O$5:$O$6004,"CONCLUÍDA"))</f>
        <v/>
      </c>
      <c r="X263" s="2">
        <f>IF(R263="","",COUNTIFS($C$5:$C$6004,R263,$O$5:$O$6004,"EM ANDAMENTO"))</f>
        <v/>
      </c>
      <c r="Y263" s="2">
        <f>IF(R263="","",IF(COUNTIFS($C$5:$C$6004,R263,$O$5:$O$6004,"CONCLUÍDA",$N$5:$N$6004,"&gt;=-99")=0,"",_xlfn.MAXIFS($N$5:$N$6004,$C$5:$C$6004,R263,$O$5:$O$6004,"CONCLUÍDA")))</f>
        <v/>
      </c>
      <c r="Z263" s="2">
        <f>IF(R263="","",IF(COUNTIFS($C$5:$C$6004,R263,$O$5:$O$6004,"EM ANDAMENTO",$N$5:$N$6004,"&gt;=-99")=0,"",_xlfn.MAXIFS($N$5:$N$6004,$C$5:$C$6004,R263,$O$5:$O$6004,"EM ANDAMENTO")))</f>
        <v/>
      </c>
      <c r="AA263" s="2">
        <f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>
      <c r="B264" s="4" t="n">
        <v>14361779</v>
      </c>
      <c r="C264" s="4" t="inlineStr">
        <is>
          <t>ESTRUTURA EMBASAMENTO C</t>
        </is>
      </c>
      <c r="D264" s="4" t="inlineStr">
        <is>
          <t>Concreto nível 948,51 (marron)</t>
        </is>
      </c>
      <c r="E264" s="4" t="inlineStr">
        <is>
          <t>3º PAV. - PILOTIS</t>
        </is>
      </c>
      <c r="F264" s="119" t="n">
        <v>46006</v>
      </c>
      <c r="G264" s="119" t="n">
        <v>46006</v>
      </c>
      <c r="H264" s="119" t="n">
        <v>46293</v>
      </c>
      <c r="I264" s="4" t="n">
        <v>100</v>
      </c>
      <c r="J264" s="4" t="n">
        <v>100</v>
      </c>
      <c r="K264" s="4" t="n">
        <v>100</v>
      </c>
      <c r="M264" s="2">
        <f>IF(C264="","",IFERROR(INDEX($S$5:$S$304,MATCH(C264,$R$5:$R$304,0))&amp;"","?"))</f>
        <v/>
      </c>
      <c r="N264" s="2">
        <f>IF(E264="","",IF(ISNUMBER(SEARCH("SUBSOLO",E264)),IFERROR(-VALUE(LEFT(E264,FIND("º",SUBSTITUTE(E264,"°","º"))-1)),-1),IF(LEFT(E264,6)="TÉRREO",0,IFERROR(VALUE(LEFT(E264,FIND("º",SUBSTITUTE(E264,"°","º"))-1)),""))))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IF(R264="","",COUNTIF($C$5:$C$6004,R264))</f>
        <v/>
      </c>
      <c r="W264" s="2">
        <f>IF(R264="","",COUNTIFS($C$5:$C$6004,R264,$O$5:$O$6004,"CONCLUÍDA"))</f>
        <v/>
      </c>
      <c r="X264" s="2">
        <f>IF(R264="","",COUNTIFS($C$5:$C$6004,R264,$O$5:$O$6004,"EM ANDAMENTO"))</f>
        <v/>
      </c>
      <c r="Y264" s="2">
        <f>IF(R264="","",IF(COUNTIFS($C$5:$C$6004,R264,$O$5:$O$6004,"CONCLUÍDA",$N$5:$N$6004,"&gt;=-99")=0,"",_xlfn.MAXIFS($N$5:$N$6004,$C$5:$C$6004,R264,$O$5:$O$6004,"CONCLUÍDA")))</f>
        <v/>
      </c>
      <c r="Z264" s="2">
        <f>IF(R264="","",IF(COUNTIFS($C$5:$C$6004,R264,$O$5:$O$6004,"EM ANDAMENTO",$N$5:$N$6004,"&gt;=-99")=0,"",_xlfn.MAXIFS($N$5:$N$6004,$C$5:$C$6004,R264,$O$5:$O$6004,"EM ANDAMENTO")))</f>
        <v/>
      </c>
      <c r="AA264" s="2">
        <f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>
      <c r="B265" s="4" t="n">
        <v>14361780</v>
      </c>
      <c r="C265" s="4" t="inlineStr">
        <is>
          <t>ESTRUTURA EMBASAMENTO C</t>
        </is>
      </c>
      <c r="D265" s="4" t="inlineStr">
        <is>
          <t>Protensão - nível 947,97 - verde (lançamento de cabos)</t>
        </is>
      </c>
      <c r="E265" s="4" t="inlineStr">
        <is>
          <t>3º PAV. - PILOTIS</t>
        </is>
      </c>
      <c r="F265" s="119" t="n">
        <v>45994</v>
      </c>
      <c r="G265" s="119" t="n">
        <v>45995</v>
      </c>
      <c r="H265" s="119" t="n">
        <v>46293</v>
      </c>
      <c r="I265" s="4" t="n">
        <v>100</v>
      </c>
      <c r="J265" s="4" t="n">
        <v>100</v>
      </c>
      <c r="K265" s="4" t="n">
        <v>100</v>
      </c>
      <c r="M265" s="2">
        <f>IF(C265="","",IFERROR(INDEX($S$5:$S$304,MATCH(C265,$R$5:$R$304,0))&amp;"","?"))</f>
        <v/>
      </c>
      <c r="N265" s="2">
        <f>IF(E265="","",IF(ISNUMBER(SEARCH("SUBSOLO",E265)),IFERROR(-VALUE(LEFT(E265,FIND("º",SUBSTITUTE(E265,"°","º"))-1)),-1),IF(LEFT(E265,6)="TÉRREO",0,IFERROR(VALUE(LEFT(E265,FIND("º",SUBSTITUTE(E265,"°","º"))-1)),""))))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IF(R265="","",COUNTIF($C$5:$C$6004,R265))</f>
        <v/>
      </c>
      <c r="W265" s="2">
        <f>IF(R265="","",COUNTIFS($C$5:$C$6004,R265,$O$5:$O$6004,"CONCLUÍDA"))</f>
        <v/>
      </c>
      <c r="X265" s="2">
        <f>IF(R265="","",COUNTIFS($C$5:$C$6004,R265,$O$5:$O$6004,"EM ANDAMENTO"))</f>
        <v/>
      </c>
      <c r="Y265" s="2">
        <f>IF(R265="","",IF(COUNTIFS($C$5:$C$6004,R265,$O$5:$O$6004,"CONCLUÍDA",$N$5:$N$6004,"&gt;=-99")=0,"",_xlfn.MAXIFS($N$5:$N$6004,$C$5:$C$6004,R265,$O$5:$O$6004,"CONCLUÍDA")))</f>
        <v/>
      </c>
      <c r="Z265" s="2">
        <f>IF(R265="","",IF(COUNTIFS($C$5:$C$6004,R265,$O$5:$O$6004,"EM ANDAMENTO",$N$5:$N$6004,"&gt;=-99")=0,"",_xlfn.MAXIFS($N$5:$N$6004,$C$5:$C$6004,R265,$O$5:$O$6004,"EM ANDAMENTO")))</f>
        <v/>
      </c>
      <c r="AA265" s="2">
        <f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>
      <c r="B266" s="4" t="n">
        <v>14361781</v>
      </c>
      <c r="C266" s="4" t="inlineStr">
        <is>
          <t>ESTRUTURA EMBASAMENTO C</t>
        </is>
      </c>
      <c r="D266" s="4" t="inlineStr">
        <is>
          <t>Protensão - nível 948,51 - marron (lançamento de cabos)</t>
        </is>
      </c>
      <c r="E266" s="4" t="inlineStr">
        <is>
          <t>3º PAV. - PILOTIS</t>
        </is>
      </c>
      <c r="F266" s="119" t="n">
        <v>46002</v>
      </c>
      <c r="G266" s="119" t="n">
        <v>46003</v>
      </c>
      <c r="H266" s="119" t="n">
        <v>46293</v>
      </c>
      <c r="I266" s="4" t="n">
        <v>100</v>
      </c>
      <c r="J266" s="4" t="n">
        <v>100</v>
      </c>
      <c r="K266" s="4" t="n">
        <v>100</v>
      </c>
      <c r="M266" s="2">
        <f>IF(C266="","",IFERROR(INDEX($S$5:$S$304,MATCH(C266,$R$5:$R$304,0))&amp;"","?"))</f>
        <v/>
      </c>
      <c r="N266" s="2">
        <f>IF(E266="","",IF(ISNUMBER(SEARCH("SUBSOLO",E266)),IFERROR(-VALUE(LEFT(E266,FIND("º",SUBSTITUTE(E266,"°","º"))-1)),-1),IF(LEFT(E266,6)="TÉRREO",0,IFERROR(VALUE(LEFT(E266,FIND("º",SUBSTITUTE(E266,"°","º"))-1)),""))))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IF(R266="","",COUNTIF($C$5:$C$6004,R266))</f>
        <v/>
      </c>
      <c r="W266" s="2">
        <f>IF(R266="","",COUNTIFS($C$5:$C$6004,R266,$O$5:$O$6004,"CONCLUÍDA"))</f>
        <v/>
      </c>
      <c r="X266" s="2">
        <f>IF(R266="","",COUNTIFS($C$5:$C$6004,R266,$O$5:$O$6004,"EM ANDAMENTO"))</f>
        <v/>
      </c>
      <c r="Y266" s="2">
        <f>IF(R266="","",IF(COUNTIFS($C$5:$C$6004,R266,$O$5:$O$6004,"CONCLUÍDA",$N$5:$N$6004,"&gt;=-99")=0,"",_xlfn.MAXIFS($N$5:$N$6004,$C$5:$C$6004,R266,$O$5:$O$6004,"CONCLUÍDA")))</f>
        <v/>
      </c>
      <c r="Z266" s="2">
        <f>IF(R266="","",IF(COUNTIFS($C$5:$C$6004,R266,$O$5:$O$6004,"EM ANDAMENTO",$N$5:$N$6004,"&gt;=-99")=0,"",_xlfn.MAXIFS($N$5:$N$6004,$C$5:$C$6004,R266,$O$5:$O$6004,"EM ANDAMENTO")))</f>
        <v/>
      </c>
      <c r="AA266" s="2">
        <f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>
      <c r="B267" s="4" t="n">
        <v>14616457</v>
      </c>
      <c r="C267" s="4" t="inlineStr">
        <is>
          <t>ESTRUTURA EMBASAMENTO C</t>
        </is>
      </c>
      <c r="D267" s="4" t="inlineStr">
        <is>
          <t>Montagem de escoramento, longarinas, barrotes e forma - nível 948,17 (amarelo)</t>
        </is>
      </c>
      <c r="E267" s="4" t="inlineStr">
        <is>
          <t>3º PAV. - PILOTIS</t>
        </is>
      </c>
      <c r="F267" s="119" t="n">
        <v>45988</v>
      </c>
      <c r="G267" s="119" t="n">
        <v>46000</v>
      </c>
      <c r="H267" s="119" t="n">
        <v>46293</v>
      </c>
      <c r="I267" s="4" t="n">
        <v>100</v>
      </c>
      <c r="J267" s="4" t="n">
        <v>100</v>
      </c>
      <c r="K267" s="4" t="n">
        <v>100</v>
      </c>
      <c r="M267" s="2">
        <f>IF(C267="","",IFERROR(INDEX($S$5:$S$304,MATCH(C267,$R$5:$R$304,0))&amp;"","?"))</f>
        <v/>
      </c>
      <c r="N267" s="2">
        <f>IF(E267="","",IF(ISNUMBER(SEARCH("SUBSOLO",E267)),IFERROR(-VALUE(LEFT(E267,FIND("º",SUBSTITUTE(E267,"°","º"))-1)),-1),IF(LEFT(E267,6)="TÉRREO",0,IFERROR(VALUE(LEFT(E267,FIND("º",SUBSTITUTE(E267,"°","º"))-1)),""))))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IF(R267="","",COUNTIF($C$5:$C$6004,R267))</f>
        <v/>
      </c>
      <c r="W267" s="2">
        <f>IF(R267="","",COUNTIFS($C$5:$C$6004,R267,$O$5:$O$6004,"CONCLUÍDA"))</f>
        <v/>
      </c>
      <c r="X267" s="2">
        <f>IF(R267="","",COUNTIFS($C$5:$C$6004,R267,$O$5:$O$6004,"EM ANDAMENTO"))</f>
        <v/>
      </c>
      <c r="Y267" s="2">
        <f>IF(R267="","",IF(COUNTIFS($C$5:$C$6004,R267,$O$5:$O$6004,"CONCLUÍDA",$N$5:$N$6004,"&gt;=-99")=0,"",_xlfn.MAXIFS($N$5:$N$6004,$C$5:$C$6004,R267,$O$5:$O$6004,"CONCLUÍDA")))</f>
        <v/>
      </c>
      <c r="Z267" s="2">
        <f>IF(R267="","",IF(COUNTIFS($C$5:$C$6004,R267,$O$5:$O$6004,"EM ANDAMENTO",$N$5:$N$6004,"&gt;=-99")=0,"",_xlfn.MAXIFS($N$5:$N$6004,$C$5:$C$6004,R267,$O$5:$O$6004,"EM ANDAMENTO")))</f>
        <v/>
      </c>
      <c r="AA267" s="2">
        <f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>
      <c r="B268" s="4" t="n">
        <v>14616462</v>
      </c>
      <c r="C268" s="4" t="inlineStr">
        <is>
          <t>ESTRUTURA EMBASAMENTO C</t>
        </is>
      </c>
      <c r="D268" s="4" t="inlineStr">
        <is>
          <t>Montagem de escoramento, longarinas, barrotes e forma - nível 948,51 (marron)</t>
        </is>
      </c>
      <c r="E268" s="4" t="inlineStr">
        <is>
          <t>3º PAV. - PILOTIS</t>
        </is>
      </c>
      <c r="F268" s="119" t="n">
        <v>45995</v>
      </c>
      <c r="G268" s="119" t="n">
        <v>46006</v>
      </c>
      <c r="H268" s="119" t="n">
        <v>46293</v>
      </c>
      <c r="I268" s="4" t="n">
        <v>100</v>
      </c>
      <c r="J268" s="4" t="n">
        <v>100</v>
      </c>
      <c r="K268" s="4" t="n">
        <v>100</v>
      </c>
      <c r="M268" s="2">
        <f>IF(C268="","",IFERROR(INDEX($S$5:$S$304,MATCH(C268,$R$5:$R$304,0))&amp;"","?"))</f>
        <v/>
      </c>
      <c r="N268" s="2">
        <f>IF(E268="","",IF(ISNUMBER(SEARCH("SUBSOLO",E268)),IFERROR(-VALUE(LEFT(E268,FIND("º",SUBSTITUTE(E268,"°","º"))-1)),-1),IF(LEFT(E268,6)="TÉRREO",0,IFERROR(VALUE(LEFT(E268,FIND("º",SUBSTITUTE(E268,"°","º"))-1)),""))))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IF(R268="","",COUNTIF($C$5:$C$6004,R268))</f>
        <v/>
      </c>
      <c r="W268" s="2">
        <f>IF(R268="","",COUNTIFS($C$5:$C$6004,R268,$O$5:$O$6004,"CONCLUÍDA"))</f>
        <v/>
      </c>
      <c r="X268" s="2">
        <f>IF(R268="","",COUNTIFS($C$5:$C$6004,R268,$O$5:$O$6004,"EM ANDAMENTO"))</f>
        <v/>
      </c>
      <c r="Y268" s="2">
        <f>IF(R268="","",IF(COUNTIFS($C$5:$C$6004,R268,$O$5:$O$6004,"CONCLUÍDA",$N$5:$N$6004,"&gt;=-99")=0,"",_xlfn.MAXIFS($N$5:$N$6004,$C$5:$C$6004,R268,$O$5:$O$6004,"CONCLUÍDA")))</f>
        <v/>
      </c>
      <c r="Z268" s="2">
        <f>IF(R268="","",IF(COUNTIFS($C$5:$C$6004,R268,$O$5:$O$6004,"EM ANDAMENTO",$N$5:$N$6004,"&gt;=-99")=0,"",_xlfn.MAXIFS($N$5:$N$6004,$C$5:$C$6004,R268,$O$5:$O$6004,"EM ANDAMENTO")))</f>
        <v/>
      </c>
      <c r="AA268" s="2">
        <f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>
      <c r="B269" s="4" t="n">
        <v>14616560</v>
      </c>
      <c r="C269" s="4" t="inlineStr">
        <is>
          <t>ESTRUTURA EMBASAMENTO C</t>
        </is>
      </c>
      <c r="D269" s="4" t="inlineStr">
        <is>
          <t>Fechamento viga invertida - nível roxo</t>
        </is>
      </c>
      <c r="E269" s="4" t="inlineStr">
        <is>
          <t>3º PAV. - PILOTIS</t>
        </is>
      </c>
      <c r="F269" s="119" t="n">
        <v>45999</v>
      </c>
      <c r="G269" s="119" t="n">
        <v>46001</v>
      </c>
      <c r="H269" s="119" t="n">
        <v>46293</v>
      </c>
      <c r="I269" s="4" t="n">
        <v>100</v>
      </c>
      <c r="J269" s="4" t="n">
        <v>100</v>
      </c>
      <c r="K269" s="4" t="n">
        <v>100</v>
      </c>
      <c r="M269" s="2">
        <f>IF(C269="","",IFERROR(INDEX($S$5:$S$304,MATCH(C269,$R$5:$R$304,0))&amp;"","?"))</f>
        <v/>
      </c>
      <c r="N269" s="2">
        <f>IF(E269="","",IF(ISNUMBER(SEARCH("SUBSOLO",E269)),IFERROR(-VALUE(LEFT(E269,FIND("º",SUBSTITUTE(E269,"°","º"))-1)),-1),IF(LEFT(E269,6)="TÉRREO",0,IFERROR(VALUE(LEFT(E269,FIND("º",SUBSTITUTE(E269,"°","º"))-1)),""))))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IF(R269="","",COUNTIF($C$5:$C$6004,R269))</f>
        <v/>
      </c>
      <c r="W269" s="2">
        <f>IF(R269="","",COUNTIFS($C$5:$C$6004,R269,$O$5:$O$6004,"CONCLUÍDA"))</f>
        <v/>
      </c>
      <c r="X269" s="2">
        <f>IF(R269="","",COUNTIFS($C$5:$C$6004,R269,$O$5:$O$6004,"EM ANDAMENTO"))</f>
        <v/>
      </c>
      <c r="Y269" s="2">
        <f>IF(R269="","",IF(COUNTIFS($C$5:$C$6004,R269,$O$5:$O$6004,"CONCLUÍDA",$N$5:$N$6004,"&gt;=-99")=0,"",_xlfn.MAXIFS($N$5:$N$6004,$C$5:$C$6004,R269,$O$5:$O$6004,"CONCLUÍDA")))</f>
        <v/>
      </c>
      <c r="Z269" s="2">
        <f>IF(R269="","",IF(COUNTIFS($C$5:$C$6004,R269,$O$5:$O$6004,"EM ANDAMENTO",$N$5:$N$6004,"&gt;=-99")=0,"",_xlfn.MAXIFS($N$5:$N$6004,$C$5:$C$6004,R269,$O$5:$O$6004,"EM ANDAMENTO")))</f>
        <v/>
      </c>
      <c r="AA269" s="2">
        <f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>
      <c r="B270" s="4" t="n">
        <v>30641135</v>
      </c>
      <c r="C270" s="4" t="inlineStr">
        <is>
          <t>ESTRUTURA EMBASAMENTO C - MEDIÇÃO</t>
        </is>
      </c>
      <c r="D270" s="4" t="inlineStr">
        <is>
          <t>-</t>
        </is>
      </c>
      <c r="E270" s="4" t="inlineStr">
        <is>
          <t>3º PAV. - PILOTIS</t>
        </is>
      </c>
      <c r="F270" s="119" t="n">
        <v>45971</v>
      </c>
      <c r="G270" s="119" t="n">
        <v>46008</v>
      </c>
      <c r="H270" s="119" t="n">
        <v>46293</v>
      </c>
      <c r="I270" s="4" t="n">
        <v>100</v>
      </c>
      <c r="J270" s="4" t="n">
        <v>100</v>
      </c>
      <c r="K270" s="4" t="n">
        <v>100</v>
      </c>
      <c r="M270" s="2">
        <f>IF(C270="","",IFERROR(INDEX($S$5:$S$304,MATCH(C270,$R$5:$R$304,0))&amp;"","?"))</f>
        <v/>
      </c>
      <c r="N270" s="2">
        <f>IF(E270="","",IF(ISNUMBER(SEARCH("SUBSOLO",E270)),IFERROR(-VALUE(LEFT(E270,FIND("º",SUBSTITUTE(E270,"°","º"))-1)),-1),IF(LEFT(E270,6)="TÉRREO",0,IFERROR(VALUE(LEFT(E270,FIND("º",SUBSTITUTE(E270,"°","º"))-1)),""))))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IF(R270="","",COUNTIF($C$5:$C$6004,R270))</f>
        <v/>
      </c>
      <c r="W270" s="2">
        <f>IF(R270="","",COUNTIFS($C$5:$C$6004,R270,$O$5:$O$6004,"CONCLUÍDA"))</f>
        <v/>
      </c>
      <c r="X270" s="2">
        <f>IF(R270="","",COUNTIFS($C$5:$C$6004,R270,$O$5:$O$6004,"EM ANDAMENTO"))</f>
        <v/>
      </c>
      <c r="Y270" s="2">
        <f>IF(R270="","",IF(COUNTIFS($C$5:$C$6004,R270,$O$5:$O$6004,"CONCLUÍDA",$N$5:$N$6004,"&gt;=-99")=0,"",_xlfn.MAXIFS($N$5:$N$6004,$C$5:$C$6004,R270,$O$5:$O$6004,"CONCLUÍDA")))</f>
        <v/>
      </c>
      <c r="Z270" s="2">
        <f>IF(R270="","",IF(COUNTIFS($C$5:$C$6004,R270,$O$5:$O$6004,"EM ANDAMENTO",$N$5:$N$6004,"&gt;=-99")=0,"",_xlfn.MAXIFS($N$5:$N$6004,$C$5:$C$6004,R270,$O$5:$O$6004,"EM ANDAMENTO")))</f>
        <v/>
      </c>
      <c r="AA270" s="2">
        <f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>
      <c r="B271" s="4" t="n">
        <v>35202496</v>
      </c>
      <c r="C271" s="4" t="inlineStr">
        <is>
          <t>ALVENARIA BLOCO CHEIO + ACERTO DE TALUDE</t>
        </is>
      </c>
      <c r="D271" s="4" t="inlineStr">
        <is>
          <t>-</t>
        </is>
      </c>
      <c r="E271" s="4" t="inlineStr">
        <is>
          <t>TÉRREO - GARAGENS</t>
        </is>
      </c>
      <c r="F271" s="119" t="n">
        <v>45978</v>
      </c>
      <c r="G271" s="119" t="n">
        <v>45989</v>
      </c>
      <c r="H271" s="119" t="n">
        <v>46293</v>
      </c>
      <c r="I271" s="4" t="n">
        <v>100</v>
      </c>
      <c r="J271" s="4" t="n">
        <v>100</v>
      </c>
      <c r="K271" s="4" t="n">
        <v>100</v>
      </c>
      <c r="M271" s="2">
        <f>IF(C271="","",IFERROR(INDEX($S$5:$S$304,MATCH(C271,$R$5:$R$304,0))&amp;"","?"))</f>
        <v/>
      </c>
      <c r="N271" s="2">
        <f>IF(E271="","",IF(ISNUMBER(SEARCH("SUBSOLO",E271)),IFERROR(-VALUE(LEFT(E271,FIND("º",SUBSTITUTE(E271,"°","º"))-1)),-1),IF(LEFT(E271,6)="TÉRREO",0,IFERROR(VALUE(LEFT(E271,FIND("º",SUBSTITUTE(E271,"°","º"))-1)),""))))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IF(R271="","",COUNTIF($C$5:$C$6004,R271))</f>
        <v/>
      </c>
      <c r="W271" s="2">
        <f>IF(R271="","",COUNTIFS($C$5:$C$6004,R271,$O$5:$O$6004,"CONCLUÍDA"))</f>
        <v/>
      </c>
      <c r="X271" s="2">
        <f>IF(R271="","",COUNTIFS($C$5:$C$6004,R271,$O$5:$O$6004,"EM ANDAMENTO"))</f>
        <v/>
      </c>
      <c r="Y271" s="2">
        <f>IF(R271="","",IF(COUNTIFS($C$5:$C$6004,R271,$O$5:$O$6004,"CONCLUÍDA",$N$5:$N$6004,"&gt;=-99")=0,"",_xlfn.MAXIFS($N$5:$N$6004,$C$5:$C$6004,R271,$O$5:$O$6004,"CONCLUÍDA")))</f>
        <v/>
      </c>
      <c r="Z271" s="2">
        <f>IF(R271="","",IF(COUNTIFS($C$5:$C$6004,R271,$O$5:$O$6004,"EM ANDAMENTO",$N$5:$N$6004,"&gt;=-99")=0,"",_xlfn.MAXIFS($N$5:$N$6004,$C$5:$C$6004,R271,$O$5:$O$6004,"EM ANDAMENTO")))</f>
        <v/>
      </c>
      <c r="AA271" s="2">
        <f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>
      <c r="B272" s="4" t="n">
        <v>14371976</v>
      </c>
      <c r="C272" s="4" t="inlineStr">
        <is>
          <t>ALVENARIA BLOCO CHEIO + ACERTO DE TALUDE</t>
        </is>
      </c>
      <c r="D272" s="4" t="inlineStr">
        <is>
          <t>Acerto de talude</t>
        </is>
      </c>
      <c r="E272" s="4" t="inlineStr">
        <is>
          <t>TÉRREO - GARAGENS</t>
        </is>
      </c>
      <c r="F272" s="119" t="n">
        <v>45978</v>
      </c>
      <c r="G272" s="119" t="n">
        <v>45989</v>
      </c>
      <c r="H272" s="119" t="n">
        <v>46293</v>
      </c>
      <c r="I272" s="4" t="n">
        <v>100</v>
      </c>
      <c r="J272" s="4" t="n">
        <v>100</v>
      </c>
      <c r="K272" s="4" t="n">
        <v>100</v>
      </c>
      <c r="M272" s="2">
        <f>IF(C272="","",IFERROR(INDEX($S$5:$S$304,MATCH(C272,$R$5:$R$304,0))&amp;"","?"))</f>
        <v/>
      </c>
      <c r="N272" s="2">
        <f>IF(E272="","",IF(ISNUMBER(SEARCH("SUBSOLO",E272)),IFERROR(-VALUE(LEFT(E272,FIND("º",SUBSTITUTE(E272,"°","º"))-1)),-1),IF(LEFT(E272,6)="TÉRREO",0,IFERROR(VALUE(LEFT(E272,FIND("º",SUBSTITUTE(E272,"°","º"))-1)),""))))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IF(R272="","",COUNTIF($C$5:$C$6004,R272))</f>
        <v/>
      </c>
      <c r="W272" s="2">
        <f>IF(R272="","",COUNTIFS($C$5:$C$6004,R272,$O$5:$O$6004,"CONCLUÍDA"))</f>
        <v/>
      </c>
      <c r="X272" s="2">
        <f>IF(R272="","",COUNTIFS($C$5:$C$6004,R272,$O$5:$O$6004,"EM ANDAMENTO"))</f>
        <v/>
      </c>
      <c r="Y272" s="2">
        <f>IF(R272="","",IF(COUNTIFS($C$5:$C$6004,R272,$O$5:$O$6004,"CONCLUÍDA",$N$5:$N$6004,"&gt;=-99")=0,"",_xlfn.MAXIFS($N$5:$N$6004,$C$5:$C$6004,R272,$O$5:$O$6004,"CONCLUÍDA")))</f>
        <v/>
      </c>
      <c r="Z272" s="2">
        <f>IF(R272="","",IF(COUNTIFS($C$5:$C$6004,R272,$O$5:$O$6004,"EM ANDAMENTO",$N$5:$N$6004,"&gt;=-99")=0,"",_xlfn.MAXIFS($N$5:$N$6004,$C$5:$C$6004,R272,$O$5:$O$6004,"EM ANDAMENTO")))</f>
        <v/>
      </c>
      <c r="AA272" s="2">
        <f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>
      <c r="B273" s="4" t="n">
        <v>35168221</v>
      </c>
      <c r="C273" s="4" t="inlineStr">
        <is>
          <t>ESTRUTURA TORRE - GARDEN - LOOKAEHAD</t>
        </is>
      </c>
      <c r="D273" s="4" t="inlineStr">
        <is>
          <t>-</t>
        </is>
      </c>
      <c r="E273" s="4" t="inlineStr">
        <is>
          <t>4° PAV. APTO GARDEN</t>
        </is>
      </c>
      <c r="F273" s="119" t="n">
        <v>45987</v>
      </c>
      <c r="G273" s="119" t="n">
        <v>46010</v>
      </c>
      <c r="H273" s="119" t="n">
        <v>46293</v>
      </c>
      <c r="I273" s="4" t="n">
        <v>100</v>
      </c>
      <c r="J273" s="4" t="n">
        <v>100</v>
      </c>
      <c r="K273" s="4" t="n">
        <v>100</v>
      </c>
      <c r="M273" s="2">
        <f>IF(C273="","",IFERROR(INDEX($S$5:$S$304,MATCH(C273,$R$5:$R$304,0))&amp;"","?"))</f>
        <v/>
      </c>
      <c r="N273" s="2">
        <f>IF(E273="","",IF(ISNUMBER(SEARCH("SUBSOLO",E273)),IFERROR(-VALUE(LEFT(E273,FIND("º",SUBSTITUTE(E273,"°","º"))-1)),-1),IF(LEFT(E273,6)="TÉRREO",0,IFERROR(VALUE(LEFT(E273,FIND("º",SUBSTITUTE(E273,"°","º"))-1)),""))))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IF(R273="","",COUNTIF($C$5:$C$6004,R273))</f>
        <v/>
      </c>
      <c r="W273" s="2">
        <f>IF(R273="","",COUNTIFS($C$5:$C$6004,R273,$O$5:$O$6004,"CONCLUÍDA"))</f>
        <v/>
      </c>
      <c r="X273" s="2">
        <f>IF(R273="","",COUNTIFS($C$5:$C$6004,R273,$O$5:$O$6004,"EM ANDAMENTO"))</f>
        <v/>
      </c>
      <c r="Y273" s="2">
        <f>IF(R273="","",IF(COUNTIFS($C$5:$C$6004,R273,$O$5:$O$6004,"CONCLUÍDA",$N$5:$N$6004,"&gt;=-99")=0,"",_xlfn.MAXIFS($N$5:$N$6004,$C$5:$C$6004,R273,$O$5:$O$6004,"CONCLUÍDA")))</f>
        <v/>
      </c>
      <c r="Z273" s="2">
        <f>IF(R273="","",IF(COUNTIFS($C$5:$C$6004,R273,$O$5:$O$6004,"EM ANDAMENTO",$N$5:$N$6004,"&gt;=-99")=0,"",_xlfn.MAXIFS($N$5:$N$6004,$C$5:$C$6004,R273,$O$5:$O$6004,"EM ANDAMENTO")))</f>
        <v/>
      </c>
      <c r="AA273" s="2">
        <f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>
      <c r="B274" s="4" t="n">
        <v>14366905</v>
      </c>
      <c r="C274" s="4" t="inlineStr">
        <is>
          <t>ESTRUTURA TORRE - GARDEN - LOOKAEHAD</t>
        </is>
      </c>
      <c r="D274" s="4" t="inlineStr">
        <is>
          <t>Armação de pilares</t>
        </is>
      </c>
      <c r="E274" s="4" t="inlineStr">
        <is>
          <t>4° PAV. APTO GARDEN</t>
        </is>
      </c>
      <c r="F274" s="119" t="n">
        <v>45987</v>
      </c>
      <c r="G274" s="119" t="n">
        <v>46001</v>
      </c>
      <c r="H274" s="119" t="n">
        <v>46293</v>
      </c>
      <c r="I274" s="4" t="n">
        <v>100</v>
      </c>
      <c r="J274" s="4" t="n">
        <v>100</v>
      </c>
      <c r="K274" s="4" t="n">
        <v>100</v>
      </c>
      <c r="M274" s="2">
        <f>IF(C274="","",IFERROR(INDEX($S$5:$S$304,MATCH(C274,$R$5:$R$304,0))&amp;"","?"))</f>
        <v/>
      </c>
      <c r="N274" s="2">
        <f>IF(E274="","",IF(ISNUMBER(SEARCH("SUBSOLO",E274)),IFERROR(-VALUE(LEFT(E274,FIND("º",SUBSTITUTE(E274,"°","º"))-1)),-1),IF(LEFT(E274,6)="TÉRREO",0,IFERROR(VALUE(LEFT(E274,FIND("º",SUBSTITUTE(E274,"°","º"))-1)),""))))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IF(R274="","",COUNTIF($C$5:$C$6004,R274))</f>
        <v/>
      </c>
      <c r="W274" s="2">
        <f>IF(R274="","",COUNTIFS($C$5:$C$6004,R274,$O$5:$O$6004,"CONCLUÍDA"))</f>
        <v/>
      </c>
      <c r="X274" s="2">
        <f>IF(R274="","",COUNTIFS($C$5:$C$6004,R274,$O$5:$O$6004,"EM ANDAMENTO"))</f>
        <v/>
      </c>
      <c r="Y274" s="2">
        <f>IF(R274="","",IF(COUNTIFS($C$5:$C$6004,R274,$O$5:$O$6004,"CONCLUÍDA",$N$5:$N$6004,"&gt;=-99")=0,"",_xlfn.MAXIFS($N$5:$N$6004,$C$5:$C$6004,R274,$O$5:$O$6004,"CONCLUÍDA")))</f>
        <v/>
      </c>
      <c r="Z274" s="2">
        <f>IF(R274="","",IF(COUNTIFS($C$5:$C$6004,R274,$O$5:$O$6004,"EM ANDAMENTO",$N$5:$N$6004,"&gt;=-99")=0,"",_xlfn.MAXIFS($N$5:$N$6004,$C$5:$C$6004,R274,$O$5:$O$6004,"EM ANDAMENTO")))</f>
        <v/>
      </c>
      <c r="AA274" s="2">
        <f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>
      <c r="B275" s="4" t="n">
        <v>14366906</v>
      </c>
      <c r="C275" s="4" t="inlineStr">
        <is>
          <t>ESTRUTURA TORRE - GARDEN - LOOKAEHAD</t>
        </is>
      </c>
      <c r="D275" s="4" t="inlineStr">
        <is>
          <t>1ª concretagem de pilares</t>
        </is>
      </c>
      <c r="E275" s="4" t="inlineStr">
        <is>
          <t>4° PAV. APTO GARDEN</t>
        </is>
      </c>
      <c r="F275" s="119" t="n">
        <v>45994</v>
      </c>
      <c r="G275" s="119" t="n">
        <v>45994</v>
      </c>
      <c r="H275" s="119" t="n">
        <v>46293</v>
      </c>
      <c r="I275" s="4" t="n">
        <v>100</v>
      </c>
      <c r="J275" s="4" t="n">
        <v>100</v>
      </c>
      <c r="K275" s="4" t="n">
        <v>100</v>
      </c>
      <c r="M275" s="2">
        <f>IF(C275="","",IFERROR(INDEX($S$5:$S$304,MATCH(C275,$R$5:$R$304,0))&amp;"","?"))</f>
        <v/>
      </c>
      <c r="N275" s="2">
        <f>IF(E275="","",IF(ISNUMBER(SEARCH("SUBSOLO",E275)),IFERROR(-VALUE(LEFT(E275,FIND("º",SUBSTITUTE(E275,"°","º"))-1)),-1),IF(LEFT(E275,6)="TÉRREO",0,IFERROR(VALUE(LEFT(E275,FIND("º",SUBSTITUTE(E275,"°","º"))-1)),""))))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IF(R275="","",COUNTIF($C$5:$C$6004,R275))</f>
        <v/>
      </c>
      <c r="W275" s="2">
        <f>IF(R275="","",COUNTIFS($C$5:$C$6004,R275,$O$5:$O$6004,"CONCLUÍDA"))</f>
        <v/>
      </c>
      <c r="X275" s="2">
        <f>IF(R275="","",COUNTIFS($C$5:$C$6004,R275,$O$5:$O$6004,"EM ANDAMENTO"))</f>
        <v/>
      </c>
      <c r="Y275" s="2">
        <f>IF(R275="","",IF(COUNTIFS($C$5:$C$6004,R275,$O$5:$O$6004,"CONCLUÍDA",$N$5:$N$6004,"&gt;=-99")=0,"",_xlfn.MAXIFS($N$5:$N$6004,$C$5:$C$6004,R275,$O$5:$O$6004,"CONCLUÍDA")))</f>
        <v/>
      </c>
      <c r="Z275" s="2">
        <f>IF(R275="","",IF(COUNTIFS($C$5:$C$6004,R275,$O$5:$O$6004,"EM ANDAMENTO",$N$5:$N$6004,"&gt;=-99")=0,"",_xlfn.MAXIFS($N$5:$N$6004,$C$5:$C$6004,R275,$O$5:$O$6004,"EM ANDAMENTO")))</f>
        <v/>
      </c>
      <c r="AA275" s="2">
        <f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>
      <c r="B276" s="4" t="n">
        <v>14366907</v>
      </c>
      <c r="C276" s="4" t="inlineStr">
        <is>
          <t>ESTRUTURA TORRE - GARDEN - LOOKAEHAD</t>
        </is>
      </c>
      <c r="D276" s="4" t="inlineStr">
        <is>
          <t>2ª concretagem de pilares</t>
        </is>
      </c>
      <c r="E276" s="4" t="inlineStr">
        <is>
          <t>4° PAV. APTO GARDEN</t>
        </is>
      </c>
      <c r="F276" s="119" t="n">
        <v>45999</v>
      </c>
      <c r="G276" s="119" t="n">
        <v>45999</v>
      </c>
      <c r="H276" s="119" t="n">
        <v>46293</v>
      </c>
      <c r="I276" s="4" t="n">
        <v>100</v>
      </c>
      <c r="J276" s="4" t="n">
        <v>100</v>
      </c>
      <c r="K276" s="4" t="n">
        <v>100</v>
      </c>
      <c r="M276" s="2">
        <f>IF(C276="","",IFERROR(INDEX($S$5:$S$304,MATCH(C276,$R$5:$R$304,0))&amp;"","?"))</f>
        <v/>
      </c>
      <c r="N276" s="2">
        <f>IF(E276="","",IF(ISNUMBER(SEARCH("SUBSOLO",E276)),IFERROR(-VALUE(LEFT(E276,FIND("º",SUBSTITUTE(E276,"°","º"))-1)),-1),IF(LEFT(E276,6)="TÉRREO",0,IFERROR(VALUE(LEFT(E276,FIND("º",SUBSTITUTE(E276,"°","º"))-1)),""))))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IF(R276="","",COUNTIF($C$5:$C$6004,R276))</f>
        <v/>
      </c>
      <c r="W276" s="2">
        <f>IF(R276="","",COUNTIFS($C$5:$C$6004,R276,$O$5:$O$6004,"CONCLUÍDA"))</f>
        <v/>
      </c>
      <c r="X276" s="2">
        <f>IF(R276="","",COUNTIFS($C$5:$C$6004,R276,$O$5:$O$6004,"EM ANDAMENTO"))</f>
        <v/>
      </c>
      <c r="Y276" s="2">
        <f>IF(R276="","",IF(COUNTIFS($C$5:$C$6004,R276,$O$5:$O$6004,"CONCLUÍDA",$N$5:$N$6004,"&gt;=-99")=0,"",_xlfn.MAXIFS($N$5:$N$6004,$C$5:$C$6004,R276,$O$5:$O$6004,"CONCLUÍDA")))</f>
        <v/>
      </c>
      <c r="Z276" s="2">
        <f>IF(R276="","",IF(COUNTIFS($C$5:$C$6004,R276,$O$5:$O$6004,"EM ANDAMENTO",$N$5:$N$6004,"&gt;=-99")=0,"",_xlfn.MAXIFS($N$5:$N$6004,$C$5:$C$6004,R276,$O$5:$O$6004,"EM ANDAMENTO")))</f>
        <v/>
      </c>
      <c r="AA276" s="2">
        <f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>
      <c r="B277" s="4" t="n">
        <v>14366908</v>
      </c>
      <c r="C277" s="4" t="inlineStr">
        <is>
          <t>ESTRUTURA TORRE - GARDEN - LOOKAEHAD</t>
        </is>
      </c>
      <c r="D277" s="4" t="inlineStr">
        <is>
          <t>3ª concretagem de pilares</t>
        </is>
      </c>
      <c r="E277" s="4" t="inlineStr">
        <is>
          <t>4° PAV. APTO GARDEN</t>
        </is>
      </c>
      <c r="F277" s="119" t="n">
        <v>46003</v>
      </c>
      <c r="G277" s="119" t="n">
        <v>46003</v>
      </c>
      <c r="H277" s="119" t="n">
        <v>46293</v>
      </c>
      <c r="I277" s="4" t="n">
        <v>100</v>
      </c>
      <c r="J277" s="4" t="n">
        <v>100</v>
      </c>
      <c r="K277" s="4" t="n">
        <v>100</v>
      </c>
      <c r="M277" s="2">
        <f>IF(C277="","",IFERROR(INDEX($S$5:$S$304,MATCH(C277,$R$5:$R$304,0))&amp;"","?"))</f>
        <v/>
      </c>
      <c r="N277" s="2">
        <f>IF(E277="","",IF(ISNUMBER(SEARCH("SUBSOLO",E277)),IFERROR(-VALUE(LEFT(E277,FIND("º",SUBSTITUTE(E277,"°","º"))-1)),-1),IF(LEFT(E277,6)="TÉRREO",0,IFERROR(VALUE(LEFT(E277,FIND("º",SUBSTITUTE(E277,"°","º"))-1)),""))))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IF(R277="","",COUNTIF($C$5:$C$6004,R277))</f>
        <v/>
      </c>
      <c r="W277" s="2">
        <f>IF(R277="","",COUNTIFS($C$5:$C$6004,R277,$O$5:$O$6004,"CONCLUÍDA"))</f>
        <v/>
      </c>
      <c r="X277" s="2">
        <f>IF(R277="","",COUNTIFS($C$5:$C$6004,R277,$O$5:$O$6004,"EM ANDAMENTO"))</f>
        <v/>
      </c>
      <c r="Y277" s="2">
        <f>IF(R277="","",IF(COUNTIFS($C$5:$C$6004,R277,$O$5:$O$6004,"CONCLUÍDA",$N$5:$N$6004,"&gt;=-99")=0,"",_xlfn.MAXIFS($N$5:$N$6004,$C$5:$C$6004,R277,$O$5:$O$6004,"CONCLUÍDA")))</f>
        <v/>
      </c>
      <c r="Z277" s="2">
        <f>IF(R277="","",IF(COUNTIFS($C$5:$C$6004,R277,$O$5:$O$6004,"EM ANDAMENTO",$N$5:$N$6004,"&gt;=-99")=0,"",_xlfn.MAXIFS($N$5:$N$6004,$C$5:$C$6004,R277,$O$5:$O$6004,"EM ANDAMENTO")))</f>
        <v/>
      </c>
      <c r="AA277" s="2">
        <f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>
      <c r="B278" s="4" t="n">
        <v>14366909</v>
      </c>
      <c r="C278" s="4" t="inlineStr">
        <is>
          <t>ESTRUTURA TORRE - GARDEN - LOOKAEHAD</t>
        </is>
      </c>
      <c r="D278" s="4" t="inlineStr">
        <is>
          <t xml:space="preserve">Montagem de escoramento, longarina e forro - 1º quadrante </t>
        </is>
      </c>
      <c r="E278" s="4" t="inlineStr">
        <is>
          <t>4° PAV. APTO GARDEN</t>
        </is>
      </c>
      <c r="F278" s="119" t="n">
        <v>45992</v>
      </c>
      <c r="G278" s="119" t="n">
        <v>46000</v>
      </c>
      <c r="H278" s="119" t="n">
        <v>46293</v>
      </c>
      <c r="I278" s="4" t="n">
        <v>100</v>
      </c>
      <c r="J278" s="4" t="n">
        <v>100</v>
      </c>
      <c r="K278" s="4" t="n">
        <v>100</v>
      </c>
      <c r="M278" s="2">
        <f>IF(C278="","",IFERROR(INDEX($S$5:$S$304,MATCH(C278,$R$5:$R$304,0))&amp;"","?"))</f>
        <v/>
      </c>
      <c r="N278" s="2">
        <f>IF(E278="","",IF(ISNUMBER(SEARCH("SUBSOLO",E278)),IFERROR(-VALUE(LEFT(E278,FIND("º",SUBSTITUTE(E278,"°","º"))-1)),-1),IF(LEFT(E278,6)="TÉRREO",0,IFERROR(VALUE(LEFT(E278,FIND("º",SUBSTITUTE(E278,"°","º"))-1)),""))))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IF(R278="","",COUNTIF($C$5:$C$6004,R278))</f>
        <v/>
      </c>
      <c r="W278" s="2">
        <f>IF(R278="","",COUNTIFS($C$5:$C$6004,R278,$O$5:$O$6004,"CONCLUÍDA"))</f>
        <v/>
      </c>
      <c r="X278" s="2">
        <f>IF(R278="","",COUNTIFS($C$5:$C$6004,R278,$O$5:$O$6004,"EM ANDAMENTO"))</f>
        <v/>
      </c>
      <c r="Y278" s="2">
        <f>IF(R278="","",IF(COUNTIFS($C$5:$C$6004,R278,$O$5:$O$6004,"CONCLUÍDA",$N$5:$N$6004,"&gt;=-99")=0,"",_xlfn.MAXIFS($N$5:$N$6004,$C$5:$C$6004,R278,$O$5:$O$6004,"CONCLUÍDA")))</f>
        <v/>
      </c>
      <c r="Z278" s="2">
        <f>IF(R278="","",IF(COUNTIFS($C$5:$C$6004,R278,$O$5:$O$6004,"EM ANDAMENTO",$N$5:$N$6004,"&gt;=-99")=0,"",_xlfn.MAXIFS($N$5:$N$6004,$C$5:$C$6004,R278,$O$5:$O$6004,"EM ANDAMENTO")))</f>
        <v/>
      </c>
      <c r="AA278" s="2">
        <f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>
      <c r="B279" s="4" t="n">
        <v>14366911</v>
      </c>
      <c r="C279" s="4" t="inlineStr">
        <is>
          <t>ESTRUTURA TORRE - GARDEN - LOOKAEHAD</t>
        </is>
      </c>
      <c r="D279" s="4" t="inlineStr">
        <is>
          <t>Armação de vigas</t>
        </is>
      </c>
      <c r="E279" s="4" t="inlineStr">
        <is>
          <t>4° PAV. APTO GARDEN</t>
        </is>
      </c>
      <c r="F279" s="119" t="n">
        <v>45995</v>
      </c>
      <c r="G279" s="119" t="n">
        <v>46009</v>
      </c>
      <c r="H279" s="119" t="n">
        <v>46293</v>
      </c>
      <c r="I279" s="4" t="n">
        <v>100</v>
      </c>
      <c r="J279" s="4" t="n">
        <v>100</v>
      </c>
      <c r="K279" s="4" t="n">
        <v>100</v>
      </c>
      <c r="M279" s="2">
        <f>IF(C279="","",IFERROR(INDEX($S$5:$S$304,MATCH(C279,$R$5:$R$304,0))&amp;"","?"))</f>
        <v/>
      </c>
      <c r="N279" s="2">
        <f>IF(E279="","",IF(ISNUMBER(SEARCH("SUBSOLO",E279)),IFERROR(-VALUE(LEFT(E279,FIND("º",SUBSTITUTE(E279,"°","º"))-1)),-1),IF(LEFT(E279,6)="TÉRREO",0,IFERROR(VALUE(LEFT(E279,FIND("º",SUBSTITUTE(E279,"°","º"))-1)),""))))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IF(R279="","",COUNTIF($C$5:$C$6004,R279))</f>
        <v/>
      </c>
      <c r="W279" s="2">
        <f>IF(R279="","",COUNTIFS($C$5:$C$6004,R279,$O$5:$O$6004,"CONCLUÍDA"))</f>
        <v/>
      </c>
      <c r="X279" s="2">
        <f>IF(R279="","",COUNTIFS($C$5:$C$6004,R279,$O$5:$O$6004,"EM ANDAMENTO"))</f>
        <v/>
      </c>
      <c r="Y279" s="2">
        <f>IF(R279="","",IF(COUNTIFS($C$5:$C$6004,R279,$O$5:$O$6004,"CONCLUÍDA",$N$5:$N$6004,"&gt;=-99")=0,"",_xlfn.MAXIFS($N$5:$N$6004,$C$5:$C$6004,R279,$O$5:$O$6004,"CONCLUÍDA")))</f>
        <v/>
      </c>
      <c r="Z279" s="2">
        <f>IF(R279="","",IF(COUNTIFS($C$5:$C$6004,R279,$O$5:$O$6004,"EM ANDAMENTO",$N$5:$N$6004,"&gt;=-99")=0,"",_xlfn.MAXIFS($N$5:$N$6004,$C$5:$C$6004,R279,$O$5:$O$6004,"EM ANDAMENTO")))</f>
        <v/>
      </c>
      <c r="AA279" s="2">
        <f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>
      <c r="B280" s="4" t="n">
        <v>14366912</v>
      </c>
      <c r="C280" s="4" t="inlineStr">
        <is>
          <t>ESTRUTURA TORRE - GARDEN - LOOKAEHAD</t>
        </is>
      </c>
      <c r="D280" s="4" t="inlineStr">
        <is>
          <t>Armação de lajes</t>
        </is>
      </c>
      <c r="E280" s="4" t="inlineStr">
        <is>
          <t>4° PAV. APTO GARDEN</t>
        </is>
      </c>
      <c r="F280" s="119" t="n">
        <v>46001</v>
      </c>
      <c r="G280" s="119" t="n">
        <v>46009</v>
      </c>
      <c r="H280" s="119" t="n">
        <v>46293</v>
      </c>
      <c r="I280" s="4" t="n">
        <v>100</v>
      </c>
      <c r="J280" s="4" t="n">
        <v>100</v>
      </c>
      <c r="K280" s="4" t="n">
        <v>100</v>
      </c>
      <c r="M280" s="2">
        <f>IF(C280="","",IFERROR(INDEX($S$5:$S$304,MATCH(C280,$R$5:$R$304,0))&amp;"","?"))</f>
        <v/>
      </c>
      <c r="N280" s="2">
        <f>IF(E280="","",IF(ISNUMBER(SEARCH("SUBSOLO",E280)),IFERROR(-VALUE(LEFT(E280,FIND("º",SUBSTITUTE(E280,"°","º"))-1)),-1),IF(LEFT(E280,6)="TÉRREO",0,IFERROR(VALUE(LEFT(E280,FIND("º",SUBSTITUTE(E280,"°","º"))-1)),""))))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IF(R280="","",COUNTIF($C$5:$C$6004,R280))</f>
        <v/>
      </c>
      <c r="W280" s="2">
        <f>IF(R280="","",COUNTIFS($C$5:$C$6004,R280,$O$5:$O$6004,"CONCLUÍDA"))</f>
        <v/>
      </c>
      <c r="X280" s="2">
        <f>IF(R280="","",COUNTIFS($C$5:$C$6004,R280,$O$5:$O$6004,"EM ANDAMENTO"))</f>
        <v/>
      </c>
      <c r="Y280" s="2">
        <f>IF(R280="","",IF(COUNTIFS($C$5:$C$6004,R280,$O$5:$O$6004,"CONCLUÍDA",$N$5:$N$6004,"&gt;=-99")=0,"",_xlfn.MAXIFS($N$5:$N$6004,$C$5:$C$6004,R280,$O$5:$O$6004,"CONCLUÍDA")))</f>
        <v/>
      </c>
      <c r="Z280" s="2">
        <f>IF(R280="","",IF(COUNTIFS($C$5:$C$6004,R280,$O$5:$O$6004,"EM ANDAMENTO",$N$5:$N$6004,"&gt;=-99")=0,"",_xlfn.MAXIFS($N$5:$N$6004,$C$5:$C$6004,R280,$O$5:$O$6004,"EM ANDAMENTO")))</f>
        <v/>
      </c>
      <c r="AA280" s="2">
        <f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>
      <c r="B281" s="4" t="n">
        <v>14366913</v>
      </c>
      <c r="C281" s="4" t="inlineStr">
        <is>
          <t>ESTRUTURA TORRE - GARDEN - LOOKAEHAD</t>
        </is>
      </c>
      <c r="D281" s="4" t="inlineStr">
        <is>
          <t xml:space="preserve">Concretagem de laje - 1º quandrante </t>
        </is>
      </c>
      <c r="E281" s="4" t="inlineStr">
        <is>
          <t>4° PAV. APTO GARDEN</t>
        </is>
      </c>
      <c r="F281" s="119" t="n">
        <v>46003</v>
      </c>
      <c r="G281" s="119" t="n">
        <v>46003</v>
      </c>
      <c r="H281" s="119" t="n">
        <v>46293</v>
      </c>
      <c r="I281" s="4" t="n">
        <v>100</v>
      </c>
      <c r="J281" s="4" t="n">
        <v>100</v>
      </c>
      <c r="K281" s="4" t="n">
        <v>100</v>
      </c>
      <c r="M281" s="2">
        <f>IF(C281="","",IFERROR(INDEX($S$5:$S$304,MATCH(C281,$R$5:$R$304,0))&amp;"","?"))</f>
        <v/>
      </c>
      <c r="N281" s="2">
        <f>IF(E281="","",IF(ISNUMBER(SEARCH("SUBSOLO",E281)),IFERROR(-VALUE(LEFT(E281,FIND("º",SUBSTITUTE(E281,"°","º"))-1)),-1),IF(LEFT(E281,6)="TÉRREO",0,IFERROR(VALUE(LEFT(E281,FIND("º",SUBSTITUTE(E281,"°","º"))-1)),""))))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IF(R281="","",COUNTIF($C$5:$C$6004,R281))</f>
        <v/>
      </c>
      <c r="W281" s="2">
        <f>IF(R281="","",COUNTIFS($C$5:$C$6004,R281,$O$5:$O$6004,"CONCLUÍDA"))</f>
        <v/>
      </c>
      <c r="X281" s="2">
        <f>IF(R281="","",COUNTIFS($C$5:$C$6004,R281,$O$5:$O$6004,"EM ANDAMENTO"))</f>
        <v/>
      </c>
      <c r="Y281" s="2">
        <f>IF(R281="","",IF(COUNTIFS($C$5:$C$6004,R281,$O$5:$O$6004,"CONCLUÍDA",$N$5:$N$6004,"&gt;=-99")=0,"",_xlfn.MAXIFS($N$5:$N$6004,$C$5:$C$6004,R281,$O$5:$O$6004,"CONCLUÍDA")))</f>
        <v/>
      </c>
      <c r="Z281" s="2">
        <f>IF(R281="","",IF(COUNTIFS($C$5:$C$6004,R281,$O$5:$O$6004,"EM ANDAMENTO",$N$5:$N$6004,"&gt;=-99")=0,"",_xlfn.MAXIFS($N$5:$N$6004,$C$5:$C$6004,R281,$O$5:$O$6004,"EM ANDAMENTO")))</f>
        <v/>
      </c>
      <c r="AA281" s="2">
        <f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>
      <c r="B282" s="4" t="n">
        <v>14612171</v>
      </c>
      <c r="C282" s="4" t="inlineStr">
        <is>
          <t>ESTRUTURA TORRE - GARDEN - LOOKAEHAD</t>
        </is>
      </c>
      <c r="D282" s="4" t="inlineStr">
        <is>
          <t>Forma de pilares</t>
        </is>
      </c>
      <c r="E282" s="4" t="inlineStr">
        <is>
          <t>4° PAV. APTO GARDEN</t>
        </is>
      </c>
      <c r="F282" s="119" t="n">
        <v>45988</v>
      </c>
      <c r="G282" s="119" t="n">
        <v>46003</v>
      </c>
      <c r="H282" s="119" t="n">
        <v>46293</v>
      </c>
      <c r="I282" s="4" t="n">
        <v>100</v>
      </c>
      <c r="J282" s="4" t="n">
        <v>100</v>
      </c>
      <c r="K282" s="4" t="n">
        <v>100</v>
      </c>
      <c r="M282" s="2">
        <f>IF(C282="","",IFERROR(INDEX($S$5:$S$304,MATCH(C282,$R$5:$R$304,0))&amp;"","?"))</f>
        <v/>
      </c>
      <c r="N282" s="2">
        <f>IF(E282="","",IF(ISNUMBER(SEARCH("SUBSOLO",E282)),IFERROR(-VALUE(LEFT(E282,FIND("º",SUBSTITUTE(E282,"°","º"))-1)),-1),IF(LEFT(E282,6)="TÉRREO",0,IFERROR(VALUE(LEFT(E282,FIND("º",SUBSTITUTE(E282,"°","º"))-1)),""))))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IF(R282="","",COUNTIF($C$5:$C$6004,R282))</f>
        <v/>
      </c>
      <c r="W282" s="2">
        <f>IF(R282="","",COUNTIFS($C$5:$C$6004,R282,$O$5:$O$6004,"CONCLUÍDA"))</f>
        <v/>
      </c>
      <c r="X282" s="2">
        <f>IF(R282="","",COUNTIFS($C$5:$C$6004,R282,$O$5:$O$6004,"EM ANDAMENTO"))</f>
        <v/>
      </c>
      <c r="Y282" s="2">
        <f>IF(R282="","",IF(COUNTIFS($C$5:$C$6004,R282,$O$5:$O$6004,"CONCLUÍDA",$N$5:$N$6004,"&gt;=-99")=0,"",_xlfn.MAXIFS($N$5:$N$6004,$C$5:$C$6004,R282,$O$5:$O$6004,"CONCLUÍDA")))</f>
        <v/>
      </c>
      <c r="Z282" s="2">
        <f>IF(R282="","",IF(COUNTIFS($C$5:$C$6004,R282,$O$5:$O$6004,"EM ANDAMENTO",$N$5:$N$6004,"&gt;=-99")=0,"",_xlfn.MAXIFS($N$5:$N$6004,$C$5:$C$6004,R282,$O$5:$O$6004,"EM ANDAMENTO")))</f>
        <v/>
      </c>
      <c r="AA282" s="2">
        <f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>
      <c r="B283" s="4" t="n">
        <v>14612206</v>
      </c>
      <c r="C283" s="4" t="inlineStr">
        <is>
          <t>ESTRUTURA TORRE - GARDEN - LOOKAEHAD</t>
        </is>
      </c>
      <c r="D283" s="4" t="inlineStr">
        <is>
          <t>Montagem de escoramento, longarina e forro - 2º quadrante</t>
        </is>
      </c>
      <c r="E283" s="4" t="inlineStr">
        <is>
          <t>4° PAV. APTO GARDEN</t>
        </is>
      </c>
      <c r="F283" s="119" t="n">
        <v>45996</v>
      </c>
      <c r="G283" s="119" t="n">
        <v>46003</v>
      </c>
      <c r="H283" s="119" t="n">
        <v>46293</v>
      </c>
      <c r="I283" s="4" t="n">
        <v>100</v>
      </c>
      <c r="J283" s="4" t="n">
        <v>100</v>
      </c>
      <c r="K283" s="4" t="n">
        <v>100</v>
      </c>
      <c r="M283" s="2">
        <f>IF(C283="","",IFERROR(INDEX($S$5:$S$304,MATCH(C283,$R$5:$R$304,0))&amp;"","?"))</f>
        <v/>
      </c>
      <c r="N283" s="2">
        <f>IF(E283="","",IF(ISNUMBER(SEARCH("SUBSOLO",E283)),IFERROR(-VALUE(LEFT(E283,FIND("º",SUBSTITUTE(E283,"°","º"))-1)),-1),IF(LEFT(E283,6)="TÉRREO",0,IFERROR(VALUE(LEFT(E283,FIND("º",SUBSTITUTE(E283,"°","º"))-1)),""))))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IF(R283="","",COUNTIF($C$5:$C$6004,R283))</f>
        <v/>
      </c>
      <c r="W283" s="2">
        <f>IF(R283="","",COUNTIFS($C$5:$C$6004,R283,$O$5:$O$6004,"CONCLUÍDA"))</f>
        <v/>
      </c>
      <c r="X283" s="2">
        <f>IF(R283="","",COUNTIFS($C$5:$C$6004,R283,$O$5:$O$6004,"EM ANDAMENTO"))</f>
        <v/>
      </c>
      <c r="Y283" s="2">
        <f>IF(R283="","",IF(COUNTIFS($C$5:$C$6004,R283,$O$5:$O$6004,"CONCLUÍDA",$N$5:$N$6004,"&gt;=-99")=0,"",_xlfn.MAXIFS($N$5:$N$6004,$C$5:$C$6004,R283,$O$5:$O$6004,"CONCLUÍDA")))</f>
        <v/>
      </c>
      <c r="Z283" s="2">
        <f>IF(R283="","",IF(COUNTIFS($C$5:$C$6004,R283,$O$5:$O$6004,"EM ANDAMENTO",$N$5:$N$6004,"&gt;=-99")=0,"",_xlfn.MAXIFS($N$5:$N$6004,$C$5:$C$6004,R283,$O$5:$O$6004,"EM ANDAMENTO")))</f>
        <v/>
      </c>
      <c r="AA283" s="2">
        <f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>
      <c r="B284" s="4" t="n">
        <v>14612207</v>
      </c>
      <c r="C284" s="4" t="inlineStr">
        <is>
          <t>ESTRUTURA TORRE - GARDEN - LOOKAEHAD</t>
        </is>
      </c>
      <c r="D284" s="4" t="inlineStr">
        <is>
          <t>Montagem de escoramento, longarina e forro - 3º quadrante</t>
        </is>
      </c>
      <c r="E284" s="4" t="inlineStr">
        <is>
          <t>4° PAV. APTO GARDEN</t>
        </is>
      </c>
      <c r="F284" s="119" t="n">
        <v>46001</v>
      </c>
      <c r="G284" s="119" t="n">
        <v>46009</v>
      </c>
      <c r="H284" s="119" t="n">
        <v>46293</v>
      </c>
      <c r="I284" s="4" t="n">
        <v>100</v>
      </c>
      <c r="J284" s="4" t="n">
        <v>100</v>
      </c>
      <c r="K284" s="4" t="n">
        <v>100</v>
      </c>
      <c r="M284" s="2">
        <f>IF(C284="","",IFERROR(INDEX($S$5:$S$304,MATCH(C284,$R$5:$R$304,0))&amp;"","?"))</f>
        <v/>
      </c>
      <c r="N284" s="2">
        <f>IF(E284="","",IF(ISNUMBER(SEARCH("SUBSOLO",E284)),IFERROR(-VALUE(LEFT(E284,FIND("º",SUBSTITUTE(E284,"°","º"))-1)),-1),IF(LEFT(E284,6)="TÉRREO",0,IFERROR(VALUE(LEFT(E284,FIND("º",SUBSTITUTE(E284,"°","º"))-1)),""))))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IF(R284="","",COUNTIF($C$5:$C$6004,R284))</f>
        <v/>
      </c>
      <c r="W284" s="2">
        <f>IF(R284="","",COUNTIFS($C$5:$C$6004,R284,$O$5:$O$6004,"CONCLUÍDA"))</f>
        <v/>
      </c>
      <c r="X284" s="2">
        <f>IF(R284="","",COUNTIFS($C$5:$C$6004,R284,$O$5:$O$6004,"EM ANDAMENTO"))</f>
        <v/>
      </c>
      <c r="Y284" s="2">
        <f>IF(R284="","",IF(COUNTIFS($C$5:$C$6004,R284,$O$5:$O$6004,"CONCLUÍDA",$N$5:$N$6004,"&gt;=-99")=0,"",_xlfn.MAXIFS($N$5:$N$6004,$C$5:$C$6004,R284,$O$5:$O$6004,"CONCLUÍDA")))</f>
        <v/>
      </c>
      <c r="Z284" s="2">
        <f>IF(R284="","",IF(COUNTIFS($C$5:$C$6004,R284,$O$5:$O$6004,"EM ANDAMENTO",$N$5:$N$6004,"&gt;=-99")=0,"",_xlfn.MAXIFS($N$5:$N$6004,$C$5:$C$6004,R284,$O$5:$O$6004,"EM ANDAMENTO")))</f>
        <v/>
      </c>
      <c r="AA284" s="2">
        <f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>
      <c r="B285" s="4" t="n">
        <v>14612214</v>
      </c>
      <c r="C285" s="4" t="inlineStr">
        <is>
          <t>ESTRUTURA TORRE - GARDEN - LOOKAEHAD</t>
        </is>
      </c>
      <c r="D285" s="4" t="inlineStr">
        <is>
          <t>Concretagem de laje - 2º quandrante</t>
        </is>
      </c>
      <c r="E285" s="4" t="inlineStr">
        <is>
          <t>4° PAV. APTO GARDEN</t>
        </is>
      </c>
      <c r="F285" s="119" t="n">
        <v>46007</v>
      </c>
      <c r="G285" s="119" t="n">
        <v>46007</v>
      </c>
      <c r="H285" s="119" t="n">
        <v>46293</v>
      </c>
      <c r="I285" s="4" t="n">
        <v>100</v>
      </c>
      <c r="J285" s="4" t="n">
        <v>100</v>
      </c>
      <c r="K285" s="4" t="n">
        <v>100</v>
      </c>
      <c r="M285" s="2">
        <f>IF(C285="","",IFERROR(INDEX($S$5:$S$304,MATCH(C285,$R$5:$R$304,0))&amp;"","?"))</f>
        <v/>
      </c>
      <c r="N285" s="2">
        <f>IF(E285="","",IF(ISNUMBER(SEARCH("SUBSOLO",E285)),IFERROR(-VALUE(LEFT(E285,FIND("º",SUBSTITUTE(E285,"°","º"))-1)),-1),IF(LEFT(E285,6)="TÉRREO",0,IFERROR(VALUE(LEFT(E285,FIND("º",SUBSTITUTE(E285,"°","º"))-1)),""))))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IF(R285="","",COUNTIF($C$5:$C$6004,R285))</f>
        <v/>
      </c>
      <c r="W285" s="2">
        <f>IF(R285="","",COUNTIFS($C$5:$C$6004,R285,$O$5:$O$6004,"CONCLUÍDA"))</f>
        <v/>
      </c>
      <c r="X285" s="2">
        <f>IF(R285="","",COUNTIFS($C$5:$C$6004,R285,$O$5:$O$6004,"EM ANDAMENTO"))</f>
        <v/>
      </c>
      <c r="Y285" s="2">
        <f>IF(R285="","",IF(COUNTIFS($C$5:$C$6004,R285,$O$5:$O$6004,"CONCLUÍDA",$N$5:$N$6004,"&gt;=-99")=0,"",_xlfn.MAXIFS($N$5:$N$6004,$C$5:$C$6004,R285,$O$5:$O$6004,"CONCLUÍDA")))</f>
        <v/>
      </c>
      <c r="Z285" s="2">
        <f>IF(R285="","",IF(COUNTIFS($C$5:$C$6004,R285,$O$5:$O$6004,"EM ANDAMENTO",$N$5:$N$6004,"&gt;=-99")=0,"",_xlfn.MAXIFS($N$5:$N$6004,$C$5:$C$6004,R285,$O$5:$O$6004,"EM ANDAMENTO")))</f>
        <v/>
      </c>
      <c r="AA285" s="2">
        <f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>
      <c r="B286" s="4" t="n">
        <v>14612215</v>
      </c>
      <c r="C286" s="4" t="inlineStr">
        <is>
          <t>ESTRUTURA TORRE - GARDEN - LOOKAEHAD</t>
        </is>
      </c>
      <c r="D286" s="4" t="inlineStr">
        <is>
          <t>Concretagem de laje - 3º quandrante</t>
        </is>
      </c>
      <c r="E286" s="4" t="inlineStr">
        <is>
          <t>4° PAV. APTO GARDEN</t>
        </is>
      </c>
      <c r="F286" s="119" t="n">
        <v>46010</v>
      </c>
      <c r="G286" s="119" t="n">
        <v>46010</v>
      </c>
      <c r="H286" s="119" t="n">
        <v>46293</v>
      </c>
      <c r="I286" s="4" t="n">
        <v>100</v>
      </c>
      <c r="J286" s="4" t="n">
        <v>100</v>
      </c>
      <c r="K286" s="4" t="n">
        <v>100</v>
      </c>
      <c r="M286" s="2">
        <f>IF(C286="","",IFERROR(INDEX($S$5:$S$304,MATCH(C286,$R$5:$R$304,0))&amp;"","?"))</f>
        <v/>
      </c>
      <c r="N286" s="2">
        <f>IF(E286="","",IF(ISNUMBER(SEARCH("SUBSOLO",E286)),IFERROR(-VALUE(LEFT(E286,FIND("º",SUBSTITUTE(E286,"°","º"))-1)),-1),IF(LEFT(E286,6)="TÉRREO",0,IFERROR(VALUE(LEFT(E286,FIND("º",SUBSTITUTE(E286,"°","º"))-1)),""))))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IF(R286="","",COUNTIF($C$5:$C$6004,R286))</f>
        <v/>
      </c>
      <c r="W286" s="2">
        <f>IF(R286="","",COUNTIFS($C$5:$C$6004,R286,$O$5:$O$6004,"CONCLUÍDA"))</f>
        <v/>
      </c>
      <c r="X286" s="2">
        <f>IF(R286="","",COUNTIFS($C$5:$C$6004,R286,$O$5:$O$6004,"EM ANDAMENTO"))</f>
        <v/>
      </c>
      <c r="Y286" s="2">
        <f>IF(R286="","",IF(COUNTIFS($C$5:$C$6004,R286,$O$5:$O$6004,"CONCLUÍDA",$N$5:$N$6004,"&gt;=-99")=0,"",_xlfn.MAXIFS($N$5:$N$6004,$C$5:$C$6004,R286,$O$5:$O$6004,"CONCLUÍDA")))</f>
        <v/>
      </c>
      <c r="Z286" s="2">
        <f>IF(R286="","",IF(COUNTIFS($C$5:$C$6004,R286,$O$5:$O$6004,"EM ANDAMENTO",$N$5:$N$6004,"&gt;=-99")=0,"",_xlfn.MAXIFS($N$5:$N$6004,$C$5:$C$6004,R286,$O$5:$O$6004,"EM ANDAMENTO")))</f>
        <v/>
      </c>
      <c r="AA286" s="2">
        <f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>
      <c r="B287" s="4" t="n">
        <v>22139498</v>
      </c>
      <c r="C287" s="4" t="inlineStr">
        <is>
          <t>ESTRUTURA TORRE</t>
        </is>
      </c>
      <c r="D287" s="4" t="inlineStr">
        <is>
          <t>-</t>
        </is>
      </c>
      <c r="E287" s="4" t="inlineStr">
        <is>
          <t>4° PAV. APTO GARDEN</t>
        </is>
      </c>
      <c r="F287" s="119" t="n">
        <v>45992</v>
      </c>
      <c r="G287" s="119" t="n">
        <v>46010</v>
      </c>
      <c r="H287" s="119" t="n">
        <v>46293</v>
      </c>
      <c r="I287" s="4" t="n">
        <v>100</v>
      </c>
      <c r="J287" s="4" t="n">
        <v>100</v>
      </c>
      <c r="K287" s="4" t="n">
        <v>100</v>
      </c>
      <c r="M287" s="2">
        <f>IF(C287="","",IFERROR(INDEX($S$5:$S$304,MATCH(C287,$R$5:$R$304,0))&amp;"","?"))</f>
        <v/>
      </c>
      <c r="N287" s="2">
        <f>IF(E287="","",IF(ISNUMBER(SEARCH("SUBSOLO",E287)),IFERROR(-VALUE(LEFT(E287,FIND("º",SUBSTITUTE(E287,"°","º"))-1)),-1),IF(LEFT(E287,6)="TÉRREO",0,IFERROR(VALUE(LEFT(E287,FIND("º",SUBSTITUTE(E287,"°","º"))-1)),""))))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IF(R287="","",COUNTIF($C$5:$C$6004,R287))</f>
        <v/>
      </c>
      <c r="W287" s="2">
        <f>IF(R287="","",COUNTIFS($C$5:$C$6004,R287,$O$5:$O$6004,"CONCLUÍDA"))</f>
        <v/>
      </c>
      <c r="X287" s="2">
        <f>IF(R287="","",COUNTIFS($C$5:$C$6004,R287,$O$5:$O$6004,"EM ANDAMENTO"))</f>
        <v/>
      </c>
      <c r="Y287" s="2">
        <f>IF(R287="","",IF(COUNTIFS($C$5:$C$6004,R287,$O$5:$O$6004,"CONCLUÍDA",$N$5:$N$6004,"&gt;=-99")=0,"",_xlfn.MAXIFS($N$5:$N$6004,$C$5:$C$6004,R287,$O$5:$O$6004,"CONCLUÍDA")))</f>
        <v/>
      </c>
      <c r="Z287" s="2">
        <f>IF(R287="","",IF(COUNTIFS($C$5:$C$6004,R287,$O$5:$O$6004,"EM ANDAMENTO",$N$5:$N$6004,"&gt;=-99")=0,"",_xlfn.MAXIFS($N$5:$N$6004,$C$5:$C$6004,R287,$O$5:$O$6004,"EM ANDAMENTO")))</f>
        <v/>
      </c>
      <c r="AA287" s="2">
        <f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>
      <c r="B288" s="4" t="n">
        <v>9877557</v>
      </c>
      <c r="C288" s="4" t="inlineStr">
        <is>
          <t>ESTRUTURA TORRE</t>
        </is>
      </c>
      <c r="D288" s="4" t="inlineStr">
        <is>
          <t>Forma Pilar</t>
        </is>
      </c>
      <c r="E288" s="4" t="inlineStr">
        <is>
          <t>4° PAV. APTO GARDEN</t>
        </is>
      </c>
      <c r="F288" s="119" t="n">
        <v>45992</v>
      </c>
      <c r="G288" s="119" t="n">
        <v>45996</v>
      </c>
      <c r="H288" s="119" t="n">
        <v>46293</v>
      </c>
      <c r="I288" s="4" t="n">
        <v>100</v>
      </c>
      <c r="J288" s="4" t="n">
        <v>100</v>
      </c>
      <c r="K288" s="4" t="n">
        <v>100</v>
      </c>
      <c r="M288" s="2">
        <f>IF(C288="","",IFERROR(INDEX($S$5:$S$304,MATCH(C288,$R$5:$R$304,0))&amp;"","?"))</f>
        <v/>
      </c>
      <c r="N288" s="2">
        <f>IF(E288="","",IF(ISNUMBER(SEARCH("SUBSOLO",E288)),IFERROR(-VALUE(LEFT(E288,FIND("º",SUBSTITUTE(E288,"°","º"))-1)),-1),IF(LEFT(E288,6)="TÉRREO",0,IFERROR(VALUE(LEFT(E288,FIND("º",SUBSTITUTE(E288,"°","º"))-1)),""))))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IF(R288="","",COUNTIF($C$5:$C$6004,R288))</f>
        <v/>
      </c>
      <c r="W288" s="2">
        <f>IF(R288="","",COUNTIFS($C$5:$C$6004,R288,$O$5:$O$6004,"CONCLUÍDA"))</f>
        <v/>
      </c>
      <c r="X288" s="2">
        <f>IF(R288="","",COUNTIFS($C$5:$C$6004,R288,$O$5:$O$6004,"EM ANDAMENTO"))</f>
        <v/>
      </c>
      <c r="Y288" s="2">
        <f>IF(R288="","",IF(COUNTIFS($C$5:$C$6004,R288,$O$5:$O$6004,"CONCLUÍDA",$N$5:$N$6004,"&gt;=-99")=0,"",_xlfn.MAXIFS($N$5:$N$6004,$C$5:$C$6004,R288,$O$5:$O$6004,"CONCLUÍDA")))</f>
        <v/>
      </c>
      <c r="Z288" s="2">
        <f>IF(R288="","",IF(COUNTIFS($C$5:$C$6004,R288,$O$5:$O$6004,"EM ANDAMENTO",$N$5:$N$6004,"&gt;=-99")=0,"",_xlfn.MAXIFS($N$5:$N$6004,$C$5:$C$6004,R288,$O$5:$O$6004,"EM ANDAMENTO")))</f>
        <v/>
      </c>
      <c r="AA288" s="2">
        <f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>
      <c r="B289" s="4" t="n">
        <v>9877558</v>
      </c>
      <c r="C289" s="4" t="inlineStr">
        <is>
          <t>ESTRUTURA TORRE</t>
        </is>
      </c>
      <c r="D289" s="4" t="inlineStr">
        <is>
          <t>Armação Pilar</t>
        </is>
      </c>
      <c r="E289" s="4" t="inlineStr">
        <is>
          <t>4° PAV. APTO GARDEN</t>
        </is>
      </c>
      <c r="F289" s="119" t="n">
        <v>45996</v>
      </c>
      <c r="G289" s="119" t="n">
        <v>46001</v>
      </c>
      <c r="H289" s="119" t="n">
        <v>46293</v>
      </c>
      <c r="I289" s="4" t="n">
        <v>100</v>
      </c>
      <c r="J289" s="4" t="n">
        <v>100</v>
      </c>
      <c r="K289" s="4" t="n">
        <v>100</v>
      </c>
      <c r="M289" s="2">
        <f>IF(C289="","",IFERROR(INDEX($S$5:$S$304,MATCH(C289,$R$5:$R$304,0))&amp;"","?"))</f>
        <v/>
      </c>
      <c r="N289" s="2">
        <f>IF(E289="","",IF(ISNUMBER(SEARCH("SUBSOLO",E289)),IFERROR(-VALUE(LEFT(E289,FIND("º",SUBSTITUTE(E289,"°","º"))-1)),-1),IF(LEFT(E289,6)="TÉRREO",0,IFERROR(VALUE(LEFT(E289,FIND("º",SUBSTITUTE(E289,"°","º"))-1)),""))))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IF(R289="","",COUNTIF($C$5:$C$6004,R289))</f>
        <v/>
      </c>
      <c r="W289" s="2">
        <f>IF(R289="","",COUNTIFS($C$5:$C$6004,R289,$O$5:$O$6004,"CONCLUÍDA"))</f>
        <v/>
      </c>
      <c r="X289" s="2">
        <f>IF(R289="","",COUNTIFS($C$5:$C$6004,R289,$O$5:$O$6004,"EM ANDAMENTO"))</f>
        <v/>
      </c>
      <c r="Y289" s="2">
        <f>IF(R289="","",IF(COUNTIFS($C$5:$C$6004,R289,$O$5:$O$6004,"CONCLUÍDA",$N$5:$N$6004,"&gt;=-99")=0,"",_xlfn.MAXIFS($N$5:$N$6004,$C$5:$C$6004,R289,$O$5:$O$6004,"CONCLUÍDA")))</f>
        <v/>
      </c>
      <c r="Z289" s="2">
        <f>IF(R289="","",IF(COUNTIFS($C$5:$C$6004,R289,$O$5:$O$6004,"EM ANDAMENTO",$N$5:$N$6004,"&gt;=-99")=0,"",_xlfn.MAXIFS($N$5:$N$6004,$C$5:$C$6004,R289,$O$5:$O$6004,"EM ANDAMENTO")))</f>
        <v/>
      </c>
      <c r="AA289" s="2">
        <f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>
      <c r="B290" s="4" t="n">
        <v>9877559</v>
      </c>
      <c r="C290" s="4" t="inlineStr">
        <is>
          <t>ESTRUTURA TORRE</t>
        </is>
      </c>
      <c r="D290" s="4" t="inlineStr">
        <is>
          <t>Escoramento</t>
        </is>
      </c>
      <c r="E290" s="4" t="inlineStr">
        <is>
          <t>4° PAV. APTO GARDEN</t>
        </is>
      </c>
      <c r="F290" s="119" t="n">
        <v>45999</v>
      </c>
      <c r="G290" s="119" t="n">
        <v>46002</v>
      </c>
      <c r="H290" s="119" t="n">
        <v>46293</v>
      </c>
      <c r="I290" s="4" t="n">
        <v>100</v>
      </c>
      <c r="J290" s="4" t="n">
        <v>100</v>
      </c>
      <c r="K290" s="4" t="n">
        <v>100</v>
      </c>
      <c r="M290" s="2">
        <f>IF(C290="","",IFERROR(INDEX($S$5:$S$304,MATCH(C290,$R$5:$R$304,0))&amp;"","?"))</f>
        <v/>
      </c>
      <c r="N290" s="2">
        <f>IF(E290="","",IF(ISNUMBER(SEARCH("SUBSOLO",E290)),IFERROR(-VALUE(LEFT(E290,FIND("º",SUBSTITUTE(E290,"°","º"))-1)),-1),IF(LEFT(E290,6)="TÉRREO",0,IFERROR(VALUE(LEFT(E290,FIND("º",SUBSTITUTE(E290,"°","º"))-1)),""))))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IF(R290="","",COUNTIF($C$5:$C$6004,R290))</f>
        <v/>
      </c>
      <c r="W290" s="2">
        <f>IF(R290="","",COUNTIFS($C$5:$C$6004,R290,$O$5:$O$6004,"CONCLUÍDA"))</f>
        <v/>
      </c>
      <c r="X290" s="2">
        <f>IF(R290="","",COUNTIFS($C$5:$C$6004,R290,$O$5:$O$6004,"EM ANDAMENTO"))</f>
        <v/>
      </c>
      <c r="Y290" s="2">
        <f>IF(R290="","",IF(COUNTIFS($C$5:$C$6004,R290,$O$5:$O$6004,"CONCLUÍDA",$N$5:$N$6004,"&gt;=-99")=0,"",_xlfn.MAXIFS($N$5:$N$6004,$C$5:$C$6004,R290,$O$5:$O$6004,"CONCLUÍDA")))</f>
        <v/>
      </c>
      <c r="Z290" s="2">
        <f>IF(R290="","",IF(COUNTIFS($C$5:$C$6004,R290,$O$5:$O$6004,"EM ANDAMENTO",$N$5:$N$6004,"&gt;=-99")=0,"",_xlfn.MAXIFS($N$5:$N$6004,$C$5:$C$6004,R290,$O$5:$O$6004,"EM ANDAMENTO")))</f>
        <v/>
      </c>
      <c r="AA290" s="2">
        <f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>
      <c r="B291" s="4" t="n">
        <v>9877986</v>
      </c>
      <c r="C291" s="4" t="inlineStr">
        <is>
          <t>ESTRUTURA TORRE</t>
        </is>
      </c>
      <c r="D291" s="4" t="inlineStr">
        <is>
          <t>Concretagem Pilar</t>
        </is>
      </c>
      <c r="E291" s="4" t="inlineStr">
        <is>
          <t>4° PAV. APTO GARDEN</t>
        </is>
      </c>
      <c r="F291" s="119" t="n">
        <v>46003</v>
      </c>
      <c r="G291" s="119" t="n">
        <v>46003</v>
      </c>
      <c r="H291" s="119" t="n">
        <v>46293</v>
      </c>
      <c r="I291" s="4" t="n">
        <v>100</v>
      </c>
      <c r="J291" s="4" t="n">
        <v>100</v>
      </c>
      <c r="K291" s="4" t="n">
        <v>100</v>
      </c>
      <c r="M291" s="2">
        <f>IF(C291="","",IFERROR(INDEX($S$5:$S$304,MATCH(C291,$R$5:$R$304,0))&amp;"","?"))</f>
        <v/>
      </c>
      <c r="N291" s="2">
        <f>IF(E291="","",IF(ISNUMBER(SEARCH("SUBSOLO",E291)),IFERROR(-VALUE(LEFT(E291,FIND("º",SUBSTITUTE(E291,"°","º"))-1)),-1),IF(LEFT(E291,6)="TÉRREO",0,IFERROR(VALUE(LEFT(E291,FIND("º",SUBSTITUTE(E291,"°","º"))-1)),""))))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IF(R291="","",COUNTIF($C$5:$C$6004,R291))</f>
        <v/>
      </c>
      <c r="W291" s="2">
        <f>IF(R291="","",COUNTIFS($C$5:$C$6004,R291,$O$5:$O$6004,"CONCLUÍDA"))</f>
        <v/>
      </c>
      <c r="X291" s="2">
        <f>IF(R291="","",COUNTIFS($C$5:$C$6004,R291,$O$5:$O$6004,"EM ANDAMENTO"))</f>
        <v/>
      </c>
      <c r="Y291" s="2">
        <f>IF(R291="","",IF(COUNTIFS($C$5:$C$6004,R291,$O$5:$O$6004,"CONCLUÍDA",$N$5:$N$6004,"&gt;=-99")=0,"",_xlfn.MAXIFS($N$5:$N$6004,$C$5:$C$6004,R291,$O$5:$O$6004,"CONCLUÍDA")))</f>
        <v/>
      </c>
      <c r="Z291" s="2">
        <f>IF(R291="","",IF(COUNTIFS($C$5:$C$6004,R291,$O$5:$O$6004,"EM ANDAMENTO",$N$5:$N$6004,"&gt;=-99")=0,"",_xlfn.MAXIFS($N$5:$N$6004,$C$5:$C$6004,R291,$O$5:$O$6004,"EM ANDAMENTO")))</f>
        <v/>
      </c>
      <c r="AA291" s="2">
        <f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>
      <c r="B292" s="4" t="n">
        <v>9877987</v>
      </c>
      <c r="C292" s="4" t="inlineStr">
        <is>
          <t>ESTRUTURA TORRE</t>
        </is>
      </c>
      <c r="D292" s="4" t="inlineStr">
        <is>
          <t>Forma Vigas e Lajes</t>
        </is>
      </c>
      <c r="E292" s="4" t="inlineStr">
        <is>
          <t>4° PAV. APTO GARDEN</t>
        </is>
      </c>
      <c r="F292" s="119" t="n">
        <v>46006</v>
      </c>
      <c r="G292" s="119" t="n">
        <v>46009</v>
      </c>
      <c r="H292" s="119" t="n">
        <v>46293</v>
      </c>
      <c r="I292" s="4" t="n">
        <v>100</v>
      </c>
      <c r="J292" s="4" t="n">
        <v>100</v>
      </c>
      <c r="K292" s="4" t="n">
        <v>100</v>
      </c>
      <c r="M292" s="2">
        <f>IF(C292="","",IFERROR(INDEX($S$5:$S$304,MATCH(C292,$R$5:$R$304,0))&amp;"","?"))</f>
        <v/>
      </c>
      <c r="N292" s="2">
        <f>IF(E292="","",IF(ISNUMBER(SEARCH("SUBSOLO",E292)),IFERROR(-VALUE(LEFT(E292,FIND("º",SUBSTITUTE(E292,"°","º"))-1)),-1),IF(LEFT(E292,6)="TÉRREO",0,IFERROR(VALUE(LEFT(E292,FIND("º",SUBSTITUTE(E292,"°","º"))-1)),""))))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IF(R292="","",COUNTIF($C$5:$C$6004,R292))</f>
        <v/>
      </c>
      <c r="W292" s="2">
        <f>IF(R292="","",COUNTIFS($C$5:$C$6004,R292,$O$5:$O$6004,"CONCLUÍDA"))</f>
        <v/>
      </c>
      <c r="X292" s="2">
        <f>IF(R292="","",COUNTIFS($C$5:$C$6004,R292,$O$5:$O$6004,"EM ANDAMENTO"))</f>
        <v/>
      </c>
      <c r="Y292" s="2">
        <f>IF(R292="","",IF(COUNTIFS($C$5:$C$6004,R292,$O$5:$O$6004,"CONCLUÍDA",$N$5:$N$6004,"&gt;=-99")=0,"",_xlfn.MAXIFS($N$5:$N$6004,$C$5:$C$6004,R292,$O$5:$O$6004,"CONCLUÍDA")))</f>
        <v/>
      </c>
      <c r="Z292" s="2">
        <f>IF(R292="","",IF(COUNTIFS($C$5:$C$6004,R292,$O$5:$O$6004,"EM ANDAMENTO",$N$5:$N$6004,"&gt;=-99")=0,"",_xlfn.MAXIFS($N$5:$N$6004,$C$5:$C$6004,R292,$O$5:$O$6004,"EM ANDAMENTO")))</f>
        <v/>
      </c>
      <c r="AA292" s="2">
        <f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>
      <c r="B293" s="4" t="n">
        <v>9877988</v>
      </c>
      <c r="C293" s="4" t="inlineStr">
        <is>
          <t>ESTRUTURA TORRE</t>
        </is>
      </c>
      <c r="D293" s="4" t="inlineStr">
        <is>
          <t>Armação Vigas e Lajes</t>
        </is>
      </c>
      <c r="E293" s="4" t="inlineStr">
        <is>
          <t>4° PAV. APTO GARDEN</t>
        </is>
      </c>
      <c r="F293" s="119" t="n">
        <v>46007</v>
      </c>
      <c r="G293" s="119" t="n">
        <v>46010</v>
      </c>
      <c r="H293" s="119" t="n">
        <v>46293</v>
      </c>
      <c r="I293" s="4" t="n">
        <v>100</v>
      </c>
      <c r="J293" s="4" t="n">
        <v>100</v>
      </c>
      <c r="K293" s="4" t="n">
        <v>100</v>
      </c>
      <c r="M293" s="2">
        <f>IF(C293="","",IFERROR(INDEX($S$5:$S$304,MATCH(C293,$R$5:$R$304,0))&amp;"","?"))</f>
        <v/>
      </c>
      <c r="N293" s="2">
        <f>IF(E293="","",IF(ISNUMBER(SEARCH("SUBSOLO",E293)),IFERROR(-VALUE(LEFT(E293,FIND("º",SUBSTITUTE(E293,"°","º"))-1)),-1),IF(LEFT(E293,6)="TÉRREO",0,IFERROR(VALUE(LEFT(E293,FIND("º",SUBSTITUTE(E293,"°","º"))-1)),""))))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IF(R293="","",COUNTIF($C$5:$C$6004,R293))</f>
        <v/>
      </c>
      <c r="W293" s="2">
        <f>IF(R293="","",COUNTIFS($C$5:$C$6004,R293,$O$5:$O$6004,"CONCLUÍDA"))</f>
        <v/>
      </c>
      <c r="X293" s="2">
        <f>IF(R293="","",COUNTIFS($C$5:$C$6004,R293,$O$5:$O$6004,"EM ANDAMENTO"))</f>
        <v/>
      </c>
      <c r="Y293" s="2">
        <f>IF(R293="","",IF(COUNTIFS($C$5:$C$6004,R293,$O$5:$O$6004,"CONCLUÍDA",$N$5:$N$6004,"&gt;=-99")=0,"",_xlfn.MAXIFS($N$5:$N$6004,$C$5:$C$6004,R293,$O$5:$O$6004,"CONCLUÍDA")))</f>
        <v/>
      </c>
      <c r="Z293" s="2">
        <f>IF(R293="","",IF(COUNTIFS($C$5:$C$6004,R293,$O$5:$O$6004,"EM ANDAMENTO",$N$5:$N$6004,"&gt;=-99")=0,"",_xlfn.MAXIFS($N$5:$N$6004,$C$5:$C$6004,R293,$O$5:$O$6004,"EM ANDAMENTO")))</f>
        <v/>
      </c>
      <c r="AA293" s="2">
        <f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>
      <c r="B294" s="4" t="n">
        <v>9877989</v>
      </c>
      <c r="C294" s="4" t="inlineStr">
        <is>
          <t>ESTRUTURA TORRE</t>
        </is>
      </c>
      <c r="D294" s="4" t="inlineStr">
        <is>
          <t>Passagem Hidráulica</t>
        </is>
      </c>
      <c r="E294" s="4" t="inlineStr">
        <is>
          <t>4° PAV. APTO GARDEN</t>
        </is>
      </c>
      <c r="F294" s="119" t="n">
        <v>46009</v>
      </c>
      <c r="G294" s="119" t="n">
        <v>46009</v>
      </c>
      <c r="H294" s="119" t="n">
        <v>46293</v>
      </c>
      <c r="I294" s="4" t="n">
        <v>100</v>
      </c>
      <c r="J294" s="4" t="n">
        <v>100</v>
      </c>
      <c r="K294" s="4" t="n">
        <v>100</v>
      </c>
      <c r="M294" s="2">
        <f>IF(C294="","",IFERROR(INDEX($S$5:$S$304,MATCH(C294,$R$5:$R$304,0))&amp;"","?"))</f>
        <v/>
      </c>
      <c r="N294" s="2">
        <f>IF(E294="","",IF(ISNUMBER(SEARCH("SUBSOLO",E294)),IFERROR(-VALUE(LEFT(E294,FIND("º",SUBSTITUTE(E294,"°","º"))-1)),-1),IF(LEFT(E294,6)="TÉRREO",0,IFERROR(VALUE(LEFT(E294,FIND("º",SUBSTITUTE(E294,"°","º"))-1)),""))))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IF(R294="","",COUNTIF($C$5:$C$6004,R294))</f>
        <v/>
      </c>
      <c r="W294" s="2">
        <f>IF(R294="","",COUNTIFS($C$5:$C$6004,R294,$O$5:$O$6004,"CONCLUÍDA"))</f>
        <v/>
      </c>
      <c r="X294" s="2">
        <f>IF(R294="","",COUNTIFS($C$5:$C$6004,R294,$O$5:$O$6004,"EM ANDAMENTO"))</f>
        <v/>
      </c>
      <c r="Y294" s="2">
        <f>IF(R294="","",IF(COUNTIFS($C$5:$C$6004,R294,$O$5:$O$6004,"CONCLUÍDA",$N$5:$N$6004,"&gt;=-99")=0,"",_xlfn.MAXIFS($N$5:$N$6004,$C$5:$C$6004,R294,$O$5:$O$6004,"CONCLUÍDA")))</f>
        <v/>
      </c>
      <c r="Z294" s="2">
        <f>IF(R294="","",IF(COUNTIFS($C$5:$C$6004,R294,$O$5:$O$6004,"EM ANDAMENTO",$N$5:$N$6004,"&gt;=-99")=0,"",_xlfn.MAXIFS($N$5:$N$6004,$C$5:$C$6004,R294,$O$5:$O$6004,"EM ANDAMENTO")))</f>
        <v/>
      </c>
      <c r="AA294" s="2">
        <f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>
      <c r="B295" s="4" t="n">
        <v>9877990</v>
      </c>
      <c r="C295" s="4" t="inlineStr">
        <is>
          <t>ESTRUTURA TORRE</t>
        </is>
      </c>
      <c r="D295" s="4" t="inlineStr">
        <is>
          <t>Passagem Elétrica</t>
        </is>
      </c>
      <c r="E295" s="4" t="inlineStr">
        <is>
          <t>4° PAV. APTO GARDEN</t>
        </is>
      </c>
      <c r="F295" s="119" t="n">
        <v>46009</v>
      </c>
      <c r="G295" s="119" t="n">
        <v>46009</v>
      </c>
      <c r="H295" s="119" t="n">
        <v>46293</v>
      </c>
      <c r="I295" s="4" t="n">
        <v>100</v>
      </c>
      <c r="J295" s="4" t="n">
        <v>100</v>
      </c>
      <c r="K295" s="4" t="n">
        <v>100</v>
      </c>
      <c r="M295" s="2">
        <f>IF(C295="","",IFERROR(INDEX($S$5:$S$304,MATCH(C295,$R$5:$R$304,0))&amp;"","?"))</f>
        <v/>
      </c>
      <c r="N295" s="2">
        <f>IF(E295="","",IF(ISNUMBER(SEARCH("SUBSOLO",E295)),IFERROR(-VALUE(LEFT(E295,FIND("º",SUBSTITUTE(E295,"°","º"))-1)),-1),IF(LEFT(E295,6)="TÉRREO",0,IFERROR(VALUE(LEFT(E295,FIND("º",SUBSTITUTE(E295,"°","º"))-1)),""))))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IF(R295="","",COUNTIF($C$5:$C$6004,R295))</f>
        <v/>
      </c>
      <c r="W295" s="2">
        <f>IF(R295="","",COUNTIFS($C$5:$C$6004,R295,$O$5:$O$6004,"CONCLUÍDA"))</f>
        <v/>
      </c>
      <c r="X295" s="2">
        <f>IF(R295="","",COUNTIFS($C$5:$C$6004,R295,$O$5:$O$6004,"EM ANDAMENTO"))</f>
        <v/>
      </c>
      <c r="Y295" s="2">
        <f>IF(R295="","",IF(COUNTIFS($C$5:$C$6004,R295,$O$5:$O$6004,"CONCLUÍDA",$N$5:$N$6004,"&gt;=-99")=0,"",_xlfn.MAXIFS($N$5:$N$6004,$C$5:$C$6004,R295,$O$5:$O$6004,"CONCLUÍDA")))</f>
        <v/>
      </c>
      <c r="Z295" s="2">
        <f>IF(R295="","",IF(COUNTIFS($C$5:$C$6004,R295,$O$5:$O$6004,"EM ANDAMENTO",$N$5:$N$6004,"&gt;=-99")=0,"",_xlfn.MAXIFS($N$5:$N$6004,$C$5:$C$6004,R295,$O$5:$O$6004,"EM ANDAMENTO")))</f>
        <v/>
      </c>
      <c r="AA295" s="2">
        <f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>
      <c r="B296" s="4" t="n">
        <v>9877991</v>
      </c>
      <c r="C296" s="4" t="inlineStr">
        <is>
          <t>ESTRUTURA TORRE</t>
        </is>
      </c>
      <c r="D296" s="4" t="inlineStr">
        <is>
          <t>Concretagem</t>
        </is>
      </c>
      <c r="E296" s="4" t="inlineStr">
        <is>
          <t>4° PAV. APTO GARDEN</t>
        </is>
      </c>
      <c r="F296" s="119" t="n">
        <v>46010</v>
      </c>
      <c r="G296" s="119" t="n">
        <v>46010</v>
      </c>
      <c r="H296" s="119" t="n">
        <v>46293</v>
      </c>
      <c r="I296" s="4" t="n">
        <v>100</v>
      </c>
      <c r="J296" s="4" t="n">
        <v>100</v>
      </c>
      <c r="K296" s="4" t="n">
        <v>100</v>
      </c>
      <c r="M296" s="2">
        <f>IF(C296="","",IFERROR(INDEX($S$5:$S$304,MATCH(C296,$R$5:$R$304,0))&amp;"","?"))</f>
        <v/>
      </c>
      <c r="N296" s="2">
        <f>IF(E296="","",IF(ISNUMBER(SEARCH("SUBSOLO",E296)),IFERROR(-VALUE(LEFT(E296,FIND("º",SUBSTITUTE(E296,"°","º"))-1)),-1),IF(LEFT(E296,6)="TÉRREO",0,IFERROR(VALUE(LEFT(E296,FIND("º",SUBSTITUTE(E296,"°","º"))-1)),""))))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IF(R296="","",COUNTIF($C$5:$C$6004,R296))</f>
        <v/>
      </c>
      <c r="W296" s="2">
        <f>IF(R296="","",COUNTIFS($C$5:$C$6004,R296,$O$5:$O$6004,"CONCLUÍDA"))</f>
        <v/>
      </c>
      <c r="X296" s="2">
        <f>IF(R296="","",COUNTIFS($C$5:$C$6004,R296,$O$5:$O$6004,"EM ANDAMENTO"))</f>
        <v/>
      </c>
      <c r="Y296" s="2">
        <f>IF(R296="","",IF(COUNTIFS($C$5:$C$6004,R296,$O$5:$O$6004,"CONCLUÍDA",$N$5:$N$6004,"&gt;=-99")=0,"",_xlfn.MAXIFS($N$5:$N$6004,$C$5:$C$6004,R296,$O$5:$O$6004,"CONCLUÍDA")))</f>
        <v/>
      </c>
      <c r="Z296" s="2">
        <f>IF(R296="","",IF(COUNTIFS($C$5:$C$6004,R296,$O$5:$O$6004,"EM ANDAMENTO",$N$5:$N$6004,"&gt;=-99")=0,"",_xlfn.MAXIFS($N$5:$N$6004,$C$5:$C$6004,R296,$O$5:$O$6004,"EM ANDAMENTO")))</f>
        <v/>
      </c>
      <c r="AA296" s="2">
        <f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>
      <c r="B297" s="4" t="n">
        <v>35181545</v>
      </c>
      <c r="C297" s="4" t="inlineStr">
        <is>
          <t>ALVENARIA - POSTERIOR E LATERAL ESQUERDA - SETOR C</t>
        </is>
      </c>
      <c r="D297" s="4" t="inlineStr">
        <is>
          <t>-</t>
        </is>
      </c>
      <c r="E297" s="4" t="inlineStr">
        <is>
          <t>2º PAV. GARAGEM.</t>
        </is>
      </c>
      <c r="F297" s="119" t="n">
        <v>45994</v>
      </c>
      <c r="G297" s="119" t="n">
        <v>46045</v>
      </c>
      <c r="H297" s="119" t="n">
        <v>46293</v>
      </c>
      <c r="I297" s="4" t="n">
        <v>100</v>
      </c>
      <c r="J297" s="4" t="n">
        <v>100</v>
      </c>
      <c r="K297" s="4" t="n">
        <v>100</v>
      </c>
      <c r="M297" s="2">
        <f>IF(C297="","",IFERROR(INDEX($S$5:$S$304,MATCH(C297,$R$5:$R$304,0))&amp;"","?"))</f>
        <v/>
      </c>
      <c r="N297" s="2">
        <f>IF(E297="","",IF(ISNUMBER(SEARCH("SUBSOLO",E297)),IFERROR(-VALUE(LEFT(E297,FIND("º",SUBSTITUTE(E297,"°","º"))-1)),-1),IF(LEFT(E297,6)="TÉRREO",0,IFERROR(VALUE(LEFT(E297,FIND("º",SUBSTITUTE(E297,"°","º"))-1)),""))))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IF(R297="","",COUNTIF($C$5:$C$6004,R297))</f>
        <v/>
      </c>
      <c r="W297" s="2">
        <f>IF(R297="","",COUNTIFS($C$5:$C$6004,R297,$O$5:$O$6004,"CONCLUÍDA"))</f>
        <v/>
      </c>
      <c r="X297" s="2">
        <f>IF(R297="","",COUNTIFS($C$5:$C$6004,R297,$O$5:$O$6004,"EM ANDAMENTO"))</f>
        <v/>
      </c>
      <c r="Y297" s="2">
        <f>IF(R297="","",IF(COUNTIFS($C$5:$C$6004,R297,$O$5:$O$6004,"CONCLUÍDA",$N$5:$N$6004,"&gt;=-99")=0,"",_xlfn.MAXIFS($N$5:$N$6004,$C$5:$C$6004,R297,$O$5:$O$6004,"CONCLUÍDA")))</f>
        <v/>
      </c>
      <c r="Z297" s="2">
        <f>IF(R297="","",IF(COUNTIFS($C$5:$C$6004,R297,$O$5:$O$6004,"EM ANDAMENTO",$N$5:$N$6004,"&gt;=-99")=0,"",_xlfn.MAXIFS($N$5:$N$6004,$C$5:$C$6004,R297,$O$5:$O$6004,"EM ANDAMENTO")))</f>
        <v/>
      </c>
      <c r="AA297" s="2">
        <f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>
      <c r="B298" s="4" t="n">
        <v>36798246</v>
      </c>
      <c r="C298" s="4" t="inlineStr">
        <is>
          <t>VIGA SOLTEIRA</t>
        </is>
      </c>
      <c r="D298" s="4" t="inlineStr">
        <is>
          <t>-</t>
        </is>
      </c>
      <c r="E298" s="4" t="inlineStr">
        <is>
          <t>3º PAV. - PILOTIS</t>
        </is>
      </c>
      <c r="F298" s="119" t="n">
        <v>46027</v>
      </c>
      <c r="G298" s="119" t="n">
        <v>46055</v>
      </c>
      <c r="H298" s="119" t="n">
        <v>46293</v>
      </c>
      <c r="I298" s="4" t="n">
        <v>100</v>
      </c>
      <c r="J298" s="4" t="n">
        <v>100</v>
      </c>
      <c r="K298" s="4" t="n">
        <v>100</v>
      </c>
      <c r="M298" s="2">
        <f>IF(C298="","",IFERROR(INDEX($S$5:$S$304,MATCH(C298,$R$5:$R$304,0))&amp;"","?"))</f>
        <v/>
      </c>
      <c r="N298" s="2">
        <f>IF(E298="","",IF(ISNUMBER(SEARCH("SUBSOLO",E298)),IFERROR(-VALUE(LEFT(E298,FIND("º",SUBSTITUTE(E298,"°","º"))-1)),-1),IF(LEFT(E298,6)="TÉRREO",0,IFERROR(VALUE(LEFT(E298,FIND("º",SUBSTITUTE(E298,"°","º"))-1)),""))))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IF(R298="","",COUNTIF($C$5:$C$6004,R298))</f>
        <v/>
      </c>
      <c r="W298" s="2">
        <f>IF(R298="","",COUNTIFS($C$5:$C$6004,R298,$O$5:$O$6004,"CONCLUÍDA"))</f>
        <v/>
      </c>
      <c r="X298" s="2">
        <f>IF(R298="","",COUNTIFS($C$5:$C$6004,R298,$O$5:$O$6004,"EM ANDAMENTO"))</f>
        <v/>
      </c>
      <c r="Y298" s="2">
        <f>IF(R298="","",IF(COUNTIFS($C$5:$C$6004,R298,$O$5:$O$6004,"CONCLUÍDA",$N$5:$N$6004,"&gt;=-99")=0,"",_xlfn.MAXIFS($N$5:$N$6004,$C$5:$C$6004,R298,$O$5:$O$6004,"CONCLUÍDA")))</f>
        <v/>
      </c>
      <c r="Z298" s="2">
        <f>IF(R298="","",IF(COUNTIFS($C$5:$C$6004,R298,$O$5:$O$6004,"EM ANDAMENTO",$N$5:$N$6004,"&gt;=-99")=0,"",_xlfn.MAXIFS($N$5:$N$6004,$C$5:$C$6004,R298,$O$5:$O$6004,"EM ANDAMENTO")))</f>
        <v/>
      </c>
      <c r="AA298" s="2">
        <f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>
      <c r="B299" s="4" t="n">
        <v>14994137</v>
      </c>
      <c r="C299" s="4" t="inlineStr">
        <is>
          <t>VIGA SOLTEIRA</t>
        </is>
      </c>
      <c r="D299" s="4" t="inlineStr">
        <is>
          <t>Lançamento dos pilares P109, P108 e P107</t>
        </is>
      </c>
      <c r="E299" s="4" t="inlineStr">
        <is>
          <t>3º PAV. - PILOTIS</t>
        </is>
      </c>
      <c r="F299" s="119" t="n">
        <v>46027</v>
      </c>
      <c r="G299" s="119" t="n">
        <v>46031</v>
      </c>
      <c r="H299" s="119" t="n">
        <v>46293</v>
      </c>
      <c r="I299" s="4" t="n">
        <v>100</v>
      </c>
      <c r="J299" s="4" t="n">
        <v>100</v>
      </c>
      <c r="K299" s="4" t="n">
        <v>100</v>
      </c>
      <c r="M299" s="2">
        <f>IF(C299="","",IFERROR(INDEX($S$5:$S$304,MATCH(C299,$R$5:$R$304,0))&amp;"","?"))</f>
        <v/>
      </c>
      <c r="N299" s="2">
        <f>IF(E299="","",IF(ISNUMBER(SEARCH("SUBSOLO",E299)),IFERROR(-VALUE(LEFT(E299,FIND("º",SUBSTITUTE(E299,"°","º"))-1)),-1),IF(LEFT(E299,6)="TÉRREO",0,IFERROR(VALUE(LEFT(E299,FIND("º",SUBSTITUTE(E299,"°","º"))-1)),""))))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IF(R299="","",COUNTIF($C$5:$C$6004,R299))</f>
        <v/>
      </c>
      <c r="W299" s="2">
        <f>IF(R299="","",COUNTIFS($C$5:$C$6004,R299,$O$5:$O$6004,"CONCLUÍDA"))</f>
        <v/>
      </c>
      <c r="X299" s="2">
        <f>IF(R299="","",COUNTIFS($C$5:$C$6004,R299,$O$5:$O$6004,"EM ANDAMENTO"))</f>
        <v/>
      </c>
      <c r="Y299" s="2">
        <f>IF(R299="","",IF(COUNTIFS($C$5:$C$6004,R299,$O$5:$O$6004,"CONCLUÍDA",$N$5:$N$6004,"&gt;=-99")=0,"",_xlfn.MAXIFS($N$5:$N$6004,$C$5:$C$6004,R299,$O$5:$O$6004,"CONCLUÍDA")))</f>
        <v/>
      </c>
      <c r="Z299" s="2">
        <f>IF(R299="","",IF(COUNTIFS($C$5:$C$6004,R299,$O$5:$O$6004,"EM ANDAMENTO",$N$5:$N$6004,"&gt;=-99")=0,"",_xlfn.MAXIFS($N$5:$N$6004,$C$5:$C$6004,R299,$O$5:$O$6004,"EM ANDAMENTO")))</f>
        <v/>
      </c>
      <c r="AA299" s="2">
        <f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>
      <c r="B300" s="4" t="n">
        <v>14994138</v>
      </c>
      <c r="C300" s="4" t="inlineStr">
        <is>
          <t>VIGA SOLTEIRA</t>
        </is>
      </c>
      <c r="D300" s="4" t="inlineStr">
        <is>
          <t>Montagem de escoramento, fechamento de pilares e forma da V40</t>
        </is>
      </c>
      <c r="E300" s="4" t="inlineStr">
        <is>
          <t>3º PAV. - PILOTIS</t>
        </is>
      </c>
      <c r="F300" s="119" t="n">
        <v>46034</v>
      </c>
      <c r="G300" s="119" t="n">
        <v>46044</v>
      </c>
      <c r="H300" s="119" t="n">
        <v>46293</v>
      </c>
      <c r="I300" s="4" t="n">
        <v>100</v>
      </c>
      <c r="J300" s="4" t="n">
        <v>100</v>
      </c>
      <c r="K300" s="4" t="n">
        <v>100</v>
      </c>
      <c r="M300" s="2">
        <f>IF(C300="","",IFERROR(INDEX($S$5:$S$304,MATCH(C300,$R$5:$R$304,0))&amp;"","?"))</f>
        <v/>
      </c>
      <c r="N300" s="2">
        <f>IF(E300="","",IF(ISNUMBER(SEARCH("SUBSOLO",E300)),IFERROR(-VALUE(LEFT(E300,FIND("º",SUBSTITUTE(E300,"°","º"))-1)),-1),IF(LEFT(E300,6)="TÉRREO",0,IFERROR(VALUE(LEFT(E300,FIND("º",SUBSTITUTE(E300,"°","º"))-1)),""))))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IF(R300="","",COUNTIF($C$5:$C$6004,R300))</f>
        <v/>
      </c>
      <c r="W300" s="2">
        <f>IF(R300="","",COUNTIFS($C$5:$C$6004,R300,$O$5:$O$6004,"CONCLUÍDA"))</f>
        <v/>
      </c>
      <c r="X300" s="2">
        <f>IF(R300="","",COUNTIFS($C$5:$C$6004,R300,$O$5:$O$6004,"EM ANDAMENTO"))</f>
        <v/>
      </c>
      <c r="Y300" s="2">
        <f>IF(R300="","",IF(COUNTIFS($C$5:$C$6004,R300,$O$5:$O$6004,"CONCLUÍDA",$N$5:$N$6004,"&gt;=-99")=0,"",_xlfn.MAXIFS($N$5:$N$6004,$C$5:$C$6004,R300,$O$5:$O$6004,"CONCLUÍDA")))</f>
        <v/>
      </c>
      <c r="Z300" s="2">
        <f>IF(R300="","",IF(COUNTIFS($C$5:$C$6004,R300,$O$5:$O$6004,"EM ANDAMENTO",$N$5:$N$6004,"&gt;=-99")=0,"",_xlfn.MAXIFS($N$5:$N$6004,$C$5:$C$6004,R300,$O$5:$O$6004,"EM ANDAMENTO")))</f>
        <v/>
      </c>
      <c r="AA300" s="2">
        <f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>
      <c r="B301" s="4" t="n">
        <v>14994139</v>
      </c>
      <c r="C301" s="4" t="inlineStr">
        <is>
          <t>VIGA SOLTEIRA</t>
        </is>
      </c>
      <c r="D301" s="4" t="inlineStr">
        <is>
          <t>Lançamento da viga V40</t>
        </is>
      </c>
      <c r="E301" s="4" t="inlineStr">
        <is>
          <t>3º PAV. - PILOTIS</t>
        </is>
      </c>
      <c r="F301" s="119" t="n">
        <v>46042</v>
      </c>
      <c r="G301" s="119" t="n">
        <v>46043</v>
      </c>
      <c r="H301" s="119" t="n">
        <v>46293</v>
      </c>
      <c r="I301" s="4" t="n">
        <v>100</v>
      </c>
      <c r="J301" s="4" t="n">
        <v>100</v>
      </c>
      <c r="K301" s="4" t="n">
        <v>100</v>
      </c>
      <c r="M301" s="2">
        <f>IF(C301="","",IFERROR(INDEX($S$5:$S$304,MATCH(C301,$R$5:$R$304,0))&amp;"","?"))</f>
        <v/>
      </c>
      <c r="N301" s="2">
        <f>IF(E301="","",IF(ISNUMBER(SEARCH("SUBSOLO",E301)),IFERROR(-VALUE(LEFT(E301,FIND("º",SUBSTITUTE(E301,"°","º"))-1)),-1),IF(LEFT(E301,6)="TÉRREO",0,IFERROR(VALUE(LEFT(E301,FIND("º",SUBSTITUTE(E301,"°","º"))-1)),""))))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IF(R301="","",COUNTIF($C$5:$C$6004,R301))</f>
        <v/>
      </c>
      <c r="W301" s="2">
        <f>IF(R301="","",COUNTIFS($C$5:$C$6004,R301,$O$5:$O$6004,"CONCLUÍDA"))</f>
        <v/>
      </c>
      <c r="X301" s="2">
        <f>IF(R301="","",COUNTIFS($C$5:$C$6004,R301,$O$5:$O$6004,"EM ANDAMENTO"))</f>
        <v/>
      </c>
      <c r="Y301" s="2">
        <f>IF(R301="","",IF(COUNTIFS($C$5:$C$6004,R301,$O$5:$O$6004,"CONCLUÍDA",$N$5:$N$6004,"&gt;=-99")=0,"",_xlfn.MAXIFS($N$5:$N$6004,$C$5:$C$6004,R301,$O$5:$O$6004,"CONCLUÍDA")))</f>
        <v/>
      </c>
      <c r="Z301" s="2">
        <f>IF(R301="","",IF(COUNTIFS($C$5:$C$6004,R301,$O$5:$O$6004,"EM ANDAMENTO",$N$5:$N$6004,"&gt;=-99")=0,"",_xlfn.MAXIFS($N$5:$N$6004,$C$5:$C$6004,R301,$O$5:$O$6004,"EM ANDAMENTO")))</f>
        <v/>
      </c>
      <c r="AA301" s="2">
        <f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>
      <c r="B302" s="4" t="n">
        <v>14994140</v>
      </c>
      <c r="C302" s="4" t="inlineStr">
        <is>
          <t>VIGA SOLTEIRA</t>
        </is>
      </c>
      <c r="D302" s="4" t="inlineStr">
        <is>
          <t>Concretagem - V40 e pilares P109, P108, P107</t>
        </is>
      </c>
      <c r="E302" s="4" t="inlineStr">
        <is>
          <t>3º PAV. - PILOTIS</t>
        </is>
      </c>
      <c r="F302" s="119" t="n">
        <v>46045</v>
      </c>
      <c r="G302" s="119" t="n">
        <v>46055</v>
      </c>
      <c r="H302" s="119" t="n">
        <v>46293</v>
      </c>
      <c r="I302" s="4" t="n">
        <v>100</v>
      </c>
      <c r="J302" s="4" t="n">
        <v>100</v>
      </c>
      <c r="K302" s="4" t="n">
        <v>100</v>
      </c>
      <c r="M302" s="2">
        <f>IF(C302="","",IFERROR(INDEX($S$5:$S$304,MATCH(C302,$R$5:$R$304,0))&amp;"","?"))</f>
        <v/>
      </c>
      <c r="N302" s="2">
        <f>IF(E302="","",IF(ISNUMBER(SEARCH("SUBSOLO",E302)),IFERROR(-VALUE(LEFT(E302,FIND("º",SUBSTITUTE(E302,"°","º"))-1)),-1),IF(LEFT(E302,6)="TÉRREO",0,IFERROR(VALUE(LEFT(E302,FIND("º",SUBSTITUTE(E302,"°","º"))-1)),""))))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IF(R302="","",COUNTIF($C$5:$C$6004,R302))</f>
        <v/>
      </c>
      <c r="W302" s="2">
        <f>IF(R302="","",COUNTIFS($C$5:$C$6004,R302,$O$5:$O$6004,"CONCLUÍDA"))</f>
        <v/>
      </c>
      <c r="X302" s="2">
        <f>IF(R302="","",COUNTIFS($C$5:$C$6004,R302,$O$5:$O$6004,"EM ANDAMENTO"))</f>
        <v/>
      </c>
      <c r="Y302" s="2">
        <f>IF(R302="","",IF(COUNTIFS($C$5:$C$6004,R302,$O$5:$O$6004,"CONCLUÍDA",$N$5:$N$6004,"&gt;=-99")=0,"",_xlfn.MAXIFS($N$5:$N$6004,$C$5:$C$6004,R302,$O$5:$O$6004,"CONCLUÍDA")))</f>
        <v/>
      </c>
      <c r="Z302" s="2">
        <f>IF(R302="","",IF(COUNTIFS($C$5:$C$6004,R302,$O$5:$O$6004,"EM ANDAMENTO",$N$5:$N$6004,"&gt;=-99")=0,"",_xlfn.MAXIFS($N$5:$N$6004,$C$5:$C$6004,R302,$O$5:$O$6004,"EM ANDAMENTO")))</f>
        <v/>
      </c>
      <c r="AA302" s="2">
        <f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>
      <c r="B303" s="4" t="n">
        <v>29174118</v>
      </c>
      <c r="C303" s="4" t="inlineStr">
        <is>
          <t>ESTRUTURA EMBASAMENTO C</t>
        </is>
      </c>
      <c r="D303" s="4" t="inlineStr">
        <is>
          <t>-</t>
        </is>
      </c>
      <c r="E303" s="4" t="inlineStr">
        <is>
          <t>4° PAV. APTO GARDEN</t>
        </is>
      </c>
      <c r="F303" s="119" t="n">
        <v>46027</v>
      </c>
      <c r="G303" s="119" t="n">
        <v>46072</v>
      </c>
      <c r="H303" s="119" t="n">
        <v>46293</v>
      </c>
      <c r="I303" s="4" t="n">
        <v>100</v>
      </c>
      <c r="J303" s="4" t="n">
        <v>100</v>
      </c>
      <c r="K303" s="4" t="n">
        <v>100</v>
      </c>
      <c r="M303" s="2">
        <f>IF(C303="","",IFERROR(INDEX($S$5:$S$304,MATCH(C303,$R$5:$R$304,0))&amp;"","?"))</f>
        <v/>
      </c>
      <c r="N303" s="2">
        <f>IF(E303="","",IF(ISNUMBER(SEARCH("SUBSOLO",E303)),IFERROR(-VALUE(LEFT(E303,FIND("º",SUBSTITUTE(E303,"°","º"))-1)),-1),IF(LEFT(E303,6)="TÉRREO",0,IFERROR(VALUE(LEFT(E303,FIND("º",SUBSTITUTE(E303,"°","º"))-1)),""))))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IF(R303="","",COUNTIF($C$5:$C$6004,R303))</f>
        <v/>
      </c>
      <c r="W303" s="2">
        <f>IF(R303="","",COUNTIFS($C$5:$C$6004,R303,$O$5:$O$6004,"CONCLUÍDA"))</f>
        <v/>
      </c>
      <c r="X303" s="2">
        <f>IF(R303="","",COUNTIFS($C$5:$C$6004,R303,$O$5:$O$6004,"EM ANDAMENTO"))</f>
        <v/>
      </c>
      <c r="Y303" s="2">
        <f>IF(R303="","",IF(COUNTIFS($C$5:$C$6004,R303,$O$5:$O$6004,"CONCLUÍDA",$N$5:$N$6004,"&gt;=-99")=0,"",_xlfn.MAXIFS($N$5:$N$6004,$C$5:$C$6004,R303,$O$5:$O$6004,"CONCLUÍDA")))</f>
        <v/>
      </c>
      <c r="Z303" s="2">
        <f>IF(R303="","",IF(COUNTIFS($C$5:$C$6004,R303,$O$5:$O$6004,"EM ANDAMENTO",$N$5:$N$6004,"&gt;=-99")=0,"",_xlfn.MAXIFS($N$5:$N$6004,$C$5:$C$6004,R303,$O$5:$O$6004,"EM ANDAMENTO")))</f>
        <v/>
      </c>
      <c r="AA303" s="2">
        <f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>
      <c r="B304" s="4" t="n">
        <v>10568992</v>
      </c>
      <c r="C304" s="4" t="inlineStr">
        <is>
          <t>ESTRUTURA EMBASAMENTO C</t>
        </is>
      </c>
      <c r="D304" s="4" t="inlineStr">
        <is>
          <t>Armação Pilar - 9680 kg</t>
        </is>
      </c>
      <c r="E304" s="4" t="inlineStr">
        <is>
          <t>4° PAV. APTO GARDEN</t>
        </is>
      </c>
      <c r="F304" s="119" t="n">
        <v>46027</v>
      </c>
      <c r="G304" s="119" t="n">
        <v>46042</v>
      </c>
      <c r="H304" s="119" t="n">
        <v>46293</v>
      </c>
      <c r="I304" s="4" t="n">
        <v>100</v>
      </c>
      <c r="J304" s="4" t="n">
        <v>100</v>
      </c>
      <c r="K304" s="4" t="n">
        <v>100</v>
      </c>
      <c r="M304" s="2">
        <f>IF(C304="","",IFERROR(INDEX($S$5:$S$304,MATCH(C304,$R$5:$R$304,0))&amp;"","?"))</f>
        <v/>
      </c>
      <c r="N304" s="2">
        <f>IF(E304="","",IF(ISNUMBER(SEARCH("SUBSOLO",E304)),IFERROR(-VALUE(LEFT(E304,FIND("º",SUBSTITUTE(E304,"°","º"))-1)),-1),IF(LEFT(E304,6)="TÉRREO",0,IFERROR(VALUE(LEFT(E304,FIND("º",SUBSTITUTE(E304,"°","º"))-1)),""))))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IF(R304="","",COUNTIF($C$5:$C$6004,R304))</f>
        <v/>
      </c>
      <c r="W304" s="2">
        <f>IF(R304="","",COUNTIFS($C$5:$C$6004,R304,$O$5:$O$6004,"CONCLUÍDA"))</f>
        <v/>
      </c>
      <c r="X304" s="2">
        <f>IF(R304="","",COUNTIFS($C$5:$C$6004,R304,$O$5:$O$6004,"EM ANDAMENTO"))</f>
        <v/>
      </c>
      <c r="Y304" s="2">
        <f>IF(R304="","",IF(COUNTIFS($C$5:$C$6004,R304,$O$5:$O$6004,"CONCLUÍDA",$N$5:$N$6004,"&gt;=-99")=0,"",_xlfn.MAXIFS($N$5:$N$6004,$C$5:$C$6004,R304,$O$5:$O$6004,"CONCLUÍDA")))</f>
        <v/>
      </c>
      <c r="Z304" s="2">
        <f>IF(R304="","",IF(COUNTIFS($C$5:$C$6004,R304,$O$5:$O$6004,"EM ANDAMENTO",$N$5:$N$6004,"&gt;=-99")=0,"",_xlfn.MAXIFS($N$5:$N$6004,$C$5:$C$6004,R304,$O$5:$O$6004,"EM ANDAMENTO")))</f>
        <v/>
      </c>
      <c r="AA304" s="2">
        <f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>
      <c r="B305" s="4" t="n">
        <v>14994040</v>
      </c>
      <c r="C305" s="4" t="inlineStr">
        <is>
          <t>ESTRUTURA EMBASAMENTO C</t>
        </is>
      </c>
      <c r="D305" s="4" t="inlineStr">
        <is>
          <t>Forma de pilares - 231 m²</t>
        </is>
      </c>
      <c r="E305" s="4" t="inlineStr">
        <is>
          <t>4° PAV. APTO GARDEN</t>
        </is>
      </c>
      <c r="F305" s="119" t="n">
        <v>46028</v>
      </c>
      <c r="G305" s="119" t="n">
        <v>46043</v>
      </c>
      <c r="H305" s="119" t="n">
        <v>46293</v>
      </c>
      <c r="I305" s="4" t="n">
        <v>100</v>
      </c>
      <c r="J305" s="4" t="n">
        <v>100</v>
      </c>
      <c r="K305" s="4" t="n">
        <v>100</v>
      </c>
      <c r="M305" s="2">
        <f>IF(C305="","",IFERROR(INDEX($S$5:$S$304,MATCH(C305,$R$5:$R$304,0))&amp;"","?"))</f>
        <v/>
      </c>
      <c r="N305" s="2">
        <f>IF(E305="","",IF(ISNUMBER(SEARCH("SUBSOLO",E305)),IFERROR(-VALUE(LEFT(E305,FIND("º",SUBSTITUTE(E305,"°","º"))-1)),-1),IF(LEFT(E305,6)="TÉRREO",0,IFERROR(VALUE(LEFT(E305,FIND("º",SUBSTITUTE(E305,"°","º"))-1)),""))))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14994041</v>
      </c>
      <c r="C306" s="4" t="inlineStr">
        <is>
          <t>ESTRUTURA EMBASAMENTO C</t>
        </is>
      </c>
      <c r="D306" s="4" t="inlineStr">
        <is>
          <t>Armação de vigas - 10480 kg</t>
        </is>
      </c>
      <c r="E306" s="4" t="inlineStr">
        <is>
          <t>4° PAV. APTO GARDEN</t>
        </is>
      </c>
      <c r="F306" s="119" t="n">
        <v>46034</v>
      </c>
      <c r="G306" s="119" t="n">
        <v>46059</v>
      </c>
      <c r="H306" s="119" t="n">
        <v>46293</v>
      </c>
      <c r="I306" s="4" t="n">
        <v>100</v>
      </c>
      <c r="J306" s="4" t="n">
        <v>100</v>
      </c>
      <c r="K306" s="4" t="n">
        <v>100</v>
      </c>
      <c r="M306" s="2">
        <f>IF(C306="","",IFERROR(INDEX($S$5:$S$304,MATCH(C306,$R$5:$R$304,0))&amp;"","?"))</f>
        <v/>
      </c>
      <c r="N306" s="2">
        <f>IF(E306="","",IF(ISNUMBER(SEARCH("SUBSOLO",E306)),IFERROR(-VALUE(LEFT(E306,FIND("º",SUBSTITUTE(E306,"°","º"))-1)),-1),IF(LEFT(E306,6)="TÉRREO",0,IFERROR(VALUE(LEFT(E306,FIND("º",SUBSTITUTE(E306,"°","º"))-1)),""))))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14994093</v>
      </c>
      <c r="C307" s="4" t="inlineStr">
        <is>
          <t>ESTRUTURA EMBASAMENTO C</t>
        </is>
      </c>
      <c r="D307" s="4" t="inlineStr">
        <is>
          <t>Montagem de escoramento e forro de laje</t>
        </is>
      </c>
      <c r="E307" s="4" t="inlineStr">
        <is>
          <t>4° PAV. APTO GARDEN</t>
        </is>
      </c>
      <c r="F307" s="119" t="n">
        <v>46041</v>
      </c>
      <c r="G307" s="119" t="n">
        <v>46066</v>
      </c>
      <c r="H307" s="119" t="n">
        <v>46293</v>
      </c>
      <c r="I307" s="4" t="n">
        <v>100</v>
      </c>
      <c r="J307" s="4" t="n">
        <v>100</v>
      </c>
      <c r="K307" s="4" t="n">
        <v>100</v>
      </c>
      <c r="M307" s="2">
        <f>IF(C307="","",IFERROR(INDEX($S$5:$S$304,MATCH(C307,$R$5:$R$304,0))&amp;"","?"))</f>
        <v/>
      </c>
      <c r="N307" s="2">
        <f>IF(E307="","",IF(ISNUMBER(SEARCH("SUBSOLO",E307)),IFERROR(-VALUE(LEFT(E307,FIND("º",SUBSTITUTE(E307,"°","º"))-1)),-1),IF(LEFT(E307,6)="TÉRREO",0,IFERROR(VALUE(LEFT(E307,FIND("º",SUBSTITUTE(E307,"°","º"))-1)),""))))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14994094</v>
      </c>
      <c r="C308" s="4" t="inlineStr">
        <is>
          <t>ESTRUTURA EMBASAMENTO C</t>
        </is>
      </c>
      <c r="D308" s="4" t="inlineStr">
        <is>
          <t>Lançamento de vigas e lajes</t>
        </is>
      </c>
      <c r="E308" s="4" t="inlineStr">
        <is>
          <t>4° PAV. APTO GARDEN</t>
        </is>
      </c>
      <c r="F308" s="119" t="n">
        <v>46048</v>
      </c>
      <c r="G308" s="119" t="n">
        <v>46069</v>
      </c>
      <c r="H308" s="119" t="n">
        <v>46293</v>
      </c>
      <c r="I308" s="4" t="n">
        <v>100</v>
      </c>
      <c r="J308" s="4" t="n">
        <v>100</v>
      </c>
      <c r="K308" s="4" t="n">
        <v>100</v>
      </c>
      <c r="M308" s="2">
        <f>IF(C308="","",IFERROR(INDEX($S$5:$S$304,MATCH(C308,$R$5:$R$304,0))&amp;"","?"))</f>
        <v/>
      </c>
      <c r="N308" s="2">
        <f>IF(E308="","",IF(ISNUMBER(SEARCH("SUBSOLO",E308)),IFERROR(-VALUE(LEFT(E308,FIND("º",SUBSTITUTE(E308,"°","º"))-1)),-1),IF(LEFT(E308,6)="TÉRREO",0,IFERROR(VALUE(LEFT(E308,FIND("º",SUBSTITUTE(E308,"°","º"))-1)),""))))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14994095</v>
      </c>
      <c r="C309" s="4" t="inlineStr">
        <is>
          <t>ESTRUTURA EMBASAMENTO C</t>
        </is>
      </c>
      <c r="D309" s="4" t="inlineStr">
        <is>
          <t>Concretagem de pilar</t>
        </is>
      </c>
      <c r="E309" s="4" t="inlineStr">
        <is>
          <t>4° PAV. APTO GARDEN</t>
        </is>
      </c>
      <c r="F309" s="119" t="n">
        <v>46045</v>
      </c>
      <c r="G309" s="119" t="n">
        <v>46045</v>
      </c>
      <c r="H309" s="119" t="n">
        <v>46293</v>
      </c>
      <c r="I309" s="4" t="n">
        <v>100</v>
      </c>
      <c r="J309" s="4" t="n">
        <v>100</v>
      </c>
      <c r="K309" s="4" t="n">
        <v>100</v>
      </c>
      <c r="M309" s="2">
        <f>IF(C309="","",IFERROR(INDEX($S$5:$S$304,MATCH(C309,$R$5:$R$304,0))&amp;"","?"))</f>
        <v/>
      </c>
      <c r="N309" s="2">
        <f>IF(E309="","",IF(ISNUMBER(SEARCH("SUBSOLO",E309)),IFERROR(-VALUE(LEFT(E309,FIND("º",SUBSTITUTE(E309,"°","º"))-1)),-1),IF(LEFT(E309,6)="TÉRREO",0,IFERROR(VALUE(LEFT(E309,FIND("º",SUBSTITUTE(E309,"°","º"))-1)),""))))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14994096</v>
      </c>
      <c r="C310" s="4" t="inlineStr">
        <is>
          <t>ESTRUTURA EMBASAMENTO C</t>
        </is>
      </c>
      <c r="D310" s="4" t="inlineStr">
        <is>
          <t>1ª concretagem de laje</t>
        </is>
      </c>
      <c r="E310" s="4" t="inlineStr">
        <is>
          <t>4° PAV. APTO GARDEN</t>
        </is>
      </c>
      <c r="F310" s="119" t="n">
        <v>46062</v>
      </c>
      <c r="G310" s="119" t="n">
        <v>46062</v>
      </c>
      <c r="H310" s="119" t="n">
        <v>46293</v>
      </c>
      <c r="I310" s="4" t="n">
        <v>100</v>
      </c>
      <c r="J310" s="4" t="n">
        <v>100</v>
      </c>
      <c r="K310" s="4" t="n">
        <v>100</v>
      </c>
      <c r="M310" s="2">
        <f>IF(C310="","",IFERROR(INDEX($S$5:$S$304,MATCH(C310,$R$5:$R$304,0))&amp;"","?"))</f>
        <v/>
      </c>
      <c r="N310" s="2">
        <f>IF(E310="","",IF(ISNUMBER(SEARCH("SUBSOLO",E310)),IFERROR(-VALUE(LEFT(E310,FIND("º",SUBSTITUTE(E310,"°","º"))-1)),-1),IF(LEFT(E310,6)="TÉRREO",0,IFERROR(VALUE(LEFT(E310,FIND("º",SUBSTITUTE(E310,"°","º"))-1)),""))))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14994097</v>
      </c>
      <c r="C311" s="4" t="inlineStr">
        <is>
          <t>ESTRUTURA EMBASAMENTO C</t>
        </is>
      </c>
      <c r="D311" s="4" t="inlineStr">
        <is>
          <t>2ª concretagem de laje</t>
        </is>
      </c>
      <c r="E311" s="4" t="inlineStr">
        <is>
          <t>4° PAV. APTO GARDEN</t>
        </is>
      </c>
      <c r="F311" s="119" t="n">
        <v>46070</v>
      </c>
      <c r="G311" s="119" t="n">
        <v>46070</v>
      </c>
      <c r="H311" s="119" t="n">
        <v>46293</v>
      </c>
      <c r="I311" s="4" t="n">
        <v>100</v>
      </c>
      <c r="J311" s="4" t="n">
        <v>100</v>
      </c>
      <c r="K311" s="4" t="n">
        <v>100</v>
      </c>
      <c r="M311" s="2">
        <f>IF(C311="","",IFERROR(INDEX($S$5:$S$304,MATCH(C311,$R$5:$R$304,0))&amp;"","?"))</f>
        <v/>
      </c>
      <c r="N311" s="2">
        <f>IF(E311="","",IF(ISNUMBER(SEARCH("SUBSOLO",E311)),IFERROR(-VALUE(LEFT(E311,FIND("º",SUBSTITUTE(E311,"°","º"))-1)),-1),IF(LEFT(E311,6)="TÉRREO",0,IFERROR(VALUE(LEFT(E311,FIND("º",SUBSTITUTE(E311,"°","º"))-1)),""))))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14994098</v>
      </c>
      <c r="C312" s="4" t="inlineStr">
        <is>
          <t>ESTRUTURA EMBASAMENTO C</t>
        </is>
      </c>
      <c r="D312" s="4" t="inlineStr">
        <is>
          <t>Fechamento das vigas invertidas</t>
        </is>
      </c>
      <c r="E312" s="4" t="inlineStr">
        <is>
          <t>4° PAV. APTO GARDEN</t>
        </is>
      </c>
      <c r="F312" s="119" t="n">
        <v>46063</v>
      </c>
      <c r="G312" s="119" t="n">
        <v>46071</v>
      </c>
      <c r="H312" s="119" t="n">
        <v>46293</v>
      </c>
      <c r="I312" s="4" t="n">
        <v>100</v>
      </c>
      <c r="J312" s="4" t="n">
        <v>100</v>
      </c>
      <c r="K312" s="4" t="n">
        <v>100</v>
      </c>
      <c r="M312" s="2">
        <f>IF(C312="","",IFERROR(INDEX($S$5:$S$304,MATCH(C312,$R$5:$R$304,0))&amp;"","?"))</f>
        <v/>
      </c>
      <c r="N312" s="2">
        <f>IF(E312="","",IF(ISNUMBER(SEARCH("SUBSOLO",E312)),IFERROR(-VALUE(LEFT(E312,FIND("º",SUBSTITUTE(E312,"°","º"))-1)),-1),IF(LEFT(E312,6)="TÉRREO",0,IFERROR(VALUE(LEFT(E312,FIND("º",SUBSTITUTE(E312,"°","º"))-1)),""))))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14994099</v>
      </c>
      <c r="C313" s="4" t="inlineStr">
        <is>
          <t>ESTRUTURA EMBASAMENTO C</t>
        </is>
      </c>
      <c r="D313" s="4" t="inlineStr">
        <is>
          <t>Concreto de vigas invertidas</t>
        </is>
      </c>
      <c r="E313" s="4" t="inlineStr">
        <is>
          <t>4° PAV. APTO GARDEN</t>
        </is>
      </c>
      <c r="F313" s="119" t="n">
        <v>46072</v>
      </c>
      <c r="G313" s="119" t="n">
        <v>46072</v>
      </c>
      <c r="H313" s="119" t="n">
        <v>46293</v>
      </c>
      <c r="I313" s="4" t="n">
        <v>100</v>
      </c>
      <c r="J313" s="4" t="n">
        <v>100</v>
      </c>
      <c r="K313" s="4" t="n">
        <v>100</v>
      </c>
      <c r="M313" s="2">
        <f>IF(C313="","",IFERROR(INDEX($S$5:$S$304,MATCH(C313,$R$5:$R$304,0))&amp;"","?"))</f>
        <v/>
      </c>
      <c r="N313" s="2">
        <f>IF(E313="","",IF(ISNUMBER(SEARCH("SUBSOLO",E313)),IFERROR(-VALUE(LEFT(E313,FIND("º",SUBSTITUTE(E313,"°","º"))-1)),-1),IF(LEFT(E313,6)="TÉRREO",0,IFERROR(VALUE(LEFT(E313,FIND("º",SUBSTITUTE(E313,"°","º"))-1)),""))))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36798251</v>
      </c>
      <c r="C314" s="4" t="inlineStr">
        <is>
          <t>VIGA INVERTIDA</t>
        </is>
      </c>
      <c r="D314" s="4" t="inlineStr">
        <is>
          <t>-</t>
        </is>
      </c>
      <c r="E314" s="4" t="inlineStr">
        <is>
          <t>4° PAV. APTO GARDEN</t>
        </is>
      </c>
      <c r="F314" s="119" t="n">
        <v>46027</v>
      </c>
      <c r="G314" s="119" t="n">
        <v>46036</v>
      </c>
      <c r="H314" s="119" t="n">
        <v>46293</v>
      </c>
      <c r="I314" s="4" t="n">
        <v>100</v>
      </c>
      <c r="J314" s="4" t="n">
        <v>100</v>
      </c>
      <c r="K314" s="4" t="n">
        <v>100</v>
      </c>
      <c r="M314" s="2">
        <f>IF(C314="","",IFERROR(INDEX($S$5:$S$304,MATCH(C314,$R$5:$R$304,0))&amp;"","?"))</f>
        <v/>
      </c>
      <c r="N314" s="2">
        <f>IF(E314="","",IF(ISNUMBER(SEARCH("SUBSOLO",E314)),IFERROR(-VALUE(LEFT(E314,FIND("º",SUBSTITUTE(E314,"°","º"))-1)),-1),IF(LEFT(E314,6)="TÉRREO",0,IFERROR(VALUE(LEFT(E314,FIND("º",SUBSTITUTE(E314,"°","º"))-1)),""))))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22139714</v>
      </c>
      <c r="C315" s="4" t="inlineStr">
        <is>
          <t>ESTRUTURA TORRE</t>
        </is>
      </c>
      <c r="D315" s="4" t="inlineStr">
        <is>
          <t>-</t>
        </is>
      </c>
      <c r="E315" s="4" t="inlineStr">
        <is>
          <t>5º PAV. TIPO</t>
        </is>
      </c>
      <c r="F315" s="119" t="n">
        <v>46027</v>
      </c>
      <c r="G315" s="119" t="n">
        <v>46055</v>
      </c>
      <c r="H315" s="119" t="n">
        <v>46293</v>
      </c>
      <c r="I315" s="4" t="n">
        <v>100</v>
      </c>
      <c r="J315" s="4" t="n">
        <v>100</v>
      </c>
      <c r="K315" s="4" t="n">
        <v>100</v>
      </c>
      <c r="M315" s="2">
        <f>IF(C315="","",IFERROR(INDEX($S$5:$S$304,MATCH(C315,$R$5:$R$304,0))&amp;"","?"))</f>
        <v/>
      </c>
      <c r="N315" s="2">
        <f>IF(E315="","",IF(ISNUMBER(SEARCH("SUBSOLO",E315)),IFERROR(-VALUE(LEFT(E315,FIND("º",SUBSTITUTE(E315,"°","º"))-1)),-1),IF(LEFT(E315,6)="TÉRREO",0,IFERROR(VALUE(LEFT(E315,FIND("º",SUBSTITUTE(E315,"°","º"))-1)),""))))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9877124</v>
      </c>
      <c r="C316" s="4" t="inlineStr">
        <is>
          <t>ESTRUTURA TORRE</t>
        </is>
      </c>
      <c r="D316" s="4" t="inlineStr">
        <is>
          <t>Forma Pilar</t>
        </is>
      </c>
      <c r="E316" s="4" t="inlineStr">
        <is>
          <t>5º PAV. TIPO</t>
        </is>
      </c>
      <c r="F316" s="119" t="n">
        <v>46027</v>
      </c>
      <c r="G316" s="119" t="n">
        <v>46031</v>
      </c>
      <c r="H316" s="119" t="n">
        <v>46293</v>
      </c>
      <c r="I316" s="4" t="n">
        <v>100</v>
      </c>
      <c r="J316" s="4" t="n">
        <v>100</v>
      </c>
      <c r="K316" s="4" t="n">
        <v>100</v>
      </c>
      <c r="M316" s="2">
        <f>IF(C316="","",IFERROR(INDEX($S$5:$S$304,MATCH(C316,$R$5:$R$304,0))&amp;"","?"))</f>
        <v/>
      </c>
      <c r="N316" s="2">
        <f>IF(E316="","",IF(ISNUMBER(SEARCH("SUBSOLO",E316)),IFERROR(-VALUE(LEFT(E316,FIND("º",SUBSTITUTE(E316,"°","º"))-1)),-1),IF(LEFT(E316,6)="TÉRREO",0,IFERROR(VALUE(LEFT(E316,FIND("º",SUBSTITUTE(E316,"°","º"))-1)),""))))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9877125</v>
      </c>
      <c r="C317" s="4" t="inlineStr">
        <is>
          <t>ESTRUTURA TORRE</t>
        </is>
      </c>
      <c r="D317" s="4" t="inlineStr">
        <is>
          <t>Armação Pilar</t>
        </is>
      </c>
      <c r="E317" s="4" t="inlineStr">
        <is>
          <t>5º PAV. TIPO</t>
        </is>
      </c>
      <c r="F317" s="119" t="n">
        <v>46029</v>
      </c>
      <c r="G317" s="119" t="n">
        <v>46035</v>
      </c>
      <c r="H317" s="119" t="n">
        <v>46293</v>
      </c>
      <c r="I317" s="4" t="n">
        <v>100</v>
      </c>
      <c r="J317" s="4" t="n">
        <v>100</v>
      </c>
      <c r="K317" s="4" t="n">
        <v>100</v>
      </c>
      <c r="M317" s="2">
        <f>IF(C317="","",IFERROR(INDEX($S$5:$S$304,MATCH(C317,$R$5:$R$304,0))&amp;"","?"))</f>
        <v/>
      </c>
      <c r="N317" s="2">
        <f>IF(E317="","",IF(ISNUMBER(SEARCH("SUBSOLO",E317)),IFERROR(-VALUE(LEFT(E317,FIND("º",SUBSTITUTE(E317,"°","º"))-1)),-1),IF(LEFT(E317,6)="TÉRREO",0,IFERROR(VALUE(LEFT(E317,FIND("º",SUBSTITUTE(E317,"°","º"))-1)),""))))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9877126</v>
      </c>
      <c r="C318" s="4" t="inlineStr">
        <is>
          <t>ESTRUTURA TORRE</t>
        </is>
      </c>
      <c r="D318" s="4" t="inlineStr">
        <is>
          <t>Escoramento</t>
        </is>
      </c>
      <c r="E318" s="4" t="inlineStr">
        <is>
          <t>5º PAV. TIPO</t>
        </is>
      </c>
      <c r="F318" s="119" t="n">
        <v>46030</v>
      </c>
      <c r="G318" s="119" t="n">
        <v>46031</v>
      </c>
      <c r="H318" s="119" t="n">
        <v>46293</v>
      </c>
      <c r="I318" s="4" t="n">
        <v>100</v>
      </c>
      <c r="J318" s="4" t="n">
        <v>100</v>
      </c>
      <c r="K318" s="4" t="n">
        <v>100</v>
      </c>
      <c r="M318" s="2">
        <f>IF(C318="","",IFERROR(INDEX($S$5:$S$304,MATCH(C318,$R$5:$R$304,0))&amp;"","?"))</f>
        <v/>
      </c>
      <c r="N318" s="2">
        <f>IF(E318="","",IF(ISNUMBER(SEARCH("SUBSOLO",E318)),IFERROR(-VALUE(LEFT(E318,FIND("º",SUBSTITUTE(E318,"°","º"))-1)),-1),IF(LEFT(E318,6)="TÉRREO",0,IFERROR(VALUE(LEFT(E318,FIND("º",SUBSTITUTE(E318,"°","º"))-1)),""))))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9877841</v>
      </c>
      <c r="C319" s="4" t="inlineStr">
        <is>
          <t>ESTRUTURA TORRE</t>
        </is>
      </c>
      <c r="D319" s="4" t="inlineStr">
        <is>
          <t>Concretagem Pilar</t>
        </is>
      </c>
      <c r="E319" s="4" t="inlineStr">
        <is>
          <t>5º PAV. TIPO</t>
        </is>
      </c>
      <c r="F319" s="119" t="n">
        <v>46034</v>
      </c>
      <c r="G319" s="119" t="n">
        <v>46034</v>
      </c>
      <c r="H319" s="119" t="n">
        <v>46293</v>
      </c>
      <c r="I319" s="4" t="n">
        <v>100</v>
      </c>
      <c r="J319" s="4" t="n">
        <v>100</v>
      </c>
      <c r="K319" s="4" t="n">
        <v>100</v>
      </c>
      <c r="M319" s="2">
        <f>IF(C319="","",IFERROR(INDEX($S$5:$S$304,MATCH(C319,$R$5:$R$304,0))&amp;"","?"))</f>
        <v/>
      </c>
      <c r="N319" s="2">
        <f>IF(E319="","",IF(ISNUMBER(SEARCH("SUBSOLO",E319)),IFERROR(-VALUE(LEFT(E319,FIND("º",SUBSTITUTE(E319,"°","º"))-1)),-1),IF(LEFT(E319,6)="TÉRREO",0,IFERROR(VALUE(LEFT(E319,FIND("º",SUBSTITUTE(E319,"°","º"))-1)),""))))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9877842</v>
      </c>
      <c r="C320" s="4" t="inlineStr">
        <is>
          <t>ESTRUTURA TORRE</t>
        </is>
      </c>
      <c r="D320" s="4" t="inlineStr">
        <is>
          <t>Forma Vigas e Lajes</t>
        </is>
      </c>
      <c r="E320" s="4" t="inlineStr">
        <is>
          <t>5º PAV. TIPO</t>
        </is>
      </c>
      <c r="F320" s="119" t="n">
        <v>46035</v>
      </c>
      <c r="G320" s="119" t="n">
        <v>46041</v>
      </c>
      <c r="H320" s="119" t="n">
        <v>46293</v>
      </c>
      <c r="I320" s="4" t="n">
        <v>100</v>
      </c>
      <c r="J320" s="4" t="n">
        <v>100</v>
      </c>
      <c r="K320" s="4" t="n">
        <v>100</v>
      </c>
      <c r="M320" s="2">
        <f>IF(C320="","",IFERROR(INDEX($S$5:$S$304,MATCH(C320,$R$5:$R$304,0))&amp;"","?"))</f>
        <v/>
      </c>
      <c r="N320" s="2">
        <f>IF(E320="","",IF(ISNUMBER(SEARCH("SUBSOLO",E320)),IFERROR(-VALUE(LEFT(E320,FIND("º",SUBSTITUTE(E320,"°","º"))-1)),-1),IF(LEFT(E320,6)="TÉRREO",0,IFERROR(VALUE(LEFT(E320,FIND("º",SUBSTITUTE(E320,"°","º"))-1)),""))))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9877843</v>
      </c>
      <c r="C321" s="4" t="inlineStr">
        <is>
          <t>ESTRUTURA TORRE</t>
        </is>
      </c>
      <c r="D321" s="4" t="inlineStr">
        <is>
          <t>Armação Vigas e Lajes</t>
        </is>
      </c>
      <c r="E321" s="4" t="inlineStr">
        <is>
          <t>5º PAV. TIPO</t>
        </is>
      </c>
      <c r="F321" s="119" t="n">
        <v>46036</v>
      </c>
      <c r="G321" s="119" t="n">
        <v>46042</v>
      </c>
      <c r="H321" s="119" t="n">
        <v>46293</v>
      </c>
      <c r="I321" s="4" t="n">
        <v>100</v>
      </c>
      <c r="J321" s="4" t="n">
        <v>100</v>
      </c>
      <c r="K321" s="4" t="n">
        <v>100</v>
      </c>
      <c r="M321" s="2">
        <f>IF(C321="","",IFERROR(INDEX($S$5:$S$304,MATCH(C321,$R$5:$R$304,0))&amp;"","?"))</f>
        <v/>
      </c>
      <c r="N321" s="2">
        <f>IF(E321="","",IF(ISNUMBER(SEARCH("SUBSOLO",E321)),IFERROR(-VALUE(LEFT(E321,FIND("º",SUBSTITUTE(E321,"°","º"))-1)),-1),IF(LEFT(E321,6)="TÉRREO",0,IFERROR(VALUE(LEFT(E321,FIND("º",SUBSTITUTE(E321,"°","º"))-1)),""))))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9877844</v>
      </c>
      <c r="C322" s="4" t="inlineStr">
        <is>
          <t>ESTRUTURA TORRE</t>
        </is>
      </c>
      <c r="D322" s="4" t="inlineStr">
        <is>
          <t>Passagem Hidráulica</t>
        </is>
      </c>
      <c r="E322" s="4" t="inlineStr">
        <is>
          <t>5º PAV. TIPO</t>
        </is>
      </c>
      <c r="F322" s="119" t="n">
        <v>46041</v>
      </c>
      <c r="G322" s="119" t="n">
        <v>46042</v>
      </c>
      <c r="H322" s="119" t="n">
        <v>46293</v>
      </c>
      <c r="I322" s="4" t="n">
        <v>100</v>
      </c>
      <c r="J322" s="4" t="n">
        <v>100</v>
      </c>
      <c r="K322" s="4" t="n">
        <v>100</v>
      </c>
      <c r="M322" s="2">
        <f>IF(C322="","",IFERROR(INDEX($S$5:$S$304,MATCH(C322,$R$5:$R$304,0))&amp;"","?"))</f>
        <v/>
      </c>
      <c r="N322" s="2">
        <f>IF(E322="","",IF(ISNUMBER(SEARCH("SUBSOLO",E322)),IFERROR(-VALUE(LEFT(E322,FIND("º",SUBSTITUTE(E322,"°","º"))-1)),-1),IF(LEFT(E322,6)="TÉRREO",0,IFERROR(VALUE(LEFT(E322,FIND("º",SUBSTITUTE(E322,"°","º"))-1)),""))))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9877845</v>
      </c>
      <c r="C323" s="4" t="inlineStr">
        <is>
          <t>ESTRUTURA TORRE</t>
        </is>
      </c>
      <c r="D323" s="4" t="inlineStr">
        <is>
          <t>Passagem Elétrica</t>
        </is>
      </c>
      <c r="E323" s="4" t="inlineStr">
        <is>
          <t>5º PAV. TIPO</t>
        </is>
      </c>
      <c r="F323" s="119" t="n">
        <v>46042</v>
      </c>
      <c r="G323" s="119" t="n">
        <v>46043</v>
      </c>
      <c r="H323" s="119" t="n">
        <v>46293</v>
      </c>
      <c r="I323" s="4" t="n">
        <v>100</v>
      </c>
      <c r="J323" s="4" t="n">
        <v>100</v>
      </c>
      <c r="K323" s="4" t="n">
        <v>100</v>
      </c>
      <c r="M323" s="2">
        <f>IF(C323="","",IFERROR(INDEX($S$5:$S$304,MATCH(C323,$R$5:$R$304,0))&amp;"","?"))</f>
        <v/>
      </c>
      <c r="N323" s="2">
        <f>IF(E323="","",IF(ISNUMBER(SEARCH("SUBSOLO",E323)),IFERROR(-VALUE(LEFT(E323,FIND("º",SUBSTITUTE(E323,"°","º"))-1)),-1),IF(LEFT(E323,6)="TÉRREO",0,IFERROR(VALUE(LEFT(E323,FIND("º",SUBSTITUTE(E323,"°","º"))-1)),""))))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9877846</v>
      </c>
      <c r="C324" s="4" t="inlineStr">
        <is>
          <t>ESTRUTURA TORRE</t>
        </is>
      </c>
      <c r="D324" s="4" t="inlineStr">
        <is>
          <t>Concretagem</t>
        </is>
      </c>
      <c r="E324" s="4" t="inlineStr">
        <is>
          <t>5º PAV. TIPO</t>
        </is>
      </c>
      <c r="F324" s="119" t="n">
        <v>46044</v>
      </c>
      <c r="G324" s="119" t="n">
        <v>46055</v>
      </c>
      <c r="H324" s="119" t="n">
        <v>46293</v>
      </c>
      <c r="I324" s="4" t="n">
        <v>100</v>
      </c>
      <c r="J324" s="4" t="n">
        <v>100</v>
      </c>
      <c r="K324" s="4" t="n">
        <v>100</v>
      </c>
      <c r="M324" s="2">
        <f>IF(C324="","",IFERROR(INDEX($S$5:$S$304,MATCH(C324,$R$5:$R$304,0))&amp;"","?"))</f>
        <v/>
      </c>
      <c r="N324" s="2">
        <f>IF(E324="","",IF(ISNUMBER(SEARCH("SUBSOLO",E324)),IFERROR(-VALUE(LEFT(E324,FIND("º",SUBSTITUTE(E324,"°","º"))-1)),-1),IF(LEFT(E324,6)="TÉRREO",0,IFERROR(VALUE(LEFT(E324,FIND("º",SUBSTITUTE(E324,"°","º"))-1)),""))))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35341458</v>
      </c>
      <c r="C325" s="4" t="inlineStr">
        <is>
          <t>ESTRUTURA EMBASAMENTO C - MEDIÇÃO</t>
        </is>
      </c>
      <c r="D325" s="4" t="inlineStr">
        <is>
          <t>-</t>
        </is>
      </c>
      <c r="E325" s="4" t="inlineStr">
        <is>
          <t>4° PAV. APTO GARDEN</t>
        </is>
      </c>
      <c r="F325" s="119" t="n">
        <v>46029</v>
      </c>
      <c r="G325" s="119" t="n">
        <v>46070</v>
      </c>
      <c r="H325" s="119" t="n">
        <v>46293</v>
      </c>
      <c r="I325" s="4" t="n">
        <v>100</v>
      </c>
      <c r="J325" s="4" t="n">
        <v>100</v>
      </c>
      <c r="K325" s="4" t="n">
        <v>100</v>
      </c>
      <c r="M325" s="2">
        <f>IF(C325="","",IFERROR(INDEX($S$5:$S$304,MATCH(C325,$R$5:$R$304,0))&amp;"","?"))</f>
        <v/>
      </c>
      <c r="N325" s="2">
        <f>IF(E325="","",IF(ISNUMBER(SEARCH("SUBSOLO",E325)),IFERROR(-VALUE(LEFT(E325,FIND("º",SUBSTITUTE(E325,"°","º"))-1)),-1),IF(LEFT(E325,6)="TÉRREO",0,IFERROR(VALUE(LEFT(E325,FIND("º",SUBSTITUTE(E325,"°","º"))-1)),""))))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35181397</v>
      </c>
      <c r="C326" s="4" t="inlineStr">
        <is>
          <t>ENTRADA DE ENERGIA</t>
        </is>
      </c>
      <c r="D326" s="4" t="inlineStr">
        <is>
          <t>-</t>
        </is>
      </c>
      <c r="E326" s="4" t="inlineStr">
        <is>
          <t>TÉRREO - GARAGENS</t>
        </is>
      </c>
      <c r="F326" s="119" t="n">
        <v>46051</v>
      </c>
      <c r="G326" s="119" t="n">
        <v>46178</v>
      </c>
      <c r="H326" s="119" t="n">
        <v>46293</v>
      </c>
      <c r="I326" s="4" t="n">
        <v>100</v>
      </c>
      <c r="J326" s="4" t="n">
        <v>100</v>
      </c>
      <c r="K326" s="4" t="n">
        <v>100</v>
      </c>
      <c r="M326" s="2">
        <f>IF(C326="","",IFERROR(INDEX($S$5:$S$304,MATCH(C326,$R$5:$R$304,0))&amp;"","?"))</f>
        <v/>
      </c>
      <c r="N326" s="2">
        <f>IF(E326="","",IF(ISNUMBER(SEARCH("SUBSOLO",E326)),IFERROR(-VALUE(LEFT(E326,FIND("º",SUBSTITUTE(E326,"°","º"))-1)),-1),IF(LEFT(E326,6)="TÉRREO",0,IFERROR(VALUE(LEFT(E326,FIND("º",SUBSTITUTE(E326,"°","º"))-1)),""))))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14616431</v>
      </c>
      <c r="C327" s="4" t="inlineStr">
        <is>
          <t>ENTRADA DE ENERGIA</t>
        </is>
      </c>
      <c r="D327" s="4" t="inlineStr">
        <is>
          <t>Alvenaria</t>
        </is>
      </c>
      <c r="E327" s="4" t="inlineStr">
        <is>
          <t>TÉRREO - GARAGENS</t>
        </is>
      </c>
      <c r="F327" s="119" t="n">
        <v>46051</v>
      </c>
      <c r="G327" s="119" t="n">
        <v>46057</v>
      </c>
      <c r="H327" s="119" t="n">
        <v>46293</v>
      </c>
      <c r="I327" s="4" t="n">
        <v>100</v>
      </c>
      <c r="J327" s="4" t="n">
        <v>100</v>
      </c>
      <c r="K327" s="4" t="n">
        <v>100</v>
      </c>
      <c r="M327" s="2">
        <f>IF(C327="","",IFERROR(INDEX($S$5:$S$304,MATCH(C327,$R$5:$R$304,0))&amp;"","?"))</f>
        <v/>
      </c>
      <c r="N327" s="2">
        <f>IF(E327="","",IF(ISNUMBER(SEARCH("SUBSOLO",E327)),IFERROR(-VALUE(LEFT(E327,FIND("º",SUBSTITUTE(E327,"°","º"))-1)),-1),IF(LEFT(E327,6)="TÉRREO",0,IFERROR(VALUE(LEFT(E327,FIND("º",SUBSTITUTE(E327,"°","º"))-1)),""))))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14616432</v>
      </c>
      <c r="C328" s="4" t="inlineStr">
        <is>
          <t>ENTRADA DE ENERGIA</t>
        </is>
      </c>
      <c r="D328" s="4" t="inlineStr">
        <is>
          <t>Rede Elétrica Entrerrada</t>
        </is>
      </c>
      <c r="E328" s="4" t="inlineStr">
        <is>
          <t>TÉRREO - GARAGENS</t>
        </is>
      </c>
      <c r="F328" s="119" t="n">
        <v>46058</v>
      </c>
      <c r="G328" s="119" t="n">
        <v>46069</v>
      </c>
      <c r="H328" s="119" t="n">
        <v>46293</v>
      </c>
      <c r="I328" s="4" t="n">
        <v>100</v>
      </c>
      <c r="J328" s="4" t="n">
        <v>100</v>
      </c>
      <c r="K328" s="4" t="n">
        <v>100</v>
      </c>
      <c r="M328" s="2">
        <f>IF(C328="","",IFERROR(INDEX($S$5:$S$304,MATCH(C328,$R$5:$R$304,0))&amp;"","?"))</f>
        <v/>
      </c>
      <c r="N328" s="2">
        <f>IF(E328="","",IF(ISNUMBER(SEARCH("SUBSOLO",E328)),IFERROR(-VALUE(LEFT(E328,FIND("º",SUBSTITUTE(E328,"°","º"))-1)),-1),IF(LEFT(E328,6)="TÉRREO",0,IFERROR(VALUE(LEFT(E328,FIND("º",SUBSTITUTE(E328,"°","º"))-1)),""))))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14616433</v>
      </c>
      <c r="C329" s="4" t="inlineStr">
        <is>
          <t>ENTRADA DE ENERGIA</t>
        </is>
      </c>
      <c r="D329" s="4" t="inlineStr">
        <is>
          <t>Estrutura Grupo Medição</t>
        </is>
      </c>
      <c r="E329" s="4" t="inlineStr">
        <is>
          <t>TÉRREO - GARAGENS</t>
        </is>
      </c>
      <c r="F329" s="119" t="n">
        <v>46070</v>
      </c>
      <c r="G329" s="119" t="n">
        <v>46079</v>
      </c>
      <c r="H329" s="119" t="n">
        <v>46293</v>
      </c>
      <c r="I329" s="4" t="n">
        <v>100</v>
      </c>
      <c r="J329" s="4" t="n">
        <v>100</v>
      </c>
      <c r="K329" s="4" t="n">
        <v>100</v>
      </c>
      <c r="M329" s="2">
        <f>IF(C329="","",IFERROR(INDEX($S$5:$S$304,MATCH(C329,$R$5:$R$304,0))&amp;"","?"))</f>
        <v/>
      </c>
      <c r="N329" s="2">
        <f>IF(E329="","",IF(ISNUMBER(SEARCH("SUBSOLO",E329)),IFERROR(-VALUE(LEFT(E329,FIND("º",SUBSTITUTE(E329,"°","º"))-1)),-1),IF(LEFT(E329,6)="TÉRREO",0,IFERROR(VALUE(LEFT(E329,FIND("º",SUBSTITUTE(E329,"°","º"))-1)),""))))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14616434</v>
      </c>
      <c r="C330" s="4" t="inlineStr">
        <is>
          <t>ENTRADA DE ENERGIA</t>
        </is>
      </c>
      <c r="D330" s="4" t="inlineStr">
        <is>
          <t>Enchimento da Estrutura Quadros</t>
        </is>
      </c>
      <c r="E330" s="4" t="inlineStr">
        <is>
          <t>TÉRREO - GARAGENS</t>
        </is>
      </c>
      <c r="F330" s="119" t="n">
        <v>46080</v>
      </c>
      <c r="G330" s="119" t="n">
        <v>46086</v>
      </c>
      <c r="H330" s="119" t="n">
        <v>46293</v>
      </c>
      <c r="I330" s="4" t="n">
        <v>100</v>
      </c>
      <c r="J330" s="4" t="n">
        <v>100</v>
      </c>
      <c r="K330" s="4" t="n">
        <v>100</v>
      </c>
      <c r="M330" s="2">
        <f>IF(C330="","",IFERROR(INDEX($S$5:$S$304,MATCH(C330,$R$5:$R$304,0))&amp;"","?"))</f>
        <v/>
      </c>
      <c r="N330" s="2">
        <f>IF(E330="","",IF(ISNUMBER(SEARCH("SUBSOLO",E330)),IFERROR(-VALUE(LEFT(E330,FIND("º",SUBSTITUTE(E330,"°","º"))-1)),-1),IF(LEFT(E330,6)="TÉRREO",0,IFERROR(VALUE(LEFT(E330,FIND("º",SUBSTITUTE(E330,"°","º"))-1)),""))))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14616435</v>
      </c>
      <c r="C331" s="4" t="inlineStr">
        <is>
          <t>ENTRADA DE ENERGIA</t>
        </is>
      </c>
      <c r="D331" s="4" t="inlineStr">
        <is>
          <t>Infra de Teto</t>
        </is>
      </c>
      <c r="E331" s="4" t="inlineStr">
        <is>
          <t>TÉRREO - GARAGENS</t>
        </is>
      </c>
      <c r="F331" s="119" t="n">
        <v>46087</v>
      </c>
      <c r="G331" s="119" t="n">
        <v>46093</v>
      </c>
      <c r="H331" s="119" t="n">
        <v>46293</v>
      </c>
      <c r="I331" s="4" t="n">
        <v>100</v>
      </c>
      <c r="J331" s="4" t="n">
        <v>100</v>
      </c>
      <c r="K331" s="4" t="n">
        <v>100</v>
      </c>
      <c r="M331" s="2">
        <f>IF(C331="","",IFERROR(INDEX($S$5:$S$304,MATCH(C331,$R$5:$R$304,0))&amp;"","?"))</f>
        <v/>
      </c>
      <c r="N331" s="2">
        <f>IF(E331="","",IF(ISNUMBER(SEARCH("SUBSOLO",E331)),IFERROR(-VALUE(LEFT(E331,FIND("º",SUBSTITUTE(E331,"°","º"))-1)),-1),IF(LEFT(E331,6)="TÉRREO",0,IFERROR(VALUE(LEFT(E331,FIND("º",SUBSTITUTE(E331,"°","º"))-1)),""))))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14616436</v>
      </c>
      <c r="C332" s="4" t="inlineStr">
        <is>
          <t>ENTRADA DE ENERGIA</t>
        </is>
      </c>
      <c r="D332" s="4" t="inlineStr">
        <is>
          <t>Lançamento de Cabo + Fechamento</t>
        </is>
      </c>
      <c r="E332" s="4" t="inlineStr">
        <is>
          <t>TÉRREO - GARAGENS</t>
        </is>
      </c>
      <c r="F332" s="119" t="n">
        <v>46094</v>
      </c>
      <c r="G332" s="119" t="n">
        <v>46178</v>
      </c>
      <c r="H332" s="119" t="n">
        <v>46293</v>
      </c>
      <c r="I332" s="4" t="n">
        <v>100</v>
      </c>
      <c r="J332" s="4" t="n">
        <v>100</v>
      </c>
      <c r="K332" s="4" t="n">
        <v>100</v>
      </c>
      <c r="M332" s="2">
        <f>IF(C332="","",IFERROR(INDEX($S$5:$S$304,MATCH(C332,$R$5:$R$304,0))&amp;"","?"))</f>
        <v/>
      </c>
      <c r="N332" s="2">
        <f>IF(E332="","",IF(ISNUMBER(SEARCH("SUBSOLO",E332)),IFERROR(-VALUE(LEFT(E332,FIND("º",SUBSTITUTE(E332,"°","º"))-1)),-1),IF(LEFT(E332,6)="TÉRREO",0,IFERROR(VALUE(LEFT(E332,FIND("º",SUBSTITUTE(E332,"°","º"))-1)),""))))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25800843</v>
      </c>
      <c r="C333" s="4" t="inlineStr">
        <is>
          <t>PAISAGISMO</t>
        </is>
      </c>
      <c r="D333" s="4" t="inlineStr">
        <is>
          <t>-</t>
        </is>
      </c>
      <c r="E333" s="4" t="inlineStr">
        <is>
          <t>3º PAV. - JARDINS SOBRE LAJE / BOSQUE</t>
        </is>
      </c>
      <c r="F333" s="119" t="n">
        <v>46055</v>
      </c>
      <c r="G333" s="119" t="n">
        <v>46325</v>
      </c>
      <c r="H333" s="119" t="n">
        <v>46293</v>
      </c>
      <c r="I333" s="4" t="n">
        <v>87.831</v>
      </c>
      <c r="J333" s="4" t="n">
        <v>87.831</v>
      </c>
      <c r="K333" s="4" t="n">
        <v>50</v>
      </c>
      <c r="M333" s="2">
        <f>IF(C333="","",IFERROR(INDEX($S$5:$S$304,MATCH(C333,$R$5:$R$304,0))&amp;"","?"))</f>
        <v/>
      </c>
      <c r="N333" s="2">
        <f>IF(E333="","",IF(ISNUMBER(SEARCH("SUBSOLO",E333)),IFERROR(-VALUE(LEFT(E333,FIND("º",SUBSTITUTE(E333,"°","º"))-1)),-1),IF(LEFT(E333,6)="TÉRREO",0,IFERROR(VALUE(LEFT(E333,FIND("º",SUBSTITUTE(E333,"°","º"))-1)),""))))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36798247</v>
      </c>
      <c r="C334" s="4" t="inlineStr">
        <is>
          <t>VIGA SOLTEIRA</t>
        </is>
      </c>
      <c r="D334" s="4" t="inlineStr">
        <is>
          <t>-</t>
        </is>
      </c>
      <c r="E334" s="4" t="inlineStr">
        <is>
          <t>4° PAV. APTO GARDEN</t>
        </is>
      </c>
      <c r="F334" s="119" t="n">
        <v>46056</v>
      </c>
      <c r="G334" s="119" t="n">
        <v>46076</v>
      </c>
      <c r="H334" s="119" t="n">
        <v>46293</v>
      </c>
      <c r="I334" s="4" t="n">
        <v>100</v>
      </c>
      <c r="J334" s="4" t="n">
        <v>100</v>
      </c>
      <c r="K334" s="4" t="n">
        <v>100</v>
      </c>
      <c r="M334" s="2">
        <f>IF(C334="","",IFERROR(INDEX($S$5:$S$304,MATCH(C334,$R$5:$R$304,0))&amp;"","?"))</f>
        <v/>
      </c>
      <c r="N334" s="2">
        <f>IF(E334="","",IF(ISNUMBER(SEARCH("SUBSOLO",E334)),IFERROR(-VALUE(LEFT(E334,FIND("º",SUBSTITUTE(E334,"°","º"))-1)),-1),IF(LEFT(E334,6)="TÉRREO",0,IFERROR(VALUE(LEFT(E334,FIND("º",SUBSTITUTE(E334,"°","º"))-1)),""))))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14994186</v>
      </c>
      <c r="C335" s="4" t="inlineStr">
        <is>
          <t>VIGA SOLTEIRA</t>
        </is>
      </c>
      <c r="D335" s="4" t="inlineStr">
        <is>
          <t>Lançamento dos pilares P109, P108 e P107</t>
        </is>
      </c>
      <c r="E335" s="4" t="inlineStr">
        <is>
          <t>4° PAV. APTO GARDEN</t>
        </is>
      </c>
      <c r="F335" s="119" t="n">
        <v>46056</v>
      </c>
      <c r="G335" s="119" t="n">
        <v>46062</v>
      </c>
      <c r="H335" s="119" t="n">
        <v>46293</v>
      </c>
      <c r="I335" s="4" t="n">
        <v>100</v>
      </c>
      <c r="J335" s="4" t="n">
        <v>100</v>
      </c>
      <c r="K335" s="4" t="n">
        <v>100</v>
      </c>
      <c r="M335" s="2">
        <f>IF(C335="","",IFERROR(INDEX($S$5:$S$304,MATCH(C335,$R$5:$R$304,0))&amp;"","?"))</f>
        <v/>
      </c>
      <c r="N335" s="2">
        <f>IF(E335="","",IF(ISNUMBER(SEARCH("SUBSOLO",E335)),IFERROR(-VALUE(LEFT(E335,FIND("º",SUBSTITUTE(E335,"°","º"))-1)),-1),IF(LEFT(E335,6)="TÉRREO",0,IFERROR(VALUE(LEFT(E335,FIND("º",SUBSTITUTE(E335,"°","º"))-1)),""))))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14994209</v>
      </c>
      <c r="C336" s="4" t="inlineStr">
        <is>
          <t>VIGA SOLTEIRA</t>
        </is>
      </c>
      <c r="D336" s="4" t="inlineStr">
        <is>
          <t>Montagem de escoramento, fechamento de pilares e forma da V31</t>
        </is>
      </c>
      <c r="E336" s="4" t="inlineStr">
        <is>
          <t>4° PAV. APTO GARDEN</t>
        </is>
      </c>
      <c r="F336" s="119" t="n">
        <v>46063</v>
      </c>
      <c r="G336" s="119" t="n">
        <v>46073</v>
      </c>
      <c r="H336" s="119" t="n">
        <v>46293</v>
      </c>
      <c r="I336" s="4" t="n">
        <v>100</v>
      </c>
      <c r="J336" s="4" t="n">
        <v>100</v>
      </c>
      <c r="K336" s="4" t="n">
        <v>100</v>
      </c>
      <c r="M336" s="2">
        <f>IF(C336="","",IFERROR(INDEX($S$5:$S$304,MATCH(C336,$R$5:$R$304,0))&amp;"","?"))</f>
        <v/>
      </c>
      <c r="N336" s="2">
        <f>IF(E336="","",IF(ISNUMBER(SEARCH("SUBSOLO",E336)),IFERROR(-VALUE(LEFT(E336,FIND("º",SUBSTITUTE(E336,"°","º"))-1)),-1),IF(LEFT(E336,6)="TÉRREO",0,IFERROR(VALUE(LEFT(E336,FIND("º",SUBSTITUTE(E336,"°","º"))-1)),""))))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14994224</v>
      </c>
      <c r="C337" s="4" t="inlineStr">
        <is>
          <t>VIGA SOLTEIRA</t>
        </is>
      </c>
      <c r="D337" s="4" t="inlineStr">
        <is>
          <t>Lançamento da viga V31</t>
        </is>
      </c>
      <c r="E337" s="4" t="inlineStr">
        <is>
          <t>4° PAV. APTO GARDEN</t>
        </is>
      </c>
      <c r="F337" s="119" t="n">
        <v>46071</v>
      </c>
      <c r="G337" s="119" t="n">
        <v>46072</v>
      </c>
      <c r="H337" s="119" t="n">
        <v>46293</v>
      </c>
      <c r="I337" s="4" t="n">
        <v>100</v>
      </c>
      <c r="J337" s="4" t="n">
        <v>100</v>
      </c>
      <c r="K337" s="4" t="n">
        <v>100</v>
      </c>
      <c r="M337" s="2">
        <f>IF(C337="","",IFERROR(INDEX($S$5:$S$304,MATCH(C337,$R$5:$R$304,0))&amp;"","?"))</f>
        <v/>
      </c>
      <c r="N337" s="2">
        <f>IF(E337="","",IF(ISNUMBER(SEARCH("SUBSOLO",E337)),IFERROR(-VALUE(LEFT(E337,FIND("º",SUBSTITUTE(E337,"°","º"))-1)),-1),IF(LEFT(E337,6)="TÉRREO",0,IFERROR(VALUE(LEFT(E337,FIND("º",SUBSTITUTE(E337,"°","º"))-1)),""))))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14994248</v>
      </c>
      <c r="C338" s="4" t="inlineStr">
        <is>
          <t>VIGA SOLTEIRA</t>
        </is>
      </c>
      <c r="D338" s="4" t="inlineStr">
        <is>
          <t>Concretagem - V31 e pilares P109, P108, P107</t>
        </is>
      </c>
      <c r="E338" s="4" t="inlineStr">
        <is>
          <t>4° PAV. APTO GARDEN</t>
        </is>
      </c>
      <c r="F338" s="119" t="n">
        <v>46076</v>
      </c>
      <c r="G338" s="119" t="n">
        <v>46076</v>
      </c>
      <c r="H338" s="119" t="n">
        <v>46293</v>
      </c>
      <c r="I338" s="4" t="n">
        <v>100</v>
      </c>
      <c r="J338" s="4" t="n">
        <v>100</v>
      </c>
      <c r="K338" s="4" t="n">
        <v>100</v>
      </c>
      <c r="M338" s="2">
        <f>IF(C338="","",IFERROR(INDEX($S$5:$S$304,MATCH(C338,$R$5:$R$304,0))&amp;"","?"))</f>
        <v/>
      </c>
      <c r="N338" s="2">
        <f>IF(E338="","",IF(ISNUMBER(SEARCH("SUBSOLO",E338)),IFERROR(-VALUE(LEFT(E338,FIND("º",SUBSTITUTE(E338,"°","º"))-1)),-1),IF(LEFT(E338,6)="TÉRREO",0,IFERROR(VALUE(LEFT(E338,FIND("º",SUBSTITUTE(E338,"°","º"))-1)),""))))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22139718</v>
      </c>
      <c r="C339" s="4" t="inlineStr">
        <is>
          <t>ESTRUTURA TORRE</t>
        </is>
      </c>
      <c r="D339" s="4" t="inlineStr">
        <is>
          <t>-</t>
        </is>
      </c>
      <c r="E339" s="4" t="inlineStr">
        <is>
          <t>6º PAV. TIPO</t>
        </is>
      </c>
      <c r="F339" s="119" t="n">
        <v>46056</v>
      </c>
      <c r="G339" s="119" t="n">
        <v>46087</v>
      </c>
      <c r="H339" s="119" t="n">
        <v>46293</v>
      </c>
      <c r="I339" s="4" t="n">
        <v>100</v>
      </c>
      <c r="J339" s="4" t="n">
        <v>100</v>
      </c>
      <c r="K339" s="4" t="n">
        <v>100</v>
      </c>
      <c r="M339" s="2">
        <f>IF(C339="","",IFERROR(INDEX($S$5:$S$304,MATCH(C339,$R$5:$R$304,0))&amp;"","?"))</f>
        <v/>
      </c>
      <c r="N339" s="2">
        <f>IF(E339="","",IF(ISNUMBER(SEARCH("SUBSOLO",E339)),IFERROR(-VALUE(LEFT(E339,FIND("º",SUBSTITUTE(E339,"°","º"))-1)),-1),IF(LEFT(E339,6)="TÉRREO",0,IFERROR(VALUE(LEFT(E339,FIND("º",SUBSTITUTE(E339,"°","º"))-1)),""))))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9877132</v>
      </c>
      <c r="C340" s="4" t="inlineStr">
        <is>
          <t>ESTRUTURA TORRE</t>
        </is>
      </c>
      <c r="D340" s="4" t="inlineStr">
        <is>
          <t>Forma Pilar</t>
        </is>
      </c>
      <c r="E340" s="4" t="inlineStr">
        <is>
          <t>6º PAV. TIPO</t>
        </is>
      </c>
      <c r="F340" s="119" t="n">
        <v>46056</v>
      </c>
      <c r="G340" s="119" t="n">
        <v>46059</v>
      </c>
      <c r="H340" s="119" t="n">
        <v>46293</v>
      </c>
      <c r="I340" s="4" t="n">
        <v>100</v>
      </c>
      <c r="J340" s="4" t="n">
        <v>100</v>
      </c>
      <c r="K340" s="4" t="n">
        <v>100</v>
      </c>
      <c r="M340" s="2">
        <f>IF(C340="","",IFERROR(INDEX($S$5:$S$304,MATCH(C340,$R$5:$R$304,0))&amp;"","?"))</f>
        <v/>
      </c>
      <c r="N340" s="2">
        <f>IF(E340="","",IF(ISNUMBER(SEARCH("SUBSOLO",E340)),IFERROR(-VALUE(LEFT(E340,FIND("º",SUBSTITUTE(E340,"°","º"))-1)),-1),IF(LEFT(E340,6)="TÉRREO",0,IFERROR(VALUE(LEFT(E340,FIND("º",SUBSTITUTE(E340,"°","º"))-1)),""))))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9877133</v>
      </c>
      <c r="C341" s="4" t="inlineStr">
        <is>
          <t>ESTRUTURA TORRE</t>
        </is>
      </c>
      <c r="D341" s="4" t="inlineStr">
        <is>
          <t>Armação Pilar</t>
        </is>
      </c>
      <c r="E341" s="4" t="inlineStr">
        <is>
          <t>6º PAV. TIPO</t>
        </is>
      </c>
      <c r="F341" s="119" t="n">
        <v>46059</v>
      </c>
      <c r="G341" s="119" t="n">
        <v>46064</v>
      </c>
      <c r="H341" s="119" t="n">
        <v>46293</v>
      </c>
      <c r="I341" s="4" t="n">
        <v>100</v>
      </c>
      <c r="J341" s="4" t="n">
        <v>100</v>
      </c>
      <c r="K341" s="4" t="n">
        <v>100</v>
      </c>
      <c r="M341" s="2">
        <f>IF(C341="","",IFERROR(INDEX($S$5:$S$304,MATCH(C341,$R$5:$R$304,0))&amp;"","?"))</f>
        <v/>
      </c>
      <c r="N341" s="2">
        <f>IF(E341="","",IF(ISNUMBER(SEARCH("SUBSOLO",E341)),IFERROR(-VALUE(LEFT(E341,FIND("º",SUBSTITUTE(E341,"°","º"))-1)),-1),IF(LEFT(E341,6)="TÉRREO",0,IFERROR(VALUE(LEFT(E341,FIND("º",SUBSTITUTE(E341,"°","º"))-1)),""))))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9877134</v>
      </c>
      <c r="C342" s="4" t="inlineStr">
        <is>
          <t>ESTRUTURA TORRE</t>
        </is>
      </c>
      <c r="D342" s="4" t="inlineStr">
        <is>
          <t>Escoramento</t>
        </is>
      </c>
      <c r="E342" s="4" t="inlineStr">
        <is>
          <t>6º PAV. TIPO</t>
        </is>
      </c>
      <c r="F342" s="119" t="n">
        <v>46062</v>
      </c>
      <c r="G342" s="119" t="n">
        <v>46063</v>
      </c>
      <c r="H342" s="119" t="n">
        <v>46293</v>
      </c>
      <c r="I342" s="4" t="n">
        <v>100</v>
      </c>
      <c r="J342" s="4" t="n">
        <v>100</v>
      </c>
      <c r="K342" s="4" t="n">
        <v>100</v>
      </c>
      <c r="M342" s="2">
        <f>IF(C342="","",IFERROR(INDEX($S$5:$S$304,MATCH(C342,$R$5:$R$304,0))&amp;"","?"))</f>
        <v/>
      </c>
      <c r="N342" s="2">
        <f>IF(E342="","",IF(ISNUMBER(SEARCH("SUBSOLO",E342)),IFERROR(-VALUE(LEFT(E342,FIND("º",SUBSTITUTE(E342,"°","º"))-1)),-1),IF(LEFT(E342,6)="TÉRREO",0,IFERROR(VALUE(LEFT(E342,FIND("º",SUBSTITUTE(E342,"°","º"))-1)),""))))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9877847</v>
      </c>
      <c r="C343" s="4" t="inlineStr">
        <is>
          <t>ESTRUTURA TORRE</t>
        </is>
      </c>
      <c r="D343" s="4" t="inlineStr">
        <is>
          <t>Concretagem Pilar</t>
        </is>
      </c>
      <c r="E343" s="4" t="inlineStr">
        <is>
          <t>6º PAV. TIPO</t>
        </is>
      </c>
      <c r="F343" s="119" t="n">
        <v>46064</v>
      </c>
      <c r="G343" s="119" t="n">
        <v>46064</v>
      </c>
      <c r="H343" s="119" t="n">
        <v>46293</v>
      </c>
      <c r="I343" s="4" t="n">
        <v>100</v>
      </c>
      <c r="J343" s="4" t="n">
        <v>100</v>
      </c>
      <c r="K343" s="4" t="n">
        <v>100</v>
      </c>
      <c r="M343" s="2">
        <f>IF(C343="","",IFERROR(INDEX($S$5:$S$304,MATCH(C343,$R$5:$R$304,0))&amp;"","?"))</f>
        <v/>
      </c>
      <c r="N343" s="2">
        <f>IF(E343="","",IF(ISNUMBER(SEARCH("SUBSOLO",E343)),IFERROR(-VALUE(LEFT(E343,FIND("º",SUBSTITUTE(E343,"°","º"))-1)),-1),IF(LEFT(E343,6)="TÉRREO",0,IFERROR(VALUE(LEFT(E343,FIND("º",SUBSTITUTE(E343,"°","º"))-1)),""))))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9877848</v>
      </c>
      <c r="C344" s="4" t="inlineStr">
        <is>
          <t>ESTRUTURA TORRE</t>
        </is>
      </c>
      <c r="D344" s="4" t="inlineStr">
        <is>
          <t>Forma Vigas e Lajes</t>
        </is>
      </c>
      <c r="E344" s="4" t="inlineStr">
        <is>
          <t>6º PAV. TIPO</t>
        </is>
      </c>
      <c r="F344" s="119" t="n">
        <v>46065</v>
      </c>
      <c r="G344" s="119" t="n">
        <v>46071</v>
      </c>
      <c r="H344" s="119" t="n">
        <v>46293</v>
      </c>
      <c r="I344" s="4" t="n">
        <v>100</v>
      </c>
      <c r="J344" s="4" t="n">
        <v>100</v>
      </c>
      <c r="K344" s="4" t="n">
        <v>100</v>
      </c>
      <c r="M344" s="2">
        <f>IF(C344="","",IFERROR(INDEX($S$5:$S$304,MATCH(C344,$R$5:$R$304,0))&amp;"","?"))</f>
        <v/>
      </c>
      <c r="N344" s="2">
        <f>IF(E344="","",IF(ISNUMBER(SEARCH("SUBSOLO",E344)),IFERROR(-VALUE(LEFT(E344,FIND("º",SUBSTITUTE(E344,"°","º"))-1)),-1),IF(LEFT(E344,6)="TÉRREO",0,IFERROR(VALUE(LEFT(E344,FIND("º",SUBSTITUTE(E344,"°","º"))-1)),""))))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9877849</v>
      </c>
      <c r="C345" s="4" t="inlineStr">
        <is>
          <t>ESTRUTURA TORRE</t>
        </is>
      </c>
      <c r="D345" s="4" t="inlineStr">
        <is>
          <t>Armação Vigas e Lajes</t>
        </is>
      </c>
      <c r="E345" s="4" t="inlineStr">
        <is>
          <t>6º PAV. TIPO</t>
        </is>
      </c>
      <c r="F345" s="119" t="n">
        <v>46066</v>
      </c>
      <c r="G345" s="119" t="n">
        <v>46072</v>
      </c>
      <c r="H345" s="119" t="n">
        <v>46293</v>
      </c>
      <c r="I345" s="4" t="n">
        <v>100</v>
      </c>
      <c r="J345" s="4" t="n">
        <v>100</v>
      </c>
      <c r="K345" s="4" t="n">
        <v>100</v>
      </c>
      <c r="M345" s="2">
        <f>IF(C345="","",IFERROR(INDEX($S$5:$S$304,MATCH(C345,$R$5:$R$304,0))&amp;"","?"))</f>
        <v/>
      </c>
      <c r="N345" s="2">
        <f>IF(E345="","",IF(ISNUMBER(SEARCH("SUBSOLO",E345)),IFERROR(-VALUE(LEFT(E345,FIND("º",SUBSTITUTE(E345,"°","º"))-1)),-1),IF(LEFT(E345,6)="TÉRREO",0,IFERROR(VALUE(LEFT(E345,FIND("º",SUBSTITUTE(E345,"°","º"))-1)),""))))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9877850</v>
      </c>
      <c r="C346" s="4" t="inlineStr">
        <is>
          <t>ESTRUTURA TORRE</t>
        </is>
      </c>
      <c r="D346" s="4" t="inlineStr">
        <is>
          <t>Passagem Hidráulica</t>
        </is>
      </c>
      <c r="E346" s="4" t="inlineStr">
        <is>
          <t>6º PAV. TIPO</t>
        </is>
      </c>
      <c r="F346" s="119" t="n">
        <v>46071</v>
      </c>
      <c r="G346" s="119" t="n">
        <v>46072</v>
      </c>
      <c r="H346" s="119" t="n">
        <v>46293</v>
      </c>
      <c r="I346" s="4" t="n">
        <v>100</v>
      </c>
      <c r="J346" s="4" t="n">
        <v>100</v>
      </c>
      <c r="K346" s="4" t="n">
        <v>100</v>
      </c>
      <c r="M346" s="2">
        <f>IF(C346="","",IFERROR(INDEX($S$5:$S$304,MATCH(C346,$R$5:$R$304,0))&amp;"","?"))</f>
        <v/>
      </c>
      <c r="N346" s="2">
        <f>IF(E346="","",IF(ISNUMBER(SEARCH("SUBSOLO",E346)),IFERROR(-VALUE(LEFT(E346,FIND("º",SUBSTITUTE(E346,"°","º"))-1)),-1),IF(LEFT(E346,6)="TÉRREO",0,IFERROR(VALUE(LEFT(E346,FIND("º",SUBSTITUTE(E346,"°","º"))-1)),""))))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9877851</v>
      </c>
      <c r="C347" s="4" t="inlineStr">
        <is>
          <t>ESTRUTURA TORRE</t>
        </is>
      </c>
      <c r="D347" s="4" t="inlineStr">
        <is>
          <t>Passagem Elétrica</t>
        </is>
      </c>
      <c r="E347" s="4" t="inlineStr">
        <is>
          <t>6º PAV. TIPO</t>
        </is>
      </c>
      <c r="F347" s="119" t="n">
        <v>46072</v>
      </c>
      <c r="G347" s="119" t="n">
        <v>46073</v>
      </c>
      <c r="H347" s="119" t="n">
        <v>46293</v>
      </c>
      <c r="I347" s="4" t="n">
        <v>100</v>
      </c>
      <c r="J347" s="4" t="n">
        <v>100</v>
      </c>
      <c r="K347" s="4" t="n">
        <v>100</v>
      </c>
      <c r="M347" s="2">
        <f>IF(C347="","",IFERROR(INDEX($S$5:$S$304,MATCH(C347,$R$5:$R$304,0))&amp;"","?"))</f>
        <v/>
      </c>
      <c r="N347" s="2">
        <f>IF(E347="","",IF(ISNUMBER(SEARCH("SUBSOLO",E347)),IFERROR(-VALUE(LEFT(E347,FIND("º",SUBSTITUTE(E347,"°","º"))-1)),-1),IF(LEFT(E347,6)="TÉRREO",0,IFERROR(VALUE(LEFT(E347,FIND("º",SUBSTITUTE(E347,"°","º"))-1)),""))))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9877852</v>
      </c>
      <c r="C348" s="4" t="inlineStr">
        <is>
          <t>ESTRUTURA TORRE</t>
        </is>
      </c>
      <c r="D348" s="4" t="inlineStr">
        <is>
          <t>Concretagem</t>
        </is>
      </c>
      <c r="E348" s="4" t="inlineStr">
        <is>
          <t>6º PAV. TIPO</t>
        </is>
      </c>
      <c r="F348" s="119" t="n">
        <v>46076</v>
      </c>
      <c r="G348" s="119" t="n">
        <v>46087</v>
      </c>
      <c r="H348" s="119" t="n">
        <v>46293</v>
      </c>
      <c r="I348" s="4" t="n">
        <v>100</v>
      </c>
      <c r="J348" s="4" t="n">
        <v>100</v>
      </c>
      <c r="K348" s="4" t="n">
        <v>100</v>
      </c>
      <c r="M348" s="2">
        <f>IF(C348="","",IFERROR(INDEX($S$5:$S$304,MATCH(C348,$R$5:$R$304,0))&amp;"","?"))</f>
        <v/>
      </c>
      <c r="N348" s="2">
        <f>IF(E348="","",IF(ISNUMBER(SEARCH("SUBSOLO",E348)),IFERROR(-VALUE(LEFT(E348,FIND("º",SUBSTITUTE(E348,"°","º"))-1)),-1),IF(LEFT(E348,6)="TÉRREO",0,IFERROR(VALUE(LEFT(E348,FIND("º",SUBSTITUTE(E348,"°","º"))-1)),""))))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35181544</v>
      </c>
      <c r="C349" s="4" t="inlineStr">
        <is>
          <t>ALVENARIA - POSTERIOR E LATERAL ESQUERDA - SETOR C</t>
        </is>
      </c>
      <c r="D349" s="4" t="inlineStr">
        <is>
          <t>-</t>
        </is>
      </c>
      <c r="E349" s="4" t="inlineStr">
        <is>
          <t>TÉRREO - GARAGENS</t>
        </is>
      </c>
      <c r="F349" s="119" t="n">
        <v>46062</v>
      </c>
      <c r="G349" s="119" t="n">
        <v>46078</v>
      </c>
      <c r="H349" s="119" t="n">
        <v>46293</v>
      </c>
      <c r="I349" s="4" t="n">
        <v>100</v>
      </c>
      <c r="J349" s="4" t="n">
        <v>100</v>
      </c>
      <c r="K349" s="4" t="n">
        <v>100</v>
      </c>
      <c r="M349" s="2">
        <f>IF(C349="","",IFERROR(INDEX($S$5:$S$304,MATCH(C349,$R$5:$R$304,0))&amp;"","?"))</f>
        <v/>
      </c>
      <c r="N349" s="2">
        <f>IF(E349="","",IF(ISNUMBER(SEARCH("SUBSOLO",E349)),IFERROR(-VALUE(LEFT(E349,FIND("º",SUBSTITUTE(E349,"°","º"))-1)),-1),IF(LEFT(E349,6)="TÉRREO",0,IFERROR(VALUE(LEFT(E349,FIND("º",SUBSTITUTE(E349,"°","º"))-1)),""))))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43965049</v>
      </c>
      <c r="C350" s="4" t="inlineStr">
        <is>
          <t>RAMAL DE ENTRADA - CEMIG</t>
        </is>
      </c>
      <c r="D350" s="4" t="inlineStr">
        <is>
          <t>-</t>
        </is>
      </c>
      <c r="E350" s="4" t="inlineStr">
        <is>
          <t>GERAL</t>
        </is>
      </c>
      <c r="F350" s="119" t="n">
        <v>46069</v>
      </c>
      <c r="G350" s="119" t="n">
        <v>46178</v>
      </c>
      <c r="H350" s="119" t="n">
        <v>46293</v>
      </c>
      <c r="I350" s="4" t="n">
        <v>100</v>
      </c>
      <c r="J350" s="4" t="n">
        <v>100</v>
      </c>
      <c r="K350" s="4" t="n">
        <v>100</v>
      </c>
      <c r="M350" s="2">
        <f>IF(C350="","",IFERROR(INDEX($S$5:$S$304,MATCH(C350,$R$5:$R$304,0))&amp;"","?"))</f>
        <v/>
      </c>
      <c r="N350" s="2">
        <f>IF(E350="","",IF(ISNUMBER(SEARCH("SUBSOLO",E350)),IFERROR(-VALUE(LEFT(E350,FIND("º",SUBSTITUTE(E350,"°","º"))-1)),-1),IF(LEFT(E350,6)="TÉRREO",0,IFERROR(VALUE(LEFT(E350,FIND("º",SUBSTITUTE(E350,"°","º"))-1)),""))))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39738844</v>
      </c>
      <c r="C351" s="4" t="inlineStr">
        <is>
          <t>ALVENARIA FECHAMENTO POSTERIOR C</t>
        </is>
      </c>
      <c r="D351" s="4" t="inlineStr">
        <is>
          <t>-</t>
        </is>
      </c>
      <c r="E351" s="4" t="inlineStr">
        <is>
          <t>2º PAV. GARAGEM.</t>
        </is>
      </c>
      <c r="F351" s="119" t="n">
        <v>46078</v>
      </c>
      <c r="G351" s="119" t="n">
        <v>46085</v>
      </c>
      <c r="H351" s="119" t="n">
        <v>46293</v>
      </c>
      <c r="I351" s="4" t="n">
        <v>100</v>
      </c>
      <c r="J351" s="4" t="n">
        <v>100</v>
      </c>
      <c r="K351" s="4" t="n">
        <v>100</v>
      </c>
      <c r="M351" s="2">
        <f>IF(C351="","",IFERROR(INDEX($S$5:$S$304,MATCH(C351,$R$5:$R$304,0))&amp;"","?"))</f>
        <v/>
      </c>
      <c r="N351" s="2">
        <f>IF(E351="","",IF(ISNUMBER(SEARCH("SUBSOLO",E351)),IFERROR(-VALUE(LEFT(E351,FIND("º",SUBSTITUTE(E351,"°","º"))-1)),-1),IF(LEFT(E351,6)="TÉRREO",0,IFERROR(VALUE(LEFT(E351,FIND("º",SUBSTITUTE(E351,"°","º"))-1)),""))))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33366096</v>
      </c>
      <c r="C352" s="4" t="inlineStr">
        <is>
          <t>RESERVATÓRIO DE ÁGUA DE REUSO</t>
        </is>
      </c>
      <c r="D352" s="4" t="inlineStr">
        <is>
          <t>-</t>
        </is>
      </c>
      <c r="E352" s="4" t="inlineStr">
        <is>
          <t>TÉRREO - GARAGENS</t>
        </is>
      </c>
      <c r="F352" s="119" t="n">
        <v>46083</v>
      </c>
      <c r="G352" s="119" t="n">
        <v>46112</v>
      </c>
      <c r="H352" s="119" t="n">
        <v>46293</v>
      </c>
      <c r="I352" s="4" t="n">
        <v>100</v>
      </c>
      <c r="J352" s="4" t="n">
        <v>100</v>
      </c>
      <c r="K352" s="4" t="n">
        <v>100</v>
      </c>
      <c r="M352" s="2">
        <f>IF(C352="","",IFERROR(INDEX($S$5:$S$304,MATCH(C352,$R$5:$R$304,0))&amp;"","?"))</f>
        <v/>
      </c>
      <c r="N352" s="2">
        <f>IF(E352="","",IF(ISNUMBER(SEARCH("SUBSOLO",E352)),IFERROR(-VALUE(LEFT(E352,FIND("º",SUBSTITUTE(E352,"°","º"))-1)),-1),IF(LEFT(E352,6)="TÉRREO",0,IFERROR(VALUE(LEFT(E352,FIND("º",SUBSTITUTE(E352,"°","º"))-1)),""))))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39744097</v>
      </c>
      <c r="C353" s="4" t="inlineStr">
        <is>
          <t>REBOCO - SETOR B</t>
        </is>
      </c>
      <c r="D353" s="4" t="inlineStr">
        <is>
          <t>-</t>
        </is>
      </c>
      <c r="E353" s="4" t="inlineStr">
        <is>
          <t>2º PAV. GARAGEM.</t>
        </is>
      </c>
      <c r="F353" s="119" t="n">
        <v>46083</v>
      </c>
      <c r="G353" s="119" t="n">
        <v>46112</v>
      </c>
      <c r="H353" s="119" t="n">
        <v>46293</v>
      </c>
      <c r="I353" s="4" t="n">
        <v>100</v>
      </c>
      <c r="J353" s="4" t="n">
        <v>100</v>
      </c>
      <c r="K353" s="4" t="n">
        <v>100</v>
      </c>
      <c r="M353" s="2">
        <f>IF(C353="","",IFERROR(INDEX($S$5:$S$304,MATCH(C353,$R$5:$R$304,0))&amp;"","?"))</f>
        <v/>
      </c>
      <c r="N353" s="2">
        <f>IF(E353="","",IF(ISNUMBER(SEARCH("SUBSOLO",E353)),IFERROR(-VALUE(LEFT(E353,FIND("º",SUBSTITUTE(E353,"°","º"))-1)),-1),IF(LEFT(E353,6)="TÉRREO",0,IFERROR(VALUE(LEFT(E353,FIND("º",SUBSTITUTE(E353,"°","º"))-1)),""))))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35986018</v>
      </c>
      <c r="C354" s="4" t="inlineStr">
        <is>
          <t>ESTUQUE - SETOR C</t>
        </is>
      </c>
      <c r="D354" s="4" t="inlineStr">
        <is>
          <t>-</t>
        </is>
      </c>
      <c r="E354" s="4" t="inlineStr">
        <is>
          <t>2º PAV. GARAGEM.</t>
        </is>
      </c>
      <c r="F354" s="119" t="n">
        <v>46083</v>
      </c>
      <c r="G354" s="119" t="n">
        <v>46140</v>
      </c>
      <c r="H354" s="119" t="n">
        <v>46293</v>
      </c>
      <c r="I354" s="4" t="n">
        <v>100</v>
      </c>
      <c r="J354" s="4" t="n">
        <v>100</v>
      </c>
      <c r="K354" s="4" t="n">
        <v>100</v>
      </c>
      <c r="M354" s="2">
        <f>IF(C354="","",IFERROR(INDEX($S$5:$S$304,MATCH(C354,$R$5:$R$304,0))&amp;"","?"))</f>
        <v/>
      </c>
      <c r="N354" s="2">
        <f>IF(E354="","",IF(ISNUMBER(SEARCH("SUBSOLO",E354)),IFERROR(-VALUE(LEFT(E354,FIND("º",SUBSTITUTE(E354,"°","º"))-1)),-1),IF(LEFT(E354,6)="TÉRREO",0,IFERROR(VALUE(LEFT(E354,FIND("º",SUBSTITUTE(E354,"°","º"))-1)),""))))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39739081</v>
      </c>
      <c r="C355" s="4" t="inlineStr">
        <is>
          <t>ALVENARIA RAMPA B</t>
        </is>
      </c>
      <c r="D355" s="4" t="inlineStr">
        <is>
          <t>-</t>
        </is>
      </c>
      <c r="E355" s="4" t="inlineStr">
        <is>
          <t>2º PAV. GARAGEM.</t>
        </is>
      </c>
      <c r="F355" s="119" t="n">
        <v>46086</v>
      </c>
      <c r="G355" s="119" t="n">
        <v>46097</v>
      </c>
      <c r="H355" s="119" t="n">
        <v>46293</v>
      </c>
      <c r="I355" s="4" t="n">
        <v>100</v>
      </c>
      <c r="J355" s="4" t="n">
        <v>100</v>
      </c>
      <c r="K355" s="4" t="n">
        <v>100</v>
      </c>
      <c r="M355" s="2">
        <f>IF(C355="","",IFERROR(INDEX($S$5:$S$304,MATCH(C355,$R$5:$R$304,0))&amp;"","?"))</f>
        <v/>
      </c>
      <c r="N355" s="2">
        <f>IF(E355="","",IF(ISNUMBER(SEARCH("SUBSOLO",E355)),IFERROR(-VALUE(LEFT(E355,FIND("º",SUBSTITUTE(E355,"°","º"))-1)),-1),IF(LEFT(E355,6)="TÉRREO",0,IFERROR(VALUE(LEFT(E355,FIND("º",SUBSTITUTE(E355,"°","º"))-1)),""))))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39738868</v>
      </c>
      <c r="C356" s="4" t="inlineStr">
        <is>
          <t>ALVENARIA FECHAMENTO LATERAL - SETOR C</t>
        </is>
      </c>
      <c r="D356" s="4" t="inlineStr">
        <is>
          <t>-</t>
        </is>
      </c>
      <c r="E356" s="4" t="inlineStr">
        <is>
          <t>2º PAV. GARAGEM.</t>
        </is>
      </c>
      <c r="F356" s="119" t="n">
        <v>46086</v>
      </c>
      <c r="G356" s="119" t="n">
        <v>46100</v>
      </c>
      <c r="H356" s="119" t="n">
        <v>46293</v>
      </c>
      <c r="I356" s="4" t="n">
        <v>100</v>
      </c>
      <c r="J356" s="4" t="n">
        <v>100</v>
      </c>
      <c r="K356" s="4" t="n">
        <v>100</v>
      </c>
      <c r="M356" s="2">
        <f>IF(C356="","",IFERROR(INDEX($S$5:$S$304,MATCH(C356,$R$5:$R$304,0))&amp;"","?"))</f>
        <v/>
      </c>
      <c r="N356" s="2">
        <f>IF(E356="","",IF(ISNUMBER(SEARCH("SUBSOLO",E356)),IFERROR(-VALUE(LEFT(E356,FIND("º",SUBSTITUTE(E356,"°","º"))-1)),-1),IF(LEFT(E356,6)="TÉRREO",0,IFERROR(VALUE(LEFT(E356,FIND("º",SUBSTITUTE(E356,"°","º"))-1)),""))))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35985953</v>
      </c>
      <c r="C357" s="4" t="inlineStr">
        <is>
          <t>ESTUQUE - SETOR A</t>
        </is>
      </c>
      <c r="D357" s="4" t="inlineStr">
        <is>
          <t>-</t>
        </is>
      </c>
      <c r="E357" s="4" t="inlineStr">
        <is>
          <t>2º PAV. GARAGEM.</t>
        </is>
      </c>
      <c r="F357" s="119" t="n">
        <v>46090</v>
      </c>
      <c r="G357" s="119" t="n">
        <v>46118</v>
      </c>
      <c r="H357" s="119" t="n">
        <v>46293</v>
      </c>
      <c r="I357" s="4" t="n">
        <v>100</v>
      </c>
      <c r="J357" s="4" t="n">
        <v>100</v>
      </c>
      <c r="K357" s="4" t="n">
        <v>100</v>
      </c>
      <c r="M357" s="2">
        <f>IF(C357="","",IFERROR(INDEX($S$5:$S$304,MATCH(C357,$R$5:$R$304,0))&amp;"","?"))</f>
        <v/>
      </c>
      <c r="N357" s="2">
        <f>IF(E357="","",IF(ISNUMBER(SEARCH("SUBSOLO",E357)),IFERROR(-VALUE(LEFT(E357,FIND("º",SUBSTITUTE(E357,"°","º"))-1)),-1),IF(LEFT(E357,6)="TÉRREO",0,IFERROR(VALUE(LEFT(E357,FIND("º",SUBSTITUTE(E357,"°","º"))-1)),""))))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22139719</v>
      </c>
      <c r="C358" s="4" t="inlineStr">
        <is>
          <t>ESTRUTURA TORRE</t>
        </is>
      </c>
      <c r="D358" s="4" t="inlineStr">
        <is>
          <t>-</t>
        </is>
      </c>
      <c r="E358" s="4" t="inlineStr">
        <is>
          <t>7º PAV. TIPO</t>
        </is>
      </c>
      <c r="F358" s="119" t="n">
        <v>46090</v>
      </c>
      <c r="G358" s="119" t="n">
        <v>46101</v>
      </c>
      <c r="H358" s="119" t="n">
        <v>46293</v>
      </c>
      <c r="I358" s="4" t="n">
        <v>100</v>
      </c>
      <c r="J358" s="4" t="n">
        <v>100</v>
      </c>
      <c r="K358" s="4" t="n">
        <v>100</v>
      </c>
      <c r="M358" s="2">
        <f>IF(C358="","",IFERROR(INDEX($S$5:$S$304,MATCH(C358,$R$5:$R$304,0))&amp;"","?"))</f>
        <v/>
      </c>
      <c r="N358" s="2">
        <f>IF(E358="","",IF(ISNUMBER(SEARCH("SUBSOLO",E358)),IFERROR(-VALUE(LEFT(E358,FIND("º",SUBSTITUTE(E358,"°","º"))-1)),-1),IF(LEFT(E358,6)="TÉRREO",0,IFERROR(VALUE(LEFT(E358,FIND("º",SUBSTITUTE(E358,"°","º"))-1)),""))))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9877140</v>
      </c>
      <c r="C359" s="4" t="inlineStr">
        <is>
          <t>ESTRUTURA TORRE</t>
        </is>
      </c>
      <c r="D359" s="4" t="inlineStr">
        <is>
          <t>Forma Pilar</t>
        </is>
      </c>
      <c r="E359" s="4" t="inlineStr">
        <is>
          <t>7º PAV. TIPO</t>
        </is>
      </c>
      <c r="F359" s="119" t="n">
        <v>46090</v>
      </c>
      <c r="G359" s="119" t="n">
        <v>46091</v>
      </c>
      <c r="H359" s="119" t="n">
        <v>46293</v>
      </c>
      <c r="I359" s="4" t="n">
        <v>100</v>
      </c>
      <c r="J359" s="4" t="n">
        <v>100</v>
      </c>
      <c r="K359" s="4" t="n">
        <v>100</v>
      </c>
      <c r="M359" s="2">
        <f>IF(C359="","",IFERROR(INDEX($S$5:$S$304,MATCH(C359,$R$5:$R$304,0))&amp;"","?"))</f>
        <v/>
      </c>
      <c r="N359" s="2">
        <f>IF(E359="","",IF(ISNUMBER(SEARCH("SUBSOLO",E359)),IFERROR(-VALUE(LEFT(E359,FIND("º",SUBSTITUTE(E359,"°","º"))-1)),-1),IF(LEFT(E359,6)="TÉRREO",0,IFERROR(VALUE(LEFT(E359,FIND("º",SUBSTITUTE(E359,"°","º"))-1)),""))))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9877141</v>
      </c>
      <c r="C360" s="4" t="inlineStr">
        <is>
          <t>ESTRUTURA TORRE</t>
        </is>
      </c>
      <c r="D360" s="4" t="inlineStr">
        <is>
          <t>Armação Pilar</t>
        </is>
      </c>
      <c r="E360" s="4" t="inlineStr">
        <is>
          <t>7º PAV. TIPO</t>
        </is>
      </c>
      <c r="F360" s="119" t="n">
        <v>46090</v>
      </c>
      <c r="G360" s="119" t="n">
        <v>46091</v>
      </c>
      <c r="H360" s="119" t="n">
        <v>46293</v>
      </c>
      <c r="I360" s="4" t="n">
        <v>100</v>
      </c>
      <c r="J360" s="4" t="n">
        <v>100</v>
      </c>
      <c r="K360" s="4" t="n">
        <v>100</v>
      </c>
      <c r="M360" s="2">
        <f>IF(C360="","",IFERROR(INDEX($S$5:$S$304,MATCH(C360,$R$5:$R$304,0))&amp;"","?"))</f>
        <v/>
      </c>
      <c r="N360" s="2">
        <f>IF(E360="","",IF(ISNUMBER(SEARCH("SUBSOLO",E360)),IFERROR(-VALUE(LEFT(E360,FIND("º",SUBSTITUTE(E360,"°","º"))-1)),-1),IF(LEFT(E360,6)="TÉRREO",0,IFERROR(VALUE(LEFT(E360,FIND("º",SUBSTITUTE(E360,"°","º"))-1)),""))))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9877142</v>
      </c>
      <c r="C361" s="4" t="inlineStr">
        <is>
          <t>ESTRUTURA TORRE</t>
        </is>
      </c>
      <c r="D361" s="4" t="inlineStr">
        <is>
          <t>Escoramento</t>
        </is>
      </c>
      <c r="E361" s="4" t="inlineStr">
        <is>
          <t>7º PAV. TIPO</t>
        </is>
      </c>
      <c r="F361" s="119" t="n">
        <v>46091</v>
      </c>
      <c r="G361" s="119" t="n">
        <v>46092</v>
      </c>
      <c r="H361" s="119" t="n">
        <v>46293</v>
      </c>
      <c r="I361" s="4" t="n">
        <v>100</v>
      </c>
      <c r="J361" s="4" t="n">
        <v>100</v>
      </c>
      <c r="K361" s="4" t="n">
        <v>100</v>
      </c>
      <c r="M361" s="2">
        <f>IF(C361="","",IFERROR(INDEX($S$5:$S$304,MATCH(C361,$R$5:$R$304,0))&amp;"","?"))</f>
        <v/>
      </c>
      <c r="N361" s="2">
        <f>IF(E361="","",IF(ISNUMBER(SEARCH("SUBSOLO",E361)),IFERROR(-VALUE(LEFT(E361,FIND("º",SUBSTITUTE(E361,"°","º"))-1)),-1),IF(LEFT(E361,6)="TÉRREO",0,IFERROR(VALUE(LEFT(E361,FIND("º",SUBSTITUTE(E361,"°","º"))-1)),""))))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9877853</v>
      </c>
      <c r="C362" s="4" t="inlineStr">
        <is>
          <t>ESTRUTURA TORRE</t>
        </is>
      </c>
      <c r="D362" s="4" t="inlineStr">
        <is>
          <t>Concretagem Pilar</t>
        </is>
      </c>
      <c r="E362" s="4" t="inlineStr">
        <is>
          <t>7º PAV. TIPO</t>
        </is>
      </c>
      <c r="F362" s="119" t="n">
        <v>46093</v>
      </c>
      <c r="G362" s="119" t="n">
        <v>46093</v>
      </c>
      <c r="H362" s="119" t="n">
        <v>46293</v>
      </c>
      <c r="I362" s="4" t="n">
        <v>100</v>
      </c>
      <c r="J362" s="4" t="n">
        <v>100</v>
      </c>
      <c r="K362" s="4" t="n">
        <v>100</v>
      </c>
      <c r="M362" s="2">
        <f>IF(C362="","",IFERROR(INDEX($S$5:$S$304,MATCH(C362,$R$5:$R$304,0))&amp;"","?"))</f>
        <v/>
      </c>
      <c r="N362" s="2">
        <f>IF(E362="","",IF(ISNUMBER(SEARCH("SUBSOLO",E362)),IFERROR(-VALUE(LEFT(E362,FIND("º",SUBSTITUTE(E362,"°","º"))-1)),-1),IF(LEFT(E362,6)="TÉRREO",0,IFERROR(VALUE(LEFT(E362,FIND("º",SUBSTITUTE(E362,"°","º"))-1)),""))))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9877854</v>
      </c>
      <c r="C363" s="4" t="inlineStr">
        <is>
          <t>ESTRUTURA TORRE</t>
        </is>
      </c>
      <c r="D363" s="4" t="inlineStr">
        <is>
          <t>Forma Vigas e Lajes</t>
        </is>
      </c>
      <c r="E363" s="4" t="inlineStr">
        <is>
          <t>7º PAV. TIPO</t>
        </is>
      </c>
      <c r="F363" s="119" t="n">
        <v>46094</v>
      </c>
      <c r="G363" s="119" t="n">
        <v>46099</v>
      </c>
      <c r="H363" s="119" t="n">
        <v>46293</v>
      </c>
      <c r="I363" s="4" t="n">
        <v>100</v>
      </c>
      <c r="J363" s="4" t="n">
        <v>100</v>
      </c>
      <c r="K363" s="4" t="n">
        <v>100</v>
      </c>
      <c r="M363" s="2">
        <f>IF(C363="","",IFERROR(INDEX($S$5:$S$304,MATCH(C363,$R$5:$R$304,0))&amp;"","?"))</f>
        <v/>
      </c>
      <c r="N363" s="2">
        <f>IF(E363="","",IF(ISNUMBER(SEARCH("SUBSOLO",E363)),IFERROR(-VALUE(LEFT(E363,FIND("º",SUBSTITUTE(E363,"°","º"))-1)),-1),IF(LEFT(E363,6)="TÉRREO",0,IFERROR(VALUE(LEFT(E363,FIND("º",SUBSTITUTE(E363,"°","º"))-1)),""))))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9877855</v>
      </c>
      <c r="C364" s="4" t="inlineStr">
        <is>
          <t>ESTRUTURA TORRE</t>
        </is>
      </c>
      <c r="D364" s="4" t="inlineStr">
        <is>
          <t>Armação Vigas e Lajes</t>
        </is>
      </c>
      <c r="E364" s="4" t="inlineStr">
        <is>
          <t>7º PAV. TIPO</t>
        </is>
      </c>
      <c r="F364" s="119" t="n">
        <v>46097</v>
      </c>
      <c r="G364" s="119" t="n">
        <v>46100</v>
      </c>
      <c r="H364" s="119" t="n">
        <v>46293</v>
      </c>
      <c r="I364" s="4" t="n">
        <v>100</v>
      </c>
      <c r="J364" s="4" t="n">
        <v>100</v>
      </c>
      <c r="K364" s="4" t="n">
        <v>100</v>
      </c>
      <c r="M364" s="2">
        <f>IF(C364="","",IFERROR(INDEX($S$5:$S$304,MATCH(C364,$R$5:$R$304,0))&amp;"","?"))</f>
        <v/>
      </c>
      <c r="N364" s="2">
        <f>IF(E364="","",IF(ISNUMBER(SEARCH("SUBSOLO",E364)),IFERROR(-VALUE(LEFT(E364,FIND("º",SUBSTITUTE(E364,"°","º"))-1)),-1),IF(LEFT(E364,6)="TÉRREO",0,IFERROR(VALUE(LEFT(E364,FIND("º",SUBSTITUTE(E364,"°","º"))-1)),""))))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9877856</v>
      </c>
      <c r="C365" s="4" t="inlineStr">
        <is>
          <t>ESTRUTURA TORRE</t>
        </is>
      </c>
      <c r="D365" s="4" t="inlineStr">
        <is>
          <t>Passagem Hidráulica</t>
        </is>
      </c>
      <c r="E365" s="4" t="inlineStr">
        <is>
          <t>7º PAV. TIPO</t>
        </is>
      </c>
      <c r="F365" s="119" t="n">
        <v>46099</v>
      </c>
      <c r="G365" s="119" t="n">
        <v>46099</v>
      </c>
      <c r="H365" s="119" t="n">
        <v>46293</v>
      </c>
      <c r="I365" s="4" t="n">
        <v>100</v>
      </c>
      <c r="J365" s="4" t="n">
        <v>100</v>
      </c>
      <c r="K365" s="4" t="n">
        <v>100</v>
      </c>
      <c r="M365" s="2">
        <f>IF(C365="","",IFERROR(INDEX($S$5:$S$304,MATCH(C365,$R$5:$R$304,0))&amp;"","?"))</f>
        <v/>
      </c>
      <c r="N365" s="2">
        <f>IF(E365="","",IF(ISNUMBER(SEARCH("SUBSOLO",E365)),IFERROR(-VALUE(LEFT(E365,FIND("º",SUBSTITUTE(E365,"°","º"))-1)),-1),IF(LEFT(E365,6)="TÉRREO",0,IFERROR(VALUE(LEFT(E365,FIND("º",SUBSTITUTE(E365,"°","º"))-1)),""))))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9877857</v>
      </c>
      <c r="C366" s="4" t="inlineStr">
        <is>
          <t>ESTRUTURA TORRE</t>
        </is>
      </c>
      <c r="D366" s="4" t="inlineStr">
        <is>
          <t>Passagem Elétrica</t>
        </is>
      </c>
      <c r="E366" s="4" t="inlineStr">
        <is>
          <t>7º PAV. TIPO</t>
        </is>
      </c>
      <c r="F366" s="119" t="n">
        <v>46099</v>
      </c>
      <c r="G366" s="119" t="n">
        <v>46099</v>
      </c>
      <c r="H366" s="119" t="n">
        <v>46293</v>
      </c>
      <c r="I366" s="4" t="n">
        <v>100</v>
      </c>
      <c r="J366" s="4" t="n">
        <v>100</v>
      </c>
      <c r="K366" s="4" t="n">
        <v>100</v>
      </c>
      <c r="M366" s="2">
        <f>IF(C366="","",IFERROR(INDEX($S$5:$S$304,MATCH(C366,$R$5:$R$304,0))&amp;"","?"))</f>
        <v/>
      </c>
      <c r="N366" s="2">
        <f>IF(E366="","",IF(ISNUMBER(SEARCH("SUBSOLO",E366)),IFERROR(-VALUE(LEFT(E366,FIND("º",SUBSTITUTE(E366,"°","º"))-1)),-1),IF(LEFT(E366,6)="TÉRREO",0,IFERROR(VALUE(LEFT(E366,FIND("º",SUBSTITUTE(E366,"°","º"))-1)),""))))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9877858</v>
      </c>
      <c r="C367" s="4" t="inlineStr">
        <is>
          <t>ESTRUTURA TORRE</t>
        </is>
      </c>
      <c r="D367" s="4" t="inlineStr">
        <is>
          <t>Concretagem</t>
        </is>
      </c>
      <c r="E367" s="4" t="inlineStr">
        <is>
          <t>7º PAV. TIPO</t>
        </is>
      </c>
      <c r="F367" s="119" t="n">
        <v>46100</v>
      </c>
      <c r="G367" s="119" t="n">
        <v>46101</v>
      </c>
      <c r="H367" s="119" t="n">
        <v>46293</v>
      </c>
      <c r="I367" s="4" t="n">
        <v>100</v>
      </c>
      <c r="J367" s="4" t="n">
        <v>100</v>
      </c>
      <c r="K367" s="4" t="n">
        <v>100</v>
      </c>
      <c r="M367" s="2">
        <f>IF(C367="","",IFERROR(INDEX($S$5:$S$304,MATCH(C367,$R$5:$R$304,0))&amp;"","?"))</f>
        <v/>
      </c>
      <c r="N367" s="2">
        <f>IF(E367="","",IF(ISNUMBER(SEARCH("SUBSOLO",E367)),IFERROR(-VALUE(LEFT(E367,FIND("º",SUBSTITUTE(E367,"°","º"))-1)),-1),IF(LEFT(E367,6)="TÉRREO",0,IFERROR(VALUE(LEFT(E367,FIND("º",SUBSTITUTE(E367,"°","º"))-1)),""))))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39742658</v>
      </c>
      <c r="C368" s="4" t="inlineStr">
        <is>
          <t>POÇO ARTESIANO</t>
        </is>
      </c>
      <c r="D368" s="4" t="inlineStr">
        <is>
          <t>-</t>
        </is>
      </c>
      <c r="E368" s="4" t="inlineStr">
        <is>
          <t>TÉRREO - GARAGENS</t>
        </is>
      </c>
      <c r="F368" s="119" t="n">
        <v>46097</v>
      </c>
      <c r="G368" s="119" t="n">
        <v>46220</v>
      </c>
      <c r="H368" s="119" t="n">
        <v>46293</v>
      </c>
      <c r="I368" s="4" t="n">
        <v>100</v>
      </c>
      <c r="J368" s="4" t="n">
        <v>100</v>
      </c>
      <c r="K368" s="4" t="n">
        <v>100</v>
      </c>
      <c r="M368" s="2">
        <f>IF(C368="","",IFERROR(INDEX($S$5:$S$304,MATCH(C368,$R$5:$R$304,0))&amp;"","?"))</f>
        <v/>
      </c>
      <c r="N368" s="2">
        <f>IF(E368="","",IF(ISNUMBER(SEARCH("SUBSOLO",E368)),IFERROR(-VALUE(LEFT(E368,FIND("º",SUBSTITUTE(E368,"°","º"))-1)),-1),IF(LEFT(E368,6)="TÉRREO",0,IFERROR(VALUE(LEFT(E368,FIND("º",SUBSTITUTE(E368,"°","º"))-1)),""))))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19409016</v>
      </c>
      <c r="C369" s="4" t="inlineStr">
        <is>
          <t>POÇO ARTESIANO</t>
        </is>
      </c>
      <c r="D369" s="4" t="inlineStr">
        <is>
          <t>Mobilização</t>
        </is>
      </c>
      <c r="E369" s="4" t="inlineStr">
        <is>
          <t>TÉRREO - GARAGENS</t>
        </is>
      </c>
      <c r="F369" s="119" t="n">
        <v>46097</v>
      </c>
      <c r="G369" s="119" t="n">
        <v>46174</v>
      </c>
      <c r="H369" s="119" t="n">
        <v>46293</v>
      </c>
      <c r="I369" s="4" t="n">
        <v>100</v>
      </c>
      <c r="J369" s="4" t="n">
        <v>100</v>
      </c>
      <c r="K369" s="4" t="n">
        <v>100</v>
      </c>
      <c r="M369" s="2">
        <f>IF(C369="","",IFERROR(INDEX($S$5:$S$304,MATCH(C369,$R$5:$R$304,0))&amp;"","?"))</f>
        <v/>
      </c>
      <c r="N369" s="2">
        <f>IF(E369="","",IF(ISNUMBER(SEARCH("SUBSOLO",E369)),IFERROR(-VALUE(LEFT(E369,FIND("º",SUBSTITUTE(E369,"°","º"))-1)),-1),IF(LEFT(E369,6)="TÉRREO",0,IFERROR(VALUE(LEFT(E369,FIND("º",SUBSTITUTE(E369,"°","º"))-1)),""))))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19409017</v>
      </c>
      <c r="C370" s="4" t="inlineStr">
        <is>
          <t>POÇO ARTESIANO</t>
        </is>
      </c>
      <c r="D370" s="4" t="inlineStr">
        <is>
          <t>Escavação e encamisamento</t>
        </is>
      </c>
      <c r="E370" s="4" t="inlineStr">
        <is>
          <t>TÉRREO - GARAGENS</t>
        </is>
      </c>
      <c r="F370" s="119" t="n">
        <v>46175</v>
      </c>
      <c r="G370" s="119" t="n">
        <v>46189</v>
      </c>
      <c r="H370" s="119" t="n">
        <v>46293</v>
      </c>
      <c r="I370" s="4" t="n">
        <v>100</v>
      </c>
      <c r="J370" s="4" t="n">
        <v>100</v>
      </c>
      <c r="K370" s="4" t="n">
        <v>100</v>
      </c>
      <c r="M370" s="2">
        <f>IF(C370="","",IFERROR(INDEX($S$5:$S$304,MATCH(C370,$R$5:$R$304,0))&amp;"","?"))</f>
        <v/>
      </c>
      <c r="N370" s="2">
        <f>IF(E370="","",IF(ISNUMBER(SEARCH("SUBSOLO",E370)),IFERROR(-VALUE(LEFT(E370,FIND("º",SUBSTITUTE(E370,"°","º"))-1)),-1),IF(LEFT(E370,6)="TÉRREO",0,IFERROR(VALUE(LEFT(E370,FIND("º",SUBSTITUTE(E370,"°","º"))-1)),""))))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19409018</v>
      </c>
      <c r="C371" s="4" t="inlineStr">
        <is>
          <t>POÇO ARTESIANO</t>
        </is>
      </c>
      <c r="D371" s="4" t="inlineStr">
        <is>
          <t>Teste de vazão</t>
        </is>
      </c>
      <c r="E371" s="4" t="inlineStr">
        <is>
          <t>TÉRREO - GARAGENS</t>
        </is>
      </c>
      <c r="F371" s="119" t="n">
        <v>46190</v>
      </c>
      <c r="G371" s="119" t="n">
        <v>46210</v>
      </c>
      <c r="H371" s="119" t="n">
        <v>46293</v>
      </c>
      <c r="I371" s="4" t="n">
        <v>100</v>
      </c>
      <c r="J371" s="4" t="n">
        <v>100</v>
      </c>
      <c r="K371" s="4" t="n">
        <v>100</v>
      </c>
      <c r="M371" s="2">
        <f>IF(C371="","",IFERROR(INDEX($S$5:$S$304,MATCH(C371,$R$5:$R$304,0))&amp;"","?"))</f>
        <v/>
      </c>
      <c r="N371" s="2">
        <f>IF(E371="","",IF(ISNUMBER(SEARCH("SUBSOLO",E371)),IFERROR(-VALUE(LEFT(E371,FIND("º",SUBSTITUTE(E371,"°","º"))-1)),-1),IF(LEFT(E371,6)="TÉRREO",0,IFERROR(VALUE(LEFT(E371,FIND("º",SUBSTITUTE(E371,"°","º"))-1)),""))))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19409019</v>
      </c>
      <c r="C372" s="4" t="inlineStr">
        <is>
          <t>POÇO ARTESIANO</t>
        </is>
      </c>
      <c r="D372" s="4" t="inlineStr">
        <is>
          <t>Instalação de bomba</t>
        </is>
      </c>
      <c r="E372" s="4" t="inlineStr">
        <is>
          <t>TÉRREO - GARAGENS</t>
        </is>
      </c>
      <c r="F372" s="119" t="n">
        <v>46211</v>
      </c>
      <c r="G372" s="119" t="n">
        <v>46220</v>
      </c>
      <c r="H372" s="119" t="n">
        <v>46293</v>
      </c>
      <c r="I372" s="4" t="n">
        <v>100</v>
      </c>
      <c r="J372" s="4" t="n">
        <v>100</v>
      </c>
      <c r="K372" s="4" t="n">
        <v>100</v>
      </c>
      <c r="M372" s="2">
        <f>IF(C372="","",IFERROR(INDEX($S$5:$S$304,MATCH(C372,$R$5:$R$304,0))&amp;"","?"))</f>
        <v/>
      </c>
      <c r="N372" s="2">
        <f>IF(E372="","",IF(ISNUMBER(SEARCH("SUBSOLO",E372)),IFERROR(-VALUE(LEFT(E372,FIND("º",SUBSTITUTE(E372,"°","º"))-1)),-1),IF(LEFT(E372,6)="TÉRREO",0,IFERROR(VALUE(LEFT(E372,FIND("º",SUBSTITUTE(E372,"°","º"))-1)),""))))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25752744</v>
      </c>
      <c r="C373" s="4" t="inlineStr">
        <is>
          <t>ALVENARIA - SETOR B</t>
        </is>
      </c>
      <c r="D373" s="4" t="inlineStr">
        <is>
          <t>-</t>
        </is>
      </c>
      <c r="E373" s="4" t="inlineStr">
        <is>
          <t>2º PAV. GARAGEM.</t>
        </is>
      </c>
      <c r="F373" s="119" t="n">
        <v>46097</v>
      </c>
      <c r="G373" s="119" t="n">
        <v>46161</v>
      </c>
      <c r="H373" s="119" t="n">
        <v>46293</v>
      </c>
      <c r="I373" s="4" t="n">
        <v>100</v>
      </c>
      <c r="J373" s="4" t="n">
        <v>100</v>
      </c>
      <c r="K373" s="4" t="n">
        <v>100</v>
      </c>
      <c r="M373" s="2">
        <f>IF(C373="","",IFERROR(INDEX($S$5:$S$304,MATCH(C373,$R$5:$R$304,0))&amp;"","?"))</f>
        <v/>
      </c>
      <c r="N373" s="2">
        <f>IF(E373="","",IF(ISNUMBER(SEARCH("SUBSOLO",E373)),IFERROR(-VALUE(LEFT(E373,FIND("º",SUBSTITUTE(E373,"°","º"))-1)),-1),IF(LEFT(E373,6)="TÉRREO",0,IFERROR(VALUE(LEFT(E373,FIND("º",SUBSTITUTE(E373,"°","º"))-1)),""))))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9203184</v>
      </c>
      <c r="C374" s="4" t="inlineStr">
        <is>
          <t>ALVENARIA - SETOR B</t>
        </is>
      </c>
      <c r="D374" s="4" t="inlineStr">
        <is>
          <t>TRECHO B</t>
        </is>
      </c>
      <c r="E374" s="4" t="inlineStr">
        <is>
          <t>2º PAV. GARAGEM.</t>
        </is>
      </c>
      <c r="F374" s="119" t="n">
        <v>46097</v>
      </c>
      <c r="G374" s="119" t="n">
        <v>46127</v>
      </c>
      <c r="H374" s="119" t="n">
        <v>46293</v>
      </c>
      <c r="I374" s="4" t="n">
        <v>100</v>
      </c>
      <c r="J374" s="4" t="n">
        <v>100</v>
      </c>
      <c r="K374" s="4" t="n">
        <v>100</v>
      </c>
      <c r="M374" s="2">
        <f>IF(C374="","",IFERROR(INDEX($S$5:$S$304,MATCH(C374,$R$5:$R$304,0))&amp;"","?"))</f>
        <v/>
      </c>
      <c r="N374" s="2">
        <f>IF(E374="","",IF(ISNUMBER(SEARCH("SUBSOLO",E374)),IFERROR(-VALUE(LEFT(E374,FIND("º",SUBSTITUTE(E374,"°","º"))-1)),-1),IF(LEFT(E374,6)="TÉRREO",0,IFERROR(VALUE(LEFT(E374,FIND("º",SUBSTITUTE(E374,"°","º"))-1)),""))))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9203185</v>
      </c>
      <c r="C375" s="4" t="inlineStr">
        <is>
          <t>ALVENARIA - SETOR B</t>
        </is>
      </c>
      <c r="D375" s="4" t="inlineStr">
        <is>
          <t>TRECHO C</t>
        </is>
      </c>
      <c r="E375" s="4" t="inlineStr">
        <is>
          <t>2º PAV. GARAGEM.</t>
        </is>
      </c>
      <c r="F375" s="119" t="n">
        <v>46128</v>
      </c>
      <c r="G375" s="119" t="n">
        <v>46161</v>
      </c>
      <c r="H375" s="119" t="n">
        <v>46293</v>
      </c>
      <c r="I375" s="4" t="n">
        <v>100</v>
      </c>
      <c r="J375" s="4" t="n">
        <v>100</v>
      </c>
      <c r="K375" s="4" t="n">
        <v>100</v>
      </c>
      <c r="M375" s="2">
        <f>IF(C375="","",IFERROR(INDEX($S$5:$S$304,MATCH(C375,$R$5:$R$304,0))&amp;"","?"))</f>
        <v/>
      </c>
      <c r="N375" s="2">
        <f>IF(E375="","",IF(ISNUMBER(SEARCH("SUBSOLO",E375)),IFERROR(-VALUE(LEFT(E375,FIND("º",SUBSTITUTE(E375,"°","º"))-1)),-1),IF(LEFT(E375,6)="TÉRREO",0,IFERROR(VALUE(LEFT(E375,FIND("º",SUBSTITUTE(E375,"°","º"))-1)),""))))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39743902</v>
      </c>
      <c r="C376" s="4" t="inlineStr">
        <is>
          <t>LIMPEZA DE ETULHO E MADEIRA - SETOR B</t>
        </is>
      </c>
      <c r="D376" s="4" t="inlineStr">
        <is>
          <t>-</t>
        </is>
      </c>
      <c r="E376" s="4" t="inlineStr">
        <is>
          <t>3º PAV. - PILOTIS</t>
        </is>
      </c>
      <c r="F376" s="119" t="n">
        <v>46097</v>
      </c>
      <c r="G376" s="119" t="n">
        <v>46101</v>
      </c>
      <c r="H376" s="119" t="n">
        <v>46293</v>
      </c>
      <c r="I376" s="4" t="n">
        <v>100</v>
      </c>
      <c r="J376" s="4" t="n">
        <v>100</v>
      </c>
      <c r="K376" s="4" t="n">
        <v>100</v>
      </c>
      <c r="M376" s="2">
        <f>IF(C376="","",IFERROR(INDEX($S$5:$S$304,MATCH(C376,$R$5:$R$304,0))&amp;"","?"))</f>
        <v/>
      </c>
      <c r="N376" s="2">
        <f>IF(E376="","",IF(ISNUMBER(SEARCH("SUBSOLO",E376)),IFERROR(-VALUE(LEFT(E376,FIND("º",SUBSTITUTE(E376,"°","º"))-1)),-1),IF(LEFT(E376,6)="TÉRREO",0,IFERROR(VALUE(LEFT(E376,FIND("º",SUBSTITUTE(E376,"°","º"))-1)),""))))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39739116</v>
      </c>
      <c r="C377" s="4" t="inlineStr">
        <is>
          <t>ALVENARIA CASA MAQUINAS A</t>
        </is>
      </c>
      <c r="D377" s="4" t="inlineStr">
        <is>
          <t>-</t>
        </is>
      </c>
      <c r="E377" s="4" t="inlineStr">
        <is>
          <t>2º PAV. - ÁREAS TÉCNICAS</t>
        </is>
      </c>
      <c r="F377" s="119" t="n">
        <v>46098</v>
      </c>
      <c r="G377" s="119" t="n">
        <v>46108</v>
      </c>
      <c r="H377" s="119" t="n">
        <v>46293</v>
      </c>
      <c r="I377" s="4" t="n">
        <v>100</v>
      </c>
      <c r="J377" s="4" t="n">
        <v>100</v>
      </c>
      <c r="K377" s="4" t="n">
        <v>100</v>
      </c>
      <c r="M377" s="2">
        <f>IF(C377="","",IFERROR(INDEX($S$5:$S$304,MATCH(C377,$R$5:$R$304,0))&amp;"","?"))</f>
        <v/>
      </c>
      <c r="N377" s="2">
        <f>IF(E377="","",IF(ISNUMBER(SEARCH("SUBSOLO",E377)),IFERROR(-VALUE(LEFT(E377,FIND("º",SUBSTITUTE(E377,"°","º"))-1)),-1),IF(LEFT(E377,6)="TÉRREO",0,IFERROR(VALUE(LEFT(E377,FIND("º",SUBSTITUTE(E377,"°","º"))-1)),""))))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39742889</v>
      </c>
      <c r="C378" s="4" t="inlineStr">
        <is>
          <t>VIGAS V31, V403 E V405 - TERRAÇO SALÃO DE FESTA</t>
        </is>
      </c>
      <c r="D378" s="4" t="inlineStr">
        <is>
          <t>-</t>
        </is>
      </c>
      <c r="E378" s="4" t="inlineStr">
        <is>
          <t>3º PAV. - PILOTIS</t>
        </is>
      </c>
      <c r="F378" s="119" t="n">
        <v>46100</v>
      </c>
      <c r="G378" s="119" t="n">
        <v>46142</v>
      </c>
      <c r="H378" s="119" t="n">
        <v>46293</v>
      </c>
      <c r="I378" s="4" t="n">
        <v>100</v>
      </c>
      <c r="J378" s="4" t="n">
        <v>100</v>
      </c>
      <c r="K378" s="4" t="n">
        <v>100</v>
      </c>
      <c r="M378" s="2">
        <f>IF(C378="","",IFERROR(INDEX($S$5:$S$304,MATCH(C378,$R$5:$R$304,0))&amp;"","?"))</f>
        <v/>
      </c>
      <c r="N378" s="2">
        <f>IF(E378="","",IF(ISNUMBER(SEARCH("SUBSOLO",E378)),IFERROR(-VALUE(LEFT(E378,FIND("º",SUBSTITUTE(E378,"°","º"))-1)),-1),IF(LEFT(E378,6)="TÉRREO",0,IFERROR(VALUE(LEFT(E378,FIND("º",SUBSTITUTE(E378,"°","º"))-1)),""))))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39739203</v>
      </c>
      <c r="C379" s="4" t="inlineStr">
        <is>
          <t>ALVENARIA ÁREA SOCIAL</t>
        </is>
      </c>
      <c r="D379" s="4" t="inlineStr">
        <is>
          <t>-</t>
        </is>
      </c>
      <c r="E379" s="4" t="inlineStr">
        <is>
          <t>2º PAV. GARAGEM.</t>
        </is>
      </c>
      <c r="F379" s="119" t="n">
        <v>46101</v>
      </c>
      <c r="G379" s="119" t="n">
        <v>46164</v>
      </c>
      <c r="H379" s="119" t="n">
        <v>46293</v>
      </c>
      <c r="I379" s="4" t="n">
        <v>100</v>
      </c>
      <c r="J379" s="4" t="n">
        <v>100</v>
      </c>
      <c r="K379" s="4" t="n">
        <v>100</v>
      </c>
      <c r="M379" s="2">
        <f>IF(C379="","",IFERROR(INDEX($S$5:$S$304,MATCH(C379,$R$5:$R$304,0))&amp;"","?"))</f>
        <v/>
      </c>
      <c r="N379" s="2">
        <f>IF(E379="","",IF(ISNUMBER(SEARCH("SUBSOLO",E379)),IFERROR(-VALUE(LEFT(E379,FIND("º",SUBSTITUTE(E379,"°","º"))-1)),-1),IF(LEFT(E379,6)="TÉRREO",0,IFERROR(VALUE(LEFT(E379,FIND("º",SUBSTITUTE(E379,"°","º"))-1)),""))))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25752745</v>
      </c>
      <c r="C380" s="4" t="inlineStr">
        <is>
          <t>ALVENARIA</t>
        </is>
      </c>
      <c r="D380" s="4" t="inlineStr">
        <is>
          <t>-</t>
        </is>
      </c>
      <c r="E380" s="4" t="inlineStr">
        <is>
          <t>2º PAV. - ÁREAS TÉCNICAS</t>
        </is>
      </c>
      <c r="F380" s="119" t="n">
        <v>46104</v>
      </c>
      <c r="G380" s="119" t="n">
        <v>46135</v>
      </c>
      <c r="H380" s="119" t="n">
        <v>46293</v>
      </c>
      <c r="I380" s="4" t="n">
        <v>100</v>
      </c>
      <c r="J380" s="4" t="n">
        <v>100</v>
      </c>
      <c r="K380" s="4" t="n">
        <v>100</v>
      </c>
      <c r="M380" s="2">
        <f>IF(C380="","",IFERROR(INDEX($S$5:$S$304,MATCH(C380,$R$5:$R$304,0))&amp;"","?"))</f>
        <v/>
      </c>
      <c r="N380" s="2">
        <f>IF(E380="","",IF(ISNUMBER(SEARCH("SUBSOLO",E380)),IFERROR(-VALUE(LEFT(E380,FIND("º",SUBSTITUTE(E380,"°","º"))-1)),-1),IF(LEFT(E380,6)="TÉRREO",0,IFERROR(VALUE(LEFT(E380,FIND("º",SUBSTITUTE(E380,"°","º"))-1)),""))))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22139720</v>
      </c>
      <c r="C381" s="4" t="inlineStr">
        <is>
          <t>ESTRUTURA TORRE</t>
        </is>
      </c>
      <c r="D381" s="4" t="inlineStr">
        <is>
          <t>-</t>
        </is>
      </c>
      <c r="E381" s="4" t="inlineStr">
        <is>
          <t>8º PAV. TIPO</t>
        </is>
      </c>
      <c r="F381" s="119" t="n">
        <v>46104</v>
      </c>
      <c r="G381" s="119" t="n">
        <v>46127</v>
      </c>
      <c r="H381" s="119" t="n">
        <v>46293</v>
      </c>
      <c r="I381" s="4" t="n">
        <v>100</v>
      </c>
      <c r="J381" s="4" t="n">
        <v>100</v>
      </c>
      <c r="K381" s="4" t="n">
        <v>100</v>
      </c>
      <c r="M381" s="2">
        <f>IF(C381="","",IFERROR(INDEX($S$5:$S$304,MATCH(C381,$R$5:$R$304,0))&amp;"","?"))</f>
        <v/>
      </c>
      <c r="N381" s="2">
        <f>IF(E381="","",IF(ISNUMBER(SEARCH("SUBSOLO",E381)),IFERROR(-VALUE(LEFT(E381,FIND("º",SUBSTITUTE(E381,"°","º"))-1)),-1),IF(LEFT(E381,6)="TÉRREO",0,IFERROR(VALUE(LEFT(E381,FIND("º",SUBSTITUTE(E381,"°","º"))-1)),""))))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9877148</v>
      </c>
      <c r="C382" s="4" t="inlineStr">
        <is>
          <t>ESTRUTURA TORRE</t>
        </is>
      </c>
      <c r="D382" s="4" t="inlineStr">
        <is>
          <t>Forma Pilar</t>
        </is>
      </c>
      <c r="E382" s="4" t="inlineStr">
        <is>
          <t>8º PAV. TIPO</t>
        </is>
      </c>
      <c r="F382" s="119" t="n">
        <v>46104</v>
      </c>
      <c r="G382" s="119" t="n">
        <v>46105</v>
      </c>
      <c r="H382" s="119" t="n">
        <v>46293</v>
      </c>
      <c r="I382" s="4" t="n">
        <v>100</v>
      </c>
      <c r="J382" s="4" t="n">
        <v>100</v>
      </c>
      <c r="K382" s="4" t="n">
        <v>100</v>
      </c>
      <c r="M382" s="2">
        <f>IF(C382="","",IFERROR(INDEX($S$5:$S$304,MATCH(C382,$R$5:$R$304,0))&amp;"","?"))</f>
        <v/>
      </c>
      <c r="N382" s="2">
        <f>IF(E382="","",IF(ISNUMBER(SEARCH("SUBSOLO",E382)),IFERROR(-VALUE(LEFT(E382,FIND("º",SUBSTITUTE(E382,"°","º"))-1)),-1),IF(LEFT(E382,6)="TÉRREO",0,IFERROR(VALUE(LEFT(E382,FIND("º",SUBSTITUTE(E382,"°","º"))-1)),""))))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9877149</v>
      </c>
      <c r="C383" s="4" t="inlineStr">
        <is>
          <t>ESTRUTURA TORRE</t>
        </is>
      </c>
      <c r="D383" s="4" t="inlineStr">
        <is>
          <t>Armação Pilar</t>
        </is>
      </c>
      <c r="E383" s="4" t="inlineStr">
        <is>
          <t>8º PAV. TIPO</t>
        </is>
      </c>
      <c r="F383" s="119" t="n">
        <v>46104</v>
      </c>
      <c r="G383" s="119" t="n">
        <v>46105</v>
      </c>
      <c r="H383" s="119" t="n">
        <v>46293</v>
      </c>
      <c r="I383" s="4" t="n">
        <v>100</v>
      </c>
      <c r="J383" s="4" t="n">
        <v>100</v>
      </c>
      <c r="K383" s="4" t="n">
        <v>100</v>
      </c>
      <c r="M383" s="2">
        <f>IF(C383="","",IFERROR(INDEX($S$5:$S$304,MATCH(C383,$R$5:$R$304,0))&amp;"","?"))</f>
        <v/>
      </c>
      <c r="N383" s="2">
        <f>IF(E383="","",IF(ISNUMBER(SEARCH("SUBSOLO",E383)),IFERROR(-VALUE(LEFT(E383,FIND("º",SUBSTITUTE(E383,"°","º"))-1)),-1),IF(LEFT(E383,6)="TÉRREO",0,IFERROR(VALUE(LEFT(E383,FIND("º",SUBSTITUTE(E383,"°","º"))-1)),""))))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9877150</v>
      </c>
      <c r="C384" s="4" t="inlineStr">
        <is>
          <t>ESTRUTURA TORRE</t>
        </is>
      </c>
      <c r="D384" s="4" t="inlineStr">
        <is>
          <t>Escoramento</t>
        </is>
      </c>
      <c r="E384" s="4" t="inlineStr">
        <is>
          <t>8º PAV. TIPO</t>
        </is>
      </c>
      <c r="F384" s="119" t="n">
        <v>46105</v>
      </c>
      <c r="G384" s="119" t="n">
        <v>46106</v>
      </c>
      <c r="H384" s="119" t="n">
        <v>46293</v>
      </c>
      <c r="I384" s="4" t="n">
        <v>100</v>
      </c>
      <c r="J384" s="4" t="n">
        <v>100</v>
      </c>
      <c r="K384" s="4" t="n">
        <v>100</v>
      </c>
      <c r="M384" s="2">
        <f>IF(C384="","",IFERROR(INDEX($S$5:$S$304,MATCH(C384,$R$5:$R$304,0))&amp;"","?"))</f>
        <v/>
      </c>
      <c r="N384" s="2">
        <f>IF(E384="","",IF(ISNUMBER(SEARCH("SUBSOLO",E384)),IFERROR(-VALUE(LEFT(E384,FIND("º",SUBSTITUTE(E384,"°","º"))-1)),-1),IF(LEFT(E384,6)="TÉRREO",0,IFERROR(VALUE(LEFT(E384,FIND("º",SUBSTITUTE(E384,"°","º"))-1)),""))))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9877859</v>
      </c>
      <c r="C385" s="4" t="inlineStr">
        <is>
          <t>ESTRUTURA TORRE</t>
        </is>
      </c>
      <c r="D385" s="4" t="inlineStr">
        <is>
          <t>Concretagem Pilar</t>
        </is>
      </c>
      <c r="E385" s="4" t="inlineStr">
        <is>
          <t>8º PAV. TIPO</t>
        </is>
      </c>
      <c r="F385" s="119" t="n">
        <v>46107</v>
      </c>
      <c r="G385" s="119" t="n">
        <v>46107</v>
      </c>
      <c r="H385" s="119" t="n">
        <v>46293</v>
      </c>
      <c r="I385" s="4" t="n">
        <v>100</v>
      </c>
      <c r="J385" s="4" t="n">
        <v>100</v>
      </c>
      <c r="K385" s="4" t="n">
        <v>100</v>
      </c>
      <c r="M385" s="2">
        <f>IF(C385="","",IFERROR(INDEX($S$5:$S$304,MATCH(C385,$R$5:$R$304,0))&amp;"","?"))</f>
        <v/>
      </c>
      <c r="N385" s="2">
        <f>IF(E385="","",IF(ISNUMBER(SEARCH("SUBSOLO",E385)),IFERROR(-VALUE(LEFT(E385,FIND("º",SUBSTITUTE(E385,"°","º"))-1)),-1),IF(LEFT(E385,6)="TÉRREO",0,IFERROR(VALUE(LEFT(E385,FIND("º",SUBSTITUTE(E385,"°","º"))-1)),""))))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9877860</v>
      </c>
      <c r="C386" s="4" t="inlineStr">
        <is>
          <t>ESTRUTURA TORRE</t>
        </is>
      </c>
      <c r="D386" s="4" t="inlineStr">
        <is>
          <t>Forma Vigas e Lajes</t>
        </is>
      </c>
      <c r="E386" s="4" t="inlineStr">
        <is>
          <t>8º PAV. TIPO</t>
        </is>
      </c>
      <c r="F386" s="119" t="n">
        <v>46108</v>
      </c>
      <c r="G386" s="119" t="n">
        <v>46113</v>
      </c>
      <c r="H386" s="119" t="n">
        <v>46293</v>
      </c>
      <c r="I386" s="4" t="n">
        <v>100</v>
      </c>
      <c r="J386" s="4" t="n">
        <v>100</v>
      </c>
      <c r="K386" s="4" t="n">
        <v>100</v>
      </c>
      <c r="M386" s="2">
        <f>IF(C386="","",IFERROR(INDEX($S$5:$S$304,MATCH(C386,$R$5:$R$304,0))&amp;"","?"))</f>
        <v/>
      </c>
      <c r="N386" s="2">
        <f>IF(E386="","",IF(ISNUMBER(SEARCH("SUBSOLO",E386)),IFERROR(-VALUE(LEFT(E386,FIND("º",SUBSTITUTE(E386,"°","º"))-1)),-1),IF(LEFT(E386,6)="TÉRREO",0,IFERROR(VALUE(LEFT(E386,FIND("º",SUBSTITUTE(E386,"°","º"))-1)),""))))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9877861</v>
      </c>
      <c r="C387" s="4" t="inlineStr">
        <is>
          <t>ESTRUTURA TORRE</t>
        </is>
      </c>
      <c r="D387" s="4" t="inlineStr">
        <is>
          <t>Armação Vigas e Lajes</t>
        </is>
      </c>
      <c r="E387" s="4" t="inlineStr">
        <is>
          <t>8º PAV. TIPO</t>
        </is>
      </c>
      <c r="F387" s="119" t="n">
        <v>46111</v>
      </c>
      <c r="G387" s="119" t="n">
        <v>46114</v>
      </c>
      <c r="H387" s="119" t="n">
        <v>46293</v>
      </c>
      <c r="I387" s="4" t="n">
        <v>100</v>
      </c>
      <c r="J387" s="4" t="n">
        <v>100</v>
      </c>
      <c r="K387" s="4" t="n">
        <v>100</v>
      </c>
      <c r="M387" s="2">
        <f>IF(C387="","",IFERROR(INDEX($S$5:$S$304,MATCH(C387,$R$5:$R$304,0))&amp;"","?"))</f>
        <v/>
      </c>
      <c r="N387" s="2">
        <f>IF(E387="","",IF(ISNUMBER(SEARCH("SUBSOLO",E387)),IFERROR(-VALUE(LEFT(E387,FIND("º",SUBSTITUTE(E387,"°","º"))-1)),-1),IF(LEFT(E387,6)="TÉRREO",0,IFERROR(VALUE(LEFT(E387,FIND("º",SUBSTITUTE(E387,"°","º"))-1)),""))))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9877862</v>
      </c>
      <c r="C388" s="4" t="inlineStr">
        <is>
          <t>ESTRUTURA TORRE</t>
        </is>
      </c>
      <c r="D388" s="4" t="inlineStr">
        <is>
          <t>Passagem Hidráulica</t>
        </is>
      </c>
      <c r="E388" s="4" t="inlineStr">
        <is>
          <t>8º PAV. TIPO</t>
        </is>
      </c>
      <c r="F388" s="119" t="n">
        <v>46113</v>
      </c>
      <c r="G388" s="119" t="n">
        <v>46113</v>
      </c>
      <c r="H388" s="119" t="n">
        <v>46293</v>
      </c>
      <c r="I388" s="4" t="n">
        <v>100</v>
      </c>
      <c r="J388" s="4" t="n">
        <v>100</v>
      </c>
      <c r="K388" s="4" t="n">
        <v>100</v>
      </c>
      <c r="M388" s="2">
        <f>IF(C388="","",IFERROR(INDEX($S$5:$S$304,MATCH(C388,$R$5:$R$304,0))&amp;"","?"))</f>
        <v/>
      </c>
      <c r="N388" s="2">
        <f>IF(E388="","",IF(ISNUMBER(SEARCH("SUBSOLO",E388)),IFERROR(-VALUE(LEFT(E388,FIND("º",SUBSTITUTE(E388,"°","º"))-1)),-1),IF(LEFT(E388,6)="TÉRREO",0,IFERROR(VALUE(LEFT(E388,FIND("º",SUBSTITUTE(E388,"°","º"))-1)),""))))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9877863</v>
      </c>
      <c r="C389" s="4" t="inlineStr">
        <is>
          <t>ESTRUTURA TORRE</t>
        </is>
      </c>
      <c r="D389" s="4" t="inlineStr">
        <is>
          <t>Passagem Elétrica</t>
        </is>
      </c>
      <c r="E389" s="4" t="inlineStr">
        <is>
          <t>8º PAV. TIPO</t>
        </is>
      </c>
      <c r="F389" s="119" t="n">
        <v>46113</v>
      </c>
      <c r="G389" s="119" t="n">
        <v>46113</v>
      </c>
      <c r="H389" s="119" t="n">
        <v>46293</v>
      </c>
      <c r="I389" s="4" t="n">
        <v>100</v>
      </c>
      <c r="J389" s="4" t="n">
        <v>100</v>
      </c>
      <c r="K389" s="4" t="n">
        <v>100</v>
      </c>
      <c r="M389" s="2">
        <f>IF(C389="","",IFERROR(INDEX($S$5:$S$304,MATCH(C389,$R$5:$R$304,0))&amp;"","?"))</f>
        <v/>
      </c>
      <c r="N389" s="2">
        <f>IF(E389="","",IF(ISNUMBER(SEARCH("SUBSOLO",E389)),IFERROR(-VALUE(LEFT(E389,FIND("º",SUBSTITUTE(E389,"°","º"))-1)),-1),IF(LEFT(E389,6)="TÉRREO",0,IFERROR(VALUE(LEFT(E389,FIND("º",SUBSTITUTE(E389,"°","º"))-1)),""))))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9877864</v>
      </c>
      <c r="C390" s="4" t="inlineStr">
        <is>
          <t>ESTRUTURA TORRE</t>
        </is>
      </c>
      <c r="D390" s="4" t="inlineStr">
        <is>
          <t>Concretagem</t>
        </is>
      </c>
      <c r="E390" s="4" t="inlineStr">
        <is>
          <t>8º PAV. TIPO</t>
        </is>
      </c>
      <c r="F390" s="119" t="n">
        <v>46114</v>
      </c>
      <c r="G390" s="119" t="n">
        <v>46127</v>
      </c>
      <c r="H390" s="119" t="n">
        <v>46293</v>
      </c>
      <c r="I390" s="4" t="n">
        <v>100</v>
      </c>
      <c r="J390" s="4" t="n">
        <v>100</v>
      </c>
      <c r="K390" s="4" t="n">
        <v>100</v>
      </c>
      <c r="M390" s="2">
        <f>IF(C390="","",IFERROR(INDEX($S$5:$S$304,MATCH(C390,$R$5:$R$304,0))&amp;"","?"))</f>
        <v/>
      </c>
      <c r="N390" s="2">
        <f>IF(E390="","",IF(ISNUMBER(SEARCH("SUBSOLO",E390)),IFERROR(-VALUE(LEFT(E390,FIND("º",SUBSTITUTE(E390,"°","º"))-1)),-1),IF(LEFT(E390,6)="TÉRREO",0,IFERROR(VALUE(LEFT(E390,FIND("º",SUBSTITUTE(E390,"°","º"))-1)),""))))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39739323</v>
      </c>
      <c r="C391" s="4" t="inlineStr">
        <is>
          <t>ALVENARIA - SETOR B</t>
        </is>
      </c>
      <c r="D391" s="4" t="inlineStr">
        <is>
          <t>-</t>
        </is>
      </c>
      <c r="E391" s="4" t="inlineStr">
        <is>
          <t>3º PAV. - PILOTIS</t>
        </is>
      </c>
      <c r="F391" s="119" t="n">
        <v>46111</v>
      </c>
      <c r="G391" s="119" t="n">
        <v>46157</v>
      </c>
      <c r="H391" s="119" t="n">
        <v>46293</v>
      </c>
      <c r="I391" s="4" t="n">
        <v>100</v>
      </c>
      <c r="J391" s="4" t="n">
        <v>100</v>
      </c>
      <c r="K391" s="4" t="n">
        <v>100</v>
      </c>
      <c r="M391" s="2">
        <f>IF(C391="","",IFERROR(INDEX($S$5:$S$304,MATCH(C391,$R$5:$R$304,0))&amp;"","?"))</f>
        <v/>
      </c>
      <c r="N391" s="2">
        <f>IF(E391="","",IF(ISNUMBER(SEARCH("SUBSOLO",E391)),IFERROR(-VALUE(LEFT(E391,FIND("º",SUBSTITUTE(E391,"°","º"))-1)),-1),IF(LEFT(E391,6)="TÉRREO",0,IFERROR(VALUE(LEFT(E391,FIND("º",SUBSTITUTE(E391,"°","º"))-1)),""))))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35181546</v>
      </c>
      <c r="C392" s="4" t="inlineStr">
        <is>
          <t>ALVENARIA - POSTERIOR E LATERAL ESQUERDA - SETOR C</t>
        </is>
      </c>
      <c r="D392" s="4" t="inlineStr">
        <is>
          <t>-</t>
        </is>
      </c>
      <c r="E392" s="4" t="inlineStr">
        <is>
          <t>3º PAV. - PILOTIS</t>
        </is>
      </c>
      <c r="F392" s="119" t="n">
        <v>46111</v>
      </c>
      <c r="G392" s="119" t="n">
        <v>46192</v>
      </c>
      <c r="H392" s="119" t="n">
        <v>46293</v>
      </c>
      <c r="I392" s="4" t="n">
        <v>100</v>
      </c>
      <c r="J392" s="4" t="n">
        <v>100</v>
      </c>
      <c r="K392" s="4" t="n">
        <v>100</v>
      </c>
      <c r="M392" s="2">
        <f>IF(C392="","",IFERROR(INDEX($S$5:$S$304,MATCH(C392,$R$5:$R$304,0))&amp;"","?"))</f>
        <v/>
      </c>
      <c r="N392" s="2">
        <f>IF(E392="","",IF(ISNUMBER(SEARCH("SUBSOLO",E392)),IFERROR(-VALUE(LEFT(E392,FIND("º",SUBSTITUTE(E392,"°","º"))-1)),-1),IF(LEFT(E392,6)="TÉRREO",0,IFERROR(VALUE(LEFT(E392,FIND("º",SUBSTITUTE(E392,"°","º"))-1)),""))))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33366330</v>
      </c>
      <c r="C393" s="4" t="inlineStr">
        <is>
          <t>INFRAESTRUTURA ENTERRADA - 1º QUADRANTE</t>
        </is>
      </c>
      <c r="D393" s="4" t="inlineStr">
        <is>
          <t>-</t>
        </is>
      </c>
      <c r="E393" s="4" t="inlineStr">
        <is>
          <t>TÉRREO - GARAGENS</t>
        </is>
      </c>
      <c r="F393" s="119" t="n">
        <v>46113</v>
      </c>
      <c r="G393" s="119" t="n">
        <v>46189</v>
      </c>
      <c r="H393" s="119" t="n">
        <v>46293</v>
      </c>
      <c r="I393" s="4" t="n">
        <v>100</v>
      </c>
      <c r="J393" s="4" t="n">
        <v>100</v>
      </c>
      <c r="K393" s="4" t="n">
        <v>98.851</v>
      </c>
      <c r="M393" s="2">
        <f>IF(C393="","",IFERROR(INDEX($S$5:$S$304,MATCH(C393,$R$5:$R$304,0))&amp;"","?"))</f>
        <v/>
      </c>
      <c r="N393" s="2">
        <f>IF(E393="","",IF(ISNUMBER(SEARCH("SUBSOLO",E393)),IFERROR(-VALUE(LEFT(E393,FIND("º",SUBSTITUTE(E393,"°","º"))-1)),-1),IF(LEFT(E393,6)="TÉRREO",0,IFERROR(VALUE(LEFT(E393,FIND("º",SUBSTITUTE(E393,"°","º"))-1)),""))))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13552886</v>
      </c>
      <c r="C394" s="4" t="inlineStr">
        <is>
          <t>INFRAESTRUTURA ENTERRADA - 1º QUADRANTE</t>
        </is>
      </c>
      <c r="D394" s="4" t="inlineStr">
        <is>
          <t>INFRAESTRUTURA DE ÁGUA PLUVIAL</t>
        </is>
      </c>
      <c r="E394" s="4" t="inlineStr">
        <is>
          <t>TÉRREO - GARAGENS</t>
        </is>
      </c>
      <c r="F394" s="119" t="n">
        <v>46113</v>
      </c>
      <c r="G394" s="119" t="n">
        <v>46164</v>
      </c>
      <c r="H394" s="119" t="n">
        <v>46293</v>
      </c>
      <c r="I394" s="4" t="n">
        <v>100</v>
      </c>
      <c r="J394" s="4" t="n">
        <v>100</v>
      </c>
      <c r="K394" s="4" t="n">
        <v>100</v>
      </c>
      <c r="M394" s="2">
        <f>IF(C394="","",IFERROR(INDEX($S$5:$S$304,MATCH(C394,$R$5:$R$304,0))&amp;"","?"))</f>
        <v/>
      </c>
      <c r="N394" s="2">
        <f>IF(E394="","",IF(ISNUMBER(SEARCH("SUBSOLO",E394)),IFERROR(-VALUE(LEFT(E394,FIND("º",SUBSTITUTE(E394,"°","º"))-1)),-1),IF(LEFT(E394,6)="TÉRREO",0,IFERROR(VALUE(LEFT(E394,FIND("º",SUBSTITUTE(E394,"°","º"))-1)),""))))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13552887</v>
      </c>
      <c r="C395" s="4" t="inlineStr">
        <is>
          <t>INFRAESTRUTURA ENTERRADA - 1º QUADRANTE</t>
        </is>
      </c>
      <c r="D395" s="4" t="inlineStr">
        <is>
          <t>INFRAESTRUTURA DE ESGOTO</t>
        </is>
      </c>
      <c r="E395" s="4" t="inlineStr">
        <is>
          <t>TÉRREO - GARAGENS</t>
        </is>
      </c>
      <c r="F395" s="119" t="n">
        <v>46113</v>
      </c>
      <c r="G395" s="119" t="n">
        <v>46135</v>
      </c>
      <c r="H395" s="119" t="n">
        <v>46293</v>
      </c>
      <c r="I395" s="4" t="n">
        <v>100</v>
      </c>
      <c r="J395" s="4" t="n">
        <v>100</v>
      </c>
      <c r="K395" s="4" t="n">
        <v>100</v>
      </c>
      <c r="M395" s="2">
        <f>IF(C395="","",IFERROR(INDEX($S$5:$S$304,MATCH(C395,$R$5:$R$304,0))&amp;"","?"))</f>
        <v/>
      </c>
      <c r="N395" s="2">
        <f>IF(E395="","",IF(ISNUMBER(SEARCH("SUBSOLO",E395)),IFERROR(-VALUE(LEFT(E395,FIND("º",SUBSTITUTE(E395,"°","º"))-1)),-1),IF(LEFT(E395,6)="TÉRREO",0,IFERROR(VALUE(LEFT(E395,FIND("º",SUBSTITUTE(E395,"°","º"))-1)),""))))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13552888</v>
      </c>
      <c r="C396" s="4" t="inlineStr">
        <is>
          <t>INFRAESTRUTURA ENTERRADA - 1º QUADRANTE</t>
        </is>
      </c>
      <c r="D396" s="4" t="inlineStr">
        <is>
          <t>INFRAESTRUTURA DE ÁGUA DE REUSO</t>
        </is>
      </c>
      <c r="E396" s="4" t="inlineStr">
        <is>
          <t>TÉRREO - GARAGENS</t>
        </is>
      </c>
      <c r="F396" s="119" t="n">
        <v>46113</v>
      </c>
      <c r="G396" s="119" t="n">
        <v>46150</v>
      </c>
      <c r="H396" s="119" t="n">
        <v>46293</v>
      </c>
      <c r="I396" s="4" t="n">
        <v>100</v>
      </c>
      <c r="J396" s="4" t="n">
        <v>100</v>
      </c>
      <c r="K396" s="4" t="n">
        <v>100</v>
      </c>
      <c r="M396" s="2">
        <f>IF(C396="","",IFERROR(INDEX($S$5:$S$304,MATCH(C396,$R$5:$R$304,0))&amp;"","?"))</f>
        <v/>
      </c>
      <c r="N396" s="2">
        <f>IF(E396="","",IF(ISNUMBER(SEARCH("SUBSOLO",E396)),IFERROR(-VALUE(LEFT(E396,FIND("º",SUBSTITUTE(E396,"°","º"))-1)),-1),IF(LEFT(E396,6)="TÉRREO",0,IFERROR(VALUE(LEFT(E396,FIND("º",SUBSTITUTE(E396,"°","º"))-1)),""))))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13553417</v>
      </c>
      <c r="C397" s="4" t="inlineStr">
        <is>
          <t>INFRAESTRUTURA ENTERRADA - 1º QUADRANTE</t>
        </is>
      </c>
      <c r="D397" s="4" t="inlineStr">
        <is>
          <t>INFRAESTRUTURA ELÉTRICA</t>
        </is>
      </c>
      <c r="E397" s="4" t="inlineStr">
        <is>
          <t>TÉRREO - GARAGENS</t>
        </is>
      </c>
      <c r="F397" s="119" t="n">
        <v>46113</v>
      </c>
      <c r="G397" s="119" t="n">
        <v>46164</v>
      </c>
      <c r="H397" s="119" t="n">
        <v>46293</v>
      </c>
      <c r="I397" s="4" t="n">
        <v>100</v>
      </c>
      <c r="J397" s="4" t="n">
        <v>100</v>
      </c>
      <c r="K397" s="4" t="n">
        <v>100</v>
      </c>
      <c r="M397" s="2">
        <f>IF(C397="","",IFERROR(INDEX($S$5:$S$304,MATCH(C397,$R$5:$R$304,0))&amp;"","?"))</f>
        <v/>
      </c>
      <c r="N397" s="2">
        <f>IF(E397="","",IF(ISNUMBER(SEARCH("SUBSOLO",E397)),IFERROR(-VALUE(LEFT(E397,FIND("º",SUBSTITUTE(E397,"°","º"))-1)),-1),IF(LEFT(E397,6)="TÉRREO",0,IFERROR(VALUE(LEFT(E397,FIND("º",SUBSTITUTE(E397,"°","º"))-1)),""))))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31169285</v>
      </c>
      <c r="C398" s="4" t="inlineStr">
        <is>
          <t>INFRAESTRUTURA ENTERRADA - 1º QUADRANTE</t>
        </is>
      </c>
      <c r="D398" s="4" t="inlineStr">
        <is>
          <t>Escavação - redes pluvial e água servida</t>
        </is>
      </c>
      <c r="E398" s="4" t="inlineStr">
        <is>
          <t>TÉRREO - GARAGENS</t>
        </is>
      </c>
      <c r="F398" s="119" t="n">
        <v>46113</v>
      </c>
      <c r="G398" s="119" t="n">
        <v>46178</v>
      </c>
      <c r="H398" s="119" t="n">
        <v>46293</v>
      </c>
      <c r="I398" s="4" t="n">
        <v>100</v>
      </c>
      <c r="J398" s="4" t="n">
        <v>100</v>
      </c>
      <c r="K398" s="4" t="n">
        <v>100</v>
      </c>
      <c r="M398" s="2">
        <f>IF(C398="","",IFERROR(INDEX($S$5:$S$304,MATCH(C398,$R$5:$R$304,0))&amp;"","?"))</f>
        <v/>
      </c>
      <c r="N398" s="2">
        <f>IF(E398="","",IF(ISNUMBER(SEARCH("SUBSOLO",E398)),IFERROR(-VALUE(LEFT(E398,FIND("º",SUBSTITUTE(E398,"°","º"))-1)),-1),IF(LEFT(E398,6)="TÉRREO",0,IFERROR(VALUE(LEFT(E398,FIND("º",SUBSTITUTE(E398,"°","º"))-1)),""))))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31169286</v>
      </c>
      <c r="C399" s="4" t="inlineStr">
        <is>
          <t>INFRAESTRUTURA ENTERRADA - 1º QUADRANTE</t>
        </is>
      </c>
      <c r="D399" s="4" t="inlineStr">
        <is>
          <t>Lançamento de tubulações/caixas/compactação</t>
        </is>
      </c>
      <c r="E399" s="4" t="inlineStr">
        <is>
          <t>TÉRREO - GARAGENS</t>
        </is>
      </c>
      <c r="F399" s="119" t="n">
        <v>46176</v>
      </c>
      <c r="G399" s="119" t="n">
        <v>46183</v>
      </c>
      <c r="H399" s="119" t="n">
        <v>46293</v>
      </c>
      <c r="I399" s="4" t="n">
        <v>100</v>
      </c>
      <c r="J399" s="4" t="n">
        <v>100</v>
      </c>
      <c r="K399" s="4" t="n">
        <v>100</v>
      </c>
      <c r="M399" s="2">
        <f>IF(C399="","",IFERROR(INDEX($S$5:$S$304,MATCH(C399,$R$5:$R$304,0))&amp;"","?"))</f>
        <v/>
      </c>
      <c r="N399" s="2">
        <f>IF(E399="","",IF(ISNUMBER(SEARCH("SUBSOLO",E399)),IFERROR(-VALUE(LEFT(E399,FIND("º",SUBSTITUTE(E399,"°","º"))-1)),-1),IF(LEFT(E399,6)="TÉRREO",0,IFERROR(VALUE(LEFT(E399,FIND("º",SUBSTITUTE(E399,"°","º"))-1)),""))))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31169287</v>
      </c>
      <c r="C400" s="4" t="inlineStr">
        <is>
          <t>INFRAESTRUTURA ENTERRADA - 1º QUADRANTE</t>
        </is>
      </c>
      <c r="D400" s="4" t="inlineStr">
        <is>
          <t>Concreto CAP-2/CAP-5/CAP-6</t>
        </is>
      </c>
      <c r="E400" s="4" t="inlineStr">
        <is>
          <t>TÉRREO - GARAGENS</t>
        </is>
      </c>
      <c r="F400" s="119" t="n">
        <v>46181</v>
      </c>
      <c r="G400" s="119" t="n">
        <v>46181</v>
      </c>
      <c r="H400" s="119" t="n">
        <v>46293</v>
      </c>
      <c r="I400" s="4" t="n">
        <v>100</v>
      </c>
      <c r="J400" s="4" t="n">
        <v>100</v>
      </c>
      <c r="K400" s="4" t="n">
        <v>100</v>
      </c>
      <c r="M400" s="2">
        <f>IF(C400="","",IFERROR(INDEX($S$5:$S$304,MATCH(C400,$R$5:$R$304,0))&amp;"","?"))</f>
        <v/>
      </c>
      <c r="N400" s="2">
        <f>IF(E400="","",IF(ISNUMBER(SEARCH("SUBSOLO",E400)),IFERROR(-VALUE(LEFT(E400,FIND("º",SUBSTITUTE(E400,"°","º"))-1)),-1),IF(LEFT(E400,6)="TÉRREO",0,IFERROR(VALUE(LEFT(E400,FIND("º",SUBSTITUTE(E400,"°","º"))-1)),""))))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31169288</v>
      </c>
      <c r="C401" s="4" t="inlineStr">
        <is>
          <t>INFRAESTRUTURA ENTERRADA - 1º QUADRANTE</t>
        </is>
      </c>
      <c r="D401" s="4" t="inlineStr">
        <is>
          <t>Tubulação TG-1/TG-4/AP-8/TG-2/CG-3</t>
        </is>
      </c>
      <c r="E401" s="4" t="inlineStr">
        <is>
          <t>TÉRREO - GARAGENS</t>
        </is>
      </c>
      <c r="F401" s="119" t="n">
        <v>46181</v>
      </c>
      <c r="G401" s="119" t="n">
        <v>46185</v>
      </c>
      <c r="H401" s="119" t="n">
        <v>46293</v>
      </c>
      <c r="I401" s="4" t="n">
        <v>100</v>
      </c>
      <c r="J401" s="4" t="n">
        <v>100</v>
      </c>
      <c r="K401" s="4" t="n">
        <v>100</v>
      </c>
      <c r="M401" s="2">
        <f>IF(C401="","",IFERROR(INDEX($S$5:$S$304,MATCH(C401,$R$5:$R$304,0))&amp;"","?"))</f>
        <v/>
      </c>
      <c r="N401" s="2">
        <f>IF(E401="","",IF(ISNUMBER(SEARCH("SUBSOLO",E401)),IFERROR(-VALUE(LEFT(E401,FIND("º",SUBSTITUTE(E401,"°","º"))-1)),-1),IF(LEFT(E401,6)="TÉRREO",0,IFERROR(VALUE(LEFT(E401,FIND("º",SUBSTITUTE(E401,"°","º"))-1)),""))))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31169289</v>
      </c>
      <c r="C402" s="4" t="inlineStr">
        <is>
          <t>INFRAESTRUTURA ENTERRADA - 1º QUADRANTE</t>
        </is>
      </c>
      <c r="D402" s="4" t="inlineStr">
        <is>
          <t>Escavação da rede entre o PV-4 e PV-5</t>
        </is>
      </c>
      <c r="E402" s="4" t="inlineStr">
        <is>
          <t>TÉRREO - GARAGENS</t>
        </is>
      </c>
      <c r="F402" s="119" t="n">
        <v>46181</v>
      </c>
      <c r="G402" s="119" t="n">
        <v>46185</v>
      </c>
      <c r="H402" s="119" t="n">
        <v>46293</v>
      </c>
      <c r="I402" s="4" t="n">
        <v>100</v>
      </c>
      <c r="J402" s="4" t="n">
        <v>100</v>
      </c>
      <c r="K402" s="4" t="n">
        <v>100</v>
      </c>
      <c r="M402" s="2">
        <f>IF(C402="","",IFERROR(INDEX($S$5:$S$304,MATCH(C402,$R$5:$R$304,0))&amp;"","?"))</f>
        <v/>
      </c>
      <c r="N402" s="2">
        <f>IF(E402="","",IF(ISNUMBER(SEARCH("SUBSOLO",E402)),IFERROR(-VALUE(LEFT(E402,FIND("º",SUBSTITUTE(E402,"°","º"))-1)),-1),IF(LEFT(E402,6)="TÉRREO",0,IFERROR(VALUE(LEFT(E402,FIND("º",SUBSTITUTE(E402,"°","º"))-1)),""))))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31169290</v>
      </c>
      <c r="C403" s="4" t="inlineStr">
        <is>
          <t>INFRAESTRUTURA ENTERRADA - 1º QUADRANTE</t>
        </is>
      </c>
      <c r="D403" s="4" t="inlineStr">
        <is>
          <t>Tubulação entre PV-4 e PV-5</t>
        </is>
      </c>
      <c r="E403" s="4" t="inlineStr">
        <is>
          <t>TÉRREO - GARAGENS</t>
        </is>
      </c>
      <c r="F403" s="119" t="n">
        <v>46188</v>
      </c>
      <c r="G403" s="119" t="n">
        <v>46189</v>
      </c>
      <c r="H403" s="119" t="n">
        <v>46293</v>
      </c>
      <c r="I403" s="4" t="n">
        <v>100</v>
      </c>
      <c r="J403" s="4" t="n">
        <v>100</v>
      </c>
      <c r="K403" s="4" t="n">
        <v>100</v>
      </c>
      <c r="M403" s="2">
        <f>IF(C403="","",IFERROR(INDEX($S$5:$S$304,MATCH(C403,$R$5:$R$304,0))&amp;"","?"))</f>
        <v/>
      </c>
      <c r="N403" s="2">
        <f>IF(E403="","",IF(ISNUMBER(SEARCH("SUBSOLO",E403)),IFERROR(-VALUE(LEFT(E403,FIND("º",SUBSTITUTE(E403,"°","º"))-1)),-1),IF(LEFT(E403,6)="TÉRREO",0,IFERROR(VALUE(LEFT(E403,FIND("º",SUBSTITUTE(E403,"°","º"))-1)),""))))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31169291</v>
      </c>
      <c r="C404" s="4" t="inlineStr">
        <is>
          <t>INFRAESTRUTURA ENTERRADA - 1º QUADRANTE</t>
        </is>
      </c>
      <c r="D404" s="4" t="inlineStr">
        <is>
          <t>Caixa do PV-5</t>
        </is>
      </c>
      <c r="E404" s="4" t="inlineStr">
        <is>
          <t>TÉRREO - GARAGENS</t>
        </is>
      </c>
      <c r="F404" s="119" t="n">
        <v>46188</v>
      </c>
      <c r="G404" s="119" t="n">
        <v>46189</v>
      </c>
      <c r="H404" s="119" t="n">
        <v>46293</v>
      </c>
      <c r="I404" s="4" t="n">
        <v>100</v>
      </c>
      <c r="J404" s="4" t="n">
        <v>100</v>
      </c>
      <c r="K404" s="4" t="n">
        <v>0</v>
      </c>
      <c r="M404" s="2">
        <f>IF(C404="","",IFERROR(INDEX($S$5:$S$304,MATCH(C404,$R$5:$R$304,0))&amp;"","?"))</f>
        <v/>
      </c>
      <c r="N404" s="2">
        <f>IF(E404="","",IF(ISNUMBER(SEARCH("SUBSOLO",E404)),IFERROR(-VALUE(LEFT(E404,FIND("º",SUBSTITUTE(E404,"°","º"))-1)),-1),IF(LEFT(E404,6)="TÉRREO",0,IFERROR(VALUE(LEFT(E404,FIND("º",SUBSTITUTE(E404,"°","º"))-1)),""))))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39744099</v>
      </c>
      <c r="C405" s="4" t="inlineStr">
        <is>
          <t>REBOCO - SETOR C</t>
        </is>
      </c>
      <c r="D405" s="4" t="inlineStr">
        <is>
          <t>-</t>
        </is>
      </c>
      <c r="E405" s="4" t="inlineStr">
        <is>
          <t>2º PAV. GARAGEM.</t>
        </is>
      </c>
      <c r="F405" s="119" t="n">
        <v>46113</v>
      </c>
      <c r="G405" s="119" t="n">
        <v>46164</v>
      </c>
      <c r="H405" s="119" t="n">
        <v>46293</v>
      </c>
      <c r="I405" s="4" t="n">
        <v>100</v>
      </c>
      <c r="J405" s="4" t="n">
        <v>100</v>
      </c>
      <c r="K405" s="4" t="n">
        <v>95</v>
      </c>
      <c r="M405" s="2">
        <f>IF(C405="","",IFERROR(INDEX($S$5:$S$304,MATCH(C405,$R$5:$R$304,0))&amp;"","?"))</f>
        <v/>
      </c>
      <c r="N405" s="2">
        <f>IF(E405="","",IF(ISNUMBER(SEARCH("SUBSOLO",E405)),IFERROR(-VALUE(LEFT(E405,FIND("º",SUBSTITUTE(E405,"°","º"))-1)),-1),IF(LEFT(E405,6)="TÉRREO",0,IFERROR(VALUE(LEFT(E405,FIND("º",SUBSTITUTE(E405,"°","º"))-1)),""))))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25752779</v>
      </c>
      <c r="C406" s="4" t="inlineStr">
        <is>
          <t>ESTUQUE - SETOR B</t>
        </is>
      </c>
      <c r="D406" s="4" t="inlineStr">
        <is>
          <t>-</t>
        </is>
      </c>
      <c r="E406" s="4" t="inlineStr">
        <is>
          <t>TÉRREO - GARAGENS</t>
        </is>
      </c>
      <c r="F406" s="119" t="n">
        <v>46119</v>
      </c>
      <c r="G406" s="119" t="n">
        <v>46220</v>
      </c>
      <c r="H406" s="119" t="n">
        <v>46293</v>
      </c>
      <c r="I406" s="4" t="n">
        <v>100</v>
      </c>
      <c r="J406" s="4" t="n">
        <v>100</v>
      </c>
      <c r="K406" s="4" t="n">
        <v>100</v>
      </c>
      <c r="M406" s="2">
        <f>IF(C406="","",IFERROR(INDEX($S$5:$S$304,MATCH(C406,$R$5:$R$304,0))&amp;"","?"))</f>
        <v/>
      </c>
      <c r="N406" s="2">
        <f>IF(E406="","",IF(ISNUMBER(SEARCH("SUBSOLO",E406)),IFERROR(-VALUE(LEFT(E406,FIND("º",SUBSTITUTE(E406,"°","º"))-1)),-1),IF(LEFT(E406,6)="TÉRREO",0,IFERROR(VALUE(LEFT(E406,FIND("º",SUBSTITUTE(E406,"°","º"))-1)),""))))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14371904</v>
      </c>
      <c r="C407" s="4" t="inlineStr">
        <is>
          <t>ESTUQUE - SETOR B</t>
        </is>
      </c>
      <c r="D407" s="4" t="inlineStr">
        <is>
          <t>Estuque</t>
        </is>
      </c>
      <c r="E407" s="4" t="inlineStr">
        <is>
          <t>TÉRREO - GARAGENS</t>
        </is>
      </c>
      <c r="F407" s="119" t="n">
        <v>46119</v>
      </c>
      <c r="G407" s="119" t="n">
        <v>46220</v>
      </c>
      <c r="H407" s="119" t="n">
        <v>46293</v>
      </c>
      <c r="I407" s="4" t="n">
        <v>100</v>
      </c>
      <c r="J407" s="4" t="n">
        <v>100</v>
      </c>
      <c r="K407" s="4" t="n">
        <v>100</v>
      </c>
      <c r="M407" s="2">
        <f>IF(C407="","",IFERROR(INDEX($S$5:$S$304,MATCH(C407,$R$5:$R$304,0))&amp;"","?"))</f>
        <v/>
      </c>
      <c r="N407" s="2">
        <f>IF(E407="","",IF(ISNUMBER(SEARCH("SUBSOLO",E407)),IFERROR(-VALUE(LEFT(E407,FIND("º",SUBSTITUTE(E407,"°","º"))-1)),-1),IF(LEFT(E407,6)="TÉRREO",0,IFERROR(VALUE(LEFT(E407,FIND("º",SUBSTITUTE(E407,"°","º"))-1)),""))))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33368767</v>
      </c>
      <c r="C408" s="4" t="inlineStr">
        <is>
          <t>ESTUQUE - SETOR A</t>
        </is>
      </c>
      <c r="D408" s="4" t="inlineStr">
        <is>
          <t>-</t>
        </is>
      </c>
      <c r="E408" s="4" t="inlineStr">
        <is>
          <t>TÉRREO - GARAGENS</t>
        </is>
      </c>
      <c r="F408" s="119" t="n">
        <v>46119</v>
      </c>
      <c r="G408" s="119" t="n">
        <v>46234</v>
      </c>
      <c r="H408" s="119" t="n">
        <v>46293</v>
      </c>
      <c r="I408" s="4" t="n">
        <v>100</v>
      </c>
      <c r="J408" s="4" t="n">
        <v>100</v>
      </c>
      <c r="K408" s="4" t="n">
        <v>100</v>
      </c>
      <c r="M408" s="2">
        <f>IF(C408="","",IFERROR(INDEX($S$5:$S$304,MATCH(C408,$R$5:$R$304,0))&amp;"","?"))</f>
        <v/>
      </c>
      <c r="N408" s="2">
        <f>IF(E408="","",IF(ISNUMBER(SEARCH("SUBSOLO",E408)),IFERROR(-VALUE(LEFT(E408,FIND("º",SUBSTITUTE(E408,"°","º"))-1)),-1),IF(LEFT(E408,6)="TÉRREO",0,IFERROR(VALUE(LEFT(E408,FIND("º",SUBSTITUTE(E408,"°","º"))-1)),""))))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39743959</v>
      </c>
      <c r="C409" s="4" t="inlineStr">
        <is>
          <t>ALVENARIA ÁREA SOCIAL</t>
        </is>
      </c>
      <c r="D409" s="4" t="inlineStr">
        <is>
          <t>-</t>
        </is>
      </c>
      <c r="E409" s="4" t="inlineStr">
        <is>
          <t>3º PAV. - ACADEMIA</t>
        </is>
      </c>
      <c r="F409" s="119" t="n">
        <v>46126</v>
      </c>
      <c r="G409" s="119" t="n">
        <v>46164</v>
      </c>
      <c r="H409" s="119" t="n">
        <v>46293</v>
      </c>
      <c r="I409" s="4" t="n">
        <v>100</v>
      </c>
      <c r="J409" s="4" t="n">
        <v>100</v>
      </c>
      <c r="K409" s="4" t="n">
        <v>100</v>
      </c>
      <c r="M409" s="2">
        <f>IF(C409="","",IFERROR(INDEX($S$5:$S$304,MATCH(C409,$R$5:$R$304,0))&amp;"","?"))</f>
        <v/>
      </c>
      <c r="N409" s="2">
        <f>IF(E409="","",IF(ISNUMBER(SEARCH("SUBSOLO",E409)),IFERROR(-VALUE(LEFT(E409,FIND("º",SUBSTITUTE(E409,"°","º"))-1)),-1),IF(LEFT(E409,6)="TÉRREO",0,IFERROR(VALUE(LEFT(E409,FIND("º",SUBSTITUTE(E409,"°","º"))-1)),""))))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22139721</v>
      </c>
      <c r="C410" s="4" t="inlineStr">
        <is>
          <t>ESTRUTURA TORRE</t>
        </is>
      </c>
      <c r="D410" s="4" t="inlineStr">
        <is>
          <t>-</t>
        </is>
      </c>
      <c r="E410" s="4" t="inlineStr">
        <is>
          <t>9º PAV. TIPO</t>
        </is>
      </c>
      <c r="F410" s="119" t="n">
        <v>46128</v>
      </c>
      <c r="G410" s="119" t="n">
        <v>46148</v>
      </c>
      <c r="H410" s="119" t="n">
        <v>46293</v>
      </c>
      <c r="I410" s="4" t="n">
        <v>100</v>
      </c>
      <c r="J410" s="4" t="n">
        <v>100</v>
      </c>
      <c r="K410" s="4" t="n">
        <v>100</v>
      </c>
      <c r="M410" s="2">
        <f>IF(C410="","",IFERROR(INDEX($S$5:$S$304,MATCH(C410,$R$5:$R$304,0))&amp;"","?"))</f>
        <v/>
      </c>
      <c r="N410" s="2">
        <f>IF(E410="","",IF(ISNUMBER(SEARCH("SUBSOLO",E410)),IFERROR(-VALUE(LEFT(E410,FIND("º",SUBSTITUTE(E410,"°","º"))-1)),-1),IF(LEFT(E410,6)="TÉRREO",0,IFERROR(VALUE(LEFT(E410,FIND("º",SUBSTITUTE(E410,"°","º"))-1)),""))))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9877156</v>
      </c>
      <c r="C411" s="4" t="inlineStr">
        <is>
          <t>ESTRUTURA TORRE</t>
        </is>
      </c>
      <c r="D411" s="4" t="inlineStr">
        <is>
          <t>Forma Pilar</t>
        </is>
      </c>
      <c r="E411" s="4" t="inlineStr">
        <is>
          <t>9º PAV. TIPO</t>
        </is>
      </c>
      <c r="F411" s="119" t="n">
        <v>46128</v>
      </c>
      <c r="G411" s="119" t="n">
        <v>46129</v>
      </c>
      <c r="H411" s="119" t="n">
        <v>46293</v>
      </c>
      <c r="I411" s="4" t="n">
        <v>100</v>
      </c>
      <c r="J411" s="4" t="n">
        <v>100</v>
      </c>
      <c r="K411" s="4" t="n">
        <v>100</v>
      </c>
      <c r="M411" s="2">
        <f>IF(C411="","",IFERROR(INDEX($S$5:$S$304,MATCH(C411,$R$5:$R$304,0))&amp;"","?"))</f>
        <v/>
      </c>
      <c r="N411" s="2">
        <f>IF(E411="","",IF(ISNUMBER(SEARCH("SUBSOLO",E411)),IFERROR(-VALUE(LEFT(E411,FIND("º",SUBSTITUTE(E411,"°","º"))-1)),-1),IF(LEFT(E411,6)="TÉRREO",0,IFERROR(VALUE(LEFT(E411,FIND("º",SUBSTITUTE(E411,"°","º"))-1)),""))))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9877157</v>
      </c>
      <c r="C412" s="4" t="inlineStr">
        <is>
          <t>ESTRUTURA TORRE</t>
        </is>
      </c>
      <c r="D412" s="4" t="inlineStr">
        <is>
          <t>Armação Pilar</t>
        </is>
      </c>
      <c r="E412" s="4" t="inlineStr">
        <is>
          <t>9º PAV. TIPO</t>
        </is>
      </c>
      <c r="F412" s="119" t="n">
        <v>46128</v>
      </c>
      <c r="G412" s="119" t="n">
        <v>46129</v>
      </c>
      <c r="H412" s="119" t="n">
        <v>46293</v>
      </c>
      <c r="I412" s="4" t="n">
        <v>100</v>
      </c>
      <c r="J412" s="4" t="n">
        <v>100</v>
      </c>
      <c r="K412" s="4" t="n">
        <v>100</v>
      </c>
      <c r="M412" s="2">
        <f>IF(C412="","",IFERROR(INDEX($S$5:$S$304,MATCH(C412,$R$5:$R$304,0))&amp;"","?"))</f>
        <v/>
      </c>
      <c r="N412" s="2">
        <f>IF(E412="","",IF(ISNUMBER(SEARCH("SUBSOLO",E412)),IFERROR(-VALUE(LEFT(E412,FIND("º",SUBSTITUTE(E412,"°","º"))-1)),-1),IF(LEFT(E412,6)="TÉRREO",0,IFERROR(VALUE(LEFT(E412,FIND("º",SUBSTITUTE(E412,"°","º"))-1)),""))))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9877158</v>
      </c>
      <c r="C413" s="4" t="inlineStr">
        <is>
          <t>ESTRUTURA TORRE</t>
        </is>
      </c>
      <c r="D413" s="4" t="inlineStr">
        <is>
          <t>Escoramento</t>
        </is>
      </c>
      <c r="E413" s="4" t="inlineStr">
        <is>
          <t>9º PAV. TIPO</t>
        </is>
      </c>
      <c r="F413" s="119" t="n">
        <v>46129</v>
      </c>
      <c r="G413" s="119" t="n">
        <v>46132</v>
      </c>
      <c r="H413" s="119" t="n">
        <v>46293</v>
      </c>
      <c r="I413" s="4" t="n">
        <v>100</v>
      </c>
      <c r="J413" s="4" t="n">
        <v>100</v>
      </c>
      <c r="K413" s="4" t="n">
        <v>100</v>
      </c>
      <c r="M413" s="2">
        <f>IF(C413="","",IFERROR(INDEX($S$5:$S$304,MATCH(C413,$R$5:$R$304,0))&amp;"","?"))</f>
        <v/>
      </c>
      <c r="N413" s="2">
        <f>IF(E413="","",IF(ISNUMBER(SEARCH("SUBSOLO",E413)),IFERROR(-VALUE(LEFT(E413,FIND("º",SUBSTITUTE(E413,"°","º"))-1)),-1),IF(LEFT(E413,6)="TÉRREO",0,IFERROR(VALUE(LEFT(E413,FIND("º",SUBSTITUTE(E413,"°","º"))-1)),""))))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9877865</v>
      </c>
      <c r="C414" s="4" t="inlineStr">
        <is>
          <t>ESTRUTURA TORRE</t>
        </is>
      </c>
      <c r="D414" s="4" t="inlineStr">
        <is>
          <t>Concretagem Pilar</t>
        </is>
      </c>
      <c r="E414" s="4" t="inlineStr">
        <is>
          <t>9º PAV. TIPO</t>
        </is>
      </c>
      <c r="F414" s="119" t="n">
        <v>46134</v>
      </c>
      <c r="G414" s="119" t="n">
        <v>46134</v>
      </c>
      <c r="H414" s="119" t="n">
        <v>46293</v>
      </c>
      <c r="I414" s="4" t="n">
        <v>100</v>
      </c>
      <c r="J414" s="4" t="n">
        <v>100</v>
      </c>
      <c r="K414" s="4" t="n">
        <v>100</v>
      </c>
      <c r="M414" s="2">
        <f>IF(C414="","",IFERROR(INDEX($S$5:$S$304,MATCH(C414,$R$5:$R$304,0))&amp;"","?"))</f>
        <v/>
      </c>
      <c r="N414" s="2">
        <f>IF(E414="","",IF(ISNUMBER(SEARCH("SUBSOLO",E414)),IFERROR(-VALUE(LEFT(E414,FIND("º",SUBSTITUTE(E414,"°","º"))-1)),-1),IF(LEFT(E414,6)="TÉRREO",0,IFERROR(VALUE(LEFT(E414,FIND("º",SUBSTITUTE(E414,"°","º"))-1)),""))))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9877866</v>
      </c>
      <c r="C415" s="4" t="inlineStr">
        <is>
          <t>ESTRUTURA TORRE</t>
        </is>
      </c>
      <c r="D415" s="4" t="inlineStr">
        <is>
          <t>Forma Vigas e Lajes</t>
        </is>
      </c>
      <c r="E415" s="4" t="inlineStr">
        <is>
          <t>9º PAV. TIPO</t>
        </is>
      </c>
      <c r="F415" s="119" t="n">
        <v>46135</v>
      </c>
      <c r="G415" s="119" t="n">
        <v>46147</v>
      </c>
      <c r="H415" s="119" t="n">
        <v>46293</v>
      </c>
      <c r="I415" s="4" t="n">
        <v>100</v>
      </c>
      <c r="J415" s="4" t="n">
        <v>100</v>
      </c>
      <c r="K415" s="4" t="n">
        <v>100</v>
      </c>
      <c r="M415" s="2">
        <f>IF(C415="","",IFERROR(INDEX($S$5:$S$304,MATCH(C415,$R$5:$R$304,0))&amp;"","?"))</f>
        <v/>
      </c>
      <c r="N415" s="2">
        <f>IF(E415="","",IF(ISNUMBER(SEARCH("SUBSOLO",E415)),IFERROR(-VALUE(LEFT(E415,FIND("º",SUBSTITUTE(E415,"°","º"))-1)),-1),IF(LEFT(E415,6)="TÉRREO",0,IFERROR(VALUE(LEFT(E415,FIND("º",SUBSTITUTE(E415,"°","º"))-1)),""))))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9877867</v>
      </c>
      <c r="C416" s="4" t="inlineStr">
        <is>
          <t>ESTRUTURA TORRE</t>
        </is>
      </c>
      <c r="D416" s="4" t="inlineStr">
        <is>
          <t>Armação Vigas e Lajes</t>
        </is>
      </c>
      <c r="E416" s="4" t="inlineStr">
        <is>
          <t>9º PAV. TIPO</t>
        </is>
      </c>
      <c r="F416" s="119" t="n">
        <v>46136</v>
      </c>
      <c r="G416" s="119" t="n">
        <v>46148</v>
      </c>
      <c r="H416" s="119" t="n">
        <v>46293</v>
      </c>
      <c r="I416" s="4" t="n">
        <v>100</v>
      </c>
      <c r="J416" s="4" t="n">
        <v>100</v>
      </c>
      <c r="K416" s="4" t="n">
        <v>100</v>
      </c>
      <c r="M416" s="2">
        <f>IF(C416="","",IFERROR(INDEX($S$5:$S$304,MATCH(C416,$R$5:$R$304,0))&amp;"","?"))</f>
        <v/>
      </c>
      <c r="N416" s="2">
        <f>IF(E416="","",IF(ISNUMBER(SEARCH("SUBSOLO",E416)),IFERROR(-VALUE(LEFT(E416,FIND("º",SUBSTITUTE(E416,"°","º"))-1)),-1),IF(LEFT(E416,6)="TÉRREO",0,IFERROR(VALUE(LEFT(E416,FIND("º",SUBSTITUTE(E416,"°","º"))-1)),""))))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9877868</v>
      </c>
      <c r="C417" s="4" t="inlineStr">
        <is>
          <t>ESTRUTURA TORRE</t>
        </is>
      </c>
      <c r="D417" s="4" t="inlineStr">
        <is>
          <t>Passagem Hidráulica</t>
        </is>
      </c>
      <c r="E417" s="4" t="inlineStr">
        <is>
          <t>9º PAV. TIPO</t>
        </is>
      </c>
      <c r="F417" s="119" t="n">
        <v>46147</v>
      </c>
      <c r="G417" s="119" t="n">
        <v>46147</v>
      </c>
      <c r="H417" s="119" t="n">
        <v>46293</v>
      </c>
      <c r="I417" s="4" t="n">
        <v>100</v>
      </c>
      <c r="J417" s="4" t="n">
        <v>100</v>
      </c>
      <c r="K417" s="4" t="n">
        <v>100</v>
      </c>
      <c r="M417" s="2">
        <f>IF(C417="","",IFERROR(INDEX($S$5:$S$304,MATCH(C417,$R$5:$R$304,0))&amp;"","?"))</f>
        <v/>
      </c>
      <c r="N417" s="2">
        <f>IF(E417="","",IF(ISNUMBER(SEARCH("SUBSOLO",E417)),IFERROR(-VALUE(LEFT(E417,FIND("º",SUBSTITUTE(E417,"°","º"))-1)),-1),IF(LEFT(E417,6)="TÉRREO",0,IFERROR(VALUE(LEFT(E417,FIND("º",SUBSTITUTE(E417,"°","º"))-1)),""))))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9877869</v>
      </c>
      <c r="C418" s="4" t="inlineStr">
        <is>
          <t>ESTRUTURA TORRE</t>
        </is>
      </c>
      <c r="D418" s="4" t="inlineStr">
        <is>
          <t>Passagem Elétrica</t>
        </is>
      </c>
      <c r="E418" s="4" t="inlineStr">
        <is>
          <t>9º PAV. TIPO</t>
        </is>
      </c>
      <c r="F418" s="119" t="n">
        <v>46147</v>
      </c>
      <c r="G418" s="119" t="n">
        <v>46147</v>
      </c>
      <c r="H418" s="119" t="n">
        <v>46293</v>
      </c>
      <c r="I418" s="4" t="n">
        <v>100</v>
      </c>
      <c r="J418" s="4" t="n">
        <v>100</v>
      </c>
      <c r="K418" s="4" t="n">
        <v>100</v>
      </c>
      <c r="M418" s="2">
        <f>IF(C418="","",IFERROR(INDEX($S$5:$S$304,MATCH(C418,$R$5:$R$304,0))&amp;"","?"))</f>
        <v/>
      </c>
      <c r="N418" s="2">
        <f>IF(E418="","",IF(ISNUMBER(SEARCH("SUBSOLO",E418)),IFERROR(-VALUE(LEFT(E418,FIND("º",SUBSTITUTE(E418,"°","º"))-1)),-1),IF(LEFT(E418,6)="TÉRREO",0,IFERROR(VALUE(LEFT(E418,FIND("º",SUBSTITUTE(E418,"°","º"))-1)),""))))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9877870</v>
      </c>
      <c r="C419" s="4" t="inlineStr">
        <is>
          <t>ESTRUTURA TORRE</t>
        </is>
      </c>
      <c r="D419" s="4" t="inlineStr">
        <is>
          <t>Concretagem</t>
        </is>
      </c>
      <c r="E419" s="4" t="inlineStr">
        <is>
          <t>9º PAV. TIPO</t>
        </is>
      </c>
      <c r="F419" s="119" t="n">
        <v>46148</v>
      </c>
      <c r="G419" s="119" t="n">
        <v>46148</v>
      </c>
      <c r="H419" s="119" t="n">
        <v>46293</v>
      </c>
      <c r="I419" s="4" t="n">
        <v>100</v>
      </c>
      <c r="J419" s="4" t="n">
        <v>100</v>
      </c>
      <c r="K419" s="4" t="n">
        <v>100</v>
      </c>
      <c r="M419" s="2">
        <f>IF(C419="","",IFERROR(INDEX($S$5:$S$304,MATCH(C419,$R$5:$R$304,0))&amp;"","?"))</f>
        <v/>
      </c>
      <c r="N419" s="2">
        <f>IF(E419="","",IF(ISNUMBER(SEARCH("SUBSOLO",E419)),IFERROR(-VALUE(LEFT(E419,FIND("º",SUBSTITUTE(E419,"°","º"))-1)),-1),IF(LEFT(E419,6)="TÉRREO",0,IFERROR(VALUE(LEFT(E419,FIND("º",SUBSTITUTE(E419,"°","º"))-1)),""))))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39739872</v>
      </c>
      <c r="C420" s="4" t="inlineStr">
        <is>
          <t>ALVENARIA ÁREA SOCIAL</t>
        </is>
      </c>
      <c r="D420" s="4" t="inlineStr">
        <is>
          <t>-</t>
        </is>
      </c>
      <c r="E420" s="4" t="inlineStr">
        <is>
          <t>3º PAV. PISCINA DESCOBERTA E E ÁREA DESCOBERTA PISCINA</t>
        </is>
      </c>
      <c r="F420" s="119" t="n">
        <v>46136</v>
      </c>
      <c r="G420" s="119" t="n">
        <v>46168</v>
      </c>
      <c r="H420" s="119" t="n">
        <v>46293</v>
      </c>
      <c r="I420" s="4" t="n">
        <v>100</v>
      </c>
      <c r="J420" s="4" t="n">
        <v>100</v>
      </c>
      <c r="K420" s="4" t="n">
        <v>100</v>
      </c>
      <c r="M420" s="2">
        <f>IF(C420="","",IFERROR(INDEX($S$5:$S$304,MATCH(C420,$R$5:$R$304,0))&amp;"","?"))</f>
        <v/>
      </c>
      <c r="N420" s="2">
        <f>IF(E420="","",IF(ISNUMBER(SEARCH("SUBSOLO",E420)),IFERROR(-VALUE(LEFT(E420,FIND("º",SUBSTITUTE(E420,"°","º"))-1)),-1),IF(LEFT(E420,6)="TÉRREO",0,IFERROR(VALUE(LEFT(E420,FIND("º",SUBSTITUTE(E420,"°","º"))-1)),""))))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39743956</v>
      </c>
      <c r="C421" s="4" t="inlineStr">
        <is>
          <t>ALVENARIA ÁREA SOCIAL</t>
        </is>
      </c>
      <c r="D421" s="4" t="inlineStr">
        <is>
          <t>-</t>
        </is>
      </c>
      <c r="E421" s="4" t="inlineStr">
        <is>
          <t>3º PAV. - BAR PISCINA, VESTIÁRIOS, DEPOSITOS E LOUNGE QUADRAS</t>
        </is>
      </c>
      <c r="F421" s="119" t="n">
        <v>46136</v>
      </c>
      <c r="G421" s="119" t="n">
        <v>46168</v>
      </c>
      <c r="H421" s="119" t="n">
        <v>46293</v>
      </c>
      <c r="I421" s="4" t="n">
        <v>100</v>
      </c>
      <c r="J421" s="4" t="n">
        <v>100</v>
      </c>
      <c r="K421" s="4" t="n">
        <v>100</v>
      </c>
      <c r="M421" s="2">
        <f>IF(C421="","",IFERROR(INDEX($S$5:$S$304,MATCH(C421,$R$5:$R$304,0))&amp;"","?"))</f>
        <v/>
      </c>
      <c r="N421" s="2">
        <f>IF(E421="","",IF(ISNUMBER(SEARCH("SUBSOLO",E421)),IFERROR(-VALUE(LEFT(E421,FIND("º",SUBSTITUTE(E421,"°","º"))-1)),-1),IF(LEFT(E421,6)="TÉRREO",0,IFERROR(VALUE(LEFT(E421,FIND("º",SUBSTITUTE(E421,"°","º"))-1)),""))))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33368816</v>
      </c>
      <c r="C422" s="4" t="inlineStr">
        <is>
          <t>ESTUQUE - SETOR C</t>
        </is>
      </c>
      <c r="D422" s="4" t="inlineStr">
        <is>
          <t>-</t>
        </is>
      </c>
      <c r="E422" s="4" t="inlineStr">
        <is>
          <t>TÉRREO - GARAGENS</t>
        </is>
      </c>
      <c r="F422" s="119" t="n">
        <v>46139</v>
      </c>
      <c r="G422" s="119" t="n">
        <v>46258</v>
      </c>
      <c r="H422" s="119" t="n">
        <v>46293</v>
      </c>
      <c r="I422" s="4" t="n">
        <v>100</v>
      </c>
      <c r="J422" s="4" t="n">
        <v>100</v>
      </c>
      <c r="K422" s="4" t="n">
        <v>100</v>
      </c>
      <c r="M422" s="2">
        <f>IF(C422="","",IFERROR(INDEX($S$5:$S$304,MATCH(C422,$R$5:$R$304,0))&amp;"","?"))</f>
        <v/>
      </c>
      <c r="N422" s="2">
        <f>IF(E422="","",IF(ISNUMBER(SEARCH("SUBSOLO",E422)),IFERROR(-VALUE(LEFT(E422,FIND("º",SUBSTITUTE(E422,"°","º"))-1)),-1),IF(LEFT(E422,6)="TÉRREO",0,IFERROR(VALUE(LEFT(E422,FIND("º",SUBSTITUTE(E422,"°","º"))-1)),""))))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45227619</v>
      </c>
      <c r="C423" s="4" t="inlineStr">
        <is>
          <t>ÁREA DE VIVÊNCIA</t>
        </is>
      </c>
      <c r="D423" s="4" t="inlineStr">
        <is>
          <t>-</t>
        </is>
      </c>
      <c r="E423" s="4" t="inlineStr">
        <is>
          <t>GERAL</t>
        </is>
      </c>
      <c r="F423" s="119" t="n">
        <v>46146</v>
      </c>
      <c r="G423" s="119" t="n">
        <v>46188</v>
      </c>
      <c r="H423" s="119" t="n">
        <v>46293</v>
      </c>
      <c r="I423" s="4" t="n">
        <v>100</v>
      </c>
      <c r="J423" s="4" t="n">
        <v>100</v>
      </c>
      <c r="K423" s="4" t="n">
        <v>100</v>
      </c>
      <c r="M423" s="2">
        <f>IF(C423="","",IFERROR(INDEX($S$5:$S$304,MATCH(C423,$R$5:$R$304,0))&amp;"","?"))</f>
        <v/>
      </c>
      <c r="N423" s="2">
        <f>IF(E423="","",IF(ISNUMBER(SEARCH("SUBSOLO",E423)),IFERROR(-VALUE(LEFT(E423,FIND("º",SUBSTITUTE(E423,"°","º"))-1)),-1),IF(LEFT(E423,6)="TÉRREO",0,IFERROR(VALUE(LEFT(E423,FIND("º",SUBSTITUTE(E423,"°","º"))-1)),""))))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29221587</v>
      </c>
      <c r="C424" s="4" t="inlineStr">
        <is>
          <t>ÁREA DE VIVÊNCIA</t>
        </is>
      </c>
      <c r="D424" s="4" t="inlineStr">
        <is>
          <t>Divisórias navais</t>
        </is>
      </c>
      <c r="E424" s="4" t="inlineStr">
        <is>
          <t>GERAL</t>
        </is>
      </c>
      <c r="F424" s="119" t="n">
        <v>46146</v>
      </c>
      <c r="G424" s="119" t="n">
        <v>46171</v>
      </c>
      <c r="H424" s="119" t="n">
        <v>46293</v>
      </c>
      <c r="I424" s="4" t="n">
        <v>100</v>
      </c>
      <c r="J424" s="4" t="n">
        <v>100</v>
      </c>
      <c r="K424" s="4" t="n">
        <v>100</v>
      </c>
      <c r="M424" s="2">
        <f>IF(C424="","",IFERROR(INDEX($S$5:$S$304,MATCH(C424,$R$5:$R$304,0))&amp;"","?"))</f>
        <v/>
      </c>
      <c r="N424" s="2">
        <f>IF(E424="","",IF(ISNUMBER(SEARCH("SUBSOLO",E424)),IFERROR(-VALUE(LEFT(E424,FIND("º",SUBSTITUTE(E424,"°","º"))-1)),-1),IF(LEFT(E424,6)="TÉRREO",0,IFERROR(VALUE(LEFT(E424,FIND("º",SUBSTITUTE(E424,"°","º"))-1)),""))))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29221588</v>
      </c>
      <c r="C425" s="4" t="inlineStr">
        <is>
          <t>ÁREA DE VIVÊNCIA</t>
        </is>
      </c>
      <c r="D425" s="4" t="inlineStr">
        <is>
          <t>Enchimento do piso dos vasos e chuveiros</t>
        </is>
      </c>
      <c r="E425" s="4" t="inlineStr">
        <is>
          <t>GERAL</t>
        </is>
      </c>
      <c r="F425" s="119" t="n">
        <v>46146</v>
      </c>
      <c r="G425" s="119" t="n">
        <v>46150</v>
      </c>
      <c r="H425" s="119" t="n">
        <v>46293</v>
      </c>
      <c r="I425" s="4" t="n">
        <v>100</v>
      </c>
      <c r="J425" s="4" t="n">
        <v>100</v>
      </c>
      <c r="K425" s="4" t="n">
        <v>100</v>
      </c>
      <c r="M425" s="2">
        <f>IF(C425="","",IFERROR(INDEX($S$5:$S$304,MATCH(C425,$R$5:$R$304,0))&amp;"","?"))</f>
        <v/>
      </c>
      <c r="N425" s="2">
        <f>IF(E425="","",IF(ISNUMBER(SEARCH("SUBSOLO",E425)),IFERROR(-VALUE(LEFT(E425,FIND("º",SUBSTITUTE(E425,"°","º"))-1)),-1),IF(LEFT(E425,6)="TÉRREO",0,IFERROR(VALUE(LEFT(E425,FIND("º",SUBSTITUTE(E425,"°","º"))-1)),""))))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29221589</v>
      </c>
      <c r="C426" s="4" t="inlineStr">
        <is>
          <t>ÁREA DE VIVÊNCIA</t>
        </is>
      </c>
      <c r="D426" s="4" t="inlineStr">
        <is>
          <t>Instalações hidrossanitárias</t>
        </is>
      </c>
      <c r="E426" s="4" t="inlineStr">
        <is>
          <t>GERAL</t>
        </is>
      </c>
      <c r="F426" s="119" t="n">
        <v>46176</v>
      </c>
      <c r="G426" s="119" t="n">
        <v>46178</v>
      </c>
      <c r="H426" s="119" t="n">
        <v>46293</v>
      </c>
      <c r="I426" s="4" t="n">
        <v>100</v>
      </c>
      <c r="J426" s="4" t="n">
        <v>100</v>
      </c>
      <c r="K426" s="4" t="n">
        <v>100</v>
      </c>
      <c r="M426" s="2">
        <f>IF(C426="","",IFERROR(INDEX($S$5:$S$304,MATCH(C426,$R$5:$R$304,0))&amp;"","?"))</f>
        <v/>
      </c>
      <c r="N426" s="2">
        <f>IF(E426="","",IF(ISNUMBER(SEARCH("SUBSOLO",E426)),IFERROR(-VALUE(LEFT(E426,FIND("º",SUBSTITUTE(E426,"°","º"))-1)),-1),IF(LEFT(E426,6)="TÉRREO",0,IFERROR(VALUE(LEFT(E426,FIND("º",SUBSTITUTE(E426,"°","º"))-1)),""))))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29221590</v>
      </c>
      <c r="C427" s="4" t="inlineStr">
        <is>
          <t>ÁREA DE VIVÊNCIA</t>
        </is>
      </c>
      <c r="D427" s="4" t="inlineStr">
        <is>
          <t>Instalações elétricas</t>
        </is>
      </c>
      <c r="E427" s="4" t="inlineStr">
        <is>
          <t>GERAL</t>
        </is>
      </c>
      <c r="F427" s="119" t="n">
        <v>46176</v>
      </c>
      <c r="G427" s="119" t="n">
        <v>46178</v>
      </c>
      <c r="H427" s="119" t="n">
        <v>46293</v>
      </c>
      <c r="I427" s="4" t="n">
        <v>100</v>
      </c>
      <c r="J427" s="4" t="n">
        <v>100</v>
      </c>
      <c r="K427" s="4" t="n">
        <v>100</v>
      </c>
      <c r="M427" s="2">
        <f>IF(C427="","",IFERROR(INDEX($S$5:$S$304,MATCH(C427,$R$5:$R$304,0))&amp;"","?"))</f>
        <v/>
      </c>
      <c r="N427" s="2">
        <f>IF(E427="","",IF(ISNUMBER(SEARCH("SUBSOLO",E427)),IFERROR(-VALUE(LEFT(E427,FIND("º",SUBSTITUTE(E427,"°","º"))-1)),-1),IF(LEFT(E427,6)="TÉRREO",0,IFERROR(VALUE(LEFT(E427,FIND("º",SUBSTITUTE(E427,"°","º"))-1)),""))))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29221591</v>
      </c>
      <c r="C428" s="4" t="inlineStr">
        <is>
          <t>ÁREA DE VIVÊNCIA</t>
        </is>
      </c>
      <c r="D428" s="4" t="inlineStr">
        <is>
          <t>Divisórias dos banhos e vasos</t>
        </is>
      </c>
      <c r="E428" s="4" t="inlineStr">
        <is>
          <t>GERAL</t>
        </is>
      </c>
      <c r="F428" s="119" t="n">
        <v>46153</v>
      </c>
      <c r="G428" s="119" t="n">
        <v>46175</v>
      </c>
      <c r="H428" s="119" t="n">
        <v>46293</v>
      </c>
      <c r="I428" s="4" t="n">
        <v>100</v>
      </c>
      <c r="J428" s="4" t="n">
        <v>100</v>
      </c>
      <c r="K428" s="4" t="n">
        <v>100</v>
      </c>
      <c r="M428" s="2">
        <f>IF(C428="","",IFERROR(INDEX($S$5:$S$304,MATCH(C428,$R$5:$R$304,0))&amp;"","?"))</f>
        <v/>
      </c>
      <c r="N428" s="2">
        <f>IF(E428="","",IF(ISNUMBER(SEARCH("SUBSOLO",E428)),IFERROR(-VALUE(LEFT(E428,FIND("º",SUBSTITUTE(E428,"°","º"))-1)),-1),IF(LEFT(E428,6)="TÉRREO",0,IFERROR(VALUE(LEFT(E428,FIND("º",SUBSTITUTE(E428,"°","º"))-1)),""))))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29221592</v>
      </c>
      <c r="C429" s="4" t="inlineStr">
        <is>
          <t>ÁREA DE VIVÊNCIA</t>
        </is>
      </c>
      <c r="D429" s="4" t="inlineStr">
        <is>
          <t>Desmobilização e mobilização</t>
        </is>
      </c>
      <c r="E429" s="4" t="inlineStr">
        <is>
          <t>GERAL</t>
        </is>
      </c>
      <c r="F429" s="119" t="n">
        <v>46181</v>
      </c>
      <c r="G429" s="119" t="n">
        <v>46188</v>
      </c>
      <c r="H429" s="119" t="n">
        <v>46293</v>
      </c>
      <c r="I429" s="4" t="n">
        <v>100</v>
      </c>
      <c r="J429" s="4" t="n">
        <v>100</v>
      </c>
      <c r="K429" s="4" t="n">
        <v>100</v>
      </c>
      <c r="M429" s="2">
        <f>IF(C429="","",IFERROR(INDEX($S$5:$S$304,MATCH(C429,$R$5:$R$304,0))&amp;"","?"))</f>
        <v/>
      </c>
      <c r="N429" s="2">
        <f>IF(E429="","",IF(ISNUMBER(SEARCH("SUBSOLO",E429)),IFERROR(-VALUE(LEFT(E429,FIND("º",SUBSTITUTE(E429,"°","º"))-1)),-1),IF(LEFT(E429,6)="TÉRREO",0,IFERROR(VALUE(LEFT(E429,FIND("º",SUBSTITUTE(E429,"°","º"))-1)),""))))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39743962</v>
      </c>
      <c r="C430" s="4" t="inlineStr">
        <is>
          <t>ALVENARIA ÁREA SOCIAL</t>
        </is>
      </c>
      <c r="D430" s="4" t="inlineStr">
        <is>
          <t>-</t>
        </is>
      </c>
      <c r="E430" s="4" t="inlineStr">
        <is>
          <t>3º PAV. - ESPAÇO KIDS E GOURMET, SALÃO DE FESTAS E APOIO, LOBBY PILOTIS</t>
        </is>
      </c>
      <c r="F430" s="119" t="n">
        <v>46148</v>
      </c>
      <c r="G430" s="119" t="n">
        <v>46197</v>
      </c>
      <c r="H430" s="119" t="n">
        <v>46293</v>
      </c>
      <c r="I430" s="4" t="n">
        <v>100</v>
      </c>
      <c r="J430" s="4" t="n">
        <v>100</v>
      </c>
      <c r="K430" s="4" t="n">
        <v>100</v>
      </c>
      <c r="M430" s="2">
        <f>IF(C430="","",IFERROR(INDEX($S$5:$S$304,MATCH(C430,$R$5:$R$304,0))&amp;"","?"))</f>
        <v/>
      </c>
      <c r="N430" s="2">
        <f>IF(E430="","",IF(ISNUMBER(SEARCH("SUBSOLO",E430)),IFERROR(-VALUE(LEFT(E430,FIND("º",SUBSTITUTE(E430,"°","º"))-1)),-1),IF(LEFT(E430,6)="TÉRREO",0,IFERROR(VALUE(LEFT(E430,FIND("º",SUBSTITUTE(E430,"°","º"))-1)),""))))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43846640</v>
      </c>
      <c r="C431" s="4" t="inlineStr">
        <is>
          <t>ALVENARIA EXTERNA</t>
        </is>
      </c>
      <c r="D431" s="4" t="inlineStr">
        <is>
          <t>-</t>
        </is>
      </c>
      <c r="E431" s="4" t="inlineStr">
        <is>
          <t>4° PAV. APTO GARDEN</t>
        </is>
      </c>
      <c r="F431" s="119" t="n">
        <v>46148</v>
      </c>
      <c r="G431" s="119" t="n">
        <v>46213</v>
      </c>
      <c r="H431" s="119" t="n">
        <v>46293</v>
      </c>
      <c r="I431" s="4" t="n">
        <v>100</v>
      </c>
      <c r="J431" s="4" t="n">
        <v>100</v>
      </c>
      <c r="K431" s="4" t="n">
        <v>100</v>
      </c>
      <c r="M431" s="2">
        <f>IF(C431="","",IFERROR(INDEX($S$5:$S$304,MATCH(C431,$R$5:$R$304,0))&amp;"","?"))</f>
        <v/>
      </c>
      <c r="N431" s="2">
        <f>IF(E431="","",IF(ISNUMBER(SEARCH("SUBSOLO",E431)),IFERROR(-VALUE(LEFT(E431,FIND("º",SUBSTITUTE(E431,"°","º"))-1)),-1),IF(LEFT(E431,6)="TÉRREO",0,IFERROR(VALUE(LEFT(E431,FIND("º",SUBSTITUTE(E431,"°","º"))-1)),""))))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22139722</v>
      </c>
      <c r="C432" s="4" t="inlineStr">
        <is>
          <t>ESTRUTURA TORRE</t>
        </is>
      </c>
      <c r="D432" s="4" t="inlineStr">
        <is>
          <t>-</t>
        </is>
      </c>
      <c r="E432" s="4" t="inlineStr">
        <is>
          <t>10º PAV. TIPO</t>
        </is>
      </c>
      <c r="F432" s="119" t="n">
        <v>46149</v>
      </c>
      <c r="G432" s="119" t="n">
        <v>46164</v>
      </c>
      <c r="H432" s="119" t="n">
        <v>46293</v>
      </c>
      <c r="I432" s="4" t="n">
        <v>100</v>
      </c>
      <c r="J432" s="4" t="n">
        <v>100</v>
      </c>
      <c r="K432" s="4" t="n">
        <v>100</v>
      </c>
      <c r="M432" s="2">
        <f>IF(C432="","",IFERROR(INDEX($S$5:$S$304,MATCH(C432,$R$5:$R$304,0))&amp;"","?"))</f>
        <v/>
      </c>
      <c r="N432" s="2">
        <f>IF(E432="","",IF(ISNUMBER(SEARCH("SUBSOLO",E432)),IFERROR(-VALUE(LEFT(E432,FIND("º",SUBSTITUTE(E432,"°","º"))-1)),-1),IF(LEFT(E432,6)="TÉRREO",0,IFERROR(VALUE(LEFT(E432,FIND("º",SUBSTITUTE(E432,"°","º"))-1)),""))))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29214346</v>
      </c>
      <c r="C433" s="4" t="inlineStr">
        <is>
          <t>ESTRUTURA TORRE</t>
        </is>
      </c>
      <c r="D433" s="4" t="inlineStr">
        <is>
          <t>Montagem e lançamento de pilares</t>
        </is>
      </c>
      <c r="E433" s="4" t="inlineStr">
        <is>
          <t>10º PAV. TIPO</t>
        </is>
      </c>
      <c r="F433" s="119" t="n">
        <v>46149</v>
      </c>
      <c r="G433" s="119" t="n">
        <v>46157</v>
      </c>
      <c r="H433" s="119" t="n">
        <v>46293</v>
      </c>
      <c r="I433" s="4" t="n">
        <v>100</v>
      </c>
      <c r="J433" s="4" t="n">
        <v>100</v>
      </c>
      <c r="K433" s="4" t="n">
        <v>100</v>
      </c>
      <c r="M433" s="2">
        <f>IF(C433="","",IFERROR(INDEX($S$5:$S$304,MATCH(C433,$R$5:$R$304,0))&amp;"","?"))</f>
        <v/>
      </c>
      <c r="N433" s="2">
        <f>IF(E433="","",IF(ISNUMBER(SEARCH("SUBSOLO",E433)),IFERROR(-VALUE(LEFT(E433,FIND("º",SUBSTITUTE(E433,"°","º"))-1)),-1),IF(LEFT(E433,6)="TÉRREO",0,IFERROR(VALUE(LEFT(E433,FIND("º",SUBSTITUTE(E433,"°","º"))-1)),""))))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29214347</v>
      </c>
      <c r="C434" s="4" t="inlineStr">
        <is>
          <t>ESTRUTURA TORRE</t>
        </is>
      </c>
      <c r="D434" s="4" t="inlineStr">
        <is>
          <t>Forma de pilares</t>
        </is>
      </c>
      <c r="E434" s="4" t="inlineStr">
        <is>
          <t>10º PAV. TIPO</t>
        </is>
      </c>
      <c r="F434" s="119" t="n">
        <v>46149</v>
      </c>
      <c r="G434" s="119" t="n">
        <v>46163</v>
      </c>
      <c r="H434" s="119" t="n">
        <v>46293</v>
      </c>
      <c r="I434" s="4" t="n">
        <v>100</v>
      </c>
      <c r="J434" s="4" t="n">
        <v>100</v>
      </c>
      <c r="K434" s="4" t="n">
        <v>100</v>
      </c>
      <c r="M434" s="2">
        <f>IF(C434="","",IFERROR(INDEX($S$5:$S$304,MATCH(C434,$R$5:$R$304,0))&amp;"","?"))</f>
        <v/>
      </c>
      <c r="N434" s="2">
        <f>IF(E434="","",IF(ISNUMBER(SEARCH("SUBSOLO",E434)),IFERROR(-VALUE(LEFT(E434,FIND("º",SUBSTITUTE(E434,"°","º"))-1)),-1),IF(LEFT(E434,6)="TÉRREO",0,IFERROR(VALUE(LEFT(E434,FIND("º",SUBSTITUTE(E434,"°","º"))-1)),""))))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29214348</v>
      </c>
      <c r="C435" s="4" t="inlineStr">
        <is>
          <t>ESTRUTURA TORRE</t>
        </is>
      </c>
      <c r="D435" s="4" t="inlineStr">
        <is>
          <t>Montagem de escoramento e forma - trecho 1</t>
        </is>
      </c>
      <c r="E435" s="4" t="inlineStr">
        <is>
          <t>10º PAV. TIPO</t>
        </is>
      </c>
      <c r="F435" s="119" t="n">
        <v>46149</v>
      </c>
      <c r="G435" s="119" t="n">
        <v>46160</v>
      </c>
      <c r="H435" s="119" t="n">
        <v>46293</v>
      </c>
      <c r="I435" s="4" t="n">
        <v>100</v>
      </c>
      <c r="J435" s="4" t="n">
        <v>100</v>
      </c>
      <c r="K435" s="4" t="n">
        <v>100</v>
      </c>
      <c r="M435" s="2">
        <f>IF(C435="","",IFERROR(INDEX($S$5:$S$304,MATCH(C435,$R$5:$R$304,0))&amp;"","?"))</f>
        <v/>
      </c>
      <c r="N435" s="2">
        <f>IF(E435="","",IF(ISNUMBER(SEARCH("SUBSOLO",E435)),IFERROR(-VALUE(LEFT(E435,FIND("º",SUBSTITUTE(E435,"°","º"))-1)),-1),IF(LEFT(E435,6)="TÉRREO",0,IFERROR(VALUE(LEFT(E435,FIND("º",SUBSTITUTE(E435,"°","º"))-1)),""))))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29214349</v>
      </c>
      <c r="C436" s="4" t="inlineStr">
        <is>
          <t>ESTRUTURA TORRE</t>
        </is>
      </c>
      <c r="D436" s="4" t="inlineStr">
        <is>
          <t>1ª concretagem de pilares</t>
        </is>
      </c>
      <c r="E436" s="4" t="inlineStr">
        <is>
          <t>10º PAV. TIPO</t>
        </is>
      </c>
      <c r="F436" s="119" t="n">
        <v>46157</v>
      </c>
      <c r="G436" s="119" t="n">
        <v>46157</v>
      </c>
      <c r="H436" s="119" t="n">
        <v>46293</v>
      </c>
      <c r="I436" s="4" t="n">
        <v>100</v>
      </c>
      <c r="J436" s="4" t="n">
        <v>100</v>
      </c>
      <c r="K436" s="4" t="n">
        <v>100</v>
      </c>
      <c r="M436" s="2">
        <f>IF(C436="","",IFERROR(INDEX($S$5:$S$304,MATCH(C436,$R$5:$R$304,0))&amp;"","?"))</f>
        <v/>
      </c>
      <c r="N436" s="2">
        <f>IF(E436="","",IF(ISNUMBER(SEARCH("SUBSOLO",E436)),IFERROR(-VALUE(LEFT(E436,FIND("º",SUBSTITUTE(E436,"°","º"))-1)),-1),IF(LEFT(E436,6)="TÉRREO",0,IFERROR(VALUE(LEFT(E436,FIND("º",SUBSTITUTE(E436,"°","º"))-1)),""))))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29214350</v>
      </c>
      <c r="C437" s="4" t="inlineStr">
        <is>
          <t>ESTRUTURA TORRE</t>
        </is>
      </c>
      <c r="D437" s="4" t="inlineStr">
        <is>
          <t>2ª concretagem de pilar</t>
        </is>
      </c>
      <c r="E437" s="4" t="inlineStr">
        <is>
          <t>10º PAV. TIPO</t>
        </is>
      </c>
      <c r="F437" s="119" t="n">
        <v>46162</v>
      </c>
      <c r="G437" s="119" t="n">
        <v>46162</v>
      </c>
      <c r="H437" s="119" t="n">
        <v>46293</v>
      </c>
      <c r="I437" s="4" t="n">
        <v>100</v>
      </c>
      <c r="J437" s="4" t="n">
        <v>100</v>
      </c>
      <c r="K437" s="4" t="n">
        <v>100</v>
      </c>
      <c r="M437" s="2">
        <f>IF(C437="","",IFERROR(INDEX($S$5:$S$304,MATCH(C437,$R$5:$R$304,0))&amp;"","?"))</f>
        <v/>
      </c>
      <c r="N437" s="2">
        <f>IF(E437="","",IF(ISNUMBER(SEARCH("SUBSOLO",E437)),IFERROR(-VALUE(LEFT(E437,FIND("º",SUBSTITUTE(E437,"°","º"))-1)),-1),IF(LEFT(E437,6)="TÉRREO",0,IFERROR(VALUE(LEFT(E437,FIND("º",SUBSTITUTE(E437,"°","º"))-1)),""))))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29214351</v>
      </c>
      <c r="C438" s="4" t="inlineStr">
        <is>
          <t>ESTRUTURA TORRE</t>
        </is>
      </c>
      <c r="D438" s="4" t="inlineStr">
        <is>
          <t>Montagem de escoramento e forma - trecho 2</t>
        </is>
      </c>
      <c r="E438" s="4" t="inlineStr">
        <is>
          <t>10º PAV. TIPO</t>
        </is>
      </c>
      <c r="F438" s="119" t="n">
        <v>46156</v>
      </c>
      <c r="G438" s="119" t="n">
        <v>46163</v>
      </c>
      <c r="H438" s="119" t="n">
        <v>46293</v>
      </c>
      <c r="I438" s="4" t="n">
        <v>100</v>
      </c>
      <c r="J438" s="4" t="n">
        <v>100</v>
      </c>
      <c r="K438" s="4" t="n">
        <v>100</v>
      </c>
      <c r="M438" s="2">
        <f>IF(C438="","",IFERROR(INDEX($S$5:$S$304,MATCH(C438,$R$5:$R$304,0))&amp;"","?"))</f>
        <v/>
      </c>
      <c r="N438" s="2">
        <f>IF(E438="","",IF(ISNUMBER(SEARCH("SUBSOLO",E438)),IFERROR(-VALUE(LEFT(E438,FIND("º",SUBSTITUTE(E438,"°","º"))-1)),-1),IF(LEFT(E438,6)="TÉRREO",0,IFERROR(VALUE(LEFT(E438,FIND("º",SUBSTITUTE(E438,"°","º"))-1)),""))))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29214352</v>
      </c>
      <c r="C439" s="4" t="inlineStr">
        <is>
          <t>ESTRUTURA TORRE</t>
        </is>
      </c>
      <c r="D439" s="4" t="inlineStr">
        <is>
          <t xml:space="preserve">Montagem de vigas e lançamento de lajes </t>
        </is>
      </c>
      <c r="E439" s="4" t="inlineStr">
        <is>
          <t>10º PAV. TIPO</t>
        </is>
      </c>
      <c r="F439" s="119" t="n">
        <v>46156</v>
      </c>
      <c r="G439" s="119" t="n">
        <v>46163</v>
      </c>
      <c r="H439" s="119" t="n">
        <v>46293</v>
      </c>
      <c r="I439" s="4" t="n">
        <v>100</v>
      </c>
      <c r="J439" s="4" t="n">
        <v>100</v>
      </c>
      <c r="K439" s="4" t="n">
        <v>100</v>
      </c>
      <c r="M439" s="2">
        <f>IF(C439="","",IFERROR(INDEX($S$5:$S$304,MATCH(C439,$R$5:$R$304,0))&amp;"","?"))</f>
        <v/>
      </c>
      <c r="N439" s="2">
        <f>IF(E439="","",IF(ISNUMBER(SEARCH("SUBSOLO",E439)),IFERROR(-VALUE(LEFT(E439,FIND("º",SUBSTITUTE(E439,"°","º"))-1)),-1),IF(LEFT(E439,6)="TÉRREO",0,IFERROR(VALUE(LEFT(E439,FIND("º",SUBSTITUTE(E439,"°","º"))-1)),""))))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29214353</v>
      </c>
      <c r="C440" s="4" t="inlineStr">
        <is>
          <t>ESTRUTURA TORRE</t>
        </is>
      </c>
      <c r="D440" s="4" t="inlineStr">
        <is>
          <t>Concretagem do 1º trecho</t>
        </is>
      </c>
      <c r="E440" s="4" t="inlineStr">
        <is>
          <t>10º PAV. TIPO</t>
        </is>
      </c>
      <c r="F440" s="119" t="n">
        <v>46162</v>
      </c>
      <c r="G440" s="119" t="n">
        <v>46162</v>
      </c>
      <c r="H440" s="119" t="n">
        <v>46293</v>
      </c>
      <c r="I440" s="4" t="n">
        <v>100</v>
      </c>
      <c r="J440" s="4" t="n">
        <v>100</v>
      </c>
      <c r="K440" s="4" t="n">
        <v>100</v>
      </c>
      <c r="M440" s="2">
        <f>IF(C440="","",IFERROR(INDEX($S$5:$S$304,MATCH(C440,$R$5:$R$304,0))&amp;"","?"))</f>
        <v/>
      </c>
      <c r="N440" s="2">
        <f>IF(E440="","",IF(ISNUMBER(SEARCH("SUBSOLO",E440)),IFERROR(-VALUE(LEFT(E440,FIND("º",SUBSTITUTE(E440,"°","º"))-1)),-1),IF(LEFT(E440,6)="TÉRREO",0,IFERROR(VALUE(LEFT(E440,FIND("º",SUBSTITUTE(E440,"°","º"))-1)),""))))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29214354</v>
      </c>
      <c r="C441" s="4" t="inlineStr">
        <is>
          <t>ESTRUTURA TORRE</t>
        </is>
      </c>
      <c r="D441" s="4" t="inlineStr">
        <is>
          <t>Concretagem do 2º trecho</t>
        </is>
      </c>
      <c r="E441" s="4" t="inlineStr">
        <is>
          <t>10º PAV. TIPO</t>
        </is>
      </c>
      <c r="F441" s="119" t="n">
        <v>46164</v>
      </c>
      <c r="G441" s="119" t="n">
        <v>46164</v>
      </c>
      <c r="H441" s="119" t="n">
        <v>46293</v>
      </c>
      <c r="I441" s="4" t="n">
        <v>100</v>
      </c>
      <c r="J441" s="4" t="n">
        <v>100</v>
      </c>
      <c r="K441" s="4" t="n">
        <v>100</v>
      </c>
      <c r="M441" s="2">
        <f>IF(C441="","",IFERROR(INDEX($S$5:$S$304,MATCH(C441,$R$5:$R$304,0))&amp;"","?"))</f>
        <v/>
      </c>
      <c r="N441" s="2">
        <f>IF(E441="","",IF(ISNUMBER(SEARCH("SUBSOLO",E441)),IFERROR(-VALUE(LEFT(E441,FIND("º",SUBSTITUTE(E441,"°","º"))-1)),-1),IF(LEFT(E441,6)="TÉRREO",0,IFERROR(VALUE(LEFT(E441,FIND("º",SUBSTITUTE(E441,"°","º"))-1)),""))))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29214355</v>
      </c>
      <c r="C442" s="4" t="inlineStr">
        <is>
          <t>ESTRUTURA TORRE</t>
        </is>
      </c>
      <c r="D442" s="4" t="inlineStr">
        <is>
          <t>Passagem de laje</t>
        </is>
      </c>
      <c r="E442" s="4" t="inlineStr">
        <is>
          <t>10º PAV. TIPO</t>
        </is>
      </c>
      <c r="F442" s="119" t="n">
        <v>46160</v>
      </c>
      <c r="G442" s="119" t="n">
        <v>46163</v>
      </c>
      <c r="H442" s="119" t="n">
        <v>46293</v>
      </c>
      <c r="I442" s="4" t="n">
        <v>100</v>
      </c>
      <c r="J442" s="4" t="n">
        <v>100</v>
      </c>
      <c r="K442" s="4" t="n">
        <v>100</v>
      </c>
      <c r="M442" s="2">
        <f>IF(C442="","",IFERROR(INDEX($S$5:$S$304,MATCH(C442,$R$5:$R$304,0))&amp;"","?"))</f>
        <v/>
      </c>
      <c r="N442" s="2">
        <f>IF(E442="","",IF(ISNUMBER(SEARCH("SUBSOLO",E442)),IFERROR(-VALUE(LEFT(E442,FIND("º",SUBSTITUTE(E442,"°","º"))-1)),-1),IF(LEFT(E442,6)="TÉRREO",0,IFERROR(VALUE(LEFT(E442,FIND("º",SUBSTITUTE(E442,"°","º"))-1)),""))))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45227620</v>
      </c>
      <c r="C443" s="4" t="inlineStr">
        <is>
          <t>CAMINHO DO CLIENTE</t>
        </is>
      </c>
      <c r="D443" s="4" t="inlineStr">
        <is>
          <t>-</t>
        </is>
      </c>
      <c r="E443" s="4" t="inlineStr">
        <is>
          <t>GERAL</t>
        </is>
      </c>
      <c r="F443" s="119" t="n">
        <v>46150</v>
      </c>
      <c r="G443" s="119" t="n">
        <v>46269</v>
      </c>
      <c r="H443" s="119" t="n">
        <v>46293</v>
      </c>
      <c r="I443" s="4" t="n">
        <v>100</v>
      </c>
      <c r="J443" s="4" t="n">
        <v>100</v>
      </c>
      <c r="K443" s="4" t="n">
        <v>100</v>
      </c>
      <c r="M443" s="2">
        <f>IF(C443="","",IFERROR(INDEX($S$5:$S$304,MATCH(C443,$R$5:$R$304,0))&amp;"","?"))</f>
        <v/>
      </c>
      <c r="N443" s="2">
        <f>IF(E443="","",IF(ISNUMBER(SEARCH("SUBSOLO",E443)),IFERROR(-VALUE(LEFT(E443,FIND("º",SUBSTITUTE(E443,"°","º"))-1)),-1),IF(LEFT(E443,6)="TÉRREO",0,IFERROR(VALUE(LEFT(E443,FIND("º",SUBSTITUTE(E443,"°","º"))-1)),""))))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29221593</v>
      </c>
      <c r="C444" s="4" t="inlineStr">
        <is>
          <t>CAMINHO DO CLIENTE</t>
        </is>
      </c>
      <c r="D444" s="4" t="inlineStr">
        <is>
          <t>Retirada do aço da porção frontal</t>
        </is>
      </c>
      <c r="E444" s="4" t="inlineStr">
        <is>
          <t>GERAL</t>
        </is>
      </c>
      <c r="F444" s="119" t="n">
        <v>46150</v>
      </c>
      <c r="G444" s="119" t="n">
        <v>46156</v>
      </c>
      <c r="H444" s="119" t="n">
        <v>46293</v>
      </c>
      <c r="I444" s="4" t="n">
        <v>100</v>
      </c>
      <c r="J444" s="4" t="n">
        <v>100</v>
      </c>
      <c r="K444" s="4" t="n">
        <v>100</v>
      </c>
      <c r="M444" s="2">
        <f>IF(C444="","",IFERROR(INDEX($S$5:$S$304,MATCH(C444,$R$5:$R$304,0))&amp;"","?"))</f>
        <v/>
      </c>
      <c r="N444" s="2">
        <f>IF(E444="","",IF(ISNUMBER(SEARCH("SUBSOLO",E444)),IFERROR(-VALUE(LEFT(E444,FIND("º",SUBSTITUTE(E444,"°","º"))-1)),-1),IF(LEFT(E444,6)="TÉRREO",0,IFERROR(VALUE(LEFT(E444,FIND("º",SUBSTITUTE(E444,"°","º"))-1)),""))))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29221594</v>
      </c>
      <c r="C445" s="4" t="inlineStr">
        <is>
          <t>CAMINHO DO CLIENTE</t>
        </is>
      </c>
      <c r="D445" s="4" t="inlineStr">
        <is>
          <t>Alvenaria setor A - hall</t>
        </is>
      </c>
      <c r="E445" s="4" t="inlineStr">
        <is>
          <t>GERAL</t>
        </is>
      </c>
      <c r="F445" s="119" t="n">
        <v>46150</v>
      </c>
      <c r="G445" s="119" t="n">
        <v>46156</v>
      </c>
      <c r="H445" s="119" t="n">
        <v>46293</v>
      </c>
      <c r="I445" s="4" t="n">
        <v>100</v>
      </c>
      <c r="J445" s="4" t="n">
        <v>100</v>
      </c>
      <c r="K445" s="4" t="n">
        <v>100</v>
      </c>
      <c r="M445" s="2">
        <f>IF(C445="","",IFERROR(INDEX($S$5:$S$304,MATCH(C445,$R$5:$R$304,0))&amp;"","?"))</f>
        <v/>
      </c>
      <c r="N445" s="2">
        <f>IF(E445="","",IF(ISNUMBER(SEARCH("SUBSOLO",E445)),IFERROR(-VALUE(LEFT(E445,FIND("º",SUBSTITUTE(E445,"°","º"))-1)),-1),IF(LEFT(E445,6)="TÉRREO",0,IFERROR(VALUE(LEFT(E445,FIND("º",SUBSTITUTE(E445,"°","º"))-1)),""))))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29221595</v>
      </c>
      <c r="C446" s="4" t="inlineStr">
        <is>
          <t>CAMINHO DO CLIENTE</t>
        </is>
      </c>
      <c r="D446" s="4" t="inlineStr">
        <is>
          <t>Preparação do piso</t>
        </is>
      </c>
      <c r="E446" s="4" t="inlineStr">
        <is>
          <t>GERAL</t>
        </is>
      </c>
      <c r="F446" s="119" t="n">
        <v>46167</v>
      </c>
      <c r="G446" s="119" t="n">
        <v>46169</v>
      </c>
      <c r="H446" s="119" t="n">
        <v>46293</v>
      </c>
      <c r="I446" s="4" t="n">
        <v>100</v>
      </c>
      <c r="J446" s="4" t="n">
        <v>100</v>
      </c>
      <c r="K446" s="4" t="n">
        <v>100</v>
      </c>
      <c r="M446" s="2">
        <f>IF(C446="","",IFERROR(INDEX($S$5:$S$304,MATCH(C446,$R$5:$R$304,0))&amp;"","?"))</f>
        <v/>
      </c>
      <c r="N446" s="2">
        <f>IF(E446="","",IF(ISNUMBER(SEARCH("SUBSOLO",E446)),IFERROR(-VALUE(LEFT(E446,FIND("º",SUBSTITUTE(E446,"°","º"))-1)),-1),IF(LEFT(E446,6)="TÉRREO",0,IFERROR(VALUE(LEFT(E446,FIND("º",SUBSTITUTE(E446,"°","º"))-1)),""))))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29221596</v>
      </c>
      <c r="C447" s="4" t="inlineStr">
        <is>
          <t>CAMINHO DO CLIENTE</t>
        </is>
      </c>
      <c r="D447" s="4" t="inlineStr">
        <is>
          <t>Concretagem do piso</t>
        </is>
      </c>
      <c r="E447" s="4" t="inlineStr">
        <is>
          <t>GERAL</t>
        </is>
      </c>
      <c r="F447" s="119" t="n">
        <v>46170</v>
      </c>
      <c r="G447" s="119" t="n">
        <v>46170</v>
      </c>
      <c r="H447" s="119" t="n">
        <v>46293</v>
      </c>
      <c r="I447" s="4" t="n">
        <v>100</v>
      </c>
      <c r="J447" s="4" t="n">
        <v>100</v>
      </c>
      <c r="K447" s="4" t="n">
        <v>100</v>
      </c>
      <c r="M447" s="2">
        <f>IF(C447="","",IFERROR(INDEX($S$5:$S$304,MATCH(C447,$R$5:$R$304,0))&amp;"","?"))</f>
        <v/>
      </c>
      <c r="N447" s="2">
        <f>IF(E447="","",IF(ISNUMBER(SEARCH("SUBSOLO",E447)),IFERROR(-VALUE(LEFT(E447,FIND("º",SUBSTITUTE(E447,"°","º"))-1)),-1),IF(LEFT(E447,6)="TÉRREO",0,IFERROR(VALUE(LEFT(E447,FIND("º",SUBSTITUTE(E447,"°","º"))-1)),""))))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29221597</v>
      </c>
      <c r="C448" s="4" t="inlineStr">
        <is>
          <t>CAMINHO DO CLIENTE</t>
        </is>
      </c>
      <c r="D448" s="4" t="inlineStr">
        <is>
          <t>Reboco das alvenarias do hall</t>
        </is>
      </c>
      <c r="E448" s="4" t="inlineStr">
        <is>
          <t>GERAL</t>
        </is>
      </c>
      <c r="F448" s="119" t="n">
        <v>46157</v>
      </c>
      <c r="G448" s="119" t="n">
        <v>46164</v>
      </c>
      <c r="H448" s="119" t="n">
        <v>46293</v>
      </c>
      <c r="I448" s="4" t="n">
        <v>100</v>
      </c>
      <c r="J448" s="4" t="n">
        <v>100</v>
      </c>
      <c r="K448" s="4" t="n">
        <v>100</v>
      </c>
      <c r="M448" s="2">
        <f>IF(C448="","",IFERROR(INDEX($S$5:$S$304,MATCH(C448,$R$5:$R$304,0))&amp;"","?"))</f>
        <v/>
      </c>
      <c r="N448" s="2">
        <f>IF(E448="","",IF(ISNUMBER(SEARCH("SUBSOLO",E448)),IFERROR(-VALUE(LEFT(E448,FIND("º",SUBSTITUTE(E448,"°","º"))-1)),-1),IF(LEFT(E448,6)="TÉRREO",0,IFERROR(VALUE(LEFT(E448,FIND("º",SUBSTITUTE(E448,"°","º"))-1)),""))))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29221598</v>
      </c>
      <c r="C449" s="4" t="inlineStr">
        <is>
          <t>CAMINHO DO CLIENTE</t>
        </is>
      </c>
      <c r="D449" s="4" t="inlineStr">
        <is>
          <t>Cerquite</t>
        </is>
      </c>
      <c r="E449" s="4" t="inlineStr">
        <is>
          <t>GERAL</t>
        </is>
      </c>
      <c r="F449" s="119" t="n">
        <v>46171</v>
      </c>
      <c r="G449" s="119" t="n">
        <v>46269</v>
      </c>
      <c r="H449" s="119" t="n">
        <v>46293</v>
      </c>
      <c r="I449" s="4" t="n">
        <v>100</v>
      </c>
      <c r="J449" s="4" t="n">
        <v>100</v>
      </c>
      <c r="K449" s="4" t="n">
        <v>100</v>
      </c>
      <c r="M449" s="2">
        <f>IF(C449="","",IFERROR(INDEX($S$5:$S$304,MATCH(C449,$R$5:$R$304,0))&amp;"","?"))</f>
        <v/>
      </c>
      <c r="N449" s="2">
        <f>IF(E449="","",IF(ISNUMBER(SEARCH("SUBSOLO",E449)),IFERROR(-VALUE(LEFT(E449,FIND("º",SUBSTITUTE(E449,"°","º"))-1)),-1),IF(LEFT(E449,6)="TÉRREO",0,IFERROR(VALUE(LEFT(E449,FIND("º",SUBSTITUTE(E449,"°","º"))-1)),""))))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44965417</v>
      </c>
      <c r="C450" s="4" t="inlineStr">
        <is>
          <t>ALVENARIA EXTERNA</t>
        </is>
      </c>
      <c r="D450" s="4" t="inlineStr">
        <is>
          <t>-</t>
        </is>
      </c>
      <c r="E450" s="4" t="inlineStr">
        <is>
          <t>TÉRREO - GARAGENS</t>
        </is>
      </c>
      <c r="F450" s="119" t="n">
        <v>46160</v>
      </c>
      <c r="G450" s="119" t="n">
        <v>46251</v>
      </c>
      <c r="H450" s="119" t="n">
        <v>46293</v>
      </c>
      <c r="I450" s="4" t="n">
        <v>100</v>
      </c>
      <c r="J450" s="4" t="n">
        <v>100</v>
      </c>
      <c r="K450" s="4" t="n">
        <v>100</v>
      </c>
      <c r="M450" s="2">
        <f>IF(C450="","",IFERROR(INDEX($S$5:$S$304,MATCH(C450,$R$5:$R$304,0))&amp;"","?"))</f>
        <v/>
      </c>
      <c r="N450" s="2">
        <f>IF(E450="","",IF(ISNUMBER(SEARCH("SUBSOLO",E450)),IFERROR(-VALUE(LEFT(E450,FIND("º",SUBSTITUTE(E450,"°","º"))-1)),-1),IF(LEFT(E450,6)="TÉRREO",0,IFERROR(VALUE(LEFT(E450,FIND("º",SUBSTITUTE(E450,"°","º"))-1)),""))))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29135927</v>
      </c>
      <c r="C451" s="4" t="inlineStr">
        <is>
          <t>ALVENARIA EXTERNA</t>
        </is>
      </c>
      <c r="D451" s="4" t="inlineStr">
        <is>
          <t>Alvenaria Dupla Setor A + C - Casa Jairo</t>
        </is>
      </c>
      <c r="E451" s="4" t="inlineStr">
        <is>
          <t>TÉRREO - GARAGENS</t>
        </is>
      </c>
      <c r="F451" s="119" t="n">
        <v>46160</v>
      </c>
      <c r="G451" s="119" t="n">
        <v>46188</v>
      </c>
      <c r="H451" s="119" t="n">
        <v>46293</v>
      </c>
      <c r="I451" s="4" t="n">
        <v>100</v>
      </c>
      <c r="J451" s="4" t="n">
        <v>100</v>
      </c>
      <c r="K451" s="4" t="n">
        <v>100</v>
      </c>
      <c r="M451" s="2">
        <f>IF(C451="","",IFERROR(INDEX($S$5:$S$304,MATCH(C451,$R$5:$R$304,0))&amp;"","?"))</f>
        <v/>
      </c>
      <c r="N451" s="2">
        <f>IF(E451="","",IF(ISNUMBER(SEARCH("SUBSOLO",E451)),IFERROR(-VALUE(LEFT(E451,FIND("º",SUBSTITUTE(E451,"°","º"))-1)),-1),IF(LEFT(E451,6)="TÉRREO",0,IFERROR(VALUE(LEFT(E451,FIND("º",SUBSTITUTE(E451,"°","º"))-1)),""))))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29135928</v>
      </c>
      <c r="C452" s="4" t="inlineStr">
        <is>
          <t>ALVENARIA EXTERNA</t>
        </is>
      </c>
      <c r="D452" s="4" t="inlineStr">
        <is>
          <t>ARS e Áreas Técnicas</t>
        </is>
      </c>
      <c r="E452" s="4" t="inlineStr">
        <is>
          <t>TÉRREO - GARAGENS</t>
        </is>
      </c>
      <c r="F452" s="119" t="n">
        <v>46189</v>
      </c>
      <c r="G452" s="119" t="n">
        <v>46230</v>
      </c>
      <c r="H452" s="119" t="n">
        <v>46293</v>
      </c>
      <c r="I452" s="4" t="n">
        <v>100</v>
      </c>
      <c r="J452" s="4" t="n">
        <v>100</v>
      </c>
      <c r="K452" s="4" t="n">
        <v>100</v>
      </c>
      <c r="M452" s="2">
        <f>IF(C452="","",IFERROR(INDEX($S$5:$S$304,MATCH(C452,$R$5:$R$304,0))&amp;"","?"))</f>
        <v/>
      </c>
      <c r="N452" s="2">
        <f>IF(E452="","",IF(ISNUMBER(SEARCH("SUBSOLO",E452)),IFERROR(-VALUE(LEFT(E452,FIND("º",SUBSTITUTE(E452,"°","º"))-1)),-1),IF(LEFT(E452,6)="TÉRREO",0,IFERROR(VALUE(LEFT(E452,FIND("º",SUBSTITUTE(E452,"°","º"))-1)),""))))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29135929</v>
      </c>
      <c r="C453" s="4" t="inlineStr">
        <is>
          <t>ALVENARIA EXTERNA</t>
        </is>
      </c>
      <c r="D453" s="4" t="inlineStr">
        <is>
          <t>Alvenaria Setor C - Contenção</t>
        </is>
      </c>
      <c r="E453" s="4" t="inlineStr">
        <is>
          <t>TÉRREO - GARAGENS</t>
        </is>
      </c>
      <c r="F453" s="119" t="n">
        <v>46231</v>
      </c>
      <c r="G453" s="119" t="n">
        <v>46251</v>
      </c>
      <c r="H453" s="119" t="n">
        <v>46293</v>
      </c>
      <c r="I453" s="4" t="n">
        <v>100</v>
      </c>
      <c r="J453" s="4" t="n">
        <v>100</v>
      </c>
      <c r="K453" s="4" t="n">
        <v>100</v>
      </c>
      <c r="M453" s="2">
        <f>IF(C453="","",IFERROR(INDEX($S$5:$S$304,MATCH(C453,$R$5:$R$304,0))&amp;"","?"))</f>
        <v/>
      </c>
      <c r="N453" s="2">
        <f>IF(E453="","",IF(ISNUMBER(SEARCH("SUBSOLO",E453)),IFERROR(-VALUE(LEFT(E453,FIND("º",SUBSTITUTE(E453,"°","º"))-1)),-1),IF(LEFT(E453,6)="TÉRREO",0,IFERROR(VALUE(LEFT(E453,FIND("º",SUBSTITUTE(E453,"°","º"))-1)),""))))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25752748</v>
      </c>
      <c r="C454" s="4" t="inlineStr">
        <is>
          <t>REBOCO INTERNO</t>
        </is>
      </c>
      <c r="D454" s="4" t="inlineStr">
        <is>
          <t>-</t>
        </is>
      </c>
      <c r="E454" s="4" t="inlineStr">
        <is>
          <t>2º PAV. - ÁREAS TÉCNICAS</t>
        </is>
      </c>
      <c r="F454" s="119" t="n">
        <v>46163</v>
      </c>
      <c r="G454" s="119" t="n">
        <v>46290</v>
      </c>
      <c r="H454" s="119" t="n">
        <v>46293</v>
      </c>
      <c r="I454" s="4" t="n">
        <v>100</v>
      </c>
      <c r="J454" s="4" t="n">
        <v>100</v>
      </c>
      <c r="K454" s="4" t="n">
        <v>95</v>
      </c>
      <c r="M454" s="2">
        <f>IF(C454="","",IFERROR(INDEX($S$5:$S$304,MATCH(C454,$R$5:$R$304,0))&amp;"","?"))</f>
        <v/>
      </c>
      <c r="N454" s="2">
        <f>IF(E454="","",IF(ISNUMBER(SEARCH("SUBSOLO",E454)),IFERROR(-VALUE(LEFT(E454,FIND("º",SUBSTITUTE(E454,"°","º"))-1)),-1),IF(LEFT(E454,6)="TÉRREO",0,IFERROR(VALUE(LEFT(E454,FIND("º",SUBSTITUTE(E454,"°","º"))-1)),""))))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39744411</v>
      </c>
      <c r="C455" s="4" t="inlineStr">
        <is>
          <t>REBOCO - SETOR A</t>
        </is>
      </c>
      <c r="D455" s="4" t="inlineStr">
        <is>
          <t>-</t>
        </is>
      </c>
      <c r="E455" s="4" t="inlineStr">
        <is>
          <t>2º PAV. GARAGEM.</t>
        </is>
      </c>
      <c r="F455" s="119" t="n">
        <v>46167</v>
      </c>
      <c r="G455" s="119" t="n">
        <v>46171</v>
      </c>
      <c r="H455" s="119" t="n">
        <v>46293</v>
      </c>
      <c r="I455" s="4" t="n">
        <v>100</v>
      </c>
      <c r="J455" s="4" t="n">
        <v>100</v>
      </c>
      <c r="K455" s="4" t="n">
        <v>100</v>
      </c>
      <c r="M455" s="2">
        <f>IF(C455="","",IFERROR(INDEX($S$5:$S$304,MATCH(C455,$R$5:$R$304,0))&amp;"","?"))</f>
        <v/>
      </c>
      <c r="N455" s="2">
        <f>IF(E455="","",IF(ISNUMBER(SEARCH("SUBSOLO",E455)),IFERROR(-VALUE(LEFT(E455,FIND("º",SUBSTITUTE(E455,"°","º"))-1)),-1),IF(LEFT(E455,6)="TÉRREO",0,IFERROR(VALUE(LEFT(E455,FIND("º",SUBSTITUTE(E455,"°","º"))-1)),""))))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39739863</v>
      </c>
      <c r="C456" s="4" t="inlineStr">
        <is>
          <t>ALVENARIA ÁREA SOCIAL</t>
        </is>
      </c>
      <c r="D456" s="4" t="inlineStr">
        <is>
          <t>-</t>
        </is>
      </c>
      <c r="E456" s="4" t="inlineStr">
        <is>
          <t>3º PAV. ESPAÇO THERMAS, PISCINA COBERTA, SAUNAS E VESTIÁRIOS</t>
        </is>
      </c>
      <c r="F456" s="119" t="n">
        <v>46167</v>
      </c>
      <c r="G456" s="119" t="n">
        <v>46234</v>
      </c>
      <c r="H456" s="119" t="n">
        <v>46293</v>
      </c>
      <c r="I456" s="4" t="n">
        <v>100</v>
      </c>
      <c r="J456" s="4" t="n">
        <v>100</v>
      </c>
      <c r="K456" s="4" t="n">
        <v>100</v>
      </c>
      <c r="M456" s="2">
        <f>IF(C456="","",IFERROR(INDEX($S$5:$S$304,MATCH(C456,$R$5:$R$304,0))&amp;"","?"))</f>
        <v/>
      </c>
      <c r="N456" s="2">
        <f>IF(E456="","",IF(ISNUMBER(SEARCH("SUBSOLO",E456)),IFERROR(-VALUE(LEFT(E456,FIND("º",SUBSTITUTE(E456,"°","º"))-1)),-1),IF(LEFT(E456,6)="TÉRREO",0,IFERROR(VALUE(LEFT(E456,FIND("º",SUBSTITUTE(E456,"°","º"))-1)),""))))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22139723</v>
      </c>
      <c r="C457" s="4" t="inlineStr">
        <is>
          <t>ESTRUTURA TORRE</t>
        </is>
      </c>
      <c r="D457" s="4" t="inlineStr">
        <is>
          <t>-</t>
        </is>
      </c>
      <c r="E457" s="4" t="inlineStr">
        <is>
          <t>11º PAV. TIPO</t>
        </is>
      </c>
      <c r="F457" s="119" t="n">
        <v>46167</v>
      </c>
      <c r="G457" s="119" t="n">
        <v>46190</v>
      </c>
      <c r="H457" s="119" t="n">
        <v>46293</v>
      </c>
      <c r="I457" s="4" t="n">
        <v>100</v>
      </c>
      <c r="J457" s="4" t="n">
        <v>100</v>
      </c>
      <c r="K457" s="4" t="n">
        <v>100</v>
      </c>
      <c r="M457" s="2">
        <f>IF(C457="","",IFERROR(INDEX($S$5:$S$304,MATCH(C457,$R$5:$R$304,0))&amp;"","?"))</f>
        <v/>
      </c>
      <c r="N457" s="2">
        <f>IF(E457="","",IF(ISNUMBER(SEARCH("SUBSOLO",E457)),IFERROR(-VALUE(LEFT(E457,FIND("º",SUBSTITUTE(E457,"°","º"))-1)),-1),IF(LEFT(E457,6)="TÉRREO",0,IFERROR(VALUE(LEFT(E457,FIND("º",SUBSTITUTE(E457,"°","º"))-1)),""))))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31169261</v>
      </c>
      <c r="C458" s="4" t="inlineStr">
        <is>
          <t>ESTRUTURA TORRE</t>
        </is>
      </c>
      <c r="D458" s="4" t="inlineStr">
        <is>
          <t>Colarinho + viga invertida</t>
        </is>
      </c>
      <c r="E458" s="4" t="inlineStr">
        <is>
          <t>11º PAV. TIPO</t>
        </is>
      </c>
      <c r="F458" s="119" t="n">
        <v>46167</v>
      </c>
      <c r="G458" s="119" t="n">
        <v>46167</v>
      </c>
      <c r="H458" s="119" t="n">
        <v>46293</v>
      </c>
      <c r="I458" s="4" t="n">
        <v>100</v>
      </c>
      <c r="J458" s="4" t="n">
        <v>100</v>
      </c>
      <c r="K458" s="4" t="n">
        <v>100</v>
      </c>
      <c r="M458" s="2">
        <f>IF(C458="","",IFERROR(INDEX($S$5:$S$304,MATCH(C458,$R$5:$R$304,0))&amp;"","?"))</f>
        <v/>
      </c>
      <c r="N458" s="2">
        <f>IF(E458="","",IF(ISNUMBER(SEARCH("SUBSOLO",E458)),IFERROR(-VALUE(LEFT(E458,FIND("º",SUBSTITUTE(E458,"°","º"))-1)),-1),IF(LEFT(E458,6)="TÉRREO",0,IFERROR(VALUE(LEFT(E458,FIND("º",SUBSTITUTE(E458,"°","º"))-1)),""))))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31169262</v>
      </c>
      <c r="C459" s="4" t="inlineStr">
        <is>
          <t>ESTRUTURA TORRE</t>
        </is>
      </c>
      <c r="D459" s="4" t="inlineStr">
        <is>
          <t>Armação de pilares</t>
        </is>
      </c>
      <c r="E459" s="4" t="inlineStr">
        <is>
          <t>11º PAV. TIPO</t>
        </is>
      </c>
      <c r="F459" s="119" t="n">
        <v>46168</v>
      </c>
      <c r="G459" s="119" t="n">
        <v>46174</v>
      </c>
      <c r="H459" s="119" t="n">
        <v>46293</v>
      </c>
      <c r="I459" s="4" t="n">
        <v>100</v>
      </c>
      <c r="J459" s="4" t="n">
        <v>100</v>
      </c>
      <c r="K459" s="4" t="n">
        <v>100</v>
      </c>
      <c r="M459" s="2">
        <f>IF(C459="","",IFERROR(INDEX($S$5:$S$304,MATCH(C459,$R$5:$R$304,0))&amp;"","?"))</f>
        <v/>
      </c>
      <c r="N459" s="2">
        <f>IF(E459="","",IF(ISNUMBER(SEARCH("SUBSOLO",E459)),IFERROR(-VALUE(LEFT(E459,FIND("º",SUBSTITUTE(E459,"°","º"))-1)),-1),IF(LEFT(E459,6)="TÉRREO",0,IFERROR(VALUE(LEFT(E459,FIND("º",SUBSTITUTE(E459,"°","º"))-1)),""))))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31169263</v>
      </c>
      <c r="C460" s="4" t="inlineStr">
        <is>
          <t>ESTRUTURA TORRE</t>
        </is>
      </c>
      <c r="D460" s="4" t="inlineStr">
        <is>
          <t>Fechamento de pilares (forma)</t>
        </is>
      </c>
      <c r="E460" s="4" t="inlineStr">
        <is>
          <t>11º PAV. TIPO</t>
        </is>
      </c>
      <c r="F460" s="119" t="n">
        <v>46167</v>
      </c>
      <c r="G460" s="119" t="n">
        <v>46176</v>
      </c>
      <c r="H460" s="119" t="n">
        <v>46293</v>
      </c>
      <c r="I460" s="4" t="n">
        <v>100</v>
      </c>
      <c r="J460" s="4" t="n">
        <v>100</v>
      </c>
      <c r="K460" s="4" t="n">
        <v>100</v>
      </c>
      <c r="M460" s="2">
        <f>IF(C460="","",IFERROR(INDEX($S$5:$S$304,MATCH(C460,$R$5:$R$304,0))&amp;"","?"))</f>
        <v/>
      </c>
      <c r="N460" s="2">
        <f>IF(E460="","",IF(ISNUMBER(SEARCH("SUBSOLO",E460)),IFERROR(-VALUE(LEFT(E460,FIND("º",SUBSTITUTE(E460,"°","º"))-1)),-1),IF(LEFT(E460,6)="TÉRREO",0,IFERROR(VALUE(LEFT(E460,FIND("º",SUBSTITUTE(E460,"°","º"))-1)),""))))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31169264</v>
      </c>
      <c r="C461" s="4" t="inlineStr">
        <is>
          <t>ESTRUTURA TORRE</t>
        </is>
      </c>
      <c r="D461" s="4" t="inlineStr">
        <is>
          <t>Montagem de escoramento</t>
        </is>
      </c>
      <c r="E461" s="4" t="inlineStr">
        <is>
          <t>11º PAV. TIPO</t>
        </is>
      </c>
      <c r="F461" s="119" t="n">
        <v>46175</v>
      </c>
      <c r="G461" s="119" t="n">
        <v>46178</v>
      </c>
      <c r="H461" s="119" t="n">
        <v>46293</v>
      </c>
      <c r="I461" s="4" t="n">
        <v>100</v>
      </c>
      <c r="J461" s="4" t="n">
        <v>100</v>
      </c>
      <c r="K461" s="4" t="n">
        <v>100</v>
      </c>
      <c r="M461" s="2">
        <f>IF(C461="","",IFERROR(INDEX($S$5:$S$304,MATCH(C461,$R$5:$R$304,0))&amp;"","?"))</f>
        <v/>
      </c>
      <c r="N461" s="2">
        <f>IF(E461="","",IF(ISNUMBER(SEARCH("SUBSOLO",E461)),IFERROR(-VALUE(LEFT(E461,FIND("º",SUBSTITUTE(E461,"°","º"))-1)),-1),IF(LEFT(E461,6)="TÉRREO",0,IFERROR(VALUE(LEFT(E461,FIND("º",SUBSTITUTE(E461,"°","º"))-1)),""))))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31169265</v>
      </c>
      <c r="C462" s="4" t="inlineStr">
        <is>
          <t>ESTRUTURA TORRE</t>
        </is>
      </c>
      <c r="D462" s="4" t="inlineStr">
        <is>
          <t>Forro de laje</t>
        </is>
      </c>
      <c r="E462" s="4" t="inlineStr">
        <is>
          <t>11º PAV. TIPO</t>
        </is>
      </c>
      <c r="F462" s="119" t="n">
        <v>46181</v>
      </c>
      <c r="G462" s="119" t="n">
        <v>46182</v>
      </c>
      <c r="H462" s="119" t="n">
        <v>46293</v>
      </c>
      <c r="I462" s="4" t="n">
        <v>100</v>
      </c>
      <c r="J462" s="4" t="n">
        <v>100</v>
      </c>
      <c r="K462" s="4" t="n">
        <v>100</v>
      </c>
      <c r="M462" s="2">
        <f>IF(C462="","",IFERROR(INDEX($S$5:$S$304,MATCH(C462,$R$5:$R$304,0))&amp;"","?"))</f>
        <v/>
      </c>
      <c r="N462" s="2">
        <f>IF(E462="","",IF(ISNUMBER(SEARCH("SUBSOLO",E462)),IFERROR(-VALUE(LEFT(E462,FIND("º",SUBSTITUTE(E462,"°","º"))-1)),-1),IF(LEFT(E462,6)="TÉRREO",0,IFERROR(VALUE(LEFT(E462,FIND("º",SUBSTITUTE(E462,"°","º"))-1)),""))))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31169266</v>
      </c>
      <c r="C463" s="4" t="inlineStr">
        <is>
          <t>ESTRUTURA TORRE</t>
        </is>
      </c>
      <c r="D463" s="4" t="inlineStr">
        <is>
          <t>1ª concretagem de pilares - trecho 22 cm</t>
        </is>
      </c>
      <c r="E463" s="4" t="inlineStr">
        <is>
          <t>11º PAV. TIPO</t>
        </is>
      </c>
      <c r="F463" s="119" t="n">
        <v>46181</v>
      </c>
      <c r="G463" s="119" t="n">
        <v>46181</v>
      </c>
      <c r="H463" s="119" t="n">
        <v>46293</v>
      </c>
      <c r="I463" s="4" t="n">
        <v>100</v>
      </c>
      <c r="J463" s="4" t="n">
        <v>100</v>
      </c>
      <c r="K463" s="4" t="n">
        <v>100</v>
      </c>
      <c r="M463" s="2">
        <f>IF(C463="","",IFERROR(INDEX($S$5:$S$304,MATCH(C463,$R$5:$R$304,0))&amp;"","?"))</f>
        <v/>
      </c>
      <c r="N463" s="2">
        <f>IF(E463="","",IF(ISNUMBER(SEARCH("SUBSOLO",E463)),IFERROR(-VALUE(LEFT(E463,FIND("º",SUBSTITUTE(E463,"°","º"))-1)),-1),IF(LEFT(E463,6)="TÉRREO",0,IFERROR(VALUE(LEFT(E463,FIND("º",SUBSTITUTE(E463,"°","º"))-1)),""))))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31169267</v>
      </c>
      <c r="C464" s="4" t="inlineStr">
        <is>
          <t>ESTRUTURA TORRE</t>
        </is>
      </c>
      <c r="D464" s="4" t="inlineStr">
        <is>
          <t>Montagem e lançamento de armação de vigas e lajes positiva</t>
        </is>
      </c>
      <c r="E464" s="4" t="inlineStr">
        <is>
          <t>11º PAV. TIPO</t>
        </is>
      </c>
      <c r="F464" s="119" t="n">
        <v>46181</v>
      </c>
      <c r="G464" s="119" t="n">
        <v>46182</v>
      </c>
      <c r="H464" s="119" t="n">
        <v>46293</v>
      </c>
      <c r="I464" s="4" t="n">
        <v>100</v>
      </c>
      <c r="J464" s="4" t="n">
        <v>100</v>
      </c>
      <c r="K464" s="4" t="n">
        <v>100</v>
      </c>
      <c r="M464" s="2">
        <f>IF(C464="","",IFERROR(INDEX($S$5:$S$304,MATCH(C464,$R$5:$R$304,0))&amp;"","?"))</f>
        <v/>
      </c>
      <c r="N464" s="2">
        <f>IF(E464="","",IF(ISNUMBER(SEARCH("SUBSOLO",E464)),IFERROR(-VALUE(LEFT(E464,FIND("º",SUBSTITUTE(E464,"°","º"))-1)),-1),IF(LEFT(E464,6)="TÉRREO",0,IFERROR(VALUE(LEFT(E464,FIND("º",SUBSTITUTE(E464,"°","º"))-1)),""))))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31169268</v>
      </c>
      <c r="C465" s="4" t="inlineStr">
        <is>
          <t>ESTRUTURA TORRE</t>
        </is>
      </c>
      <c r="D465" s="4" t="inlineStr">
        <is>
          <t>Lançamento de protenção</t>
        </is>
      </c>
      <c r="E465" s="4" t="inlineStr">
        <is>
          <t>11º PAV. TIPO</t>
        </is>
      </c>
      <c r="F465" s="119" t="n">
        <v>46182</v>
      </c>
      <c r="G465" s="119" t="n">
        <v>46184</v>
      </c>
      <c r="H465" s="119" t="n">
        <v>46293</v>
      </c>
      <c r="I465" s="4" t="n">
        <v>100</v>
      </c>
      <c r="J465" s="4" t="n">
        <v>100</v>
      </c>
      <c r="K465" s="4" t="n">
        <v>100</v>
      </c>
      <c r="M465" s="2">
        <f>IF(C465="","",IFERROR(INDEX($S$5:$S$304,MATCH(C465,$R$5:$R$304,0))&amp;"","?"))</f>
        <v/>
      </c>
      <c r="N465" s="2">
        <f>IF(E465="","",IF(ISNUMBER(SEARCH("SUBSOLO",E465)),IFERROR(-VALUE(LEFT(E465,FIND("º",SUBSTITUTE(E465,"°","º"))-1)),-1),IF(LEFT(E465,6)="TÉRREO",0,IFERROR(VALUE(LEFT(E465,FIND("º",SUBSTITUTE(E465,"°","º"))-1)),""))))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31169269</v>
      </c>
      <c r="C466" s="4" t="inlineStr">
        <is>
          <t>ESTRUTURA TORRE</t>
        </is>
      </c>
      <c r="D466" s="4" t="inlineStr">
        <is>
          <t>Lançamento de armação negativa</t>
        </is>
      </c>
      <c r="E466" s="4" t="inlineStr">
        <is>
          <t>11º PAV. TIPO</t>
        </is>
      </c>
      <c r="F466" s="119" t="n">
        <v>46184</v>
      </c>
      <c r="G466" s="119" t="n">
        <v>46185</v>
      </c>
      <c r="H466" s="119" t="n">
        <v>46293</v>
      </c>
      <c r="I466" s="4" t="n">
        <v>100</v>
      </c>
      <c r="J466" s="4" t="n">
        <v>100</v>
      </c>
      <c r="K466" s="4" t="n">
        <v>100</v>
      </c>
      <c r="M466" s="2">
        <f>IF(C466="","",IFERROR(INDEX($S$5:$S$304,MATCH(C466,$R$5:$R$304,0))&amp;"","?"))</f>
        <v/>
      </c>
      <c r="N466" s="2">
        <f>IF(E466="","",IF(ISNUMBER(SEARCH("SUBSOLO",E466)),IFERROR(-VALUE(LEFT(E466,FIND("º",SUBSTITUTE(E466,"°","º"))-1)),-1),IF(LEFT(E466,6)="TÉRREO",0,IFERROR(VALUE(LEFT(E466,FIND("º",SUBSTITUTE(E466,"°","º"))-1)),""))))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31169270</v>
      </c>
      <c r="C467" s="4" t="inlineStr">
        <is>
          <t>ESTRUTURA TORRE</t>
        </is>
      </c>
      <c r="D467" s="4" t="inlineStr">
        <is>
          <t>Concreto trecho 22 cm</t>
        </is>
      </c>
      <c r="E467" s="4" t="inlineStr">
        <is>
          <t>11º PAV. TIPO</t>
        </is>
      </c>
      <c r="F467" s="119" t="n">
        <v>46188</v>
      </c>
      <c r="G467" s="119" t="n">
        <v>46188</v>
      </c>
      <c r="H467" s="119" t="n">
        <v>46293</v>
      </c>
      <c r="I467" s="4" t="n">
        <v>100</v>
      </c>
      <c r="J467" s="4" t="n">
        <v>100</v>
      </c>
      <c r="K467" s="4" t="n">
        <v>100</v>
      </c>
      <c r="M467" s="2">
        <f>IF(C467="","",IFERROR(INDEX($S$5:$S$304,MATCH(C467,$R$5:$R$304,0))&amp;"","?"))</f>
        <v/>
      </c>
      <c r="N467" s="2">
        <f>IF(E467="","",IF(ISNUMBER(SEARCH("SUBSOLO",E467)),IFERROR(-VALUE(LEFT(E467,FIND("º",SUBSTITUTE(E467,"°","º"))-1)),-1),IF(LEFT(E467,6)="TÉRREO",0,IFERROR(VALUE(LEFT(E467,FIND("º",SUBSTITUTE(E467,"°","º"))-1)),""))))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31169271</v>
      </c>
      <c r="C468" s="4" t="inlineStr">
        <is>
          <t>ESTRUTURA TORRE</t>
        </is>
      </c>
      <c r="D468" s="4" t="inlineStr">
        <is>
          <t>2ª concretagem de pilares - trecho 15 cm</t>
        </is>
      </c>
      <c r="E468" s="4" t="inlineStr">
        <is>
          <t>11º PAV. TIPO</t>
        </is>
      </c>
      <c r="F468" s="119" t="n">
        <v>46183</v>
      </c>
      <c r="G468" s="119" t="n">
        <v>46183</v>
      </c>
      <c r="H468" s="119" t="n">
        <v>46293</v>
      </c>
      <c r="I468" s="4" t="n">
        <v>100</v>
      </c>
      <c r="J468" s="4" t="n">
        <v>100</v>
      </c>
      <c r="K468" s="4" t="n">
        <v>100</v>
      </c>
      <c r="M468" s="2">
        <f>IF(C468="","",IFERROR(INDEX($S$5:$S$304,MATCH(C468,$R$5:$R$304,0))&amp;"","?"))</f>
        <v/>
      </c>
      <c r="N468" s="2">
        <f>IF(E468="","",IF(ISNUMBER(SEARCH("SUBSOLO",E468)),IFERROR(-VALUE(LEFT(E468,FIND("º",SUBSTITUTE(E468,"°","º"))-1)),-1),IF(LEFT(E468,6)="TÉRREO",0,IFERROR(VALUE(LEFT(E468,FIND("º",SUBSTITUTE(E468,"°","º"))-1)),""))))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31169272</v>
      </c>
      <c r="C469" s="4" t="inlineStr">
        <is>
          <t>ESTRUTURA TORRE</t>
        </is>
      </c>
      <c r="D469" s="4" t="inlineStr">
        <is>
          <t>Montagem de armação (vigas e positivo)</t>
        </is>
      </c>
      <c r="E469" s="4" t="inlineStr">
        <is>
          <t>11º PAV. TIPO</t>
        </is>
      </c>
      <c r="F469" s="119" t="n">
        <v>46183</v>
      </c>
      <c r="G469" s="119" t="n">
        <v>46185</v>
      </c>
      <c r="H469" s="119" t="n">
        <v>46293</v>
      </c>
      <c r="I469" s="4" t="n">
        <v>100</v>
      </c>
      <c r="J469" s="4" t="n">
        <v>100</v>
      </c>
      <c r="K469" s="4" t="n">
        <v>100</v>
      </c>
      <c r="M469" s="2">
        <f>IF(C469="","",IFERROR(INDEX($S$5:$S$304,MATCH(C469,$R$5:$R$304,0))&amp;"","?"))</f>
        <v/>
      </c>
      <c r="N469" s="2">
        <f>IF(E469="","",IF(ISNUMBER(SEARCH("SUBSOLO",E469)),IFERROR(-VALUE(LEFT(E469,FIND("º",SUBSTITUTE(E469,"°","º"))-1)),-1),IF(LEFT(E469,6)="TÉRREO",0,IFERROR(VALUE(LEFT(E469,FIND("º",SUBSTITUTE(E469,"°","º"))-1)),""))))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31169273</v>
      </c>
      <c r="C470" s="4" t="inlineStr">
        <is>
          <t>ESTRUTURA TORRE</t>
        </is>
      </c>
      <c r="D470" s="4" t="inlineStr">
        <is>
          <t>Armação negativa (15 cm)</t>
        </is>
      </c>
      <c r="E470" s="4" t="inlineStr">
        <is>
          <t>11º PAV. TIPO</t>
        </is>
      </c>
      <c r="F470" s="119" t="n">
        <v>46188</v>
      </c>
      <c r="G470" s="119" t="n">
        <v>46189</v>
      </c>
      <c r="H470" s="119" t="n">
        <v>46293</v>
      </c>
      <c r="I470" s="4" t="n">
        <v>100</v>
      </c>
      <c r="J470" s="4" t="n">
        <v>100</v>
      </c>
      <c r="K470" s="4" t="n">
        <v>100</v>
      </c>
      <c r="M470" s="2">
        <f>IF(C470="","",IFERROR(INDEX($S$5:$S$304,MATCH(C470,$R$5:$R$304,0))&amp;"","?"))</f>
        <v/>
      </c>
      <c r="N470" s="2">
        <f>IF(E470="","",IF(ISNUMBER(SEARCH("SUBSOLO",E470)),IFERROR(-VALUE(LEFT(E470,FIND("º",SUBSTITUTE(E470,"°","º"))-1)),-1),IF(LEFT(E470,6)="TÉRREO",0,IFERROR(VALUE(LEFT(E470,FIND("º",SUBSTITUTE(E470,"°","º"))-1)),""))))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31169274</v>
      </c>
      <c r="C471" s="4" t="inlineStr">
        <is>
          <t>ESTRUTURA TORRE</t>
        </is>
      </c>
      <c r="D471" s="4" t="inlineStr">
        <is>
          <t>Concreto laje (15 cm)</t>
        </is>
      </c>
      <c r="E471" s="4" t="inlineStr">
        <is>
          <t>11º PAV. TIPO</t>
        </is>
      </c>
      <c r="F471" s="119" t="n">
        <v>46190</v>
      </c>
      <c r="G471" s="119" t="n">
        <v>46190</v>
      </c>
      <c r="H471" s="119" t="n">
        <v>46293</v>
      </c>
      <c r="I471" s="4" t="n">
        <v>100</v>
      </c>
      <c r="J471" s="4" t="n">
        <v>100</v>
      </c>
      <c r="K471" s="4" t="n">
        <v>100</v>
      </c>
      <c r="M471" s="2">
        <f>IF(C471="","",IFERROR(INDEX($S$5:$S$304,MATCH(C471,$R$5:$R$304,0))&amp;"","?"))</f>
        <v/>
      </c>
      <c r="N471" s="2">
        <f>IF(E471="","",IF(ISNUMBER(SEARCH("SUBSOLO",E471)),IFERROR(-VALUE(LEFT(E471,FIND("º",SUBSTITUTE(E471,"°","º"))-1)),-1),IF(LEFT(E471,6)="TÉRREO",0,IFERROR(VALUE(LEFT(E471,FIND("º",SUBSTITUTE(E471,"°","º"))-1)),""))))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43846641</v>
      </c>
      <c r="C472" s="4" t="inlineStr">
        <is>
          <t>ALVENARIA EXTERNA</t>
        </is>
      </c>
      <c r="D472" s="4" t="inlineStr">
        <is>
          <t>-</t>
        </is>
      </c>
      <c r="E472" s="4" t="inlineStr">
        <is>
          <t>5º PAV. TIPO</t>
        </is>
      </c>
      <c r="F472" s="119" t="n">
        <v>46171</v>
      </c>
      <c r="G472" s="119" t="n">
        <v>46213</v>
      </c>
      <c r="H472" s="119" t="n">
        <v>46293</v>
      </c>
      <c r="I472" s="4" t="n">
        <v>100</v>
      </c>
      <c r="J472" s="4" t="n">
        <v>100</v>
      </c>
      <c r="K472" s="4" t="n">
        <v>100</v>
      </c>
      <c r="M472" s="2">
        <f>IF(C472="","",IFERROR(INDEX($S$5:$S$304,MATCH(C472,$R$5:$R$304,0))&amp;"","?"))</f>
        <v/>
      </c>
      <c r="N472" s="2">
        <f>IF(E472="","",IF(ISNUMBER(SEARCH("SUBSOLO",E472)),IFERROR(-VALUE(LEFT(E472,FIND("º",SUBSTITUTE(E472,"°","º"))-1)),-1),IF(LEFT(E472,6)="TÉRREO",0,IFERROR(VALUE(LEFT(E472,FIND("º",SUBSTITUTE(E472,"°","º"))-1)),""))))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39744468</v>
      </c>
      <c r="C473" s="4" t="inlineStr">
        <is>
          <t>INFRAESTRUTURA ELÉTRICA - TETO</t>
        </is>
      </c>
      <c r="D473" s="4" t="inlineStr">
        <is>
          <t>-</t>
        </is>
      </c>
      <c r="E473" s="4" t="inlineStr">
        <is>
          <t>2º PAV. GARAGEM.</t>
        </is>
      </c>
      <c r="F473" s="119" t="n">
        <v>46174</v>
      </c>
      <c r="G473" s="119" t="n">
        <v>46213</v>
      </c>
      <c r="H473" s="119" t="n">
        <v>46293</v>
      </c>
      <c r="I473" s="4" t="n">
        <v>100</v>
      </c>
      <c r="J473" s="4" t="n">
        <v>100</v>
      </c>
      <c r="K473" s="4" t="n">
        <v>100</v>
      </c>
      <c r="M473" s="2">
        <f>IF(C473="","",IFERROR(INDEX($S$5:$S$304,MATCH(C473,$R$5:$R$304,0))&amp;"","?"))</f>
        <v/>
      </c>
      <c r="N473" s="2">
        <f>IF(E473="","",IF(ISNUMBER(SEARCH("SUBSOLO",E473)),IFERROR(-VALUE(LEFT(E473,FIND("º",SUBSTITUTE(E473,"°","º"))-1)),-1),IF(LEFT(E473,6)="TÉRREO",0,IFERROR(VALUE(LEFT(E473,FIND("º",SUBSTITUTE(E473,"°","º"))-1)),""))))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19410514</v>
      </c>
      <c r="C474" s="4" t="inlineStr">
        <is>
          <t>INFRAESTRUTURA ELÉTRICA - TETO</t>
        </is>
      </c>
      <c r="D474" s="4" t="inlineStr">
        <is>
          <t>SETOR B</t>
        </is>
      </c>
      <c r="E474" s="4" t="inlineStr">
        <is>
          <t>2º PAV. GARAGEM.</t>
        </is>
      </c>
      <c r="F474" s="119" t="n">
        <v>46174</v>
      </c>
      <c r="G474" s="119" t="n">
        <v>46185</v>
      </c>
      <c r="H474" s="119" t="n">
        <v>46293</v>
      </c>
      <c r="I474" s="4" t="n">
        <v>100</v>
      </c>
      <c r="J474" s="4" t="n">
        <v>100</v>
      </c>
      <c r="K474" s="4" t="n">
        <v>100</v>
      </c>
      <c r="M474" s="2">
        <f>IF(C474="","",IFERROR(INDEX($S$5:$S$304,MATCH(C474,$R$5:$R$304,0))&amp;"","?"))</f>
        <v/>
      </c>
      <c r="N474" s="2">
        <f>IF(E474="","",IF(ISNUMBER(SEARCH("SUBSOLO",E474)),IFERROR(-VALUE(LEFT(E474,FIND("º",SUBSTITUTE(E474,"°","º"))-1)),-1),IF(LEFT(E474,6)="TÉRREO",0,IFERROR(VALUE(LEFT(E474,FIND("º",SUBSTITUTE(E474,"°","º"))-1)),""))))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19410515</v>
      </c>
      <c r="C475" s="4" t="inlineStr">
        <is>
          <t>INFRAESTRUTURA ELÉTRICA - TETO</t>
        </is>
      </c>
      <c r="D475" s="4" t="inlineStr">
        <is>
          <t>SETOR A</t>
        </is>
      </c>
      <c r="E475" s="4" t="inlineStr">
        <is>
          <t>2º PAV. GARAGEM.</t>
        </is>
      </c>
      <c r="F475" s="119" t="n">
        <v>46188</v>
      </c>
      <c r="G475" s="119" t="n">
        <v>46192</v>
      </c>
      <c r="H475" s="119" t="n">
        <v>46293</v>
      </c>
      <c r="I475" s="4" t="n">
        <v>100</v>
      </c>
      <c r="J475" s="4" t="n">
        <v>100</v>
      </c>
      <c r="K475" s="4" t="n">
        <v>100</v>
      </c>
      <c r="M475" s="2">
        <f>IF(C475="","",IFERROR(INDEX($S$5:$S$304,MATCH(C475,$R$5:$R$304,0))&amp;"","?"))</f>
        <v/>
      </c>
      <c r="N475" s="2">
        <f>IF(E475="","",IF(ISNUMBER(SEARCH("SUBSOLO",E475)),IFERROR(-VALUE(LEFT(E475,FIND("º",SUBSTITUTE(E475,"°","º"))-1)),-1),IF(LEFT(E475,6)="TÉRREO",0,IFERROR(VALUE(LEFT(E475,FIND("º",SUBSTITUTE(E475,"°","º"))-1)),""))))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31170290</v>
      </c>
      <c r="C476" s="4" t="inlineStr">
        <is>
          <t>INFRAESTRUTURA ELÉTRICA - TETO</t>
        </is>
      </c>
      <c r="D476" s="4" t="inlineStr">
        <is>
          <t>SETOR C</t>
        </is>
      </c>
      <c r="E476" s="4" t="inlineStr">
        <is>
          <t>2º PAV. GARAGEM.</t>
        </is>
      </c>
      <c r="F476" s="119" t="n">
        <v>46195</v>
      </c>
      <c r="G476" s="119" t="n">
        <v>46213</v>
      </c>
      <c r="H476" s="119" t="n">
        <v>46293</v>
      </c>
      <c r="I476" s="4" t="n">
        <v>100</v>
      </c>
      <c r="J476" s="4" t="n">
        <v>100</v>
      </c>
      <c r="K476" s="4" t="n">
        <v>100</v>
      </c>
      <c r="M476" s="2">
        <f>IF(C476="","",IFERROR(INDEX($S$5:$S$304,MATCH(C476,$R$5:$R$304,0))&amp;"","?"))</f>
        <v/>
      </c>
      <c r="N476" s="2">
        <f>IF(E476="","",IF(ISNUMBER(SEARCH("SUBSOLO",E476)),IFERROR(-VALUE(LEFT(E476,FIND("º",SUBSTITUTE(E476,"°","º"))-1)),-1),IF(LEFT(E476,6)="TÉRREO",0,IFERROR(VALUE(LEFT(E476,FIND("º",SUBSTITUTE(E476,"°","º"))-1)),""))))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46676426</v>
      </c>
      <c r="C477" s="4" t="inlineStr">
        <is>
          <t>INSTALAÇÕES ELÉTRICAS E ESPECIAIS - SETOR C</t>
        </is>
      </c>
      <c r="D477" s="4" t="inlineStr">
        <is>
          <t>-</t>
        </is>
      </c>
      <c r="E477" s="4" t="inlineStr">
        <is>
          <t>3º PAV. - PILOTIS</t>
        </is>
      </c>
      <c r="F477" s="119" t="n">
        <v>46174</v>
      </c>
      <c r="G477" s="119" t="n">
        <v>46202</v>
      </c>
      <c r="H477" s="119" t="n">
        <v>46293</v>
      </c>
      <c r="I477" s="4" t="n">
        <v>100</v>
      </c>
      <c r="J477" s="4" t="n">
        <v>100</v>
      </c>
      <c r="K477" s="4" t="n">
        <v>100</v>
      </c>
      <c r="M477" s="2">
        <f>IF(C477="","",IFERROR(INDEX($S$5:$S$304,MATCH(C477,$R$5:$R$304,0))&amp;"","?"))</f>
        <v/>
      </c>
      <c r="N477" s="2">
        <f>IF(E477="","",IF(ISNUMBER(SEARCH("SUBSOLO",E477)),IFERROR(-VALUE(LEFT(E477,FIND("º",SUBSTITUTE(E477,"°","º"))-1)),-1),IF(LEFT(E477,6)="TÉRREO",0,IFERROR(VALUE(LEFT(E477,FIND("º",SUBSTITUTE(E477,"°","º"))-1)),""))))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31185751</v>
      </c>
      <c r="C478" s="4" t="inlineStr">
        <is>
          <t>INSTALAÇÕES ELÉTRICAS E ESPECIAIS - SETOR C</t>
        </is>
      </c>
      <c r="D478" s="4" t="inlineStr">
        <is>
          <t>Infraestrutura de teto</t>
        </is>
      </c>
      <c r="E478" s="4" t="inlineStr">
        <is>
          <t>3º PAV. - PILOTIS</t>
        </is>
      </c>
      <c r="F478" s="119" t="n">
        <v>46174</v>
      </c>
      <c r="G478" s="119" t="n">
        <v>46195</v>
      </c>
      <c r="H478" s="119" t="n">
        <v>46293</v>
      </c>
      <c r="I478" s="4" t="n">
        <v>100</v>
      </c>
      <c r="J478" s="4" t="n">
        <v>100</v>
      </c>
      <c r="K478" s="4" t="n">
        <v>100</v>
      </c>
      <c r="M478" s="2">
        <f>IF(C478="","",IFERROR(INDEX($S$5:$S$304,MATCH(C478,$R$5:$R$304,0))&amp;"","?"))</f>
        <v/>
      </c>
      <c r="N478" s="2">
        <f>IF(E478="","",IF(ISNUMBER(SEARCH("SUBSOLO",E478)),IFERROR(-VALUE(LEFT(E478,FIND("º",SUBSTITUTE(E478,"°","º"))-1)),-1),IF(LEFT(E478,6)="TÉRREO",0,IFERROR(VALUE(LEFT(E478,FIND("º",SUBSTITUTE(E478,"°","º"))-1)),""))))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31185752</v>
      </c>
      <c r="C479" s="4" t="inlineStr">
        <is>
          <t>INSTALAÇÕES ELÉTRICAS E ESPECIAIS - SETOR C</t>
        </is>
      </c>
      <c r="D479" s="4" t="inlineStr">
        <is>
          <t>Infraestrutura de parede</t>
        </is>
      </c>
      <c r="E479" s="4" t="inlineStr">
        <is>
          <t>3º PAV. - PILOTIS</t>
        </is>
      </c>
      <c r="F479" s="119" t="n">
        <v>46182</v>
      </c>
      <c r="G479" s="119" t="n">
        <v>46202</v>
      </c>
      <c r="H479" s="119" t="n">
        <v>46293</v>
      </c>
      <c r="I479" s="4" t="n">
        <v>100</v>
      </c>
      <c r="J479" s="4" t="n">
        <v>100</v>
      </c>
      <c r="K479" s="4" t="n">
        <v>100</v>
      </c>
      <c r="M479" s="2">
        <f>IF(C479="","",IFERROR(INDEX($S$5:$S$304,MATCH(C479,$R$5:$R$304,0))&amp;"","?"))</f>
        <v/>
      </c>
      <c r="N479" s="2">
        <f>IF(E479="","",IF(ISNUMBER(SEARCH("SUBSOLO",E479)),IFERROR(-VALUE(LEFT(E479,FIND("º",SUBSTITUTE(E479,"°","º"))-1)),-1),IF(LEFT(E479,6)="TÉRREO",0,IFERROR(VALUE(LEFT(E479,FIND("º",SUBSTITUTE(E479,"°","º"))-1)),""))))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25752787</v>
      </c>
      <c r="C480" s="4" t="inlineStr">
        <is>
          <t>CONTRAPISO</t>
        </is>
      </c>
      <c r="D480" s="4" t="inlineStr">
        <is>
          <t>-</t>
        </is>
      </c>
      <c r="E480" s="4" t="inlineStr">
        <is>
          <t>TÉRREO - GARAGENS</t>
        </is>
      </c>
      <c r="F480" s="119" t="n">
        <v>46190</v>
      </c>
      <c r="G480" s="119" t="n">
        <v>46273</v>
      </c>
      <c r="H480" s="119" t="n">
        <v>46293</v>
      </c>
      <c r="I480" s="4" t="n">
        <v>100</v>
      </c>
      <c r="J480" s="4" t="n">
        <v>100</v>
      </c>
      <c r="K480" s="4" t="n">
        <v>98.30500000000001</v>
      </c>
      <c r="M480" s="2">
        <f>IF(C480="","",IFERROR(INDEX($S$5:$S$304,MATCH(C480,$R$5:$R$304,0))&amp;"","?"))</f>
        <v/>
      </c>
      <c r="N480" s="2">
        <f>IF(E480="","",IF(ISNUMBER(SEARCH("SUBSOLO",E480)),IFERROR(-VALUE(LEFT(E480,FIND("º",SUBSTITUTE(E480,"°","º"))-1)),-1),IF(LEFT(E480,6)="TÉRREO",0,IFERROR(VALUE(LEFT(E480,FIND("º",SUBSTITUTE(E480,"°","º"))-1)),""))))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30642087</v>
      </c>
      <c r="C481" s="4" t="inlineStr">
        <is>
          <t>PISO ARMADO - SETOR B</t>
        </is>
      </c>
      <c r="D481" s="4" t="inlineStr">
        <is>
          <t>-</t>
        </is>
      </c>
      <c r="E481" s="4" t="inlineStr">
        <is>
          <t>TÉRREO - GARAGENS</t>
        </is>
      </c>
      <c r="F481" s="119" t="n">
        <v>46190</v>
      </c>
      <c r="G481" s="119" t="n">
        <v>46220</v>
      </c>
      <c r="H481" s="119" t="n">
        <v>46293</v>
      </c>
      <c r="I481" s="4" t="n">
        <v>100</v>
      </c>
      <c r="J481" s="4" t="n">
        <v>100</v>
      </c>
      <c r="K481" s="4" t="n">
        <v>100</v>
      </c>
      <c r="M481" s="2">
        <f>IF(C481="","",IFERROR(INDEX($S$5:$S$304,MATCH(C481,$R$5:$R$304,0))&amp;"","?"))</f>
        <v/>
      </c>
      <c r="N481" s="2">
        <f>IF(E481="","",IF(ISNUMBER(SEARCH("SUBSOLO",E481)),IFERROR(-VALUE(LEFT(E481,FIND("º",SUBSTITUTE(E481,"°","º"))-1)),-1),IF(LEFT(E481,6)="TÉRREO",0,IFERROR(VALUE(LEFT(E481,FIND("º",SUBSTITUTE(E481,"°","º"))-1)),""))))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33366379</v>
      </c>
      <c r="C482" s="4" t="inlineStr">
        <is>
          <t>INFRAESTRUTURA ENTERRADA - 2º QUADRANTE</t>
        </is>
      </c>
      <c r="D482" s="4" t="inlineStr">
        <is>
          <t>-</t>
        </is>
      </c>
      <c r="E482" s="4" t="inlineStr">
        <is>
          <t>TÉRREO - GARAGENS</t>
        </is>
      </c>
      <c r="F482" s="119" t="n">
        <v>46190</v>
      </c>
      <c r="G482" s="119" t="n">
        <v>46213</v>
      </c>
      <c r="H482" s="119" t="n">
        <v>46293</v>
      </c>
      <c r="I482" s="4" t="n">
        <v>100</v>
      </c>
      <c r="J482" s="4" t="n">
        <v>100</v>
      </c>
      <c r="K482" s="4" t="n">
        <v>100</v>
      </c>
      <c r="M482" s="2">
        <f>IF(C482="","",IFERROR(INDEX($S$5:$S$304,MATCH(C482,$R$5:$R$304,0))&amp;"","?"))</f>
        <v/>
      </c>
      <c r="N482" s="2">
        <f>IF(E482="","",IF(ISNUMBER(SEARCH("SUBSOLO",E482)),IFERROR(-VALUE(LEFT(E482,FIND("º",SUBSTITUTE(E482,"°","º"))-1)),-1),IF(LEFT(E482,6)="TÉRREO",0,IFERROR(VALUE(LEFT(E482,FIND("º",SUBSTITUTE(E482,"°","º"))-1)),""))))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31169292</v>
      </c>
      <c r="C483" s="4" t="inlineStr">
        <is>
          <t>INFRAESTRUTURA ENTERRADA - 2º QUADRANTE</t>
        </is>
      </c>
      <c r="D483" s="4" t="inlineStr">
        <is>
          <t>Escavação TS-6 / TS-1 / TS-2 / TG-3 / TS-4</t>
        </is>
      </c>
      <c r="E483" s="4" t="inlineStr">
        <is>
          <t>TÉRREO - GARAGENS</t>
        </is>
      </c>
      <c r="F483" s="119" t="n">
        <v>46190</v>
      </c>
      <c r="G483" s="119" t="n">
        <v>46192</v>
      </c>
      <c r="H483" s="119" t="n">
        <v>46293</v>
      </c>
      <c r="I483" s="4" t="n">
        <v>100</v>
      </c>
      <c r="J483" s="4" t="n">
        <v>100</v>
      </c>
      <c r="K483" s="4" t="n">
        <v>100</v>
      </c>
      <c r="M483" s="2">
        <f>IF(C483="","",IFERROR(INDEX($S$5:$S$304,MATCH(C483,$R$5:$R$304,0))&amp;"","?"))</f>
        <v/>
      </c>
      <c r="N483" s="2">
        <f>IF(E483="","",IF(ISNUMBER(SEARCH("SUBSOLO",E483)),IFERROR(-VALUE(LEFT(E483,FIND("º",SUBSTITUTE(E483,"°","º"))-1)),-1),IF(LEFT(E483,6)="TÉRREO",0,IFERROR(VALUE(LEFT(E483,FIND("º",SUBSTITUTE(E483,"°","º"))-1)),""))))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31169293</v>
      </c>
      <c r="C484" s="4" t="inlineStr">
        <is>
          <t>INFRAESTRUTURA ENTERRADA - 2º QUADRANTE</t>
        </is>
      </c>
      <c r="D484" s="4" t="inlineStr">
        <is>
          <t>Tubulação TS-6 / TS-1 / TS-2 / TG-3 / TS-4, caixas CI-6 e CI-3 e concreto CAP-03</t>
        </is>
      </c>
      <c r="E484" s="4" t="inlineStr">
        <is>
          <t>TÉRREO - GARAGENS</t>
        </is>
      </c>
      <c r="F484" s="119" t="n">
        <v>46195</v>
      </c>
      <c r="G484" s="119" t="n">
        <v>46213</v>
      </c>
      <c r="H484" s="119" t="n">
        <v>46293</v>
      </c>
      <c r="I484" s="4" t="n">
        <v>100</v>
      </c>
      <c r="J484" s="4" t="n">
        <v>100</v>
      </c>
      <c r="K484" s="4" t="n">
        <v>100</v>
      </c>
      <c r="M484" s="2">
        <f>IF(C484="","",IFERROR(INDEX($S$5:$S$304,MATCH(C484,$R$5:$R$304,0))&amp;"","?"))</f>
        <v/>
      </c>
      <c r="N484" s="2">
        <f>IF(E484="","",IF(ISNUMBER(SEARCH("SUBSOLO",E484)),IFERROR(-VALUE(LEFT(E484,FIND("º",SUBSTITUTE(E484,"°","º"))-1)),-1),IF(LEFT(E484,6)="TÉRREO",0,IFERROR(VALUE(LEFT(E484,FIND("º",SUBSTITUTE(E484,"°","º"))-1)),""))))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22139724</v>
      </c>
      <c r="C485" s="4" t="inlineStr">
        <is>
          <t>ESTRUTURA TORRE</t>
        </is>
      </c>
      <c r="D485" s="4" t="inlineStr">
        <is>
          <t>-</t>
        </is>
      </c>
      <c r="E485" s="4" t="inlineStr">
        <is>
          <t>12º PAV. TIPO</t>
        </is>
      </c>
      <c r="F485" s="119" t="n">
        <v>46191</v>
      </c>
      <c r="G485" s="119" t="n">
        <v>46206</v>
      </c>
      <c r="H485" s="119" t="n">
        <v>46293</v>
      </c>
      <c r="I485" s="4" t="n">
        <v>100</v>
      </c>
      <c r="J485" s="4" t="n">
        <v>100</v>
      </c>
      <c r="K485" s="4" t="n">
        <v>100</v>
      </c>
      <c r="M485" s="2">
        <f>IF(C485="","",IFERROR(INDEX($S$5:$S$304,MATCH(C485,$R$5:$R$304,0))&amp;"","?"))</f>
        <v/>
      </c>
      <c r="N485" s="2">
        <f>IF(E485="","",IF(ISNUMBER(SEARCH("SUBSOLO",E485)),IFERROR(-VALUE(LEFT(E485,FIND("º",SUBSTITUTE(E485,"°","º"))-1)),-1),IF(LEFT(E485,6)="TÉRREO",0,IFERROR(VALUE(LEFT(E485,FIND("º",SUBSTITUTE(E485,"°","º"))-1)),""))))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31169275</v>
      </c>
      <c r="C486" s="4" t="inlineStr">
        <is>
          <t>ESTRUTURA TORRE</t>
        </is>
      </c>
      <c r="D486" s="4" t="inlineStr">
        <is>
          <t>Colarinho + invertida</t>
        </is>
      </c>
      <c r="E486" s="4" t="inlineStr">
        <is>
          <t>12º PAV. TIPO</t>
        </is>
      </c>
      <c r="F486" s="119" t="n">
        <v>46191</v>
      </c>
      <c r="G486" s="119" t="n">
        <v>46191</v>
      </c>
      <c r="H486" s="119" t="n">
        <v>46293</v>
      </c>
      <c r="I486" s="4" t="n">
        <v>100</v>
      </c>
      <c r="J486" s="4" t="n">
        <v>100</v>
      </c>
      <c r="K486" s="4" t="n">
        <v>100</v>
      </c>
      <c r="M486" s="2">
        <f>IF(C486="","",IFERROR(INDEX($S$5:$S$304,MATCH(C486,$R$5:$R$304,0))&amp;"","?"))</f>
        <v/>
      </c>
      <c r="N486" s="2">
        <f>IF(E486="","",IF(ISNUMBER(SEARCH("SUBSOLO",E486)),IFERROR(-VALUE(LEFT(E486,FIND("º",SUBSTITUTE(E486,"°","º"))-1)),-1),IF(LEFT(E486,6)="TÉRREO",0,IFERROR(VALUE(LEFT(E486,FIND("º",SUBSTITUTE(E486,"°","º"))-1)),""))))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31169276</v>
      </c>
      <c r="C487" s="4" t="inlineStr">
        <is>
          <t>ESTRUTURA TORRE</t>
        </is>
      </c>
      <c r="D487" s="4" t="inlineStr">
        <is>
          <t>Armação de pilar</t>
        </is>
      </c>
      <c r="E487" s="4" t="inlineStr">
        <is>
          <t>12º PAV. TIPO</t>
        </is>
      </c>
      <c r="F487" s="119" t="n">
        <v>46191</v>
      </c>
      <c r="G487" s="119" t="n">
        <v>46191</v>
      </c>
      <c r="H487" s="119" t="n">
        <v>46293</v>
      </c>
      <c r="I487" s="4" t="n">
        <v>100</v>
      </c>
      <c r="J487" s="4" t="n">
        <v>100</v>
      </c>
      <c r="K487" s="4" t="n">
        <v>100</v>
      </c>
      <c r="M487" s="2">
        <f>IF(C487="","",IFERROR(INDEX($S$5:$S$304,MATCH(C487,$R$5:$R$304,0))&amp;"","?"))</f>
        <v/>
      </c>
      <c r="N487" s="2">
        <f>IF(E487="","",IF(ISNUMBER(SEARCH("SUBSOLO",E487)),IFERROR(-VALUE(LEFT(E487,FIND("º",SUBSTITUTE(E487,"°","º"))-1)),-1),IF(LEFT(E487,6)="TÉRREO",0,IFERROR(VALUE(LEFT(E487,FIND("º",SUBSTITUTE(E487,"°","º"))-1)),""))))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31169277</v>
      </c>
      <c r="C488" s="4" t="inlineStr">
        <is>
          <t>ESTRUTURA TORRE</t>
        </is>
      </c>
      <c r="D488" s="4" t="inlineStr">
        <is>
          <t>Fechamento de pilares</t>
        </is>
      </c>
      <c r="E488" s="4" t="inlineStr">
        <is>
          <t>12º PAV. TIPO</t>
        </is>
      </c>
      <c r="F488" s="119" t="n">
        <v>46191</v>
      </c>
      <c r="G488" s="119" t="n">
        <v>46195</v>
      </c>
      <c r="H488" s="119" t="n">
        <v>46293</v>
      </c>
      <c r="I488" s="4" t="n">
        <v>100</v>
      </c>
      <c r="J488" s="4" t="n">
        <v>100</v>
      </c>
      <c r="K488" s="4" t="n">
        <v>100</v>
      </c>
      <c r="M488" s="2">
        <f>IF(C488="","",IFERROR(INDEX($S$5:$S$304,MATCH(C488,$R$5:$R$304,0))&amp;"","?"))</f>
        <v/>
      </c>
      <c r="N488" s="2">
        <f>IF(E488="","",IF(ISNUMBER(SEARCH("SUBSOLO",E488)),IFERROR(-VALUE(LEFT(E488,FIND("º",SUBSTITUTE(E488,"°","º"))-1)),-1),IF(LEFT(E488,6)="TÉRREO",0,IFERROR(VALUE(LEFT(E488,FIND("º",SUBSTITUTE(E488,"°","º"))-1)),""))))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31169278</v>
      </c>
      <c r="C489" s="4" t="inlineStr">
        <is>
          <t>ESTRUTURA TORRE</t>
        </is>
      </c>
      <c r="D489" s="4" t="inlineStr">
        <is>
          <t>Montagem de escoramento + linha de vida</t>
        </is>
      </c>
      <c r="E489" s="4" t="inlineStr">
        <is>
          <t>12º PAV. TIPO</t>
        </is>
      </c>
      <c r="F489" s="119" t="n">
        <v>46192</v>
      </c>
      <c r="G489" s="119" t="n">
        <v>46197</v>
      </c>
      <c r="H489" s="119" t="n">
        <v>46293</v>
      </c>
      <c r="I489" s="4" t="n">
        <v>100</v>
      </c>
      <c r="J489" s="4" t="n">
        <v>100</v>
      </c>
      <c r="K489" s="4" t="n">
        <v>100</v>
      </c>
      <c r="M489" s="2">
        <f>IF(C489="","",IFERROR(INDEX($S$5:$S$304,MATCH(C489,$R$5:$R$304,0))&amp;"","?"))</f>
        <v/>
      </c>
      <c r="N489" s="2">
        <f>IF(E489="","",IF(ISNUMBER(SEARCH("SUBSOLO",E489)),IFERROR(-VALUE(LEFT(E489,FIND("º",SUBSTITUTE(E489,"°","º"))-1)),-1),IF(LEFT(E489,6)="TÉRREO",0,IFERROR(VALUE(LEFT(E489,FIND("º",SUBSTITUTE(E489,"°","º"))-1)),""))))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31169279</v>
      </c>
      <c r="C490" s="4" t="inlineStr">
        <is>
          <t>ESTRUTURA TORRE</t>
        </is>
      </c>
      <c r="D490" s="4" t="inlineStr">
        <is>
          <t>Forro de laje</t>
        </is>
      </c>
      <c r="E490" s="4" t="inlineStr">
        <is>
          <t>12º PAV. TIPO</t>
        </is>
      </c>
      <c r="F490" s="119" t="n">
        <v>46198</v>
      </c>
      <c r="G490" s="119" t="n">
        <v>46203</v>
      </c>
      <c r="H490" s="119" t="n">
        <v>46293</v>
      </c>
      <c r="I490" s="4" t="n">
        <v>100</v>
      </c>
      <c r="J490" s="4" t="n">
        <v>100</v>
      </c>
      <c r="K490" s="4" t="n">
        <v>100</v>
      </c>
      <c r="M490" s="2">
        <f>IF(C490="","",IFERROR(INDEX($S$5:$S$304,MATCH(C490,$R$5:$R$304,0))&amp;"","?"))</f>
        <v/>
      </c>
      <c r="N490" s="2">
        <f>IF(E490="","",IF(ISNUMBER(SEARCH("SUBSOLO",E490)),IFERROR(-VALUE(LEFT(E490,FIND("º",SUBSTITUTE(E490,"°","º"))-1)),-1),IF(LEFT(E490,6)="TÉRREO",0,IFERROR(VALUE(LEFT(E490,FIND("º",SUBSTITUTE(E490,"°","º"))-1)),""))))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31169280</v>
      </c>
      <c r="C491" s="4" t="inlineStr">
        <is>
          <t>ESTRUTURA TORRE</t>
        </is>
      </c>
      <c r="D491" s="4" t="inlineStr">
        <is>
          <t>1ª concretagem de pilares</t>
        </is>
      </c>
      <c r="E491" s="4" t="inlineStr">
        <is>
          <t>12º PAV. TIPO</t>
        </is>
      </c>
      <c r="F491" s="119" t="n">
        <v>46202</v>
      </c>
      <c r="G491" s="119" t="n">
        <v>46202</v>
      </c>
      <c r="H491" s="119" t="n">
        <v>46293</v>
      </c>
      <c r="I491" s="4" t="n">
        <v>100</v>
      </c>
      <c r="J491" s="4" t="n">
        <v>100</v>
      </c>
      <c r="K491" s="4" t="n">
        <v>100</v>
      </c>
      <c r="M491" s="2">
        <f>IF(C491="","",IFERROR(INDEX($S$5:$S$304,MATCH(C491,$R$5:$R$304,0))&amp;"","?"))</f>
        <v/>
      </c>
      <c r="N491" s="2">
        <f>IF(E491="","",IF(ISNUMBER(SEARCH("SUBSOLO",E491)),IFERROR(-VALUE(LEFT(E491,FIND("º",SUBSTITUTE(E491,"°","º"))-1)),-1),IF(LEFT(E491,6)="TÉRREO",0,IFERROR(VALUE(LEFT(E491,FIND("º",SUBSTITUTE(E491,"°","º"))-1)),""))))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31169281</v>
      </c>
      <c r="C492" s="4" t="inlineStr">
        <is>
          <t>ESTRUTURA TORRE</t>
        </is>
      </c>
      <c r="D492" s="4" t="inlineStr">
        <is>
          <t>2ª concretagem de pilares</t>
        </is>
      </c>
      <c r="E492" s="4" t="inlineStr">
        <is>
          <t>12º PAV. TIPO</t>
        </is>
      </c>
      <c r="F492" s="119" t="n">
        <v>46204</v>
      </c>
      <c r="G492" s="119" t="n">
        <v>46204</v>
      </c>
      <c r="H492" s="119" t="n">
        <v>46293</v>
      </c>
      <c r="I492" s="4" t="n">
        <v>100</v>
      </c>
      <c r="J492" s="4" t="n">
        <v>100</v>
      </c>
      <c r="K492" s="4" t="n">
        <v>100</v>
      </c>
      <c r="M492" s="2">
        <f>IF(C492="","",IFERROR(INDEX($S$5:$S$304,MATCH(C492,$R$5:$R$304,0))&amp;"","?"))</f>
        <v/>
      </c>
      <c r="N492" s="2">
        <f>IF(E492="","",IF(ISNUMBER(SEARCH("SUBSOLO",E492)),IFERROR(-VALUE(LEFT(E492,FIND("º",SUBSTITUTE(E492,"°","º"))-1)),-1),IF(LEFT(E492,6)="TÉRREO",0,IFERROR(VALUE(LEFT(E492,FIND("º",SUBSTITUTE(E492,"°","º"))-1)),""))))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31169282</v>
      </c>
      <c r="C493" s="4" t="inlineStr">
        <is>
          <t>ESTRUTURA TORRE</t>
        </is>
      </c>
      <c r="D493" s="4" t="inlineStr">
        <is>
          <t>Montagem de armação positiva e lançamento de vigas (trecho 22 cm)</t>
        </is>
      </c>
      <c r="E493" s="4" t="inlineStr">
        <is>
          <t>12º PAV. TIPO</t>
        </is>
      </c>
      <c r="F493" s="119" t="n">
        <v>46202</v>
      </c>
      <c r="G493" s="119" t="n">
        <v>46203</v>
      </c>
      <c r="H493" s="119" t="n">
        <v>46293</v>
      </c>
      <c r="I493" s="4" t="n">
        <v>100</v>
      </c>
      <c r="J493" s="4" t="n">
        <v>100</v>
      </c>
      <c r="K493" s="4" t="n">
        <v>100</v>
      </c>
      <c r="M493" s="2">
        <f>IF(C493="","",IFERROR(INDEX($S$5:$S$304,MATCH(C493,$R$5:$R$304,0))&amp;"","?"))</f>
        <v/>
      </c>
      <c r="N493" s="2">
        <f>IF(E493="","",IF(ISNUMBER(SEARCH("SUBSOLO",E493)),IFERROR(-VALUE(LEFT(E493,FIND("º",SUBSTITUTE(E493,"°","º"))-1)),-1),IF(LEFT(E493,6)="TÉRREO",0,IFERROR(VALUE(LEFT(E493,FIND("º",SUBSTITUTE(E493,"°","º"))-1)),""))))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31169283</v>
      </c>
      <c r="C494" s="4" t="inlineStr">
        <is>
          <t>ESTRUTURA TORRE</t>
        </is>
      </c>
      <c r="D494" s="4" t="inlineStr">
        <is>
          <t>Lançamento de protensão</t>
        </is>
      </c>
      <c r="E494" s="4" t="inlineStr">
        <is>
          <t>12º PAV. TIPO</t>
        </is>
      </c>
      <c r="F494" s="119" t="n">
        <v>46204</v>
      </c>
      <c r="G494" s="119" t="n">
        <v>46205</v>
      </c>
      <c r="H494" s="119" t="n">
        <v>46293</v>
      </c>
      <c r="I494" s="4" t="n">
        <v>100</v>
      </c>
      <c r="J494" s="4" t="n">
        <v>100</v>
      </c>
      <c r="K494" s="4" t="n">
        <v>100</v>
      </c>
      <c r="M494" s="2">
        <f>IF(C494="","",IFERROR(INDEX($S$5:$S$304,MATCH(C494,$R$5:$R$304,0))&amp;"","?"))</f>
        <v/>
      </c>
      <c r="N494" s="2">
        <f>IF(E494="","",IF(ISNUMBER(SEARCH("SUBSOLO",E494)),IFERROR(-VALUE(LEFT(E494,FIND("º",SUBSTITUTE(E494,"°","º"))-1)),-1),IF(LEFT(E494,6)="TÉRREO",0,IFERROR(VALUE(LEFT(E494,FIND("º",SUBSTITUTE(E494,"°","º"))-1)),""))))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31169284</v>
      </c>
      <c r="C495" s="4" t="inlineStr">
        <is>
          <t>ESTRUTURA TORRE</t>
        </is>
      </c>
      <c r="D495" s="4" t="inlineStr">
        <is>
          <t>Armação negativa</t>
        </is>
      </c>
      <c r="E495" s="4" t="inlineStr">
        <is>
          <t>12º PAV. TIPO</t>
        </is>
      </c>
      <c r="F495" s="119" t="n">
        <v>46206</v>
      </c>
      <c r="G495" s="119" t="n">
        <v>46206</v>
      </c>
      <c r="H495" s="119" t="n">
        <v>46293</v>
      </c>
      <c r="I495" s="4" t="n">
        <v>100</v>
      </c>
      <c r="J495" s="4" t="n">
        <v>100</v>
      </c>
      <c r="K495" s="4" t="n">
        <v>100</v>
      </c>
      <c r="M495" s="2">
        <f>IF(C495="","",IFERROR(INDEX($S$5:$S$304,MATCH(C495,$R$5:$R$304,0))&amp;"","?"))</f>
        <v/>
      </c>
      <c r="N495" s="2">
        <f>IF(E495="","",IF(ISNUMBER(SEARCH("SUBSOLO",E495)),IFERROR(-VALUE(LEFT(E495,FIND("º",SUBSTITUTE(E495,"°","º"))-1)),-1),IF(LEFT(E495,6)="TÉRREO",0,IFERROR(VALUE(LEFT(E495,FIND("º",SUBSTITUTE(E495,"°","º"))-1)),""))))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25799847</v>
      </c>
      <c r="C496" s="4" t="inlineStr">
        <is>
          <t>ALVENARIA</t>
        </is>
      </c>
      <c r="D496" s="4" t="inlineStr">
        <is>
          <t>-</t>
        </is>
      </c>
      <c r="E496" s="4" t="inlineStr">
        <is>
          <t>3º PAV. PISCINA DESCOBERTA E E ÁREA DESCOBERTA PISCINA</t>
        </is>
      </c>
      <c r="F496" s="119" t="n">
        <v>46197</v>
      </c>
      <c r="G496" s="119" t="n">
        <v>46210</v>
      </c>
      <c r="H496" s="119" t="n">
        <v>46293</v>
      </c>
      <c r="I496" s="4" t="n">
        <v>100</v>
      </c>
      <c r="J496" s="4" t="n">
        <v>100</v>
      </c>
      <c r="K496" s="4" t="n">
        <v>100</v>
      </c>
      <c r="M496" s="2">
        <f>IF(C496="","",IFERROR(INDEX($S$5:$S$304,MATCH(C496,$R$5:$R$304,0))&amp;"","?"))</f>
        <v/>
      </c>
      <c r="N496" s="2">
        <f>IF(E496="","",IF(ISNUMBER(SEARCH("SUBSOLO",E496)),IFERROR(-VALUE(LEFT(E496,FIND("º",SUBSTITUTE(E496,"°","º"))-1)),-1),IF(LEFT(E496,6)="TÉRREO",0,IFERROR(VALUE(LEFT(E496,FIND("º",SUBSTITUTE(E496,"°","º"))-1)),""))))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43846643</v>
      </c>
      <c r="C497" s="4" t="inlineStr">
        <is>
          <t>ALVENARIA EXTERNA</t>
        </is>
      </c>
      <c r="D497" s="4" t="inlineStr">
        <is>
          <t>-</t>
        </is>
      </c>
      <c r="E497" s="4" t="inlineStr">
        <is>
          <t>7º PAV. TIPO</t>
        </is>
      </c>
      <c r="F497" s="119" t="n">
        <v>46199</v>
      </c>
      <c r="G497" s="119" t="n">
        <v>46220</v>
      </c>
      <c r="H497" s="119" t="n">
        <v>46293</v>
      </c>
      <c r="I497" s="4" t="n">
        <v>100</v>
      </c>
      <c r="J497" s="4" t="n">
        <v>100</v>
      </c>
      <c r="K497" s="4" t="n">
        <v>100</v>
      </c>
      <c r="M497" s="2">
        <f>IF(C497="","",IFERROR(INDEX($S$5:$S$304,MATCH(C497,$R$5:$R$304,0))&amp;"","?"))</f>
        <v/>
      </c>
      <c r="N497" s="2">
        <f>IF(E497="","",IF(ISNUMBER(SEARCH("SUBSOLO",E497)),IFERROR(-VALUE(LEFT(E497,FIND("º",SUBSTITUTE(E497,"°","º"))-1)),-1),IF(LEFT(E497,6)="TÉRREO",0,IFERROR(VALUE(LEFT(E497,FIND("º",SUBSTITUTE(E497,"°","º"))-1)),""))))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46676424</v>
      </c>
      <c r="C498" s="4" t="inlineStr">
        <is>
          <t>INSTALAÇÕES ELÉTRICAS E ESPECIAIS - SETOR B</t>
        </is>
      </c>
      <c r="D498" s="4" t="inlineStr">
        <is>
          <t>-</t>
        </is>
      </c>
      <c r="E498" s="4" t="inlineStr">
        <is>
          <t>3º PAV. - PILOTIS</t>
        </is>
      </c>
      <c r="F498" s="119" t="n">
        <v>46203</v>
      </c>
      <c r="G498" s="119" t="n">
        <v>46224</v>
      </c>
      <c r="H498" s="119" t="n">
        <v>46293</v>
      </c>
      <c r="I498" s="4" t="n">
        <v>100</v>
      </c>
      <c r="J498" s="4" t="n">
        <v>100</v>
      </c>
      <c r="K498" s="4" t="n">
        <v>100</v>
      </c>
      <c r="M498" s="2">
        <f>IF(C498="","",IFERROR(INDEX($S$5:$S$304,MATCH(C498,$R$5:$R$304,0))&amp;"","?"))</f>
        <v/>
      </c>
      <c r="N498" s="2">
        <f>IF(E498="","",IF(ISNUMBER(SEARCH("SUBSOLO",E498)),IFERROR(-VALUE(LEFT(E498,FIND("º",SUBSTITUTE(E498,"°","º"))-1)),-1),IF(LEFT(E498,6)="TÉRREO",0,IFERROR(VALUE(LEFT(E498,FIND("º",SUBSTITUTE(E498,"°","º"))-1)),""))))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31185753</v>
      </c>
      <c r="C499" s="4" t="inlineStr">
        <is>
          <t>INSTALAÇÕES ELÉTRICAS E ESPECIAIS - SETOR B</t>
        </is>
      </c>
      <c r="D499" s="4" t="inlineStr">
        <is>
          <t>Infraestrutura de teto</t>
        </is>
      </c>
      <c r="E499" s="4" t="inlineStr">
        <is>
          <t>3º PAV. - PILOTIS</t>
        </is>
      </c>
      <c r="F499" s="119" t="n">
        <v>46203</v>
      </c>
      <c r="G499" s="119" t="n">
        <v>46217</v>
      </c>
      <c r="H499" s="119" t="n">
        <v>46293</v>
      </c>
      <c r="I499" s="4" t="n">
        <v>100</v>
      </c>
      <c r="J499" s="4" t="n">
        <v>100</v>
      </c>
      <c r="K499" s="4" t="n">
        <v>100</v>
      </c>
      <c r="M499" s="2">
        <f>IF(C499="","",IFERROR(INDEX($S$5:$S$304,MATCH(C499,$R$5:$R$304,0))&amp;"","?"))</f>
        <v/>
      </c>
      <c r="N499" s="2">
        <f>IF(E499="","",IF(ISNUMBER(SEARCH("SUBSOLO",E499)),IFERROR(-VALUE(LEFT(E499,FIND("º",SUBSTITUTE(E499,"°","º"))-1)),-1),IF(LEFT(E499,6)="TÉRREO",0,IFERROR(VALUE(LEFT(E499,FIND("º",SUBSTITUTE(E499,"°","º"))-1)),""))))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31185754</v>
      </c>
      <c r="C500" s="4" t="inlineStr">
        <is>
          <t>INSTALAÇÕES ELÉTRICAS E ESPECIAIS - SETOR B</t>
        </is>
      </c>
      <c r="D500" s="4" t="inlineStr">
        <is>
          <t>Infraestrutura de parede</t>
        </is>
      </c>
      <c r="E500" s="4" t="inlineStr">
        <is>
          <t>3º PAV. - PILOTIS</t>
        </is>
      </c>
      <c r="F500" s="119" t="n">
        <v>46210</v>
      </c>
      <c r="G500" s="119" t="n">
        <v>46224</v>
      </c>
      <c r="H500" s="119" t="n">
        <v>46293</v>
      </c>
      <c r="I500" s="4" t="n">
        <v>100</v>
      </c>
      <c r="J500" s="4" t="n">
        <v>100</v>
      </c>
      <c r="K500" s="4" t="n">
        <v>100</v>
      </c>
      <c r="M500" s="2">
        <f>IF(C500="","",IFERROR(INDEX($S$5:$S$304,MATCH(C500,$R$5:$R$304,0))&amp;"","?"))</f>
        <v/>
      </c>
      <c r="N500" s="2">
        <f>IF(E500="","",IF(ISNUMBER(SEARCH("SUBSOLO",E500)),IFERROR(-VALUE(LEFT(E500,FIND("º",SUBSTITUTE(E500,"°","º"))-1)),-1),IF(LEFT(E500,6)="TÉRREO",0,IFERROR(VALUE(LEFT(E500,FIND("º",SUBSTITUTE(E500,"°","º"))-1)),""))))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22139725</v>
      </c>
      <c r="C501" s="4" t="inlineStr">
        <is>
          <t>ESTRUTURA TORRE</t>
        </is>
      </c>
      <c r="D501" s="4" t="inlineStr">
        <is>
          <t>-</t>
        </is>
      </c>
      <c r="E501" s="4" t="inlineStr">
        <is>
          <t>13º PAV. TIPO</t>
        </is>
      </c>
      <c r="F501" s="119" t="n">
        <v>46204</v>
      </c>
      <c r="G501" s="119" t="n">
        <v>46220</v>
      </c>
      <c r="H501" s="119" t="n">
        <v>46293</v>
      </c>
      <c r="I501" s="4" t="n">
        <v>100</v>
      </c>
      <c r="J501" s="4" t="n">
        <v>100</v>
      </c>
      <c r="K501" s="4" t="n">
        <v>100</v>
      </c>
      <c r="M501" s="2">
        <f>IF(C501="","",IFERROR(INDEX($S$5:$S$304,MATCH(C501,$R$5:$R$304,0))&amp;"","?"))</f>
        <v/>
      </c>
      <c r="N501" s="2">
        <f>IF(E501="","",IF(ISNUMBER(SEARCH("SUBSOLO",E501)),IFERROR(-VALUE(LEFT(E501,FIND("º",SUBSTITUTE(E501,"°","º"))-1)),-1),IF(LEFT(E501,6)="TÉRREO",0,IFERROR(VALUE(LEFT(E501,FIND("º",SUBSTITUTE(E501,"°","º"))-1)),""))))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31500197</v>
      </c>
      <c r="C502" s="4" t="inlineStr">
        <is>
          <t>ESTRUTURA TORRE</t>
        </is>
      </c>
      <c r="D502" s="4" t="inlineStr">
        <is>
          <t>Colarinho - 1ª etapa</t>
        </is>
      </c>
      <c r="E502" s="4" t="inlineStr">
        <is>
          <t>13º PAV. TIPO</t>
        </is>
      </c>
      <c r="F502" s="119" t="n">
        <v>46204</v>
      </c>
      <c r="G502" s="119" t="n">
        <v>46204</v>
      </c>
      <c r="H502" s="119" t="n">
        <v>46293</v>
      </c>
      <c r="I502" s="4" t="n">
        <v>100</v>
      </c>
      <c r="J502" s="4" t="n">
        <v>100</v>
      </c>
      <c r="K502" s="4" t="n">
        <v>100</v>
      </c>
      <c r="M502" s="2">
        <f>IF(C502="","",IFERROR(INDEX($S$5:$S$304,MATCH(C502,$R$5:$R$304,0))&amp;"","?"))</f>
        <v/>
      </c>
      <c r="N502" s="2">
        <f>IF(E502="","",IF(ISNUMBER(SEARCH("SUBSOLO",E502)),IFERROR(-VALUE(LEFT(E502,FIND("º",SUBSTITUTE(E502,"°","º"))-1)),-1),IF(LEFT(E502,6)="TÉRREO",0,IFERROR(VALUE(LEFT(E502,FIND("º",SUBSTITUTE(E502,"°","º"))-1)),""))))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31500198</v>
      </c>
      <c r="C503" s="4" t="inlineStr">
        <is>
          <t>ESTRUTURA TORRE</t>
        </is>
      </c>
      <c r="D503" s="4" t="inlineStr">
        <is>
          <t>Colarinho - 2ª etapa</t>
        </is>
      </c>
      <c r="E503" s="4" t="inlineStr">
        <is>
          <t>13º PAV. TIPO</t>
        </is>
      </c>
      <c r="F503" s="119" t="n">
        <v>46206</v>
      </c>
      <c r="G503" s="119" t="n">
        <v>46206</v>
      </c>
      <c r="H503" s="119" t="n">
        <v>46293</v>
      </c>
      <c r="I503" s="4" t="n">
        <v>100</v>
      </c>
      <c r="J503" s="4" t="n">
        <v>100</v>
      </c>
      <c r="K503" s="4" t="n">
        <v>100</v>
      </c>
      <c r="M503" s="2">
        <f>IF(C503="","",IFERROR(INDEX($S$5:$S$304,MATCH(C503,$R$5:$R$304,0))&amp;"","?"))</f>
        <v/>
      </c>
      <c r="N503" s="2">
        <f>IF(E503="","",IF(ISNUMBER(SEARCH("SUBSOLO",E503)),IFERROR(-VALUE(LEFT(E503,FIND("º",SUBSTITUTE(E503,"°","º"))-1)),-1),IF(LEFT(E503,6)="TÉRREO",0,IFERROR(VALUE(LEFT(E503,FIND("º",SUBSTITUTE(E503,"°","º"))-1)),""))))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31500199</v>
      </c>
      <c r="C504" s="4" t="inlineStr">
        <is>
          <t>ESTRUTURA TORRE</t>
        </is>
      </c>
      <c r="D504" s="4" t="inlineStr">
        <is>
          <t>Armação de pilares</t>
        </is>
      </c>
      <c r="E504" s="4" t="inlineStr">
        <is>
          <t>13º PAV. TIPO</t>
        </is>
      </c>
      <c r="F504" s="119" t="n">
        <v>46204</v>
      </c>
      <c r="G504" s="119" t="n">
        <v>46209</v>
      </c>
      <c r="H504" s="119" t="n">
        <v>46293</v>
      </c>
      <c r="I504" s="4" t="n">
        <v>100</v>
      </c>
      <c r="J504" s="4" t="n">
        <v>100</v>
      </c>
      <c r="K504" s="4" t="n">
        <v>100</v>
      </c>
      <c r="M504" s="2">
        <f>IF(C504="","",IFERROR(INDEX($S$5:$S$304,MATCH(C504,$R$5:$R$304,0))&amp;"","?"))</f>
        <v/>
      </c>
      <c r="N504" s="2">
        <f>IF(E504="","",IF(ISNUMBER(SEARCH("SUBSOLO",E504)),IFERROR(-VALUE(LEFT(E504,FIND("º",SUBSTITUTE(E504,"°","º"))-1)),-1),IF(LEFT(E504,6)="TÉRREO",0,IFERROR(VALUE(LEFT(E504,FIND("º",SUBSTITUTE(E504,"°","º"))-1)),""))))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31505804</v>
      </c>
      <c r="C505" s="4" t="inlineStr">
        <is>
          <t>ESTRUTURA TORRE</t>
        </is>
      </c>
      <c r="D505" s="4" t="inlineStr">
        <is>
          <t>Fechamento dos pilares</t>
        </is>
      </c>
      <c r="E505" s="4" t="inlineStr">
        <is>
          <t>13º PAV. TIPO</t>
        </is>
      </c>
      <c r="F505" s="119" t="n">
        <v>46204</v>
      </c>
      <c r="G505" s="119" t="n">
        <v>46211</v>
      </c>
      <c r="H505" s="119" t="n">
        <v>46293</v>
      </c>
      <c r="I505" s="4" t="n">
        <v>100</v>
      </c>
      <c r="J505" s="4" t="n">
        <v>100</v>
      </c>
      <c r="K505" s="4" t="n">
        <v>100</v>
      </c>
      <c r="M505" s="2">
        <f>IF(C505="","",IFERROR(INDEX($S$5:$S$304,MATCH(C505,$R$5:$R$304,0))&amp;"","?"))</f>
        <v/>
      </c>
      <c r="N505" s="2">
        <f>IF(E505="","",IF(ISNUMBER(SEARCH("SUBSOLO",E505)),IFERROR(-VALUE(LEFT(E505,FIND("º",SUBSTITUTE(E505,"°","º"))-1)),-1),IF(LEFT(E505,6)="TÉRREO",0,IFERROR(VALUE(LEFT(E505,FIND("º",SUBSTITUTE(E505,"°","º"))-1)),""))))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31505805</v>
      </c>
      <c r="C506" s="4" t="inlineStr">
        <is>
          <t>ESTRUTURA TORRE</t>
        </is>
      </c>
      <c r="D506" s="4" t="inlineStr">
        <is>
          <t>Montagem de escoramento e linha de vida</t>
        </is>
      </c>
      <c r="E506" s="4" t="inlineStr">
        <is>
          <t>13º PAV. TIPO</t>
        </is>
      </c>
      <c r="F506" s="119" t="n">
        <v>46206</v>
      </c>
      <c r="G506" s="119" t="n">
        <v>46213</v>
      </c>
      <c r="H506" s="119" t="n">
        <v>46293</v>
      </c>
      <c r="I506" s="4" t="n">
        <v>100</v>
      </c>
      <c r="J506" s="4" t="n">
        <v>100</v>
      </c>
      <c r="K506" s="4" t="n">
        <v>100</v>
      </c>
      <c r="M506" s="2">
        <f>IF(C506="","",IFERROR(INDEX($S$5:$S$304,MATCH(C506,$R$5:$R$304,0))&amp;"","?"))</f>
        <v/>
      </c>
      <c r="N506" s="2">
        <f>IF(E506="","",IF(ISNUMBER(SEARCH("SUBSOLO",E506)),IFERROR(-VALUE(LEFT(E506,FIND("º",SUBSTITUTE(E506,"°","º"))-1)),-1),IF(LEFT(E506,6)="TÉRREO",0,IFERROR(VALUE(LEFT(E506,FIND("º",SUBSTITUTE(E506,"°","º"))-1)),""))))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31505806</v>
      </c>
      <c r="C507" s="4" t="inlineStr">
        <is>
          <t>ESTRUTURA TORRE</t>
        </is>
      </c>
      <c r="D507" s="4" t="inlineStr">
        <is>
          <t>Forro</t>
        </is>
      </c>
      <c r="E507" s="4" t="inlineStr">
        <is>
          <t>13º PAV. TIPO</t>
        </is>
      </c>
      <c r="F507" s="119" t="n">
        <v>46210</v>
      </c>
      <c r="G507" s="119" t="n">
        <v>46216</v>
      </c>
      <c r="H507" s="119" t="n">
        <v>46293</v>
      </c>
      <c r="I507" s="4" t="n">
        <v>100</v>
      </c>
      <c r="J507" s="4" t="n">
        <v>100</v>
      </c>
      <c r="K507" s="4" t="n">
        <v>100</v>
      </c>
      <c r="M507" s="2">
        <f>IF(C507="","",IFERROR(INDEX($S$5:$S$304,MATCH(C507,$R$5:$R$304,0))&amp;"","?"))</f>
        <v/>
      </c>
      <c r="N507" s="2">
        <f>IF(E507="","",IF(ISNUMBER(SEARCH("SUBSOLO",E507)),IFERROR(-VALUE(LEFT(E507,FIND("º",SUBSTITUTE(E507,"°","º"))-1)),-1),IF(LEFT(E507,6)="TÉRREO",0,IFERROR(VALUE(LEFT(E507,FIND("º",SUBSTITUTE(E507,"°","º"))-1)),""))))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31505807</v>
      </c>
      <c r="C508" s="4" t="inlineStr">
        <is>
          <t>ESTRUTURA TORRE</t>
        </is>
      </c>
      <c r="D508" s="4" t="inlineStr">
        <is>
          <t>1ª concretagem de pilares</t>
        </is>
      </c>
      <c r="E508" s="4" t="inlineStr">
        <is>
          <t>13º PAV. TIPO</t>
        </is>
      </c>
      <c r="F508" s="119" t="n">
        <v>46213</v>
      </c>
      <c r="G508" s="119" t="n">
        <v>46213</v>
      </c>
      <c r="H508" s="119" t="n">
        <v>46293</v>
      </c>
      <c r="I508" s="4" t="n">
        <v>100</v>
      </c>
      <c r="J508" s="4" t="n">
        <v>100</v>
      </c>
      <c r="K508" s="4" t="n">
        <v>100</v>
      </c>
      <c r="M508" s="2">
        <f>IF(C508="","",IFERROR(INDEX($S$5:$S$304,MATCH(C508,$R$5:$R$304,0))&amp;"","?"))</f>
        <v/>
      </c>
      <c r="N508" s="2">
        <f>IF(E508="","",IF(ISNUMBER(SEARCH("SUBSOLO",E508)),IFERROR(-VALUE(LEFT(E508,FIND("º",SUBSTITUTE(E508,"°","º"))-1)),-1),IF(LEFT(E508,6)="TÉRREO",0,IFERROR(VALUE(LEFT(E508,FIND("º",SUBSTITUTE(E508,"°","º"))-1)),""))))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31505808</v>
      </c>
      <c r="C509" s="4" t="inlineStr">
        <is>
          <t>ESTRUTURA TORRE</t>
        </is>
      </c>
      <c r="D509" s="4" t="inlineStr">
        <is>
          <t>Montagem de armação - vigas e beiral 1ª etapa</t>
        </is>
      </c>
      <c r="E509" s="4" t="inlineStr">
        <is>
          <t>13º PAV. TIPO</t>
        </is>
      </c>
      <c r="F509" s="119" t="n">
        <v>46212</v>
      </c>
      <c r="G509" s="119" t="n">
        <v>46212</v>
      </c>
      <c r="H509" s="119" t="n">
        <v>46293</v>
      </c>
      <c r="I509" s="4" t="n">
        <v>100</v>
      </c>
      <c r="J509" s="4" t="n">
        <v>100</v>
      </c>
      <c r="K509" s="4" t="n">
        <v>100</v>
      </c>
      <c r="M509" s="2">
        <f>IF(C509="","",IFERROR(INDEX($S$5:$S$304,MATCH(C509,$R$5:$R$304,0))&amp;"","?"))</f>
        <v/>
      </c>
      <c r="N509" s="2">
        <f>IF(E509="","",IF(ISNUMBER(SEARCH("SUBSOLO",E509)),IFERROR(-VALUE(LEFT(E509,FIND("º",SUBSTITUTE(E509,"°","º"))-1)),-1),IF(LEFT(E509,6)="TÉRREO",0,IFERROR(VALUE(LEFT(E509,FIND("º",SUBSTITUTE(E509,"°","º"))-1)),""))))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31505809</v>
      </c>
      <c r="C510" s="4" t="inlineStr">
        <is>
          <t>ESTRUTURA TORRE</t>
        </is>
      </c>
      <c r="D510" s="4" t="inlineStr">
        <is>
          <t>Armação positiva + painel negativa da 1ª etapa</t>
        </is>
      </c>
      <c r="E510" s="4" t="inlineStr">
        <is>
          <t>13º PAV. TIPO</t>
        </is>
      </c>
      <c r="F510" s="119" t="n">
        <v>46213</v>
      </c>
      <c r="G510" s="119" t="n">
        <v>46213</v>
      </c>
      <c r="H510" s="119" t="n">
        <v>46293</v>
      </c>
      <c r="I510" s="4" t="n">
        <v>100</v>
      </c>
      <c r="J510" s="4" t="n">
        <v>100</v>
      </c>
      <c r="K510" s="4" t="n">
        <v>100</v>
      </c>
      <c r="M510" s="2">
        <f>IF(C510="","",IFERROR(INDEX($S$5:$S$304,MATCH(C510,$R$5:$R$304,0))&amp;"","?"))</f>
        <v/>
      </c>
      <c r="N510" s="2">
        <f>IF(E510="","",IF(ISNUMBER(SEARCH("SUBSOLO",E510)),IFERROR(-VALUE(LEFT(E510,FIND("º",SUBSTITUTE(E510,"°","º"))-1)),-1),IF(LEFT(E510,6)="TÉRREO",0,IFERROR(VALUE(LEFT(E510,FIND("º",SUBSTITUTE(E510,"°","º"))-1)),""))))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31505810</v>
      </c>
      <c r="C511" s="4" t="inlineStr">
        <is>
          <t>ESTRUTURA TORRE</t>
        </is>
      </c>
      <c r="D511" s="4" t="inlineStr">
        <is>
          <t>Protensão</t>
        </is>
      </c>
      <c r="E511" s="4" t="inlineStr">
        <is>
          <t>13º PAV. TIPO</t>
        </is>
      </c>
      <c r="F511" s="119" t="n">
        <v>46213</v>
      </c>
      <c r="G511" s="119" t="n">
        <v>46217</v>
      </c>
      <c r="H511" s="119" t="n">
        <v>46293</v>
      </c>
      <c r="I511" s="4" t="n">
        <v>100</v>
      </c>
      <c r="J511" s="4" t="n">
        <v>100</v>
      </c>
      <c r="K511" s="4" t="n">
        <v>100</v>
      </c>
      <c r="M511" s="2">
        <f>IF(C511="","",IFERROR(INDEX($S$5:$S$304,MATCH(C511,$R$5:$R$304,0))&amp;"","?"))</f>
        <v/>
      </c>
      <c r="N511" s="2">
        <f>IF(E511="","",IF(ISNUMBER(SEARCH("SUBSOLO",E511)),IFERROR(-VALUE(LEFT(E511,FIND("º",SUBSTITUTE(E511,"°","º"))-1)),-1),IF(LEFT(E511,6)="TÉRREO",0,IFERROR(VALUE(LEFT(E511,FIND("º",SUBSTITUTE(E511,"°","º"))-1)),""))))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31505811</v>
      </c>
      <c r="C512" s="4" t="inlineStr">
        <is>
          <t>ESTRUTURA TORRE</t>
        </is>
      </c>
      <c r="D512" s="4" t="inlineStr">
        <is>
          <t>Lançamento de armação negativa 1ª etapa</t>
        </is>
      </c>
      <c r="E512" s="4" t="inlineStr">
        <is>
          <t>13º PAV. TIPO</t>
        </is>
      </c>
      <c r="F512" s="119" t="n">
        <v>46217</v>
      </c>
      <c r="G512" s="119" t="n">
        <v>46217</v>
      </c>
      <c r="H512" s="119" t="n">
        <v>46293</v>
      </c>
      <c r="I512" s="4" t="n">
        <v>100</v>
      </c>
      <c r="J512" s="4" t="n">
        <v>100</v>
      </c>
      <c r="K512" s="4" t="n">
        <v>100</v>
      </c>
      <c r="M512" s="2">
        <f>IF(C512="","",IFERROR(INDEX($S$5:$S$304,MATCH(C512,$R$5:$R$304,0))&amp;"","?"))</f>
        <v/>
      </c>
      <c r="N512" s="2">
        <f>IF(E512="","",IF(ISNUMBER(SEARCH("SUBSOLO",E512)),IFERROR(-VALUE(LEFT(E512,FIND("º",SUBSTITUTE(E512,"°","º"))-1)),-1),IF(LEFT(E512,6)="TÉRREO",0,IFERROR(VALUE(LEFT(E512,FIND("º",SUBSTITUTE(E512,"°","º"))-1)),""))))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31505812</v>
      </c>
      <c r="C513" s="4" t="inlineStr">
        <is>
          <t>ESTRUTURA TORRE</t>
        </is>
      </c>
      <c r="D513" s="4" t="inlineStr">
        <is>
          <t>Concreto 1ª etapa</t>
        </is>
      </c>
      <c r="E513" s="4" t="inlineStr">
        <is>
          <t>13º PAV. TIPO</t>
        </is>
      </c>
      <c r="F513" s="119" t="n">
        <v>46218</v>
      </c>
      <c r="G513" s="119" t="n">
        <v>46218</v>
      </c>
      <c r="H513" s="119" t="n">
        <v>46293</v>
      </c>
      <c r="I513" s="4" t="n">
        <v>100</v>
      </c>
      <c r="J513" s="4" t="n">
        <v>100</v>
      </c>
      <c r="K513" s="4" t="n">
        <v>100</v>
      </c>
      <c r="M513" s="2">
        <f>IF(C513="","",IFERROR(INDEX($S$5:$S$304,MATCH(C513,$R$5:$R$304,0))&amp;"","?"))</f>
        <v/>
      </c>
      <c r="N513" s="2">
        <f>IF(E513="","",IF(ISNUMBER(SEARCH("SUBSOLO",E513)),IFERROR(-VALUE(LEFT(E513,FIND("º",SUBSTITUTE(E513,"°","º"))-1)),-1),IF(LEFT(E513,6)="TÉRREO",0,IFERROR(VALUE(LEFT(E513,FIND("º",SUBSTITUTE(E513,"°","º"))-1)),""))))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31505813</v>
      </c>
      <c r="C514" s="4" t="inlineStr">
        <is>
          <t>ESTRUTURA TORRE</t>
        </is>
      </c>
      <c r="D514" s="4" t="inlineStr">
        <is>
          <t>Montagem de armação - vigas e positivo 2ª etapa</t>
        </is>
      </c>
      <c r="E514" s="4" t="inlineStr">
        <is>
          <t>13º PAV. TIPO</t>
        </is>
      </c>
      <c r="F514" s="119" t="n">
        <v>46217</v>
      </c>
      <c r="G514" s="119" t="n">
        <v>46218</v>
      </c>
      <c r="H514" s="119" t="n">
        <v>46293</v>
      </c>
      <c r="I514" s="4" t="n">
        <v>100</v>
      </c>
      <c r="J514" s="4" t="n">
        <v>100</v>
      </c>
      <c r="K514" s="4" t="n">
        <v>100</v>
      </c>
      <c r="M514" s="2">
        <f>IF(C514="","",IFERROR(INDEX($S$5:$S$304,MATCH(C514,$R$5:$R$304,0))&amp;"","?"))</f>
        <v/>
      </c>
      <c r="N514" s="2">
        <f>IF(E514="","",IF(ISNUMBER(SEARCH("SUBSOLO",E514)),IFERROR(-VALUE(LEFT(E514,FIND("º",SUBSTITUTE(E514,"°","º"))-1)),-1),IF(LEFT(E514,6)="TÉRREO",0,IFERROR(VALUE(LEFT(E514,FIND("º",SUBSTITUTE(E514,"°","º"))-1)),""))))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31505814</v>
      </c>
      <c r="C515" s="4" t="inlineStr">
        <is>
          <t>ESTRUTURA TORRE</t>
        </is>
      </c>
      <c r="D515" s="4" t="inlineStr">
        <is>
          <t>Armação negativa - 2ª etapa</t>
        </is>
      </c>
      <c r="E515" s="4" t="inlineStr">
        <is>
          <t>13º PAV. TIPO</t>
        </is>
      </c>
      <c r="F515" s="119" t="n">
        <v>46219</v>
      </c>
      <c r="G515" s="119" t="n">
        <v>46219</v>
      </c>
      <c r="H515" s="119" t="n">
        <v>46293</v>
      </c>
      <c r="I515" s="4" t="n">
        <v>100</v>
      </c>
      <c r="J515" s="4" t="n">
        <v>100</v>
      </c>
      <c r="K515" s="4" t="n">
        <v>100</v>
      </c>
      <c r="M515" s="2">
        <f>IF(C515="","",IFERROR(INDEX($S$5:$S$304,MATCH(C515,$R$5:$R$304,0))&amp;"","?"))</f>
        <v/>
      </c>
      <c r="N515" s="2">
        <f>IF(E515="","",IF(ISNUMBER(SEARCH("SUBSOLO",E515)),IFERROR(-VALUE(LEFT(E515,FIND("º",SUBSTITUTE(E515,"°","º"))-1)),-1),IF(LEFT(E515,6)="TÉRREO",0,IFERROR(VALUE(LEFT(E515,FIND("º",SUBSTITUTE(E515,"°","º"))-1)),""))))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31505815</v>
      </c>
      <c r="C516" s="4" t="inlineStr">
        <is>
          <t>ESTRUTURA TORRE</t>
        </is>
      </c>
      <c r="D516" s="4" t="inlineStr">
        <is>
          <t>Concreto da 2ª etapa</t>
        </is>
      </c>
      <c r="E516" s="4" t="inlineStr">
        <is>
          <t>13º PAV. TIPO</t>
        </is>
      </c>
      <c r="F516" s="119" t="n">
        <v>46220</v>
      </c>
      <c r="G516" s="119" t="n">
        <v>46220</v>
      </c>
      <c r="H516" s="119" t="n">
        <v>46293</v>
      </c>
      <c r="I516" s="4" t="n">
        <v>100</v>
      </c>
      <c r="J516" s="4" t="n">
        <v>100</v>
      </c>
      <c r="K516" s="4" t="n">
        <v>100</v>
      </c>
      <c r="M516" s="2">
        <f>IF(C516="","",IFERROR(INDEX($S$5:$S$304,MATCH(C516,$R$5:$R$304,0))&amp;"","?"))</f>
        <v/>
      </c>
      <c r="N516" s="2">
        <f>IF(E516="","",IF(ISNUMBER(SEARCH("SUBSOLO",E516)),IFERROR(-VALUE(LEFT(E516,FIND("º",SUBSTITUTE(E516,"°","º"))-1)),-1),IF(LEFT(E516,6)="TÉRREO",0,IFERROR(VALUE(LEFT(E516,FIND("º",SUBSTITUTE(E516,"°","º"))-1)),""))))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43846642</v>
      </c>
      <c r="C517" s="4" t="inlineStr">
        <is>
          <t>ALVENARIA EXTERNA</t>
        </is>
      </c>
      <c r="D517" s="4" t="inlineStr">
        <is>
          <t>-</t>
        </is>
      </c>
      <c r="E517" s="4" t="inlineStr">
        <is>
          <t>6º PAV. TIPO</t>
        </is>
      </c>
      <c r="F517" s="119" t="n">
        <v>46205</v>
      </c>
      <c r="G517" s="119" t="n">
        <v>46213</v>
      </c>
      <c r="H517" s="119" t="n">
        <v>46293</v>
      </c>
      <c r="I517" s="4" t="n">
        <v>100</v>
      </c>
      <c r="J517" s="4" t="n">
        <v>100</v>
      </c>
      <c r="K517" s="4" t="n">
        <v>100</v>
      </c>
      <c r="M517" s="2">
        <f>IF(C517="","",IFERROR(INDEX($S$5:$S$304,MATCH(C517,$R$5:$R$304,0))&amp;"","?"))</f>
        <v/>
      </c>
      <c r="N517" s="2">
        <f>IF(E517="","",IF(ISNUMBER(SEARCH("SUBSOLO",E517)),IFERROR(-VALUE(LEFT(E517,FIND("º",SUBSTITUTE(E517,"°","º"))-1)),-1),IF(LEFT(E517,6)="TÉRREO",0,IFERROR(VALUE(LEFT(E517,FIND("º",SUBSTITUTE(E517,"°","º"))-1)),""))))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25210743</v>
      </c>
      <c r="C518" s="4" t="inlineStr">
        <is>
          <t>ALVENARIA</t>
        </is>
      </c>
      <c r="D518" s="4" t="inlineStr">
        <is>
          <t>-</t>
        </is>
      </c>
      <c r="E518" s="4" t="inlineStr">
        <is>
          <t>6º PAV. TIPO</t>
        </is>
      </c>
      <c r="F518" s="119" t="n">
        <v>46206</v>
      </c>
      <c r="G518" s="119" t="n">
        <v>46227</v>
      </c>
      <c r="H518" s="119" t="n">
        <v>46293</v>
      </c>
      <c r="I518" s="4" t="n">
        <v>100</v>
      </c>
      <c r="J518" s="4" t="n">
        <v>100</v>
      </c>
      <c r="K518" s="4" t="n">
        <v>100</v>
      </c>
      <c r="M518" s="2">
        <f>IF(C518="","",IFERROR(INDEX($S$5:$S$304,MATCH(C518,$R$5:$R$304,0))&amp;"","?"))</f>
        <v/>
      </c>
      <c r="N518" s="2">
        <f>IF(E518="","",IF(ISNUMBER(SEARCH("SUBSOLO",E518)),IFERROR(-VALUE(LEFT(E518,FIND("º",SUBSTITUTE(E518,"°","º"))-1)),-1),IF(LEFT(E518,6)="TÉRREO",0,IFERROR(VALUE(LEFT(E518,FIND("º",SUBSTITUTE(E518,"°","º"))-1)),""))))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47789219</v>
      </c>
      <c r="C519" s="4" t="inlineStr">
        <is>
          <t>ÁREA DE VIVÊNCIA + SALAS DE JOGOS</t>
        </is>
      </c>
      <c r="D519" s="4" t="inlineStr">
        <is>
          <t>-</t>
        </is>
      </c>
      <c r="E519" s="4" t="inlineStr">
        <is>
          <t>GERAL</t>
        </is>
      </c>
      <c r="F519" s="119" t="n">
        <v>46209</v>
      </c>
      <c r="G519" s="119" t="n">
        <v>46248</v>
      </c>
      <c r="H519" s="119" t="n">
        <v>46293</v>
      </c>
      <c r="I519" s="4" t="n">
        <v>100</v>
      </c>
      <c r="J519" s="4" t="n">
        <v>100</v>
      </c>
      <c r="K519" s="4" t="n">
        <v>92.5</v>
      </c>
      <c r="M519" s="2">
        <f>IF(C519="","",IFERROR(INDEX($S$5:$S$304,MATCH(C519,$R$5:$R$304,0))&amp;"","?"))</f>
        <v/>
      </c>
      <c r="N519" s="2">
        <f>IF(E519="","",IF(ISNUMBER(SEARCH("SUBSOLO",E519)),IFERROR(-VALUE(LEFT(E519,FIND("º",SUBSTITUTE(E519,"°","º"))-1)),-1),IF(LEFT(E519,6)="TÉRREO",0,IFERROR(VALUE(LEFT(E519,FIND("º",SUBSTITUTE(E519,"°","º"))-1)),""))))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31505835</v>
      </c>
      <c r="C520" s="4" t="inlineStr">
        <is>
          <t>ÁREA DE VIVÊNCIA + SALAS DE JOGOS</t>
        </is>
      </c>
      <c r="D520" s="4" t="inlineStr">
        <is>
          <t>Instalação elétrica</t>
        </is>
      </c>
      <c r="E520" s="4" t="inlineStr">
        <is>
          <t>GERAL</t>
        </is>
      </c>
      <c r="F520" s="119" t="n">
        <v>46209</v>
      </c>
      <c r="G520" s="119" t="n">
        <v>46213</v>
      </c>
      <c r="H520" s="119" t="n">
        <v>46293</v>
      </c>
      <c r="I520" s="4" t="n">
        <v>100</v>
      </c>
      <c r="J520" s="4" t="n">
        <v>100</v>
      </c>
      <c r="K520" s="4" t="n">
        <v>100</v>
      </c>
      <c r="M520" s="2">
        <f>IF(C520="","",IFERROR(INDEX($S$5:$S$304,MATCH(C520,$R$5:$R$304,0))&amp;"","?"))</f>
        <v/>
      </c>
      <c r="N520" s="2">
        <f>IF(E520="","",IF(ISNUMBER(SEARCH("SUBSOLO",E520)),IFERROR(-VALUE(LEFT(E520,FIND("º",SUBSTITUTE(E520,"°","º"))-1)),-1),IF(LEFT(E520,6)="TÉRREO",0,IFERROR(VALUE(LEFT(E520,FIND("º",SUBSTITUTE(E520,"°","º"))-1)),""))))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31505836</v>
      </c>
      <c r="C521" s="4" t="inlineStr">
        <is>
          <t>ÁREA DE VIVÊNCIA + SALAS DE JOGOS</t>
        </is>
      </c>
      <c r="D521" s="4" t="inlineStr">
        <is>
          <t>Instalação hidraúlica</t>
        </is>
      </c>
      <c r="E521" s="4" t="inlineStr">
        <is>
          <t>GERAL</t>
        </is>
      </c>
      <c r="F521" s="119" t="n">
        <v>46216</v>
      </c>
      <c r="G521" s="119" t="n">
        <v>46220</v>
      </c>
      <c r="H521" s="119" t="n">
        <v>46293</v>
      </c>
      <c r="I521" s="4" t="n">
        <v>100</v>
      </c>
      <c r="J521" s="4" t="n">
        <v>100</v>
      </c>
      <c r="K521" s="4" t="n">
        <v>100</v>
      </c>
      <c r="M521" s="2">
        <f>IF(C521="","",IFERROR(INDEX($S$5:$S$304,MATCH(C521,$R$5:$R$304,0))&amp;"","?"))</f>
        <v/>
      </c>
      <c r="N521" s="2">
        <f>IF(E521="","",IF(ISNUMBER(SEARCH("SUBSOLO",E521)),IFERROR(-VALUE(LEFT(E521,FIND("º",SUBSTITUTE(E521,"°","º"))-1)),-1),IF(LEFT(E521,6)="TÉRREO",0,IFERROR(VALUE(LEFT(E521,FIND("º",SUBSTITUTE(E521,"°","º"))-1)),""))))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31505837</v>
      </c>
      <c r="C522" s="4" t="inlineStr">
        <is>
          <t>ÁREA DE VIVÊNCIA + SALAS DE JOGOS</t>
        </is>
      </c>
      <c r="D522" s="4" t="inlineStr">
        <is>
          <t>Banheiros masculino e feminino</t>
        </is>
      </c>
      <c r="E522" s="4" t="inlineStr">
        <is>
          <t>GERAL</t>
        </is>
      </c>
      <c r="F522" s="119" t="n">
        <v>46244</v>
      </c>
      <c r="G522" s="119" t="n">
        <v>46248</v>
      </c>
      <c r="H522" s="119" t="n">
        <v>46293</v>
      </c>
      <c r="I522" s="4" t="n">
        <v>100</v>
      </c>
      <c r="J522" s="4" t="n">
        <v>100</v>
      </c>
      <c r="K522" s="4" t="n">
        <v>70</v>
      </c>
      <c r="M522" s="2">
        <f>IF(C522="","",IFERROR(INDEX($S$5:$S$304,MATCH(C522,$R$5:$R$304,0))&amp;"","?"))</f>
        <v/>
      </c>
      <c r="N522" s="2">
        <f>IF(E522="","",IF(ISNUMBER(SEARCH("SUBSOLO",E522)),IFERROR(-VALUE(LEFT(E522,FIND("º",SUBSTITUTE(E522,"°","º"))-1)),-1),IF(LEFT(E522,6)="TÉRREO",0,IFERROR(VALUE(LEFT(E522,FIND("º",SUBSTITUTE(E522,"°","º"))-1)),""))))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31505838</v>
      </c>
      <c r="C523" s="4" t="inlineStr">
        <is>
          <t>ÁREA DE VIVÊNCIA + SALAS DE JOGOS</t>
        </is>
      </c>
      <c r="D523" s="4" t="inlineStr">
        <is>
          <t>Mundaça egenharia, ADM e segurança</t>
        </is>
      </c>
      <c r="E523" s="4" t="inlineStr">
        <is>
          <t>GERAL</t>
        </is>
      </c>
      <c r="F523" s="119" t="n">
        <v>46230</v>
      </c>
      <c r="G523" s="119" t="n">
        <v>46234</v>
      </c>
      <c r="H523" s="119" t="n">
        <v>46293</v>
      </c>
      <c r="I523" s="4" t="n">
        <v>100</v>
      </c>
      <c r="J523" s="4" t="n">
        <v>100</v>
      </c>
      <c r="K523" s="4" t="n">
        <v>100</v>
      </c>
      <c r="M523" s="2">
        <f>IF(C523="","",IFERROR(INDEX($S$5:$S$304,MATCH(C523,$R$5:$R$304,0))&amp;"","?"))</f>
        <v/>
      </c>
      <c r="N523" s="2">
        <f>IF(E523="","",IF(ISNUMBER(SEARCH("SUBSOLO",E523)),IFERROR(-VALUE(LEFT(E523,FIND("º",SUBSTITUTE(E523,"°","º"))-1)),-1),IF(LEFT(E523,6)="TÉRREO",0,IFERROR(VALUE(LEFT(E523,FIND("º",SUBSTITUTE(E523,"°","º"))-1)),""))))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33366378</v>
      </c>
      <c r="C524" s="4" t="inlineStr">
        <is>
          <t>INFRAESTRUTURA ENTERRADA - 3º QUADRANTE</t>
        </is>
      </c>
      <c r="D524" s="4" t="inlineStr">
        <is>
          <t>-</t>
        </is>
      </c>
      <c r="E524" s="4" t="inlineStr">
        <is>
          <t>TÉRREO - GARAGENS</t>
        </is>
      </c>
      <c r="F524" s="119" t="n">
        <v>46209</v>
      </c>
      <c r="G524" s="119" t="n">
        <v>46233</v>
      </c>
      <c r="H524" s="119" t="n">
        <v>46293</v>
      </c>
      <c r="I524" s="4" t="n">
        <v>100</v>
      </c>
      <c r="J524" s="4" t="n">
        <v>100</v>
      </c>
      <c r="K524" s="4" t="n">
        <v>100</v>
      </c>
      <c r="M524" s="2">
        <f>IF(C524="","",IFERROR(INDEX($S$5:$S$304,MATCH(C524,$R$5:$R$304,0))&amp;"","?"))</f>
        <v/>
      </c>
      <c r="N524" s="2">
        <f>IF(E524="","",IF(ISNUMBER(SEARCH("SUBSOLO",E524)),IFERROR(-VALUE(LEFT(E524,FIND("º",SUBSTITUTE(E524,"°","º"))-1)),-1),IF(LEFT(E524,6)="TÉRREO",0,IFERROR(VALUE(LEFT(E524,FIND("º",SUBSTITUTE(E524,"°","º"))-1)),""))))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31169494</v>
      </c>
      <c r="C525" s="4" t="inlineStr">
        <is>
          <t>INFRAESTRUTURA ENTERRADA - 3º QUADRANTE</t>
        </is>
      </c>
      <c r="D525" s="4" t="inlineStr">
        <is>
          <t>Escavação</t>
        </is>
      </c>
      <c r="E525" s="4" t="inlineStr">
        <is>
          <t>TÉRREO - GARAGENS</t>
        </is>
      </c>
      <c r="F525" s="119" t="n">
        <v>46209</v>
      </c>
      <c r="G525" s="119" t="n">
        <v>46213</v>
      </c>
      <c r="H525" s="119" t="n">
        <v>46293</v>
      </c>
      <c r="I525" s="4" t="n">
        <v>100</v>
      </c>
      <c r="J525" s="4" t="n">
        <v>100</v>
      </c>
      <c r="K525" s="4" t="n">
        <v>100</v>
      </c>
      <c r="M525" s="2">
        <f>IF(C525="","",IFERROR(INDEX($S$5:$S$304,MATCH(C525,$R$5:$R$304,0))&amp;"","?"))</f>
        <v/>
      </c>
      <c r="N525" s="2">
        <f>IF(E525="","",IF(ISNUMBER(SEARCH("SUBSOLO",E525)),IFERROR(-VALUE(LEFT(E525,FIND("º",SUBSTITUTE(E525,"°","º"))-1)),-1),IF(LEFT(E525,6)="TÉRREO",0,IFERROR(VALUE(LEFT(E525,FIND("º",SUBSTITUTE(E525,"°","º"))-1)),""))))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31169495</v>
      </c>
      <c r="C526" s="4" t="inlineStr">
        <is>
          <t>INFRAESTRUTURA ENTERRADA - 3º QUADRANTE</t>
        </is>
      </c>
      <c r="D526" s="4" t="inlineStr">
        <is>
          <t>Tubulação - caixa CAP-4</t>
        </is>
      </c>
      <c r="E526" s="4" t="inlineStr">
        <is>
          <t>TÉRREO - GARAGENS</t>
        </is>
      </c>
      <c r="F526" s="119" t="n">
        <v>46216</v>
      </c>
      <c r="G526" s="119" t="n">
        <v>46220</v>
      </c>
      <c r="H526" s="119" t="n">
        <v>46293</v>
      </c>
      <c r="I526" s="4" t="n">
        <v>100</v>
      </c>
      <c r="J526" s="4" t="n">
        <v>100</v>
      </c>
      <c r="K526" s="4" t="n">
        <v>100</v>
      </c>
      <c r="M526" s="2">
        <f>IF(C526="","",IFERROR(INDEX($S$5:$S$304,MATCH(C526,$R$5:$R$304,0))&amp;"","?"))</f>
        <v/>
      </c>
      <c r="N526" s="2">
        <f>IF(E526="","",IF(ISNUMBER(SEARCH("SUBSOLO",E526)),IFERROR(-VALUE(LEFT(E526,FIND("º",SUBSTITUTE(E526,"°","º"))-1)),-1),IF(LEFT(E526,6)="TÉRREO",0,IFERROR(VALUE(LEFT(E526,FIND("º",SUBSTITUTE(E526,"°","º"))-1)),""))))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31169496</v>
      </c>
      <c r="C527" s="4" t="inlineStr">
        <is>
          <t>INFRAESTRUTURA ENTERRADA - 3º QUADRANTE</t>
        </is>
      </c>
      <c r="D527" s="4" t="inlineStr">
        <is>
          <t>Camisamento e compactação</t>
        </is>
      </c>
      <c r="E527" s="4" t="inlineStr">
        <is>
          <t>TÉRREO - GARAGENS</t>
        </is>
      </c>
      <c r="F527" s="119" t="n">
        <v>46223</v>
      </c>
      <c r="G527" s="119" t="n">
        <v>46233</v>
      </c>
      <c r="H527" s="119" t="n">
        <v>46293</v>
      </c>
      <c r="I527" s="4" t="n">
        <v>100</v>
      </c>
      <c r="J527" s="4" t="n">
        <v>100</v>
      </c>
      <c r="K527" s="4" t="n">
        <v>100</v>
      </c>
      <c r="M527" s="2">
        <f>IF(C527="","",IFERROR(INDEX($S$5:$S$304,MATCH(C527,$R$5:$R$304,0))&amp;"","?"))</f>
        <v/>
      </c>
      <c r="N527" s="2">
        <f>IF(E527="","",IF(ISNUMBER(SEARCH("SUBSOLO",E527)),IFERROR(-VALUE(LEFT(E527,FIND("º",SUBSTITUTE(E527,"°","º"))-1)),-1),IF(LEFT(E527,6)="TÉRREO",0,IFERROR(VALUE(LEFT(E527,FIND("º",SUBSTITUTE(E527,"°","º"))-1)),""))))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47760718</v>
      </c>
      <c r="C528" s="4" t="inlineStr">
        <is>
          <t>ALVENARIA</t>
        </is>
      </c>
      <c r="D528" s="4" t="inlineStr">
        <is>
          <t>-</t>
        </is>
      </c>
      <c r="E528" s="4" t="inlineStr">
        <is>
          <t>3º PAV. - PILOTIS</t>
        </is>
      </c>
      <c r="F528" s="119" t="n">
        <v>46209</v>
      </c>
      <c r="G528" s="119" t="n">
        <v>46234</v>
      </c>
      <c r="H528" s="119" t="n">
        <v>46293</v>
      </c>
      <c r="I528" s="4" t="n">
        <v>100</v>
      </c>
      <c r="J528" s="4" t="n">
        <v>100</v>
      </c>
      <c r="K528" s="4" t="n">
        <v>83.333</v>
      </c>
      <c r="M528" s="2">
        <f>IF(C528="","",IFERROR(INDEX($S$5:$S$304,MATCH(C528,$R$5:$R$304,0))&amp;"","?"))</f>
        <v/>
      </c>
      <c r="N528" s="2">
        <f>IF(E528="","",IF(ISNUMBER(SEARCH("SUBSOLO",E528)),IFERROR(-VALUE(LEFT(E528,FIND("º",SUBSTITUTE(E528,"°","º"))-1)),-1),IF(LEFT(E528,6)="TÉRREO",0,IFERROR(VALUE(LEFT(E528,FIND("º",SUBSTITUTE(E528,"°","º"))-1)),""))))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31505828</v>
      </c>
      <c r="C529" s="4" t="inlineStr">
        <is>
          <t>ALVENARIA</t>
        </is>
      </c>
      <c r="D529" s="4" t="inlineStr">
        <is>
          <t xml:space="preserve">Alvenaria da quadra de tênis </t>
        </is>
      </c>
      <c r="E529" s="4" t="inlineStr">
        <is>
          <t>3º PAV. - PILOTIS</t>
        </is>
      </c>
      <c r="F529" s="119" t="n">
        <v>46209</v>
      </c>
      <c r="G529" s="119" t="n">
        <v>46213</v>
      </c>
      <c r="H529" s="119" t="n">
        <v>46293</v>
      </c>
      <c r="I529" s="4" t="n">
        <v>100</v>
      </c>
      <c r="J529" s="4" t="n">
        <v>100</v>
      </c>
      <c r="K529" s="4" t="n">
        <v>100</v>
      </c>
      <c r="M529" s="2">
        <f>IF(C529="","",IFERROR(INDEX($S$5:$S$304,MATCH(C529,$R$5:$R$304,0))&amp;"","?"))</f>
        <v/>
      </c>
      <c r="N529" s="2">
        <f>IF(E529="","",IF(ISNUMBER(SEARCH("SUBSOLO",E529)),IFERROR(-VALUE(LEFT(E529,FIND("º",SUBSTITUTE(E529,"°","º"))-1)),-1),IF(LEFT(E529,6)="TÉRREO",0,IFERROR(VALUE(LEFT(E529,FIND("º",SUBSTITUTE(E529,"°","º"))-1)),""))))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31505829</v>
      </c>
      <c r="C530" s="4" t="inlineStr">
        <is>
          <t>ALVENARIA</t>
        </is>
      </c>
      <c r="D530" s="4" t="inlineStr">
        <is>
          <t>Pilaretes e vigas - quadra de tênis</t>
        </is>
      </c>
      <c r="E530" s="4" t="inlineStr">
        <is>
          <t>3º PAV. - PILOTIS</t>
        </is>
      </c>
      <c r="F530" s="119" t="n">
        <v>46216</v>
      </c>
      <c r="G530" s="119" t="n">
        <v>46220</v>
      </c>
      <c r="H530" s="119" t="n">
        <v>46293</v>
      </c>
      <c r="I530" s="4" t="n">
        <v>100</v>
      </c>
      <c r="J530" s="4" t="n">
        <v>100</v>
      </c>
      <c r="K530" s="4" t="n">
        <v>100</v>
      </c>
      <c r="M530" s="2">
        <f>IF(C530="","",IFERROR(INDEX($S$5:$S$304,MATCH(C530,$R$5:$R$304,0))&amp;"","?"))</f>
        <v/>
      </c>
      <c r="N530" s="2">
        <f>IF(E530="","",IF(ISNUMBER(SEARCH("SUBSOLO",E530)),IFERROR(-VALUE(LEFT(E530,FIND("º",SUBSTITUTE(E530,"°","º"))-1)),-1),IF(LEFT(E530,6)="TÉRREO",0,IFERROR(VALUE(LEFT(E530,FIND("º",SUBSTITUTE(E530,"°","º"))-1)),""))))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31505830</v>
      </c>
      <c r="C531" s="4" t="inlineStr">
        <is>
          <t>ALVENARIA</t>
        </is>
      </c>
      <c r="D531" s="4" t="inlineStr">
        <is>
          <t>Alvenaria fechamento do espaço thermas</t>
        </is>
      </c>
      <c r="E531" s="4" t="inlineStr">
        <is>
          <t>3º PAV. - PILOTIS</t>
        </is>
      </c>
      <c r="F531" s="119" t="n">
        <v>46216</v>
      </c>
      <c r="G531" s="119" t="n">
        <v>46220</v>
      </c>
      <c r="H531" s="119" t="n">
        <v>46293</v>
      </c>
      <c r="I531" s="4" t="n">
        <v>100</v>
      </c>
      <c r="J531" s="4" t="n">
        <v>100</v>
      </c>
      <c r="K531" s="4" t="n">
        <v>100</v>
      </c>
      <c r="M531" s="2">
        <f>IF(C531="","",IFERROR(INDEX($S$5:$S$304,MATCH(C531,$R$5:$R$304,0))&amp;"","?"))</f>
        <v/>
      </c>
      <c r="N531" s="2">
        <f>IF(E531="","",IF(ISNUMBER(SEARCH("SUBSOLO",E531)),IFERROR(-VALUE(LEFT(E531,FIND("º",SUBSTITUTE(E531,"°","º"))-1)),-1),IF(LEFT(E531,6)="TÉRREO",0,IFERROR(VALUE(LEFT(E531,FIND("º",SUBSTITUTE(E531,"°","º"))-1)),""))))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31505831</v>
      </c>
      <c r="C532" s="4" t="inlineStr">
        <is>
          <t>ALVENARIA</t>
        </is>
      </c>
      <c r="D532" s="4" t="inlineStr">
        <is>
          <t>Pilaretes e vigas - espaço thermas</t>
        </is>
      </c>
      <c r="E532" s="4" t="inlineStr">
        <is>
          <t>3º PAV. - PILOTIS</t>
        </is>
      </c>
      <c r="F532" s="119" t="n">
        <v>46223</v>
      </c>
      <c r="G532" s="119" t="n">
        <v>46227</v>
      </c>
      <c r="H532" s="119" t="n">
        <v>46293</v>
      </c>
      <c r="I532" s="4" t="n">
        <v>100</v>
      </c>
      <c r="J532" s="4" t="n">
        <v>100</v>
      </c>
      <c r="K532" s="4" t="n">
        <v>100</v>
      </c>
      <c r="M532" s="2">
        <f>IF(C532="","",IFERROR(INDEX($S$5:$S$304,MATCH(C532,$R$5:$R$304,0))&amp;"","?"))</f>
        <v/>
      </c>
      <c r="N532" s="2">
        <f>IF(E532="","",IF(ISNUMBER(SEARCH("SUBSOLO",E532)),IFERROR(-VALUE(LEFT(E532,FIND("º",SUBSTITUTE(E532,"°","º"))-1)),-1),IF(LEFT(E532,6)="TÉRREO",0,IFERROR(VALUE(LEFT(E532,FIND("º",SUBSTITUTE(E532,"°","º"))-1)),""))))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31505832</v>
      </c>
      <c r="C533" s="4" t="inlineStr">
        <is>
          <t>ALVENARIA</t>
        </is>
      </c>
      <c r="D533" s="4" t="inlineStr">
        <is>
          <t>Pilarete e viga do espaço Gourmet</t>
        </is>
      </c>
      <c r="E533" s="4" t="inlineStr">
        <is>
          <t>3º PAV. - PILOTIS</t>
        </is>
      </c>
      <c r="F533" s="119" t="n">
        <v>46209</v>
      </c>
      <c r="G533" s="119" t="n">
        <v>46213</v>
      </c>
      <c r="H533" s="119" t="n">
        <v>46293</v>
      </c>
      <c r="I533" s="4" t="n">
        <v>100</v>
      </c>
      <c r="J533" s="4" t="n">
        <v>100</v>
      </c>
      <c r="K533" s="4" t="n">
        <v>100</v>
      </c>
      <c r="M533" s="2">
        <f>IF(C533="","",IFERROR(INDEX($S$5:$S$304,MATCH(C533,$R$5:$R$304,0))&amp;"","?"))</f>
        <v/>
      </c>
      <c r="N533" s="2">
        <f>IF(E533="","",IF(ISNUMBER(SEARCH("SUBSOLO",E533)),IFERROR(-VALUE(LEFT(E533,FIND("º",SUBSTITUTE(E533,"°","º"))-1)),-1),IF(LEFT(E533,6)="TÉRREO",0,IFERROR(VALUE(LEFT(E533,FIND("º",SUBSTITUTE(E533,"°","º"))-1)),""))))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31505833</v>
      </c>
      <c r="C534" s="4" t="inlineStr">
        <is>
          <t>ALVENARIA</t>
        </is>
      </c>
      <c r="D534" s="4" t="inlineStr">
        <is>
          <t>Alvenaria do terraço do salão de festa</t>
        </is>
      </c>
      <c r="E534" s="4" t="inlineStr">
        <is>
          <t>3º PAV. - PILOTIS</t>
        </is>
      </c>
      <c r="F534" s="119" t="n">
        <v>46223</v>
      </c>
      <c r="G534" s="119" t="n">
        <v>46227</v>
      </c>
      <c r="H534" s="119" t="n">
        <v>46293</v>
      </c>
      <c r="I534" s="4" t="n">
        <v>100</v>
      </c>
      <c r="J534" s="4" t="n">
        <v>100</v>
      </c>
      <c r="K534" s="4" t="n">
        <v>100</v>
      </c>
      <c r="M534" s="2">
        <f>IF(C534="","",IFERROR(INDEX($S$5:$S$304,MATCH(C534,$R$5:$R$304,0))&amp;"","?"))</f>
        <v/>
      </c>
      <c r="N534" s="2">
        <f>IF(E534="","",IF(ISNUMBER(SEARCH("SUBSOLO",E534)),IFERROR(-VALUE(LEFT(E534,FIND("º",SUBSTITUTE(E534,"°","º"))-1)),-1),IF(LEFT(E534,6)="TÉRREO",0,IFERROR(VALUE(LEFT(E534,FIND("º",SUBSTITUTE(E534,"°","º"))-1)),""))))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31505834</v>
      </c>
      <c r="C535" s="4" t="inlineStr">
        <is>
          <t>ALVENARIA</t>
        </is>
      </c>
      <c r="D535" s="4" t="inlineStr">
        <is>
          <t>Viga invertida do guada corpo - estrutura - área da piscina descoberta</t>
        </is>
      </c>
      <c r="E535" s="4" t="inlineStr">
        <is>
          <t>3º PAV. - PILOTIS</t>
        </is>
      </c>
      <c r="F535" s="119" t="n">
        <v>46216</v>
      </c>
      <c r="G535" s="119" t="n">
        <v>46234</v>
      </c>
      <c r="H535" s="119" t="n">
        <v>46293</v>
      </c>
      <c r="I535" s="4" t="n">
        <v>100</v>
      </c>
      <c r="J535" s="4" t="n">
        <v>100</v>
      </c>
      <c r="K535" s="4" t="n">
        <v>50</v>
      </c>
      <c r="M535" s="2">
        <f>IF(C535="","",IFERROR(INDEX($S$5:$S$304,MATCH(C535,$R$5:$R$304,0))&amp;"","?"))</f>
        <v/>
      </c>
      <c r="N535" s="2">
        <f>IF(E535="","",IF(ISNUMBER(SEARCH("SUBSOLO",E535)),IFERROR(-VALUE(LEFT(E535,FIND("º",SUBSTITUTE(E535,"°","º"))-1)),-1),IF(LEFT(E535,6)="TÉRREO",0,IFERROR(VALUE(LEFT(E535,FIND("º",SUBSTITUTE(E535,"°","º"))-1)),""))))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25799815</v>
      </c>
      <c r="C536" s="4" t="inlineStr">
        <is>
          <t>ALVENARIA</t>
        </is>
      </c>
      <c r="D536" s="4" t="inlineStr">
        <is>
          <t>-</t>
        </is>
      </c>
      <c r="E536" s="4" t="inlineStr">
        <is>
          <t>3º PAV. - BAR PISCINA, VESTIÁRIOS, DEPOSITOS E LOUNGE QUADRAS</t>
        </is>
      </c>
      <c r="F536" s="119" t="n">
        <v>46211</v>
      </c>
      <c r="G536" s="119" t="n">
        <v>46231</v>
      </c>
      <c r="H536" s="119" t="n">
        <v>46293</v>
      </c>
      <c r="I536" s="4" t="n">
        <v>100</v>
      </c>
      <c r="J536" s="4" t="n">
        <v>100</v>
      </c>
      <c r="K536" s="4" t="n">
        <v>100</v>
      </c>
      <c r="M536" s="2">
        <f>IF(C536="","",IFERROR(INDEX($S$5:$S$304,MATCH(C536,$R$5:$R$304,0))&amp;"","?"))</f>
        <v/>
      </c>
      <c r="N536" s="2">
        <f>IF(E536="","",IF(ISNUMBER(SEARCH("SUBSOLO",E536)),IFERROR(-VALUE(LEFT(E536,FIND("º",SUBSTITUTE(E536,"°","º"))-1)),-1),IF(LEFT(E536,6)="TÉRREO",0,IFERROR(VALUE(LEFT(E536,FIND("º",SUBSTITUTE(E536,"°","º"))-1)),""))))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39744472</v>
      </c>
      <c r="C537" s="4" t="inlineStr">
        <is>
          <t>INFRAESTRUTURA ELÉTRICA - PAREDES</t>
        </is>
      </c>
      <c r="D537" s="4" t="inlineStr">
        <is>
          <t>-</t>
        </is>
      </c>
      <c r="E537" s="4" t="inlineStr">
        <is>
          <t>2º PAV. GARAGEM.</t>
        </is>
      </c>
      <c r="F537" s="119" t="n">
        <v>46216</v>
      </c>
      <c r="G537" s="119" t="n">
        <v>46227</v>
      </c>
      <c r="H537" s="119" t="n">
        <v>46293</v>
      </c>
      <c r="I537" s="4" t="n">
        <v>100</v>
      </c>
      <c r="J537" s="4" t="n">
        <v>100</v>
      </c>
      <c r="K537" s="4" t="n">
        <v>100</v>
      </c>
      <c r="M537" s="2">
        <f>IF(C537="","",IFERROR(INDEX($S$5:$S$304,MATCH(C537,$R$5:$R$304,0))&amp;"","?"))</f>
        <v/>
      </c>
      <c r="N537" s="2">
        <f>IF(E537="","",IF(ISNUMBER(SEARCH("SUBSOLO",E537)),IFERROR(-VALUE(LEFT(E537,FIND("º",SUBSTITUTE(E537,"°","º"))-1)),-1),IF(LEFT(E537,6)="TÉRREO",0,IFERROR(VALUE(LEFT(E537,FIND("º",SUBSTITUTE(E537,"°","º"))-1)),""))))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31170291</v>
      </c>
      <c r="C538" s="4" t="inlineStr">
        <is>
          <t>INFRAESTRUTURA ELÉTRICA - PAREDES</t>
        </is>
      </c>
      <c r="D538" s="4" t="inlineStr">
        <is>
          <t>Infra sobrepor área técnica</t>
        </is>
      </c>
      <c r="E538" s="4" t="inlineStr">
        <is>
          <t>2º PAV. GARAGEM.</t>
        </is>
      </c>
      <c r="F538" s="119" t="n">
        <v>46216</v>
      </c>
      <c r="G538" s="119" t="n">
        <v>46227</v>
      </c>
      <c r="H538" s="119" t="n">
        <v>46293</v>
      </c>
      <c r="I538" s="4" t="n">
        <v>100</v>
      </c>
      <c r="J538" s="4" t="n">
        <v>100</v>
      </c>
      <c r="K538" s="4" t="n">
        <v>100</v>
      </c>
      <c r="M538" s="2">
        <f>IF(C538="","",IFERROR(INDEX($S$5:$S$304,MATCH(C538,$R$5:$R$304,0))&amp;"","?"))</f>
        <v/>
      </c>
      <c r="N538" s="2">
        <f>IF(E538="","",IF(ISNUMBER(SEARCH("SUBSOLO",E538)),IFERROR(-VALUE(LEFT(E538,FIND("º",SUBSTITUTE(E538,"°","º"))-1)),-1),IF(LEFT(E538,6)="TÉRREO",0,IFERROR(VALUE(LEFT(E538,FIND("º",SUBSTITUTE(E538,"°","º"))-1)),""))))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46634479</v>
      </c>
      <c r="C539" s="4" t="inlineStr">
        <is>
          <t>REGULARIZAÇÃO DE PISO PARA IMPERMEABILIZAÇÃO</t>
        </is>
      </c>
      <c r="D539" s="4" t="inlineStr">
        <is>
          <t>-</t>
        </is>
      </c>
      <c r="E539" s="4" t="inlineStr">
        <is>
          <t>3º PAV. - PILOTIS</t>
        </is>
      </c>
      <c r="F539" s="119" t="n">
        <v>46216</v>
      </c>
      <c r="G539" s="119" t="n">
        <v>46287</v>
      </c>
      <c r="H539" s="119" t="n">
        <v>46293</v>
      </c>
      <c r="I539" s="4" t="n">
        <v>100</v>
      </c>
      <c r="J539" s="4" t="n">
        <v>100</v>
      </c>
      <c r="K539" s="4" t="n">
        <v>91.95399999999999</v>
      </c>
      <c r="M539" s="2">
        <f>IF(C539="","",IFERROR(INDEX($S$5:$S$304,MATCH(C539,$R$5:$R$304,0))&amp;"","?"))</f>
        <v/>
      </c>
      <c r="N539" s="2">
        <f>IF(E539="","",IF(ISNUMBER(SEARCH("SUBSOLO",E539)),IFERROR(-VALUE(LEFT(E539,FIND("º",SUBSTITUTE(E539,"°","º"))-1)),-1),IF(LEFT(E539,6)="TÉRREO",0,IFERROR(VALUE(LEFT(E539,FIND("º",SUBSTITUTE(E539,"°","º"))-1)),""))))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31185742</v>
      </c>
      <c r="C540" s="4" t="inlineStr">
        <is>
          <t>REGULARIZAÇÃO DE PISO PARA IMPERMEABILIZAÇÃO</t>
        </is>
      </c>
      <c r="D540" s="4" t="inlineStr">
        <is>
          <t>Taliscamento / quebras de quina / meia cana - Setor B (1330 m² / 80 m² / dia)</t>
        </is>
      </c>
      <c r="E540" s="4" t="inlineStr">
        <is>
          <t>3º PAV. - PILOTIS</t>
        </is>
      </c>
      <c r="F540" s="119" t="n">
        <v>46216</v>
      </c>
      <c r="G540" s="119" t="n">
        <v>46238</v>
      </c>
      <c r="H540" s="119" t="n">
        <v>46293</v>
      </c>
      <c r="I540" s="4" t="n">
        <v>100</v>
      </c>
      <c r="J540" s="4" t="n">
        <v>100</v>
      </c>
      <c r="K540" s="4" t="n">
        <v>100</v>
      </c>
      <c r="M540" s="2">
        <f>IF(C540="","",IFERROR(INDEX($S$5:$S$304,MATCH(C540,$R$5:$R$304,0))&amp;"","?"))</f>
        <v/>
      </c>
      <c r="N540" s="2">
        <f>IF(E540="","",IF(ISNUMBER(SEARCH("SUBSOLO",E540)),IFERROR(-VALUE(LEFT(E540,FIND("º",SUBSTITUTE(E540,"°","º"))-1)),-1),IF(LEFT(E540,6)="TÉRREO",0,IFERROR(VALUE(LEFT(E540,FIND("º",SUBSTITUTE(E540,"°","º"))-1)),""))))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31185743</v>
      </c>
      <c r="C541" s="4" t="inlineStr">
        <is>
          <t>REGULARIZAÇÃO DE PISO PARA IMPERMEABILIZAÇÃO</t>
        </is>
      </c>
      <c r="D541" s="4" t="inlineStr">
        <is>
          <t>Contrapiso - setor B (1330m² / 100 m² / dia)</t>
        </is>
      </c>
      <c r="E541" s="4" t="inlineStr">
        <is>
          <t>3º PAV. - PILOTIS</t>
        </is>
      </c>
      <c r="F541" s="119" t="n">
        <v>46230</v>
      </c>
      <c r="G541" s="119" t="n">
        <v>46246</v>
      </c>
      <c r="H541" s="119" t="n">
        <v>46293</v>
      </c>
      <c r="I541" s="4" t="n">
        <v>100</v>
      </c>
      <c r="J541" s="4" t="n">
        <v>100</v>
      </c>
      <c r="K541" s="4" t="n">
        <v>100</v>
      </c>
      <c r="M541" s="2">
        <f>IF(C541="","",IFERROR(INDEX($S$5:$S$304,MATCH(C541,$R$5:$R$304,0))&amp;"","?"))</f>
        <v/>
      </c>
      <c r="N541" s="2">
        <f>IF(E541="","",IF(ISNUMBER(SEARCH("SUBSOLO",E541)),IFERROR(-VALUE(LEFT(E541,FIND("º",SUBSTITUTE(E541,"°","º"))-1)),-1),IF(LEFT(E541,6)="TÉRREO",0,IFERROR(VALUE(LEFT(E541,FIND("º",SUBSTITUTE(E541,"°","º"))-1)),""))))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31185744</v>
      </c>
      <c r="C542" s="4" t="inlineStr">
        <is>
          <t>REGULARIZAÇÃO DE PISO PARA IMPERMEABILIZAÇÃO</t>
        </is>
      </c>
      <c r="D542" s="4" t="inlineStr">
        <is>
          <t>Taliscamento / quebras de quina / meia cana - Setor C (1630 m² / 80 m² / dia)</t>
        </is>
      </c>
      <c r="E542" s="4" t="inlineStr">
        <is>
          <t>3º PAV. - PILOTIS</t>
        </is>
      </c>
      <c r="F542" s="119" t="n">
        <v>46239</v>
      </c>
      <c r="G542" s="119" t="n">
        <v>46286</v>
      </c>
      <c r="H542" s="119" t="n">
        <v>46293</v>
      </c>
      <c r="I542" s="4" t="n">
        <v>100</v>
      </c>
      <c r="J542" s="4" t="n">
        <v>100</v>
      </c>
      <c r="K542" s="4" t="n">
        <v>100</v>
      </c>
      <c r="M542" s="2">
        <f>IF(C542="","",IFERROR(INDEX($S$5:$S$304,MATCH(C542,$R$5:$R$304,0))&amp;"","?"))</f>
        <v/>
      </c>
      <c r="N542" s="2">
        <f>IF(E542="","",IF(ISNUMBER(SEARCH("SUBSOLO",E542)),IFERROR(-VALUE(LEFT(E542,FIND("º",SUBSTITUTE(E542,"°","º"))-1)),-1),IF(LEFT(E542,6)="TÉRREO",0,IFERROR(VALUE(LEFT(E542,FIND("º",SUBSTITUTE(E542,"°","º"))-1)),""))))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31185745</v>
      </c>
      <c r="C543" s="4" t="inlineStr">
        <is>
          <t>REGULARIZAÇÃO DE PISO PARA IMPERMEABILIZAÇÃO</t>
        </is>
      </c>
      <c r="D543" s="4" t="inlineStr">
        <is>
          <t>Contrapiso - setor C (1620m² / 100 m² / dia)</t>
        </is>
      </c>
      <c r="E543" s="4" t="inlineStr">
        <is>
          <t>3º PAV. - PILOTIS</t>
        </is>
      </c>
      <c r="F543" s="119" t="n">
        <v>46253</v>
      </c>
      <c r="G543" s="119" t="n">
        <v>46287</v>
      </c>
      <c r="H543" s="119" t="n">
        <v>46293</v>
      </c>
      <c r="I543" s="4" t="n">
        <v>100</v>
      </c>
      <c r="J543" s="4" t="n">
        <v>100</v>
      </c>
      <c r="K543" s="4" t="n">
        <v>70.833</v>
      </c>
      <c r="M543" s="2">
        <f>IF(C543="","",IFERROR(INDEX($S$5:$S$304,MATCH(C543,$R$5:$R$304,0))&amp;"","?"))</f>
        <v/>
      </c>
      <c r="N543" s="2">
        <f>IF(E543="","",IF(ISNUMBER(SEARCH("SUBSOLO",E543)),IFERROR(-VALUE(LEFT(E543,FIND("º",SUBSTITUTE(E543,"°","º"))-1)),-1),IF(LEFT(E543,6)="TÉRREO",0,IFERROR(VALUE(LEFT(E543,FIND("º",SUBSTITUTE(E543,"°","º"))-1)),""))))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33366445</v>
      </c>
      <c r="C544" s="4" t="inlineStr">
        <is>
          <t>PISO ARMADO - SETOR C</t>
        </is>
      </c>
      <c r="D544" s="4" t="inlineStr">
        <is>
          <t>-</t>
        </is>
      </c>
      <c r="E544" s="4" t="inlineStr">
        <is>
          <t>TÉRREO - GARAGENS</t>
        </is>
      </c>
      <c r="F544" s="119" t="n">
        <v>46223</v>
      </c>
      <c r="G544" s="119" t="n">
        <v>46248</v>
      </c>
      <c r="H544" s="119" t="n">
        <v>46293</v>
      </c>
      <c r="I544" s="4" t="n">
        <v>100</v>
      </c>
      <c r="J544" s="4" t="n">
        <v>100</v>
      </c>
      <c r="K544" s="4" t="n">
        <v>100</v>
      </c>
      <c r="M544" s="2">
        <f>IF(C544="","",IFERROR(INDEX($S$5:$S$304,MATCH(C544,$R$5:$R$304,0))&amp;"","?"))</f>
        <v/>
      </c>
      <c r="N544" s="2">
        <f>IF(E544="","",IF(ISNUMBER(SEARCH("SUBSOLO",E544)),IFERROR(-VALUE(LEFT(E544,FIND("º",SUBSTITUTE(E544,"°","º"))-1)),-1),IF(LEFT(E544,6)="TÉRREO",0,IFERROR(VALUE(LEFT(E544,FIND("º",SUBSTITUTE(E544,"°","º"))-1)),""))))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22139726</v>
      </c>
      <c r="C545" s="4" t="inlineStr">
        <is>
          <t>ESTRUTURA TORRE</t>
        </is>
      </c>
      <c r="D545" s="4" t="inlineStr">
        <is>
          <t>-</t>
        </is>
      </c>
      <c r="E545" s="4" t="inlineStr">
        <is>
          <t>14º PAV. TIPO</t>
        </is>
      </c>
      <c r="F545" s="119" t="n">
        <v>46223</v>
      </c>
      <c r="G545" s="119" t="n">
        <v>46234</v>
      </c>
      <c r="H545" s="119" t="n">
        <v>46293</v>
      </c>
      <c r="I545" s="4" t="n">
        <v>100</v>
      </c>
      <c r="J545" s="4" t="n">
        <v>100</v>
      </c>
      <c r="K545" s="4" t="n">
        <v>100</v>
      </c>
      <c r="M545" s="2">
        <f>IF(C545="","",IFERROR(INDEX($S$5:$S$304,MATCH(C545,$R$5:$R$304,0))&amp;"","?"))</f>
        <v/>
      </c>
      <c r="N545" s="2">
        <f>IF(E545="","",IF(ISNUMBER(SEARCH("SUBSOLO",E545)),IFERROR(-VALUE(LEFT(E545,FIND("º",SUBSTITUTE(E545,"°","º"))-1)),-1),IF(LEFT(E545,6)="TÉRREO",0,IFERROR(VALUE(LEFT(E545,FIND("º",SUBSTITUTE(E545,"°","º"))-1)),""))))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9877196</v>
      </c>
      <c r="C546" s="4" t="inlineStr">
        <is>
          <t>ESTRUTURA TORRE</t>
        </is>
      </c>
      <c r="D546" s="4" t="inlineStr">
        <is>
          <t>Forma Pilar</t>
        </is>
      </c>
      <c r="E546" s="4" t="inlineStr">
        <is>
          <t>14º PAV. TIPO</t>
        </is>
      </c>
      <c r="F546" s="119" t="n">
        <v>46223</v>
      </c>
      <c r="G546" s="119" t="n">
        <v>46224</v>
      </c>
      <c r="H546" s="119" t="n">
        <v>46293</v>
      </c>
      <c r="I546" s="4" t="n">
        <v>100</v>
      </c>
      <c r="J546" s="4" t="n">
        <v>100</v>
      </c>
      <c r="K546" s="4" t="n">
        <v>100</v>
      </c>
      <c r="M546" s="2">
        <f>IF(C546="","",IFERROR(INDEX($S$5:$S$304,MATCH(C546,$R$5:$R$304,0))&amp;"","?"))</f>
        <v/>
      </c>
      <c r="N546" s="2">
        <f>IF(E546="","",IF(ISNUMBER(SEARCH("SUBSOLO",E546)),IFERROR(-VALUE(LEFT(E546,FIND("º",SUBSTITUTE(E546,"°","º"))-1)),-1),IF(LEFT(E546,6)="TÉRREO",0,IFERROR(VALUE(LEFT(E546,FIND("º",SUBSTITUTE(E546,"°","º"))-1)),""))))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9877197</v>
      </c>
      <c r="C547" s="4" t="inlineStr">
        <is>
          <t>ESTRUTURA TORRE</t>
        </is>
      </c>
      <c r="D547" s="4" t="inlineStr">
        <is>
          <t>Armação Pilar</t>
        </is>
      </c>
      <c r="E547" s="4" t="inlineStr">
        <is>
          <t>14º PAV. TIPO</t>
        </is>
      </c>
      <c r="F547" s="119" t="n">
        <v>46223</v>
      </c>
      <c r="G547" s="119" t="n">
        <v>46224</v>
      </c>
      <c r="H547" s="119" t="n">
        <v>46293</v>
      </c>
      <c r="I547" s="4" t="n">
        <v>100</v>
      </c>
      <c r="J547" s="4" t="n">
        <v>100</v>
      </c>
      <c r="K547" s="4" t="n">
        <v>100</v>
      </c>
      <c r="M547" s="2">
        <f>IF(C547="","",IFERROR(INDEX($S$5:$S$304,MATCH(C547,$R$5:$R$304,0))&amp;"","?"))</f>
        <v/>
      </c>
      <c r="N547" s="2">
        <f>IF(E547="","",IF(ISNUMBER(SEARCH("SUBSOLO",E547)),IFERROR(-VALUE(LEFT(E547,FIND("º",SUBSTITUTE(E547,"°","º"))-1)),-1),IF(LEFT(E547,6)="TÉRREO",0,IFERROR(VALUE(LEFT(E547,FIND("º",SUBSTITUTE(E547,"°","º"))-1)),""))))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9877198</v>
      </c>
      <c r="C548" s="4" t="inlineStr">
        <is>
          <t>ESTRUTURA TORRE</t>
        </is>
      </c>
      <c r="D548" s="4" t="inlineStr">
        <is>
          <t>Escoramento</t>
        </is>
      </c>
      <c r="E548" s="4" t="inlineStr">
        <is>
          <t>14º PAV. TIPO</t>
        </is>
      </c>
      <c r="F548" s="119" t="n">
        <v>46224</v>
      </c>
      <c r="G548" s="119" t="n">
        <v>46225</v>
      </c>
      <c r="H548" s="119" t="n">
        <v>46293</v>
      </c>
      <c r="I548" s="4" t="n">
        <v>100</v>
      </c>
      <c r="J548" s="4" t="n">
        <v>100</v>
      </c>
      <c r="K548" s="4" t="n">
        <v>100</v>
      </c>
      <c r="M548" s="2">
        <f>IF(C548="","",IFERROR(INDEX($S$5:$S$304,MATCH(C548,$R$5:$R$304,0))&amp;"","?"))</f>
        <v/>
      </c>
      <c r="N548" s="2">
        <f>IF(E548="","",IF(ISNUMBER(SEARCH("SUBSOLO",E548)),IFERROR(-VALUE(LEFT(E548,FIND("º",SUBSTITUTE(E548,"°","º"))-1)),-1),IF(LEFT(E548,6)="TÉRREO",0,IFERROR(VALUE(LEFT(E548,FIND("º",SUBSTITUTE(E548,"°","º"))-1)),""))))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9877895</v>
      </c>
      <c r="C549" s="4" t="inlineStr">
        <is>
          <t>ESTRUTURA TORRE</t>
        </is>
      </c>
      <c r="D549" s="4" t="inlineStr">
        <is>
          <t>Concretagem Pilar</t>
        </is>
      </c>
      <c r="E549" s="4" t="inlineStr">
        <is>
          <t>14º PAV. TIPO</t>
        </is>
      </c>
      <c r="F549" s="119" t="n">
        <v>46226</v>
      </c>
      <c r="G549" s="119" t="n">
        <v>46226</v>
      </c>
      <c r="H549" s="119" t="n">
        <v>46293</v>
      </c>
      <c r="I549" s="4" t="n">
        <v>100</v>
      </c>
      <c r="J549" s="4" t="n">
        <v>100</v>
      </c>
      <c r="K549" s="4" t="n">
        <v>100</v>
      </c>
      <c r="M549" s="2">
        <f>IF(C549="","",IFERROR(INDEX($S$5:$S$304,MATCH(C549,$R$5:$R$304,0))&amp;"","?"))</f>
        <v/>
      </c>
      <c r="N549" s="2">
        <f>IF(E549="","",IF(ISNUMBER(SEARCH("SUBSOLO",E549)),IFERROR(-VALUE(LEFT(E549,FIND("º",SUBSTITUTE(E549,"°","º"))-1)),-1),IF(LEFT(E549,6)="TÉRREO",0,IFERROR(VALUE(LEFT(E549,FIND("º",SUBSTITUTE(E549,"°","º"))-1)),""))))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9877896</v>
      </c>
      <c r="C550" s="4" t="inlineStr">
        <is>
          <t>ESTRUTURA TORRE</t>
        </is>
      </c>
      <c r="D550" s="4" t="inlineStr">
        <is>
          <t>Forma Vigas e Lajes</t>
        </is>
      </c>
      <c r="E550" s="4" t="inlineStr">
        <is>
          <t>14º PAV. TIPO</t>
        </is>
      </c>
      <c r="F550" s="119" t="n">
        <v>46227</v>
      </c>
      <c r="G550" s="119" t="n">
        <v>46232</v>
      </c>
      <c r="H550" s="119" t="n">
        <v>46293</v>
      </c>
      <c r="I550" s="4" t="n">
        <v>100</v>
      </c>
      <c r="J550" s="4" t="n">
        <v>100</v>
      </c>
      <c r="K550" s="4" t="n">
        <v>100</v>
      </c>
      <c r="M550" s="2">
        <f>IF(C550="","",IFERROR(INDEX($S$5:$S$304,MATCH(C550,$R$5:$R$304,0))&amp;"","?"))</f>
        <v/>
      </c>
      <c r="N550" s="2">
        <f>IF(E550="","",IF(ISNUMBER(SEARCH("SUBSOLO",E550)),IFERROR(-VALUE(LEFT(E550,FIND("º",SUBSTITUTE(E550,"°","º"))-1)),-1),IF(LEFT(E550,6)="TÉRREO",0,IFERROR(VALUE(LEFT(E550,FIND("º",SUBSTITUTE(E550,"°","º"))-1)),""))))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9877897</v>
      </c>
      <c r="C551" s="4" t="inlineStr">
        <is>
          <t>ESTRUTURA TORRE</t>
        </is>
      </c>
      <c r="D551" s="4" t="inlineStr">
        <is>
          <t>Armação Vigas e Lajes</t>
        </is>
      </c>
      <c r="E551" s="4" t="inlineStr">
        <is>
          <t>14º PAV. TIPO</t>
        </is>
      </c>
      <c r="F551" s="119" t="n">
        <v>46230</v>
      </c>
      <c r="G551" s="119" t="n">
        <v>46233</v>
      </c>
      <c r="H551" s="119" t="n">
        <v>46293</v>
      </c>
      <c r="I551" s="4" t="n">
        <v>100</v>
      </c>
      <c r="J551" s="4" t="n">
        <v>100</v>
      </c>
      <c r="K551" s="4" t="n">
        <v>100</v>
      </c>
      <c r="M551" s="2">
        <f>IF(C551="","",IFERROR(INDEX($S$5:$S$304,MATCH(C551,$R$5:$R$304,0))&amp;"","?"))</f>
        <v/>
      </c>
      <c r="N551" s="2">
        <f>IF(E551="","",IF(ISNUMBER(SEARCH("SUBSOLO",E551)),IFERROR(-VALUE(LEFT(E551,FIND("º",SUBSTITUTE(E551,"°","º"))-1)),-1),IF(LEFT(E551,6)="TÉRREO",0,IFERROR(VALUE(LEFT(E551,FIND("º",SUBSTITUTE(E551,"°","º"))-1)),""))))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9877898</v>
      </c>
      <c r="C552" s="4" t="inlineStr">
        <is>
          <t>ESTRUTURA TORRE</t>
        </is>
      </c>
      <c r="D552" s="4" t="inlineStr">
        <is>
          <t>Passagem Hidráulica</t>
        </is>
      </c>
      <c r="E552" s="4" t="inlineStr">
        <is>
          <t>14º PAV. TIPO</t>
        </is>
      </c>
      <c r="F552" s="119" t="n">
        <v>46232</v>
      </c>
      <c r="G552" s="119" t="n">
        <v>46232</v>
      </c>
      <c r="H552" s="119" t="n">
        <v>46293</v>
      </c>
      <c r="I552" s="4" t="n">
        <v>100</v>
      </c>
      <c r="J552" s="4" t="n">
        <v>100</v>
      </c>
      <c r="K552" s="4" t="n">
        <v>100</v>
      </c>
      <c r="M552" s="2">
        <f>IF(C552="","",IFERROR(INDEX($S$5:$S$304,MATCH(C552,$R$5:$R$304,0))&amp;"","?"))</f>
        <v/>
      </c>
      <c r="N552" s="2">
        <f>IF(E552="","",IF(ISNUMBER(SEARCH("SUBSOLO",E552)),IFERROR(-VALUE(LEFT(E552,FIND("º",SUBSTITUTE(E552,"°","º"))-1)),-1),IF(LEFT(E552,6)="TÉRREO",0,IFERROR(VALUE(LEFT(E552,FIND("º",SUBSTITUTE(E552,"°","º"))-1)),""))))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9877899</v>
      </c>
      <c r="C553" s="4" t="inlineStr">
        <is>
          <t>ESTRUTURA TORRE</t>
        </is>
      </c>
      <c r="D553" s="4" t="inlineStr">
        <is>
          <t>Passagem Elétrica</t>
        </is>
      </c>
      <c r="E553" s="4" t="inlineStr">
        <is>
          <t>14º PAV. TIPO</t>
        </is>
      </c>
      <c r="F553" s="119" t="n">
        <v>46232</v>
      </c>
      <c r="G553" s="119" t="n">
        <v>46232</v>
      </c>
      <c r="H553" s="119" t="n">
        <v>46293</v>
      </c>
      <c r="I553" s="4" t="n">
        <v>100</v>
      </c>
      <c r="J553" s="4" t="n">
        <v>100</v>
      </c>
      <c r="K553" s="4" t="n">
        <v>100</v>
      </c>
      <c r="M553" s="2">
        <f>IF(C553="","",IFERROR(INDEX($S$5:$S$304,MATCH(C553,$R$5:$R$304,0))&amp;"","?"))</f>
        <v/>
      </c>
      <c r="N553" s="2">
        <f>IF(E553="","",IF(ISNUMBER(SEARCH("SUBSOLO",E553)),IFERROR(-VALUE(LEFT(E553,FIND("º",SUBSTITUTE(E553,"°","º"))-1)),-1),IF(LEFT(E553,6)="TÉRREO",0,IFERROR(VALUE(LEFT(E553,FIND("º",SUBSTITUTE(E553,"°","º"))-1)),""))))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9877900</v>
      </c>
      <c r="C554" s="4" t="inlineStr">
        <is>
          <t>ESTRUTURA TORRE</t>
        </is>
      </c>
      <c r="D554" s="4" t="inlineStr">
        <is>
          <t>Concretagem</t>
        </is>
      </c>
      <c r="E554" s="4" t="inlineStr">
        <is>
          <t>14º PAV. TIPO</t>
        </is>
      </c>
      <c r="F554" s="119" t="n">
        <v>46233</v>
      </c>
      <c r="G554" s="119" t="n">
        <v>46234</v>
      </c>
      <c r="H554" s="119" t="n">
        <v>46293</v>
      </c>
      <c r="I554" s="4" t="n">
        <v>100</v>
      </c>
      <c r="J554" s="4" t="n">
        <v>100</v>
      </c>
      <c r="K554" s="4" t="n">
        <v>100</v>
      </c>
      <c r="M554" s="2">
        <f>IF(C554="","",IFERROR(INDEX($S$5:$S$304,MATCH(C554,$R$5:$R$304,0))&amp;"","?"))</f>
        <v/>
      </c>
      <c r="N554" s="2">
        <f>IF(E554="","",IF(ISNUMBER(SEARCH("SUBSOLO",E554)),IFERROR(-VALUE(LEFT(E554,FIND("º",SUBSTITUTE(E554,"°","º"))-1)),-1),IF(LEFT(E554,6)="TÉRREO",0,IFERROR(VALUE(LEFT(E554,FIND("º",SUBSTITUTE(E554,"°","º"))-1)),""))))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43846644</v>
      </c>
      <c r="C555" s="4" t="inlineStr">
        <is>
          <t>ALVENARIA EXTERNA</t>
        </is>
      </c>
      <c r="D555" s="4" t="inlineStr">
        <is>
          <t>-</t>
        </is>
      </c>
      <c r="E555" s="4" t="inlineStr">
        <is>
          <t>8º PAV. TIPO</t>
        </is>
      </c>
      <c r="F555" s="119" t="n">
        <v>46224</v>
      </c>
      <c r="G555" s="119" t="n">
        <v>46241</v>
      </c>
      <c r="H555" s="119" t="n">
        <v>46293</v>
      </c>
      <c r="I555" s="4" t="n">
        <v>100</v>
      </c>
      <c r="J555" s="4" t="n">
        <v>100</v>
      </c>
      <c r="K555" s="4" t="n">
        <v>100</v>
      </c>
      <c r="M555" s="2">
        <f>IF(C555="","",IFERROR(INDEX($S$5:$S$304,MATCH(C555,$R$5:$R$304,0))&amp;"","?"))</f>
        <v/>
      </c>
      <c r="N555" s="2">
        <f>IF(E555="","",IF(ISNUMBER(SEARCH("SUBSOLO",E555)),IFERROR(-VALUE(LEFT(E555,FIND("º",SUBSTITUTE(E555,"°","º"))-1)),-1),IF(LEFT(E555,6)="TÉRREO",0,IFERROR(VALUE(LEFT(E555,FIND("º",SUBSTITUTE(E555,"°","º"))-1)),""))))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46676423</v>
      </c>
      <c r="C556" s="4" t="inlineStr">
        <is>
          <t>INSTALAÇÕES ELÉTRICAS E ESPECIAIS - SETOR A</t>
        </is>
      </c>
      <c r="D556" s="4" t="inlineStr">
        <is>
          <t>-</t>
        </is>
      </c>
      <c r="E556" s="4" t="inlineStr">
        <is>
          <t>3º PAV. - PILOTIS</t>
        </is>
      </c>
      <c r="F556" s="119" t="n">
        <v>46225</v>
      </c>
      <c r="G556" s="119" t="n">
        <v>46252</v>
      </c>
      <c r="H556" s="119" t="n">
        <v>46293</v>
      </c>
      <c r="I556" s="4" t="n">
        <v>100</v>
      </c>
      <c r="J556" s="4" t="n">
        <v>100</v>
      </c>
      <c r="K556" s="4" t="n">
        <v>100</v>
      </c>
      <c r="M556" s="2">
        <f>IF(C556="","",IFERROR(INDEX($S$5:$S$304,MATCH(C556,$R$5:$R$304,0))&amp;"","?"))</f>
        <v/>
      </c>
      <c r="N556" s="2">
        <f>IF(E556="","",IF(ISNUMBER(SEARCH("SUBSOLO",E556)),IFERROR(-VALUE(LEFT(E556,FIND("º",SUBSTITUTE(E556,"°","º"))-1)),-1),IF(LEFT(E556,6)="TÉRREO",0,IFERROR(VALUE(LEFT(E556,FIND("º",SUBSTITUTE(E556,"°","º"))-1)),""))))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31185755</v>
      </c>
      <c r="C557" s="4" t="inlineStr">
        <is>
          <t>INSTALAÇÕES ELÉTRICAS E ESPECIAIS - SETOR A</t>
        </is>
      </c>
      <c r="D557" s="4" t="inlineStr">
        <is>
          <t>infraestrutura de teto</t>
        </is>
      </c>
      <c r="E557" s="4" t="inlineStr">
        <is>
          <t>3º PAV. - PILOTIS</t>
        </is>
      </c>
      <c r="F557" s="119" t="n">
        <v>46225</v>
      </c>
      <c r="G557" s="119" t="n">
        <v>46245</v>
      </c>
      <c r="H557" s="119" t="n">
        <v>46293</v>
      </c>
      <c r="I557" s="4" t="n">
        <v>100</v>
      </c>
      <c r="J557" s="4" t="n">
        <v>100</v>
      </c>
      <c r="K557" s="4" t="n">
        <v>100</v>
      </c>
      <c r="M557" s="2">
        <f>IF(C557="","",IFERROR(INDEX($S$5:$S$304,MATCH(C557,$R$5:$R$304,0))&amp;"","?"))</f>
        <v/>
      </c>
      <c r="N557" s="2">
        <f>IF(E557="","",IF(ISNUMBER(SEARCH("SUBSOLO",E557)),IFERROR(-VALUE(LEFT(E557,FIND("º",SUBSTITUTE(E557,"°","º"))-1)),-1),IF(LEFT(E557,6)="TÉRREO",0,IFERROR(VALUE(LEFT(E557,FIND("º",SUBSTITUTE(E557,"°","º"))-1)),""))))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31185756</v>
      </c>
      <c r="C558" s="4" t="inlineStr">
        <is>
          <t>INSTALAÇÕES ELÉTRICAS E ESPECIAIS - SETOR A</t>
        </is>
      </c>
      <c r="D558" s="4" t="inlineStr">
        <is>
          <t>Infraestrutura de parede</t>
        </is>
      </c>
      <c r="E558" s="4" t="inlineStr">
        <is>
          <t>3º PAV. - PILOTIS</t>
        </is>
      </c>
      <c r="F558" s="119" t="n">
        <v>46232</v>
      </c>
      <c r="G558" s="119" t="n">
        <v>46252</v>
      </c>
      <c r="H558" s="119" t="n">
        <v>46293</v>
      </c>
      <c r="I558" s="4" t="n">
        <v>100</v>
      </c>
      <c r="J558" s="4" t="n">
        <v>100</v>
      </c>
      <c r="K558" s="4" t="n">
        <v>100</v>
      </c>
      <c r="M558" s="2">
        <f>IF(C558="","",IFERROR(INDEX($S$5:$S$304,MATCH(C558,$R$5:$R$304,0))&amp;"","?"))</f>
        <v/>
      </c>
      <c r="N558" s="2">
        <f>IF(E558="","",IF(ISNUMBER(SEARCH("SUBSOLO",E558)),IFERROR(-VALUE(LEFT(E558,FIND("º",SUBSTITUTE(E558,"°","º"))-1)),-1),IF(LEFT(E558,6)="TÉRREO",0,IFERROR(VALUE(LEFT(E558,FIND("º",SUBSTITUTE(E558,"°","º"))-1)),""))))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25210708</v>
      </c>
      <c r="C559" s="4" t="inlineStr">
        <is>
          <t>ALVENARIA</t>
        </is>
      </c>
      <c r="D559" s="4" t="inlineStr">
        <is>
          <t>-</t>
        </is>
      </c>
      <c r="E559" s="4" t="inlineStr">
        <is>
          <t>7º PAV. TIPO</t>
        </is>
      </c>
      <c r="F559" s="119" t="n">
        <v>46225</v>
      </c>
      <c r="G559" s="119" t="n">
        <v>46245</v>
      </c>
      <c r="H559" s="119" t="n">
        <v>46293</v>
      </c>
      <c r="I559" s="4" t="n">
        <v>100</v>
      </c>
      <c r="J559" s="4" t="n">
        <v>100</v>
      </c>
      <c r="K559" s="4" t="n">
        <v>100</v>
      </c>
      <c r="M559" s="2">
        <f>IF(C559="","",IFERROR(INDEX($S$5:$S$304,MATCH(C559,$R$5:$R$304,0))&amp;"","?"))</f>
        <v/>
      </c>
      <c r="N559" s="2">
        <f>IF(E559="","",IF(ISNUMBER(SEARCH("SUBSOLO",E559)),IFERROR(-VALUE(LEFT(E559,FIND("º",SUBSTITUTE(E559,"°","º"))-1)),-1),IF(LEFT(E559,6)="TÉRREO",0,IFERROR(VALUE(LEFT(E559,FIND("º",SUBSTITUTE(E559,"°","º"))-1)),""))))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25807536</v>
      </c>
      <c r="C560" s="4" t="inlineStr">
        <is>
          <t>ALVENARIA</t>
        </is>
      </c>
      <c r="D560" s="4" t="inlineStr">
        <is>
          <t>-</t>
        </is>
      </c>
      <c r="E560" s="4" t="inlineStr">
        <is>
          <t>3º PAV. ESPAÇO THERMAS, PISCINA COBERTA, SAUNAS E VESTIÁRIOS</t>
        </is>
      </c>
      <c r="F560" s="119" t="n">
        <v>46232</v>
      </c>
      <c r="G560" s="119" t="n">
        <v>46245</v>
      </c>
      <c r="H560" s="119" t="n">
        <v>46293</v>
      </c>
      <c r="I560" s="4" t="n">
        <v>100</v>
      </c>
      <c r="J560" s="4" t="n">
        <v>100</v>
      </c>
      <c r="K560" s="4" t="n">
        <v>100</v>
      </c>
      <c r="M560" s="2">
        <f>IF(C560="","",IFERROR(INDEX($S$5:$S$304,MATCH(C560,$R$5:$R$304,0))&amp;"","?"))</f>
        <v/>
      </c>
      <c r="N560" s="2">
        <f>IF(E560="","",IF(ISNUMBER(SEARCH("SUBSOLO",E560)),IFERROR(-VALUE(LEFT(E560,FIND("º",SUBSTITUTE(E560,"°","º"))-1)),-1),IF(LEFT(E560,6)="TÉRREO",0,IFERROR(VALUE(LEFT(E560,FIND("º",SUBSTITUTE(E560,"°","º"))-1)),""))))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43846645</v>
      </c>
      <c r="C561" s="4" t="inlineStr">
        <is>
          <t>ALVENARIA EXTERNA</t>
        </is>
      </c>
      <c r="D561" s="4" t="inlineStr">
        <is>
          <t>-</t>
        </is>
      </c>
      <c r="E561" s="4" t="inlineStr">
        <is>
          <t>9º PAV. TIPO</t>
        </is>
      </c>
      <c r="F561" s="119" t="n">
        <v>46233</v>
      </c>
      <c r="G561" s="119" t="n">
        <v>46241</v>
      </c>
      <c r="H561" s="119" t="n">
        <v>46293</v>
      </c>
      <c r="I561" s="4" t="n">
        <v>100</v>
      </c>
      <c r="J561" s="4" t="n">
        <v>100</v>
      </c>
      <c r="K561" s="4" t="n">
        <v>100</v>
      </c>
      <c r="M561" s="2">
        <f>IF(C561="","",IFERROR(INDEX($S$5:$S$304,MATCH(C561,$R$5:$R$304,0))&amp;"","?"))</f>
        <v/>
      </c>
      <c r="N561" s="2">
        <f>IF(E561="","",IF(ISNUMBER(SEARCH("SUBSOLO",E561)),IFERROR(-VALUE(LEFT(E561,FIND("º",SUBSTITUTE(E561,"°","º"))-1)),-1),IF(LEFT(E561,6)="TÉRREO",0,IFERROR(VALUE(LEFT(E561,FIND("º",SUBSTITUTE(E561,"°","º"))-1)),""))))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25752786</v>
      </c>
      <c r="C562" s="4" t="inlineStr">
        <is>
          <t>ALVENARIA - SETOR B</t>
        </is>
      </c>
      <c r="D562" s="4" t="inlineStr">
        <is>
          <t>-</t>
        </is>
      </c>
      <c r="E562" s="4" t="inlineStr">
        <is>
          <t>TÉRREO - GARAGENS</t>
        </is>
      </c>
      <c r="F562" s="119" t="n">
        <v>46234</v>
      </c>
      <c r="G562" s="119" t="n">
        <v>46269</v>
      </c>
      <c r="H562" s="119" t="n">
        <v>46293</v>
      </c>
      <c r="I562" s="4" t="n">
        <v>100</v>
      </c>
      <c r="J562" s="4" t="n">
        <v>100</v>
      </c>
      <c r="K562" s="4" t="n">
        <v>95</v>
      </c>
      <c r="M562" s="2">
        <f>IF(C562="","",IFERROR(INDEX($S$5:$S$304,MATCH(C562,$R$5:$R$304,0))&amp;"","?"))</f>
        <v/>
      </c>
      <c r="N562" s="2">
        <f>IF(E562="","",IF(ISNUMBER(SEARCH("SUBSOLO",E562)),IFERROR(-VALUE(LEFT(E562,FIND("º",SUBSTITUTE(E562,"°","º"))-1)),-1),IF(LEFT(E562,6)="TÉRREO",0,IFERROR(VALUE(LEFT(E562,FIND("º",SUBSTITUTE(E562,"°","º"))-1)),""))))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22139727</v>
      </c>
      <c r="C563" s="4" t="inlineStr">
        <is>
          <t>ESTRUTURA TORRE</t>
        </is>
      </c>
      <c r="D563" s="4" t="inlineStr">
        <is>
          <t>-</t>
        </is>
      </c>
      <c r="E563" s="4" t="inlineStr">
        <is>
          <t>15º PAV. TIPO</t>
        </is>
      </c>
      <c r="F563" s="119" t="n">
        <v>46234</v>
      </c>
      <c r="G563" s="119" t="n">
        <v>46247</v>
      </c>
      <c r="H563" s="119" t="n">
        <v>46293</v>
      </c>
      <c r="I563" s="4" t="n">
        <v>100</v>
      </c>
      <c r="J563" s="4" t="n">
        <v>100</v>
      </c>
      <c r="K563" s="4" t="n">
        <v>100</v>
      </c>
      <c r="M563" s="2">
        <f>IF(C563="","",IFERROR(INDEX($S$5:$S$304,MATCH(C563,$R$5:$R$304,0))&amp;"","?"))</f>
        <v/>
      </c>
      <c r="N563" s="2">
        <f>IF(E563="","",IF(ISNUMBER(SEARCH("SUBSOLO",E563)),IFERROR(-VALUE(LEFT(E563,FIND("º",SUBSTITUTE(E563,"°","º"))-1)),-1),IF(LEFT(E563,6)="TÉRREO",0,IFERROR(VALUE(LEFT(E563,FIND("º",SUBSTITUTE(E563,"°","º"))-1)),""))))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31884243</v>
      </c>
      <c r="C564" s="4" t="inlineStr">
        <is>
          <t>ESTRUTURA TORRE</t>
        </is>
      </c>
      <c r="D564" s="4" t="inlineStr">
        <is>
          <t>Colarinho</t>
        </is>
      </c>
      <c r="E564" s="4" t="inlineStr">
        <is>
          <t>15º PAV. TIPO</t>
        </is>
      </c>
      <c r="F564" s="119" t="n">
        <v>46234</v>
      </c>
      <c r="G564" s="119" t="n">
        <v>46234</v>
      </c>
      <c r="H564" s="119" t="n">
        <v>46293</v>
      </c>
      <c r="I564" s="4" t="n">
        <v>0</v>
      </c>
      <c r="J564" s="4" t="n">
        <v>100</v>
      </c>
      <c r="K564" s="4" t="n">
        <v>100</v>
      </c>
      <c r="M564" s="2">
        <f>IF(C564="","",IFERROR(INDEX($S$5:$S$304,MATCH(C564,$R$5:$R$304,0))&amp;"","?"))</f>
        <v/>
      </c>
      <c r="N564" s="2">
        <f>IF(E564="","",IF(ISNUMBER(SEARCH("SUBSOLO",E564)),IFERROR(-VALUE(LEFT(E564,FIND("º",SUBSTITUTE(E564,"°","º"))-1)),-1),IF(LEFT(E564,6)="TÉRREO",0,IFERROR(VALUE(LEFT(E564,FIND("º",SUBSTITUTE(E564,"°","º"))-1)),""))))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31884244</v>
      </c>
      <c r="C565" s="4" t="inlineStr">
        <is>
          <t>ESTRUTURA TORRE</t>
        </is>
      </c>
      <c r="D565" s="4" t="inlineStr">
        <is>
          <t xml:space="preserve">Armação de pilares - trecho 22 e 15 cm </t>
        </is>
      </c>
      <c r="E565" s="4" t="inlineStr">
        <is>
          <t>15º PAV. TIPO</t>
        </is>
      </c>
      <c r="F565" s="119" t="n">
        <v>46234</v>
      </c>
      <c r="G565" s="119" t="n">
        <v>46237</v>
      </c>
      <c r="H565" s="119" t="n">
        <v>46293</v>
      </c>
      <c r="I565" s="4" t="n">
        <v>0</v>
      </c>
      <c r="J565" s="4" t="n">
        <v>100</v>
      </c>
      <c r="K565" s="4" t="n">
        <v>100</v>
      </c>
      <c r="M565" s="2">
        <f>IF(C565="","",IFERROR(INDEX($S$5:$S$304,MATCH(C565,$R$5:$R$304,0))&amp;"","?"))</f>
        <v/>
      </c>
      <c r="N565" s="2">
        <f>IF(E565="","",IF(ISNUMBER(SEARCH("SUBSOLO",E565)),IFERROR(-VALUE(LEFT(E565,FIND("º",SUBSTITUTE(E565,"°","º"))-1)),-1),IF(LEFT(E565,6)="TÉRREO",0,IFERROR(VALUE(LEFT(E565,FIND("º",SUBSTITUTE(E565,"°","º"))-1)),""))))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31884246</v>
      </c>
      <c r="C566" s="4" t="inlineStr">
        <is>
          <t>ESTRUTURA TORRE</t>
        </is>
      </c>
      <c r="D566" s="4" t="inlineStr">
        <is>
          <t>Fechamento de pilares - 22 e 15 cm</t>
        </is>
      </c>
      <c r="E566" s="4" t="inlineStr">
        <is>
          <t>15º PAV. TIPO</t>
        </is>
      </c>
      <c r="F566" s="119" t="n">
        <v>46234</v>
      </c>
      <c r="G566" s="119" t="n">
        <v>46237</v>
      </c>
      <c r="H566" s="119" t="n">
        <v>46293</v>
      </c>
      <c r="I566" s="4" t="n">
        <v>0</v>
      </c>
      <c r="J566" s="4" t="n">
        <v>100</v>
      </c>
      <c r="K566" s="4" t="n">
        <v>100</v>
      </c>
      <c r="M566" s="2">
        <f>IF(C566="","",IFERROR(INDEX($S$5:$S$304,MATCH(C566,$R$5:$R$304,0))&amp;"","?"))</f>
        <v/>
      </c>
      <c r="N566" s="2">
        <f>IF(E566="","",IF(ISNUMBER(SEARCH("SUBSOLO",E566)),IFERROR(-VALUE(LEFT(E566,FIND("º",SUBSTITUTE(E566,"°","º"))-1)),-1),IF(LEFT(E566,6)="TÉRREO",0,IFERROR(VALUE(LEFT(E566,FIND("º",SUBSTITUTE(E566,"°","º"))-1)),""))))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31884247</v>
      </c>
      <c r="C567" s="4" t="inlineStr">
        <is>
          <t>ESTRUTURA TORRE</t>
        </is>
      </c>
      <c r="D567" s="4" t="inlineStr">
        <is>
          <t>Concreto dos pilares P10 e P15</t>
        </is>
      </c>
      <c r="E567" s="4" t="inlineStr">
        <is>
          <t>15º PAV. TIPO</t>
        </is>
      </c>
      <c r="F567" s="119" t="n">
        <v>46238</v>
      </c>
      <c r="G567" s="119" t="n">
        <v>46238</v>
      </c>
      <c r="H567" s="119" t="n">
        <v>46293</v>
      </c>
      <c r="I567" s="4" t="n">
        <v>0</v>
      </c>
      <c r="J567" s="4" t="n">
        <v>100</v>
      </c>
      <c r="K567" s="4" t="n">
        <v>100</v>
      </c>
      <c r="M567" s="2">
        <f>IF(C567="","",IFERROR(INDEX($S$5:$S$304,MATCH(C567,$R$5:$R$304,0))&amp;"","?"))</f>
        <v/>
      </c>
      <c r="N567" s="2">
        <f>IF(E567="","",IF(ISNUMBER(SEARCH("SUBSOLO",E567)),IFERROR(-VALUE(LEFT(E567,FIND("º",SUBSTITUTE(E567,"°","º"))-1)),-1),IF(LEFT(E567,6)="TÉRREO",0,IFERROR(VALUE(LEFT(E567,FIND("º",SUBSTITUTE(E567,"°","º"))-1)),""))))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31884248</v>
      </c>
      <c r="C568" s="4" t="inlineStr">
        <is>
          <t>ESTRUTURA TORRE</t>
        </is>
      </c>
      <c r="D568" s="4" t="inlineStr">
        <is>
          <t>Montagem de escoramento + linha de vida (22 cm)</t>
        </is>
      </c>
      <c r="E568" s="4" t="inlineStr">
        <is>
          <t>15º PAV. TIPO</t>
        </is>
      </c>
      <c r="F568" s="119" t="n">
        <v>46234</v>
      </c>
      <c r="G568" s="119" t="n">
        <v>46238</v>
      </c>
      <c r="H568" s="119" t="n">
        <v>46293</v>
      </c>
      <c r="I568" s="4" t="n">
        <v>0</v>
      </c>
      <c r="J568" s="4" t="n">
        <v>100</v>
      </c>
      <c r="K568" s="4" t="n">
        <v>100</v>
      </c>
      <c r="M568" s="2">
        <f>IF(C568="","",IFERROR(INDEX($S$5:$S$304,MATCH(C568,$R$5:$R$304,0))&amp;"","?"))</f>
        <v/>
      </c>
      <c r="N568" s="2">
        <f>IF(E568="","",IF(ISNUMBER(SEARCH("SUBSOLO",E568)),IFERROR(-VALUE(LEFT(E568,FIND("º",SUBSTITUTE(E568,"°","º"))-1)),-1),IF(LEFT(E568,6)="TÉRREO",0,IFERROR(VALUE(LEFT(E568,FIND("º",SUBSTITUTE(E568,"°","º"))-1)),""))))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31884281</v>
      </c>
      <c r="C569" s="4" t="inlineStr">
        <is>
          <t>ESTRUTURA TORRE</t>
        </is>
      </c>
      <c r="D569" s="4" t="inlineStr">
        <is>
          <t>Montagem de escoramento (15cm)</t>
        </is>
      </c>
      <c r="E569" s="4" t="inlineStr">
        <is>
          <t>15º PAV. TIPO</t>
        </is>
      </c>
      <c r="F569" s="119" t="n">
        <v>46238</v>
      </c>
      <c r="G569" s="119" t="n">
        <v>46239</v>
      </c>
      <c r="H569" s="119" t="n">
        <v>46293</v>
      </c>
      <c r="I569" s="4" t="n">
        <v>0</v>
      </c>
      <c r="J569" s="4" t="n">
        <v>100</v>
      </c>
      <c r="K569" s="4" t="n">
        <v>100</v>
      </c>
      <c r="M569" s="2">
        <f>IF(C569="","",IFERROR(INDEX($S$5:$S$304,MATCH(C569,$R$5:$R$304,0))&amp;"","?"))</f>
        <v/>
      </c>
      <c r="N569" s="2">
        <f>IF(E569="","",IF(ISNUMBER(SEARCH("SUBSOLO",E569)),IFERROR(-VALUE(LEFT(E569,FIND("º",SUBSTITUTE(E569,"°","º"))-1)),-1),IF(LEFT(E569,6)="TÉRREO",0,IFERROR(VALUE(LEFT(E569,FIND("º",SUBSTITUTE(E569,"°","º"))-1)),""))))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31884282</v>
      </c>
      <c r="C570" s="4" t="inlineStr">
        <is>
          <t>ESTRUTURA TORRE</t>
        </is>
      </c>
      <c r="D570" s="4" t="inlineStr">
        <is>
          <t>Forro (geral)</t>
        </is>
      </c>
      <c r="E570" s="4" t="inlineStr">
        <is>
          <t>15º PAV. TIPO</t>
        </is>
      </c>
      <c r="F570" s="119" t="n">
        <v>46239</v>
      </c>
      <c r="G570" s="119" t="n">
        <v>46241</v>
      </c>
      <c r="H570" s="119" t="n">
        <v>46293</v>
      </c>
      <c r="I570" s="4" t="n">
        <v>0</v>
      </c>
      <c r="J570" s="4" t="n">
        <v>100</v>
      </c>
      <c r="K570" s="4" t="n">
        <v>100</v>
      </c>
      <c r="M570" s="2">
        <f>IF(C570="","",IFERROR(INDEX($S$5:$S$304,MATCH(C570,$R$5:$R$304,0))&amp;"","?"))</f>
        <v/>
      </c>
      <c r="N570" s="2">
        <f>IF(E570="","",IF(ISNUMBER(SEARCH("SUBSOLO",E570)),IFERROR(-VALUE(LEFT(E570,FIND("º",SUBSTITUTE(E570,"°","º"))-1)),-1),IF(LEFT(E570,6)="TÉRREO",0,IFERROR(VALUE(LEFT(E570,FIND("º",SUBSTITUTE(E570,"°","º"))-1)),""))))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31884283</v>
      </c>
      <c r="C571" s="4" t="inlineStr">
        <is>
          <t>ESTRUTURA TORRE</t>
        </is>
      </c>
      <c r="D571" s="4" t="inlineStr">
        <is>
          <t>Concretagem de pilares</t>
        </is>
      </c>
      <c r="E571" s="4" t="inlineStr">
        <is>
          <t>15º PAV. TIPO</t>
        </is>
      </c>
      <c r="F571" s="119" t="n">
        <v>46244</v>
      </c>
      <c r="G571" s="119" t="n">
        <v>46244</v>
      </c>
      <c r="H571" s="119" t="n">
        <v>46293</v>
      </c>
      <c r="I571" s="4" t="n">
        <v>0</v>
      </c>
      <c r="J571" s="4" t="n">
        <v>100</v>
      </c>
      <c r="K571" s="4" t="n">
        <v>100</v>
      </c>
      <c r="M571" s="2">
        <f>IF(C571="","",IFERROR(INDEX($S$5:$S$304,MATCH(C571,$R$5:$R$304,0))&amp;"","?"))</f>
        <v/>
      </c>
      <c r="N571" s="2">
        <f>IF(E571="","",IF(ISNUMBER(SEARCH("SUBSOLO",E571)),IFERROR(-VALUE(LEFT(E571,FIND("º",SUBSTITUTE(E571,"°","º"))-1)),-1),IF(LEFT(E571,6)="TÉRREO",0,IFERROR(VALUE(LEFT(E571,FIND("º",SUBSTITUTE(E571,"°","º"))-1)),""))))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31884284</v>
      </c>
      <c r="C572" s="4" t="inlineStr">
        <is>
          <t>ESTRUTURA TORRE</t>
        </is>
      </c>
      <c r="D572" s="4" t="inlineStr">
        <is>
          <t>Montagem de armação (vigas e positivo)</t>
        </is>
      </c>
      <c r="E572" s="4" t="inlineStr">
        <is>
          <t>15º PAV. TIPO</t>
        </is>
      </c>
      <c r="F572" s="119" t="n">
        <v>46241</v>
      </c>
      <c r="G572" s="119" t="n">
        <v>46244</v>
      </c>
      <c r="H572" s="119" t="n">
        <v>46293</v>
      </c>
      <c r="I572" s="4" t="n">
        <v>0</v>
      </c>
      <c r="J572" s="4" t="n">
        <v>100</v>
      </c>
      <c r="K572" s="4" t="n">
        <v>100</v>
      </c>
      <c r="M572" s="2">
        <f>IF(C572="","",IFERROR(INDEX($S$5:$S$304,MATCH(C572,$R$5:$R$304,0))&amp;"","?"))</f>
        <v/>
      </c>
      <c r="N572" s="2">
        <f>IF(E572="","",IF(ISNUMBER(SEARCH("SUBSOLO",E572)),IFERROR(-VALUE(LEFT(E572,FIND("º",SUBSTITUTE(E572,"°","º"))-1)),-1),IF(LEFT(E572,6)="TÉRREO",0,IFERROR(VALUE(LEFT(E572,FIND("º",SUBSTITUTE(E572,"°","º"))-1)),""))))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31884285</v>
      </c>
      <c r="C573" s="4" t="inlineStr">
        <is>
          <t>ESTRUTURA TORRE</t>
        </is>
      </c>
      <c r="D573" s="4" t="inlineStr">
        <is>
          <t>Painel da viga invertida (22 cm)</t>
        </is>
      </c>
      <c r="E573" s="4" t="inlineStr">
        <is>
          <t>15º PAV. TIPO</t>
        </is>
      </c>
      <c r="F573" s="119" t="n">
        <v>46241</v>
      </c>
      <c r="G573" s="119" t="n">
        <v>46241</v>
      </c>
      <c r="H573" s="119" t="n">
        <v>46293</v>
      </c>
      <c r="I573" s="4" t="n">
        <v>0</v>
      </c>
      <c r="J573" s="4" t="n">
        <v>100</v>
      </c>
      <c r="K573" s="4" t="n">
        <v>100</v>
      </c>
      <c r="M573" s="2">
        <f>IF(C573="","",IFERROR(INDEX($S$5:$S$304,MATCH(C573,$R$5:$R$304,0))&amp;"","?"))</f>
        <v/>
      </c>
      <c r="N573" s="2">
        <f>IF(E573="","",IF(ISNUMBER(SEARCH("SUBSOLO",E573)),IFERROR(-VALUE(LEFT(E573,FIND("º",SUBSTITUTE(E573,"°","º"))-1)),-1),IF(LEFT(E573,6)="TÉRREO",0,IFERROR(VALUE(LEFT(E573,FIND("º",SUBSTITUTE(E573,"°","º"))-1)),""))))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31884286</v>
      </c>
      <c r="C574" s="4" t="inlineStr">
        <is>
          <t>ESTRUTURA TORRE</t>
        </is>
      </c>
      <c r="D574" s="4" t="inlineStr">
        <is>
          <t>Protenção</t>
        </is>
      </c>
      <c r="E574" s="4" t="inlineStr">
        <is>
          <t>15º PAV. TIPO</t>
        </is>
      </c>
      <c r="F574" s="119" t="n">
        <v>46241</v>
      </c>
      <c r="G574" s="119" t="n">
        <v>46245</v>
      </c>
      <c r="H574" s="119" t="n">
        <v>46293</v>
      </c>
      <c r="I574" s="4" t="n">
        <v>0</v>
      </c>
      <c r="J574" s="4" t="n">
        <v>100</v>
      </c>
      <c r="K574" s="4" t="n">
        <v>100</v>
      </c>
      <c r="M574" s="2">
        <f>IF(C574="","",IFERROR(INDEX($S$5:$S$304,MATCH(C574,$R$5:$R$304,0))&amp;"","?"))</f>
        <v/>
      </c>
      <c r="N574" s="2">
        <f>IF(E574="","",IF(ISNUMBER(SEARCH("SUBSOLO",E574)),IFERROR(-VALUE(LEFT(E574,FIND("º",SUBSTITUTE(E574,"°","º"))-1)),-1),IF(LEFT(E574,6)="TÉRREO",0,IFERROR(VALUE(LEFT(E574,FIND("º",SUBSTITUTE(E574,"°","º"))-1)),""))))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31884287</v>
      </c>
      <c r="C575" s="4" t="inlineStr">
        <is>
          <t>ESTRUTURA TORRE</t>
        </is>
      </c>
      <c r="D575" s="4" t="inlineStr">
        <is>
          <t>Armação negativa - geral</t>
        </is>
      </c>
      <c r="E575" s="4" t="inlineStr">
        <is>
          <t>15º PAV. TIPO</t>
        </is>
      </c>
      <c r="F575" s="119" t="n">
        <v>46245</v>
      </c>
      <c r="G575" s="119" t="n">
        <v>46246</v>
      </c>
      <c r="H575" s="119" t="n">
        <v>46293</v>
      </c>
      <c r="I575" s="4" t="n">
        <v>0</v>
      </c>
      <c r="J575" s="4" t="n">
        <v>100</v>
      </c>
      <c r="K575" s="4" t="n">
        <v>100</v>
      </c>
      <c r="M575" s="2">
        <f>IF(C575="","",IFERROR(INDEX($S$5:$S$304,MATCH(C575,$R$5:$R$304,0))&amp;"","?"))</f>
        <v/>
      </c>
      <c r="N575" s="2">
        <f>IF(E575="","",IF(ISNUMBER(SEARCH("SUBSOLO",E575)),IFERROR(-VALUE(LEFT(E575,FIND("º",SUBSTITUTE(E575,"°","º"))-1)),-1),IF(LEFT(E575,6)="TÉRREO",0,IFERROR(VALUE(LEFT(E575,FIND("º",SUBSTITUTE(E575,"°","º"))-1)),""))))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31884288</v>
      </c>
      <c r="C576" s="4" t="inlineStr">
        <is>
          <t>ESTRUTURA TORRE</t>
        </is>
      </c>
      <c r="D576" s="4" t="inlineStr">
        <is>
          <t>Concreto 22 cm</t>
        </is>
      </c>
      <c r="E576" s="4" t="inlineStr">
        <is>
          <t>15º PAV. TIPO</t>
        </is>
      </c>
      <c r="F576" s="119" t="n">
        <v>46246</v>
      </c>
      <c r="G576" s="119" t="n">
        <v>46246</v>
      </c>
      <c r="H576" s="119" t="n">
        <v>46293</v>
      </c>
      <c r="I576" s="4" t="n">
        <v>0</v>
      </c>
      <c r="J576" s="4" t="n">
        <v>100</v>
      </c>
      <c r="K576" s="4" t="n">
        <v>100</v>
      </c>
      <c r="M576" s="2">
        <f>IF(C576="","",IFERROR(INDEX($S$5:$S$304,MATCH(C576,$R$5:$R$304,0))&amp;"","?"))</f>
        <v/>
      </c>
      <c r="N576" s="2">
        <f>IF(E576="","",IF(ISNUMBER(SEARCH("SUBSOLO",E576)),IFERROR(-VALUE(LEFT(E576,FIND("º",SUBSTITUTE(E576,"°","º"))-1)),-1),IF(LEFT(E576,6)="TÉRREO",0,IFERROR(VALUE(LEFT(E576,FIND("º",SUBSTITUTE(E576,"°","º"))-1)),""))))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31884289</v>
      </c>
      <c r="C577" s="4" t="inlineStr">
        <is>
          <t>ESTRUTURA TORRE</t>
        </is>
      </c>
      <c r="D577" s="4" t="inlineStr">
        <is>
          <t>Concreto 15 cm</t>
        </is>
      </c>
      <c r="E577" s="4" t="inlineStr">
        <is>
          <t>15º PAV. TIPO</t>
        </is>
      </c>
      <c r="F577" s="119" t="n">
        <v>46247</v>
      </c>
      <c r="G577" s="119" t="n">
        <v>46247</v>
      </c>
      <c r="H577" s="119" t="n">
        <v>46293</v>
      </c>
      <c r="I577" s="4" t="n">
        <v>0</v>
      </c>
      <c r="J577" s="4" t="n">
        <v>100</v>
      </c>
      <c r="K577" s="4" t="n">
        <v>100</v>
      </c>
      <c r="M577" s="2">
        <f>IF(C577="","",IFERROR(INDEX($S$5:$S$304,MATCH(C577,$R$5:$R$304,0))&amp;"","?"))</f>
        <v/>
      </c>
      <c r="N577" s="2">
        <f>IF(E577="","",IF(ISNUMBER(SEARCH("SUBSOLO",E577)),IFERROR(-VALUE(LEFT(E577,FIND("º",SUBSTITUTE(E577,"°","º"))-1)),-1),IF(LEFT(E577,6)="TÉRREO",0,IFERROR(VALUE(LEFT(E577,FIND("º",SUBSTITUTE(E577,"°","º"))-1)),""))))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33369044</v>
      </c>
      <c r="C578" s="4" t="inlineStr">
        <is>
          <t>INFRAESTRUTURA ELÉTRICA (TETO) - SETOR B</t>
        </is>
      </c>
      <c r="D578" s="4" t="inlineStr">
        <is>
          <t>-</t>
        </is>
      </c>
      <c r="E578" s="4" t="inlineStr">
        <is>
          <t>TÉRREO - GARAGENS</t>
        </is>
      </c>
      <c r="F578" s="119" t="n">
        <v>46237</v>
      </c>
      <c r="G578" s="119" t="n">
        <v>46280</v>
      </c>
      <c r="H578" s="119" t="n">
        <v>46293</v>
      </c>
      <c r="I578" s="4" t="n">
        <v>100</v>
      </c>
      <c r="J578" s="4" t="n">
        <v>100</v>
      </c>
      <c r="K578" s="4" t="n">
        <v>95</v>
      </c>
      <c r="M578" s="2">
        <f>IF(C578="","",IFERROR(INDEX($S$5:$S$304,MATCH(C578,$R$5:$R$304,0))&amp;"","?"))</f>
        <v/>
      </c>
      <c r="N578" s="2">
        <f>IF(E578="","",IF(ISNUMBER(SEARCH("SUBSOLO",E578)),IFERROR(-VALUE(LEFT(E578,FIND("º",SUBSTITUTE(E578,"°","º"))-1)),-1),IF(LEFT(E578,6)="TÉRREO",0,IFERROR(VALUE(LEFT(E578,FIND("º",SUBSTITUTE(E578,"°","º"))-1)),""))))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48800384</v>
      </c>
      <c r="C579" s="4" t="inlineStr">
        <is>
          <t>REVESTIMENTO DE MASSA</t>
        </is>
      </c>
      <c r="D579" s="4" t="inlineStr">
        <is>
          <t>-</t>
        </is>
      </c>
      <c r="E579" s="4" t="inlineStr">
        <is>
          <t>3º PAV. - PILOTIS</t>
        </is>
      </c>
      <c r="F579" s="119" t="n">
        <v>46237</v>
      </c>
      <c r="G579" s="119" t="n">
        <v>46283</v>
      </c>
      <c r="H579" s="119" t="n">
        <v>46293</v>
      </c>
      <c r="I579" s="4" t="n">
        <v>0</v>
      </c>
      <c r="J579" s="4" t="n">
        <v>100</v>
      </c>
      <c r="K579" s="4" t="n">
        <v>99.023</v>
      </c>
      <c r="M579" s="2">
        <f>IF(C579="","",IFERROR(INDEX($S$5:$S$304,MATCH(C579,$R$5:$R$304,0))&amp;"","?"))</f>
        <v/>
      </c>
      <c r="N579" s="2">
        <f>IF(E579="","",IF(ISNUMBER(SEARCH("SUBSOLO",E579)),IFERROR(-VALUE(LEFT(E579,FIND("º",SUBSTITUTE(E579,"°","º"))-1)),-1),IF(LEFT(E579,6)="TÉRREO",0,IFERROR(VALUE(LEFT(E579,FIND("º",SUBSTITUTE(E579,"°","º"))-1)),""))))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31883466</v>
      </c>
      <c r="C580" s="4" t="inlineStr">
        <is>
          <t>REVESTIMENTO DE MASSA</t>
        </is>
      </c>
      <c r="D580" s="4" t="inlineStr">
        <is>
          <t xml:space="preserve">Quadra - fundos </t>
        </is>
      </c>
      <c r="E580" s="4" t="inlineStr">
        <is>
          <t>3º PAV. - PILOTIS</t>
        </is>
      </c>
      <c r="F580" s="119" t="n">
        <v>46237</v>
      </c>
      <c r="G580" s="119" t="n">
        <v>46265</v>
      </c>
      <c r="H580" s="119" t="n">
        <v>46293</v>
      </c>
      <c r="I580" s="4" t="n">
        <v>0</v>
      </c>
      <c r="J580" s="4" t="n">
        <v>100</v>
      </c>
      <c r="K580" s="4" t="n">
        <v>100</v>
      </c>
      <c r="M580" s="2">
        <f>IF(C580="","",IFERROR(INDEX($S$5:$S$304,MATCH(C580,$R$5:$R$304,0))&amp;"","?"))</f>
        <v/>
      </c>
      <c r="N580" s="2">
        <f>IF(E580="","",IF(ISNUMBER(SEARCH("SUBSOLO",E580)),IFERROR(-VALUE(LEFT(E580,FIND("º",SUBSTITUTE(E580,"°","º"))-1)),-1),IF(LEFT(E580,6)="TÉRREO",0,IFERROR(VALUE(LEFT(E580,FIND("º",SUBSTITUTE(E580,"°","º"))-1)),""))))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31883467</v>
      </c>
      <c r="C581" s="4" t="inlineStr">
        <is>
          <t>REVESTIMENTO DE MASSA</t>
        </is>
      </c>
      <c r="D581" s="4" t="inlineStr">
        <is>
          <t>Thermas</t>
        </is>
      </c>
      <c r="E581" s="4" t="inlineStr">
        <is>
          <t>3º PAV. - PILOTIS</t>
        </is>
      </c>
      <c r="F581" s="119" t="n">
        <v>46237</v>
      </c>
      <c r="G581" s="119" t="n">
        <v>46283</v>
      </c>
      <c r="H581" s="119" t="n">
        <v>46293</v>
      </c>
      <c r="I581" s="4" t="n">
        <v>0</v>
      </c>
      <c r="J581" s="4" t="n">
        <v>100</v>
      </c>
      <c r="K581" s="4" t="n">
        <v>95</v>
      </c>
      <c r="M581" s="2">
        <f>IF(C581="","",IFERROR(INDEX($S$5:$S$304,MATCH(C581,$R$5:$R$304,0))&amp;"","?"))</f>
        <v/>
      </c>
      <c r="N581" s="2">
        <f>IF(E581="","",IF(ISNUMBER(SEARCH("SUBSOLO",E581)),IFERROR(-VALUE(LEFT(E581,FIND("º",SUBSTITUTE(E581,"°","º"))-1)),-1),IF(LEFT(E581,6)="TÉRREO",0,IFERROR(VALUE(LEFT(E581,FIND("º",SUBSTITUTE(E581,"°","º"))-1)),""))))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31883468</v>
      </c>
      <c r="C582" s="4" t="inlineStr">
        <is>
          <t>REVESTIMENTO DE MASSA</t>
        </is>
      </c>
      <c r="D582" s="4" t="inlineStr">
        <is>
          <t>Salão de festas</t>
        </is>
      </c>
      <c r="E582" s="4" t="inlineStr">
        <is>
          <t>3º PAV. - PILOTIS</t>
        </is>
      </c>
      <c r="F582" s="119" t="n">
        <v>46237</v>
      </c>
      <c r="G582" s="119" t="n">
        <v>46269</v>
      </c>
      <c r="H582" s="119" t="n">
        <v>46293</v>
      </c>
      <c r="I582" s="4" t="n">
        <v>0</v>
      </c>
      <c r="J582" s="4" t="n">
        <v>100</v>
      </c>
      <c r="K582" s="4" t="n">
        <v>100</v>
      </c>
      <c r="M582" s="2">
        <f>IF(C582="","",IFERROR(INDEX($S$5:$S$304,MATCH(C582,$R$5:$R$304,0))&amp;"","?"))</f>
        <v/>
      </c>
      <c r="N582" s="2">
        <f>IF(E582="","",IF(ISNUMBER(SEARCH("SUBSOLO",E582)),IFERROR(-VALUE(LEFT(E582,FIND("º",SUBSTITUTE(E582,"°","º"))-1)),-1),IF(LEFT(E582,6)="TÉRREO",0,IFERROR(VALUE(LEFT(E582,FIND("º",SUBSTITUTE(E582,"°","º"))-1)),""))))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31883619</v>
      </c>
      <c r="C583" s="4" t="inlineStr">
        <is>
          <t>REVESTIMENTO DE MASSA</t>
        </is>
      </c>
      <c r="D583" s="4" t="inlineStr">
        <is>
          <t>Pergolado</t>
        </is>
      </c>
      <c r="E583" s="4" t="inlineStr">
        <is>
          <t>3º PAV. - PILOTIS</t>
        </is>
      </c>
      <c r="F583" s="119" t="n">
        <v>46237</v>
      </c>
      <c r="G583" s="119" t="n">
        <v>46267</v>
      </c>
      <c r="H583" s="119" t="n">
        <v>46293</v>
      </c>
      <c r="I583" s="4" t="n">
        <v>0</v>
      </c>
      <c r="J583" s="4" t="n">
        <v>100</v>
      </c>
      <c r="K583" s="4" t="n">
        <v>100</v>
      </c>
      <c r="M583" s="2">
        <f>IF(C583="","",IFERROR(INDEX($S$5:$S$304,MATCH(C583,$R$5:$R$304,0))&amp;"","?"))</f>
        <v/>
      </c>
      <c r="N583" s="2">
        <f>IF(E583="","",IF(ISNUMBER(SEARCH("SUBSOLO",E583)),IFERROR(-VALUE(LEFT(E583,FIND("º",SUBSTITUTE(E583,"°","º"))-1)),-1),IF(LEFT(E583,6)="TÉRREO",0,IFERROR(VALUE(LEFT(E583,FIND("º",SUBSTITUTE(E583,"°","º"))-1)),""))))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31883620</v>
      </c>
      <c r="C584" s="4" t="inlineStr">
        <is>
          <t>REVESTIMENTO DE MASSA</t>
        </is>
      </c>
      <c r="D584" s="4" t="inlineStr">
        <is>
          <t>Quadra - frontal</t>
        </is>
      </c>
      <c r="E584" s="4" t="inlineStr">
        <is>
          <t>3º PAV. - PILOTIS</t>
        </is>
      </c>
      <c r="F584" s="119" t="n">
        <v>46237</v>
      </c>
      <c r="G584" s="119" t="n">
        <v>46265</v>
      </c>
      <c r="H584" s="119" t="n">
        <v>46293</v>
      </c>
      <c r="I584" s="4" t="n">
        <v>0</v>
      </c>
      <c r="J584" s="4" t="n">
        <v>100</v>
      </c>
      <c r="K584" s="4" t="n">
        <v>100</v>
      </c>
      <c r="M584" s="2">
        <f>IF(C584="","",IFERROR(INDEX($S$5:$S$304,MATCH(C584,$R$5:$R$304,0))&amp;"","?"))</f>
        <v/>
      </c>
      <c r="N584" s="2">
        <f>IF(E584="","",IF(ISNUMBER(SEARCH("SUBSOLO",E584)),IFERROR(-VALUE(LEFT(E584,FIND("º",SUBSTITUTE(E584,"°","º"))-1)),-1),IF(LEFT(E584,6)="TÉRREO",0,IFERROR(VALUE(LEFT(E584,FIND("º",SUBSTITUTE(E584,"°","º"))-1)),""))))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42640451</v>
      </c>
      <c r="C585" s="4" t="inlineStr">
        <is>
          <t>REVESTIMENTO DE MASSA</t>
        </is>
      </c>
      <c r="D585" s="4" t="inlineStr">
        <is>
          <t>Paredão lado Porte-cochère</t>
        </is>
      </c>
      <c r="E585" s="4" t="inlineStr">
        <is>
          <t>3º PAV. - PILOTIS</t>
        </is>
      </c>
      <c r="F585" s="119" t="n">
        <v>46237</v>
      </c>
      <c r="G585" s="119" t="n">
        <v>46269</v>
      </c>
      <c r="H585" s="119" t="n">
        <v>46293</v>
      </c>
      <c r="I585" s="4" t="n">
        <v>0</v>
      </c>
      <c r="J585" s="4" t="n">
        <v>100</v>
      </c>
      <c r="K585" s="4" t="n">
        <v>100</v>
      </c>
      <c r="M585" s="2">
        <f>IF(C585="","",IFERROR(INDEX($S$5:$S$304,MATCH(C585,$R$5:$R$304,0))&amp;"","?"))</f>
        <v/>
      </c>
      <c r="N585" s="2">
        <f>IF(E585="","",IF(ISNUMBER(SEARCH("SUBSOLO",E585)),IFERROR(-VALUE(LEFT(E585,FIND("º",SUBSTITUTE(E585,"°","º"))-1)),-1),IF(LEFT(E585,6)="TÉRREO",0,IFERROR(VALUE(LEFT(E585,FIND("º",SUBSTITUTE(E585,"°","º"))-1)),""))))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42640452</v>
      </c>
      <c r="C586" s="4" t="inlineStr">
        <is>
          <t>REVESTIMENTO DE MASSA</t>
        </is>
      </c>
      <c r="D586" s="4" t="inlineStr">
        <is>
          <t>Banheiro Apoio Piscina Externa</t>
        </is>
      </c>
      <c r="E586" s="4" t="inlineStr">
        <is>
          <t>3º PAV. - PILOTIS</t>
        </is>
      </c>
      <c r="F586" s="119" t="n">
        <v>46237</v>
      </c>
      <c r="G586" s="119" t="n">
        <v>46269</v>
      </c>
      <c r="H586" s="119" t="n">
        <v>46293</v>
      </c>
      <c r="I586" s="4" t="n">
        <v>0</v>
      </c>
      <c r="J586" s="4" t="n">
        <v>100</v>
      </c>
      <c r="K586" s="4" t="n">
        <v>100</v>
      </c>
      <c r="M586" s="2">
        <f>IF(C586="","",IFERROR(INDEX($S$5:$S$304,MATCH(C586,$R$5:$R$304,0))&amp;"","?"))</f>
        <v/>
      </c>
      <c r="N586" s="2">
        <f>IF(E586="","",IF(ISNUMBER(SEARCH("SUBSOLO",E586)),IFERROR(-VALUE(LEFT(E586,FIND("º",SUBSTITUTE(E586,"°","º"))-1)),-1),IF(LEFT(E586,6)="TÉRREO",0,IFERROR(VALUE(LEFT(E586,FIND("º",SUBSTITUTE(E586,"°","º"))-1)),""))))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29601047</v>
      </c>
      <c r="C587" s="4" t="inlineStr">
        <is>
          <t>TALISCAMENTO</t>
        </is>
      </c>
      <c r="D587" s="4" t="inlineStr">
        <is>
          <t>-</t>
        </is>
      </c>
      <c r="E587" s="4" t="inlineStr">
        <is>
          <t>6º PAV. TIPO</t>
        </is>
      </c>
      <c r="F587" s="119" t="n">
        <v>46237</v>
      </c>
      <c r="G587" s="119" t="n">
        <v>46247</v>
      </c>
      <c r="H587" s="119" t="n">
        <v>46293</v>
      </c>
      <c r="I587" s="4" t="n">
        <v>100</v>
      </c>
      <c r="J587" s="4" t="n">
        <v>100</v>
      </c>
      <c r="K587" s="4" t="n">
        <v>100</v>
      </c>
      <c r="M587" s="2">
        <f>IF(C587="","",IFERROR(INDEX($S$5:$S$304,MATCH(C587,$R$5:$R$304,0))&amp;"","?"))</f>
        <v/>
      </c>
      <c r="N587" s="2">
        <f>IF(E587="","",IF(ISNUMBER(SEARCH("SUBSOLO",E587)),IFERROR(-VALUE(LEFT(E587,FIND("º",SUBSTITUTE(E587,"°","º"))-1)),-1),IF(LEFT(E587,6)="TÉRREO",0,IFERROR(VALUE(LEFT(E587,FIND("º",SUBSTITUTE(E587,"°","º"))-1)),""))))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25210750</v>
      </c>
      <c r="C588" s="4" t="inlineStr">
        <is>
          <t>DISTRIBUIÇÃO ELÉTRICA / QUADRO - SETOR B</t>
        </is>
      </c>
      <c r="D588" s="4" t="inlineStr">
        <is>
          <t>-</t>
        </is>
      </c>
      <c r="E588" s="4" t="inlineStr">
        <is>
          <t>6º PAV. TIPO</t>
        </is>
      </c>
      <c r="F588" s="119" t="n">
        <v>46238</v>
      </c>
      <c r="G588" s="119" t="n">
        <v>46248</v>
      </c>
      <c r="H588" s="119" t="n">
        <v>46293</v>
      </c>
      <c r="I588" s="4" t="n">
        <v>55.556</v>
      </c>
      <c r="J588" s="4" t="n">
        <v>100</v>
      </c>
      <c r="K588" s="4" t="n">
        <v>90</v>
      </c>
      <c r="M588" s="2">
        <f>IF(C588="","",IFERROR(INDEX($S$5:$S$304,MATCH(C588,$R$5:$R$304,0))&amp;"","?"))</f>
        <v/>
      </c>
      <c r="N588" s="2">
        <f>IF(E588="","",IF(ISNUMBER(SEARCH("SUBSOLO",E588)),IFERROR(-VALUE(LEFT(E588,FIND("º",SUBSTITUTE(E588,"°","º"))-1)),-1),IF(LEFT(E588,6)="TÉRREO",0,IFERROR(VALUE(LEFT(E588,FIND("º",SUBSTITUTE(E588,"°","º"))-1)),""))))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48800619</v>
      </c>
      <c r="C589" s="4" t="inlineStr">
        <is>
          <t>REVESTIMENTO DE MASSA</t>
        </is>
      </c>
      <c r="D589" s="4" t="inlineStr">
        <is>
          <t>-</t>
        </is>
      </c>
      <c r="E589" s="4" t="inlineStr">
        <is>
          <t>TÉRREO - GARAGENS</t>
        </is>
      </c>
      <c r="F589" s="119" t="n">
        <v>46239</v>
      </c>
      <c r="G589" s="119" t="n">
        <v>46295</v>
      </c>
      <c r="H589" s="119" t="n">
        <v>46293</v>
      </c>
      <c r="I589" s="4" t="n">
        <v>0</v>
      </c>
      <c r="J589" s="4" t="n">
        <v>95</v>
      </c>
      <c r="K589" s="4" t="n">
        <v>90</v>
      </c>
      <c r="M589" s="2">
        <f>IF(C589="","",IFERROR(INDEX($S$5:$S$304,MATCH(C589,$R$5:$R$304,0))&amp;"","?"))</f>
        <v/>
      </c>
      <c r="N589" s="2">
        <f>IF(E589="","",IF(ISNUMBER(SEARCH("SUBSOLO",E589)),IFERROR(-VALUE(LEFT(E589,FIND("º",SUBSTITUTE(E589,"°","º"))-1)),-1),IF(LEFT(E589,6)="TÉRREO",0,IFERROR(VALUE(LEFT(E589,FIND("º",SUBSTITUTE(E589,"°","º"))-1)),""))))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31883484</v>
      </c>
      <c r="C590" s="4" t="inlineStr">
        <is>
          <t>REVESTIMENTO DE MASSA</t>
        </is>
      </c>
      <c r="D590" s="4" t="inlineStr">
        <is>
          <t>Revestimento de massa em parede - parede dupla</t>
        </is>
      </c>
      <c r="E590" s="4" t="inlineStr">
        <is>
          <t>TÉRREO - GARAGENS</t>
        </is>
      </c>
      <c r="F590" s="119" t="n">
        <v>46239</v>
      </c>
      <c r="G590" s="119" t="n">
        <v>46295</v>
      </c>
      <c r="H590" s="119" t="n">
        <v>46293</v>
      </c>
      <c r="I590" s="4" t="n">
        <v>0</v>
      </c>
      <c r="J590" s="4" t="n">
        <v>95</v>
      </c>
      <c r="K590" s="4" t="n">
        <v>90</v>
      </c>
      <c r="M590" s="2">
        <f>IF(C590="","",IFERROR(INDEX($S$5:$S$304,MATCH(C590,$R$5:$R$304,0))&amp;"","?"))</f>
        <v/>
      </c>
      <c r="N590" s="2">
        <f>IF(E590="","",IF(ISNUMBER(SEARCH("SUBSOLO",E590)),IFERROR(-VALUE(LEFT(E590,FIND("º",SUBSTITUTE(E590,"°","º"))-1)),-1),IF(LEFT(E590,6)="TÉRREO",0,IFERROR(VALUE(LEFT(E590,FIND("º",SUBSTITUTE(E590,"°","º"))-1)),""))))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43846646</v>
      </c>
      <c r="C591" s="4" t="inlineStr">
        <is>
          <t>ALVENARIA EXTERNA</t>
        </is>
      </c>
      <c r="D591" s="4" t="inlineStr">
        <is>
          <t>-</t>
        </is>
      </c>
      <c r="E591" s="4" t="inlineStr">
        <is>
          <t>10º PAV. TIPO</t>
        </is>
      </c>
      <c r="F591" s="119" t="n">
        <v>46240</v>
      </c>
      <c r="G591" s="119" t="n">
        <v>46248</v>
      </c>
      <c r="H591" s="119" t="n">
        <v>46293</v>
      </c>
      <c r="I591" s="4" t="n">
        <v>100</v>
      </c>
      <c r="J591" s="4" t="n">
        <v>100</v>
      </c>
      <c r="K591" s="4" t="n">
        <v>100</v>
      </c>
      <c r="M591" s="2">
        <f>IF(C591="","",IFERROR(INDEX($S$5:$S$304,MATCH(C591,$R$5:$R$304,0))&amp;"","?"))</f>
        <v/>
      </c>
      <c r="N591" s="2">
        <f>IF(E591="","",IF(ISNUMBER(SEARCH("SUBSOLO",E591)),IFERROR(-VALUE(LEFT(E591,FIND("º",SUBSTITUTE(E591,"°","º"))-1)),-1),IF(LEFT(E591,6)="TÉRREO",0,IFERROR(VALUE(LEFT(E591,FIND("º",SUBSTITUTE(E591,"°","º"))-1)),""))))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48800566</v>
      </c>
      <c r="C592" s="4" t="inlineStr">
        <is>
          <t>TRATAMENTO DE SHAFTS</t>
        </is>
      </c>
      <c r="D592" s="4" t="inlineStr">
        <is>
          <t>-</t>
        </is>
      </c>
      <c r="E592" s="4" t="inlineStr">
        <is>
          <t>GERAL</t>
        </is>
      </c>
      <c r="F592" s="119" t="n">
        <v>46244</v>
      </c>
      <c r="G592" s="119" t="n">
        <v>46325</v>
      </c>
      <c r="H592" s="119" t="n">
        <v>46293</v>
      </c>
      <c r="I592" s="4" t="n">
        <v>0</v>
      </c>
      <c r="J592" s="4" t="n">
        <v>60.345</v>
      </c>
      <c r="K592" s="4" t="n">
        <v>25</v>
      </c>
      <c r="M592" s="2">
        <f>IF(C592="","",IFERROR(INDEX($S$5:$S$304,MATCH(C592,$R$5:$R$304,0))&amp;"","?"))</f>
        <v/>
      </c>
      <c r="N592" s="2">
        <f>IF(E592="","",IF(ISNUMBER(SEARCH("SUBSOLO",E592)),IFERROR(-VALUE(LEFT(E592,FIND("º",SUBSTITUTE(E592,"°","º"))-1)),-1),IF(LEFT(E592,6)="TÉRREO",0,IFERROR(VALUE(LEFT(E592,FIND("º",SUBSTITUTE(E592,"°","º"))-1)),""))))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31883479</v>
      </c>
      <c r="C593" s="4" t="inlineStr">
        <is>
          <t>TRATAMENTO DE SHAFTS</t>
        </is>
      </c>
      <c r="D593" s="4" t="inlineStr">
        <is>
          <t>Tratamento de concreto - pilar P13 e P07</t>
        </is>
      </c>
      <c r="E593" s="4" t="inlineStr">
        <is>
          <t>GERAL</t>
        </is>
      </c>
      <c r="F593" s="119" t="n">
        <v>46244</v>
      </c>
      <c r="G593" s="119" t="n">
        <v>46325</v>
      </c>
      <c r="H593" s="119" t="n">
        <v>46293</v>
      </c>
      <c r="I593" s="4" t="n">
        <v>0</v>
      </c>
      <c r="J593" s="4" t="n">
        <v>60.345</v>
      </c>
      <c r="K593" s="4" t="n">
        <v>0</v>
      </c>
      <c r="M593" s="2">
        <f>IF(C593="","",IFERROR(INDEX($S$5:$S$304,MATCH(C593,$R$5:$R$304,0))&amp;"","?"))</f>
        <v/>
      </c>
      <c r="N593" s="2">
        <f>IF(E593="","",IF(ISNUMBER(SEARCH("SUBSOLO",E593)),IFERROR(-VALUE(LEFT(E593,FIND("º",SUBSTITUTE(E593,"°","º"))-1)),-1),IF(LEFT(E593,6)="TÉRREO",0,IFERROR(VALUE(LEFT(E593,FIND("º",SUBSTITUTE(E593,"°","º"))-1)),""))))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31883480</v>
      </c>
      <c r="C594" s="4" t="inlineStr">
        <is>
          <t>TRATAMENTO DE SHAFTS</t>
        </is>
      </c>
      <c r="D594" s="4" t="inlineStr">
        <is>
          <t>Reboquite fundo de alvenaria - elevador de serviço e caixa de escada</t>
        </is>
      </c>
      <c r="E594" s="4" t="inlineStr">
        <is>
          <t>GERAL</t>
        </is>
      </c>
      <c r="F594" s="119" t="n">
        <v>46244</v>
      </c>
      <c r="G594" s="119" t="n">
        <v>46325</v>
      </c>
      <c r="H594" s="119" t="n">
        <v>46293</v>
      </c>
      <c r="I594" s="4" t="n">
        <v>0</v>
      </c>
      <c r="J594" s="4" t="n">
        <v>60.345</v>
      </c>
      <c r="K594" s="4" t="n">
        <v>50</v>
      </c>
      <c r="M594" s="2">
        <f>IF(C594="","",IFERROR(INDEX($S$5:$S$304,MATCH(C594,$R$5:$R$304,0))&amp;"","?"))</f>
        <v/>
      </c>
      <c r="N594" s="2">
        <f>IF(E594="","",IF(ISNUMBER(SEARCH("SUBSOLO",E594)),IFERROR(-VALUE(LEFT(E594,FIND("º",SUBSTITUTE(E594,"°","º"))-1)),-1),IF(LEFT(E594,6)="TÉRREO",0,IFERROR(VALUE(LEFT(E594,FIND("º",SUBSTITUTE(E594,"°","º"))-1)),""))))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48800577</v>
      </c>
      <c r="C595" s="4" t="inlineStr">
        <is>
          <t>PISCINA</t>
        </is>
      </c>
      <c r="D595" s="4" t="inlineStr">
        <is>
          <t>-</t>
        </is>
      </c>
      <c r="E595" s="4" t="inlineStr">
        <is>
          <t>3º PAV. - PILOTIS</t>
        </is>
      </c>
      <c r="F595" s="119" t="n">
        <v>46244</v>
      </c>
      <c r="G595" s="119" t="n">
        <v>46279</v>
      </c>
      <c r="H595" s="119" t="n">
        <v>46293</v>
      </c>
      <c r="I595" s="4" t="n">
        <v>0</v>
      </c>
      <c r="J595" s="4" t="n">
        <v>100</v>
      </c>
      <c r="K595" s="4" t="n">
        <v>89.36199999999999</v>
      </c>
      <c r="M595" s="2">
        <f>IF(C595="","",IFERROR(INDEX($S$5:$S$304,MATCH(C595,$R$5:$R$304,0))&amp;"","?"))</f>
        <v/>
      </c>
      <c r="N595" s="2">
        <f>IF(E595="","",IF(ISNUMBER(SEARCH("SUBSOLO",E595)),IFERROR(-VALUE(LEFT(E595,FIND("º",SUBSTITUTE(E595,"°","º"))-1)),-1),IF(LEFT(E595,6)="TÉRREO",0,IFERROR(VALUE(LEFT(E595,FIND("º",SUBSTITUTE(E595,"°","º"))-1)),""))))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31883482</v>
      </c>
      <c r="C596" s="4" t="inlineStr">
        <is>
          <t>PISCINA</t>
        </is>
      </c>
      <c r="D596" s="4" t="inlineStr">
        <is>
          <t>Quebra de quinas e tratamento da parede</t>
        </is>
      </c>
      <c r="E596" s="4" t="inlineStr">
        <is>
          <t>3º PAV. - PILOTIS</t>
        </is>
      </c>
      <c r="F596" s="119" t="n">
        <v>46244</v>
      </c>
      <c r="G596" s="119" t="n">
        <v>46274</v>
      </c>
      <c r="H596" s="119" t="n">
        <v>46293</v>
      </c>
      <c r="I596" s="4" t="n">
        <v>0</v>
      </c>
      <c r="J596" s="4" t="n">
        <v>100</v>
      </c>
      <c r="K596" s="4" t="n">
        <v>100</v>
      </c>
      <c r="M596" s="2">
        <f>IF(C596="","",IFERROR(INDEX($S$5:$S$304,MATCH(C596,$R$5:$R$304,0))&amp;"","?"))</f>
        <v/>
      </c>
      <c r="N596" s="2">
        <f>IF(E596="","",IF(ISNUMBER(SEARCH("SUBSOLO",E596)),IFERROR(-VALUE(LEFT(E596,FIND("º",SUBSTITUTE(E596,"°","º"))-1)),-1),IF(LEFT(E596,6)="TÉRREO",0,IFERROR(VALUE(LEFT(E596,FIND("º",SUBSTITUTE(E596,"°","º"))-1)),""))))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42640453</v>
      </c>
      <c r="C597" s="4" t="inlineStr">
        <is>
          <t>PISCINA</t>
        </is>
      </c>
      <c r="D597" s="4" t="inlineStr">
        <is>
          <t>Furação Piscina</t>
        </is>
      </c>
      <c r="E597" s="4" t="inlineStr">
        <is>
          <t>3º PAV. - PILOTIS</t>
        </is>
      </c>
      <c r="F597" s="119" t="n">
        <v>46244</v>
      </c>
      <c r="G597" s="119" t="n">
        <v>46267</v>
      </c>
      <c r="H597" s="119" t="n">
        <v>46293</v>
      </c>
      <c r="I597" s="4" t="n">
        <v>0</v>
      </c>
      <c r="J597" s="4" t="n">
        <v>100</v>
      </c>
      <c r="K597" s="4" t="n">
        <v>100</v>
      </c>
      <c r="M597" s="2">
        <f>IF(C597="","",IFERROR(INDEX($S$5:$S$304,MATCH(C597,$R$5:$R$304,0))&amp;"","?"))</f>
        <v/>
      </c>
      <c r="N597" s="2">
        <f>IF(E597="","",IF(ISNUMBER(SEARCH("SUBSOLO",E597)),IFERROR(-VALUE(LEFT(E597,FIND("º",SUBSTITUTE(E597,"°","º"))-1)),-1),IF(LEFT(E597,6)="TÉRREO",0,IFERROR(VALUE(LEFT(E597,FIND("º",SUBSTITUTE(E597,"°","º"))-1)),""))))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42640454</v>
      </c>
      <c r="C598" s="4" t="inlineStr">
        <is>
          <t>PISCINA</t>
        </is>
      </c>
      <c r="D598" s="4" t="inlineStr">
        <is>
          <t>Grauteamento de Tubo</t>
        </is>
      </c>
      <c r="E598" s="4" t="inlineStr">
        <is>
          <t>3º PAV. - PILOTIS</t>
        </is>
      </c>
      <c r="F598" s="119" t="n">
        <v>46268</v>
      </c>
      <c r="G598" s="119" t="n">
        <v>46269</v>
      </c>
      <c r="H598" s="119" t="n">
        <v>46293</v>
      </c>
      <c r="I598" s="4" t="n">
        <v>0</v>
      </c>
      <c r="J598" s="4" t="n">
        <v>100</v>
      </c>
      <c r="K598" s="4" t="n">
        <v>100</v>
      </c>
      <c r="M598" s="2">
        <f>IF(C598="","",IFERROR(INDEX($S$5:$S$304,MATCH(C598,$R$5:$R$304,0))&amp;"","?"))</f>
        <v/>
      </c>
      <c r="N598" s="2">
        <f>IF(E598="","",IF(ISNUMBER(SEARCH("SUBSOLO",E598)),IFERROR(-VALUE(LEFT(E598,FIND("º",SUBSTITUTE(E598,"°","º"))-1)),-1),IF(LEFT(E598,6)="TÉRREO",0,IFERROR(VALUE(LEFT(E598,FIND("º",SUBSTITUTE(E598,"°","º"))-1)),""))))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42640455</v>
      </c>
      <c r="C599" s="4" t="inlineStr">
        <is>
          <t>PISCINA</t>
        </is>
      </c>
      <c r="D599" s="4" t="inlineStr">
        <is>
          <t>Teste de Carga</t>
        </is>
      </c>
      <c r="E599" s="4" t="inlineStr">
        <is>
          <t>3º PAV. - PILOTIS</t>
        </is>
      </c>
      <c r="F599" s="119" t="n">
        <v>46273</v>
      </c>
      <c r="G599" s="119" t="n">
        <v>46279</v>
      </c>
      <c r="H599" s="119" t="n">
        <v>46293</v>
      </c>
      <c r="I599" s="4" t="n">
        <v>0</v>
      </c>
      <c r="J599" s="4" t="n">
        <v>100</v>
      </c>
      <c r="K599" s="4" t="n">
        <v>0</v>
      </c>
      <c r="M599" s="2">
        <f>IF(C599="","",IFERROR(INDEX($S$5:$S$304,MATCH(C599,$R$5:$R$304,0))&amp;"","?"))</f>
        <v/>
      </c>
      <c r="N599" s="2">
        <f>IF(E599="","",IF(ISNUMBER(SEARCH("SUBSOLO",E599)),IFERROR(-VALUE(LEFT(E599,FIND("º",SUBSTITUTE(E599,"°","º"))-1)),-1),IF(LEFT(E599,6)="TÉRREO",0,IFERROR(VALUE(LEFT(E599,FIND("º",SUBSTITUTE(E599,"°","º"))-1)),""))))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25799849</v>
      </c>
      <c r="C600" s="4" t="inlineStr">
        <is>
          <t>PRUMADA HIDROSSANITÁRIA</t>
        </is>
      </c>
      <c r="D600" s="4" t="inlineStr">
        <is>
          <t>-</t>
        </is>
      </c>
      <c r="E600" s="4" t="inlineStr">
        <is>
          <t>3º PAV. PISCINA DESCOBERTA E E ÁREA DESCOBERTA PISCINA</t>
        </is>
      </c>
      <c r="F600" s="119" t="n">
        <v>46244</v>
      </c>
      <c r="G600" s="119" t="n">
        <v>46255</v>
      </c>
      <c r="H600" s="119" t="n">
        <v>46293</v>
      </c>
      <c r="I600" s="4" t="n">
        <v>100</v>
      </c>
      <c r="J600" s="4" t="n">
        <v>100</v>
      </c>
      <c r="K600" s="4" t="n">
        <v>0</v>
      </c>
      <c r="M600" s="2">
        <f>IF(C600="","",IFERROR(INDEX($S$5:$S$304,MATCH(C600,$R$5:$R$304,0))&amp;"","?"))</f>
        <v/>
      </c>
      <c r="N600" s="2">
        <f>IF(E600="","",IF(ISNUMBER(SEARCH("SUBSOLO",E600)),IFERROR(-VALUE(LEFT(E600,FIND("º",SUBSTITUTE(E600,"°","º"))-1)),-1),IF(LEFT(E600,6)="TÉRREO",0,IFERROR(VALUE(LEFT(E600,FIND("º",SUBSTITUTE(E600,"°","º"))-1)),""))))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25799879</v>
      </c>
      <c r="C601" s="4" t="inlineStr">
        <is>
          <t>ALVENARIA</t>
        </is>
      </c>
      <c r="D601" s="4" t="inlineStr">
        <is>
          <t>-</t>
        </is>
      </c>
      <c r="E601" s="4" t="inlineStr">
        <is>
          <t>3º PAV. - ACADEMIA</t>
        </is>
      </c>
      <c r="F601" s="119" t="n">
        <v>46246</v>
      </c>
      <c r="G601" s="119" t="n">
        <v>46259</v>
      </c>
      <c r="H601" s="119" t="n">
        <v>46293</v>
      </c>
      <c r="I601" s="4" t="n">
        <v>100</v>
      </c>
      <c r="J601" s="4" t="n">
        <v>100</v>
      </c>
      <c r="K601" s="4" t="n">
        <v>100</v>
      </c>
      <c r="M601" s="2">
        <f>IF(C601="","",IFERROR(INDEX($S$5:$S$304,MATCH(C601,$R$5:$R$304,0))&amp;"","?"))</f>
        <v/>
      </c>
      <c r="N601" s="2">
        <f>IF(E601="","",IF(ISNUMBER(SEARCH("SUBSOLO",E601)),IFERROR(-VALUE(LEFT(E601,FIND("º",SUBSTITUTE(E601,"°","º"))-1)),-1),IF(LEFT(E601,6)="TÉRREO",0,IFERROR(VALUE(LEFT(E601,FIND("º",SUBSTITUTE(E601,"°","º"))-1)),""))))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33366443</v>
      </c>
      <c r="C602" s="4" t="inlineStr">
        <is>
          <t>PISO ARMADO - SETOR A</t>
        </is>
      </c>
      <c r="D602" s="4" t="inlineStr">
        <is>
          <t>-</t>
        </is>
      </c>
      <c r="E602" s="4" t="inlineStr">
        <is>
          <t>TÉRREO - GARAGENS</t>
        </is>
      </c>
      <c r="F602" s="119" t="n">
        <v>46251</v>
      </c>
      <c r="G602" s="119" t="n">
        <v>46265</v>
      </c>
      <c r="H602" s="119" t="n">
        <v>46293</v>
      </c>
      <c r="I602" s="4" t="n">
        <v>100</v>
      </c>
      <c r="J602" s="4" t="n">
        <v>100</v>
      </c>
      <c r="K602" s="4" t="n">
        <v>100</v>
      </c>
      <c r="M602" s="2">
        <f>IF(C602="","",IFERROR(INDEX($S$5:$S$304,MATCH(C602,$R$5:$R$304,0))&amp;"","?"))</f>
        <v/>
      </c>
      <c r="N602" s="2">
        <f>IF(E602="","",IF(ISNUMBER(SEARCH("SUBSOLO",E602)),IFERROR(-VALUE(LEFT(E602,FIND("º",SUBSTITUTE(E602,"°","º"))-1)),-1),IF(LEFT(E602,6)="TÉRREO",0,IFERROR(VALUE(LEFT(E602,FIND("º",SUBSTITUTE(E602,"°","º"))-1)),""))))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43846647</v>
      </c>
      <c r="C603" s="4" t="inlineStr">
        <is>
          <t>ALVENARIA EXTERNA</t>
        </is>
      </c>
      <c r="D603" s="4" t="inlineStr">
        <is>
          <t>-</t>
        </is>
      </c>
      <c r="E603" s="4" t="inlineStr">
        <is>
          <t>11º PAV. TIPO</t>
        </is>
      </c>
      <c r="F603" s="119" t="n">
        <v>46251</v>
      </c>
      <c r="G603" s="119" t="n">
        <v>46269</v>
      </c>
      <c r="H603" s="119" t="n">
        <v>46293</v>
      </c>
      <c r="I603" s="4" t="n">
        <v>100</v>
      </c>
      <c r="J603" s="4" t="n">
        <v>100</v>
      </c>
      <c r="K603" s="4" t="n">
        <v>100</v>
      </c>
      <c r="M603" s="2">
        <f>IF(C603="","",IFERROR(INDEX($S$5:$S$304,MATCH(C603,$R$5:$R$304,0))&amp;"","?"))</f>
        <v/>
      </c>
      <c r="N603" s="2">
        <f>IF(E603="","",IF(ISNUMBER(SEARCH("SUBSOLO",E603)),IFERROR(-VALUE(LEFT(E603,FIND("º",SUBSTITUTE(E603,"°","º"))-1)),-1),IF(LEFT(E603,6)="TÉRREO",0,IFERROR(VALUE(LEFT(E603,FIND("º",SUBSTITUTE(E603,"°","º"))-1)),""))))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25807538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3º PAV. ESPAÇO THERMAS, PISCINA COBERTA, SAUNAS E VESTIÁRIOS</t>
        </is>
      </c>
      <c r="F604" s="119" t="n">
        <v>46252</v>
      </c>
      <c r="G604" s="119" t="n">
        <v>46265</v>
      </c>
      <c r="H604" s="119" t="n">
        <v>46293</v>
      </c>
      <c r="I604" s="4" t="n">
        <v>100</v>
      </c>
      <c r="J604" s="4" t="n">
        <v>100</v>
      </c>
      <c r="K604" s="4" t="n">
        <v>0</v>
      </c>
      <c r="M604" s="2">
        <f>IF(C604="","",IFERROR(INDEX($S$5:$S$304,MATCH(C604,$R$5:$R$304,0))&amp;"","?"))</f>
        <v/>
      </c>
      <c r="N604" s="2">
        <f>IF(E604="","",IF(ISNUMBER(SEARCH("SUBSOLO",E604)),IFERROR(-VALUE(LEFT(E604,FIND("º",SUBSTITUTE(E604,"°","º"))-1)),-1),IF(LEFT(E604,6)="TÉRREO",0,IFERROR(VALUE(LEFT(E604,FIND("º",SUBSTITUTE(E604,"°","º"))-1)),""))))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25210603</v>
      </c>
      <c r="C605" s="4" t="inlineStr">
        <is>
          <t>ALVENARIA</t>
        </is>
      </c>
      <c r="D605" s="4" t="inlineStr">
        <is>
          <t>-</t>
        </is>
      </c>
      <c r="E605" s="4" t="inlineStr">
        <is>
          <t>10º PAV. TIPO</t>
        </is>
      </c>
      <c r="F605" s="119" t="n">
        <v>46252</v>
      </c>
      <c r="G605" s="119" t="n">
        <v>46265</v>
      </c>
      <c r="H605" s="119" t="n">
        <v>46293</v>
      </c>
      <c r="I605" s="4" t="n">
        <v>100</v>
      </c>
      <c r="J605" s="4" t="n">
        <v>100</v>
      </c>
      <c r="K605" s="4" t="n">
        <v>100</v>
      </c>
      <c r="M605" s="2">
        <f>IF(C605="","",IFERROR(INDEX($S$5:$S$304,MATCH(C605,$R$5:$R$304,0))&amp;"","?"))</f>
        <v/>
      </c>
      <c r="N605" s="2">
        <f>IF(E605="","",IF(ISNUMBER(SEARCH("SUBSOLO",E605)),IFERROR(-VALUE(LEFT(E605,FIND("º",SUBSTITUTE(E605,"°","º"))-1)),-1),IF(LEFT(E605,6)="TÉRREO",0,IFERROR(VALUE(LEFT(E605,FIND("º",SUBSTITUTE(E605,"°","º"))-1)),""))))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22139728</v>
      </c>
      <c r="C606" s="4" t="inlineStr">
        <is>
          <t>ESTRUTURA TORRE</t>
        </is>
      </c>
      <c r="D606" s="4" t="inlineStr">
        <is>
          <t>-</t>
        </is>
      </c>
      <c r="E606" s="4" t="inlineStr">
        <is>
          <t>16º PAV. TIPO</t>
        </is>
      </c>
      <c r="F606" s="119" t="n">
        <v>46252</v>
      </c>
      <c r="G606" s="119" t="n">
        <v>46266</v>
      </c>
      <c r="H606" s="119" t="n">
        <v>46293</v>
      </c>
      <c r="I606" s="4" t="n">
        <v>100</v>
      </c>
      <c r="J606" s="4" t="n">
        <v>100</v>
      </c>
      <c r="K606" s="4" t="n">
        <v>100</v>
      </c>
      <c r="M606" s="2">
        <f>IF(C606="","",IFERROR(INDEX($S$5:$S$304,MATCH(C606,$R$5:$R$304,0))&amp;"","?"))</f>
        <v/>
      </c>
      <c r="N606" s="2">
        <f>IF(E606="","",IF(ISNUMBER(SEARCH("SUBSOLO",E606)),IFERROR(-VALUE(LEFT(E606,FIND("º",SUBSTITUTE(E606,"°","º"))-1)),-1),IF(LEFT(E606,6)="TÉRREO",0,IFERROR(VALUE(LEFT(E606,FIND("º",SUBSTITUTE(E606,"°","º"))-1)),""))))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9877212</v>
      </c>
      <c r="C607" s="4" t="inlineStr">
        <is>
          <t>ESTRUTURA TORRE</t>
        </is>
      </c>
      <c r="D607" s="4" t="inlineStr">
        <is>
          <t>Forma Pilar</t>
        </is>
      </c>
      <c r="E607" s="4" t="inlineStr">
        <is>
          <t>16º PAV. TIPO</t>
        </is>
      </c>
      <c r="F607" s="119" t="n">
        <v>46252</v>
      </c>
      <c r="G607" s="119" t="n">
        <v>46253</v>
      </c>
      <c r="H607" s="119" t="n">
        <v>46293</v>
      </c>
      <c r="I607" s="4" t="n">
        <v>100</v>
      </c>
      <c r="J607" s="4" t="n">
        <v>100</v>
      </c>
      <c r="K607" s="4" t="n">
        <v>100</v>
      </c>
      <c r="M607" s="2">
        <f>IF(C607="","",IFERROR(INDEX($S$5:$S$304,MATCH(C607,$R$5:$R$304,0))&amp;"","?"))</f>
        <v/>
      </c>
      <c r="N607" s="2">
        <f>IF(E607="","",IF(ISNUMBER(SEARCH("SUBSOLO",E607)),IFERROR(-VALUE(LEFT(E607,FIND("º",SUBSTITUTE(E607,"°","º"))-1)),-1),IF(LEFT(E607,6)="TÉRREO",0,IFERROR(VALUE(LEFT(E607,FIND("º",SUBSTITUTE(E607,"°","º"))-1)),""))))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9877213</v>
      </c>
      <c r="C608" s="4" t="inlineStr">
        <is>
          <t>ESTRUTURA TORRE</t>
        </is>
      </c>
      <c r="D608" s="4" t="inlineStr">
        <is>
          <t>Armação Pilar</t>
        </is>
      </c>
      <c r="E608" s="4" t="inlineStr">
        <is>
          <t>16º PAV. TIPO</t>
        </is>
      </c>
      <c r="F608" s="119" t="n">
        <v>46252</v>
      </c>
      <c r="G608" s="119" t="n">
        <v>46253</v>
      </c>
      <c r="H608" s="119" t="n">
        <v>46293</v>
      </c>
      <c r="I608" s="4" t="n">
        <v>100</v>
      </c>
      <c r="J608" s="4" t="n">
        <v>100</v>
      </c>
      <c r="K608" s="4" t="n">
        <v>100</v>
      </c>
      <c r="M608" s="2">
        <f>IF(C608="","",IFERROR(INDEX($S$5:$S$304,MATCH(C608,$R$5:$R$304,0))&amp;"","?"))</f>
        <v/>
      </c>
      <c r="N608" s="2">
        <f>IF(E608="","",IF(ISNUMBER(SEARCH("SUBSOLO",E608)),IFERROR(-VALUE(LEFT(E608,FIND("º",SUBSTITUTE(E608,"°","º"))-1)),-1),IF(LEFT(E608,6)="TÉRREO",0,IFERROR(VALUE(LEFT(E608,FIND("º",SUBSTITUTE(E608,"°","º"))-1)),""))))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9877214</v>
      </c>
      <c r="C609" s="4" t="inlineStr">
        <is>
          <t>ESTRUTURA TORRE</t>
        </is>
      </c>
      <c r="D609" s="4" t="inlineStr">
        <is>
          <t>Escoramento</t>
        </is>
      </c>
      <c r="E609" s="4" t="inlineStr">
        <is>
          <t>16º PAV. TIPO</t>
        </is>
      </c>
      <c r="F609" s="119" t="n">
        <v>46253</v>
      </c>
      <c r="G609" s="119" t="n">
        <v>46254</v>
      </c>
      <c r="H609" s="119" t="n">
        <v>46293</v>
      </c>
      <c r="I609" s="4" t="n">
        <v>100</v>
      </c>
      <c r="J609" s="4" t="n">
        <v>100</v>
      </c>
      <c r="K609" s="4" t="n">
        <v>100</v>
      </c>
      <c r="M609" s="2">
        <f>IF(C609="","",IFERROR(INDEX($S$5:$S$304,MATCH(C609,$R$5:$R$304,0))&amp;"","?"))</f>
        <v/>
      </c>
      <c r="N609" s="2">
        <f>IF(E609="","",IF(ISNUMBER(SEARCH("SUBSOLO",E609)),IFERROR(-VALUE(LEFT(E609,FIND("º",SUBSTITUTE(E609,"°","º"))-1)),-1),IF(LEFT(E609,6)="TÉRREO",0,IFERROR(VALUE(LEFT(E609,FIND("º",SUBSTITUTE(E609,"°","º"))-1)),""))))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9877907</v>
      </c>
      <c r="C610" s="4" t="inlineStr">
        <is>
          <t>ESTRUTURA TORRE</t>
        </is>
      </c>
      <c r="D610" s="4" t="inlineStr">
        <is>
          <t>Concretagem Pilar</t>
        </is>
      </c>
      <c r="E610" s="4" t="inlineStr">
        <is>
          <t>16º PAV. TIPO</t>
        </is>
      </c>
      <c r="F610" s="119" t="n">
        <v>46255</v>
      </c>
      <c r="G610" s="119" t="n">
        <v>46255</v>
      </c>
      <c r="H610" s="119" t="n">
        <v>46293</v>
      </c>
      <c r="I610" s="4" t="n">
        <v>100</v>
      </c>
      <c r="J610" s="4" t="n">
        <v>100</v>
      </c>
      <c r="K610" s="4" t="n">
        <v>100</v>
      </c>
      <c r="M610" s="2">
        <f>IF(C610="","",IFERROR(INDEX($S$5:$S$304,MATCH(C610,$R$5:$R$304,0))&amp;"","?"))</f>
        <v/>
      </c>
      <c r="N610" s="2">
        <f>IF(E610="","",IF(ISNUMBER(SEARCH("SUBSOLO",E610)),IFERROR(-VALUE(LEFT(E610,FIND("º",SUBSTITUTE(E610,"°","º"))-1)),-1),IF(LEFT(E610,6)="TÉRREO",0,IFERROR(VALUE(LEFT(E610,FIND("º",SUBSTITUTE(E610,"°","º"))-1)),""))))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9877908</v>
      </c>
      <c r="C611" s="4" t="inlineStr">
        <is>
          <t>ESTRUTURA TORRE</t>
        </is>
      </c>
      <c r="D611" s="4" t="inlineStr">
        <is>
          <t>Forma Vigas e Lajes</t>
        </is>
      </c>
      <c r="E611" s="4" t="inlineStr">
        <is>
          <t>16º PAV. TIPO</t>
        </is>
      </c>
      <c r="F611" s="119" t="n">
        <v>46258</v>
      </c>
      <c r="G611" s="119" t="n">
        <v>46261</v>
      </c>
      <c r="H611" s="119" t="n">
        <v>46293</v>
      </c>
      <c r="I611" s="4" t="n">
        <v>100</v>
      </c>
      <c r="J611" s="4" t="n">
        <v>100</v>
      </c>
      <c r="K611" s="4" t="n">
        <v>100</v>
      </c>
      <c r="M611" s="2">
        <f>IF(C611="","",IFERROR(INDEX($S$5:$S$304,MATCH(C611,$R$5:$R$304,0))&amp;"","?"))</f>
        <v/>
      </c>
      <c r="N611" s="2">
        <f>IF(E611="","",IF(ISNUMBER(SEARCH("SUBSOLO",E611)),IFERROR(-VALUE(LEFT(E611,FIND("º",SUBSTITUTE(E611,"°","º"))-1)),-1),IF(LEFT(E611,6)="TÉRREO",0,IFERROR(VALUE(LEFT(E611,FIND("º",SUBSTITUTE(E611,"°","º"))-1)),""))))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9877909</v>
      </c>
      <c r="C612" s="4" t="inlineStr">
        <is>
          <t>ESTRUTURA TORRE</t>
        </is>
      </c>
      <c r="D612" s="4" t="inlineStr">
        <is>
          <t>Armação Vigas e Lajes</t>
        </is>
      </c>
      <c r="E612" s="4" t="inlineStr">
        <is>
          <t>16º PAV. TIPO</t>
        </is>
      </c>
      <c r="F612" s="119" t="n">
        <v>46259</v>
      </c>
      <c r="G612" s="119" t="n">
        <v>46262</v>
      </c>
      <c r="H612" s="119" t="n">
        <v>46293</v>
      </c>
      <c r="I612" s="4" t="n">
        <v>100</v>
      </c>
      <c r="J612" s="4" t="n">
        <v>100</v>
      </c>
      <c r="K612" s="4" t="n">
        <v>100</v>
      </c>
      <c r="M612" s="2">
        <f>IF(C612="","",IFERROR(INDEX($S$5:$S$304,MATCH(C612,$R$5:$R$304,0))&amp;"","?"))</f>
        <v/>
      </c>
      <c r="N612" s="2">
        <f>IF(E612="","",IF(ISNUMBER(SEARCH("SUBSOLO",E612)),IFERROR(-VALUE(LEFT(E612,FIND("º",SUBSTITUTE(E612,"°","º"))-1)),-1),IF(LEFT(E612,6)="TÉRREO",0,IFERROR(VALUE(LEFT(E612,FIND("º",SUBSTITUTE(E612,"°","º"))-1)),""))))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9877910</v>
      </c>
      <c r="C613" s="4" t="inlineStr">
        <is>
          <t>ESTRUTURA TORRE</t>
        </is>
      </c>
      <c r="D613" s="4" t="inlineStr">
        <is>
          <t>Passagem Hidráulica</t>
        </is>
      </c>
      <c r="E613" s="4" t="inlineStr">
        <is>
          <t>16º PAV. TIPO</t>
        </is>
      </c>
      <c r="F613" s="119" t="n">
        <v>46261</v>
      </c>
      <c r="G613" s="119" t="n">
        <v>46261</v>
      </c>
      <c r="H613" s="119" t="n">
        <v>46293</v>
      </c>
      <c r="I613" s="4" t="n">
        <v>100</v>
      </c>
      <c r="J613" s="4" t="n">
        <v>100</v>
      </c>
      <c r="K613" s="4" t="n">
        <v>100</v>
      </c>
      <c r="M613" s="2">
        <f>IF(C613="","",IFERROR(INDEX($S$5:$S$304,MATCH(C613,$R$5:$R$304,0))&amp;"","?"))</f>
        <v/>
      </c>
      <c r="N613" s="2">
        <f>IF(E613="","",IF(ISNUMBER(SEARCH("SUBSOLO",E613)),IFERROR(-VALUE(LEFT(E613,FIND("º",SUBSTITUTE(E613,"°","º"))-1)),-1),IF(LEFT(E613,6)="TÉRREO",0,IFERROR(VALUE(LEFT(E613,FIND("º",SUBSTITUTE(E613,"°","º"))-1)),""))))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9877911</v>
      </c>
      <c r="C614" s="4" t="inlineStr">
        <is>
          <t>ESTRUTURA TORRE</t>
        </is>
      </c>
      <c r="D614" s="4" t="inlineStr">
        <is>
          <t>Passagem Elétrica</t>
        </is>
      </c>
      <c r="E614" s="4" t="inlineStr">
        <is>
          <t>16º PAV. TIPO</t>
        </is>
      </c>
      <c r="F614" s="119" t="n">
        <v>46261</v>
      </c>
      <c r="G614" s="119" t="n">
        <v>46261</v>
      </c>
      <c r="H614" s="119" t="n">
        <v>46293</v>
      </c>
      <c r="I614" s="4" t="n">
        <v>100</v>
      </c>
      <c r="J614" s="4" t="n">
        <v>100</v>
      </c>
      <c r="K614" s="4" t="n">
        <v>100</v>
      </c>
      <c r="M614" s="2">
        <f>IF(C614="","",IFERROR(INDEX($S$5:$S$304,MATCH(C614,$R$5:$R$304,0))&amp;"","?"))</f>
        <v/>
      </c>
      <c r="N614" s="2">
        <f>IF(E614="","",IF(ISNUMBER(SEARCH("SUBSOLO",E614)),IFERROR(-VALUE(LEFT(E614,FIND("º",SUBSTITUTE(E614,"°","º"))-1)),-1),IF(LEFT(E614,6)="TÉRREO",0,IFERROR(VALUE(LEFT(E614,FIND("º",SUBSTITUTE(E614,"°","º"))-1)),""))))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9877912</v>
      </c>
      <c r="C615" s="4" t="inlineStr">
        <is>
          <t>ESTRUTURA TORRE</t>
        </is>
      </c>
      <c r="D615" s="4" t="inlineStr">
        <is>
          <t>Concretagem</t>
        </is>
      </c>
      <c r="E615" s="4" t="inlineStr">
        <is>
          <t>16º PAV. TIPO</t>
        </is>
      </c>
      <c r="F615" s="119" t="n">
        <v>46262</v>
      </c>
      <c r="G615" s="119" t="n">
        <v>46266</v>
      </c>
      <c r="H615" s="119" t="n">
        <v>46293</v>
      </c>
      <c r="I615" s="4" t="n">
        <v>100</v>
      </c>
      <c r="J615" s="4" t="n">
        <v>100</v>
      </c>
      <c r="K615" s="4" t="n">
        <v>100</v>
      </c>
      <c r="M615" s="2">
        <f>IF(C615="","",IFERROR(INDEX($S$5:$S$304,MATCH(C615,$R$5:$R$304,0))&amp;"","?"))</f>
        <v/>
      </c>
      <c r="N615" s="2">
        <f>IF(E615="","",IF(ISNUMBER(SEARCH("SUBSOLO",E615)),IFERROR(-VALUE(LEFT(E615,FIND("º",SUBSTITUTE(E615,"°","º"))-1)),-1),IF(LEFT(E615,6)="TÉRREO",0,IFERROR(VALUE(LEFT(E615,FIND("º",SUBSTITUTE(E615,"°","º"))-1)),""))))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25752746</v>
      </c>
      <c r="C616" s="4" t="inlineStr">
        <is>
          <t>INSTALAÇÕES ELÉTRICAS</t>
        </is>
      </c>
      <c r="D616" s="4" t="inlineStr">
        <is>
          <t>-</t>
        </is>
      </c>
      <c r="E616" s="4" t="inlineStr">
        <is>
          <t>2º PAV. - ÁREAS TÉCNICAS</t>
        </is>
      </c>
      <c r="F616" s="119" t="n">
        <v>46258</v>
      </c>
      <c r="G616" s="119" t="n">
        <v>46297</v>
      </c>
      <c r="H616" s="119" t="n">
        <v>46293</v>
      </c>
      <c r="I616" s="4" t="n">
        <v>100</v>
      </c>
      <c r="J616" s="4" t="n">
        <v>86.20699999999999</v>
      </c>
      <c r="K616" s="4" t="n">
        <v>95</v>
      </c>
      <c r="M616" s="2">
        <f>IF(C616="","",IFERROR(INDEX($S$5:$S$304,MATCH(C616,$R$5:$R$304,0))&amp;"","?"))</f>
        <v/>
      </c>
      <c r="N616" s="2">
        <f>IF(E616="","",IF(ISNUMBER(SEARCH("SUBSOLO",E616)),IFERROR(-VALUE(LEFT(E616,FIND("º",SUBSTITUTE(E616,"°","º"))-1)),-1),IF(LEFT(E616,6)="TÉRREO",0,IFERROR(VALUE(LEFT(E616,FIND("º",SUBSTITUTE(E616,"°","º"))-1)),""))))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48800618</v>
      </c>
      <c r="C617" s="4" t="inlineStr">
        <is>
          <t>IMPERMEABILIZAÇÃO</t>
        </is>
      </c>
      <c r="D617" s="4" t="inlineStr">
        <is>
          <t>-</t>
        </is>
      </c>
      <c r="E617" s="4" t="inlineStr">
        <is>
          <t>3º PAV. - PILOTIS</t>
        </is>
      </c>
      <c r="F617" s="119" t="n">
        <v>46258</v>
      </c>
      <c r="G617" s="119" t="n">
        <v>46279</v>
      </c>
      <c r="H617" s="119" t="n">
        <v>46293</v>
      </c>
      <c r="I617" s="4" t="n">
        <v>0</v>
      </c>
      <c r="J617" s="4" t="n">
        <v>100</v>
      </c>
      <c r="K617" s="4" t="n">
        <v>93.333</v>
      </c>
      <c r="M617" s="2">
        <f>IF(C617="","",IFERROR(INDEX($S$5:$S$304,MATCH(C617,$R$5:$R$304,0))&amp;"","?"))</f>
        <v/>
      </c>
      <c r="N617" s="2">
        <f>IF(E617="","",IF(ISNUMBER(SEARCH("SUBSOLO",E617)),IFERROR(-VALUE(LEFT(E617,FIND("º",SUBSTITUTE(E617,"°","º"))-1)),-1),IF(LEFT(E617,6)="TÉRREO",0,IFERROR(VALUE(LEFT(E617,FIND("º",SUBSTITUTE(E617,"°","º"))-1)),""))))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31883483</v>
      </c>
      <c r="C618" s="4" t="inlineStr">
        <is>
          <t>IMPERMEABILIZAÇÃO</t>
        </is>
      </c>
      <c r="D618" s="4" t="inlineStr">
        <is>
          <t>Tratamento de junta</t>
        </is>
      </c>
      <c r="E618" s="4" t="inlineStr">
        <is>
          <t>3º PAV. - PILOTIS</t>
        </is>
      </c>
      <c r="F618" s="119" t="n">
        <v>46258</v>
      </c>
      <c r="G618" s="119" t="n">
        <v>46279</v>
      </c>
      <c r="H618" s="119" t="n">
        <v>46293</v>
      </c>
      <c r="I618" s="4" t="n">
        <v>0</v>
      </c>
      <c r="J618" s="4" t="n">
        <v>100</v>
      </c>
      <c r="K618" s="4" t="n">
        <v>93.333</v>
      </c>
      <c r="M618" s="2">
        <f>IF(C618="","",IFERROR(INDEX($S$5:$S$304,MATCH(C618,$R$5:$R$304,0))&amp;"","?"))</f>
        <v/>
      </c>
      <c r="N618" s="2">
        <f>IF(E618="","",IF(ISNUMBER(SEARCH("SUBSOLO",E618)),IFERROR(-VALUE(LEFT(E618,FIND("º",SUBSTITUTE(E618,"°","º"))-1)),-1),IF(LEFT(E618,6)="TÉRREO",0,IFERROR(VALUE(LEFT(E618,FIND("º",SUBSTITUTE(E618,"°","º"))-1)),""))))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25799851</v>
      </c>
      <c r="C619" s="4" t="inlineStr">
        <is>
          <t>DISTRIBUIÇÃO HIDROSSANITÁRIA</t>
        </is>
      </c>
      <c r="D619" s="4" t="inlineStr">
        <is>
          <t>-</t>
        </is>
      </c>
      <c r="E619" s="4" t="inlineStr">
        <is>
          <t>3º PAV. PISCINA DESCOBERTA E E ÁREA DESCOBERTA PISCINA</t>
        </is>
      </c>
      <c r="F619" s="119" t="n">
        <v>46258</v>
      </c>
      <c r="G619" s="119" t="n">
        <v>46279</v>
      </c>
      <c r="H619" s="119" t="n">
        <v>46293</v>
      </c>
      <c r="I619" s="4" t="n">
        <v>100</v>
      </c>
      <c r="J619" s="4" t="n">
        <v>100</v>
      </c>
      <c r="K619" s="4" t="n">
        <v>0</v>
      </c>
      <c r="M619" s="2">
        <f>IF(C619="","",IFERROR(INDEX($S$5:$S$304,MATCH(C619,$R$5:$R$304,0))&amp;"","?"))</f>
        <v/>
      </c>
      <c r="N619" s="2">
        <f>IF(E619="","",IF(ISNUMBER(SEARCH("SUBSOLO",E619)),IFERROR(-VALUE(LEFT(E619,FIND("º",SUBSTITUTE(E619,"°","º"))-1)),-1),IF(LEFT(E619,6)="TÉRREO",0,IFERROR(VALUE(LEFT(E619,FIND("º",SUBSTITUTE(E619,"°","º"))-1)),""))))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25799817</v>
      </c>
      <c r="C620" s="4" t="inlineStr">
        <is>
          <t>PRUMADA HIDROSSANITÁRIA</t>
        </is>
      </c>
      <c r="D620" s="4" t="inlineStr">
        <is>
          <t>-</t>
        </is>
      </c>
      <c r="E620" s="4" t="inlineStr">
        <is>
          <t>3º PAV. - BAR PISCINA, VESTIÁRIOS, DEPOSITOS E LOUNGE QUADRAS</t>
        </is>
      </c>
      <c r="F620" s="119" t="n">
        <v>46258</v>
      </c>
      <c r="G620" s="119" t="n">
        <v>46279</v>
      </c>
      <c r="H620" s="119" t="n">
        <v>46293</v>
      </c>
      <c r="I620" s="4" t="n">
        <v>100</v>
      </c>
      <c r="J620" s="4" t="n">
        <v>100</v>
      </c>
      <c r="K620" s="4" t="n">
        <v>0</v>
      </c>
      <c r="M620" s="2">
        <f>IF(C620="","",IFERROR(INDEX($S$5:$S$304,MATCH(C620,$R$5:$R$304,0))&amp;"","?"))</f>
        <v/>
      </c>
      <c r="N620" s="2">
        <f>IF(E620="","",IF(ISNUMBER(SEARCH("SUBSOLO",E620)),IFERROR(-VALUE(LEFT(E620,FIND("º",SUBSTITUTE(E620,"°","º"))-1)),-1),IF(LEFT(E620,6)="TÉRREO",0,IFERROR(VALUE(LEFT(E620,FIND("º",SUBSTITUTE(E620,"°","º"))-1)),""))))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25802015</v>
      </c>
      <c r="C621" s="4" t="inlineStr">
        <is>
          <t>ALVENARIA</t>
        </is>
      </c>
      <c r="D621" s="4" t="inlineStr">
        <is>
          <t>-</t>
        </is>
      </c>
      <c r="E621" s="4" t="inlineStr">
        <is>
          <t>3º PAV. - QUADRA DE TÊNIS E POLIESPORTIVA</t>
        </is>
      </c>
      <c r="F621" s="119" t="n">
        <v>46260</v>
      </c>
      <c r="G621" s="119" t="n">
        <v>46323</v>
      </c>
      <c r="H621" s="119" t="n">
        <v>46293</v>
      </c>
      <c r="I621" s="4" t="n">
        <v>52.273</v>
      </c>
      <c r="J621" s="4" t="n">
        <v>52.273</v>
      </c>
      <c r="K621" s="4" t="n">
        <v>100</v>
      </c>
      <c r="M621" s="2">
        <f>IF(C621="","",IFERROR(INDEX($S$5:$S$304,MATCH(C621,$R$5:$R$304,0))&amp;"","?"))</f>
        <v/>
      </c>
      <c r="N621" s="2">
        <f>IF(E621="","",IF(ISNUMBER(SEARCH("SUBSOLO",E621)),IFERROR(-VALUE(LEFT(E621,FIND("º",SUBSTITUTE(E621,"°","º"))-1)),-1),IF(LEFT(E621,6)="TÉRREO",0,IFERROR(VALUE(LEFT(E621,FIND("º",SUBSTITUTE(E621,"°","º"))-1)),""))))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25802037</v>
      </c>
      <c r="C622" s="4" t="inlineStr">
        <is>
          <t>REBOCO INTERNO</t>
        </is>
      </c>
      <c r="D622" s="4" t="inlineStr">
        <is>
          <t>-</t>
        </is>
      </c>
      <c r="E622" s="4" t="inlineStr">
        <is>
          <t>3º PAV. - QUADRA DE TÊNIS E POLIESPORTIVA</t>
        </is>
      </c>
      <c r="F622" s="119" t="n">
        <v>46262</v>
      </c>
      <c r="G622" s="119" t="n">
        <v>46356</v>
      </c>
      <c r="H622" s="119" t="n">
        <v>46293</v>
      </c>
      <c r="I622" s="4" t="n">
        <v>0</v>
      </c>
      <c r="J622" s="4" t="n">
        <v>32.813</v>
      </c>
      <c r="K622" s="4" t="n">
        <v>95</v>
      </c>
      <c r="M622" s="2">
        <f>IF(C622="","",IFERROR(INDEX($S$5:$S$304,MATCH(C622,$R$5:$R$304,0))&amp;"","?"))</f>
        <v/>
      </c>
      <c r="N622" s="2">
        <f>IF(E622="","",IF(ISNUMBER(SEARCH("SUBSOLO",E622)),IFERROR(-VALUE(LEFT(E622,FIND("º",SUBSTITUTE(E622,"°","º"))-1)),-1),IF(LEFT(E622,6)="TÉRREO",0,IFERROR(VALUE(LEFT(E622,FIND("º",SUBSTITUTE(E622,"°","º"))-1)),""))))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43846648</v>
      </c>
      <c r="C623" s="4" t="inlineStr">
        <is>
          <t>ALVENARIA EXTERNA</t>
        </is>
      </c>
      <c r="D623" s="4" t="inlineStr">
        <is>
          <t>-</t>
        </is>
      </c>
      <c r="E623" s="4" t="inlineStr">
        <is>
          <t>12º PAV. TIPO</t>
        </is>
      </c>
      <c r="F623" s="119" t="n">
        <v>46265</v>
      </c>
      <c r="G623" s="119" t="n">
        <v>46279</v>
      </c>
      <c r="H623" s="119" t="n">
        <v>46293</v>
      </c>
      <c r="I623" s="4" t="n">
        <v>100</v>
      </c>
      <c r="J623" s="4" t="n">
        <v>100</v>
      </c>
      <c r="K623" s="4" t="n">
        <v>100</v>
      </c>
      <c r="M623" s="2">
        <f>IF(C623="","",IFERROR(INDEX($S$5:$S$304,MATCH(C623,$R$5:$R$304,0))&amp;"","?"))</f>
        <v/>
      </c>
      <c r="N623" s="2">
        <f>IF(E623="","",IF(ISNUMBER(SEARCH("SUBSOLO",E623)),IFERROR(-VALUE(LEFT(E623,FIND("º",SUBSTITUTE(E623,"°","º"))-1)),-1),IF(LEFT(E623,6)="TÉRREO",0,IFERROR(VALUE(LEFT(E623,FIND("º",SUBSTITUTE(E623,"°","º"))-1)),""))))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22139729</v>
      </c>
      <c r="C624" s="4" t="inlineStr">
        <is>
          <t>ESTRUTURA TORRE</t>
        </is>
      </c>
      <c r="D624" s="4" t="inlineStr">
        <is>
          <t>-</t>
        </is>
      </c>
      <c r="E624" s="4" t="inlineStr">
        <is>
          <t>17º PAV. TIPO</t>
        </is>
      </c>
      <c r="F624" s="119" t="n">
        <v>46265</v>
      </c>
      <c r="G624" s="119" t="n">
        <v>46281</v>
      </c>
      <c r="H624" s="119" t="n">
        <v>46293</v>
      </c>
      <c r="I624" s="4" t="n">
        <v>100</v>
      </c>
      <c r="J624" s="4" t="n">
        <v>100</v>
      </c>
      <c r="K624" s="4" t="n">
        <v>100</v>
      </c>
      <c r="M624" s="2">
        <f>IF(C624="","",IFERROR(INDEX($S$5:$S$304,MATCH(C624,$R$5:$R$304,0))&amp;"","?"))</f>
        <v/>
      </c>
      <c r="N624" s="2">
        <f>IF(E624="","",IF(ISNUMBER(SEARCH("SUBSOLO",E624)),IFERROR(-VALUE(LEFT(E624,FIND("º",SUBSTITUTE(E624,"°","º"))-1)),-1),IF(LEFT(E624,6)="TÉRREO",0,IFERROR(VALUE(LEFT(E624,FIND("º",SUBSTITUTE(E624,"°","º"))-1)),""))))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42685221</v>
      </c>
      <c r="C625" s="4" t="inlineStr">
        <is>
          <t>ESTRUTURA TORRE</t>
        </is>
      </c>
      <c r="D625" s="4" t="inlineStr">
        <is>
          <t>Colarinho de pilares</t>
        </is>
      </c>
      <c r="E625" s="4" t="inlineStr">
        <is>
          <t>17º PAV. TIPO</t>
        </is>
      </c>
      <c r="F625" s="119" t="n">
        <v>46265</v>
      </c>
      <c r="G625" s="119" t="n">
        <v>46265</v>
      </c>
      <c r="H625" s="119" t="n">
        <v>46293</v>
      </c>
      <c r="I625" s="4" t="n">
        <v>0</v>
      </c>
      <c r="J625" s="4" t="n">
        <v>100</v>
      </c>
      <c r="K625" s="4" t="n">
        <v>100</v>
      </c>
      <c r="M625" s="2">
        <f>IF(C625="","",IFERROR(INDEX($S$5:$S$304,MATCH(C625,$R$5:$R$304,0))&amp;"","?"))</f>
        <v/>
      </c>
      <c r="N625" s="2">
        <f>IF(E625="","",IF(ISNUMBER(SEARCH("SUBSOLO",E625)),IFERROR(-VALUE(LEFT(E625,FIND("º",SUBSTITUTE(E625,"°","º"))-1)),-1),IF(LEFT(E625,6)="TÉRREO",0,IFERROR(VALUE(LEFT(E625,FIND("º",SUBSTITUTE(E625,"°","º"))-1)),""))))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42685222</v>
      </c>
      <c r="C626" s="4" t="inlineStr">
        <is>
          <t>ESTRUTURA TORRE</t>
        </is>
      </c>
      <c r="D626" s="4" t="inlineStr">
        <is>
          <t>Armação de pilares</t>
        </is>
      </c>
      <c r="E626" s="4" t="inlineStr">
        <is>
          <t>17º PAV. TIPO</t>
        </is>
      </c>
      <c r="F626" s="119" t="n">
        <v>46266</v>
      </c>
      <c r="G626" s="119" t="n">
        <v>46268</v>
      </c>
      <c r="H626" s="119" t="n">
        <v>46293</v>
      </c>
      <c r="I626" s="4" t="n">
        <v>0</v>
      </c>
      <c r="J626" s="4" t="n">
        <v>100</v>
      </c>
      <c r="K626" s="4" t="n">
        <v>100</v>
      </c>
      <c r="M626" s="2">
        <f>IF(C626="","",IFERROR(INDEX($S$5:$S$304,MATCH(C626,$R$5:$R$304,0))&amp;"","?"))</f>
        <v/>
      </c>
      <c r="N626" s="2">
        <f>IF(E626="","",IF(ISNUMBER(SEARCH("SUBSOLO",E626)),IFERROR(-VALUE(LEFT(E626,FIND("º",SUBSTITUTE(E626,"°","º"))-1)),-1),IF(LEFT(E626,6)="TÉRREO",0,IFERROR(VALUE(LEFT(E626,FIND("º",SUBSTITUTE(E626,"°","º"))-1)),""))))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42685223</v>
      </c>
      <c r="C627" s="4" t="inlineStr">
        <is>
          <t>ESTRUTURA TORRE</t>
        </is>
      </c>
      <c r="D627" s="4" t="inlineStr">
        <is>
          <t>Fechamento de pilares</t>
        </is>
      </c>
      <c r="E627" s="4" t="inlineStr">
        <is>
          <t>17º PAV. TIPO</t>
        </is>
      </c>
      <c r="F627" s="119" t="n">
        <v>46267</v>
      </c>
      <c r="G627" s="119" t="n">
        <v>46273</v>
      </c>
      <c r="H627" s="119" t="n">
        <v>46293</v>
      </c>
      <c r="I627" s="4" t="n">
        <v>0</v>
      </c>
      <c r="J627" s="4" t="n">
        <v>100</v>
      </c>
      <c r="K627" s="4" t="n">
        <v>100</v>
      </c>
      <c r="M627" s="2">
        <f>IF(C627="","",IFERROR(INDEX($S$5:$S$304,MATCH(C627,$R$5:$R$304,0))&amp;"","?"))</f>
        <v/>
      </c>
      <c r="N627" s="2">
        <f>IF(E627="","",IF(ISNUMBER(SEARCH("SUBSOLO",E627)),IFERROR(-VALUE(LEFT(E627,FIND("º",SUBSTITUTE(E627,"°","º"))-1)),-1),IF(LEFT(E627,6)="TÉRREO",0,IFERROR(VALUE(LEFT(E627,FIND("º",SUBSTITUTE(E627,"°","º"))-1)),""))))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42685224</v>
      </c>
      <c r="C628" s="4" t="inlineStr">
        <is>
          <t>ESTRUTURA TORRE</t>
        </is>
      </c>
      <c r="D628" s="4" t="inlineStr">
        <is>
          <t>Concreto P15 e P10</t>
        </is>
      </c>
      <c r="E628" s="4" t="inlineStr">
        <is>
          <t>17º PAV. TIPO</t>
        </is>
      </c>
      <c r="F628" s="119" t="n">
        <v>46269</v>
      </c>
      <c r="G628" s="119" t="n">
        <v>46269</v>
      </c>
      <c r="H628" s="119" t="n">
        <v>46293</v>
      </c>
      <c r="I628" s="4" t="n">
        <v>0</v>
      </c>
      <c r="J628" s="4" t="n">
        <v>100</v>
      </c>
      <c r="K628" s="4" t="n">
        <v>100</v>
      </c>
      <c r="M628" s="2">
        <f>IF(C628="","",IFERROR(INDEX($S$5:$S$304,MATCH(C628,$R$5:$R$304,0))&amp;"","?"))</f>
        <v/>
      </c>
      <c r="N628" s="2">
        <f>IF(E628="","",IF(ISNUMBER(SEARCH("SUBSOLO",E628)),IFERROR(-VALUE(LEFT(E628,FIND("º",SUBSTITUTE(E628,"°","º"))-1)),-1),IF(LEFT(E628,6)="TÉRREO",0,IFERROR(VALUE(LEFT(E628,FIND("º",SUBSTITUTE(E628,"°","º"))-1)),""))))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42685225</v>
      </c>
      <c r="C629" s="4" t="inlineStr">
        <is>
          <t>ESTRUTURA TORRE</t>
        </is>
      </c>
      <c r="D629" s="4" t="inlineStr">
        <is>
          <t>Montagem de escoramento e linha de vida</t>
        </is>
      </c>
      <c r="E629" s="4" t="inlineStr">
        <is>
          <t>17º PAV. TIPO</t>
        </is>
      </c>
      <c r="F629" s="119" t="n">
        <v>46269</v>
      </c>
      <c r="G629" s="119" t="n">
        <v>46274</v>
      </c>
      <c r="H629" s="119" t="n">
        <v>46293</v>
      </c>
      <c r="I629" s="4" t="n">
        <v>0</v>
      </c>
      <c r="J629" s="4" t="n">
        <v>100</v>
      </c>
      <c r="K629" s="4" t="n">
        <v>100</v>
      </c>
      <c r="M629" s="2">
        <f>IF(C629="","",IFERROR(INDEX($S$5:$S$304,MATCH(C629,$R$5:$R$304,0))&amp;"","?"))</f>
        <v/>
      </c>
      <c r="N629" s="2">
        <f>IF(E629="","",IF(ISNUMBER(SEARCH("SUBSOLO",E629)),IFERROR(-VALUE(LEFT(E629,FIND("º",SUBSTITUTE(E629,"°","º"))-1)),-1),IF(LEFT(E629,6)="TÉRREO",0,IFERROR(VALUE(LEFT(E629,FIND("º",SUBSTITUTE(E629,"°","º"))-1)),""))))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42685226</v>
      </c>
      <c r="C630" s="4" t="inlineStr">
        <is>
          <t>ESTRUTURA TORRE</t>
        </is>
      </c>
      <c r="D630" s="4" t="inlineStr">
        <is>
          <t>Forro geral</t>
        </is>
      </c>
      <c r="E630" s="4" t="inlineStr">
        <is>
          <t>17º PAV. TIPO</t>
        </is>
      </c>
      <c r="F630" s="119" t="n">
        <v>46274</v>
      </c>
      <c r="G630" s="119" t="n">
        <v>46275</v>
      </c>
      <c r="H630" s="119" t="n">
        <v>46293</v>
      </c>
      <c r="I630" s="4" t="n">
        <v>0</v>
      </c>
      <c r="J630" s="4" t="n">
        <v>100</v>
      </c>
      <c r="K630" s="4" t="n">
        <v>100</v>
      </c>
      <c r="M630" s="2">
        <f>IF(C630="","",IFERROR(INDEX($S$5:$S$304,MATCH(C630,$R$5:$R$304,0))&amp;"","?"))</f>
        <v/>
      </c>
      <c r="N630" s="2">
        <f>IF(E630="","",IF(ISNUMBER(SEARCH("SUBSOLO",E630)),IFERROR(-VALUE(LEFT(E630,FIND("º",SUBSTITUTE(E630,"°","º"))-1)),-1),IF(LEFT(E630,6)="TÉRREO",0,IFERROR(VALUE(LEFT(E630,FIND("º",SUBSTITUTE(E630,"°","º"))-1)),""))))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42685227</v>
      </c>
      <c r="C631" s="4" t="inlineStr">
        <is>
          <t>ESTRUTURA TORRE</t>
        </is>
      </c>
      <c r="D631" s="4" t="inlineStr">
        <is>
          <t>Armação de viga e beirais</t>
        </is>
      </c>
      <c r="E631" s="4" t="inlineStr">
        <is>
          <t>17º PAV. TIPO</t>
        </is>
      </c>
      <c r="F631" s="119" t="n">
        <v>46275</v>
      </c>
      <c r="G631" s="119" t="n">
        <v>46276</v>
      </c>
      <c r="H631" s="119" t="n">
        <v>46293</v>
      </c>
      <c r="I631" s="4" t="n">
        <v>0</v>
      </c>
      <c r="J631" s="4" t="n">
        <v>100</v>
      </c>
      <c r="K631" s="4" t="n">
        <v>100</v>
      </c>
      <c r="M631" s="2">
        <f>IF(C631="","",IFERROR(INDEX($S$5:$S$304,MATCH(C631,$R$5:$R$304,0))&amp;"","?"))</f>
        <v/>
      </c>
      <c r="N631" s="2">
        <f>IF(E631="","",IF(ISNUMBER(SEARCH("SUBSOLO",E631)),IFERROR(-VALUE(LEFT(E631,FIND("º",SUBSTITUTE(E631,"°","º"))-1)),-1),IF(LEFT(E631,6)="TÉRREO",0,IFERROR(VALUE(LEFT(E631,FIND("º",SUBSTITUTE(E631,"°","º"))-1)),""))))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42685228</v>
      </c>
      <c r="C632" s="4" t="inlineStr">
        <is>
          <t>ESTRUTURA TORRE</t>
        </is>
      </c>
      <c r="D632" s="4" t="inlineStr">
        <is>
          <t>Armação do positivo do trecho 1</t>
        </is>
      </c>
      <c r="E632" s="4" t="inlineStr">
        <is>
          <t>17º PAV. TIPO</t>
        </is>
      </c>
      <c r="F632" s="119" t="n">
        <v>46276</v>
      </c>
      <c r="G632" s="119" t="n">
        <v>46276</v>
      </c>
      <c r="H632" s="119" t="n">
        <v>46293</v>
      </c>
      <c r="I632" s="4" t="n">
        <v>0</v>
      </c>
      <c r="J632" s="4" t="n">
        <v>100</v>
      </c>
      <c r="K632" s="4" t="n">
        <v>100</v>
      </c>
      <c r="M632" s="2">
        <f>IF(C632="","",IFERROR(INDEX($S$5:$S$304,MATCH(C632,$R$5:$R$304,0))&amp;"","?"))</f>
        <v/>
      </c>
      <c r="N632" s="2">
        <f>IF(E632="","",IF(ISNUMBER(SEARCH("SUBSOLO",E632)),IFERROR(-VALUE(LEFT(E632,FIND("º",SUBSTITUTE(E632,"°","º"))-1)),-1),IF(LEFT(E632,6)="TÉRREO",0,IFERROR(VALUE(LEFT(E632,FIND("º",SUBSTITUTE(E632,"°","º"))-1)),""))))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42685229</v>
      </c>
      <c r="C633" s="4" t="inlineStr">
        <is>
          <t>ESTRUTURA TORRE</t>
        </is>
      </c>
      <c r="D633" s="4" t="inlineStr">
        <is>
          <t>Painel da viga invertida do trecho 1</t>
        </is>
      </c>
      <c r="E633" s="4" t="inlineStr">
        <is>
          <t>17º PAV. TIPO</t>
        </is>
      </c>
      <c r="F633" s="119" t="n">
        <v>46276</v>
      </c>
      <c r="G633" s="119" t="n">
        <v>46276</v>
      </c>
      <c r="H633" s="119" t="n">
        <v>46293</v>
      </c>
      <c r="I633" s="4" t="n">
        <v>0</v>
      </c>
      <c r="J633" s="4" t="n">
        <v>100</v>
      </c>
      <c r="K633" s="4" t="n">
        <v>100</v>
      </c>
      <c r="M633" s="2">
        <f>IF(C633="","",IFERROR(INDEX($S$5:$S$304,MATCH(C633,$R$5:$R$304,0))&amp;"","?"))</f>
        <v/>
      </c>
      <c r="N633" s="2">
        <f>IF(E633="","",IF(ISNUMBER(SEARCH("SUBSOLO",E633)),IFERROR(-VALUE(LEFT(E633,FIND("º",SUBSTITUTE(E633,"°","º"))-1)),-1),IF(LEFT(E633,6)="TÉRREO",0,IFERROR(VALUE(LEFT(E633,FIND("º",SUBSTITUTE(E633,"°","º"))-1)),""))))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42685230</v>
      </c>
      <c r="C634" s="4" t="inlineStr">
        <is>
          <t>ESTRUTURA TORRE</t>
        </is>
      </c>
      <c r="D634" s="4" t="inlineStr">
        <is>
          <t>Protensão</t>
        </is>
      </c>
      <c r="E634" s="4" t="inlineStr">
        <is>
          <t>17º PAV. TIPO</t>
        </is>
      </c>
      <c r="F634" s="119" t="n">
        <v>46276</v>
      </c>
      <c r="G634" s="119" t="n">
        <v>46279</v>
      </c>
      <c r="H634" s="119" t="n">
        <v>46293</v>
      </c>
      <c r="I634" s="4" t="n">
        <v>0</v>
      </c>
      <c r="J634" s="4" t="n">
        <v>100</v>
      </c>
      <c r="K634" s="4" t="n">
        <v>100</v>
      </c>
      <c r="M634" s="2">
        <f>IF(C634="","",IFERROR(INDEX($S$5:$S$304,MATCH(C634,$R$5:$R$304,0))&amp;"","?"))</f>
        <v/>
      </c>
      <c r="N634" s="2">
        <f>IF(E634="","",IF(ISNUMBER(SEARCH("SUBSOLO",E634)),IFERROR(-VALUE(LEFT(E634,FIND("º",SUBSTITUTE(E634,"°","º"))-1)),-1),IF(LEFT(E634,6)="TÉRREO",0,IFERROR(VALUE(LEFT(E634,FIND("º",SUBSTITUTE(E634,"°","º"))-1)),""))))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42685231</v>
      </c>
      <c r="C635" s="4" t="inlineStr">
        <is>
          <t>ESTRUTURA TORRE</t>
        </is>
      </c>
      <c r="D635" s="4" t="inlineStr">
        <is>
          <t>Armação negativa</t>
        </is>
      </c>
      <c r="E635" s="4" t="inlineStr">
        <is>
          <t>17º PAV. TIPO</t>
        </is>
      </c>
      <c r="F635" s="119" t="n">
        <v>46279</v>
      </c>
      <c r="G635" s="119" t="n">
        <v>46280</v>
      </c>
      <c r="H635" s="119" t="n">
        <v>46293</v>
      </c>
      <c r="I635" s="4" t="n">
        <v>0</v>
      </c>
      <c r="J635" s="4" t="n">
        <v>100</v>
      </c>
      <c r="K635" s="4" t="n">
        <v>100</v>
      </c>
      <c r="M635" s="2">
        <f>IF(C635="","",IFERROR(INDEX($S$5:$S$304,MATCH(C635,$R$5:$R$304,0))&amp;"","?"))</f>
        <v/>
      </c>
      <c r="N635" s="2">
        <f>IF(E635="","",IF(ISNUMBER(SEARCH("SUBSOLO",E635)),IFERROR(-VALUE(LEFT(E635,FIND("º",SUBSTITUTE(E635,"°","º"))-1)),-1),IF(LEFT(E635,6)="TÉRREO",0,IFERROR(VALUE(LEFT(E635,FIND("º",SUBSTITUTE(E635,"°","º"))-1)),""))))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42685232</v>
      </c>
      <c r="C636" s="4" t="inlineStr">
        <is>
          <t>ESTRUTURA TORRE</t>
        </is>
      </c>
      <c r="D636" s="4" t="inlineStr">
        <is>
          <t>Concreto de pilares</t>
        </is>
      </c>
      <c r="E636" s="4" t="inlineStr">
        <is>
          <t>17º PAV. TIPO</t>
        </is>
      </c>
      <c r="F636" s="119" t="n">
        <v>46279</v>
      </c>
      <c r="G636" s="119" t="n">
        <v>46279</v>
      </c>
      <c r="H636" s="119" t="n">
        <v>46293</v>
      </c>
      <c r="I636" s="4" t="n">
        <v>0</v>
      </c>
      <c r="J636" s="4" t="n">
        <v>100</v>
      </c>
      <c r="K636" s="4" t="n">
        <v>100</v>
      </c>
      <c r="M636" s="2">
        <f>IF(C636="","",IFERROR(INDEX($S$5:$S$304,MATCH(C636,$R$5:$R$304,0))&amp;"","?"))</f>
        <v/>
      </c>
      <c r="N636" s="2">
        <f>IF(E636="","",IF(ISNUMBER(SEARCH("SUBSOLO",E636)),IFERROR(-VALUE(LEFT(E636,FIND("º",SUBSTITUTE(E636,"°","º"))-1)),-1),IF(LEFT(E636,6)="TÉRREO",0,IFERROR(VALUE(LEFT(E636,FIND("º",SUBSTITUTE(E636,"°","º"))-1)),""))))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42685233</v>
      </c>
      <c r="C637" s="4" t="inlineStr">
        <is>
          <t>ESTRUTURA TORRE</t>
        </is>
      </c>
      <c r="D637" s="4" t="inlineStr">
        <is>
          <t>Concreto da 1ª etapa</t>
        </is>
      </c>
      <c r="E637" s="4" t="inlineStr">
        <is>
          <t>17º PAV. TIPO</t>
        </is>
      </c>
      <c r="F637" s="119" t="n">
        <v>46280</v>
      </c>
      <c r="G637" s="119" t="n">
        <v>46280</v>
      </c>
      <c r="H637" s="119" t="n">
        <v>46293</v>
      </c>
      <c r="I637" s="4" t="n">
        <v>0</v>
      </c>
      <c r="J637" s="4" t="n">
        <v>100</v>
      </c>
      <c r="K637" s="4" t="n">
        <v>100</v>
      </c>
      <c r="M637" s="2">
        <f>IF(C637="","",IFERROR(INDEX($S$5:$S$304,MATCH(C637,$R$5:$R$304,0))&amp;"","?"))</f>
        <v/>
      </c>
      <c r="N637" s="2">
        <f>IF(E637="","",IF(ISNUMBER(SEARCH("SUBSOLO",E637)),IFERROR(-VALUE(LEFT(E637,FIND("º",SUBSTITUTE(E637,"°","º"))-1)),-1),IF(LEFT(E637,6)="TÉRREO",0,IFERROR(VALUE(LEFT(E637,FIND("º",SUBSTITUTE(E637,"°","º"))-1)),""))))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42685234</v>
      </c>
      <c r="C638" s="4" t="inlineStr">
        <is>
          <t>ESTRUTURA TORRE</t>
        </is>
      </c>
      <c r="D638" s="4" t="inlineStr">
        <is>
          <t>Concreto da 2ª etapa</t>
        </is>
      </c>
      <c r="E638" s="4" t="inlineStr">
        <is>
          <t>17º PAV. TIPO</t>
        </is>
      </c>
      <c r="F638" s="119" t="n">
        <v>46281</v>
      </c>
      <c r="G638" s="119" t="n">
        <v>46281</v>
      </c>
      <c r="H638" s="119" t="n">
        <v>46293</v>
      </c>
      <c r="I638" s="4" t="n">
        <v>0</v>
      </c>
      <c r="J638" s="4" t="n">
        <v>100</v>
      </c>
      <c r="K638" s="4" t="n">
        <v>100</v>
      </c>
      <c r="M638" s="2">
        <f>IF(C638="","",IFERROR(INDEX($S$5:$S$304,MATCH(C638,$R$5:$R$304,0))&amp;"","?"))</f>
        <v/>
      </c>
      <c r="N638" s="2">
        <f>IF(E638="","",IF(ISNUMBER(SEARCH("SUBSOLO",E638)),IFERROR(-VALUE(LEFT(E638,FIND("º",SUBSTITUTE(E638,"°","º"))-1)),-1),IF(LEFT(E638,6)="TÉRREO",0,IFERROR(VALUE(LEFT(E638,FIND("º",SUBSTITUTE(E638,"°","º"))-1)),""))))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53378389</v>
      </c>
      <c r="C639" s="4" t="inlineStr">
        <is>
          <t>PRUMADA HIDROSSANITÁRIA</t>
        </is>
      </c>
      <c r="D639" s="4" t="inlineStr">
        <is>
          <t>-</t>
        </is>
      </c>
      <c r="E639" s="4" t="inlineStr">
        <is>
          <t>TÉRREO - GARAGENS</t>
        </is>
      </c>
      <c r="F639" s="119" t="n">
        <v>46266</v>
      </c>
      <c r="G639" s="119" t="n">
        <v>46269</v>
      </c>
      <c r="H639" s="119" t="n">
        <v>46293</v>
      </c>
      <c r="I639" s="4" t="n">
        <v>0</v>
      </c>
      <c r="J639" s="4" t="n">
        <v>100</v>
      </c>
      <c r="K639" s="4" t="n">
        <v>100</v>
      </c>
      <c r="M639" s="2">
        <f>IF(C639="","",IFERROR(INDEX($S$5:$S$304,MATCH(C639,$R$5:$R$304,0))&amp;"","?"))</f>
        <v/>
      </c>
      <c r="N639" s="2">
        <f>IF(E639="","",IF(ISNUMBER(SEARCH("SUBSOLO",E639)),IFERROR(-VALUE(LEFT(E639,FIND("º",SUBSTITUTE(E639,"°","º"))-1)),-1),IF(LEFT(E639,6)="TÉRREO",0,IFERROR(VALUE(LEFT(E639,FIND("º",SUBSTITUTE(E639,"°","º"))-1)),""))))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25807540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3º PAV. ESPAÇO THERMAS, PISCINA COBERTA, SAUNAS E VESTIÁRIOS</t>
        </is>
      </c>
      <c r="F640" s="119" t="n">
        <v>46266</v>
      </c>
      <c r="G640" s="119" t="n">
        <v>46280</v>
      </c>
      <c r="H640" s="119" t="n">
        <v>46293</v>
      </c>
      <c r="I640" s="4" t="n">
        <v>100</v>
      </c>
      <c r="J640" s="4" t="n">
        <v>100</v>
      </c>
      <c r="K640" s="4" t="n">
        <v>0</v>
      </c>
      <c r="M640" s="2">
        <f>IF(C640="","",IFERROR(INDEX($S$5:$S$304,MATCH(C640,$R$5:$R$304,0))&amp;"","?"))</f>
        <v/>
      </c>
      <c r="N640" s="2">
        <f>IF(E640="","",IF(ISNUMBER(SEARCH("SUBSOLO",E640)),IFERROR(-VALUE(LEFT(E640,FIND("º",SUBSTITUTE(E640,"°","º"))-1)),-1),IF(LEFT(E640,6)="TÉRREO",0,IFERROR(VALUE(LEFT(E640,FIND("º",SUBSTITUTE(E640,"°","º"))-1)),""))))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25807539</v>
      </c>
      <c r="C641" s="4" t="inlineStr">
        <is>
          <t>GÁS</t>
        </is>
      </c>
      <c r="D641" s="4" t="inlineStr">
        <is>
          <t>-</t>
        </is>
      </c>
      <c r="E641" s="4" t="inlineStr">
        <is>
          <t>3º PAV. ESPAÇO THERMAS, PISCINA COBERTA, SAUNAS E VESTIÁRIOS</t>
        </is>
      </c>
      <c r="F641" s="119" t="n">
        <v>46266</v>
      </c>
      <c r="G641" s="119" t="n">
        <v>46280</v>
      </c>
      <c r="H641" s="119" t="n">
        <v>46293</v>
      </c>
      <c r="I641" s="4" t="n">
        <v>100</v>
      </c>
      <c r="J641" s="4" t="n">
        <v>100</v>
      </c>
      <c r="K641" s="4" t="n">
        <v>0</v>
      </c>
      <c r="M641" s="2">
        <f>IF(C641="","",IFERROR(INDEX($S$5:$S$304,MATCH(C641,$R$5:$R$304,0))&amp;"","?"))</f>
        <v/>
      </c>
      <c r="N641" s="2">
        <f>IF(E641="","",IF(ISNUMBER(SEARCH("SUBSOLO",E641)),IFERROR(-VALUE(LEFT(E641,FIND("º",SUBSTITUTE(E641,"°","º"))-1)),-1),IF(LEFT(E641,6)="TÉRREO",0,IFERROR(VALUE(LEFT(E641,FIND("º",SUBSTITUTE(E641,"°","º"))-1)),""))))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25807542</v>
      </c>
      <c r="C642" s="4" t="inlineStr">
        <is>
          <t>DISTRIBUIÇÃO ELÉTRICA / QUADRO - SETOR B</t>
        </is>
      </c>
      <c r="D642" s="4" t="inlineStr">
        <is>
          <t>-</t>
        </is>
      </c>
      <c r="E642" s="4" t="inlineStr">
        <is>
          <t>3º PAV. ESPAÇO THERMAS, PISCINA COBERTA, SAUNAS E VESTIÁRIOS</t>
        </is>
      </c>
      <c r="F642" s="119" t="n">
        <v>46266</v>
      </c>
      <c r="G642" s="119" t="n">
        <v>46275</v>
      </c>
      <c r="H642" s="119" t="n">
        <v>46293</v>
      </c>
      <c r="I642" s="4" t="n">
        <v>100</v>
      </c>
      <c r="J642" s="4" t="n">
        <v>100</v>
      </c>
      <c r="K642" s="4" t="n">
        <v>100</v>
      </c>
      <c r="M642" s="2">
        <f>IF(C642="","",IFERROR(INDEX($S$5:$S$304,MATCH(C642,$R$5:$R$304,0))&amp;"","?"))</f>
        <v/>
      </c>
      <c r="N642" s="2">
        <f>IF(E642="","",IF(ISNUMBER(SEARCH("SUBSOLO",E642)),IFERROR(-VALUE(LEFT(E642,FIND("º",SUBSTITUTE(E642,"°","º"))-1)),-1),IF(LEFT(E642,6)="TÉRREO",0,IFERROR(VALUE(LEFT(E642,FIND("º",SUBSTITUTE(E642,"°","º"))-1)),""))))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25753030</v>
      </c>
      <c r="C643" s="4" t="inlineStr">
        <is>
          <t>DISTRIBUIÇÃO ELÉTRICA / QUADRO - SETOR B</t>
        </is>
      </c>
      <c r="D643" s="4" t="inlineStr">
        <is>
          <t>-</t>
        </is>
      </c>
      <c r="E643" s="4" t="inlineStr">
        <is>
          <t>TÉRREO - GARAGENS</t>
        </is>
      </c>
      <c r="F643" s="119" t="n">
        <v>46273</v>
      </c>
      <c r="G643" s="119" t="n">
        <v>46302</v>
      </c>
      <c r="H643" s="119" t="n">
        <v>46293</v>
      </c>
      <c r="I643" s="4" t="n">
        <v>86.364</v>
      </c>
      <c r="J643" s="4" t="n">
        <v>68.182</v>
      </c>
      <c r="K643" s="4" t="n">
        <v>40.909</v>
      </c>
      <c r="M643" s="2">
        <f>IF(C643="","",IFERROR(INDEX($S$5:$S$304,MATCH(C643,$R$5:$R$304,0))&amp;"","?"))</f>
        <v/>
      </c>
      <c r="N643" s="2">
        <f>IF(E643="","",IF(ISNUMBER(SEARCH("SUBSOLO",E643)),IFERROR(-VALUE(LEFT(E643,FIND("º",SUBSTITUTE(E643,"°","º"))-1)),-1),IF(LEFT(E643,6)="TÉRREO",0,IFERROR(VALUE(LEFT(E643,FIND("º",SUBSTITUTE(E643,"°","º"))-1)),""))))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33366511</v>
      </c>
      <c r="C644" s="4" t="inlineStr">
        <is>
          <t>ALVENARIA - SETOR C</t>
        </is>
      </c>
      <c r="D644" s="4" t="inlineStr">
        <is>
          <t>-</t>
        </is>
      </c>
      <c r="E644" s="4" t="inlineStr">
        <is>
          <t>TÉRREO - GARAGENS</t>
        </is>
      </c>
      <c r="F644" s="119" t="n">
        <v>46273</v>
      </c>
      <c r="G644" s="119" t="n">
        <v>46302</v>
      </c>
      <c r="H644" s="119" t="n">
        <v>46293</v>
      </c>
      <c r="I644" s="4" t="n">
        <v>86.364</v>
      </c>
      <c r="J644" s="4" t="n">
        <v>68.182</v>
      </c>
      <c r="K644" s="4" t="n">
        <v>60</v>
      </c>
      <c r="M644" s="2">
        <f>IF(C644="","",IFERROR(INDEX($S$5:$S$304,MATCH(C644,$R$5:$R$304,0))&amp;"","?"))</f>
        <v/>
      </c>
      <c r="N644" s="2">
        <f>IF(E644="","",IF(ISNUMBER(SEARCH("SUBSOLO",E644)),IFERROR(-VALUE(LEFT(E644,FIND("º",SUBSTITUTE(E644,"°","º"))-1)),-1),IF(LEFT(E644,6)="TÉRREO",0,IFERROR(VALUE(LEFT(E644,FIND("º",SUBSTITUTE(E644,"°","º"))-1)),""))))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33369052</v>
      </c>
      <c r="C645" s="4" t="inlineStr">
        <is>
          <t>DISTRIBUIÇÃO HIDRÁULICA - SETOR B</t>
        </is>
      </c>
      <c r="D645" s="4" t="inlineStr">
        <is>
          <t>-</t>
        </is>
      </c>
      <c r="E645" s="4" t="inlineStr">
        <is>
          <t>TÉRREO - GARAGENS</t>
        </is>
      </c>
      <c r="F645" s="119" t="n">
        <v>46273</v>
      </c>
      <c r="G645" s="119" t="n">
        <v>46302</v>
      </c>
      <c r="H645" s="119" t="n">
        <v>46293</v>
      </c>
      <c r="I645" s="4" t="n">
        <v>86.364</v>
      </c>
      <c r="J645" s="4" t="n">
        <v>68.182</v>
      </c>
      <c r="K645" s="4" t="n">
        <v>0</v>
      </c>
      <c r="M645" s="2">
        <f>IF(C645="","",IFERROR(INDEX($S$5:$S$304,MATCH(C645,$R$5:$R$304,0))&amp;"","?"))</f>
        <v/>
      </c>
      <c r="N645" s="2">
        <f>IF(E645="","",IF(ISNUMBER(SEARCH("SUBSOLO",E645)),IFERROR(-VALUE(LEFT(E645,FIND("º",SUBSTITUTE(E645,"°","º"))-1)),-1),IF(LEFT(E645,6)="TÉRREO",0,IFERROR(VALUE(LEFT(E645,FIND("º",SUBSTITUTE(E645,"°","º"))-1)),""))))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53378390</v>
      </c>
      <c r="C646" s="4" t="inlineStr">
        <is>
          <t>PRUMADA HIDROSSANITÁRIA</t>
        </is>
      </c>
      <c r="D646" s="4" t="inlineStr">
        <is>
          <t>-</t>
        </is>
      </c>
      <c r="E646" s="4" t="inlineStr">
        <is>
          <t>2º PAV. GARAGEM.</t>
        </is>
      </c>
      <c r="F646" s="119" t="n">
        <v>46273</v>
      </c>
      <c r="G646" s="119" t="n">
        <v>46279</v>
      </c>
      <c r="H646" s="119" t="n">
        <v>46293</v>
      </c>
      <c r="I646" s="4" t="n">
        <v>0</v>
      </c>
      <c r="J646" s="4" t="n">
        <v>100</v>
      </c>
      <c r="K646" s="4" t="n">
        <v>100</v>
      </c>
      <c r="M646" s="2">
        <f>IF(C646="","",IFERROR(INDEX($S$5:$S$304,MATCH(C646,$R$5:$R$304,0))&amp;"","?"))</f>
        <v/>
      </c>
      <c r="N646" s="2">
        <f>IF(E646="","",IF(ISNUMBER(SEARCH("SUBSOLO",E646)),IFERROR(-VALUE(LEFT(E646,FIND("º",SUBSTITUTE(E646,"°","º"))-1)),-1),IF(LEFT(E646,6)="TÉRREO",0,IFERROR(VALUE(LEFT(E646,FIND("º",SUBSTITUTE(E646,"°","º"))-1)),""))))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25210568</v>
      </c>
      <c r="C647" s="4" t="inlineStr">
        <is>
          <t>ALVENARIA</t>
        </is>
      </c>
      <c r="D647" s="4" t="inlineStr">
        <is>
          <t>-</t>
        </is>
      </c>
      <c r="E647" s="4" t="inlineStr">
        <is>
          <t>11º PAV. TIPO</t>
        </is>
      </c>
      <c r="F647" s="119" t="n">
        <v>46273</v>
      </c>
      <c r="G647" s="119" t="n">
        <v>46286</v>
      </c>
      <c r="H647" s="119" t="n">
        <v>46293</v>
      </c>
      <c r="I647" s="4" t="n">
        <v>100</v>
      </c>
      <c r="J647" s="4" t="n">
        <v>100</v>
      </c>
      <c r="K647" s="4" t="n">
        <v>100</v>
      </c>
      <c r="M647" s="2">
        <f>IF(C647="","",IFERROR(INDEX($S$5:$S$304,MATCH(C647,$R$5:$R$304,0))&amp;"","?"))</f>
        <v/>
      </c>
      <c r="N647" s="2">
        <f>IF(E647="","",IF(ISNUMBER(SEARCH("SUBSOLO",E647)),IFERROR(-VALUE(LEFT(E647,FIND("º",SUBSTITUTE(E647,"°","º"))-1)),-1),IF(LEFT(E647,6)="TÉRREO",0,IFERROR(VALUE(LEFT(E647,FIND("º",SUBSTITUTE(E647,"°","º"))-1)),""))))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25799853</v>
      </c>
      <c r="C648" s="4" t="inlineStr">
        <is>
          <t>DISTRIBUIÇÃO ELÉTRICA / QUADRO - SETOR B</t>
        </is>
      </c>
      <c r="D648" s="4" t="inlineStr">
        <is>
          <t>-</t>
        </is>
      </c>
      <c r="E648" s="4" t="inlineStr">
        <is>
          <t>3º PAV. PISCINA DESCOBERTA E E ÁREA DESCOBERTA PISCINA</t>
        </is>
      </c>
      <c r="F648" s="119" t="n">
        <v>46276</v>
      </c>
      <c r="G648" s="119" t="n">
        <v>46286</v>
      </c>
      <c r="H648" s="119" t="n">
        <v>46293</v>
      </c>
      <c r="I648" s="4" t="n">
        <v>100</v>
      </c>
      <c r="J648" s="4" t="n">
        <v>100</v>
      </c>
      <c r="K648" s="4" t="n">
        <v>85.714</v>
      </c>
      <c r="M648" s="2">
        <f>IF(C648="","",IFERROR(INDEX($S$5:$S$304,MATCH(C648,$R$5:$R$304,0))&amp;"","?"))</f>
        <v/>
      </c>
      <c r="N648" s="2">
        <f>IF(E648="","",IF(ISNUMBER(SEARCH("SUBSOLO",E648)),IFERROR(-VALUE(LEFT(E648,FIND("º",SUBSTITUTE(E648,"°","º"))-1)),-1),IF(LEFT(E648,6)="TÉRREO",0,IFERROR(VALUE(LEFT(E648,FIND("º",SUBSTITUTE(E648,"°","º"))-1)),""))))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25799858</v>
      </c>
      <c r="C649" s="4" t="inlineStr">
        <is>
          <t>IMPERMEABILIZAÇÃO</t>
        </is>
      </c>
      <c r="D649" s="4" t="inlineStr">
        <is>
          <t>-</t>
        </is>
      </c>
      <c r="E649" s="4" t="inlineStr">
        <is>
          <t>3º PAV. PISCINA DESCOBERTA E E ÁREA DESCOBERTA PISCINA</t>
        </is>
      </c>
      <c r="F649" s="119" t="n">
        <v>46279</v>
      </c>
      <c r="G649" s="119" t="n">
        <v>46322</v>
      </c>
      <c r="H649" s="119" t="n">
        <v>46293</v>
      </c>
      <c r="I649" s="4" t="n">
        <v>15.909</v>
      </c>
      <c r="J649" s="4" t="n">
        <v>29.72972973</v>
      </c>
      <c r="K649" s="4" t="n">
        <v>13.514</v>
      </c>
      <c r="M649" s="2">
        <f>IF(C649="","",IFERROR(INDEX($S$5:$S$304,MATCH(C649,$R$5:$R$304,0))&amp;"","?"))</f>
        <v/>
      </c>
      <c r="N649" s="2">
        <f>IF(E649="","",IF(ISNUMBER(SEARCH("SUBSOLO",E649)),IFERROR(-VALUE(LEFT(E649,FIND("º",SUBSTITUTE(E649,"°","º"))-1)),-1),IF(LEFT(E649,6)="TÉRREO",0,IFERROR(VALUE(LEFT(E649,FIND("º",SUBSTITUTE(E649,"°","º"))-1)),""))))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42645682</v>
      </c>
      <c r="C650" s="4" t="inlineStr">
        <is>
          <t>IMPERMEABILIZAÇÃO</t>
        </is>
      </c>
      <c r="D650" s="4" t="inlineStr">
        <is>
          <t>Imprimação</t>
        </is>
      </c>
      <c r="E650" s="4" t="inlineStr">
        <is>
          <t>3º PAV. PISCINA DESCOBERTA E E ÁREA DESCOBERTA PISCINA</t>
        </is>
      </c>
      <c r="F650" s="119" t="n">
        <v>46279</v>
      </c>
      <c r="G650" s="119" t="n">
        <v>46287</v>
      </c>
      <c r="H650" s="119" t="n">
        <v>46293</v>
      </c>
      <c r="I650" s="4" t="n">
        <v>0</v>
      </c>
      <c r="J650" s="4" t="n">
        <v>100</v>
      </c>
      <c r="K650" s="4" t="n">
        <v>71.429</v>
      </c>
      <c r="M650" s="2">
        <f>IF(C650="","",IFERROR(INDEX($S$5:$S$304,MATCH(C650,$R$5:$R$304,0))&amp;"","?"))</f>
        <v/>
      </c>
      <c r="N650" s="2">
        <f>IF(E650="","",IF(ISNUMBER(SEARCH("SUBSOLO",E650)),IFERROR(-VALUE(LEFT(E650,FIND("º",SUBSTITUTE(E650,"°","º"))-1)),-1),IF(LEFT(E650,6)="TÉRREO",0,IFERROR(VALUE(LEFT(E650,FIND("º",SUBSTITUTE(E650,"°","º"))-1)),""))))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42645683</v>
      </c>
      <c r="C651" s="4" t="inlineStr">
        <is>
          <t>IMPERMEABILIZAÇÃO</t>
        </is>
      </c>
      <c r="D651" s="4" t="inlineStr">
        <is>
          <t>Manta - Primeira Camada</t>
        </is>
      </c>
      <c r="E651" s="4" t="inlineStr">
        <is>
          <t>3º PAV. PISCINA DESCOBERTA E E ÁREA DESCOBERTA PISCINA</t>
        </is>
      </c>
      <c r="F651" s="119" t="n">
        <v>46288</v>
      </c>
      <c r="G651" s="119" t="n">
        <v>46301</v>
      </c>
      <c r="H651" s="119" t="n">
        <v>46293</v>
      </c>
      <c r="I651" s="4" t="n">
        <v>0</v>
      </c>
      <c r="J651" s="4" t="n">
        <v>40</v>
      </c>
      <c r="K651" s="4" t="n">
        <v>0</v>
      </c>
      <c r="M651" s="2">
        <f>IF(C651="","",IFERROR(INDEX($S$5:$S$304,MATCH(C651,$R$5:$R$304,0))&amp;"","?"))</f>
        <v/>
      </c>
      <c r="N651" s="2">
        <f>IF(E651="","",IF(ISNUMBER(SEARCH("SUBSOLO",E651)),IFERROR(-VALUE(LEFT(E651,FIND("º",SUBSTITUTE(E651,"°","º"))-1)),-1),IF(LEFT(E651,6)="TÉRREO",0,IFERROR(VALUE(LEFT(E651,FIND("º",SUBSTITUTE(E651,"°","º"))-1)),""))))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42645684</v>
      </c>
      <c r="C652" s="4" t="inlineStr">
        <is>
          <t>IMPERMEABILIZAÇÃO</t>
        </is>
      </c>
      <c r="D652" s="4" t="inlineStr">
        <is>
          <t>Manta - Segunda Camada</t>
        </is>
      </c>
      <c r="E652" s="4" t="inlineStr">
        <is>
          <t>3º PAV. PISCINA DESCOBERTA E E ÁREA DESCOBERTA PISCINA</t>
        </is>
      </c>
      <c r="F652" s="119" t="n">
        <v>46294</v>
      </c>
      <c r="G652" s="119" t="n">
        <v>46308</v>
      </c>
      <c r="H652" s="119" t="n">
        <v>46293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IF(E652="","",IF(ISNUMBER(SEARCH("SUBSOLO",E652)),IFERROR(-VALUE(LEFT(E652,FIND("º",SUBSTITUTE(E652,"°","º"))-1)),-1),IF(LEFT(E652,6)="TÉRREO",0,IFERROR(VALUE(LEFT(E652,FIND("º",SUBSTITUTE(E652,"°","º"))-1)),""))))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42645685</v>
      </c>
      <c r="C653" s="4" t="inlineStr">
        <is>
          <t>IMPERMEABILIZAÇÃO</t>
        </is>
      </c>
      <c r="D653" s="4" t="inlineStr">
        <is>
          <t>Teste Manta - Fase 1</t>
        </is>
      </c>
      <c r="E653" s="4" t="inlineStr">
        <is>
          <t>3º PAV. PISCINA DESCOBERTA E E ÁREA DESCOBERTA PISCINA</t>
        </is>
      </c>
      <c r="F653" s="119" t="n">
        <v>46309</v>
      </c>
      <c r="G653" s="119" t="n">
        <v>46315</v>
      </c>
      <c r="H653" s="119" t="n">
        <v>46293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IF(E653="","",IF(ISNUMBER(SEARCH("SUBSOLO",E653)),IFERROR(-VALUE(LEFT(E653,FIND("º",SUBSTITUTE(E653,"°","º"))-1)),-1),IF(LEFT(E653,6)="TÉRREO",0,IFERROR(VALUE(LEFT(E653,FIND("º",SUBSTITUTE(E653,"°","º"))-1)),""))))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42645686</v>
      </c>
      <c r="C654" s="4" t="inlineStr">
        <is>
          <t>IMPERMEABILIZAÇÃO</t>
        </is>
      </c>
      <c r="D654" s="4" t="inlineStr">
        <is>
          <t>Teste Manta - Fase 2</t>
        </is>
      </c>
      <c r="E654" s="4" t="inlineStr">
        <is>
          <t>3º PAV. PISCINA DESCOBERTA E E ÁREA DESCOBERTA PISCINA</t>
        </is>
      </c>
      <c r="F654" s="119" t="n">
        <v>46316</v>
      </c>
      <c r="G654" s="119" t="n">
        <v>46322</v>
      </c>
      <c r="H654" s="119" t="n">
        <v>46293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IF(E654="","",IF(ISNUMBER(SEARCH("SUBSOLO",E654)),IFERROR(-VALUE(LEFT(E654,FIND("º",SUBSTITUTE(E654,"°","º"))-1)),-1),IF(LEFT(E654,6)="TÉRREO",0,IFERROR(VALUE(LEFT(E654,FIND("º",SUBSTITUTE(E654,"°","º"))-1)),""))))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25799826</v>
      </c>
      <c r="C655" s="4" t="inlineStr">
        <is>
          <t>IMPERMEABILIZAÇÃO</t>
        </is>
      </c>
      <c r="D655" s="4" t="inlineStr">
        <is>
          <t>-</t>
        </is>
      </c>
      <c r="E655" s="4" t="inlineStr">
        <is>
          <t>3º PAV. - BAR PISCINA, VESTIÁRIOS, DEPOSITOS E LOUNGE QUADRAS</t>
        </is>
      </c>
      <c r="F655" s="119" t="n">
        <v>46279</v>
      </c>
      <c r="G655" s="119" t="n">
        <v>46322</v>
      </c>
      <c r="H655" s="119" t="n">
        <v>46293</v>
      </c>
      <c r="I655" s="4" t="n">
        <v>0</v>
      </c>
      <c r="J655" s="4" t="n">
        <v>29.72972973</v>
      </c>
      <c r="K655" s="4" t="n">
        <v>45.946</v>
      </c>
      <c r="M655" s="2">
        <f>IF(C655="","",IFERROR(INDEX($S$5:$S$304,MATCH(C655,$R$5:$R$304,0))&amp;"","?"))</f>
        <v/>
      </c>
      <c r="N655" s="2">
        <f>IF(E655="","",IF(ISNUMBER(SEARCH("SUBSOLO",E655)),IFERROR(-VALUE(LEFT(E655,FIND("º",SUBSTITUTE(E655,"°","º"))-1)),-1),IF(LEFT(E655,6)="TÉRREO",0,IFERROR(VALUE(LEFT(E655,FIND("º",SUBSTITUTE(E655,"°","º"))-1)),""))))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42645677</v>
      </c>
      <c r="C656" s="4" t="inlineStr">
        <is>
          <t>IMPERMEABILIZAÇÃO</t>
        </is>
      </c>
      <c r="D656" s="4" t="inlineStr">
        <is>
          <t>Imprimação</t>
        </is>
      </c>
      <c r="E656" s="4" t="inlineStr">
        <is>
          <t>3º PAV. - BAR PISCINA, VESTIÁRIOS, DEPOSITOS E LOUNGE QUADRAS</t>
        </is>
      </c>
      <c r="F656" s="119" t="n">
        <v>46279</v>
      </c>
      <c r="G656" s="119" t="n">
        <v>46287</v>
      </c>
      <c r="H656" s="119" t="n">
        <v>46293</v>
      </c>
      <c r="I656" s="4" t="n">
        <v>0</v>
      </c>
      <c r="J656" s="4" t="n">
        <v>100</v>
      </c>
      <c r="K656" s="4" t="n">
        <v>100</v>
      </c>
      <c r="M656" s="2">
        <f>IF(C656="","",IFERROR(INDEX($S$5:$S$304,MATCH(C656,$R$5:$R$304,0))&amp;"","?"))</f>
        <v/>
      </c>
      <c r="N656" s="2">
        <f>IF(E656="","",IF(ISNUMBER(SEARCH("SUBSOLO",E656)),IFERROR(-VALUE(LEFT(E656,FIND("º",SUBSTITUTE(E656,"°","º"))-1)),-1),IF(LEFT(E656,6)="TÉRREO",0,IFERROR(VALUE(LEFT(E656,FIND("º",SUBSTITUTE(E656,"°","º"))-1)),""))))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42645678</v>
      </c>
      <c r="C657" s="4" t="inlineStr">
        <is>
          <t>IMPERMEABILIZAÇÃO</t>
        </is>
      </c>
      <c r="D657" s="4" t="inlineStr">
        <is>
          <t>Manta - Primeira Camada</t>
        </is>
      </c>
      <c r="E657" s="4" t="inlineStr">
        <is>
          <t>3º PAV. - BAR PISCINA, VESTIÁRIOS, DEPOSITOS E LOUNGE QUADRAS</t>
        </is>
      </c>
      <c r="F657" s="119" t="n">
        <v>46288</v>
      </c>
      <c r="G657" s="119" t="n">
        <v>46301</v>
      </c>
      <c r="H657" s="119" t="n">
        <v>46293</v>
      </c>
      <c r="I657" s="4" t="n">
        <v>0</v>
      </c>
      <c r="J657" s="4" t="n">
        <v>40</v>
      </c>
      <c r="K657" s="4" t="n">
        <v>100</v>
      </c>
      <c r="M657" s="2">
        <f>IF(C657="","",IFERROR(INDEX($S$5:$S$304,MATCH(C657,$R$5:$R$304,0))&amp;"","?"))</f>
        <v/>
      </c>
      <c r="N657" s="2">
        <f>IF(E657="","",IF(ISNUMBER(SEARCH("SUBSOLO",E657)),IFERROR(-VALUE(LEFT(E657,FIND("º",SUBSTITUTE(E657,"°","º"))-1)),-1),IF(LEFT(E657,6)="TÉRREO",0,IFERROR(VALUE(LEFT(E657,FIND("º",SUBSTITUTE(E657,"°","º"))-1)),""))))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42645679</v>
      </c>
      <c r="C658" s="4" t="inlineStr">
        <is>
          <t>IMPERMEABILIZAÇÃO</t>
        </is>
      </c>
      <c r="D658" s="4" t="inlineStr">
        <is>
          <t>Manta - Segunda Camada</t>
        </is>
      </c>
      <c r="E658" s="4" t="inlineStr">
        <is>
          <t>3º PAV. - BAR PISCINA, VESTIÁRIOS, DEPOSITOS E LOUNGE QUADRAS</t>
        </is>
      </c>
      <c r="F658" s="119" t="n">
        <v>46294</v>
      </c>
      <c r="G658" s="119" t="n">
        <v>46308</v>
      </c>
      <c r="H658" s="119" t="n">
        <v>46293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IF(E658="","",IF(ISNUMBER(SEARCH("SUBSOLO",E658)),IFERROR(-VALUE(LEFT(E658,FIND("º",SUBSTITUTE(E658,"°","º"))-1)),-1),IF(LEFT(E658,6)="TÉRREO",0,IFERROR(VALUE(LEFT(E658,FIND("º",SUBSTITUTE(E658,"°","º"))-1)),""))))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42645680</v>
      </c>
      <c r="C659" s="4" t="inlineStr">
        <is>
          <t>IMPERMEABILIZAÇÃO</t>
        </is>
      </c>
      <c r="D659" s="4" t="inlineStr">
        <is>
          <t>Teste Manta - Fase 1</t>
        </is>
      </c>
      <c r="E659" s="4" t="inlineStr">
        <is>
          <t>3º PAV. - BAR PISCINA, VESTIÁRIOS, DEPOSITOS E LOUNGE QUADRAS</t>
        </is>
      </c>
      <c r="F659" s="119" t="n">
        <v>46309</v>
      </c>
      <c r="G659" s="119" t="n">
        <v>46315</v>
      </c>
      <c r="H659" s="119" t="n">
        <v>46293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IF(E659="","",IF(ISNUMBER(SEARCH("SUBSOLO",E659)),IFERROR(-VALUE(LEFT(E659,FIND("º",SUBSTITUTE(E659,"°","º"))-1)),-1),IF(LEFT(E659,6)="TÉRREO",0,IFERROR(VALUE(LEFT(E659,FIND("º",SUBSTITUTE(E659,"°","º"))-1)),""))))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42645681</v>
      </c>
      <c r="C660" s="4" t="inlineStr">
        <is>
          <t>IMPERMEABILIZAÇÃO</t>
        </is>
      </c>
      <c r="D660" s="4" t="inlineStr">
        <is>
          <t>Teste Manta - Fase 2</t>
        </is>
      </c>
      <c r="E660" s="4" t="inlineStr">
        <is>
          <t>3º PAV. - BAR PISCINA, VESTIÁRIOS, DEPOSITOS E LOUNGE QUADRAS</t>
        </is>
      </c>
      <c r="F660" s="119" t="n">
        <v>46316</v>
      </c>
      <c r="G660" s="119" t="n">
        <v>46322</v>
      </c>
      <c r="H660" s="119" t="n">
        <v>46293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IF(E660="","",IF(ISNUMBER(SEARCH("SUBSOLO",E660)),IFERROR(-VALUE(LEFT(E660,FIND("º",SUBSTITUTE(E660,"°","º"))-1)),-1),IF(LEFT(E660,6)="TÉRREO",0,IFERROR(VALUE(LEFT(E660,FIND("º",SUBSTITUTE(E660,"°","º"))-1)),""))))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33276732</v>
      </c>
      <c r="C661" s="4" t="inlineStr">
        <is>
          <t>INFRAESTRUTURA ELÉTRICA - TETO</t>
        </is>
      </c>
      <c r="D661" s="4" t="inlineStr">
        <is>
          <t>-</t>
        </is>
      </c>
      <c r="E661" s="4" t="inlineStr">
        <is>
          <t>6º PAV. TIPO</t>
        </is>
      </c>
      <c r="F661" s="119" t="n">
        <v>46279</v>
      </c>
      <c r="G661" s="119" t="n">
        <v>46289</v>
      </c>
      <c r="H661" s="119" t="n">
        <v>46293</v>
      </c>
      <c r="I661" s="4" t="n">
        <v>55.556</v>
      </c>
      <c r="J661" s="4" t="n">
        <v>100</v>
      </c>
      <c r="K661" s="4" t="n">
        <v>66.667</v>
      </c>
      <c r="M661" s="2">
        <f>IF(C661="","",IFERROR(INDEX($S$5:$S$304,MATCH(C661,$R$5:$R$304,0))&amp;"","?"))</f>
        <v/>
      </c>
      <c r="N661" s="2">
        <f>IF(E661="","",IF(ISNUMBER(SEARCH("SUBSOLO",E661)),IFERROR(-VALUE(LEFT(E661,FIND("º",SUBSTITUTE(E661,"°","º"))-1)),-1),IF(LEFT(E661,6)="TÉRREO",0,IFERROR(VALUE(LEFT(E661,FIND("º",SUBSTITUTE(E661,"°","º"))-1)),""))))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43846649</v>
      </c>
      <c r="C662" s="4" t="inlineStr">
        <is>
          <t>ALVENARIA EXTERNA</t>
        </is>
      </c>
      <c r="D662" s="4" t="inlineStr">
        <is>
          <t>-</t>
        </is>
      </c>
      <c r="E662" s="4" t="inlineStr">
        <is>
          <t>13º PAV. TIPO</t>
        </is>
      </c>
      <c r="F662" s="119" t="n">
        <v>46279</v>
      </c>
      <c r="G662" s="119" t="n">
        <v>46290</v>
      </c>
      <c r="H662" s="119" t="n">
        <v>46293</v>
      </c>
      <c r="I662" s="4" t="n">
        <v>100</v>
      </c>
      <c r="J662" s="4" t="n">
        <v>100</v>
      </c>
      <c r="K662" s="4" t="n">
        <v>2</v>
      </c>
      <c r="M662" s="2">
        <f>IF(C662="","",IFERROR(INDEX($S$5:$S$304,MATCH(C662,$R$5:$R$304,0))&amp;"","?"))</f>
        <v/>
      </c>
      <c r="N662" s="2">
        <f>IF(E662="","",IF(ISNUMBER(SEARCH("SUBSOLO",E662)),IFERROR(-VALUE(LEFT(E662,FIND("º",SUBSTITUTE(E662,"°","º"))-1)),-1),IF(LEFT(E662,6)="TÉRREO",0,IFERROR(VALUE(LEFT(E662,FIND("º",SUBSTITUTE(E662,"°","º"))-1)),""))))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25799819</v>
      </c>
      <c r="C663" s="4" t="inlineStr">
        <is>
          <t>DISTRIBUIÇÃO HIDROSSANITÁRIA</t>
        </is>
      </c>
      <c r="D663" s="4" t="inlineStr">
        <is>
          <t>-</t>
        </is>
      </c>
      <c r="E663" s="4" t="inlineStr">
        <is>
          <t>3º PAV. - BAR PISCINA, VESTIÁRIOS, DEPOSITOS E LOUNGE QUADRAS</t>
        </is>
      </c>
      <c r="F663" s="119" t="n">
        <v>46280</v>
      </c>
      <c r="G663" s="119" t="n">
        <v>46300</v>
      </c>
      <c r="H663" s="119" t="n">
        <v>46293</v>
      </c>
      <c r="I663" s="4" t="n">
        <v>100</v>
      </c>
      <c r="J663" s="4" t="n">
        <v>66.667</v>
      </c>
      <c r="K663" s="4" t="n">
        <v>0</v>
      </c>
      <c r="M663" s="2">
        <f>IF(C663="","",IFERROR(INDEX($S$5:$S$304,MATCH(C663,$R$5:$R$304,0))&amp;"","?"))</f>
        <v/>
      </c>
      <c r="N663" s="2">
        <f>IF(E663="","",IF(ISNUMBER(SEARCH("SUBSOLO",E663)),IFERROR(-VALUE(LEFT(E663,FIND("º",SUBSTITUTE(E663,"°","º"))-1)),-1),IF(LEFT(E663,6)="TÉRREO",0,IFERROR(VALUE(LEFT(E663,FIND("º",SUBSTITUTE(E663,"°","º"))-1)),""))))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25799881</v>
      </c>
      <c r="C664" s="4" t="inlineStr">
        <is>
          <t>PRUMADA HIDROSSANITÁRIA</t>
        </is>
      </c>
      <c r="D664" s="4" t="inlineStr">
        <is>
          <t>-</t>
        </is>
      </c>
      <c r="E664" s="4" t="inlineStr">
        <is>
          <t>3º PAV. - ACADEMIA</t>
        </is>
      </c>
      <c r="F664" s="119" t="n">
        <v>46280</v>
      </c>
      <c r="G664" s="119" t="n">
        <v>46293</v>
      </c>
      <c r="H664" s="119" t="n">
        <v>46293</v>
      </c>
      <c r="I664" s="4" t="n">
        <v>100</v>
      </c>
      <c r="J664" s="4" t="n">
        <v>100</v>
      </c>
      <c r="K664" s="4" t="n">
        <v>0</v>
      </c>
      <c r="M664" s="2">
        <f>IF(C664="","",IFERROR(INDEX($S$5:$S$304,MATCH(C664,$R$5:$R$304,0))&amp;"","?"))</f>
        <v/>
      </c>
      <c r="N664" s="2">
        <f>IF(E664="","",IF(ISNUMBER(SEARCH("SUBSOLO",E664)),IFERROR(-VALUE(LEFT(E664,FIND("º",SUBSTITUTE(E664,"°","º"))-1)),-1),IF(LEFT(E664,6)="TÉRREO",0,IFERROR(VALUE(LEFT(E664,FIND("º",SUBSTITUTE(E664,"°","º"))-1)),""))))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25210533</v>
      </c>
      <c r="C665" s="4" t="inlineStr">
        <is>
          <t>ALVENARIA</t>
        </is>
      </c>
      <c r="D665" s="4" t="inlineStr">
        <is>
          <t>-</t>
        </is>
      </c>
      <c r="E665" s="4" t="inlineStr">
        <is>
          <t>12º PAV. TIPO</t>
        </is>
      </c>
      <c r="F665" s="119" t="n">
        <v>46280</v>
      </c>
      <c r="G665" s="119" t="n">
        <v>46295</v>
      </c>
      <c r="H665" s="119" t="n">
        <v>46293</v>
      </c>
      <c r="I665" s="4" t="n">
        <v>0</v>
      </c>
      <c r="J665" s="4" t="n">
        <v>83.333</v>
      </c>
      <c r="K665" s="4" t="n">
        <v>60</v>
      </c>
      <c r="M665" s="2">
        <f>IF(C665="","",IFERROR(INDEX($S$5:$S$304,MATCH(C665,$R$5:$R$304,0))&amp;"","?"))</f>
        <v/>
      </c>
      <c r="N665" s="2">
        <f>IF(E665="","",IF(ISNUMBER(SEARCH("SUBSOLO",E665)),IFERROR(-VALUE(LEFT(E665,FIND("º",SUBSTITUTE(E665,"°","º"))-1)),-1),IF(LEFT(E665,6)="TÉRREO",0,IFERROR(VALUE(LEFT(E665,FIND("º",SUBSTITUTE(E665,"°","º"))-1)),""))))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47734148</v>
      </c>
      <c r="C666" s="4" t="inlineStr">
        <is>
          <t>FACHADA POSTERIOR - F1 (A)</t>
        </is>
      </c>
      <c r="D666" s="4" t="inlineStr">
        <is>
          <t>-</t>
        </is>
      </c>
      <c r="E666" s="4" t="inlineStr">
        <is>
          <t>FACHADA</t>
        </is>
      </c>
      <c r="F666" s="119" t="n">
        <v>46280</v>
      </c>
      <c r="G666" s="119" t="n">
        <v>46363</v>
      </c>
      <c r="H666" s="119" t="n">
        <v>46293</v>
      </c>
      <c r="I666" s="4" t="n">
        <v>17.241</v>
      </c>
      <c r="J666" s="4" t="n">
        <v>17.24137931</v>
      </c>
      <c r="K666" s="4" t="n">
        <v>0</v>
      </c>
      <c r="M666" s="2">
        <f>IF(C666="","",IFERROR(INDEX($S$5:$S$304,MATCH(C666,$R$5:$R$304,0))&amp;"","?"))</f>
        <v/>
      </c>
      <c r="N666" s="2">
        <f>IF(E666="","",IF(ISNUMBER(SEARCH("SUBSOLO",E666)),IFERROR(-VALUE(LEFT(E666,FIND("º",SUBSTITUTE(E666,"°","º"))-1)),-1),IF(LEFT(E666,6)="TÉRREO",0,IFERROR(VALUE(LEFT(E666,FIND("º",SUBSTITUTE(E666,"°","º"))-1)),""))))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42655925</v>
      </c>
      <c r="C667" s="4" t="inlineStr">
        <is>
          <t>FACHADA POSTERIOR - F1 (A)</t>
        </is>
      </c>
      <c r="D667" s="4" t="inlineStr">
        <is>
          <t>Limpeza e Preparação da Fachada</t>
        </is>
      </c>
      <c r="E667" s="4" t="inlineStr">
        <is>
          <t>FACHADA</t>
        </is>
      </c>
      <c r="F667" s="119" t="n">
        <v>46280</v>
      </c>
      <c r="G667" s="119" t="n">
        <v>46293</v>
      </c>
      <c r="H667" s="119" t="n">
        <v>46293</v>
      </c>
      <c r="I667" s="4" t="n">
        <v>0</v>
      </c>
      <c r="J667" s="4" t="n">
        <v>100</v>
      </c>
      <c r="K667" s="4" t="n">
        <v>0</v>
      </c>
      <c r="M667" s="2">
        <f>IF(C667="","",IFERROR(INDEX($S$5:$S$304,MATCH(C667,$R$5:$R$304,0))&amp;"","?"))</f>
        <v/>
      </c>
      <c r="N667" s="2">
        <f>IF(E667="","",IF(ISNUMBER(SEARCH("SUBSOLO",E667)),IFERROR(-VALUE(LEFT(E667,FIND("º",SUBSTITUTE(E667,"°","º"))-1)),-1),IF(LEFT(E667,6)="TÉRREO",0,IFERROR(VALUE(LEFT(E667,FIND("º",SUBSTITUTE(E667,"°","º"))-1)),""))))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42655926</v>
      </c>
      <c r="C668" s="4" t="inlineStr">
        <is>
          <t>FACHADA POSTERIOR - F1 (A)</t>
        </is>
      </c>
      <c r="D668" s="4" t="inlineStr">
        <is>
          <t>Execução da Fachada</t>
        </is>
      </c>
      <c r="E668" s="4" t="inlineStr">
        <is>
          <t>FACHADA</t>
        </is>
      </c>
      <c r="F668" s="119" t="n">
        <v>46294</v>
      </c>
      <c r="G668" s="119" t="n">
        <v>46363</v>
      </c>
      <c r="H668" s="119" t="n">
        <v>46293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IF(E668="","",IF(ISNUMBER(SEARCH("SUBSOLO",E668)),IFERROR(-VALUE(LEFT(E668,FIND("º",SUBSTITUTE(E668,"°","º"))-1)),-1),IF(LEFT(E668,6)="TÉRREO",0,IFERROR(VALUE(LEFT(E668,FIND("º",SUBSTITUTE(E668,"°","º"))-1)),""))))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33369047</v>
      </c>
      <c r="C669" s="4" t="inlineStr">
        <is>
          <t>INFRAESTRUTURA ELÉTRICA (TETO) - SETOR C</t>
        </is>
      </c>
      <c r="D669" s="4" t="inlineStr">
        <is>
          <t>-</t>
        </is>
      </c>
      <c r="E669" s="4" t="inlineStr">
        <is>
          <t>TÉRREO - GARAGENS</t>
        </is>
      </c>
      <c r="F669" s="119" t="n">
        <v>46281</v>
      </c>
      <c r="G669" s="119" t="n">
        <v>46311</v>
      </c>
      <c r="H669" s="119" t="n">
        <v>46293</v>
      </c>
      <c r="I669" s="4" t="n">
        <v>100</v>
      </c>
      <c r="J669" s="4" t="n">
        <v>40.909</v>
      </c>
      <c r="K669" s="4" t="n">
        <v>13.636</v>
      </c>
      <c r="M669" s="2">
        <f>IF(C669="","",IFERROR(INDEX($S$5:$S$304,MATCH(C669,$R$5:$R$304,0))&amp;"","?"))</f>
        <v/>
      </c>
      <c r="N669" s="2">
        <f>IF(E669="","",IF(ISNUMBER(SEARCH("SUBSOLO",E669)),IFERROR(-VALUE(LEFT(E669,FIND("º",SUBSTITUTE(E669,"°","º"))-1)),-1),IF(LEFT(E669,6)="TÉRREO",0,IFERROR(VALUE(LEFT(E669,FIND("º",SUBSTITUTE(E669,"°","º"))-1)),""))))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25807541</v>
      </c>
      <c r="C670" s="4" t="inlineStr">
        <is>
          <t>SHAFT INTERNO INST. HIDRAÚLICAS</t>
        </is>
      </c>
      <c r="D670" s="4" t="inlineStr">
        <is>
          <t>-</t>
        </is>
      </c>
      <c r="E670" s="4" t="inlineStr">
        <is>
          <t>3º PAV. ESPAÇO THERMAS, PISCINA COBERTA, SAUNAS E VESTIÁRIOS</t>
        </is>
      </c>
      <c r="F670" s="119" t="n">
        <v>46281</v>
      </c>
      <c r="G670" s="119" t="n">
        <v>46287</v>
      </c>
      <c r="H670" s="119" t="n">
        <v>46293</v>
      </c>
      <c r="I670" s="4" t="n">
        <v>100</v>
      </c>
      <c r="J670" s="4" t="n">
        <v>100</v>
      </c>
      <c r="K670" s="4" t="n">
        <v>0</v>
      </c>
      <c r="M670" s="2">
        <f>IF(C670="","",IFERROR(INDEX($S$5:$S$304,MATCH(C670,$R$5:$R$304,0))&amp;"","?"))</f>
        <v/>
      </c>
      <c r="N670" s="2">
        <f>IF(E670="","",IF(ISNUMBER(SEARCH("SUBSOLO",E670)),IFERROR(-VALUE(LEFT(E670,FIND("º",SUBSTITUTE(E670,"°","º"))-1)),-1),IF(LEFT(E670,6)="TÉRREO",0,IFERROR(VALUE(LEFT(E670,FIND("º",SUBSTITUTE(E670,"°","º"))-1)),""))))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22139730</v>
      </c>
      <c r="C671" s="4" t="inlineStr">
        <is>
          <t>ESTRUTURA TORRE</t>
        </is>
      </c>
      <c r="D671" s="4" t="inlineStr">
        <is>
          <t>-</t>
        </is>
      </c>
      <c r="E671" s="4" t="inlineStr">
        <is>
          <t>18º PAV. TIPO</t>
        </is>
      </c>
      <c r="F671" s="119" t="n">
        <v>46283</v>
      </c>
      <c r="G671" s="119" t="n">
        <v>46297</v>
      </c>
      <c r="H671" s="119" t="n">
        <v>46293</v>
      </c>
      <c r="I671" s="4" t="n">
        <v>60</v>
      </c>
      <c r="J671" s="4" t="n">
        <v>60</v>
      </c>
      <c r="K671" s="4" t="n">
        <v>10.5</v>
      </c>
      <c r="M671" s="2">
        <f>IF(C671="","",IFERROR(INDEX($S$5:$S$304,MATCH(C671,$R$5:$R$304,0))&amp;"","?"))</f>
        <v/>
      </c>
      <c r="N671" s="2">
        <f>IF(E671="","",IF(ISNUMBER(SEARCH("SUBSOLO",E671)),IFERROR(-VALUE(LEFT(E671,FIND("º",SUBSTITUTE(E671,"°","º"))-1)),-1),IF(LEFT(E671,6)="TÉRREO",0,IFERROR(VALUE(LEFT(E671,FIND("º",SUBSTITUTE(E671,"°","º"))-1)),""))))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9877228</v>
      </c>
      <c r="C672" s="4" t="inlineStr">
        <is>
          <t>ESTRUTURA TORRE</t>
        </is>
      </c>
      <c r="D672" s="4" t="inlineStr">
        <is>
          <t>Forma Pilar</t>
        </is>
      </c>
      <c r="E672" s="4" t="inlineStr">
        <is>
          <t>18º PAV. TIPO</t>
        </is>
      </c>
      <c r="F672" s="119" t="n">
        <v>46283</v>
      </c>
      <c r="G672" s="119" t="n">
        <v>46286</v>
      </c>
      <c r="H672" s="119" t="n">
        <v>46293</v>
      </c>
      <c r="I672" s="4" t="n">
        <v>100</v>
      </c>
      <c r="J672" s="4" t="n">
        <v>100</v>
      </c>
      <c r="K672" s="4" t="n">
        <v>5</v>
      </c>
      <c r="M672" s="2">
        <f>IF(C672="","",IFERROR(INDEX($S$5:$S$304,MATCH(C672,$R$5:$R$304,0))&amp;"","?"))</f>
        <v/>
      </c>
      <c r="N672" s="2">
        <f>IF(E672="","",IF(ISNUMBER(SEARCH("SUBSOLO",E672)),IFERROR(-VALUE(LEFT(E672,FIND("º",SUBSTITUTE(E672,"°","º"))-1)),-1),IF(LEFT(E672,6)="TÉRREO",0,IFERROR(VALUE(LEFT(E672,FIND("º",SUBSTITUTE(E672,"°","º"))-1)),""))))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9877229</v>
      </c>
      <c r="C673" s="4" t="inlineStr">
        <is>
          <t>ESTRUTURA TORRE</t>
        </is>
      </c>
      <c r="D673" s="4" t="inlineStr">
        <is>
          <t>Armação Pilar</t>
        </is>
      </c>
      <c r="E673" s="4" t="inlineStr">
        <is>
          <t>18º PAV. TIPO</t>
        </is>
      </c>
      <c r="F673" s="119" t="n">
        <v>46283</v>
      </c>
      <c r="G673" s="119" t="n">
        <v>46286</v>
      </c>
      <c r="H673" s="119" t="n">
        <v>46293</v>
      </c>
      <c r="I673" s="4" t="n">
        <v>100</v>
      </c>
      <c r="J673" s="4" t="n">
        <v>100</v>
      </c>
      <c r="K673" s="4" t="n">
        <v>100</v>
      </c>
      <c r="M673" s="2">
        <f>IF(C673="","",IFERROR(INDEX($S$5:$S$304,MATCH(C673,$R$5:$R$304,0))&amp;"","?"))</f>
        <v/>
      </c>
      <c r="N673" s="2">
        <f>IF(E673="","",IF(ISNUMBER(SEARCH("SUBSOLO",E673)),IFERROR(-VALUE(LEFT(E673,FIND("º",SUBSTITUTE(E673,"°","º"))-1)),-1),IF(LEFT(E673,6)="TÉRREO",0,IFERROR(VALUE(LEFT(E673,FIND("º",SUBSTITUTE(E673,"°","º"))-1)),""))))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9877230</v>
      </c>
      <c r="C674" s="4" t="inlineStr">
        <is>
          <t>ESTRUTURA TORRE</t>
        </is>
      </c>
      <c r="D674" s="4" t="inlineStr">
        <is>
          <t>Escoramento</t>
        </is>
      </c>
      <c r="E674" s="4" t="inlineStr">
        <is>
          <t>18º PAV. TIPO</t>
        </is>
      </c>
      <c r="F674" s="119" t="n">
        <v>46286</v>
      </c>
      <c r="G674" s="119" t="n">
        <v>46287</v>
      </c>
      <c r="H674" s="119" t="n">
        <v>46293</v>
      </c>
      <c r="I674" s="4" t="n">
        <v>100</v>
      </c>
      <c r="J674" s="4" t="n">
        <v>100</v>
      </c>
      <c r="K674" s="4" t="n">
        <v>0</v>
      </c>
      <c r="M674" s="2">
        <f>IF(C674="","",IFERROR(INDEX($S$5:$S$304,MATCH(C674,$R$5:$R$304,0))&amp;"","?"))</f>
        <v/>
      </c>
      <c r="N674" s="2">
        <f>IF(E674="","",IF(ISNUMBER(SEARCH("SUBSOLO",E674)),IFERROR(-VALUE(LEFT(E674,FIND("º",SUBSTITUTE(E674,"°","º"))-1)),-1),IF(LEFT(E674,6)="TÉRREO",0,IFERROR(VALUE(LEFT(E674,FIND("º",SUBSTITUTE(E674,"°","º"))-1)),""))))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9877919</v>
      </c>
      <c r="C675" s="4" t="inlineStr">
        <is>
          <t>ESTRUTURA TORRE</t>
        </is>
      </c>
      <c r="D675" s="4" t="inlineStr">
        <is>
          <t>Concretagem Pilar</t>
        </is>
      </c>
      <c r="E675" s="4" t="inlineStr">
        <is>
          <t>18º PAV. TIPO</t>
        </is>
      </c>
      <c r="F675" s="119" t="n">
        <v>46288</v>
      </c>
      <c r="G675" s="119" t="n">
        <v>46288</v>
      </c>
      <c r="H675" s="119" t="n">
        <v>46293</v>
      </c>
      <c r="I675" s="4" t="n">
        <v>100</v>
      </c>
      <c r="J675" s="4" t="n">
        <v>100</v>
      </c>
      <c r="K675" s="4" t="n">
        <v>0</v>
      </c>
      <c r="M675" s="2">
        <f>IF(C675="","",IFERROR(INDEX($S$5:$S$304,MATCH(C675,$R$5:$R$304,0))&amp;"","?"))</f>
        <v/>
      </c>
      <c r="N675" s="2">
        <f>IF(E675="","",IF(ISNUMBER(SEARCH("SUBSOLO",E675)),IFERROR(-VALUE(LEFT(E675,FIND("º",SUBSTITUTE(E675,"°","º"))-1)),-1),IF(LEFT(E675,6)="TÉRREO",0,IFERROR(VALUE(LEFT(E675,FIND("º",SUBSTITUTE(E675,"°","º"))-1)),""))))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9877920</v>
      </c>
      <c r="C676" s="4" t="inlineStr">
        <is>
          <t>ESTRUTURA TORRE</t>
        </is>
      </c>
      <c r="D676" s="4" t="inlineStr">
        <is>
          <t>Forma Vigas e Lajes</t>
        </is>
      </c>
      <c r="E676" s="4" t="inlineStr">
        <is>
          <t>18º PAV. TIPO</t>
        </is>
      </c>
      <c r="F676" s="119" t="n">
        <v>46289</v>
      </c>
      <c r="G676" s="119" t="n">
        <v>46294</v>
      </c>
      <c r="H676" s="119" t="n">
        <v>46293</v>
      </c>
      <c r="I676" s="4" t="n">
        <v>75</v>
      </c>
      <c r="J676" s="4" t="n">
        <v>75</v>
      </c>
      <c r="K676" s="4" t="n">
        <v>0</v>
      </c>
      <c r="M676" s="2">
        <f>IF(C676="","",IFERROR(INDEX($S$5:$S$304,MATCH(C676,$R$5:$R$304,0))&amp;"","?"))</f>
        <v/>
      </c>
      <c r="N676" s="2">
        <f>IF(E676="","",IF(ISNUMBER(SEARCH("SUBSOLO",E676)),IFERROR(-VALUE(LEFT(E676,FIND("º",SUBSTITUTE(E676,"°","º"))-1)),-1),IF(LEFT(E676,6)="TÉRREO",0,IFERROR(VALUE(LEFT(E676,FIND("º",SUBSTITUTE(E676,"°","º"))-1)),""))))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9877921</v>
      </c>
      <c r="C677" s="4" t="inlineStr">
        <is>
          <t>ESTRUTURA TORRE</t>
        </is>
      </c>
      <c r="D677" s="4" t="inlineStr">
        <is>
          <t>Armação Vigas e Lajes</t>
        </is>
      </c>
      <c r="E677" s="4" t="inlineStr">
        <is>
          <t>18º PAV. TIPO</t>
        </is>
      </c>
      <c r="F677" s="119" t="n">
        <v>46290</v>
      </c>
      <c r="G677" s="119" t="n">
        <v>46295</v>
      </c>
      <c r="H677" s="119" t="n">
        <v>46293</v>
      </c>
      <c r="I677" s="4" t="n">
        <v>50</v>
      </c>
      <c r="J677" s="4" t="n">
        <v>50</v>
      </c>
      <c r="K677" s="4" t="n">
        <v>0</v>
      </c>
      <c r="M677" s="2">
        <f>IF(C677="","",IFERROR(INDEX($S$5:$S$304,MATCH(C677,$R$5:$R$304,0))&amp;"","?"))</f>
        <v/>
      </c>
      <c r="N677" s="2">
        <f>IF(E677="","",IF(ISNUMBER(SEARCH("SUBSOLO",E677)),IFERROR(-VALUE(LEFT(E677,FIND("º",SUBSTITUTE(E677,"°","º"))-1)),-1),IF(LEFT(E677,6)="TÉRREO",0,IFERROR(VALUE(LEFT(E677,FIND("º",SUBSTITUTE(E677,"°","º"))-1)),""))))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9877922</v>
      </c>
      <c r="C678" s="4" t="inlineStr">
        <is>
          <t>ESTRUTURA TORRE</t>
        </is>
      </c>
      <c r="D678" s="4" t="inlineStr">
        <is>
          <t>Passagem Hidráulica</t>
        </is>
      </c>
      <c r="E678" s="4" t="inlineStr">
        <is>
          <t>18º PAV. TIPO</t>
        </is>
      </c>
      <c r="F678" s="119" t="n">
        <v>46294</v>
      </c>
      <c r="G678" s="119" t="n">
        <v>46294</v>
      </c>
      <c r="H678" s="119" t="n">
        <v>46293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IF(E678="","",IF(ISNUMBER(SEARCH("SUBSOLO",E678)),IFERROR(-VALUE(LEFT(E678,FIND("º",SUBSTITUTE(E678,"°","º"))-1)),-1),IF(LEFT(E678,6)="TÉRREO",0,IFERROR(VALUE(LEFT(E678,FIND("º",SUBSTITUTE(E678,"°","º"))-1)),""))))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9877923</v>
      </c>
      <c r="C679" s="4" t="inlineStr">
        <is>
          <t>ESTRUTURA TORRE</t>
        </is>
      </c>
      <c r="D679" s="4" t="inlineStr">
        <is>
          <t>Passagem Elétrica</t>
        </is>
      </c>
      <c r="E679" s="4" t="inlineStr">
        <is>
          <t>18º PAV. TIPO</t>
        </is>
      </c>
      <c r="F679" s="119" t="n">
        <v>46294</v>
      </c>
      <c r="G679" s="119" t="n">
        <v>46294</v>
      </c>
      <c r="H679" s="119" t="n">
        <v>46293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IF(E679="","",IF(ISNUMBER(SEARCH("SUBSOLO",E679)),IFERROR(-VALUE(LEFT(E679,FIND("º",SUBSTITUTE(E679,"°","º"))-1)),-1),IF(LEFT(E679,6)="TÉRREO",0,IFERROR(VALUE(LEFT(E679,FIND("º",SUBSTITUTE(E679,"°","º"))-1)),""))))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9877924</v>
      </c>
      <c r="C680" s="4" t="inlineStr">
        <is>
          <t>ESTRUTURA TORRE</t>
        </is>
      </c>
      <c r="D680" s="4" t="inlineStr">
        <is>
          <t>Concretagem</t>
        </is>
      </c>
      <c r="E680" s="4" t="inlineStr">
        <is>
          <t>18º PAV. TIPO</t>
        </is>
      </c>
      <c r="F680" s="119" t="n">
        <v>46295</v>
      </c>
      <c r="G680" s="119" t="n">
        <v>46297</v>
      </c>
      <c r="H680" s="119" t="n">
        <v>46293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IF(E680="","",IF(ISNUMBER(SEARCH("SUBSOLO",E680)),IFERROR(-VALUE(LEFT(E680,FIND("º",SUBSTITUTE(E680,"°","º"))-1)),-1),IF(LEFT(E680,6)="TÉRREO",0,IFERROR(VALUE(LEFT(E680,FIND("º",SUBSTITUTE(E680,"°","º"))-1)),""))))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33367713</v>
      </c>
      <c r="C681" s="4" t="inlineStr">
        <is>
          <t>REBOCO - SETOR B</t>
        </is>
      </c>
      <c r="D681" s="4" t="inlineStr">
        <is>
          <t>-</t>
        </is>
      </c>
      <c r="E681" s="4" t="inlineStr">
        <is>
          <t>TÉRREO - GARAGENS</t>
        </is>
      </c>
      <c r="F681" s="119" t="n">
        <v>46286</v>
      </c>
      <c r="G681" s="119" t="n">
        <v>46316</v>
      </c>
      <c r="H681" s="119" t="n">
        <v>46293</v>
      </c>
      <c r="I681" s="4" t="n">
        <v>45.455</v>
      </c>
      <c r="J681" s="4" t="n">
        <v>27.273</v>
      </c>
      <c r="K681" s="4" t="n">
        <v>0</v>
      </c>
      <c r="M681" s="2">
        <f>IF(C681="","",IFERROR(INDEX($S$5:$S$304,MATCH(C681,$R$5:$R$304,0))&amp;"","?"))</f>
        <v/>
      </c>
      <c r="N681" s="2">
        <f>IF(E681="","",IF(ISNUMBER(SEARCH("SUBSOLO",E681)),IFERROR(-VALUE(LEFT(E681,FIND("º",SUBSTITUTE(E681,"°","º"))-1)),-1),IF(LEFT(E681,6)="TÉRREO",0,IFERROR(VALUE(LEFT(E681,FIND("º",SUBSTITUTE(E681,"°","º"))-1)),""))))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25210754</v>
      </c>
      <c r="C682" s="4" t="inlineStr">
        <is>
          <t>PRUMADA HIDROSSANITÁRIA</t>
        </is>
      </c>
      <c r="D682" s="4" t="inlineStr">
        <is>
          <t>-</t>
        </is>
      </c>
      <c r="E682" s="4" t="inlineStr">
        <is>
          <t>6º PAV. TIPO</t>
        </is>
      </c>
      <c r="F682" s="119" t="n">
        <v>46286</v>
      </c>
      <c r="G682" s="119" t="n">
        <v>46296</v>
      </c>
      <c r="H682" s="119" t="n">
        <v>46293</v>
      </c>
      <c r="I682" s="4" t="n">
        <v>100</v>
      </c>
      <c r="J682" s="4" t="n">
        <v>66.667</v>
      </c>
      <c r="K682" s="4" t="n">
        <v>0</v>
      </c>
      <c r="M682" s="2">
        <f>IF(C682="","",IFERROR(INDEX($S$5:$S$304,MATCH(C682,$R$5:$R$304,0))&amp;"","?"))</f>
        <v/>
      </c>
      <c r="N682" s="2">
        <f>IF(E682="","",IF(ISNUMBER(SEARCH("SUBSOLO",E682)),IFERROR(-VALUE(LEFT(E682,FIND("º",SUBSTITUTE(E682,"°","º"))-1)),-1),IF(LEFT(E682,6)="TÉRREO",0,IFERROR(VALUE(LEFT(E682,FIND("º",SUBSTITUTE(E682,"°","º"))-1)),""))))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25210744</v>
      </c>
      <c r="C683" s="4" t="inlineStr">
        <is>
          <t>PRUMADA DE INCÊNDIO</t>
        </is>
      </c>
      <c r="D683" s="4" t="inlineStr">
        <is>
          <t>-</t>
        </is>
      </c>
      <c r="E683" s="4" t="inlineStr">
        <is>
          <t>6º PAV. TIPO</t>
        </is>
      </c>
      <c r="F683" s="119" t="n">
        <v>46286</v>
      </c>
      <c r="G683" s="119" t="n">
        <v>46296</v>
      </c>
      <c r="H683" s="119" t="n">
        <v>46293</v>
      </c>
      <c r="I683" s="4" t="n">
        <v>100</v>
      </c>
      <c r="J683" s="4" t="n">
        <v>66.667</v>
      </c>
      <c r="K683" s="4" t="n">
        <v>0</v>
      </c>
      <c r="M683" s="2">
        <f>IF(C683="","",IFERROR(INDEX($S$5:$S$304,MATCH(C683,$R$5:$R$304,0))&amp;"","?"))</f>
        <v/>
      </c>
      <c r="N683" s="2">
        <f>IF(E683="","",IF(ISNUMBER(SEARCH("SUBSOLO",E683)),IFERROR(-VALUE(LEFT(E683,FIND("º",SUBSTITUTE(E683,"°","º"))-1)),-1),IF(LEFT(E683,6)="TÉRREO",0,IFERROR(VALUE(LEFT(E683,FIND("º",SUBSTITUTE(E683,"°","º"))-1)),""))))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25799821</v>
      </c>
      <c r="C684" s="4" t="inlineStr">
        <is>
          <t>DISTRIBUIÇÃO ELÉTRICA / QUADRO - SETOR B</t>
        </is>
      </c>
      <c r="D684" s="4" t="inlineStr">
        <is>
          <t>-</t>
        </is>
      </c>
      <c r="E684" s="4" t="inlineStr">
        <is>
          <t>3º PAV. - BAR PISCINA, VESTIÁRIOS, DEPOSITOS E LOUNGE QUADRAS</t>
        </is>
      </c>
      <c r="F684" s="119" t="n">
        <v>46287</v>
      </c>
      <c r="G684" s="119" t="n">
        <v>46295</v>
      </c>
      <c r="H684" s="119" t="n">
        <v>46293</v>
      </c>
      <c r="I684" s="4" t="n">
        <v>71.429</v>
      </c>
      <c r="J684" s="4" t="n">
        <v>71.429</v>
      </c>
      <c r="K684" s="4" t="n">
        <v>0</v>
      </c>
      <c r="M684" s="2">
        <f>IF(C684="","",IFERROR(INDEX($S$5:$S$304,MATCH(C684,$R$5:$R$304,0))&amp;"","?"))</f>
        <v/>
      </c>
      <c r="N684" s="2">
        <f>IF(E684="","",IF(ISNUMBER(SEARCH("SUBSOLO",E684)),IFERROR(-VALUE(LEFT(E684,FIND("º",SUBSTITUTE(E684,"°","º"))-1)),-1),IF(LEFT(E684,6)="TÉRREO",0,IFERROR(VALUE(LEFT(E684,FIND("º",SUBSTITUTE(E684,"°","º"))-1)),""))))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25807543</v>
      </c>
      <c r="C685" s="4" t="inlineStr">
        <is>
          <t>CONTRAMARCO</t>
        </is>
      </c>
      <c r="D685" s="4" t="inlineStr">
        <is>
          <t>-</t>
        </is>
      </c>
      <c r="E685" s="4" t="inlineStr">
        <is>
          <t>3º PAV. ESPAÇO THERMAS, PISCINA COBERTA, SAUNAS E VESTIÁRIOS</t>
        </is>
      </c>
      <c r="F685" s="119" t="n">
        <v>46288</v>
      </c>
      <c r="G685" s="119" t="n">
        <v>46294</v>
      </c>
      <c r="H685" s="119" t="n">
        <v>46293</v>
      </c>
      <c r="I685" s="4" t="n">
        <v>80</v>
      </c>
      <c r="J685" s="4" t="n">
        <v>80</v>
      </c>
      <c r="K685" s="4" t="n">
        <v>0</v>
      </c>
      <c r="M685" s="2">
        <f>IF(C685="","",IFERROR(INDEX($S$5:$S$304,MATCH(C685,$R$5:$R$304,0))&amp;"","?"))</f>
        <v/>
      </c>
      <c r="N685" s="2">
        <f>IF(E685="","",IF(ISNUMBER(SEARCH("SUBSOLO",E685)),IFERROR(-VALUE(LEFT(E685,FIND("º",SUBSTITUTE(E685,"°","º"))-1)),-1),IF(LEFT(E685,6)="TÉRREO",0,IFERROR(VALUE(LEFT(E685,FIND("º",SUBSTITUTE(E685,"°","º"))-1)),""))))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25752747</v>
      </c>
      <c r="C686" s="4" t="inlineStr">
        <is>
          <t>INSTALAÇÕES HIDRÁULICAS</t>
        </is>
      </c>
      <c r="D686" s="4" t="inlineStr">
        <is>
          <t>-</t>
        </is>
      </c>
      <c r="E686" s="4" t="inlineStr">
        <is>
          <t>2º PAV. - ÁREAS TÉCNICAS</t>
        </is>
      </c>
      <c r="F686" s="119" t="n">
        <v>46290</v>
      </c>
      <c r="G686" s="119" t="n">
        <v>46304</v>
      </c>
      <c r="H686" s="119" t="n">
        <v>46293</v>
      </c>
      <c r="I686" s="4" t="n">
        <v>100</v>
      </c>
      <c r="J686" s="4" t="n">
        <v>18.182</v>
      </c>
      <c r="K686" s="4" t="n">
        <v>0</v>
      </c>
      <c r="M686" s="2">
        <f>IF(C686="","",IFERROR(INDEX($S$5:$S$304,MATCH(C686,$R$5:$R$304,0))&amp;"","?"))</f>
        <v/>
      </c>
      <c r="N686" s="2">
        <f>IF(E686="","",IF(ISNUMBER(SEARCH("SUBSOLO",E686)),IFERROR(-VALUE(LEFT(E686,FIND("º",SUBSTITUTE(E686,"°","º"))-1)),-1),IF(LEFT(E686,6)="TÉRREO",0,IFERROR(VALUE(LEFT(E686,FIND("º",SUBSTITUTE(E686,"°","º"))-1)),""))))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25210751</v>
      </c>
      <c r="C687" s="4" t="inlineStr">
        <is>
          <t>DISTRIBUIÇÃO HIDROSSANITÁRIA</t>
        </is>
      </c>
      <c r="D687" s="4" t="inlineStr">
        <is>
          <t>-</t>
        </is>
      </c>
      <c r="E687" s="4" t="inlineStr">
        <is>
          <t>6º PAV. TIPO</t>
        </is>
      </c>
      <c r="F687" s="119" t="n">
        <v>46290</v>
      </c>
      <c r="G687" s="119" t="n">
        <v>46302</v>
      </c>
      <c r="H687" s="119" t="n">
        <v>46293</v>
      </c>
      <c r="I687" s="4" t="n">
        <v>55.556</v>
      </c>
      <c r="J687" s="4" t="n">
        <v>22.222</v>
      </c>
      <c r="K687" s="4" t="n">
        <v>0</v>
      </c>
      <c r="M687" s="2">
        <f>IF(C687="","",IFERROR(INDEX($S$5:$S$304,MATCH(C687,$R$5:$R$304,0))&amp;"","?"))</f>
        <v/>
      </c>
      <c r="N687" s="2">
        <f>IF(E687="","",IF(ISNUMBER(SEARCH("SUBSOLO",E687)),IFERROR(-VALUE(LEFT(E687,FIND("º",SUBSTITUTE(E687,"°","º"))-1)),-1),IF(LEFT(E687,6)="TÉRREO",0,IFERROR(VALUE(LEFT(E687,FIND("º",SUBSTITUTE(E687,"°","º"))-1)),""))))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53293719</v>
      </c>
      <c r="C688" s="4" t="inlineStr">
        <is>
          <t>PRUMADA DE INCÊNDIO</t>
        </is>
      </c>
      <c r="D688" s="4" t="inlineStr">
        <is>
          <t>-</t>
        </is>
      </c>
      <c r="E688" s="4" t="inlineStr">
        <is>
          <t>TÉRREO - GARAGENS</t>
        </is>
      </c>
      <c r="F688" s="119" t="n">
        <v>46293</v>
      </c>
      <c r="G688" s="119" t="n">
        <v>46297</v>
      </c>
      <c r="H688" s="119" t="n">
        <v>46293</v>
      </c>
      <c r="I688" s="4" t="n">
        <v>0</v>
      </c>
      <c r="J688" s="4" t="n">
        <v>20</v>
      </c>
      <c r="K688" s="4" t="n">
        <v>0</v>
      </c>
      <c r="M688" s="2">
        <f>IF(C688="","",IFERROR(INDEX($S$5:$S$304,MATCH(C688,$R$5:$R$304,0))&amp;"","?"))</f>
        <v/>
      </c>
      <c r="N688" s="2">
        <f>IF(E688="","",IF(ISNUMBER(SEARCH("SUBSOLO",E688)),IFERROR(-VALUE(LEFT(E688,FIND("º",SUBSTITUTE(E688,"°","º"))-1)),-1),IF(LEFT(E688,6)="TÉRREO",0,IFERROR(VALUE(LEFT(E688,FIND("º",SUBSTITUTE(E688,"°","º"))-1)),""))))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25799818</v>
      </c>
      <c r="C689" s="4" t="inlineStr">
        <is>
          <t>GÁS</t>
        </is>
      </c>
      <c r="D689" s="4" t="inlineStr">
        <is>
          <t>-</t>
        </is>
      </c>
      <c r="E689" s="4" t="inlineStr">
        <is>
          <t>3º PAV. - BAR PISCINA, VESTIÁRIOS, DEPOSITOS E LOUNGE QUADRAS</t>
        </is>
      </c>
      <c r="F689" s="119" t="n">
        <v>46293</v>
      </c>
      <c r="G689" s="119" t="n">
        <v>46304</v>
      </c>
      <c r="H689" s="119" t="n">
        <v>46293</v>
      </c>
      <c r="I689" s="4" t="n">
        <v>100</v>
      </c>
      <c r="J689" s="4" t="n">
        <v>10</v>
      </c>
      <c r="K689" s="4" t="n">
        <v>0</v>
      </c>
      <c r="M689" s="2">
        <f>IF(C689="","",IFERROR(INDEX($S$5:$S$304,MATCH(C689,$R$5:$R$304,0))&amp;"","?"))</f>
        <v/>
      </c>
      <c r="N689" s="2">
        <f>IF(E689="","",IF(ISNUMBER(SEARCH("SUBSOLO",E689)),IFERROR(-VALUE(LEFT(E689,FIND("º",SUBSTITUTE(E689,"°","º"))-1)),-1),IF(LEFT(E689,6)="TÉRREO",0,IFERROR(VALUE(LEFT(E689,FIND("º",SUBSTITUTE(E689,"°","º"))-1)),""))))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43846650</v>
      </c>
      <c r="C690" s="4" t="inlineStr">
        <is>
          <t>ALVENARIA EXTERNA</t>
        </is>
      </c>
      <c r="D690" s="4" t="inlineStr">
        <is>
          <t>-</t>
        </is>
      </c>
      <c r="E690" s="4" t="inlineStr">
        <is>
          <t>14º PAV. TIPO</t>
        </is>
      </c>
      <c r="F690" s="119" t="n">
        <v>46293</v>
      </c>
      <c r="G690" s="119" t="n">
        <v>46301</v>
      </c>
      <c r="H690" s="119" t="n">
        <v>46293</v>
      </c>
      <c r="I690" s="4" t="n">
        <v>14.286</v>
      </c>
      <c r="J690" s="4" t="n">
        <v>14.286</v>
      </c>
      <c r="K690" s="4" t="n">
        <v>0</v>
      </c>
      <c r="M690" s="2">
        <f>IF(C690="","",IFERROR(INDEX($S$5:$S$304,MATCH(C690,$R$5:$R$304,0))&amp;"","?"))</f>
        <v/>
      </c>
      <c r="N690" s="2">
        <f>IF(E690="","",IF(ISNUMBER(SEARCH("SUBSOLO",E690)),IFERROR(-VALUE(LEFT(E690,FIND("º",SUBSTITUTE(E690,"°","º"))-1)),-1),IF(LEFT(E690,6)="TÉRREO",0,IFERROR(VALUE(LEFT(E690,FIND("º",SUBSTITUTE(E690,"°","º"))-1)),""))))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25799883</v>
      </c>
      <c r="C691" s="4" t="inlineStr">
        <is>
          <t>DISTRIBUIÇÃO HIDROSSANITÁRIA</t>
        </is>
      </c>
      <c r="D691" s="4" t="inlineStr">
        <is>
          <t>-</t>
        </is>
      </c>
      <c r="E691" s="4" t="inlineStr">
        <is>
          <t>3º PAV. - ACADEMIA</t>
        </is>
      </c>
      <c r="F691" s="119" t="n">
        <v>46294</v>
      </c>
      <c r="G691" s="119" t="n">
        <v>46308</v>
      </c>
      <c r="H691" s="119" t="n">
        <v>46293</v>
      </c>
      <c r="I691" s="4" t="n">
        <v>90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IF(E691="","",IF(ISNUMBER(SEARCH("SUBSOLO",E691)),IFERROR(-VALUE(LEFT(E691,FIND("º",SUBSTITUTE(E691,"°","º"))-1)),-1),IF(LEFT(E691,6)="TÉRREO",0,IFERROR(VALUE(LEFT(E691,FIND("º",SUBSTITUTE(E691,"°","º"))-1)),""))))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27769230</v>
      </c>
      <c r="C692" s="4" t="inlineStr">
        <is>
          <t>PRUMADA ELÉTRICA INFRA</t>
        </is>
      </c>
      <c r="D692" s="4" t="inlineStr">
        <is>
          <t>-</t>
        </is>
      </c>
      <c r="E692" s="4" t="inlineStr">
        <is>
          <t>6º PAV. TIPO</t>
        </is>
      </c>
      <c r="F692" s="119" t="n">
        <v>46294</v>
      </c>
      <c r="G692" s="119" t="n">
        <v>46304</v>
      </c>
      <c r="H692" s="119" t="n">
        <v>46293</v>
      </c>
      <c r="I692" s="4" t="n">
        <v>100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IF(E692="","",IF(ISNUMBER(SEARCH("SUBSOLO",E692)),IFERROR(-VALUE(LEFT(E692,FIND("º",SUBSTITUTE(E692,"°","º"))-1)),-1),IF(LEFT(E692,6)="TÉRREO",0,IFERROR(VALUE(LEFT(E692,FIND("º",SUBSTITUTE(E692,"°","º"))-1)),""))))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25807544</v>
      </c>
      <c r="C693" s="4" t="inlineStr">
        <is>
          <t>REBOCO INTERNO</t>
        </is>
      </c>
      <c r="D693" s="4" t="inlineStr">
        <is>
          <t>-</t>
        </is>
      </c>
      <c r="E693" s="4" t="inlineStr">
        <is>
          <t>3º PAV. ESPAÇO THERMAS, PISCINA COBERTA, SAUNAS E VESTIÁRIOS</t>
        </is>
      </c>
      <c r="F693" s="119" t="n">
        <v>46295</v>
      </c>
      <c r="G693" s="119" t="n">
        <v>46309</v>
      </c>
      <c r="H693" s="119" t="n">
        <v>46293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IF(E693="","",IF(ISNUMBER(SEARCH("SUBSOLO",E693)),IFERROR(-VALUE(LEFT(E693,FIND("º",SUBSTITUTE(E693,"°","º"))-1)),-1),IF(LEFT(E693,6)="TÉRREO",0,IFERROR(VALUE(LEFT(E693,FIND("º",SUBSTITUTE(E693,"°","º"))-1)),""))))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25799822</v>
      </c>
      <c r="C694" s="4" t="inlineStr">
        <is>
          <t>CONTRAMARCO</t>
        </is>
      </c>
      <c r="D694" s="4" t="inlineStr">
        <is>
          <t>-</t>
        </is>
      </c>
      <c r="E694" s="4" t="inlineStr">
        <is>
          <t>3º PAV. - BAR PISCINA, VESTIÁRIOS, DEPOSITOS E LOUNGE QUADRAS</t>
        </is>
      </c>
      <c r="F694" s="119" t="n">
        <v>46296</v>
      </c>
      <c r="G694" s="119" t="n">
        <v>46310</v>
      </c>
      <c r="H694" s="119" t="n">
        <v>46293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IF(E694="","",IF(ISNUMBER(SEARCH("SUBSOLO",E694)),IFERROR(-VALUE(LEFT(E694,FIND("º",SUBSTITUTE(E694,"°","º"))-1)),-1),IF(LEFT(E694,6)="TÉRREO",0,IFERROR(VALUE(LEFT(E694,FIND("º",SUBSTITUTE(E694,"°","º"))-1)),""))))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25799885</v>
      </c>
      <c r="C695" s="4" t="inlineStr">
        <is>
          <t>DISTRIBUIÇÃO ELÉTRICA / QUADRO - SETOR B</t>
        </is>
      </c>
      <c r="D695" s="4" t="inlineStr">
        <is>
          <t>-</t>
        </is>
      </c>
      <c r="E695" s="4" t="inlineStr">
        <is>
          <t>3º PAV. - ACADEMIA</t>
        </is>
      </c>
      <c r="F695" s="119" t="n">
        <v>46296</v>
      </c>
      <c r="G695" s="119" t="n">
        <v>46310</v>
      </c>
      <c r="H695" s="119" t="n">
        <v>46293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IF(E695="","",IF(ISNUMBER(SEARCH("SUBSOLO",E695)),IFERROR(-VALUE(LEFT(E695,FIND("º",SUBSTITUTE(E695,"°","º"))-1)),-1),IF(LEFT(E695,6)="TÉRREO",0,IFERROR(VALUE(LEFT(E695,FIND("º",SUBSTITUTE(E695,"°","º"))-1)),""))))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25210719</v>
      </c>
      <c r="C696" s="4" t="inlineStr">
        <is>
          <t>PRUMADA HIDROSSANITÁRIA</t>
        </is>
      </c>
      <c r="D696" s="4" t="inlineStr">
        <is>
          <t>-</t>
        </is>
      </c>
      <c r="E696" s="4" t="inlineStr">
        <is>
          <t>7º PAV. TIPO</t>
        </is>
      </c>
      <c r="F696" s="119" t="n">
        <v>46297</v>
      </c>
      <c r="G696" s="119" t="n">
        <v>46310</v>
      </c>
      <c r="H696" s="119" t="n">
        <v>46293</v>
      </c>
      <c r="I696" s="4" t="n">
        <v>100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IF(E696="","",IF(ISNUMBER(SEARCH("SUBSOLO",E696)),IFERROR(-VALUE(LEFT(E696,FIND("º",SUBSTITUTE(E696,"°","º"))-1)),-1),IF(LEFT(E696,6)="TÉRREO",0,IFERROR(VALUE(LEFT(E696,FIND("º",SUBSTITUTE(E696,"°","º"))-1)),""))))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53293801</v>
      </c>
      <c r="C697" s="4" t="inlineStr">
        <is>
          <t>PRUMADA DE INCÊNDIO</t>
        </is>
      </c>
      <c r="D697" s="4" t="inlineStr">
        <is>
          <t>-</t>
        </is>
      </c>
      <c r="E697" s="4" t="inlineStr">
        <is>
          <t>2º PAV. GARAGEM.</t>
        </is>
      </c>
      <c r="F697" s="119" t="n">
        <v>46300</v>
      </c>
      <c r="G697" s="119" t="n">
        <v>46304</v>
      </c>
      <c r="H697" s="119" t="n">
        <v>46293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IF(E697="","",IF(ISNUMBER(SEARCH("SUBSOLO",E697)),IFERROR(-VALUE(LEFT(E697,FIND("º",SUBSTITUTE(E697,"°","º"))-1)),-1),IF(LEFT(E697,6)="TÉRREO",0,IFERROR(VALUE(LEFT(E697,FIND("º",SUBSTITUTE(E697,"°","º"))-1)),""))))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22139731</v>
      </c>
      <c r="C698" s="4" t="inlineStr">
        <is>
          <t>ESTRUTURA TORRE</t>
        </is>
      </c>
      <c r="D698" s="4" t="inlineStr">
        <is>
          <t>-</t>
        </is>
      </c>
      <c r="E698" s="4" t="inlineStr">
        <is>
          <t>19º PAV. TIPO</t>
        </is>
      </c>
      <c r="F698" s="119" t="n">
        <v>46300</v>
      </c>
      <c r="G698" s="119" t="n">
        <v>46315</v>
      </c>
      <c r="H698" s="119" t="n">
        <v>46293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IF(E698="","",IF(ISNUMBER(SEARCH("SUBSOLO",E698)),IFERROR(-VALUE(LEFT(E698,FIND("º",SUBSTITUTE(E698,"°","º"))-1)),-1),IF(LEFT(E698,6)="TÉRREO",0,IFERROR(VALUE(LEFT(E698,FIND("º",SUBSTITUTE(E698,"°","º"))-1)),""))))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9877236</v>
      </c>
      <c r="C699" s="4" t="inlineStr">
        <is>
          <t>ESTRUTURA TORRE</t>
        </is>
      </c>
      <c r="D699" s="4" t="inlineStr">
        <is>
          <t>Forma Pilar</t>
        </is>
      </c>
      <c r="E699" s="4" t="inlineStr">
        <is>
          <t>19º PAV. TIPO</t>
        </is>
      </c>
      <c r="F699" s="119" t="n">
        <v>46300</v>
      </c>
      <c r="G699" s="119" t="n">
        <v>46301</v>
      </c>
      <c r="H699" s="119" t="n">
        <v>46293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IF(E699="","",IF(ISNUMBER(SEARCH("SUBSOLO",E699)),IFERROR(-VALUE(LEFT(E699,FIND("º",SUBSTITUTE(E699,"°","º"))-1)),-1),IF(LEFT(E699,6)="TÉRREO",0,IFERROR(VALUE(LEFT(E699,FIND("º",SUBSTITUTE(E699,"°","º"))-1)),""))))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9877237</v>
      </c>
      <c r="C700" s="4" t="inlineStr">
        <is>
          <t>ESTRUTURA TORRE</t>
        </is>
      </c>
      <c r="D700" s="4" t="inlineStr">
        <is>
          <t>Armação Pilar</t>
        </is>
      </c>
      <c r="E700" s="4" t="inlineStr">
        <is>
          <t>19º PAV. TIPO</t>
        </is>
      </c>
      <c r="F700" s="119" t="n">
        <v>46300</v>
      </c>
      <c r="G700" s="119" t="n">
        <v>46301</v>
      </c>
      <c r="H700" s="119" t="n">
        <v>46293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IF(E700="","",IF(ISNUMBER(SEARCH("SUBSOLO",E700)),IFERROR(-VALUE(LEFT(E700,FIND("º",SUBSTITUTE(E700,"°","º"))-1)),-1),IF(LEFT(E700,6)="TÉRREO",0,IFERROR(VALUE(LEFT(E700,FIND("º",SUBSTITUTE(E700,"°","º"))-1)),""))))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9877238</v>
      </c>
      <c r="C701" s="4" t="inlineStr">
        <is>
          <t>ESTRUTURA TORRE</t>
        </is>
      </c>
      <c r="D701" s="4" t="inlineStr">
        <is>
          <t>Escoramento</t>
        </is>
      </c>
      <c r="E701" s="4" t="inlineStr">
        <is>
          <t>19º PAV. TIPO</t>
        </is>
      </c>
      <c r="F701" s="119" t="n">
        <v>46301</v>
      </c>
      <c r="G701" s="119" t="n">
        <v>46302</v>
      </c>
      <c r="H701" s="119" t="n">
        <v>46293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IF(E701="","",IF(ISNUMBER(SEARCH("SUBSOLO",E701)),IFERROR(-VALUE(LEFT(E701,FIND("º",SUBSTITUTE(E701,"°","º"))-1)),-1),IF(LEFT(E701,6)="TÉRREO",0,IFERROR(VALUE(LEFT(E701,FIND("º",SUBSTITUTE(E701,"°","º"))-1)),""))))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9877925</v>
      </c>
      <c r="C702" s="4" t="inlineStr">
        <is>
          <t>ESTRUTURA TORRE</t>
        </is>
      </c>
      <c r="D702" s="4" t="inlineStr">
        <is>
          <t>Concretagem Pilar</t>
        </is>
      </c>
      <c r="E702" s="4" t="inlineStr">
        <is>
          <t>19º PAV. TIPO</t>
        </is>
      </c>
      <c r="F702" s="119" t="n">
        <v>46303</v>
      </c>
      <c r="G702" s="119" t="n">
        <v>46303</v>
      </c>
      <c r="H702" s="119" t="n">
        <v>46293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IF(E702="","",IF(ISNUMBER(SEARCH("SUBSOLO",E702)),IFERROR(-VALUE(LEFT(E702,FIND("º",SUBSTITUTE(E702,"°","º"))-1)),-1),IF(LEFT(E702,6)="TÉRREO",0,IFERROR(VALUE(LEFT(E702,FIND("º",SUBSTITUTE(E702,"°","º"))-1)),""))))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9877926</v>
      </c>
      <c r="C703" s="4" t="inlineStr">
        <is>
          <t>ESTRUTURA TORRE</t>
        </is>
      </c>
      <c r="D703" s="4" t="inlineStr">
        <is>
          <t>Forma Vigas e Lajes</t>
        </is>
      </c>
      <c r="E703" s="4" t="inlineStr">
        <is>
          <t>19º PAV. TIPO</t>
        </is>
      </c>
      <c r="F703" s="119" t="n">
        <v>46304</v>
      </c>
      <c r="G703" s="119" t="n">
        <v>46310</v>
      </c>
      <c r="H703" s="119" t="n">
        <v>46293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IF(E703="","",IF(ISNUMBER(SEARCH("SUBSOLO",E703)),IFERROR(-VALUE(LEFT(E703,FIND("º",SUBSTITUTE(E703,"°","º"))-1)),-1),IF(LEFT(E703,6)="TÉRREO",0,IFERROR(VALUE(LEFT(E703,FIND("º",SUBSTITUTE(E703,"°","º"))-1)),""))))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9877927</v>
      </c>
      <c r="C704" s="4" t="inlineStr">
        <is>
          <t>ESTRUTURA TORRE</t>
        </is>
      </c>
      <c r="D704" s="4" t="inlineStr">
        <is>
          <t>Armação Vigas e Lajes</t>
        </is>
      </c>
      <c r="E704" s="4" t="inlineStr">
        <is>
          <t>19º PAV. TIPO</t>
        </is>
      </c>
      <c r="F704" s="119" t="n">
        <v>46308</v>
      </c>
      <c r="G704" s="119" t="n">
        <v>46311</v>
      </c>
      <c r="H704" s="119" t="n">
        <v>46293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IF(E704="","",IF(ISNUMBER(SEARCH("SUBSOLO",E704)),IFERROR(-VALUE(LEFT(E704,FIND("º",SUBSTITUTE(E704,"°","º"))-1)),-1),IF(LEFT(E704,6)="TÉRREO",0,IFERROR(VALUE(LEFT(E704,FIND("º",SUBSTITUTE(E704,"°","º"))-1)),""))))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9877928</v>
      </c>
      <c r="C705" s="4" t="inlineStr">
        <is>
          <t>ESTRUTURA TORRE</t>
        </is>
      </c>
      <c r="D705" s="4" t="inlineStr">
        <is>
          <t>Passagem Hidráulica</t>
        </is>
      </c>
      <c r="E705" s="4" t="inlineStr">
        <is>
          <t>19º PAV. TIPO</t>
        </is>
      </c>
      <c r="F705" s="119" t="n">
        <v>46310</v>
      </c>
      <c r="G705" s="119" t="n">
        <v>46310</v>
      </c>
      <c r="H705" s="119" t="n">
        <v>46293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IF(E705="","",IF(ISNUMBER(SEARCH("SUBSOLO",E705)),IFERROR(-VALUE(LEFT(E705,FIND("º",SUBSTITUTE(E705,"°","º"))-1)),-1),IF(LEFT(E705,6)="TÉRREO",0,IFERROR(VALUE(LEFT(E705,FIND("º",SUBSTITUTE(E705,"°","º"))-1)),""))))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9877929</v>
      </c>
      <c r="C706" s="4" t="inlineStr">
        <is>
          <t>ESTRUTURA TORRE</t>
        </is>
      </c>
      <c r="D706" s="4" t="inlineStr">
        <is>
          <t>Passagem Elétrica</t>
        </is>
      </c>
      <c r="E706" s="4" t="inlineStr">
        <is>
          <t>19º PAV. TIPO</t>
        </is>
      </c>
      <c r="F706" s="119" t="n">
        <v>46310</v>
      </c>
      <c r="G706" s="119" t="n">
        <v>46310</v>
      </c>
      <c r="H706" s="119" t="n">
        <v>46293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IF(E706="","",IF(ISNUMBER(SEARCH("SUBSOLO",E706)),IFERROR(-VALUE(LEFT(E706,FIND("º",SUBSTITUTE(E706,"°","º"))-1)),-1),IF(LEFT(E706,6)="TÉRREO",0,IFERROR(VALUE(LEFT(E706,FIND("º",SUBSTITUTE(E706,"°","º"))-1)),""))))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9877930</v>
      </c>
      <c r="C707" s="4" t="inlineStr">
        <is>
          <t>ESTRUTURA TORRE</t>
        </is>
      </c>
      <c r="D707" s="4" t="inlineStr">
        <is>
          <t>Concretagem</t>
        </is>
      </c>
      <c r="E707" s="4" t="inlineStr">
        <is>
          <t>19º PAV. TIPO</t>
        </is>
      </c>
      <c r="F707" s="119" t="n">
        <v>46311</v>
      </c>
      <c r="G707" s="119" t="n">
        <v>46315</v>
      </c>
      <c r="H707" s="119" t="n">
        <v>46293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IF(E707="","",IF(ISNUMBER(SEARCH("SUBSOLO",E707)),IFERROR(-VALUE(LEFT(E707,FIND("º",SUBSTITUTE(E707,"°","º"))-1)),-1),IF(LEFT(E707,6)="TÉRREO",0,IFERROR(VALUE(LEFT(E707,FIND("º",SUBSTITUTE(E707,"°","º"))-1)),""))))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33366480</v>
      </c>
      <c r="C708" s="4" t="inlineStr">
        <is>
          <t>ALVENARIA - SETOR A</t>
        </is>
      </c>
      <c r="D708" s="4" t="inlineStr">
        <is>
          <t>-</t>
        </is>
      </c>
      <c r="E708" s="4" t="inlineStr">
        <is>
          <t>TÉRREO - GARAGENS</t>
        </is>
      </c>
      <c r="F708" s="119" t="n">
        <v>46303</v>
      </c>
      <c r="G708" s="119" t="n">
        <v>46336</v>
      </c>
      <c r="H708" s="119" t="n">
        <v>46293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IF(E708="","",IF(ISNUMBER(SEARCH("SUBSOLO",E708)),IFERROR(-VALUE(LEFT(E708,FIND("º",SUBSTITUTE(E708,"°","º"))-1)),-1),IF(LEFT(E708,6)="TÉRREO",0,IFERROR(VALUE(LEFT(E708,FIND("º",SUBSTITUTE(E708,"°","º"))-1)),""))))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33368735</v>
      </c>
      <c r="C709" s="4" t="inlineStr">
        <is>
          <t>DISTRIBUIÇÃO ELÉTRICA / QUADRO - SETOR C</t>
        </is>
      </c>
      <c r="D709" s="4" t="inlineStr">
        <is>
          <t>-</t>
        </is>
      </c>
      <c r="E709" s="4" t="inlineStr">
        <is>
          <t>TÉRREO - GARAGENS</t>
        </is>
      </c>
      <c r="F709" s="119" t="n">
        <v>46303</v>
      </c>
      <c r="G709" s="119" t="n">
        <v>46336</v>
      </c>
      <c r="H709" s="119" t="n">
        <v>46293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IF(E709="","",IF(ISNUMBER(SEARCH("SUBSOLO",E709)),IFERROR(-VALUE(LEFT(E709,FIND("º",SUBSTITUTE(E709,"°","º"))-1)),-1),IF(LEFT(E709,6)="TÉRREO",0,IFERROR(VALUE(LEFT(E709,FIND("º",SUBSTITUTE(E709,"°","º"))-1)),""))))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33369109</v>
      </c>
      <c r="C710" s="4" t="inlineStr">
        <is>
          <t>DISTRIBUIÇÃO HIDRÁULICA - SETOR C</t>
        </is>
      </c>
      <c r="D710" s="4" t="inlineStr">
        <is>
          <t>-</t>
        </is>
      </c>
      <c r="E710" s="4" t="inlineStr">
        <is>
          <t>TÉRREO - GARAGENS</t>
        </is>
      </c>
      <c r="F710" s="119" t="n">
        <v>46303</v>
      </c>
      <c r="G710" s="119" t="n">
        <v>46336</v>
      </c>
      <c r="H710" s="119" t="n">
        <v>46293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IF(E710="","",IF(ISNUMBER(SEARCH("SUBSOLO",E710)),IFERROR(-VALUE(LEFT(E710,FIND("º",SUBSTITUTE(E710,"°","º"))-1)),-1),IF(LEFT(E710,6)="TÉRREO",0,IFERROR(VALUE(LEFT(E710,FIND("º",SUBSTITUTE(E710,"°","º"))-1)),""))))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25752789</v>
      </c>
      <c r="C711" s="4" t="inlineStr">
        <is>
          <t>ALVENARIA</t>
        </is>
      </c>
      <c r="D711" s="4" t="inlineStr">
        <is>
          <t>-</t>
        </is>
      </c>
      <c r="E711" s="4" t="inlineStr">
        <is>
          <t>TÉRREO - ÁREAS DE FUNCIONÁRIOS</t>
        </is>
      </c>
      <c r="F711" s="119" t="n">
        <v>46303</v>
      </c>
      <c r="G711" s="119" t="n">
        <v>46324</v>
      </c>
      <c r="H711" s="119" t="n">
        <v>46293</v>
      </c>
      <c r="I711" s="4" t="n">
        <v>0</v>
      </c>
      <c r="J711" s="4" t="n">
        <v>0</v>
      </c>
      <c r="K711" s="4" t="n">
        <v>100</v>
      </c>
      <c r="M711" s="2">
        <f>IF(C711="","",IFERROR(INDEX($S$5:$S$304,MATCH(C711,$R$5:$R$304,0))&amp;"","?"))</f>
        <v/>
      </c>
      <c r="N711" s="2">
        <f>IF(E711="","",IF(ISNUMBER(SEARCH("SUBSOLO",E711)),IFERROR(-VALUE(LEFT(E711,FIND("º",SUBSTITUTE(E711,"°","º"))-1)),-1),IF(LEFT(E711,6)="TÉRREO",0,IFERROR(VALUE(LEFT(E711,FIND("º",SUBSTITUTE(E711,"°","º"))-1)),""))))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25210747</v>
      </c>
      <c r="C712" s="4" t="inlineStr">
        <is>
          <t>CONTRAMARCO</t>
        </is>
      </c>
      <c r="D712" s="4" t="inlineStr">
        <is>
          <t>-</t>
        </is>
      </c>
      <c r="E712" s="4" t="inlineStr">
        <is>
          <t>6º PAV. TIPO</t>
        </is>
      </c>
      <c r="F712" s="119" t="n">
        <v>46303</v>
      </c>
      <c r="G712" s="119" t="n">
        <v>46316</v>
      </c>
      <c r="H712" s="119" t="n">
        <v>46293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IF(E712="","",IF(ISNUMBER(SEARCH("SUBSOLO",E712)),IFERROR(-VALUE(LEFT(E712,FIND("º",SUBSTITUTE(E712,"°","º"))-1)),-1),IF(LEFT(E712,6)="TÉRREO",0,IFERROR(VALUE(LEFT(E712,FIND("º",SUBSTITUTE(E712,"°","º"))-1)),""))))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25210752</v>
      </c>
      <c r="C713" s="4" t="inlineStr">
        <is>
          <t>GÁS</t>
        </is>
      </c>
      <c r="D713" s="4" t="inlineStr">
        <is>
          <t>-</t>
        </is>
      </c>
      <c r="E713" s="4" t="inlineStr">
        <is>
          <t>6º PAV. TIPO</t>
        </is>
      </c>
      <c r="F713" s="119" t="n">
        <v>46303</v>
      </c>
      <c r="G713" s="119" t="n">
        <v>46316</v>
      </c>
      <c r="H713" s="119" t="n">
        <v>46293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IF(E713="","",IF(ISNUMBER(SEARCH("SUBSOLO",E713)),IFERROR(-VALUE(LEFT(E713,FIND("º",SUBSTITUTE(E713,"°","º"))-1)),-1),IF(LEFT(E713,6)="TÉRREO",0,IFERROR(VALUE(LEFT(E713,FIND("º",SUBSTITUTE(E713,"°","º"))-1)),""))))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29601048</v>
      </c>
      <c r="C714" s="4" t="inlineStr">
        <is>
          <t>ENCUNHAMENTO</t>
        </is>
      </c>
      <c r="D714" s="4" t="inlineStr">
        <is>
          <t>-</t>
        </is>
      </c>
      <c r="E714" s="4" t="inlineStr">
        <is>
          <t>6º PAV. TIPO</t>
        </is>
      </c>
      <c r="F714" s="119" t="n">
        <v>46303</v>
      </c>
      <c r="G714" s="119" t="n">
        <v>46316</v>
      </c>
      <c r="H714" s="119" t="n">
        <v>46293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IF(E714="","",IF(ISNUMBER(SEARCH("SUBSOLO",E714)),IFERROR(-VALUE(LEFT(E714,FIND("º",SUBSTITUTE(E714,"°","º"))-1)),-1),IF(LEFT(E714,6)="TÉRREO",0,IFERROR(VALUE(LEFT(E714,FIND("º",SUBSTITUTE(E714,"°","º"))-1)),""))))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25210709</v>
      </c>
      <c r="C715" s="4" t="inlineStr">
        <is>
          <t>PRUMADA DE INCÊNDIO</t>
        </is>
      </c>
      <c r="D715" s="4" t="inlineStr">
        <is>
          <t>-</t>
        </is>
      </c>
      <c r="E715" s="4" t="inlineStr">
        <is>
          <t>7º PAV. TIPO</t>
        </is>
      </c>
      <c r="F715" s="119" t="n">
        <v>46303</v>
      </c>
      <c r="G715" s="119" t="n">
        <v>46316</v>
      </c>
      <c r="H715" s="119" t="n">
        <v>46293</v>
      </c>
      <c r="I715" s="4" t="n">
        <v>100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IF(E715="","",IF(ISNUMBER(SEARCH("SUBSOLO",E715)),IFERROR(-VALUE(LEFT(E715,FIND("º",SUBSTITUTE(E715,"°","º"))-1)),-1),IF(LEFT(E715,6)="TÉRREO",0,IFERROR(VALUE(LEFT(E715,FIND("º",SUBSTITUTE(E715,"°","º"))-1)),""))))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25799855</v>
      </c>
      <c r="C716" s="4" t="inlineStr">
        <is>
          <t>REBOCO INTERNO</t>
        </is>
      </c>
      <c r="D716" s="4" t="inlineStr">
        <is>
          <t>-</t>
        </is>
      </c>
      <c r="E716" s="4" t="inlineStr">
        <is>
          <t>3º PAV. PISCINA DESCOBERTA E E ÁREA DESCOBERTA PISCINA</t>
        </is>
      </c>
      <c r="F716" s="119" t="n">
        <v>46304</v>
      </c>
      <c r="G716" s="119" t="n">
        <v>46337</v>
      </c>
      <c r="H716" s="119" t="n">
        <v>46293</v>
      </c>
      <c r="I716" s="4" t="n">
        <v>100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IF(E716="","",IF(ISNUMBER(SEARCH("SUBSOLO",E716)),IFERROR(-VALUE(LEFT(E716,FIND("º",SUBSTITUTE(E716,"°","º"))-1)),-1),IF(LEFT(E716,6)="TÉRREO",0,IFERROR(VALUE(LEFT(E716,FIND("º",SUBSTITUTE(E716,"°","º"))-1)),""))))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25807537</v>
      </c>
      <c r="C717" s="4" t="inlineStr">
        <is>
          <t>PRUMADA DE INCÊNDIO</t>
        </is>
      </c>
      <c r="D717" s="4" t="inlineStr">
        <is>
          <t>-</t>
        </is>
      </c>
      <c r="E717" s="4" t="inlineStr">
        <is>
          <t>3º PAV. ESPAÇO THERMAS, PISCINA COBERTA, SAUNAS E VESTIÁRIOS</t>
        </is>
      </c>
      <c r="F717" s="119" t="n">
        <v>46308</v>
      </c>
      <c r="G717" s="119" t="n">
        <v>46314</v>
      </c>
      <c r="H717" s="119" t="n">
        <v>46293</v>
      </c>
      <c r="I717" s="4" t="n">
        <v>100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IF(E717="","",IF(ISNUMBER(SEARCH("SUBSOLO",E717)),IFERROR(-VALUE(LEFT(E717,FIND("º",SUBSTITUTE(E717,"°","º"))-1)),-1),IF(LEFT(E717,6)="TÉRREO",0,IFERROR(VALUE(LEFT(E717,FIND("º",SUBSTITUTE(E717,"°","º"))-1)),""))))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25799820</v>
      </c>
      <c r="C718" s="4" t="inlineStr">
        <is>
          <t>SHAFT INTERNO INST. HIDRAÚLICAS</t>
        </is>
      </c>
      <c r="D718" s="4" t="inlineStr">
        <is>
          <t>-</t>
        </is>
      </c>
      <c r="E718" s="4" t="inlineStr">
        <is>
          <t>3º PAV. - BAR PISCINA, VESTIÁRIOS, DEPOSITOS E LOUNGE QUADRAS</t>
        </is>
      </c>
      <c r="F718" s="119" t="n">
        <v>46308</v>
      </c>
      <c r="G718" s="119" t="n">
        <v>46321</v>
      </c>
      <c r="H718" s="119" t="n">
        <v>46293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IF(E718="","",IF(ISNUMBER(SEARCH("SUBSOLO",E718)),IFERROR(-VALUE(LEFT(E718,FIND("º",SUBSTITUTE(E718,"°","º"))-1)),-1),IF(LEFT(E718,6)="TÉRREO",0,IFERROR(VALUE(LEFT(E718,FIND("º",SUBSTITUTE(E718,"°","º"))-1)),""))))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27769231</v>
      </c>
      <c r="C719" s="4" t="inlineStr">
        <is>
          <t>PRUMADA ELÉTRICA INFRA</t>
        </is>
      </c>
      <c r="D719" s="4" t="inlineStr">
        <is>
          <t>-</t>
        </is>
      </c>
      <c r="E719" s="4" t="inlineStr">
        <is>
          <t>7º PAV. TIPO</t>
        </is>
      </c>
      <c r="F719" s="119" t="n">
        <v>46308</v>
      </c>
      <c r="G719" s="119" t="n">
        <v>46318</v>
      </c>
      <c r="H719" s="119" t="n">
        <v>46293</v>
      </c>
      <c r="I719" s="4" t="n">
        <v>77.77800000000001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IF(E719="","",IF(ISNUMBER(SEARCH("SUBSOLO",E719)),IFERROR(-VALUE(LEFT(E719,FIND("º",SUBSTITUTE(E719,"°","º"))-1)),-1),IF(LEFT(E719,6)="TÉRREO",0,IFERROR(VALUE(LEFT(E719,FIND("º",SUBSTITUTE(E719,"°","º"))-1)),""))))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25799816</v>
      </c>
      <c r="C720" s="4" t="inlineStr">
        <is>
          <t>PRUMADA DE INCÊNDIO</t>
        </is>
      </c>
      <c r="D720" s="4" t="inlineStr">
        <is>
          <t>-</t>
        </is>
      </c>
      <c r="E720" s="4" t="inlineStr">
        <is>
          <t>3º PAV. - BAR PISCINA, VESTIÁRIOS, DEPOSITOS E LOUNGE QUADRAS</t>
        </is>
      </c>
      <c r="F720" s="119" t="n">
        <v>46309</v>
      </c>
      <c r="G720" s="119" t="n">
        <v>46315</v>
      </c>
      <c r="H720" s="119" t="n">
        <v>46293</v>
      </c>
      <c r="I720" s="4" t="n">
        <v>100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IF(E720="","",IF(ISNUMBER(SEARCH("SUBSOLO",E720)),IFERROR(-VALUE(LEFT(E720,FIND("º",SUBSTITUTE(E720,"°","º"))-1)),-1),IF(LEFT(E720,6)="TÉRREO",0,IFERROR(VALUE(LEFT(E720,FIND("º",SUBSTITUTE(E720,"°","º"))-1)),""))))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43846651</v>
      </c>
      <c r="C721" s="4" t="inlineStr">
        <is>
          <t>ALVENARIA EXTERNA</t>
        </is>
      </c>
      <c r="D721" s="4" t="inlineStr">
        <is>
          <t>-</t>
        </is>
      </c>
      <c r="E721" s="4" t="inlineStr">
        <is>
          <t>15º PAV. TIPO</t>
        </is>
      </c>
      <c r="F721" s="119" t="n">
        <v>46309</v>
      </c>
      <c r="G721" s="119" t="n">
        <v>46317</v>
      </c>
      <c r="H721" s="119" t="n">
        <v>46293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IF(E721="","",IF(ISNUMBER(SEARCH("SUBSOLO",E721)),IFERROR(-VALUE(LEFT(E721,FIND("º",SUBSTITUTE(E721,"°","º"))-1)),-1),IF(LEFT(E721,6)="TÉRREO",0,IFERROR(VALUE(LEFT(E721,FIND("º",SUBSTITUTE(E721,"°","º"))-1)),""))))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25799880</v>
      </c>
      <c r="C722" s="4" t="inlineStr">
        <is>
          <t>PRUMADA DE INCÊNDIO</t>
        </is>
      </c>
      <c r="D722" s="4" t="inlineStr">
        <is>
          <t>-</t>
        </is>
      </c>
      <c r="E722" s="4" t="inlineStr">
        <is>
          <t>3º PAV. - ACADEMIA</t>
        </is>
      </c>
      <c r="F722" s="119" t="n">
        <v>46310</v>
      </c>
      <c r="G722" s="119" t="n">
        <v>46316</v>
      </c>
      <c r="H722" s="119" t="n">
        <v>46293</v>
      </c>
      <c r="I722" s="4" t="n">
        <v>100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IF(E722="","",IF(ISNUMBER(SEARCH("SUBSOLO",E722)),IFERROR(-VALUE(LEFT(E722,FIND("º",SUBSTITUTE(E722,"°","º"))-1)),-1),IF(LEFT(E722,6)="TÉRREO",0,IFERROR(VALUE(LEFT(E722,FIND("º",SUBSTITUTE(E722,"°","º"))-1)),""))))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25799823</v>
      </c>
      <c r="C723" s="4" t="inlineStr">
        <is>
          <t>REBOCO INTERNO</t>
        </is>
      </c>
      <c r="D723" s="4" t="inlineStr">
        <is>
          <t>-</t>
        </is>
      </c>
      <c r="E723" s="4" t="inlineStr">
        <is>
          <t>3º PAV. - BAR PISCINA, VESTIÁRIOS, DEPOSITOS E LOUNGE QUADRAS</t>
        </is>
      </c>
      <c r="F723" s="119" t="n">
        <v>46311</v>
      </c>
      <c r="G723" s="119" t="n">
        <v>46339</v>
      </c>
      <c r="H723" s="119" t="n">
        <v>46293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IF(E723="","",IF(ISNUMBER(SEARCH("SUBSOLO",E723)),IFERROR(-VALUE(LEFT(E723,FIND("º",SUBSTITUTE(E723,"°","º"))-1)),-1),IF(LEFT(E723,6)="TÉRREO",0,IFERROR(VALUE(LEFT(E723,FIND("º",SUBSTITUTE(E723,"°","º"))-1)),""))))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25799884</v>
      </c>
      <c r="C724" s="4" t="inlineStr">
        <is>
          <t>SHAFT INTERNO INST. HIDRAÚLICAS</t>
        </is>
      </c>
      <c r="D724" s="4" t="inlineStr">
        <is>
          <t>-</t>
        </is>
      </c>
      <c r="E724" s="4" t="inlineStr">
        <is>
          <t>3º PAV. - ACADEMIA</t>
        </is>
      </c>
      <c r="F724" s="119" t="n">
        <v>46311</v>
      </c>
      <c r="G724" s="119" t="n">
        <v>46324</v>
      </c>
      <c r="H724" s="119" t="n">
        <v>46293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IF(E724="","",IF(ISNUMBER(SEARCH("SUBSOLO",E724)),IFERROR(-VALUE(LEFT(E724,FIND("º",SUBSTITUTE(E724,"°","º"))-1)),-1),IF(LEFT(E724,6)="TÉRREO",0,IFERROR(VALUE(LEFT(E724,FIND("º",SUBSTITUTE(E724,"°","º"))-1)),""))))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29601050</v>
      </c>
      <c r="C725" s="4" t="inlineStr">
        <is>
          <t>TALISCAMENTO</t>
        </is>
      </c>
      <c r="D725" s="4" t="inlineStr">
        <is>
          <t>-</t>
        </is>
      </c>
      <c r="E725" s="4" t="inlineStr">
        <is>
          <t>7º PAV. TIPO</t>
        </is>
      </c>
      <c r="F725" s="119" t="n">
        <v>46311</v>
      </c>
      <c r="G725" s="119" t="n">
        <v>46323</v>
      </c>
      <c r="H725" s="119" t="n">
        <v>46293</v>
      </c>
      <c r="I725" s="4" t="n">
        <v>44.444</v>
      </c>
      <c r="J725" s="4" t="n">
        <v>0</v>
      </c>
      <c r="K725" s="4" t="n">
        <v>100</v>
      </c>
      <c r="M725" s="2">
        <f>IF(C725="","",IFERROR(INDEX($S$5:$S$304,MATCH(C725,$R$5:$R$304,0))&amp;"","?"))</f>
        <v/>
      </c>
      <c r="N725" s="2">
        <f>IF(E725="","",IF(ISNUMBER(SEARCH("SUBSOLO",E725)),IFERROR(-VALUE(LEFT(E725,FIND("º",SUBSTITUTE(E725,"°","º"))-1)),-1),IF(LEFT(E725,6)="TÉRREO",0,IFERROR(VALUE(LEFT(E725,FIND("º",SUBSTITUTE(E725,"°","º"))-1)),""))))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25210614</v>
      </c>
      <c r="C726" s="4" t="inlineStr">
        <is>
          <t>PRUMADA HIDROSSANITÁRIA</t>
        </is>
      </c>
      <c r="D726" s="4" t="inlineStr">
        <is>
          <t>-</t>
        </is>
      </c>
      <c r="E726" s="4" t="inlineStr">
        <is>
          <t>10º PAV. TIPO</t>
        </is>
      </c>
      <c r="F726" s="119" t="n">
        <v>46311</v>
      </c>
      <c r="G726" s="119" t="n">
        <v>46323</v>
      </c>
      <c r="H726" s="119" t="n">
        <v>46293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IF(E726="","",IF(ISNUMBER(SEARCH("SUBSOLO",E726)),IFERROR(-VALUE(LEFT(E726,FIND("º",SUBSTITUTE(E726,"°","º"))-1)),-1),IF(LEFT(E726,6)="TÉRREO",0,IFERROR(VALUE(LEFT(E726,FIND("º",SUBSTITUTE(E726,"°","º"))-1)),""))))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33369045</v>
      </c>
      <c r="C727" s="4" t="inlineStr">
        <is>
          <t>INFRAESTRUTURA ELÉTRICA (TETO) - SETOR A</t>
        </is>
      </c>
      <c r="D727" s="4" t="inlineStr">
        <is>
          <t>-</t>
        </is>
      </c>
      <c r="E727" s="4" t="inlineStr">
        <is>
          <t>TÉRREO - GARAGENS</t>
        </is>
      </c>
      <c r="F727" s="119" t="n">
        <v>46314</v>
      </c>
      <c r="G727" s="119" t="n">
        <v>46344</v>
      </c>
      <c r="H727" s="119" t="n">
        <v>46293</v>
      </c>
      <c r="I727" s="4" t="n">
        <v>9.090999999999999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IF(E727="","",IF(ISNUMBER(SEARCH("SUBSOLO",E727)),IFERROR(-VALUE(LEFT(E727,FIND("º",SUBSTITUTE(E727,"°","º"))-1)),-1),IF(LEFT(E727,6)="TÉRREO",0,IFERROR(VALUE(LEFT(E727,FIND("º",SUBSTITUTE(E727,"°","º"))-1)),""))))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25807548</v>
      </c>
      <c r="C728" s="4" t="inlineStr">
        <is>
          <t>IMPERMEABILIZAÇÃO</t>
        </is>
      </c>
      <c r="D728" s="4" t="inlineStr">
        <is>
          <t>-</t>
        </is>
      </c>
      <c r="E728" s="4" t="inlineStr">
        <is>
          <t>3º PAV. ESPAÇO THERMAS, PISCINA COBERTA, SAUNAS E VESTIÁRIOS</t>
        </is>
      </c>
      <c r="F728" s="119" t="n">
        <v>46314</v>
      </c>
      <c r="G728" s="119" t="n">
        <v>46356</v>
      </c>
      <c r="H728" s="119" t="n">
        <v>46293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IF(E728="","",IF(ISNUMBER(SEARCH("SUBSOLO",E728)),IFERROR(-VALUE(LEFT(E728,FIND("º",SUBSTITUTE(E728,"°","º"))-1)),-1),IF(LEFT(E728,6)="TÉRREO",0,IFERROR(VALUE(LEFT(E728,FIND("º",SUBSTITUTE(E728,"°","º"))-1)),""))))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42645672</v>
      </c>
      <c r="C729" s="4" t="inlineStr">
        <is>
          <t>IMPERMEABILIZAÇÃO</t>
        </is>
      </c>
      <c r="D729" s="4" t="inlineStr">
        <is>
          <t>Imprimação</t>
        </is>
      </c>
      <c r="E729" s="4" t="inlineStr">
        <is>
          <t>3º PAV. ESPAÇO THERMAS, PISCINA COBERTA, SAUNAS E VESTIÁRIOS</t>
        </is>
      </c>
      <c r="F729" s="119" t="n">
        <v>46314</v>
      </c>
      <c r="G729" s="119" t="n">
        <v>46322</v>
      </c>
      <c r="H729" s="119" t="n">
        <v>46293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IF(E729="","",IF(ISNUMBER(SEARCH("SUBSOLO",E729)),IFERROR(-VALUE(LEFT(E729,FIND("º",SUBSTITUTE(E729,"°","º"))-1)),-1),IF(LEFT(E729,6)="TÉRREO",0,IFERROR(VALUE(LEFT(E729,FIND("º",SUBSTITUTE(E729,"°","º"))-1)),""))))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42645673</v>
      </c>
      <c r="C730" s="4" t="inlineStr">
        <is>
          <t>IMPERMEABILIZAÇÃO</t>
        </is>
      </c>
      <c r="D730" s="4" t="inlineStr">
        <is>
          <t>Manta - Primeira Camada</t>
        </is>
      </c>
      <c r="E730" s="4" t="inlineStr">
        <is>
          <t>3º PAV. ESPAÇO THERMAS, PISCINA COBERTA, SAUNAS E VESTIÁRIOS</t>
        </is>
      </c>
      <c r="F730" s="119" t="n">
        <v>46323</v>
      </c>
      <c r="G730" s="119" t="n">
        <v>46337</v>
      </c>
      <c r="H730" s="119" t="n">
        <v>46293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IF(E730="","",IF(ISNUMBER(SEARCH("SUBSOLO",E730)),IFERROR(-VALUE(LEFT(E730,FIND("º",SUBSTITUTE(E730,"°","º"))-1)),-1),IF(LEFT(E730,6)="TÉRREO",0,IFERROR(VALUE(LEFT(E730,FIND("º",SUBSTITUTE(E730,"°","º"))-1)),""))))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42645674</v>
      </c>
      <c r="C731" s="4" t="inlineStr">
        <is>
          <t>IMPERMEABILIZAÇÃO</t>
        </is>
      </c>
      <c r="D731" s="4" t="inlineStr">
        <is>
          <t>Manta - Segunda Camada</t>
        </is>
      </c>
      <c r="E731" s="4" t="inlineStr">
        <is>
          <t>3º PAV. ESPAÇO THERMAS, PISCINA COBERTA, SAUNAS E VESTIÁRIOS</t>
        </is>
      </c>
      <c r="F731" s="119" t="n">
        <v>46330</v>
      </c>
      <c r="G731" s="119" t="n">
        <v>46343</v>
      </c>
      <c r="H731" s="119" t="n">
        <v>46293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IF(E731="","",IF(ISNUMBER(SEARCH("SUBSOLO",E731)),IFERROR(-VALUE(LEFT(E731,FIND("º",SUBSTITUTE(E731,"°","º"))-1)),-1),IF(LEFT(E731,6)="TÉRREO",0,IFERROR(VALUE(LEFT(E731,FIND("º",SUBSTITUTE(E731,"°","º"))-1)),""))))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42645675</v>
      </c>
      <c r="C732" s="4" t="inlineStr">
        <is>
          <t>IMPERMEABILIZAÇÃO</t>
        </is>
      </c>
      <c r="D732" s="4" t="inlineStr">
        <is>
          <t>Teste Manta - Fase 1</t>
        </is>
      </c>
      <c r="E732" s="4" t="inlineStr">
        <is>
          <t>3º PAV. ESPAÇO THERMAS, PISCINA COBERTA, SAUNAS E VESTIÁRIOS</t>
        </is>
      </c>
      <c r="F732" s="119" t="n">
        <v>46344</v>
      </c>
      <c r="G732" s="119" t="n">
        <v>46350</v>
      </c>
      <c r="H732" s="119" t="n">
        <v>46293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IF(E732="","",IF(ISNUMBER(SEARCH("SUBSOLO",E732)),IFERROR(-VALUE(LEFT(E732,FIND("º",SUBSTITUTE(E732,"°","º"))-1)),-1),IF(LEFT(E732,6)="TÉRREO",0,IFERROR(VALUE(LEFT(E732,FIND("º",SUBSTITUTE(E732,"°","º"))-1)),""))))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42645676</v>
      </c>
      <c r="C733" s="4" t="inlineStr">
        <is>
          <t>IMPERMEABILIZAÇÃO</t>
        </is>
      </c>
      <c r="D733" s="4" t="inlineStr">
        <is>
          <t>Teste Manta - Fase 2</t>
        </is>
      </c>
      <c r="E733" s="4" t="inlineStr">
        <is>
          <t>3º PAV. ESPAÇO THERMAS, PISCINA COBERTA, SAUNAS E VESTIÁRIOS</t>
        </is>
      </c>
      <c r="F733" s="119" t="n">
        <v>46351</v>
      </c>
      <c r="G733" s="119" t="n">
        <v>46356</v>
      </c>
      <c r="H733" s="119" t="n">
        <v>46293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IF(E733="","",IF(ISNUMBER(SEARCH("SUBSOLO",E733)),IFERROR(-VALUE(LEFT(E733,FIND("º",SUBSTITUTE(E733,"°","º"))-1)),-1),IF(LEFT(E733,6)="TÉRREO",0,IFERROR(VALUE(LEFT(E733,FIND("º",SUBSTITUTE(E733,"°","º"))-1)),""))))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22139732</v>
      </c>
      <c r="C734" s="4" t="inlineStr">
        <is>
          <t>ESTRUTURA TORRE</t>
        </is>
      </c>
      <c r="D734" s="4" t="inlineStr">
        <is>
          <t>-</t>
        </is>
      </c>
      <c r="E734" s="4" t="inlineStr">
        <is>
          <t>20º PAV. TIPO</t>
        </is>
      </c>
      <c r="F734" s="119" t="n">
        <v>46316</v>
      </c>
      <c r="G734" s="119" t="n">
        <v>46331</v>
      </c>
      <c r="H734" s="119" t="n">
        <v>46293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IF(E734="","",IF(ISNUMBER(SEARCH("SUBSOLO",E734)),IFERROR(-VALUE(LEFT(E734,FIND("º",SUBSTITUTE(E734,"°","º"))-1)),-1),IF(LEFT(E734,6)="TÉRREO",0,IFERROR(VALUE(LEFT(E734,FIND("º",SUBSTITUTE(E734,"°","º"))-1)),""))))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9877244</v>
      </c>
      <c r="C735" s="4" t="inlineStr">
        <is>
          <t>ESTRUTURA TORRE</t>
        </is>
      </c>
      <c r="D735" s="4" t="inlineStr">
        <is>
          <t>Forma Pilar</t>
        </is>
      </c>
      <c r="E735" s="4" t="inlineStr">
        <is>
          <t>20º PAV. TIPO</t>
        </is>
      </c>
      <c r="F735" s="119" t="n">
        <v>46316</v>
      </c>
      <c r="G735" s="119" t="n">
        <v>46317</v>
      </c>
      <c r="H735" s="119" t="n">
        <v>46293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IF(E735="","",IF(ISNUMBER(SEARCH("SUBSOLO",E735)),IFERROR(-VALUE(LEFT(E735,FIND("º",SUBSTITUTE(E735,"°","º"))-1)),-1),IF(LEFT(E735,6)="TÉRREO",0,IFERROR(VALUE(LEFT(E735,FIND("º",SUBSTITUTE(E735,"°","º"))-1)),""))))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9877245</v>
      </c>
      <c r="C736" s="4" t="inlineStr">
        <is>
          <t>ESTRUTURA TORRE</t>
        </is>
      </c>
      <c r="D736" s="4" t="inlineStr">
        <is>
          <t>Armação Pilar</t>
        </is>
      </c>
      <c r="E736" s="4" t="inlineStr">
        <is>
          <t>20º PAV. TIPO</t>
        </is>
      </c>
      <c r="F736" s="119" t="n">
        <v>46316</v>
      </c>
      <c r="G736" s="119" t="n">
        <v>46317</v>
      </c>
      <c r="H736" s="119" t="n">
        <v>46293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IF(E736="","",IF(ISNUMBER(SEARCH("SUBSOLO",E736)),IFERROR(-VALUE(LEFT(E736,FIND("º",SUBSTITUTE(E736,"°","º"))-1)),-1),IF(LEFT(E736,6)="TÉRREO",0,IFERROR(VALUE(LEFT(E736,FIND("º",SUBSTITUTE(E736,"°","º"))-1)),""))))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9877246</v>
      </c>
      <c r="C737" s="4" t="inlineStr">
        <is>
          <t>ESTRUTURA TORRE</t>
        </is>
      </c>
      <c r="D737" s="4" t="inlineStr">
        <is>
          <t>Escoramento</t>
        </is>
      </c>
      <c r="E737" s="4" t="inlineStr">
        <is>
          <t>20º PAV. TIPO</t>
        </is>
      </c>
      <c r="F737" s="119" t="n">
        <v>46317</v>
      </c>
      <c r="G737" s="119" t="n">
        <v>46318</v>
      </c>
      <c r="H737" s="119" t="n">
        <v>46293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IF(E737="","",IF(ISNUMBER(SEARCH("SUBSOLO",E737)),IFERROR(-VALUE(LEFT(E737,FIND("º",SUBSTITUTE(E737,"°","º"))-1)),-1),IF(LEFT(E737,6)="TÉRREO",0,IFERROR(VALUE(LEFT(E737,FIND("º",SUBSTITUTE(E737,"°","º"))-1)),""))))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9877931</v>
      </c>
      <c r="C738" s="4" t="inlineStr">
        <is>
          <t>ESTRUTURA TORRE</t>
        </is>
      </c>
      <c r="D738" s="4" t="inlineStr">
        <is>
          <t>Concretagem Pilar</t>
        </is>
      </c>
      <c r="E738" s="4" t="inlineStr">
        <is>
          <t>20º PAV. TIPO</t>
        </is>
      </c>
      <c r="F738" s="119" t="n">
        <v>46321</v>
      </c>
      <c r="G738" s="119" t="n">
        <v>46321</v>
      </c>
      <c r="H738" s="119" t="n">
        <v>46293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IF(E738="","",IF(ISNUMBER(SEARCH("SUBSOLO",E738)),IFERROR(-VALUE(LEFT(E738,FIND("º",SUBSTITUTE(E738,"°","º"))-1)),-1),IF(LEFT(E738,6)="TÉRREO",0,IFERROR(VALUE(LEFT(E738,FIND("º",SUBSTITUTE(E738,"°","º"))-1)),""))))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9877932</v>
      </c>
      <c r="C739" s="4" t="inlineStr">
        <is>
          <t>ESTRUTURA TORRE</t>
        </is>
      </c>
      <c r="D739" s="4" t="inlineStr">
        <is>
          <t>Forma Vigas e Lajes</t>
        </is>
      </c>
      <c r="E739" s="4" t="inlineStr">
        <is>
          <t>20º PAV. TIPO</t>
        </is>
      </c>
      <c r="F739" s="119" t="n">
        <v>46322</v>
      </c>
      <c r="G739" s="119" t="n">
        <v>46325</v>
      </c>
      <c r="H739" s="119" t="n">
        <v>46293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IF(E739="","",IF(ISNUMBER(SEARCH("SUBSOLO",E739)),IFERROR(-VALUE(LEFT(E739,FIND("º",SUBSTITUTE(E739,"°","º"))-1)),-1),IF(LEFT(E739,6)="TÉRREO",0,IFERROR(VALUE(LEFT(E739,FIND("º",SUBSTITUTE(E739,"°","º"))-1)),""))))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9877933</v>
      </c>
      <c r="C740" s="4" t="inlineStr">
        <is>
          <t>ESTRUTURA TORRE</t>
        </is>
      </c>
      <c r="D740" s="4" t="inlineStr">
        <is>
          <t>Armação Vigas e Lajes</t>
        </is>
      </c>
      <c r="E740" s="4" t="inlineStr">
        <is>
          <t>20º PAV. TIPO</t>
        </is>
      </c>
      <c r="F740" s="119" t="n">
        <v>46323</v>
      </c>
      <c r="G740" s="119" t="n">
        <v>46329</v>
      </c>
      <c r="H740" s="119" t="n">
        <v>46293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IF(E740="","",IF(ISNUMBER(SEARCH("SUBSOLO",E740)),IFERROR(-VALUE(LEFT(E740,FIND("º",SUBSTITUTE(E740,"°","º"))-1)),-1),IF(LEFT(E740,6)="TÉRREO",0,IFERROR(VALUE(LEFT(E740,FIND("º",SUBSTITUTE(E740,"°","º"))-1)),""))))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9877934</v>
      </c>
      <c r="C741" s="4" t="inlineStr">
        <is>
          <t>ESTRUTURA TORRE</t>
        </is>
      </c>
      <c r="D741" s="4" t="inlineStr">
        <is>
          <t>Passagem Hidráulica</t>
        </is>
      </c>
      <c r="E741" s="4" t="inlineStr">
        <is>
          <t>20º PAV. TIPO</t>
        </is>
      </c>
      <c r="F741" s="119" t="n">
        <v>46325</v>
      </c>
      <c r="G741" s="119" t="n">
        <v>46325</v>
      </c>
      <c r="H741" s="119" t="n">
        <v>46293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IF(E741="","",IF(ISNUMBER(SEARCH("SUBSOLO",E741)),IFERROR(-VALUE(LEFT(E741,FIND("º",SUBSTITUTE(E741,"°","º"))-1)),-1),IF(LEFT(E741,6)="TÉRREO",0,IFERROR(VALUE(LEFT(E741,FIND("º",SUBSTITUTE(E741,"°","º"))-1)),""))))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9877935</v>
      </c>
      <c r="C742" s="4" t="inlineStr">
        <is>
          <t>ESTRUTURA TORRE</t>
        </is>
      </c>
      <c r="D742" s="4" t="inlineStr">
        <is>
          <t>Passagem Elétrica</t>
        </is>
      </c>
      <c r="E742" s="4" t="inlineStr">
        <is>
          <t>20º PAV. TIPO</t>
        </is>
      </c>
      <c r="F742" s="119" t="n">
        <v>46325</v>
      </c>
      <c r="G742" s="119" t="n">
        <v>46325</v>
      </c>
      <c r="H742" s="119" t="n">
        <v>46293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IF(E742="","",IF(ISNUMBER(SEARCH("SUBSOLO",E742)),IFERROR(-VALUE(LEFT(E742,FIND("º",SUBSTITUTE(E742,"°","º"))-1)),-1),IF(LEFT(E742,6)="TÉRREO",0,IFERROR(VALUE(LEFT(E742,FIND("º",SUBSTITUTE(E742,"°","º"))-1)),""))))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9877936</v>
      </c>
      <c r="C743" s="4" t="inlineStr">
        <is>
          <t>ESTRUTURA TORRE</t>
        </is>
      </c>
      <c r="D743" s="4" t="inlineStr">
        <is>
          <t>Concretagem</t>
        </is>
      </c>
      <c r="E743" s="4" t="inlineStr">
        <is>
          <t>20º PAV. TIPO</t>
        </is>
      </c>
      <c r="F743" s="119" t="n">
        <v>46329</v>
      </c>
      <c r="G743" s="119" t="n">
        <v>46331</v>
      </c>
      <c r="H743" s="119" t="n">
        <v>46293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IF(E743="","",IF(ISNUMBER(SEARCH("SUBSOLO",E743)),IFERROR(-VALUE(LEFT(E743,FIND("º",SUBSTITUTE(E743,"°","º"))-1)),-1),IF(LEFT(E743,6)="TÉRREO",0,IFERROR(VALUE(LEFT(E743,FIND("º",SUBSTITUTE(E743,"°","º"))-1)),""))))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33367717</v>
      </c>
      <c r="C744" s="4" t="inlineStr">
        <is>
          <t>REBOCO - SETOR C</t>
        </is>
      </c>
      <c r="D744" s="4" t="inlineStr">
        <is>
          <t>-</t>
        </is>
      </c>
      <c r="E744" s="4" t="inlineStr">
        <is>
          <t>TÉRREO - GARAGENS</t>
        </is>
      </c>
      <c r="F744" s="119" t="n">
        <v>46317</v>
      </c>
      <c r="G744" s="119" t="n">
        <v>46349</v>
      </c>
      <c r="H744" s="119" t="n">
        <v>46293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IF(E744="","",IF(ISNUMBER(SEARCH("SUBSOLO",E744)),IFERROR(-VALUE(LEFT(E744,FIND("º",SUBSTITUTE(E744,"°","º"))-1)),-1),IF(LEFT(E744,6)="TÉRREO",0,IFERROR(VALUE(LEFT(E744,FIND("º",SUBSTITUTE(E744,"°","º"))-1)),""))))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25210753</v>
      </c>
      <c r="C745" s="4" t="inlineStr">
        <is>
          <t>REBOCO INTERNO</t>
        </is>
      </c>
      <c r="D745" s="4" t="inlineStr">
        <is>
          <t>-</t>
        </is>
      </c>
      <c r="E745" s="4" t="inlineStr">
        <is>
          <t>6º PAV. TIPO</t>
        </is>
      </c>
      <c r="F745" s="119" t="n">
        <v>46317</v>
      </c>
      <c r="G745" s="119" t="n">
        <v>46338</v>
      </c>
      <c r="H745" s="119" t="n">
        <v>46293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IF(E745="","",IF(ISNUMBER(SEARCH("SUBSOLO",E745)),IFERROR(-VALUE(LEFT(E745,FIND("º",SUBSTITUTE(E745,"°","º"))-1)),-1),IF(LEFT(E745,6)="TÉRREO",0,IFERROR(VALUE(LEFT(E745,FIND("º",SUBSTITUTE(E745,"°","º"))-1)),""))))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25210749</v>
      </c>
      <c r="C746" s="4" t="inlineStr">
        <is>
          <t>ESPALA ESQUADRIA DE ALUMINIO</t>
        </is>
      </c>
      <c r="D746" s="4" t="inlineStr">
        <is>
          <t>-</t>
        </is>
      </c>
      <c r="E746" s="4" t="inlineStr">
        <is>
          <t>6º PAV. TIPO</t>
        </is>
      </c>
      <c r="F746" s="119" t="n">
        <v>46317</v>
      </c>
      <c r="G746" s="119" t="n">
        <v>46323</v>
      </c>
      <c r="H746" s="119" t="n">
        <v>46293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IF(E746="","",IF(ISNUMBER(SEARCH("SUBSOLO",E746)),IFERROR(-VALUE(LEFT(E746,FIND("º",SUBSTITUTE(E746,"°","º"))-1)),-1),IF(LEFT(E746,6)="TÉRREO",0,IFERROR(VALUE(LEFT(E746,FIND("º",SUBSTITUTE(E746,"°","º"))-1)),""))))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25210717</v>
      </c>
      <c r="C747" s="4" t="inlineStr">
        <is>
          <t>GÁS</t>
        </is>
      </c>
      <c r="D747" s="4" t="inlineStr">
        <is>
          <t>-</t>
        </is>
      </c>
      <c r="E747" s="4" t="inlineStr">
        <is>
          <t>7º PAV. TIPO</t>
        </is>
      </c>
      <c r="F747" s="119" t="n">
        <v>46317</v>
      </c>
      <c r="G747" s="119" t="n">
        <v>46330</v>
      </c>
      <c r="H747" s="119" t="n">
        <v>46293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IF(E747="","",IF(ISNUMBER(SEARCH("SUBSOLO",E747)),IFERROR(-VALUE(LEFT(E747,FIND("º",SUBSTITUTE(E747,"°","º"))-1)),-1),IF(LEFT(E747,6)="TÉRREO",0,IFERROR(VALUE(LEFT(E747,FIND("º",SUBSTITUTE(E747,"°","º"))-1)),""))))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25210604</v>
      </c>
      <c r="C748" s="4" t="inlineStr">
        <is>
          <t>PRUMADA DE INCÊNDIO</t>
        </is>
      </c>
      <c r="D748" s="4" t="inlineStr">
        <is>
          <t>-</t>
        </is>
      </c>
      <c r="E748" s="4" t="inlineStr">
        <is>
          <t>10º PAV. TIPO</t>
        </is>
      </c>
      <c r="F748" s="119" t="n">
        <v>46317</v>
      </c>
      <c r="G748" s="119" t="n">
        <v>46330</v>
      </c>
      <c r="H748" s="119" t="n">
        <v>46293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IF(E748="","",IF(ISNUMBER(SEARCH("SUBSOLO",E748)),IFERROR(-VALUE(LEFT(E748,FIND("º",SUBSTITUTE(E748,"°","º"))-1)),-1),IF(LEFT(E748,6)="TÉRREO",0,IFERROR(VALUE(LEFT(E748,FIND("º",SUBSTITUTE(E748,"°","º"))-1)),""))))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27769234</v>
      </c>
      <c r="C749" s="4" t="inlineStr">
        <is>
          <t>PRUMADA ELÉTRICA INFRA</t>
        </is>
      </c>
      <c r="D749" s="4" t="inlineStr">
        <is>
          <t>-</t>
        </is>
      </c>
      <c r="E749" s="4" t="inlineStr">
        <is>
          <t>10º PAV. TIPO</t>
        </is>
      </c>
      <c r="F749" s="119" t="n">
        <v>46321</v>
      </c>
      <c r="G749" s="119" t="n">
        <v>46332</v>
      </c>
      <c r="H749" s="119" t="n">
        <v>46293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IF(E749="","",IF(ISNUMBER(SEARCH("SUBSOLO",E749)),IFERROR(-VALUE(LEFT(E749,FIND("º",SUBSTITUTE(E749,"°","º"))-1)),-1),IF(LEFT(E749,6)="TÉRREO",0,IFERROR(VALUE(LEFT(E749,FIND("º",SUBSTITUTE(E749,"°","º"))-1)),""))))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25799856</v>
      </c>
      <c r="C750" s="4" t="inlineStr">
        <is>
          <t>CONTRAPISO</t>
        </is>
      </c>
      <c r="D750" s="4" t="inlineStr">
        <is>
          <t>-</t>
        </is>
      </c>
      <c r="E750" s="4" t="inlineStr">
        <is>
          <t>3º PAV. PISCINA DESCOBERTA E E ÁREA DESCOBERTA PISCINA</t>
        </is>
      </c>
      <c r="F750" s="119" t="n">
        <v>46323</v>
      </c>
      <c r="G750" s="119" t="n">
        <v>46360</v>
      </c>
      <c r="H750" s="119" t="n">
        <v>46293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IF(E750="","",IF(ISNUMBER(SEARCH("SUBSOLO",E750)),IFERROR(-VALUE(LEFT(E750,FIND("º",SUBSTITUTE(E750,"°","º"))-1)),-1),IF(LEFT(E750,6)="TÉRREO",0,IFERROR(VALUE(LEFT(E750,FIND("º",SUBSTITUTE(E750,"°","º"))-1)),""))))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42646091</v>
      </c>
      <c r="C751" s="4" t="inlineStr">
        <is>
          <t>CONTRAPISO</t>
        </is>
      </c>
      <c r="D751" s="4" t="inlineStr">
        <is>
          <t>Proteção Mecânica</t>
        </is>
      </c>
      <c r="E751" s="4" t="inlineStr">
        <is>
          <t>3º PAV. PISCINA DESCOBERTA E E ÁREA DESCOBERTA PISCINA</t>
        </is>
      </c>
      <c r="F751" s="119" t="n">
        <v>46323</v>
      </c>
      <c r="G751" s="119" t="n">
        <v>46330</v>
      </c>
      <c r="H751" s="119" t="n">
        <v>46293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IF(E751="","",IF(ISNUMBER(SEARCH("SUBSOLO",E751)),IFERROR(-VALUE(LEFT(E751,FIND("º",SUBSTITUTE(E751,"°","º"))-1)),-1),IF(LEFT(E751,6)="TÉRREO",0,IFERROR(VALUE(LEFT(E751,FIND("º",SUBSTITUTE(E751,"°","º"))-1)),""))))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42646092</v>
      </c>
      <c r="C752" s="4" t="inlineStr">
        <is>
          <t>CONTRAPISO</t>
        </is>
      </c>
      <c r="D752" s="4" t="inlineStr">
        <is>
          <t>Taliscamento</t>
        </is>
      </c>
      <c r="E752" s="4" t="inlineStr">
        <is>
          <t>3º PAV. PISCINA DESCOBERTA E E ÁREA DESCOBERTA PISCINA</t>
        </is>
      </c>
      <c r="F752" s="119" t="n">
        <v>46331</v>
      </c>
      <c r="G752" s="119" t="n">
        <v>46337</v>
      </c>
      <c r="H752" s="119" t="n">
        <v>46293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IF(E752="","",IF(ISNUMBER(SEARCH("SUBSOLO",E752)),IFERROR(-VALUE(LEFT(E752,FIND("º",SUBSTITUTE(E752,"°","º"))-1)),-1),IF(LEFT(E752,6)="TÉRREO",0,IFERROR(VALUE(LEFT(E752,FIND("º",SUBSTITUTE(E752,"°","º"))-1)),""))))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42646093</v>
      </c>
      <c r="C753" s="4" t="inlineStr">
        <is>
          <t>CONTRAPISO</t>
        </is>
      </c>
      <c r="D753" s="4" t="inlineStr">
        <is>
          <t>Contra Piso</t>
        </is>
      </c>
      <c r="E753" s="4" t="inlineStr">
        <is>
          <t>3º PAV. PISCINA DESCOBERTA E E ÁREA DESCOBERTA PISCINA</t>
        </is>
      </c>
      <c r="F753" s="119" t="n">
        <v>46338</v>
      </c>
      <c r="G753" s="119" t="n">
        <v>46360</v>
      </c>
      <c r="H753" s="119" t="n">
        <v>46293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IF(E753="","",IF(ISNUMBER(SEARCH("SUBSOLO",E753)),IFERROR(-VALUE(LEFT(E753,FIND("º",SUBSTITUTE(E753,"°","º"))-1)),-1),IF(LEFT(E753,6)="TÉRREO",0,IFERROR(VALUE(LEFT(E753,FIND("º",SUBSTITUTE(E753,"°","º"))-1)),""))))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25800754</v>
      </c>
      <c r="C754" s="4" t="inlineStr">
        <is>
          <t>IMPERMEABILIZAÇÃO</t>
        </is>
      </c>
      <c r="D754" s="4" t="inlineStr">
        <is>
          <t>-</t>
        </is>
      </c>
      <c r="E754" s="4" t="inlineStr">
        <is>
          <t>3º PAV. - JARDINS SOBRE LAJE / BOSQUE</t>
        </is>
      </c>
      <c r="F754" s="119" t="n">
        <v>46323</v>
      </c>
      <c r="G754" s="119" t="n">
        <v>46367</v>
      </c>
      <c r="H754" s="119" t="n">
        <v>46293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IF(E754="","",IF(ISNUMBER(SEARCH("SUBSOLO",E754)),IFERROR(-VALUE(LEFT(E754,FIND("º",SUBSTITUTE(E754,"°","º"))-1)),-1),IF(LEFT(E754,6)="TÉRREO",0,IFERROR(VALUE(LEFT(E754,FIND("º",SUBSTITUTE(E754,"°","º"))-1)),""))))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42645667</v>
      </c>
      <c r="C755" s="4" t="inlineStr">
        <is>
          <t>IMPERMEABILIZAÇÃO</t>
        </is>
      </c>
      <c r="D755" s="4" t="inlineStr">
        <is>
          <t>Imprimação</t>
        </is>
      </c>
      <c r="E755" s="4" t="inlineStr">
        <is>
          <t>3º PAV. - JARDINS SOBRE LAJE / BOSQUE</t>
        </is>
      </c>
      <c r="F755" s="119" t="n">
        <v>46323</v>
      </c>
      <c r="G755" s="119" t="n">
        <v>46332</v>
      </c>
      <c r="H755" s="119" t="n">
        <v>46293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IF(E755="","",IF(ISNUMBER(SEARCH("SUBSOLO",E755)),IFERROR(-VALUE(LEFT(E755,FIND("º",SUBSTITUTE(E755,"°","º"))-1)),-1),IF(LEFT(E755,6)="TÉRREO",0,IFERROR(VALUE(LEFT(E755,FIND("º",SUBSTITUTE(E755,"°","º"))-1)),""))))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42645668</v>
      </c>
      <c r="C756" s="4" t="inlineStr">
        <is>
          <t>IMPERMEABILIZAÇÃO</t>
        </is>
      </c>
      <c r="D756" s="4" t="inlineStr">
        <is>
          <t>Manta - Primeira Camada</t>
        </is>
      </c>
      <c r="E756" s="4" t="inlineStr">
        <is>
          <t>3º PAV. - JARDINS SOBRE LAJE / BOSQUE</t>
        </is>
      </c>
      <c r="F756" s="119" t="n">
        <v>46335</v>
      </c>
      <c r="G756" s="119" t="n">
        <v>46346</v>
      </c>
      <c r="H756" s="119" t="n">
        <v>46293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IF(E756="","",IF(ISNUMBER(SEARCH("SUBSOLO",E756)),IFERROR(-VALUE(LEFT(E756,FIND("º",SUBSTITUTE(E756,"°","º"))-1)),-1),IF(LEFT(E756,6)="TÉRREO",0,IFERROR(VALUE(LEFT(E756,FIND("º",SUBSTITUTE(E756,"°","º"))-1)),""))))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42645669</v>
      </c>
      <c r="C757" s="4" t="inlineStr">
        <is>
          <t>IMPERMEABILIZAÇÃO</t>
        </is>
      </c>
      <c r="D757" s="4" t="inlineStr">
        <is>
          <t>Manta - Segunda Camada</t>
        </is>
      </c>
      <c r="E757" s="4" t="inlineStr">
        <is>
          <t>3º PAV. - JARDINS SOBRE LAJE / BOSQUE</t>
        </is>
      </c>
      <c r="F757" s="119" t="n">
        <v>46339</v>
      </c>
      <c r="G757" s="119" t="n">
        <v>46352</v>
      </c>
      <c r="H757" s="119" t="n">
        <v>46293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IF(E757="","",IF(ISNUMBER(SEARCH("SUBSOLO",E757)),IFERROR(-VALUE(LEFT(E757,FIND("º",SUBSTITUTE(E757,"°","º"))-1)),-1),IF(LEFT(E757,6)="TÉRREO",0,IFERROR(VALUE(LEFT(E757,FIND("º",SUBSTITUTE(E757,"°","º"))-1)),""))))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42645670</v>
      </c>
      <c r="C758" s="4" t="inlineStr">
        <is>
          <t>IMPERMEABILIZAÇÃO</t>
        </is>
      </c>
      <c r="D758" s="4" t="inlineStr">
        <is>
          <t>Teste Manta - Fase 1</t>
        </is>
      </c>
      <c r="E758" s="4" t="inlineStr">
        <is>
          <t>3º PAV. - JARDINS SOBRE LAJE / BOSQUE</t>
        </is>
      </c>
      <c r="F758" s="119" t="n">
        <v>46353</v>
      </c>
      <c r="G758" s="119" t="n">
        <v>46359</v>
      </c>
      <c r="H758" s="119" t="n">
        <v>46293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IF(E758="","",IF(ISNUMBER(SEARCH("SUBSOLO",E758)),IFERROR(-VALUE(LEFT(E758,FIND("º",SUBSTITUTE(E758,"°","º"))-1)),-1),IF(LEFT(E758,6)="TÉRREO",0,IFERROR(VALUE(LEFT(E758,FIND("º",SUBSTITUTE(E758,"°","º"))-1)),""))))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42645671</v>
      </c>
      <c r="C759" s="4" t="inlineStr">
        <is>
          <t>IMPERMEABILIZAÇÃO</t>
        </is>
      </c>
      <c r="D759" s="4" t="inlineStr">
        <is>
          <t>Teste Manta - Fase 2</t>
        </is>
      </c>
      <c r="E759" s="4" t="inlineStr">
        <is>
          <t>3º PAV. - JARDINS SOBRE LAJE / BOSQUE</t>
        </is>
      </c>
      <c r="F759" s="119" t="n">
        <v>46360</v>
      </c>
      <c r="G759" s="119" t="n">
        <v>46367</v>
      </c>
      <c r="H759" s="119" t="n">
        <v>46293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IF(E759="","",IF(ISNUMBER(SEARCH("SUBSOLO",E759)),IFERROR(-VALUE(LEFT(E759,FIND("º",SUBSTITUTE(E759,"°","º"))-1)),-1),IF(LEFT(E759,6)="TÉRREO",0,IFERROR(VALUE(LEFT(E759,FIND("º",SUBSTITUTE(E759,"°","º"))-1)),""))))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25210716</v>
      </c>
      <c r="C760" s="4" t="inlineStr">
        <is>
          <t>DISTRIBUIÇÃO HIDROSSANITÁRIA</t>
        </is>
      </c>
      <c r="D760" s="4" t="inlineStr">
        <is>
          <t>-</t>
        </is>
      </c>
      <c r="E760" s="4" t="inlineStr">
        <is>
          <t>7º PAV. TIPO</t>
        </is>
      </c>
      <c r="F760" s="119" t="n">
        <v>46324</v>
      </c>
      <c r="G760" s="119" t="n">
        <v>46337</v>
      </c>
      <c r="H760" s="119" t="n">
        <v>46293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IF(E760="","",IF(ISNUMBER(SEARCH("SUBSOLO",E760)),IFERROR(-VALUE(LEFT(E760,FIND("º",SUBSTITUTE(E760,"°","º"))-1)),-1),IF(LEFT(E760,6)="TÉRREO",0,IFERROR(VALUE(LEFT(E760,FIND("º",SUBSTITUTE(E760,"°","º"))-1)),""))))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25210715</v>
      </c>
      <c r="C761" s="4" t="inlineStr">
        <is>
          <t>DISTRIBUIÇÃO ELÉTRICA / QUADRO - SETOR B</t>
        </is>
      </c>
      <c r="D761" s="4" t="inlineStr">
        <is>
          <t>-</t>
        </is>
      </c>
      <c r="E761" s="4" t="inlineStr">
        <is>
          <t>7º PAV. TIPO</t>
        </is>
      </c>
      <c r="F761" s="119" t="n">
        <v>46324</v>
      </c>
      <c r="G761" s="119" t="n">
        <v>46337</v>
      </c>
      <c r="H761" s="119" t="n">
        <v>46293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IF(E761="","",IF(ISNUMBER(SEARCH("SUBSOLO",E761)),IFERROR(-VALUE(LEFT(E761,FIND("º",SUBSTITUTE(E761,"°","º"))-1)),-1),IF(LEFT(E761,6)="TÉRREO",0,IFERROR(VALUE(LEFT(E761,FIND("º",SUBSTITUTE(E761,"°","º"))-1)),""))))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33276733</v>
      </c>
      <c r="C762" s="4" t="inlineStr">
        <is>
          <t>INFRAESTRUTURA ELÉTRICA - TETO</t>
        </is>
      </c>
      <c r="D762" s="4" t="inlineStr">
        <is>
          <t>-</t>
        </is>
      </c>
      <c r="E762" s="4" t="inlineStr">
        <is>
          <t>7º PAV. TIPO</t>
        </is>
      </c>
      <c r="F762" s="119" t="n">
        <v>46324</v>
      </c>
      <c r="G762" s="119" t="n">
        <v>46337</v>
      </c>
      <c r="H762" s="119" t="n">
        <v>46293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IF(E762="","",IF(ISNUMBER(SEARCH("SUBSOLO",E762)),IFERROR(-VALUE(LEFT(E762,FIND("º",SUBSTITUTE(E762,"°","º"))-1)),-1),IF(LEFT(E762,6)="TÉRREO",0,IFERROR(VALUE(LEFT(E762,FIND("º",SUBSTITUTE(E762,"°","º"))-1)),""))))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29601155</v>
      </c>
      <c r="C763" s="4" t="inlineStr">
        <is>
          <t>TALISCAMENTO</t>
        </is>
      </c>
      <c r="D763" s="4" t="inlineStr">
        <is>
          <t>-</t>
        </is>
      </c>
      <c r="E763" s="4" t="inlineStr">
        <is>
          <t>10º PAV. TIPO</t>
        </is>
      </c>
      <c r="F763" s="119" t="n">
        <v>46324</v>
      </c>
      <c r="G763" s="119" t="n">
        <v>46337</v>
      </c>
      <c r="H763" s="119" t="n">
        <v>46293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IF(E763="","",IF(ISNUMBER(SEARCH("SUBSOLO",E763)),IFERROR(-VALUE(LEFT(E763,FIND("º",SUBSTITUTE(E763,"°","º"))-1)),-1),IF(LEFT(E763,6)="TÉRREO",0,IFERROR(VALUE(LEFT(E763,FIND("º",SUBSTITUTE(E763,"°","º"))-1)),""))))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25210579</v>
      </c>
      <c r="C764" s="4" t="inlineStr">
        <is>
          <t>PRUMADA HIDROSSANITÁRIA</t>
        </is>
      </c>
      <c r="D764" s="4" t="inlineStr">
        <is>
          <t>-</t>
        </is>
      </c>
      <c r="E764" s="4" t="inlineStr">
        <is>
          <t>11º PAV. TIPO</t>
        </is>
      </c>
      <c r="F764" s="119" t="n">
        <v>46324</v>
      </c>
      <c r="G764" s="119" t="n">
        <v>46337</v>
      </c>
      <c r="H764" s="119" t="n">
        <v>46293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IF(E764="","",IF(ISNUMBER(SEARCH("SUBSOLO",E764)),IFERROR(-VALUE(LEFT(E764,FIND("º",SUBSTITUTE(E764,"°","º"))-1)),-1),IF(LEFT(E764,6)="TÉRREO",0,IFERROR(VALUE(LEFT(E764,FIND("º",SUBSTITUTE(E764,"°","º"))-1)),""))))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25210569</v>
      </c>
      <c r="C765" s="4" t="inlineStr">
        <is>
          <t>PRUMADA DE INCÊNDIO</t>
        </is>
      </c>
      <c r="D765" s="4" t="inlineStr">
        <is>
          <t>-</t>
        </is>
      </c>
      <c r="E765" s="4" t="inlineStr">
        <is>
          <t>11º PAV. TIPO</t>
        </is>
      </c>
      <c r="F765" s="119" t="n">
        <v>46324</v>
      </c>
      <c r="G765" s="119" t="n">
        <v>46337</v>
      </c>
      <c r="H765" s="119" t="n">
        <v>46293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IF(E765="","",IF(ISNUMBER(SEARCH("SUBSOLO",E765)),IFERROR(-VALUE(LEFT(E765,FIND("º",SUBSTITUTE(E765,"°","º"))-1)),-1),IF(LEFT(E765,6)="TÉRREO",0,IFERROR(VALUE(LEFT(E765,FIND("º",SUBSTITUTE(E765,"°","º"))-1)),""))))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43846652</v>
      </c>
      <c r="C766" s="4" t="inlineStr">
        <is>
          <t>ALVENARIA EXTERNA</t>
        </is>
      </c>
      <c r="D766" s="4" t="inlineStr">
        <is>
          <t>-</t>
        </is>
      </c>
      <c r="E766" s="4" t="inlineStr">
        <is>
          <t>16º PAV. TIPO</t>
        </is>
      </c>
      <c r="F766" s="119" t="n">
        <v>46324</v>
      </c>
      <c r="G766" s="119" t="n">
        <v>46335</v>
      </c>
      <c r="H766" s="119" t="n">
        <v>46293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IF(E766="","",IF(ISNUMBER(SEARCH("SUBSOLO",E766)),IFERROR(-VALUE(LEFT(E766,FIND("º",SUBSTITUTE(E766,"°","º"))-1)),-1),IF(LEFT(E766,6)="TÉRREO",0,IFERROR(VALUE(LEFT(E766,FIND("º",SUBSTITUTE(E766,"°","º"))-1)),""))))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25752790</v>
      </c>
      <c r="C767" s="4" t="inlineStr">
        <is>
          <t>INSTALAÇÕES ELÉTRICAS</t>
        </is>
      </c>
      <c r="D767" s="4" t="inlineStr">
        <is>
          <t>-</t>
        </is>
      </c>
      <c r="E767" s="4" t="inlineStr">
        <is>
          <t>TÉRREO - ÁREAS DE FUNCIONÁRIOS</t>
        </is>
      </c>
      <c r="F767" s="119" t="n">
        <v>46325</v>
      </c>
      <c r="G767" s="119" t="n">
        <v>46339</v>
      </c>
      <c r="H767" s="119" t="n">
        <v>46293</v>
      </c>
      <c r="I767" s="4" t="n">
        <v>0</v>
      </c>
      <c r="J767" s="4" t="n">
        <v>0</v>
      </c>
      <c r="K767" s="4" t="n">
        <v>50</v>
      </c>
      <c r="M767" s="2">
        <f>IF(C767="","",IFERROR(INDEX($S$5:$S$304,MATCH(C767,$R$5:$R$304,0))&amp;"","?"))</f>
        <v/>
      </c>
      <c r="N767" s="2">
        <f>IF(E767="","",IF(ISNUMBER(SEARCH("SUBSOLO",E767)),IFERROR(-VALUE(LEFT(E767,FIND("º",SUBSTITUTE(E767,"°","º"))-1)),-1),IF(LEFT(E767,6)="TÉRREO",0,IFERROR(VALUE(LEFT(E767,FIND("º",SUBSTITUTE(E767,"°","º"))-1)),""))))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25752794</v>
      </c>
      <c r="C768" s="4" t="inlineStr">
        <is>
          <t>INSTALAÇÕES HIDRÁULICAS</t>
        </is>
      </c>
      <c r="D768" s="4" t="inlineStr">
        <is>
          <t>-</t>
        </is>
      </c>
      <c r="E768" s="4" t="inlineStr">
        <is>
          <t>TÉRREO - ÁREAS DE FUNCIONÁRIOS</t>
        </is>
      </c>
      <c r="F768" s="119" t="n">
        <v>46325</v>
      </c>
      <c r="G768" s="119" t="n">
        <v>46339</v>
      </c>
      <c r="H768" s="119" t="n">
        <v>46293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IF(E768="","",IF(ISNUMBER(SEARCH("SUBSOLO",E768)),IFERROR(-VALUE(LEFT(E768,FIND("º",SUBSTITUTE(E768,"°","º"))-1)),-1),IF(LEFT(E768,6)="TÉRREO",0,IFERROR(VALUE(LEFT(E768,FIND("º",SUBSTITUTE(E768,"°","º"))-1)),""))))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25799886</v>
      </c>
      <c r="C769" s="4" t="inlineStr">
        <is>
          <t>CONTRAMARCO</t>
        </is>
      </c>
      <c r="D769" s="4" t="inlineStr">
        <is>
          <t>-</t>
        </is>
      </c>
      <c r="E769" s="4" t="inlineStr">
        <is>
          <t>3º PAV. - ACADEMIA</t>
        </is>
      </c>
      <c r="F769" s="119" t="n">
        <v>46325</v>
      </c>
      <c r="G769" s="119" t="n">
        <v>46339</v>
      </c>
      <c r="H769" s="119" t="n">
        <v>46293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IF(E769="","",IF(ISNUMBER(SEARCH("SUBSOLO",E769)),IFERROR(-VALUE(LEFT(E769,FIND("º",SUBSTITUTE(E769,"°","º"))-1)),-1),IF(LEFT(E769,6)="TÉRREO",0,IFERROR(VALUE(LEFT(E769,FIND("º",SUBSTITUTE(E769,"°","º"))-1)),""))))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47734188</v>
      </c>
      <c r="C770" s="4" t="inlineStr">
        <is>
          <t>FACHADA JAIRO - F1 (B)</t>
        </is>
      </c>
      <c r="D770" s="4" t="inlineStr">
        <is>
          <t>-</t>
        </is>
      </c>
      <c r="E770" s="4" t="inlineStr">
        <is>
          <t>FACHADA</t>
        </is>
      </c>
      <c r="F770" s="119" t="n">
        <v>46325</v>
      </c>
      <c r="G770" s="119" t="n">
        <v>46399</v>
      </c>
      <c r="H770" s="119" t="n">
        <v>46293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IF(E770="","",IF(ISNUMBER(SEARCH("SUBSOLO",E770)),IFERROR(-VALUE(LEFT(E770,FIND("º",SUBSTITUTE(E770,"°","º"))-1)),-1),IF(LEFT(E770,6)="TÉRREO",0,IFERROR(VALUE(LEFT(E770,FIND("º",SUBSTITUTE(E770,"°","º"))-1)),""))))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25799824</v>
      </c>
      <c r="C771" s="4" t="inlineStr">
        <is>
          <t>CONTRAPISO</t>
        </is>
      </c>
      <c r="D771" s="4" t="inlineStr">
        <is>
          <t>-</t>
        </is>
      </c>
      <c r="E771" s="4" t="inlineStr">
        <is>
          <t>3º PAV. - BAR PISCINA, VESTIÁRIOS, DEPOSITOS E LOUNGE QUADRAS</t>
        </is>
      </c>
      <c r="F771" s="119" t="n">
        <v>46329</v>
      </c>
      <c r="G771" s="119" t="n">
        <v>46363</v>
      </c>
      <c r="H771" s="119" t="n">
        <v>46293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IF(E771="","",IF(ISNUMBER(SEARCH("SUBSOLO",E771)),IFERROR(-VALUE(LEFT(E771,FIND("º",SUBSTITUTE(E771,"°","º"))-1)),-1),IF(LEFT(E771,6)="TÉRREO",0,IFERROR(VALUE(LEFT(E771,FIND("º",SUBSTITUTE(E771,"°","º"))-1)),""))))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22139733</v>
      </c>
      <c r="C772" s="4" t="inlineStr">
        <is>
          <t>ESTRUTURA TORRE</t>
        </is>
      </c>
      <c r="D772" s="4" t="inlineStr">
        <is>
          <t>-</t>
        </is>
      </c>
      <c r="E772" s="4" t="inlineStr">
        <is>
          <t>21º PAV. TIPO</t>
        </is>
      </c>
      <c r="F772" s="119" t="n">
        <v>46332</v>
      </c>
      <c r="G772" s="119" t="n">
        <v>46346</v>
      </c>
      <c r="H772" s="119" t="n">
        <v>46293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IF(E772="","",IF(ISNUMBER(SEARCH("SUBSOLO",E772)),IFERROR(-VALUE(LEFT(E772,FIND("º",SUBSTITUTE(E772,"°","º"))-1)),-1),IF(LEFT(E772,6)="TÉRREO",0,IFERROR(VALUE(LEFT(E772,FIND("º",SUBSTITUTE(E772,"°","º"))-1)),""))))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9877252</v>
      </c>
      <c r="C773" s="4" t="inlineStr">
        <is>
          <t>ESTRUTURA TORRE</t>
        </is>
      </c>
      <c r="D773" s="4" t="inlineStr">
        <is>
          <t>Forma Pilar</t>
        </is>
      </c>
      <c r="E773" s="4" t="inlineStr">
        <is>
          <t>21º PAV. TIPO</t>
        </is>
      </c>
      <c r="F773" s="119" t="n">
        <v>46332</v>
      </c>
      <c r="G773" s="119" t="n">
        <v>46335</v>
      </c>
      <c r="H773" s="119" t="n">
        <v>46293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IF(E773="","",IF(ISNUMBER(SEARCH("SUBSOLO",E773)),IFERROR(-VALUE(LEFT(E773,FIND("º",SUBSTITUTE(E773,"°","º"))-1)),-1),IF(LEFT(E773,6)="TÉRREO",0,IFERROR(VALUE(LEFT(E773,FIND("º",SUBSTITUTE(E773,"°","º"))-1)),""))))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9877253</v>
      </c>
      <c r="C774" s="4" t="inlineStr">
        <is>
          <t>ESTRUTURA TORRE</t>
        </is>
      </c>
      <c r="D774" s="4" t="inlineStr">
        <is>
          <t>Armação Pilar</t>
        </is>
      </c>
      <c r="E774" s="4" t="inlineStr">
        <is>
          <t>21º PAV. TIPO</t>
        </is>
      </c>
      <c r="F774" s="119" t="n">
        <v>46332</v>
      </c>
      <c r="G774" s="119" t="n">
        <v>46335</v>
      </c>
      <c r="H774" s="119" t="n">
        <v>46293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IF(E774="","",IF(ISNUMBER(SEARCH("SUBSOLO",E774)),IFERROR(-VALUE(LEFT(E774,FIND("º",SUBSTITUTE(E774,"°","º"))-1)),-1),IF(LEFT(E774,6)="TÉRREO",0,IFERROR(VALUE(LEFT(E774,FIND("º",SUBSTITUTE(E774,"°","º"))-1)),""))))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9877254</v>
      </c>
      <c r="C775" s="4" t="inlineStr">
        <is>
          <t>ESTRUTURA TORRE</t>
        </is>
      </c>
      <c r="D775" s="4" t="inlineStr">
        <is>
          <t>Escoramento</t>
        </is>
      </c>
      <c r="E775" s="4" t="inlineStr">
        <is>
          <t>21º PAV. TIPO</t>
        </is>
      </c>
      <c r="F775" s="119" t="n">
        <v>46335</v>
      </c>
      <c r="G775" s="119" t="n">
        <v>46336</v>
      </c>
      <c r="H775" s="119" t="n">
        <v>46293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IF(E775="","",IF(ISNUMBER(SEARCH("SUBSOLO",E775)),IFERROR(-VALUE(LEFT(E775,FIND("º",SUBSTITUTE(E775,"°","º"))-1)),-1),IF(LEFT(E775,6)="TÉRREO",0,IFERROR(VALUE(LEFT(E775,FIND("º",SUBSTITUTE(E775,"°","º"))-1)),""))))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9877937</v>
      </c>
      <c r="C776" s="4" t="inlineStr">
        <is>
          <t>ESTRUTURA TORRE</t>
        </is>
      </c>
      <c r="D776" s="4" t="inlineStr">
        <is>
          <t>Concretagem Pilar</t>
        </is>
      </c>
      <c r="E776" s="4" t="inlineStr">
        <is>
          <t>21º PAV. TIPO</t>
        </is>
      </c>
      <c r="F776" s="119" t="n">
        <v>46337</v>
      </c>
      <c r="G776" s="119" t="n">
        <v>46337</v>
      </c>
      <c r="H776" s="119" t="n">
        <v>46293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IF(E776="","",IF(ISNUMBER(SEARCH("SUBSOLO",E776)),IFERROR(-VALUE(LEFT(E776,FIND("º",SUBSTITUTE(E776,"°","º"))-1)),-1),IF(LEFT(E776,6)="TÉRREO",0,IFERROR(VALUE(LEFT(E776,FIND("º",SUBSTITUTE(E776,"°","º"))-1)),""))))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9877938</v>
      </c>
      <c r="C777" s="4" t="inlineStr">
        <is>
          <t>ESTRUTURA TORRE</t>
        </is>
      </c>
      <c r="D777" s="4" t="inlineStr">
        <is>
          <t>Forma Vigas e Lajes</t>
        </is>
      </c>
      <c r="E777" s="4" t="inlineStr">
        <is>
          <t>21º PAV. TIPO</t>
        </is>
      </c>
      <c r="F777" s="119" t="n">
        <v>46338</v>
      </c>
      <c r="G777" s="119" t="n">
        <v>46343</v>
      </c>
      <c r="H777" s="119" t="n">
        <v>46293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IF(E777="","",IF(ISNUMBER(SEARCH("SUBSOLO",E777)),IFERROR(-VALUE(LEFT(E777,FIND("º",SUBSTITUTE(E777,"°","º"))-1)),-1),IF(LEFT(E777,6)="TÉRREO",0,IFERROR(VALUE(LEFT(E777,FIND("º",SUBSTITUTE(E777,"°","º"))-1)),""))))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9877939</v>
      </c>
      <c r="C778" s="4" t="inlineStr">
        <is>
          <t>ESTRUTURA TORRE</t>
        </is>
      </c>
      <c r="D778" s="4" t="inlineStr">
        <is>
          <t>Armação Vigas e Lajes</t>
        </is>
      </c>
      <c r="E778" s="4" t="inlineStr">
        <is>
          <t>21º PAV. TIPO</t>
        </is>
      </c>
      <c r="F778" s="119" t="n">
        <v>46339</v>
      </c>
      <c r="G778" s="119" t="n">
        <v>46344</v>
      </c>
      <c r="H778" s="119" t="n">
        <v>46293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IF(E778="","",IF(ISNUMBER(SEARCH("SUBSOLO",E778)),IFERROR(-VALUE(LEFT(E778,FIND("º",SUBSTITUTE(E778,"°","º"))-1)),-1),IF(LEFT(E778,6)="TÉRREO",0,IFERROR(VALUE(LEFT(E778,FIND("º",SUBSTITUTE(E778,"°","º"))-1)),""))))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9877940</v>
      </c>
      <c r="C779" s="4" t="inlineStr">
        <is>
          <t>ESTRUTURA TORRE</t>
        </is>
      </c>
      <c r="D779" s="4" t="inlineStr">
        <is>
          <t>Passagem Hidráulica</t>
        </is>
      </c>
      <c r="E779" s="4" t="inlineStr">
        <is>
          <t>21º PAV. TIPO</t>
        </is>
      </c>
      <c r="F779" s="119" t="n">
        <v>46343</v>
      </c>
      <c r="G779" s="119" t="n">
        <v>46343</v>
      </c>
      <c r="H779" s="119" t="n">
        <v>46293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IF(E779="","",IF(ISNUMBER(SEARCH("SUBSOLO",E779)),IFERROR(-VALUE(LEFT(E779,FIND("º",SUBSTITUTE(E779,"°","º"))-1)),-1),IF(LEFT(E779,6)="TÉRREO",0,IFERROR(VALUE(LEFT(E779,FIND("º",SUBSTITUTE(E779,"°","º"))-1)),""))))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9877941</v>
      </c>
      <c r="C780" s="4" t="inlineStr">
        <is>
          <t>ESTRUTURA TORRE</t>
        </is>
      </c>
      <c r="D780" s="4" t="inlineStr">
        <is>
          <t>Passagem Elétrica</t>
        </is>
      </c>
      <c r="E780" s="4" t="inlineStr">
        <is>
          <t>21º PAV. TIPO</t>
        </is>
      </c>
      <c r="F780" s="119" t="n">
        <v>46343</v>
      </c>
      <c r="G780" s="119" t="n">
        <v>46343</v>
      </c>
      <c r="H780" s="119" t="n">
        <v>46293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IF(E780="","",IF(ISNUMBER(SEARCH("SUBSOLO",E780)),IFERROR(-VALUE(LEFT(E780,FIND("º",SUBSTITUTE(E780,"°","º"))-1)),-1),IF(LEFT(E780,6)="TÉRREO",0,IFERROR(VALUE(LEFT(E780,FIND("º",SUBSTITUTE(E780,"°","º"))-1)),""))))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9877942</v>
      </c>
      <c r="C781" s="4" t="inlineStr">
        <is>
          <t>ESTRUTURA TORRE</t>
        </is>
      </c>
      <c r="D781" s="4" t="inlineStr">
        <is>
          <t>Concretagem</t>
        </is>
      </c>
      <c r="E781" s="4" t="inlineStr">
        <is>
          <t>21º PAV. TIPO</t>
        </is>
      </c>
      <c r="F781" s="119" t="n">
        <v>46344</v>
      </c>
      <c r="G781" s="119" t="n">
        <v>46346</v>
      </c>
      <c r="H781" s="119" t="n">
        <v>46293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IF(E781="","",IF(ISNUMBER(SEARCH("SUBSOLO",E781)),IFERROR(-VALUE(LEFT(E781,FIND("º",SUBSTITUTE(E781,"°","º"))-1)),-1),IF(LEFT(E781,6)="TÉRREO",0,IFERROR(VALUE(LEFT(E781,FIND("º",SUBSTITUTE(E781,"°","º"))-1)),""))))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27769235</v>
      </c>
      <c r="C782" s="4" t="inlineStr">
        <is>
          <t>PRUMADA ELÉTRICA INFRA</t>
        </is>
      </c>
      <c r="D782" s="4" t="inlineStr">
        <is>
          <t>-</t>
        </is>
      </c>
      <c r="E782" s="4" t="inlineStr">
        <is>
          <t>11º PAV. TIPO</t>
        </is>
      </c>
      <c r="F782" s="119" t="n">
        <v>46335</v>
      </c>
      <c r="G782" s="119" t="n">
        <v>46345</v>
      </c>
      <c r="H782" s="119" t="n">
        <v>46293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IF(E782="","",IF(ISNUMBER(SEARCH("SUBSOLO",E782)),IFERROR(-VALUE(LEFT(E782,FIND("º",SUBSTITUTE(E782,"°","º"))-1)),-1),IF(LEFT(E782,6)="TÉRREO",0,IFERROR(VALUE(LEFT(E782,FIND("º",SUBSTITUTE(E782,"°","º"))-1)),""))))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33368734</v>
      </c>
      <c r="C783" s="4" t="inlineStr">
        <is>
          <t>DISTRIBUIÇÃO ELÉTRICA / QUADRO - SETOR A</t>
        </is>
      </c>
      <c r="D783" s="4" t="inlineStr">
        <is>
          <t>-</t>
        </is>
      </c>
      <c r="E783" s="4" t="inlineStr">
        <is>
          <t>TÉRREO - GARAGENS</t>
        </is>
      </c>
      <c r="F783" s="119" t="n">
        <v>46337</v>
      </c>
      <c r="G783" s="119" t="n">
        <v>46357</v>
      </c>
      <c r="H783" s="119" t="n">
        <v>46293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IF(E783="","",IF(ISNUMBER(SEARCH("SUBSOLO",E783)),IFERROR(-VALUE(LEFT(E783,FIND("º",SUBSTITUTE(E783,"°","º"))-1)),-1),IF(LEFT(E783,6)="TÉRREO",0,IFERROR(VALUE(LEFT(E783,FIND("º",SUBSTITUTE(E783,"°","º"))-1)),""))))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33369055</v>
      </c>
      <c r="C784" s="4" t="inlineStr">
        <is>
          <t>DISTRIBUIÇÃO HIDRÁULICA - SETOR A</t>
        </is>
      </c>
      <c r="D784" s="4" t="inlineStr">
        <is>
          <t>-</t>
        </is>
      </c>
      <c r="E784" s="4" t="inlineStr">
        <is>
          <t>TÉRREO - GARAGENS</t>
        </is>
      </c>
      <c r="F784" s="119" t="n">
        <v>46337</v>
      </c>
      <c r="G784" s="119" t="n">
        <v>46367</v>
      </c>
      <c r="H784" s="119" t="n">
        <v>46293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IF(E784="","",IF(ISNUMBER(SEARCH("SUBSOLO",E784)),IFERROR(-VALUE(LEFT(E784,FIND("º",SUBSTITUTE(E784,"°","º"))-1)),-1),IF(LEFT(E784,6)="TÉRREO",0,IFERROR(VALUE(LEFT(E784,FIND("º",SUBSTITUTE(E784,"°","º"))-1)),""))))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25210393</v>
      </c>
      <c r="C785" s="4" t="inlineStr">
        <is>
          <t>ALVENARIA</t>
        </is>
      </c>
      <c r="D785" s="4" t="inlineStr">
        <is>
          <t>-</t>
        </is>
      </c>
      <c r="E785" s="4" t="inlineStr">
        <is>
          <t>16º PAV. TIPO</t>
        </is>
      </c>
      <c r="F785" s="119" t="n">
        <v>46337</v>
      </c>
      <c r="G785" s="119" t="n">
        <v>46350</v>
      </c>
      <c r="H785" s="119" t="n">
        <v>46293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IF(E785="","",IF(ISNUMBER(SEARCH("SUBSOLO",E785)),IFERROR(-VALUE(LEFT(E785,FIND("º",SUBSTITUTE(E785,"°","º"))-1)),-1),IF(LEFT(E785,6)="TÉRREO",0,IFERROR(VALUE(LEFT(E785,FIND("º",SUBSTITUTE(E785,"°","º"))-1)),""))))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25210712</v>
      </c>
      <c r="C786" s="4" t="inlineStr">
        <is>
          <t>CONTRAMARCO</t>
        </is>
      </c>
      <c r="D786" s="4" t="inlineStr">
        <is>
          <t>-</t>
        </is>
      </c>
      <c r="E786" s="4" t="inlineStr">
        <is>
          <t>7º PAV. TIPO</t>
        </is>
      </c>
      <c r="F786" s="119" t="n">
        <v>46338</v>
      </c>
      <c r="G786" s="119" t="n">
        <v>46350</v>
      </c>
      <c r="H786" s="119" t="n">
        <v>46293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IF(E786="","",IF(ISNUMBER(SEARCH("SUBSOLO",E786)),IFERROR(-VALUE(LEFT(E786,FIND("º",SUBSTITUTE(E786,"°","º"))-1)),-1),IF(LEFT(E786,6)="TÉRREO",0,IFERROR(VALUE(LEFT(E786,FIND("º",SUBSTITUTE(E786,"°","º"))-1)),""))))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29601049</v>
      </c>
      <c r="C787" s="4" t="inlineStr">
        <is>
          <t>ENCUNHAMENTO</t>
        </is>
      </c>
      <c r="D787" s="4" t="inlineStr">
        <is>
          <t>-</t>
        </is>
      </c>
      <c r="E787" s="4" t="inlineStr">
        <is>
          <t>7º PAV. TIPO</t>
        </is>
      </c>
      <c r="F787" s="119" t="n">
        <v>46338</v>
      </c>
      <c r="G787" s="119" t="n">
        <v>46350</v>
      </c>
      <c r="H787" s="119" t="n">
        <v>46293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IF(E787="","",IF(ISNUMBER(SEARCH("SUBSOLO",E787)),IFERROR(-VALUE(LEFT(E787,FIND("º",SUBSTITUTE(E787,"°","º"))-1)),-1),IF(LEFT(E787,6)="TÉRREO",0,IFERROR(VALUE(LEFT(E787,FIND("º",SUBSTITUTE(E787,"°","º"))-1)),""))))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25210611</v>
      </c>
      <c r="C788" s="4" t="inlineStr">
        <is>
          <t>DISTRIBUIÇÃO HIDROSSANITÁRIA</t>
        </is>
      </c>
      <c r="D788" s="4" t="inlineStr">
        <is>
          <t>-</t>
        </is>
      </c>
      <c r="E788" s="4" t="inlineStr">
        <is>
          <t>10º PAV. TIPO</t>
        </is>
      </c>
      <c r="F788" s="119" t="n">
        <v>46338</v>
      </c>
      <c r="G788" s="119" t="n">
        <v>46350</v>
      </c>
      <c r="H788" s="119" t="n">
        <v>46293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IF(E788="","",IF(ISNUMBER(SEARCH("SUBSOLO",E788)),IFERROR(-VALUE(LEFT(E788,FIND("º",SUBSTITUTE(E788,"°","º"))-1)),-1),IF(LEFT(E788,6)="TÉRREO",0,IFERROR(VALUE(LEFT(E788,FIND("º",SUBSTITUTE(E788,"°","º"))-1)),""))))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25210610</v>
      </c>
      <c r="C789" s="4" t="inlineStr">
        <is>
          <t>DISTRIBUIÇÃO ELÉTRICA / QUADRO - SETOR B</t>
        </is>
      </c>
      <c r="D789" s="4" t="inlineStr">
        <is>
          <t>-</t>
        </is>
      </c>
      <c r="E789" s="4" t="inlineStr">
        <is>
          <t>10º PAV. TIPO</t>
        </is>
      </c>
      <c r="F789" s="119" t="n">
        <v>46338</v>
      </c>
      <c r="G789" s="119" t="n">
        <v>46350</v>
      </c>
      <c r="H789" s="119" t="n">
        <v>46293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IF(E789="","",IF(ISNUMBER(SEARCH("SUBSOLO",E789)),IFERROR(-VALUE(LEFT(E789,FIND("º",SUBSTITUTE(E789,"°","º"))-1)),-1),IF(LEFT(E789,6)="TÉRREO",0,IFERROR(VALUE(LEFT(E789,FIND("º",SUBSTITUTE(E789,"°","º"))-1)),""))))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33276736</v>
      </c>
      <c r="C790" s="4" t="inlineStr">
        <is>
          <t>INFRAESTRUTURA ELÉTRICA - TETO</t>
        </is>
      </c>
      <c r="D790" s="4" t="inlineStr">
        <is>
          <t>-</t>
        </is>
      </c>
      <c r="E790" s="4" t="inlineStr">
        <is>
          <t>10º PAV. TIPO</t>
        </is>
      </c>
      <c r="F790" s="119" t="n">
        <v>46338</v>
      </c>
      <c r="G790" s="119" t="n">
        <v>46350</v>
      </c>
      <c r="H790" s="119" t="n">
        <v>46293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IF(E790="","",IF(ISNUMBER(SEARCH("SUBSOLO",E790)),IFERROR(-VALUE(LEFT(E790,FIND("º",SUBSTITUTE(E790,"°","º"))-1)),-1),IF(LEFT(E790,6)="TÉRREO",0,IFERROR(VALUE(LEFT(E790,FIND("º",SUBSTITUTE(E790,"°","º"))-1)),""))))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29601156</v>
      </c>
      <c r="C791" s="4" t="inlineStr">
        <is>
          <t>TALISCAMENTO</t>
        </is>
      </c>
      <c r="D791" s="4" t="inlineStr">
        <is>
          <t>-</t>
        </is>
      </c>
      <c r="E791" s="4" t="inlineStr">
        <is>
          <t>11º PAV. TIPO</t>
        </is>
      </c>
      <c r="F791" s="119" t="n">
        <v>46338</v>
      </c>
      <c r="G791" s="119" t="n">
        <v>46350</v>
      </c>
      <c r="H791" s="119" t="n">
        <v>46293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IF(E791="","",IF(ISNUMBER(SEARCH("SUBSOLO",E791)),IFERROR(-VALUE(LEFT(E791,FIND("º",SUBSTITUTE(E791,"°","º"))-1)),-1),IF(LEFT(E791,6)="TÉRREO",0,IFERROR(VALUE(LEFT(E791,FIND("º",SUBSTITUTE(E791,"°","º"))-1)),""))))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25210748</v>
      </c>
      <c r="C792" s="4" t="inlineStr">
        <is>
          <t>SHAFT INTERNO INST. HIDRAÚLICAS</t>
        </is>
      </c>
      <c r="D792" s="4" t="inlineStr">
        <is>
          <t>-</t>
        </is>
      </c>
      <c r="E792" s="4" t="inlineStr">
        <is>
          <t>6º PAV. TIPO</t>
        </is>
      </c>
      <c r="F792" s="119" t="n">
        <v>46339</v>
      </c>
      <c r="G792" s="119" t="n">
        <v>46351</v>
      </c>
      <c r="H792" s="119" t="n">
        <v>46293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IF(E792="","",IF(ISNUMBER(SEARCH("SUBSOLO",E792)),IFERROR(-VALUE(LEFT(E792,FIND("º",SUBSTITUTE(E792,"°","º"))-1)),-1),IF(LEFT(E792,6)="TÉRREO",0,IFERROR(VALUE(LEFT(E792,FIND("º",SUBSTITUTE(E792,"°","º"))-1)),""))))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25799887</v>
      </c>
      <c r="C793" s="4" t="inlineStr">
        <is>
          <t>REBOCO INTERNO</t>
        </is>
      </c>
      <c r="D793" s="4" t="inlineStr">
        <is>
          <t>-</t>
        </is>
      </c>
      <c r="E793" s="4" t="inlineStr">
        <is>
          <t>3º PAV. - ACADEMIA</t>
        </is>
      </c>
      <c r="F793" s="119" t="n">
        <v>46342</v>
      </c>
      <c r="G793" s="119" t="n">
        <v>46360</v>
      </c>
      <c r="H793" s="119" t="n">
        <v>46293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IF(E793="","",IF(ISNUMBER(SEARCH("SUBSOLO",E793)),IFERROR(-VALUE(LEFT(E793,FIND("º",SUBSTITUTE(E793,"°","º"))-1)),-1),IF(LEFT(E793,6)="TÉRREO",0,IFERROR(VALUE(LEFT(E793,FIND("º",SUBSTITUTE(E793,"°","º"))-1)),""))))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22139734</v>
      </c>
      <c r="C794" s="4" t="inlineStr">
        <is>
          <t>ESTRUTURA TORRE</t>
        </is>
      </c>
      <c r="D794" s="4" t="inlineStr">
        <is>
          <t>-</t>
        </is>
      </c>
      <c r="E794" s="4" t="inlineStr">
        <is>
          <t>22º PAV. TIPO</t>
        </is>
      </c>
      <c r="F794" s="119" t="n">
        <v>46349</v>
      </c>
      <c r="G794" s="119" t="n">
        <v>46363</v>
      </c>
      <c r="H794" s="119" t="n">
        <v>46293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IF(E794="","",IF(ISNUMBER(SEARCH("SUBSOLO",E794)),IFERROR(-VALUE(LEFT(E794,FIND("º",SUBSTITUTE(E794,"°","º"))-1)),-1),IF(LEFT(E794,6)="TÉRREO",0,IFERROR(VALUE(LEFT(E794,FIND("º",SUBSTITUTE(E794,"°","º"))-1)),""))))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9877260</v>
      </c>
      <c r="C795" s="4" t="inlineStr">
        <is>
          <t>ESTRUTURA TORRE</t>
        </is>
      </c>
      <c r="D795" s="4" t="inlineStr">
        <is>
          <t>Forma Pilar</t>
        </is>
      </c>
      <c r="E795" s="4" t="inlineStr">
        <is>
          <t>22º PAV. TIPO</t>
        </is>
      </c>
      <c r="F795" s="119" t="n">
        <v>46349</v>
      </c>
      <c r="G795" s="119" t="n">
        <v>46350</v>
      </c>
      <c r="H795" s="119" t="n">
        <v>46293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IF(E795="","",IF(ISNUMBER(SEARCH("SUBSOLO",E795)),IFERROR(-VALUE(LEFT(E795,FIND("º",SUBSTITUTE(E795,"°","º"))-1)),-1),IF(LEFT(E795,6)="TÉRREO",0,IFERROR(VALUE(LEFT(E795,FIND("º",SUBSTITUTE(E795,"°","º"))-1)),""))))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9877261</v>
      </c>
      <c r="C796" s="4" t="inlineStr">
        <is>
          <t>ESTRUTURA TORRE</t>
        </is>
      </c>
      <c r="D796" s="4" t="inlineStr">
        <is>
          <t>Armação Pilar</t>
        </is>
      </c>
      <c r="E796" s="4" t="inlineStr">
        <is>
          <t>22º PAV. TIPO</t>
        </is>
      </c>
      <c r="F796" s="119" t="n">
        <v>46349</v>
      </c>
      <c r="G796" s="119" t="n">
        <v>46350</v>
      </c>
      <c r="H796" s="119" t="n">
        <v>46293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IF(E796="","",IF(ISNUMBER(SEARCH("SUBSOLO",E796)),IFERROR(-VALUE(LEFT(E796,FIND("º",SUBSTITUTE(E796,"°","º"))-1)),-1),IF(LEFT(E796,6)="TÉRREO",0,IFERROR(VALUE(LEFT(E796,FIND("º",SUBSTITUTE(E796,"°","º"))-1)),""))))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9877262</v>
      </c>
      <c r="C797" s="4" t="inlineStr">
        <is>
          <t>ESTRUTURA TORRE</t>
        </is>
      </c>
      <c r="D797" s="4" t="inlineStr">
        <is>
          <t>Escoramento</t>
        </is>
      </c>
      <c r="E797" s="4" t="inlineStr">
        <is>
          <t>22º PAV. TIPO</t>
        </is>
      </c>
      <c r="F797" s="119" t="n">
        <v>46350</v>
      </c>
      <c r="G797" s="119" t="n">
        <v>46351</v>
      </c>
      <c r="H797" s="119" t="n">
        <v>46293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IF(E797="","",IF(ISNUMBER(SEARCH("SUBSOLO",E797)),IFERROR(-VALUE(LEFT(E797,FIND("º",SUBSTITUTE(E797,"°","º"))-1)),-1),IF(LEFT(E797,6)="TÉRREO",0,IFERROR(VALUE(LEFT(E797,FIND("º",SUBSTITUTE(E797,"°","º"))-1)),""))))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9877943</v>
      </c>
      <c r="C798" s="4" t="inlineStr">
        <is>
          <t>ESTRUTURA TORRE</t>
        </is>
      </c>
      <c r="D798" s="4" t="inlineStr">
        <is>
          <t>Concretagem Pilar</t>
        </is>
      </c>
      <c r="E798" s="4" t="inlineStr">
        <is>
          <t>22º PAV. TIPO</t>
        </is>
      </c>
      <c r="F798" s="119" t="n">
        <v>46352</v>
      </c>
      <c r="G798" s="119" t="n">
        <v>46352</v>
      </c>
      <c r="H798" s="119" t="n">
        <v>46293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IF(E798="","",IF(ISNUMBER(SEARCH("SUBSOLO",E798)),IFERROR(-VALUE(LEFT(E798,FIND("º",SUBSTITUTE(E798,"°","º"))-1)),-1),IF(LEFT(E798,6)="TÉRREO",0,IFERROR(VALUE(LEFT(E798,FIND("º",SUBSTITUTE(E798,"°","º"))-1)),""))))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9877944</v>
      </c>
      <c r="C799" s="4" t="inlineStr">
        <is>
          <t>ESTRUTURA TORRE</t>
        </is>
      </c>
      <c r="D799" s="4" t="inlineStr">
        <is>
          <t>Forma Vigas e Lajes</t>
        </is>
      </c>
      <c r="E799" s="4" t="inlineStr">
        <is>
          <t>22º PAV. TIPO</t>
        </is>
      </c>
      <c r="F799" s="119" t="n">
        <v>46353</v>
      </c>
      <c r="G799" s="119" t="n">
        <v>46358</v>
      </c>
      <c r="H799" s="119" t="n">
        <v>46293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IF(E799="","",IF(ISNUMBER(SEARCH("SUBSOLO",E799)),IFERROR(-VALUE(LEFT(E799,FIND("º",SUBSTITUTE(E799,"°","º"))-1)),-1),IF(LEFT(E799,6)="TÉRREO",0,IFERROR(VALUE(LEFT(E799,FIND("º",SUBSTITUTE(E799,"°","º"))-1)),""))))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9877945</v>
      </c>
      <c r="C800" s="4" t="inlineStr">
        <is>
          <t>ESTRUTURA TORRE</t>
        </is>
      </c>
      <c r="D800" s="4" t="inlineStr">
        <is>
          <t>Armação Vigas e Lajes</t>
        </is>
      </c>
      <c r="E800" s="4" t="inlineStr">
        <is>
          <t>22º PAV. TIPO</t>
        </is>
      </c>
      <c r="F800" s="119" t="n">
        <v>46356</v>
      </c>
      <c r="G800" s="119" t="n">
        <v>46359</v>
      </c>
      <c r="H800" s="119" t="n">
        <v>46293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IF(E800="","",IF(ISNUMBER(SEARCH("SUBSOLO",E800)),IFERROR(-VALUE(LEFT(E800,FIND("º",SUBSTITUTE(E800,"°","º"))-1)),-1),IF(LEFT(E800,6)="TÉRREO",0,IFERROR(VALUE(LEFT(E800,FIND("º",SUBSTITUTE(E800,"°","º"))-1)),""))))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9877946</v>
      </c>
      <c r="C801" s="4" t="inlineStr">
        <is>
          <t>ESTRUTURA TORRE</t>
        </is>
      </c>
      <c r="D801" s="4" t="inlineStr">
        <is>
          <t>Passagem Hidráulica</t>
        </is>
      </c>
      <c r="E801" s="4" t="inlineStr">
        <is>
          <t>22º PAV. TIPO</t>
        </is>
      </c>
      <c r="F801" s="119" t="n">
        <v>46358</v>
      </c>
      <c r="G801" s="119" t="n">
        <v>46358</v>
      </c>
      <c r="H801" s="119" t="n">
        <v>46293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IF(E801="","",IF(ISNUMBER(SEARCH("SUBSOLO",E801)),IFERROR(-VALUE(LEFT(E801,FIND("º",SUBSTITUTE(E801,"°","º"))-1)),-1),IF(LEFT(E801,6)="TÉRREO",0,IFERROR(VALUE(LEFT(E801,FIND("º",SUBSTITUTE(E801,"°","º"))-1)),""))))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9877947</v>
      </c>
      <c r="C802" s="4" t="inlineStr">
        <is>
          <t>ESTRUTURA TORRE</t>
        </is>
      </c>
      <c r="D802" s="4" t="inlineStr">
        <is>
          <t>Passagem Elétrica</t>
        </is>
      </c>
      <c r="E802" s="4" t="inlineStr">
        <is>
          <t>22º PAV. TIPO</t>
        </is>
      </c>
      <c r="F802" s="119" t="n">
        <v>46358</v>
      </c>
      <c r="G802" s="119" t="n">
        <v>46358</v>
      </c>
      <c r="H802" s="119" t="n">
        <v>46293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IF(E802="","",IF(ISNUMBER(SEARCH("SUBSOLO",E802)),IFERROR(-VALUE(LEFT(E802,FIND("º",SUBSTITUTE(E802,"°","º"))-1)),-1),IF(LEFT(E802,6)="TÉRREO",0,IFERROR(VALUE(LEFT(E802,FIND("º",SUBSTITUTE(E802,"°","º"))-1)),""))))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9877948</v>
      </c>
      <c r="C803" s="4" t="inlineStr">
        <is>
          <t>ESTRUTURA TORRE</t>
        </is>
      </c>
      <c r="D803" s="4" t="inlineStr">
        <is>
          <t>Concretagem</t>
        </is>
      </c>
      <c r="E803" s="4" t="inlineStr">
        <is>
          <t>22º PAV. TIPO</t>
        </is>
      </c>
      <c r="F803" s="119" t="n">
        <v>46359</v>
      </c>
      <c r="G803" s="119" t="n">
        <v>46363</v>
      </c>
      <c r="H803" s="119" t="n">
        <v>46293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IF(E803="","",IF(ISNUMBER(SEARCH("SUBSOLO",E803)),IFERROR(-VALUE(LEFT(E803,FIND("º",SUBSTITUTE(E803,"°","º"))-1)),-1),IF(LEFT(E803,6)="TÉRREO",0,IFERROR(VALUE(LEFT(E803,FIND("º",SUBSTITUTE(E803,"°","º"))-1)),""))))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25210718</v>
      </c>
      <c r="C804" s="4" t="inlineStr">
        <is>
          <t>REBOCO INTERNO</t>
        </is>
      </c>
      <c r="D804" s="4" t="inlineStr">
        <is>
          <t>-</t>
        </is>
      </c>
      <c r="E804" s="4" t="inlineStr">
        <is>
          <t>7º PAV. TIPO</t>
        </is>
      </c>
      <c r="F804" s="119" t="n">
        <v>46351</v>
      </c>
      <c r="G804" s="119" t="n">
        <v>46372</v>
      </c>
      <c r="H804" s="119" t="n">
        <v>46293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IF(E804="","",IF(ISNUMBER(SEARCH("SUBSOLO",E804)),IFERROR(-VALUE(LEFT(E804,FIND("º",SUBSTITUTE(E804,"°","º"))-1)),-1),IF(LEFT(E804,6)="TÉRREO",0,IFERROR(VALUE(LEFT(E804,FIND("º",SUBSTITUTE(E804,"°","º"))-1)),""))))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25210714</v>
      </c>
      <c r="C805" s="4" t="inlineStr">
        <is>
          <t>ESPALA ESQUADRIA DE ALUMINIO</t>
        </is>
      </c>
      <c r="D805" s="4" t="inlineStr">
        <is>
          <t>-</t>
        </is>
      </c>
      <c r="E805" s="4" t="inlineStr">
        <is>
          <t>7º PAV. TIPO</t>
        </is>
      </c>
      <c r="F805" s="119" t="n">
        <v>46351</v>
      </c>
      <c r="G805" s="119" t="n">
        <v>46357</v>
      </c>
      <c r="H805" s="119" t="n">
        <v>46293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IF(E805="","",IF(ISNUMBER(SEARCH("SUBSOLO",E805)),IFERROR(-VALUE(LEFT(E805,FIND("º",SUBSTITUTE(E805,"°","º"))-1)),-1),IF(LEFT(E805,6)="TÉRREO",0,IFERROR(VALUE(LEFT(E805,FIND("º",SUBSTITUTE(E805,"°","º"))-1)),""))))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25210607</v>
      </c>
      <c r="C806" s="4" t="inlineStr">
        <is>
          <t>CONTRAMARCO</t>
        </is>
      </c>
      <c r="D806" s="4" t="inlineStr">
        <is>
          <t>-</t>
        </is>
      </c>
      <c r="E806" s="4" t="inlineStr">
        <is>
          <t>10º PAV. TIPO</t>
        </is>
      </c>
      <c r="F806" s="119" t="n">
        <v>46351</v>
      </c>
      <c r="G806" s="119" t="n">
        <v>46363</v>
      </c>
      <c r="H806" s="119" t="n">
        <v>46293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IF(E806="","",IF(ISNUMBER(SEARCH("SUBSOLO",E806)),IFERROR(-VALUE(LEFT(E806,FIND("º",SUBSTITUTE(E806,"°","º"))-1)),-1),IF(LEFT(E806,6)="TÉRREO",0,IFERROR(VALUE(LEFT(E806,FIND("º",SUBSTITUTE(E806,"°","º"))-1)),""))))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25210612</v>
      </c>
      <c r="C807" s="4" t="inlineStr">
        <is>
          <t>GÁS</t>
        </is>
      </c>
      <c r="D807" s="4" t="inlineStr">
        <is>
          <t>-</t>
        </is>
      </c>
      <c r="E807" s="4" t="inlineStr">
        <is>
          <t>10º PAV. TIPO</t>
        </is>
      </c>
      <c r="F807" s="119" t="n">
        <v>46351</v>
      </c>
      <c r="G807" s="119" t="n">
        <v>46363</v>
      </c>
      <c r="H807" s="119" t="n">
        <v>46293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IF(E807="","",IF(ISNUMBER(SEARCH("SUBSOLO",E807)),IFERROR(-VALUE(LEFT(E807,FIND("º",SUBSTITUTE(E807,"°","º"))-1)),-1),IF(LEFT(E807,6)="TÉRREO",0,IFERROR(VALUE(LEFT(E807,FIND("º",SUBSTITUTE(E807,"°","º"))-1)),""))))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29601154</v>
      </c>
      <c r="C808" s="4" t="inlineStr">
        <is>
          <t>ENCUNHAMENTO</t>
        </is>
      </c>
      <c r="D808" s="4" t="inlineStr">
        <is>
          <t>-</t>
        </is>
      </c>
      <c r="E808" s="4" t="inlineStr">
        <is>
          <t>10º PAV. TIPO</t>
        </is>
      </c>
      <c r="F808" s="119" t="n">
        <v>46351</v>
      </c>
      <c r="G808" s="119" t="n">
        <v>46363</v>
      </c>
      <c r="H808" s="119" t="n">
        <v>46293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IF(E808="","",IF(ISNUMBER(SEARCH("SUBSOLO",E808)),IFERROR(-VALUE(LEFT(E808,FIND("º",SUBSTITUTE(E808,"°","º"))-1)),-1),IF(LEFT(E808,6)="TÉRREO",0,IFERROR(VALUE(LEFT(E808,FIND("º",SUBSTITUTE(E808,"°","º"))-1)),""))))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25210576</v>
      </c>
      <c r="C809" s="4" t="inlineStr">
        <is>
          <t>DISTRIBUIÇÃO HIDROSSANITÁRIA</t>
        </is>
      </c>
      <c r="D809" s="4" t="inlineStr">
        <is>
          <t>-</t>
        </is>
      </c>
      <c r="E809" s="4" t="inlineStr">
        <is>
          <t>11º PAV. TIPO</t>
        </is>
      </c>
      <c r="F809" s="119" t="n">
        <v>46351</v>
      </c>
      <c r="G809" s="119" t="n">
        <v>46363</v>
      </c>
      <c r="H809" s="119" t="n">
        <v>46293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IF(E809="","",IF(ISNUMBER(SEARCH("SUBSOLO",E809)),IFERROR(-VALUE(LEFT(E809,FIND("º",SUBSTITUTE(E809,"°","º"))-1)),-1),IF(LEFT(E809,6)="TÉRREO",0,IFERROR(VALUE(LEFT(E809,FIND("º",SUBSTITUTE(E809,"°","º"))-1)),""))))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25210575</v>
      </c>
      <c r="C810" s="4" t="inlineStr">
        <is>
          <t>DISTRIBUIÇÃO ELÉTRICA / QUADRO - SETOR B</t>
        </is>
      </c>
      <c r="D810" s="4" t="inlineStr">
        <is>
          <t>-</t>
        </is>
      </c>
      <c r="E810" s="4" t="inlineStr">
        <is>
          <t>11º PAV. TIPO</t>
        </is>
      </c>
      <c r="F810" s="119" t="n">
        <v>46351</v>
      </c>
      <c r="G810" s="119" t="n">
        <v>46363</v>
      </c>
      <c r="H810" s="119" t="n">
        <v>46293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IF(E810="","",IF(ISNUMBER(SEARCH("SUBSOLO",E810)),IFERROR(-VALUE(LEFT(E810,FIND("º",SUBSTITUTE(E810,"°","º"))-1)),-1),IF(LEFT(E810,6)="TÉRREO",0,IFERROR(VALUE(LEFT(E810,FIND("º",SUBSTITUTE(E810,"°","º"))-1)),""))))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33276737</v>
      </c>
      <c r="C811" s="4" t="inlineStr">
        <is>
          <t>INFRAESTRUTURA ELÉTRICA - TETO</t>
        </is>
      </c>
      <c r="D811" s="4" t="inlineStr">
        <is>
          <t>-</t>
        </is>
      </c>
      <c r="E811" s="4" t="inlineStr">
        <is>
          <t>11º PAV. TIPO</t>
        </is>
      </c>
      <c r="F811" s="119" t="n">
        <v>46351</v>
      </c>
      <c r="G811" s="119" t="n">
        <v>46363</v>
      </c>
      <c r="H811" s="119" t="n">
        <v>46293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IF(E811="","",IF(ISNUMBER(SEARCH("SUBSOLO",E811)),IFERROR(-VALUE(LEFT(E811,FIND("º",SUBSTITUTE(E811,"°","º"))-1)),-1),IF(LEFT(E811,6)="TÉRREO",0,IFERROR(VALUE(LEFT(E811,FIND("º",SUBSTITUTE(E811,"°","º"))-1)),""))))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43846653</v>
      </c>
      <c r="C812" s="4" t="inlineStr">
        <is>
          <t>ALVENARIA EXTERNA</t>
        </is>
      </c>
      <c r="D812" s="4" t="inlineStr">
        <is>
          <t>-</t>
        </is>
      </c>
      <c r="E812" s="4" t="inlineStr">
        <is>
          <t>17º PAV. TIPO</t>
        </is>
      </c>
      <c r="F812" s="119" t="n">
        <v>46351</v>
      </c>
      <c r="G812" s="119" t="n">
        <v>46359</v>
      </c>
      <c r="H812" s="119" t="n">
        <v>46293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IF(E812="","",IF(ISNUMBER(SEARCH("SUBSOLO",E812)),IFERROR(-VALUE(LEFT(E812,FIND("º",SUBSTITUTE(E812,"°","º"))-1)),-1),IF(LEFT(E812,6)="TÉRREO",0,IFERROR(VALUE(LEFT(E812,FIND("º",SUBSTITUTE(E812,"°","º"))-1)),""))))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33367716</v>
      </c>
      <c r="C813" s="4" t="inlineStr">
        <is>
          <t>REBOCO - SETOR A</t>
        </is>
      </c>
      <c r="D813" s="4" t="inlineStr">
        <is>
          <t>-</t>
        </is>
      </c>
      <c r="E813" s="4" t="inlineStr">
        <is>
          <t>TÉRREO - GARAGENS</t>
        </is>
      </c>
      <c r="F813" s="119" t="n">
        <v>46352</v>
      </c>
      <c r="G813" s="119" t="n">
        <v>46374</v>
      </c>
      <c r="H813" s="119" t="n">
        <v>46293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IF(E813="","",IF(ISNUMBER(SEARCH("SUBSOLO",E813)),IFERROR(-VALUE(LEFT(E813,FIND("º",SUBSTITUTE(E813,"°","º"))-1)),-1),IF(LEFT(E813,6)="TÉRREO",0,IFERROR(VALUE(LEFT(E813,FIND("º",SUBSTITUTE(E813,"°","º"))-1)),""))))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25210757</v>
      </c>
      <c r="C814" s="4" t="inlineStr">
        <is>
          <t>IMPERMEABILIZAÇÃO INTERNA</t>
        </is>
      </c>
      <c r="D814" s="4" t="inlineStr">
        <is>
          <t>-</t>
        </is>
      </c>
      <c r="E814" s="4" t="inlineStr">
        <is>
          <t>6º PAV. TIPO</t>
        </is>
      </c>
      <c r="F814" s="119" t="n">
        <v>46352</v>
      </c>
      <c r="G814" s="119" t="n">
        <v>46365</v>
      </c>
      <c r="H814" s="119" t="n">
        <v>46293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IF(E814="","",IF(ISNUMBER(SEARCH("SUBSOLO",E814)),IFERROR(-VALUE(LEFT(E814,FIND("º",SUBSTITUTE(E814,"°","º"))-1)),-1),IF(LEFT(E814,6)="TÉRREO",0,IFERROR(VALUE(LEFT(E814,FIND("º",SUBSTITUTE(E814,"°","º"))-1)),""))))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25807545</v>
      </c>
      <c r="C815" s="4" t="inlineStr">
        <is>
          <t>CONTRAPISO</t>
        </is>
      </c>
      <c r="D815" s="4" t="inlineStr">
        <is>
          <t>-</t>
        </is>
      </c>
      <c r="E815" s="4" t="inlineStr">
        <is>
          <t>3º PAV. ESPAÇO THERMAS, PISCINA COBERTA, SAUNAS E VESTIÁRIOS</t>
        </is>
      </c>
      <c r="F815" s="119" t="n">
        <v>46357</v>
      </c>
      <c r="G815" s="119" t="n">
        <v>46399</v>
      </c>
      <c r="H815" s="119" t="n">
        <v>46293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IF(E815="","",IF(ISNUMBER(SEARCH("SUBSOLO",E815)),IFERROR(-VALUE(LEFT(E815,FIND("º",SUBSTITUTE(E815,"°","º"))-1)),-1),IF(LEFT(E815,6)="TÉRREO",0,IFERROR(VALUE(LEFT(E815,FIND("º",SUBSTITUTE(E815,"°","º"))-1)),""))))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25800753</v>
      </c>
      <c r="C816" s="4" t="inlineStr">
        <is>
          <t>IMPERMEABILIZAÇÃO</t>
        </is>
      </c>
      <c r="D816" s="4" t="inlineStr">
        <is>
          <t>-</t>
        </is>
      </c>
      <c r="E816" s="4" t="inlineStr">
        <is>
          <t>3º PAV. - QUADRA DE TÊNIS E POLIESPORTIVA</t>
        </is>
      </c>
      <c r="F816" s="119" t="n">
        <v>46357</v>
      </c>
      <c r="G816" s="119" t="n">
        <v>46413</v>
      </c>
      <c r="H816" s="119" t="n">
        <v>46293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IF(E816="","",IF(ISNUMBER(SEARCH("SUBSOLO",E816)),IFERROR(-VALUE(LEFT(E816,FIND("º",SUBSTITUTE(E816,"°","º"))-1)),-1),IF(LEFT(E816,6)="TÉRREO",0,IFERROR(VALUE(LEFT(E816,FIND("º",SUBSTITUTE(E816,"°","º"))-1)),""))))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42645662</v>
      </c>
      <c r="C817" s="4" t="inlineStr">
        <is>
          <t>IMPERMEABILIZAÇÃO</t>
        </is>
      </c>
      <c r="D817" s="4" t="inlineStr">
        <is>
          <t>Imprimação</t>
        </is>
      </c>
      <c r="E817" s="4" t="inlineStr">
        <is>
          <t>3º PAV. - QUADRA DE TÊNIS E POLIESPORTIVA</t>
        </is>
      </c>
      <c r="F817" s="119" t="n">
        <v>46357</v>
      </c>
      <c r="G817" s="119" t="n">
        <v>46366</v>
      </c>
      <c r="H817" s="119" t="n">
        <v>46293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IF(E817="","",IF(ISNUMBER(SEARCH("SUBSOLO",E817)),IFERROR(-VALUE(LEFT(E817,FIND("º",SUBSTITUTE(E817,"°","º"))-1)),-1),IF(LEFT(E817,6)="TÉRREO",0,IFERROR(VALUE(LEFT(E817,FIND("º",SUBSTITUTE(E817,"°","º"))-1)),""))))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42645663</v>
      </c>
      <c r="C818" s="4" t="inlineStr">
        <is>
          <t>IMPERMEABILIZAÇÃO</t>
        </is>
      </c>
      <c r="D818" s="4" t="inlineStr">
        <is>
          <t>Manta - Primeira Camada</t>
        </is>
      </c>
      <c r="E818" s="4" t="inlineStr">
        <is>
          <t>3º PAV. - QUADRA DE TÊNIS E POLIESPORTIVA</t>
        </is>
      </c>
      <c r="F818" s="119" t="n">
        <v>46367</v>
      </c>
      <c r="G818" s="119" t="n">
        <v>46394</v>
      </c>
      <c r="H818" s="119" t="n">
        <v>46293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IF(E818="","",IF(ISNUMBER(SEARCH("SUBSOLO",E818)),IFERROR(-VALUE(LEFT(E818,FIND("º",SUBSTITUTE(E818,"°","º"))-1)),-1),IF(LEFT(E818,6)="TÉRREO",0,IFERROR(VALUE(LEFT(E818,FIND("º",SUBSTITUTE(E818,"°","º"))-1)),""))))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42645664</v>
      </c>
      <c r="C819" s="4" t="inlineStr">
        <is>
          <t>IMPERMEABILIZAÇÃO</t>
        </is>
      </c>
      <c r="D819" s="4" t="inlineStr">
        <is>
          <t>Manta - Segunda Camada</t>
        </is>
      </c>
      <c r="E819" s="4" t="inlineStr">
        <is>
          <t>3º PAV. - QUADRA DE TÊNIS E POLIESPORTIVA</t>
        </is>
      </c>
      <c r="F819" s="119" t="n">
        <v>46373</v>
      </c>
      <c r="G819" s="119" t="n">
        <v>46400</v>
      </c>
      <c r="H819" s="119" t="n">
        <v>46293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IF(E819="","",IF(ISNUMBER(SEARCH("SUBSOLO",E819)),IFERROR(-VALUE(LEFT(E819,FIND("º",SUBSTITUTE(E819,"°","º"))-1)),-1),IF(LEFT(E819,6)="TÉRREO",0,IFERROR(VALUE(LEFT(E819,FIND("º",SUBSTITUTE(E819,"°","º"))-1)),""))))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42645665</v>
      </c>
      <c r="C820" s="4" t="inlineStr">
        <is>
          <t>IMPERMEABILIZAÇÃO</t>
        </is>
      </c>
      <c r="D820" s="4" t="inlineStr">
        <is>
          <t>Teste Manta - Fase 1</t>
        </is>
      </c>
      <c r="E820" s="4" t="inlineStr">
        <is>
          <t>3º PAV. - QUADRA DE TÊNIS E POLIESPORTIVA</t>
        </is>
      </c>
      <c r="F820" s="119" t="n">
        <v>46401</v>
      </c>
      <c r="G820" s="119" t="n">
        <v>46407</v>
      </c>
      <c r="H820" s="119" t="n">
        <v>46293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IF(E820="","",IF(ISNUMBER(SEARCH("SUBSOLO",E820)),IFERROR(-VALUE(LEFT(E820,FIND("º",SUBSTITUTE(E820,"°","º"))-1)),-1),IF(LEFT(E820,6)="TÉRREO",0,IFERROR(VALUE(LEFT(E820,FIND("º",SUBSTITUTE(E820,"°","º"))-1)),""))))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42645666</v>
      </c>
      <c r="C821" s="4" t="inlineStr">
        <is>
          <t>IMPERMEABILIZAÇÃO</t>
        </is>
      </c>
      <c r="D821" s="4" t="inlineStr">
        <is>
          <t>Teste Manta - Fase 2</t>
        </is>
      </c>
      <c r="E821" s="4" t="inlineStr">
        <is>
          <t>3º PAV. - QUADRA DE TÊNIS E POLIESPORTIVA</t>
        </is>
      </c>
      <c r="F821" s="119" t="n">
        <v>46408</v>
      </c>
      <c r="G821" s="119" t="n">
        <v>46413</v>
      </c>
      <c r="H821" s="119" t="n">
        <v>46293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IF(E821="","",IF(ISNUMBER(SEARCH("SUBSOLO",E821)),IFERROR(-VALUE(LEFT(E821,FIND("º",SUBSTITUTE(E821,"°","º"))-1)),-1),IF(LEFT(E821,6)="TÉRREO",0,IFERROR(VALUE(LEFT(E821,FIND("º",SUBSTITUTE(E821,"°","º"))-1)),""))))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25210404</v>
      </c>
      <c r="C822" s="4" t="inlineStr">
        <is>
          <t>PRUMADA HIDROSSANITÁRIA</t>
        </is>
      </c>
      <c r="D822" s="4" t="inlineStr">
        <is>
          <t>-</t>
        </is>
      </c>
      <c r="E822" s="4" t="inlineStr">
        <is>
          <t>16º PAV. TIPO</t>
        </is>
      </c>
      <c r="F822" s="119" t="n">
        <v>46357</v>
      </c>
      <c r="G822" s="119" t="n">
        <v>46370</v>
      </c>
      <c r="H822" s="119" t="n">
        <v>46293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IF(E822="","",IF(ISNUMBER(SEARCH("SUBSOLO",E822)),IFERROR(-VALUE(LEFT(E822,FIND("º",SUBSTITUTE(E822,"°","º"))-1)),-1),IF(LEFT(E822,6)="TÉRREO",0,IFERROR(VALUE(LEFT(E822,FIND("º",SUBSTITUTE(E822,"°","º"))-1)),""))))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25210394</v>
      </c>
      <c r="C823" s="4" t="inlineStr">
        <is>
          <t>PRUMADA DE INCÊNDIO</t>
        </is>
      </c>
      <c r="D823" s="4" t="inlineStr">
        <is>
          <t>-</t>
        </is>
      </c>
      <c r="E823" s="4" t="inlineStr">
        <is>
          <t>16º PAV. TIPO</t>
        </is>
      </c>
      <c r="F823" s="119" t="n">
        <v>46357</v>
      </c>
      <c r="G823" s="119" t="n">
        <v>46370</v>
      </c>
      <c r="H823" s="119" t="n">
        <v>46293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IF(E823="","",IF(ISNUMBER(SEARCH("SUBSOLO",E823)),IFERROR(-VALUE(LEFT(E823,FIND("º",SUBSTITUTE(E823,"°","º"))-1)),-1),IF(LEFT(E823,6)="TÉRREO",0,IFERROR(VALUE(LEFT(E823,FIND("º",SUBSTITUTE(E823,"°","º"))-1)),""))))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25210358</v>
      </c>
      <c r="C824" s="4" t="inlineStr">
        <is>
          <t>ALVENARIA</t>
        </is>
      </c>
      <c r="D824" s="4" t="inlineStr">
        <is>
          <t>-</t>
        </is>
      </c>
      <c r="E824" s="4" t="inlineStr">
        <is>
          <t>17º PAV. TIPO</t>
        </is>
      </c>
      <c r="F824" s="119" t="n">
        <v>46360</v>
      </c>
      <c r="G824" s="119" t="n">
        <v>46374</v>
      </c>
      <c r="H824" s="119" t="n">
        <v>46293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IF(E824="","",IF(ISNUMBER(SEARCH("SUBSOLO",E824)),IFERROR(-VALUE(LEFT(E824,FIND("º",SUBSTITUTE(E824,"°","º"))-1)),-1),IF(LEFT(E824,6)="TÉRREO",0,IFERROR(VALUE(LEFT(E824,FIND("º",SUBSTITUTE(E824,"°","º"))-1)),""))))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25799888</v>
      </c>
      <c r="C825" s="4" t="inlineStr">
        <is>
          <t>CONTRAPISO</t>
        </is>
      </c>
      <c r="D825" s="4" t="inlineStr">
        <is>
          <t>-</t>
        </is>
      </c>
      <c r="E825" s="4" t="inlineStr">
        <is>
          <t>3º PAV. - ACADEMIA</t>
        </is>
      </c>
      <c r="F825" s="119" t="n">
        <v>46363</v>
      </c>
      <c r="G825" s="119" t="n">
        <v>46407</v>
      </c>
      <c r="H825" s="119" t="n">
        <v>46293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IF(E825="","",IF(ISNUMBER(SEARCH("SUBSOLO",E825)),IFERROR(-VALUE(LEFT(E825,FIND("º",SUBSTITUTE(E825,"°","º"))-1)),-1),IF(LEFT(E825,6)="TÉRREO",0,IFERROR(VALUE(LEFT(E825,FIND("º",SUBSTITUTE(E825,"°","º"))-1)),""))))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25210613</v>
      </c>
      <c r="C826" s="4" t="inlineStr">
        <is>
          <t>REBOCO INTERNO</t>
        </is>
      </c>
      <c r="D826" s="4" t="inlineStr">
        <is>
          <t>-</t>
        </is>
      </c>
      <c r="E826" s="4" t="inlineStr">
        <is>
          <t>10º PAV. TIPO</t>
        </is>
      </c>
      <c r="F826" s="119" t="n">
        <v>46365</v>
      </c>
      <c r="G826" s="119" t="n">
        <v>46399</v>
      </c>
      <c r="H826" s="119" t="n">
        <v>46293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IF(E826="","",IF(ISNUMBER(SEARCH("SUBSOLO",E826)),IFERROR(-VALUE(LEFT(E826,FIND("º",SUBSTITUTE(E826,"°","º"))-1)),-1),IF(LEFT(E826,6)="TÉRREO",0,IFERROR(VALUE(LEFT(E826,FIND("º",SUBSTITUTE(E826,"°","º"))-1)),""))))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25210609</v>
      </c>
      <c r="C827" s="4" t="inlineStr">
        <is>
          <t>ESPALA ESQUADRIA DE ALUMINIO</t>
        </is>
      </c>
      <c r="D827" s="4" t="inlineStr">
        <is>
          <t>-</t>
        </is>
      </c>
      <c r="E827" s="4" t="inlineStr">
        <is>
          <t>10º PAV. TIPO</t>
        </is>
      </c>
      <c r="F827" s="119" t="n">
        <v>46365</v>
      </c>
      <c r="G827" s="119" t="n">
        <v>46371</v>
      </c>
      <c r="H827" s="119" t="n">
        <v>46293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IF(E827="","",IF(ISNUMBER(SEARCH("SUBSOLO",E827)),IFERROR(-VALUE(LEFT(E827,FIND("º",SUBSTITUTE(E827,"°","º"))-1)),-1),IF(LEFT(E827,6)="TÉRREO",0,IFERROR(VALUE(LEFT(E827,FIND("º",SUBSTITUTE(E827,"°","º"))-1)),""))))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25210572</v>
      </c>
      <c r="C828" s="4" t="inlineStr">
        <is>
          <t>CONTRAMARCO</t>
        </is>
      </c>
      <c r="D828" s="4" t="inlineStr">
        <is>
          <t>-</t>
        </is>
      </c>
      <c r="E828" s="4" t="inlineStr">
        <is>
          <t>11º PAV. TIPO</t>
        </is>
      </c>
      <c r="F828" s="119" t="n">
        <v>46365</v>
      </c>
      <c r="G828" s="119" t="n">
        <v>46391</v>
      </c>
      <c r="H828" s="119" t="n">
        <v>46293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IF(E828="","",IF(ISNUMBER(SEARCH("SUBSOLO",E828)),IFERROR(-VALUE(LEFT(E828,FIND("º",SUBSTITUTE(E828,"°","º"))-1)),-1),IF(LEFT(E828,6)="TÉRREO",0,IFERROR(VALUE(LEFT(E828,FIND("º",SUBSTITUTE(E828,"°","º"))-1)),""))))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25210577</v>
      </c>
      <c r="C829" s="4" t="inlineStr">
        <is>
          <t>GÁS</t>
        </is>
      </c>
      <c r="D829" s="4" t="inlineStr">
        <is>
          <t>-</t>
        </is>
      </c>
      <c r="E829" s="4" t="inlineStr">
        <is>
          <t>11º PAV. TIPO</t>
        </is>
      </c>
      <c r="F829" s="119" t="n">
        <v>46365</v>
      </c>
      <c r="G829" s="119" t="n">
        <v>46391</v>
      </c>
      <c r="H829" s="119" t="n">
        <v>46293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IF(E829="","",IF(ISNUMBER(SEARCH("SUBSOLO",E829)),IFERROR(-VALUE(LEFT(E829,FIND("º",SUBSTITUTE(E829,"°","º"))-1)),-1),IF(LEFT(E829,6)="TÉRREO",0,IFERROR(VALUE(LEFT(E829,FIND("º",SUBSTITUTE(E829,"°","º"))-1)),""))))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29601157</v>
      </c>
      <c r="C830" s="4" t="inlineStr">
        <is>
          <t>ENCUNHAMENTO</t>
        </is>
      </c>
      <c r="D830" s="4" t="inlineStr">
        <is>
          <t>-</t>
        </is>
      </c>
      <c r="E830" s="4" t="inlineStr">
        <is>
          <t>11º PAV. TIPO</t>
        </is>
      </c>
      <c r="F830" s="119" t="n">
        <v>46365</v>
      </c>
      <c r="G830" s="119" t="n">
        <v>46391</v>
      </c>
      <c r="H830" s="119" t="n">
        <v>46293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IF(E830="","",IF(ISNUMBER(SEARCH("SUBSOLO",E830)),IFERROR(-VALUE(LEFT(E830,FIND("º",SUBSTITUTE(E830,"°","º"))-1)),-1),IF(LEFT(E830,6)="TÉRREO",0,IFERROR(VALUE(LEFT(E830,FIND("º",SUBSTITUTE(E830,"°","º"))-1)),""))))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22139735</v>
      </c>
      <c r="C831" s="4" t="inlineStr">
        <is>
          <t>ESTRUTURA TORRE</t>
        </is>
      </c>
      <c r="D831" s="4" t="inlineStr">
        <is>
          <t>-</t>
        </is>
      </c>
      <c r="E831" s="4" t="inlineStr">
        <is>
          <t>23º PAV. TIPO</t>
        </is>
      </c>
      <c r="F831" s="119" t="n">
        <v>46365</v>
      </c>
      <c r="G831" s="119" t="n">
        <v>46374</v>
      </c>
      <c r="H831" s="119" t="n">
        <v>46293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IF(E831="","",IF(ISNUMBER(SEARCH("SUBSOLO",E831)),IFERROR(-VALUE(LEFT(E831,FIND("º",SUBSTITUTE(E831,"°","º"))-1)),-1),IF(LEFT(E831,6)="TÉRREO",0,IFERROR(VALUE(LEFT(E831,FIND("º",SUBSTITUTE(E831,"°","º"))-1)),""))))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9877268</v>
      </c>
      <c r="C832" s="4" t="inlineStr">
        <is>
          <t>ESTRUTURA TORRE</t>
        </is>
      </c>
      <c r="D832" s="4" t="inlineStr">
        <is>
          <t>Forma Pilar</t>
        </is>
      </c>
      <c r="E832" s="4" t="inlineStr">
        <is>
          <t>23º PAV. TIPO</t>
        </is>
      </c>
      <c r="F832" s="119" t="n">
        <v>46365</v>
      </c>
      <c r="G832" s="119" t="n">
        <v>46366</v>
      </c>
      <c r="H832" s="119" t="n">
        <v>46293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IF(E832="","",IF(ISNUMBER(SEARCH("SUBSOLO",E832)),IFERROR(-VALUE(LEFT(E832,FIND("º",SUBSTITUTE(E832,"°","º"))-1)),-1),IF(LEFT(E832,6)="TÉRREO",0,IFERROR(VALUE(LEFT(E832,FIND("º",SUBSTITUTE(E832,"°","º"))-1)),""))))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9877269</v>
      </c>
      <c r="C833" s="4" t="inlineStr">
        <is>
          <t>ESTRUTURA TORRE</t>
        </is>
      </c>
      <c r="D833" s="4" t="inlineStr">
        <is>
          <t>Armação Pilar</t>
        </is>
      </c>
      <c r="E833" s="4" t="inlineStr">
        <is>
          <t>23º PAV. TIPO</t>
        </is>
      </c>
      <c r="F833" s="119" t="n">
        <v>46365</v>
      </c>
      <c r="G833" s="119" t="n">
        <v>46366</v>
      </c>
      <c r="H833" s="119" t="n">
        <v>46293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IF(E833="","",IF(ISNUMBER(SEARCH("SUBSOLO",E833)),IFERROR(-VALUE(LEFT(E833,FIND("º",SUBSTITUTE(E833,"°","º"))-1)),-1),IF(LEFT(E833,6)="TÉRREO",0,IFERROR(VALUE(LEFT(E833,FIND("º",SUBSTITUTE(E833,"°","º"))-1)),""))))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9877270</v>
      </c>
      <c r="C834" s="4" t="inlineStr">
        <is>
          <t>ESTRUTURA TORRE</t>
        </is>
      </c>
      <c r="D834" s="4" t="inlineStr">
        <is>
          <t>Escoramento</t>
        </is>
      </c>
      <c r="E834" s="4" t="inlineStr">
        <is>
          <t>23º PAV. TIPO</t>
        </is>
      </c>
      <c r="F834" s="119" t="n">
        <v>46366</v>
      </c>
      <c r="G834" s="119" t="n">
        <v>46367</v>
      </c>
      <c r="H834" s="119" t="n">
        <v>46293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IF(E834="","",IF(ISNUMBER(SEARCH("SUBSOLO",E834)),IFERROR(-VALUE(LEFT(E834,FIND("º",SUBSTITUTE(E834,"°","º"))-1)),-1),IF(LEFT(E834,6)="TÉRREO",0,IFERROR(VALUE(LEFT(E834,FIND("º",SUBSTITUTE(E834,"°","º"))-1)),""))))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9877949</v>
      </c>
      <c r="C835" s="4" t="inlineStr">
        <is>
          <t>ESTRUTURA TORRE</t>
        </is>
      </c>
      <c r="D835" s="4" t="inlineStr">
        <is>
          <t>Concretagem Pilar</t>
        </is>
      </c>
      <c r="E835" s="4" t="inlineStr">
        <is>
          <t>23º PAV. TIPO</t>
        </is>
      </c>
      <c r="F835" s="119" t="n">
        <v>46370</v>
      </c>
      <c r="G835" s="119" t="n">
        <v>46370</v>
      </c>
      <c r="H835" s="119" t="n">
        <v>46293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IF(E835="","",IF(ISNUMBER(SEARCH("SUBSOLO",E835)),IFERROR(-VALUE(LEFT(E835,FIND("º",SUBSTITUTE(E835,"°","º"))-1)),-1),IF(LEFT(E835,6)="TÉRREO",0,IFERROR(VALUE(LEFT(E835,FIND("º",SUBSTITUTE(E835,"°","º"))-1)),""))))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9877950</v>
      </c>
      <c r="C836" s="4" t="inlineStr">
        <is>
          <t>ESTRUTURA TORRE</t>
        </is>
      </c>
      <c r="D836" s="4" t="inlineStr">
        <is>
          <t>Forma Vigas e Lajes</t>
        </is>
      </c>
      <c r="E836" s="4" t="inlineStr">
        <is>
          <t>23º PAV. TIPO</t>
        </is>
      </c>
      <c r="F836" s="119" t="n">
        <v>46371</v>
      </c>
      <c r="G836" s="119" t="n">
        <v>46374</v>
      </c>
      <c r="H836" s="119" t="n">
        <v>46293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IF(E836="","",IF(ISNUMBER(SEARCH("SUBSOLO",E836)),IFERROR(-VALUE(LEFT(E836,FIND("º",SUBSTITUTE(E836,"°","º"))-1)),-1),IF(LEFT(E836,6)="TÉRREO",0,IFERROR(VALUE(LEFT(E836,FIND("º",SUBSTITUTE(E836,"°","º"))-1)),""))))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9877951</v>
      </c>
      <c r="C837" s="4" t="inlineStr">
        <is>
          <t>ESTRUTURA TORRE</t>
        </is>
      </c>
      <c r="D837" s="4" t="inlineStr">
        <is>
          <t>Armação Vigas e Lajes</t>
        </is>
      </c>
      <c r="E837" s="4" t="inlineStr">
        <is>
          <t>23º PAV. TIPO</t>
        </is>
      </c>
      <c r="F837" s="119" t="n">
        <v>46372</v>
      </c>
      <c r="G837" s="119" t="n">
        <v>46374</v>
      </c>
      <c r="H837" s="119" t="n">
        <v>46293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IF(E837="","",IF(ISNUMBER(SEARCH("SUBSOLO",E837)),IFERROR(-VALUE(LEFT(E837,FIND("º",SUBSTITUTE(E837,"°","º"))-1)),-1),IF(LEFT(E837,6)="TÉRREO",0,IFERROR(VALUE(LEFT(E837,FIND("º",SUBSTITUTE(E837,"°","º"))-1)),""))))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9877952</v>
      </c>
      <c r="C838" s="4" t="inlineStr">
        <is>
          <t>ESTRUTURA TORRE</t>
        </is>
      </c>
      <c r="D838" s="4" t="inlineStr">
        <is>
          <t>Passagem Hidráulica</t>
        </is>
      </c>
      <c r="E838" s="4" t="inlineStr">
        <is>
          <t>23º PAV. TIPO</t>
        </is>
      </c>
      <c r="F838" s="119" t="n">
        <v>46373</v>
      </c>
      <c r="G838" s="119" t="n">
        <v>46373</v>
      </c>
      <c r="H838" s="119" t="n">
        <v>46293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IF(E838="","",IF(ISNUMBER(SEARCH("SUBSOLO",E838)),IFERROR(-VALUE(LEFT(E838,FIND("º",SUBSTITUTE(E838,"°","º"))-1)),-1),IF(LEFT(E838,6)="TÉRREO",0,IFERROR(VALUE(LEFT(E838,FIND("º",SUBSTITUTE(E838,"°","º"))-1)),""))))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9877953</v>
      </c>
      <c r="C839" s="4" t="inlineStr">
        <is>
          <t>ESTRUTURA TORRE</t>
        </is>
      </c>
      <c r="D839" s="4" t="inlineStr">
        <is>
          <t>Passagem Elétrica</t>
        </is>
      </c>
      <c r="E839" s="4" t="inlineStr">
        <is>
          <t>23º PAV. TIPO</t>
        </is>
      </c>
      <c r="F839" s="119" t="n">
        <v>46373</v>
      </c>
      <c r="G839" s="119" t="n">
        <v>46373</v>
      </c>
      <c r="H839" s="119" t="n">
        <v>46293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IF(E839="","",IF(ISNUMBER(SEARCH("SUBSOLO",E839)),IFERROR(-VALUE(LEFT(E839,FIND("º",SUBSTITUTE(E839,"°","º"))-1)),-1),IF(LEFT(E839,6)="TÉRREO",0,IFERROR(VALUE(LEFT(E839,FIND("º",SUBSTITUTE(E839,"°","º"))-1)),""))))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9877954</v>
      </c>
      <c r="C840" s="4" t="inlineStr">
        <is>
          <t>ESTRUTURA TORRE</t>
        </is>
      </c>
      <c r="D840" s="4" t="inlineStr">
        <is>
          <t>Concretagem</t>
        </is>
      </c>
      <c r="E840" s="4" t="inlineStr">
        <is>
          <t>23º PAV. TIPO</t>
        </is>
      </c>
      <c r="F840" s="119" t="n">
        <v>46374</v>
      </c>
      <c r="G840" s="119" t="n">
        <v>46374</v>
      </c>
      <c r="H840" s="119" t="n">
        <v>46293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IF(E840="","",IF(ISNUMBER(SEARCH("SUBSOLO",E840)),IFERROR(-VALUE(LEFT(E840,FIND("º",SUBSTITUTE(E840,"°","º"))-1)),-1),IF(LEFT(E840,6)="TÉRREO",0,IFERROR(VALUE(LEFT(E840,FIND("º",SUBSTITUTE(E840,"°","º"))-1)),""))))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27762189</v>
      </c>
      <c r="C841" s="4" t="inlineStr">
        <is>
          <t>TRATAMENTO ACÚSTICO</t>
        </is>
      </c>
      <c r="D841" s="4" t="inlineStr">
        <is>
          <t>-</t>
        </is>
      </c>
      <c r="E841" s="4" t="inlineStr">
        <is>
          <t>6º PAV. TIPO</t>
        </is>
      </c>
      <c r="F841" s="119" t="n">
        <v>46366</v>
      </c>
      <c r="G841" s="119" t="n">
        <v>46366</v>
      </c>
      <c r="H841" s="119" t="n">
        <v>46293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IF(E841="","",IF(ISNUMBER(SEARCH("SUBSOLO",E841)),IFERROR(-VALUE(LEFT(E841,FIND("º",SUBSTITUTE(E841,"°","º"))-1)),-1),IF(LEFT(E841,6)="TÉRREO",0,IFERROR(VALUE(LEFT(E841,FIND("º",SUBSTITUTE(E841,"°","º"))-1)),""))))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27769240</v>
      </c>
      <c r="C842" s="4" t="inlineStr">
        <is>
          <t>PRUMADA ELÉTRICA INFRA</t>
        </is>
      </c>
      <c r="D842" s="4" t="inlineStr">
        <is>
          <t>-</t>
        </is>
      </c>
      <c r="E842" s="4" t="inlineStr">
        <is>
          <t>16º PAV. TIPO</t>
        </is>
      </c>
      <c r="F842" s="119" t="n">
        <v>46366</v>
      </c>
      <c r="G842" s="119" t="n">
        <v>46392</v>
      </c>
      <c r="H842" s="119" t="n">
        <v>46293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IF(E842="","",IF(ISNUMBER(SEARCH("SUBSOLO",E842)),IFERROR(-VALUE(LEFT(E842,FIND("º",SUBSTITUTE(E842,"°","º"))-1)),-1),IF(LEFT(E842,6)="TÉRREO",0,IFERROR(VALUE(LEFT(E842,FIND("º",SUBSTITUTE(E842,"°","º"))-1)),""))))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25724367</v>
      </c>
      <c r="C843" s="4" t="inlineStr">
        <is>
          <t>FACHADA FRONTAL - F1 (C)</t>
        </is>
      </c>
      <c r="D843" s="4" t="inlineStr">
        <is>
          <t>-</t>
        </is>
      </c>
      <c r="E843" s="4" t="inlineStr">
        <is>
          <t>FACHADA</t>
        </is>
      </c>
      <c r="F843" s="119" t="n">
        <v>46366</v>
      </c>
      <c r="G843" s="119" t="n">
        <v>46518</v>
      </c>
      <c r="H843" s="119" t="n">
        <v>46293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IF(E843="","",IF(ISNUMBER(SEARCH("SUBSOLO",E843)),IFERROR(-VALUE(LEFT(E843,FIND("º",SUBSTITUTE(E843,"°","º"))-1)),-1),IF(LEFT(E843,6)="TÉRREO",0,IFERROR(VALUE(LEFT(E843,FIND("º",SUBSTITUTE(E843,"°","º"))-1)),""))))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25210745</v>
      </c>
      <c r="C844" s="4" t="inlineStr">
        <is>
          <t>IMPERMEABILIZAÇÃO VARANDA E JARDINEIRAS</t>
        </is>
      </c>
      <c r="D844" s="4" t="inlineStr">
        <is>
          <t>-</t>
        </is>
      </c>
      <c r="E844" s="4" t="inlineStr">
        <is>
          <t>6º PAV. TIPO</t>
        </is>
      </c>
      <c r="F844" s="119" t="n">
        <v>46367</v>
      </c>
      <c r="G844" s="119" t="n">
        <v>46393</v>
      </c>
      <c r="H844" s="119" t="n">
        <v>46293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IF(E844="","",IF(ISNUMBER(SEARCH("SUBSOLO",E844)),IFERROR(-VALUE(LEFT(E844,FIND("º",SUBSTITUTE(E844,"°","º"))-1)),-1),IF(LEFT(E844,6)="TÉRREO",0,IFERROR(VALUE(LEFT(E844,FIND("º",SUBSTITUTE(E844,"°","º"))-1)),""))))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53298577</v>
      </c>
      <c r="C845" s="4" t="inlineStr">
        <is>
          <t>CONTRAPISO</t>
        </is>
      </c>
      <c r="D845" s="4" t="inlineStr">
        <is>
          <t>-</t>
        </is>
      </c>
      <c r="E845" s="4" t="inlineStr">
        <is>
          <t>3º PAV. - JARDINS SOBRE LAJE / BOSQUE</t>
        </is>
      </c>
      <c r="F845" s="119" t="n">
        <v>46370</v>
      </c>
      <c r="G845" s="119" t="n">
        <v>46443</v>
      </c>
      <c r="H845" s="119" t="n">
        <v>46293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IF(E845="","",IF(ISNUMBER(SEARCH("SUBSOLO",E845)),IFERROR(-VALUE(LEFT(E845,FIND("º",SUBSTITUTE(E845,"°","º"))-1)),-1),IF(LEFT(E845,6)="TÉRREO",0,IFERROR(VALUE(LEFT(E845,FIND("º",SUBSTITUTE(E845,"°","º"))-1)),""))))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29601298</v>
      </c>
      <c r="C846" s="4" t="inlineStr">
        <is>
          <t>TALISCAMENTO</t>
        </is>
      </c>
      <c r="D846" s="4" t="inlineStr">
        <is>
          <t>-</t>
        </is>
      </c>
      <c r="E846" s="4" t="inlineStr">
        <is>
          <t>16º PAV. TIPO</t>
        </is>
      </c>
      <c r="F846" s="119" t="n">
        <v>46371</v>
      </c>
      <c r="G846" s="119" t="n">
        <v>46395</v>
      </c>
      <c r="H846" s="119" t="n">
        <v>46293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IF(E846="","",IF(ISNUMBER(SEARCH("SUBSOLO",E846)),IFERROR(-VALUE(LEFT(E846,FIND("º",SUBSTITUTE(E846,"°","º"))-1)),-1),IF(LEFT(E846,6)="TÉRREO",0,IFERROR(VALUE(LEFT(E846,FIND("º",SUBSTITUTE(E846,"°","º"))-1)),""))))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25731721</v>
      </c>
      <c r="C847" s="4" t="inlineStr">
        <is>
          <t>FACHADA BALTAZAR - F1 (D)</t>
        </is>
      </c>
      <c r="D847" s="4" t="inlineStr">
        <is>
          <t>-</t>
        </is>
      </c>
      <c r="E847" s="4" t="inlineStr">
        <is>
          <t>FACHADA</t>
        </is>
      </c>
      <c r="F847" s="119" t="n">
        <v>46371</v>
      </c>
      <c r="G847" s="119" t="n">
        <v>46416</v>
      </c>
      <c r="H847" s="119" t="n">
        <v>46293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IF(E847="","",IF(ISNUMBER(SEARCH("SUBSOLO",E847)),IFERROR(-VALUE(LEFT(E847,FIND("º",SUBSTITUTE(E847,"°","º"))-1)),-1),IF(LEFT(E847,6)="TÉRREO",0,IFERROR(VALUE(LEFT(E847,FIND("º",SUBSTITUTE(E847,"°","º"))-1)),""))))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25210713</v>
      </c>
      <c r="C848" s="4" t="inlineStr">
        <is>
          <t>SHAFT INTERNO INST. HIDRAÚLICAS</t>
        </is>
      </c>
      <c r="D848" s="4" t="inlineStr">
        <is>
          <t>-</t>
        </is>
      </c>
      <c r="E848" s="4" t="inlineStr">
        <is>
          <t>7º PAV. TIPO</t>
        </is>
      </c>
      <c r="F848" s="119" t="n">
        <v>46373</v>
      </c>
      <c r="G848" s="119" t="n">
        <v>46399</v>
      </c>
      <c r="H848" s="119" t="n">
        <v>46293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IF(E848="","",IF(ISNUMBER(SEARCH("SUBSOLO",E848)),IFERROR(-VALUE(LEFT(E848,FIND("º",SUBSTITUTE(E848,"°","º"))-1)),-1),IF(LEFT(E848,6)="TÉRREO",0,IFERROR(VALUE(LEFT(E848,FIND("º",SUBSTITUTE(E848,"°","º"))-1)),""))))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27770508</v>
      </c>
      <c r="C849" s="4" t="inlineStr">
        <is>
          <t>SISTEMA DE IRRIGAÇÃO</t>
        </is>
      </c>
      <c r="D849" s="4" t="inlineStr">
        <is>
          <t>-</t>
        </is>
      </c>
      <c r="E849" s="4" t="inlineStr">
        <is>
          <t>3º PAV. - JARDINS SOBRE LAJE / BOSQUE</t>
        </is>
      </c>
      <c r="F849" s="119" t="n">
        <v>46391</v>
      </c>
      <c r="G849" s="119" t="n">
        <v>46499</v>
      </c>
      <c r="H849" s="119" t="n">
        <v>46293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IF(E849="","",IF(ISNUMBER(SEARCH("SUBSOLO",E849)),IFERROR(-VALUE(LEFT(E849,FIND("º",SUBSTITUTE(E849,"°","º"))-1)),-1),IF(LEFT(E849,6)="TÉRREO",0,IFERROR(VALUE(LEFT(E849,FIND("º",SUBSTITUTE(E849,"°","º"))-1)),""))))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25210813</v>
      </c>
      <c r="C850" s="4" t="inlineStr">
        <is>
          <t>ALVENARIA</t>
        </is>
      </c>
      <c r="D850" s="4" t="inlineStr">
        <is>
          <t>-</t>
        </is>
      </c>
      <c r="E850" s="4" t="inlineStr">
        <is>
          <t>4° PAV. APTO GARDEN</t>
        </is>
      </c>
      <c r="F850" s="119" t="n">
        <v>46391</v>
      </c>
      <c r="G850" s="119" t="n">
        <v>46409</v>
      </c>
      <c r="H850" s="119" t="n">
        <v>46293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IF(E850="","",IF(ISNUMBER(SEARCH("SUBSOLO",E850)),IFERROR(-VALUE(LEFT(E850,FIND("º",SUBSTITUTE(E850,"°","º"))-1)),-1),IF(LEFT(E850,6)="TÉRREO",0,IFERROR(VALUE(LEFT(E850,FIND("º",SUBSTITUTE(E850,"°","º"))-1)),""))))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43846654</v>
      </c>
      <c r="C851" s="4" t="inlineStr">
        <is>
          <t>ALVENARIA EXTERNA</t>
        </is>
      </c>
      <c r="D851" s="4" t="inlineStr">
        <is>
          <t>-</t>
        </is>
      </c>
      <c r="E851" s="4" t="inlineStr">
        <is>
          <t>18º PAV. TIPO</t>
        </is>
      </c>
      <c r="F851" s="119" t="n">
        <v>46391</v>
      </c>
      <c r="G851" s="119" t="n">
        <v>46399</v>
      </c>
      <c r="H851" s="119" t="n">
        <v>46293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IF(E851="","",IF(ISNUMBER(SEARCH("SUBSOLO",E851)),IFERROR(-VALUE(LEFT(E851,FIND("º",SUBSTITUTE(E851,"°","º"))-1)),-1),IF(LEFT(E851,6)="TÉRREO",0,IFERROR(VALUE(LEFT(E851,FIND("º",SUBSTITUTE(E851,"°","º"))-1)),""))))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22139736</v>
      </c>
      <c r="C852" s="4" t="inlineStr">
        <is>
          <t>ESTRUTURA TORRE</t>
        </is>
      </c>
      <c r="D852" s="4" t="inlineStr">
        <is>
          <t>-</t>
        </is>
      </c>
      <c r="E852" s="4" t="inlineStr">
        <is>
          <t>24º PAV. TIPO</t>
        </is>
      </c>
      <c r="F852" s="119" t="n">
        <v>46391</v>
      </c>
      <c r="G852" s="119" t="n">
        <v>46405</v>
      </c>
      <c r="H852" s="119" t="n">
        <v>46293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IF(E852="","",IF(ISNUMBER(SEARCH("SUBSOLO",E852)),IFERROR(-VALUE(LEFT(E852,FIND("º",SUBSTITUTE(E852,"°","º"))-1)),-1),IF(LEFT(E852,6)="TÉRREO",0,IFERROR(VALUE(LEFT(E852,FIND("º",SUBSTITUTE(E852,"°","º"))-1)),""))))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9877276</v>
      </c>
      <c r="C853" s="4" t="inlineStr">
        <is>
          <t>ESTRUTURA TORRE</t>
        </is>
      </c>
      <c r="D853" s="4" t="inlineStr">
        <is>
          <t>Forma Pilar</t>
        </is>
      </c>
      <c r="E853" s="4" t="inlineStr">
        <is>
          <t>24º PAV. TIPO</t>
        </is>
      </c>
      <c r="F853" s="119" t="n">
        <v>46391</v>
      </c>
      <c r="G853" s="119" t="n">
        <v>46392</v>
      </c>
      <c r="H853" s="119" t="n">
        <v>46293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IF(E853="","",IF(ISNUMBER(SEARCH("SUBSOLO",E853)),IFERROR(-VALUE(LEFT(E853,FIND("º",SUBSTITUTE(E853,"°","º"))-1)),-1),IF(LEFT(E853,6)="TÉRREO",0,IFERROR(VALUE(LEFT(E853,FIND("º",SUBSTITUTE(E853,"°","º"))-1)),""))))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9877277</v>
      </c>
      <c r="C854" s="4" t="inlineStr">
        <is>
          <t>ESTRUTURA TORRE</t>
        </is>
      </c>
      <c r="D854" s="4" t="inlineStr">
        <is>
          <t>Armação Pilar</t>
        </is>
      </c>
      <c r="E854" s="4" t="inlineStr">
        <is>
          <t>24º PAV. TIPO</t>
        </is>
      </c>
      <c r="F854" s="119" t="n">
        <v>46391</v>
      </c>
      <c r="G854" s="119" t="n">
        <v>46392</v>
      </c>
      <c r="H854" s="119" t="n">
        <v>46293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IF(E854="","",IF(ISNUMBER(SEARCH("SUBSOLO",E854)),IFERROR(-VALUE(LEFT(E854,FIND("º",SUBSTITUTE(E854,"°","º"))-1)),-1),IF(LEFT(E854,6)="TÉRREO",0,IFERROR(VALUE(LEFT(E854,FIND("º",SUBSTITUTE(E854,"°","º"))-1)),""))))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9877278</v>
      </c>
      <c r="C855" s="4" t="inlineStr">
        <is>
          <t>ESTRUTURA TORRE</t>
        </is>
      </c>
      <c r="D855" s="4" t="inlineStr">
        <is>
          <t>Escoramento</t>
        </is>
      </c>
      <c r="E855" s="4" t="inlineStr">
        <is>
          <t>24º PAV. TIPO</t>
        </is>
      </c>
      <c r="F855" s="119" t="n">
        <v>46392</v>
      </c>
      <c r="G855" s="119" t="n">
        <v>46393</v>
      </c>
      <c r="H855" s="119" t="n">
        <v>46293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IF(E855="","",IF(ISNUMBER(SEARCH("SUBSOLO",E855)),IFERROR(-VALUE(LEFT(E855,FIND("º",SUBSTITUTE(E855,"°","º"))-1)),-1),IF(LEFT(E855,6)="TÉRREO",0,IFERROR(VALUE(LEFT(E855,FIND("º",SUBSTITUTE(E855,"°","º"))-1)),""))))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9877955</v>
      </c>
      <c r="C856" s="4" t="inlineStr">
        <is>
          <t>ESTRUTURA TORRE</t>
        </is>
      </c>
      <c r="D856" s="4" t="inlineStr">
        <is>
          <t>Concretagem Pilar</t>
        </is>
      </c>
      <c r="E856" s="4" t="inlineStr">
        <is>
          <t>24º PAV. TIPO</t>
        </is>
      </c>
      <c r="F856" s="119" t="n">
        <v>46394</v>
      </c>
      <c r="G856" s="119" t="n">
        <v>46394</v>
      </c>
      <c r="H856" s="119" t="n">
        <v>46293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IF(E856="","",IF(ISNUMBER(SEARCH("SUBSOLO",E856)),IFERROR(-VALUE(LEFT(E856,FIND("º",SUBSTITUTE(E856,"°","º"))-1)),-1),IF(LEFT(E856,6)="TÉRREO",0,IFERROR(VALUE(LEFT(E856,FIND("º",SUBSTITUTE(E856,"°","º"))-1)),""))))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9877956</v>
      </c>
      <c r="C857" s="4" t="inlineStr">
        <is>
          <t>ESTRUTURA TORRE</t>
        </is>
      </c>
      <c r="D857" s="4" t="inlineStr">
        <is>
          <t>Forma Vigas e Lajes</t>
        </is>
      </c>
      <c r="E857" s="4" t="inlineStr">
        <is>
          <t>24º PAV. TIPO</t>
        </is>
      </c>
      <c r="F857" s="119" t="n">
        <v>46395</v>
      </c>
      <c r="G857" s="119" t="n">
        <v>46399</v>
      </c>
      <c r="H857" s="119" t="n">
        <v>46293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IF(E857="","",IF(ISNUMBER(SEARCH("SUBSOLO",E857)),IFERROR(-VALUE(LEFT(E857,FIND("º",SUBSTITUTE(E857,"°","º"))-1)),-1),IF(LEFT(E857,6)="TÉRREO",0,IFERROR(VALUE(LEFT(E857,FIND("º",SUBSTITUTE(E857,"°","º"))-1)),""))))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9877957</v>
      </c>
      <c r="C858" s="4" t="inlineStr">
        <is>
          <t>ESTRUTURA TORRE</t>
        </is>
      </c>
      <c r="D858" s="4" t="inlineStr">
        <is>
          <t>Armação Vigas e Lajes</t>
        </is>
      </c>
      <c r="E858" s="4" t="inlineStr">
        <is>
          <t>24º PAV. TIPO</t>
        </is>
      </c>
      <c r="F858" s="119" t="n">
        <v>46398</v>
      </c>
      <c r="G858" s="119" t="n">
        <v>46400</v>
      </c>
      <c r="H858" s="119" t="n">
        <v>46293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IF(E858="","",IF(ISNUMBER(SEARCH("SUBSOLO",E858)),IFERROR(-VALUE(LEFT(E858,FIND("º",SUBSTITUTE(E858,"°","º"))-1)),-1),IF(LEFT(E858,6)="TÉRREO",0,IFERROR(VALUE(LEFT(E858,FIND("º",SUBSTITUTE(E858,"°","º"))-1)),""))))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9877958</v>
      </c>
      <c r="C859" s="4" t="inlineStr">
        <is>
          <t>ESTRUTURA TORRE</t>
        </is>
      </c>
      <c r="D859" s="4" t="inlineStr">
        <is>
          <t>Passagem Hidráulica</t>
        </is>
      </c>
      <c r="E859" s="4" t="inlineStr">
        <is>
          <t>24º PAV. TIPO</t>
        </is>
      </c>
      <c r="F859" s="119" t="n">
        <v>46399</v>
      </c>
      <c r="G859" s="119" t="n">
        <v>46399</v>
      </c>
      <c r="H859" s="119" t="n">
        <v>46293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IF(E859="","",IF(ISNUMBER(SEARCH("SUBSOLO",E859)),IFERROR(-VALUE(LEFT(E859,FIND("º",SUBSTITUTE(E859,"°","º"))-1)),-1),IF(LEFT(E859,6)="TÉRREO",0,IFERROR(VALUE(LEFT(E859,FIND("º",SUBSTITUTE(E859,"°","º"))-1)),""))))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9877959</v>
      </c>
      <c r="C860" s="4" t="inlineStr">
        <is>
          <t>ESTRUTURA TORRE</t>
        </is>
      </c>
      <c r="D860" s="4" t="inlineStr">
        <is>
          <t>Passagem Elétrica</t>
        </is>
      </c>
      <c r="E860" s="4" t="inlineStr">
        <is>
          <t>24º PAV. TIPO</t>
        </is>
      </c>
      <c r="F860" s="119" t="n">
        <v>46399</v>
      </c>
      <c r="G860" s="119" t="n">
        <v>46399</v>
      </c>
      <c r="H860" s="119" t="n">
        <v>46293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IF(E860="","",IF(ISNUMBER(SEARCH("SUBSOLO",E860)),IFERROR(-VALUE(LEFT(E860,FIND("º",SUBSTITUTE(E860,"°","º"))-1)),-1),IF(LEFT(E860,6)="TÉRREO",0,IFERROR(VALUE(LEFT(E860,FIND("º",SUBSTITUTE(E860,"°","º"))-1)),""))))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9877960</v>
      </c>
      <c r="C861" s="4" t="inlineStr">
        <is>
          <t>ESTRUTURA TORRE</t>
        </is>
      </c>
      <c r="D861" s="4" t="inlineStr">
        <is>
          <t>Concretagem</t>
        </is>
      </c>
      <c r="E861" s="4" t="inlineStr">
        <is>
          <t>24º PAV. TIPO</t>
        </is>
      </c>
      <c r="F861" s="119" t="n">
        <v>46400</v>
      </c>
      <c r="G861" s="119" t="n">
        <v>46405</v>
      </c>
      <c r="H861" s="119" t="n">
        <v>46293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IF(E861="","",IF(ISNUMBER(SEARCH("SUBSOLO",E861)),IFERROR(-VALUE(LEFT(E861,FIND("º",SUBSTITUTE(E861,"°","º"))-1)),-1),IF(LEFT(E861,6)="TÉRREO",0,IFERROR(VALUE(LEFT(E861,FIND("º",SUBSTITUTE(E861,"°","º"))-1)),""))))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25754327</v>
      </c>
      <c r="C862" s="4" t="inlineStr">
        <is>
          <t>PAISAGISMO</t>
        </is>
      </c>
      <c r="D862" s="4" t="inlineStr">
        <is>
          <t>-</t>
        </is>
      </c>
      <c r="E862" s="4" t="inlineStr">
        <is>
          <t>TÉRREO - CUL DE SAC / ENTRADA EMPREENDIMENTO</t>
        </is>
      </c>
      <c r="F862" s="119" t="n">
        <v>46392</v>
      </c>
      <c r="G862" s="119" t="n">
        <v>46505</v>
      </c>
      <c r="H862" s="119" t="n">
        <v>46293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IF(E862="","",IF(ISNUMBER(SEARCH("SUBSOLO",E862)),IFERROR(-VALUE(LEFT(E862,FIND("º",SUBSTITUTE(E862,"°","º"))-1)),-1),IF(LEFT(E862,6)="TÉRREO",0,IFERROR(VALUE(LEFT(E862,FIND("º",SUBSTITUTE(E862,"°","º"))-1)),""))))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25210574</v>
      </c>
      <c r="C863" s="4" t="inlineStr">
        <is>
          <t>ESPALA ESQUADRIA DE ALUMINIO</t>
        </is>
      </c>
      <c r="D863" s="4" t="inlineStr">
        <is>
          <t>-</t>
        </is>
      </c>
      <c r="E863" s="4" t="inlineStr">
        <is>
          <t>11º PAV. TIPO</t>
        </is>
      </c>
      <c r="F863" s="119" t="n">
        <v>46392</v>
      </c>
      <c r="G863" s="119" t="n">
        <v>46398</v>
      </c>
      <c r="H863" s="119" t="n">
        <v>46293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IF(E863="","",IF(ISNUMBER(SEARCH("SUBSOLO",E863)),IFERROR(-VALUE(LEFT(E863,FIND("º",SUBSTITUTE(E863,"°","º"))-1)),-1),IF(LEFT(E863,6)="TÉRREO",0,IFERROR(VALUE(LEFT(E863,FIND("º",SUBSTITUTE(E863,"°","º"))-1)),""))))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25210756</v>
      </c>
      <c r="C864" s="4" t="inlineStr">
        <is>
          <t>CONTRAPISO</t>
        </is>
      </c>
      <c r="D864" s="4" t="inlineStr">
        <is>
          <t>-</t>
        </is>
      </c>
      <c r="E864" s="4" t="inlineStr">
        <is>
          <t>6º PAV. TIPO</t>
        </is>
      </c>
      <c r="F864" s="119" t="n">
        <v>46394</v>
      </c>
      <c r="G864" s="119" t="n">
        <v>46407</v>
      </c>
      <c r="H864" s="119" t="n">
        <v>46293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IF(E864="","",IF(ISNUMBER(SEARCH("SUBSOLO",E864)),IFERROR(-VALUE(LEFT(E864,FIND("º",SUBSTITUTE(E864,"°","º"))-1)),-1),IF(LEFT(E864,6)="TÉRREO",0,IFERROR(VALUE(LEFT(E864,FIND("º",SUBSTITUTE(E864,"°","º"))-1)),""))))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27765750</v>
      </c>
      <c r="C865" s="4" t="inlineStr">
        <is>
          <t>DRENO + ATERRO JARDINEIRAS</t>
        </is>
      </c>
      <c r="D865" s="4" t="inlineStr">
        <is>
          <t>-</t>
        </is>
      </c>
      <c r="E865" s="4" t="inlineStr">
        <is>
          <t>6º PAV. TIPO</t>
        </is>
      </c>
      <c r="F865" s="119" t="n">
        <v>46394</v>
      </c>
      <c r="G865" s="119" t="n">
        <v>46406</v>
      </c>
      <c r="H865" s="119" t="n">
        <v>46293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IF(E865="","",IF(ISNUMBER(SEARCH("SUBSOLO",E865)),IFERROR(-VALUE(LEFT(E865,FIND("º",SUBSTITUTE(E865,"°","º"))-1)),-1),IF(LEFT(E865,6)="TÉRREO",0,IFERROR(VALUE(LEFT(E865,FIND("º",SUBSTITUTE(E865,"°","º"))-1)),""))))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25210369</v>
      </c>
      <c r="C866" s="4" t="inlineStr">
        <is>
          <t>PRUMADA HIDROSSANITÁRIA</t>
        </is>
      </c>
      <c r="D866" s="4" t="inlineStr">
        <is>
          <t>-</t>
        </is>
      </c>
      <c r="E866" s="4" t="inlineStr">
        <is>
          <t>17º PAV. TIPO</t>
        </is>
      </c>
      <c r="F866" s="119" t="n">
        <v>46395</v>
      </c>
      <c r="G866" s="119" t="n">
        <v>46407</v>
      </c>
      <c r="H866" s="119" t="n">
        <v>46293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IF(E866="","",IF(ISNUMBER(SEARCH("SUBSOLO",E866)),IFERROR(-VALUE(LEFT(E866,FIND("º",SUBSTITUTE(E866,"°","º"))-1)),-1),IF(LEFT(E866,6)="TÉRREO",0,IFERROR(VALUE(LEFT(E866,FIND("º",SUBSTITUTE(E866,"°","º"))-1)),""))))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25210359</v>
      </c>
      <c r="C867" s="4" t="inlineStr">
        <is>
          <t>PRUMADA DE INCÊNDIO</t>
        </is>
      </c>
      <c r="D867" s="4" t="inlineStr">
        <is>
          <t>-</t>
        </is>
      </c>
      <c r="E867" s="4" t="inlineStr">
        <is>
          <t>17º PAV. TIPO</t>
        </is>
      </c>
      <c r="F867" s="119" t="n">
        <v>46395</v>
      </c>
      <c r="G867" s="119" t="n">
        <v>46407</v>
      </c>
      <c r="H867" s="119" t="n">
        <v>46293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IF(E867="","",IF(ISNUMBER(SEARCH("SUBSOLO",E867)),IFERROR(-VALUE(LEFT(E867,FIND("º",SUBSTITUTE(E867,"°","º"))-1)),-1),IF(LEFT(E867,6)="TÉRREO",0,IFERROR(VALUE(LEFT(E867,FIND("º",SUBSTITUTE(E867,"°","º"))-1)),""))))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25799859</v>
      </c>
      <c r="C868" s="4" t="inlineStr">
        <is>
          <t>REVESTIMENTOS PORCELANATO PISO</t>
        </is>
      </c>
      <c r="D868" s="4" t="inlineStr">
        <is>
          <t>-</t>
        </is>
      </c>
      <c r="E868" s="4" t="inlineStr">
        <is>
          <t>3º PAV. PISCINA DESCOBERTA E E ÁREA DESCOBERTA PISCINA</t>
        </is>
      </c>
      <c r="F868" s="119" t="n">
        <v>46398</v>
      </c>
      <c r="G868" s="119" t="n">
        <v>46442</v>
      </c>
      <c r="H868" s="119" t="n">
        <v>46293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IF(E868="","",IF(ISNUMBER(SEARCH("SUBSOLO",E868)),IFERROR(-VALUE(LEFT(E868,FIND("º",SUBSTITUTE(E868,"°","º"))-1)),-1),IF(LEFT(E868,6)="TÉRREO",0,IFERROR(VALUE(LEFT(E868,FIND("º",SUBSTITUTE(E868,"°","º"))-1)),""))))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25210401</v>
      </c>
      <c r="C869" s="4" t="inlineStr">
        <is>
          <t>DISTRIBUIÇÃO HIDROSSANITÁRIA</t>
        </is>
      </c>
      <c r="D869" s="4" t="inlineStr">
        <is>
          <t>-</t>
        </is>
      </c>
      <c r="E869" s="4" t="inlineStr">
        <is>
          <t>16º PAV. TIPO</t>
        </is>
      </c>
      <c r="F869" s="119" t="n">
        <v>46398</v>
      </c>
      <c r="G869" s="119" t="n">
        <v>46408</v>
      </c>
      <c r="H869" s="119" t="n">
        <v>46293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IF(E869="","",IF(ISNUMBER(SEARCH("SUBSOLO",E869)),IFERROR(-VALUE(LEFT(E869,FIND("º",SUBSTITUTE(E869,"°","º"))-1)),-1),IF(LEFT(E869,6)="TÉRREO",0,IFERROR(VALUE(LEFT(E869,FIND("º",SUBSTITUTE(E869,"°","º"))-1)),""))))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25210400</v>
      </c>
      <c r="C870" s="4" t="inlineStr">
        <is>
          <t>DISTRIBUIÇÃO ELÉTRICA / QUADRO - SETOR B</t>
        </is>
      </c>
      <c r="D870" s="4" t="inlineStr">
        <is>
          <t>-</t>
        </is>
      </c>
      <c r="E870" s="4" t="inlineStr">
        <is>
          <t>16º PAV. TIPO</t>
        </is>
      </c>
      <c r="F870" s="119" t="n">
        <v>46398</v>
      </c>
      <c r="G870" s="119" t="n">
        <v>46408</v>
      </c>
      <c r="H870" s="119" t="n">
        <v>46293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IF(E870="","",IF(ISNUMBER(SEARCH("SUBSOLO",E870)),IFERROR(-VALUE(LEFT(E870,FIND("º",SUBSTITUTE(E870,"°","º"))-1)),-1),IF(LEFT(E870,6)="TÉRREO",0,IFERROR(VALUE(LEFT(E870,FIND("º",SUBSTITUTE(E870,"°","º"))-1)),""))))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33276742</v>
      </c>
      <c r="C871" s="4" t="inlineStr">
        <is>
          <t>INFRAESTRUTURA ELÉTRICA - TETO</t>
        </is>
      </c>
      <c r="D871" s="4" t="inlineStr">
        <is>
          <t>-</t>
        </is>
      </c>
      <c r="E871" s="4" t="inlineStr">
        <is>
          <t>16º PAV. TIPO</t>
        </is>
      </c>
      <c r="F871" s="119" t="n">
        <v>46398</v>
      </c>
      <c r="G871" s="119" t="n">
        <v>46408</v>
      </c>
      <c r="H871" s="119" t="n">
        <v>46293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IF(E871="","",IF(ISNUMBER(SEARCH("SUBSOLO",E871)),IFERROR(-VALUE(LEFT(E871,FIND("º",SUBSTITUTE(E871,"°","º"))-1)),-1),IF(LEFT(E871,6)="TÉRREO",0,IFERROR(VALUE(LEFT(E871,FIND("º",SUBSTITUTE(E871,"°","º"))-1)),""))))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25807547</v>
      </c>
      <c r="C872" s="4" t="inlineStr">
        <is>
          <t>FIAÇÃO ELÉTRICA</t>
        </is>
      </c>
      <c r="D872" s="4" t="inlineStr">
        <is>
          <t>-</t>
        </is>
      </c>
      <c r="E872" s="4" t="inlineStr">
        <is>
          <t>3º PAV. ESPAÇO THERMAS, PISCINA COBERTA, SAUNAS E VESTIÁRIOS</t>
        </is>
      </c>
      <c r="F872" s="119" t="n">
        <v>46400</v>
      </c>
      <c r="G872" s="119" t="n">
        <v>46429</v>
      </c>
      <c r="H872" s="119" t="n">
        <v>46293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IF(E872="","",IF(ISNUMBER(SEARCH("SUBSOLO",E872)),IFERROR(-VALUE(LEFT(E872,FIND("º",SUBSTITUTE(E872,"°","º"))-1)),-1),IF(LEFT(E872,6)="TÉRREO",0,IFERROR(VALUE(LEFT(E872,FIND("º",SUBSTITUTE(E872,"°","º"))-1)),""))))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25210722</v>
      </c>
      <c r="C873" s="4" t="inlineStr">
        <is>
          <t>IMPERMEABILIZAÇÃO INTERNA</t>
        </is>
      </c>
      <c r="D873" s="4" t="inlineStr">
        <is>
          <t>-</t>
        </is>
      </c>
      <c r="E873" s="4" t="inlineStr">
        <is>
          <t>7º PAV. TIPO</t>
        </is>
      </c>
      <c r="F873" s="119" t="n">
        <v>46400</v>
      </c>
      <c r="G873" s="119" t="n">
        <v>46412</v>
      </c>
      <c r="H873" s="119" t="n">
        <v>46293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IF(E873="","",IF(ISNUMBER(SEARCH("SUBSOLO",E873)),IFERROR(-VALUE(LEFT(E873,FIND("º",SUBSTITUTE(E873,"°","º"))-1)),-1),IF(LEFT(E873,6)="TÉRREO",0,IFERROR(VALUE(LEFT(E873,FIND("º",SUBSTITUTE(E873,"°","º"))-1)),""))))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25210608</v>
      </c>
      <c r="C874" s="4" t="inlineStr">
        <is>
          <t>SHAFT INTERNO INST. HIDRAÚLICAS</t>
        </is>
      </c>
      <c r="D874" s="4" t="inlineStr">
        <is>
          <t>-</t>
        </is>
      </c>
      <c r="E874" s="4" t="inlineStr">
        <is>
          <t>10º PAV. TIPO</t>
        </is>
      </c>
      <c r="F874" s="119" t="n">
        <v>46400</v>
      </c>
      <c r="G874" s="119" t="n">
        <v>46412</v>
      </c>
      <c r="H874" s="119" t="n">
        <v>46293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IF(E874="","",IF(ISNUMBER(SEARCH("SUBSOLO",E874)),IFERROR(-VALUE(LEFT(E874,FIND("º",SUBSTITUTE(E874,"°","º"))-1)),-1),IF(LEFT(E874,6)="TÉRREO",0,IFERROR(VALUE(LEFT(E874,FIND("º",SUBSTITUTE(E874,"°","º"))-1)),""))))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25210578</v>
      </c>
      <c r="C875" s="4" t="inlineStr">
        <is>
          <t>REBOCO INTERNO</t>
        </is>
      </c>
      <c r="D875" s="4" t="inlineStr">
        <is>
          <t>-</t>
        </is>
      </c>
      <c r="E875" s="4" t="inlineStr">
        <is>
          <t>11º PAV. TIPO</t>
        </is>
      </c>
      <c r="F875" s="119" t="n">
        <v>46400</v>
      </c>
      <c r="G875" s="119" t="n">
        <v>46420</v>
      </c>
      <c r="H875" s="119" t="n">
        <v>46293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IF(E875="","",IF(ISNUMBER(SEARCH("SUBSOLO",E875)),IFERROR(-VALUE(LEFT(E875,FIND("º",SUBSTITUTE(E875,"°","º"))-1)),-1),IF(LEFT(E875,6)="TÉRREO",0,IFERROR(VALUE(LEFT(E875,FIND("º",SUBSTITUTE(E875,"°","º"))-1)),""))))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25210323</v>
      </c>
      <c r="C876" s="4" t="inlineStr">
        <is>
          <t>ALVENARIA</t>
        </is>
      </c>
      <c r="D876" s="4" t="inlineStr">
        <is>
          <t>-</t>
        </is>
      </c>
      <c r="E876" s="4" t="inlineStr">
        <is>
          <t>18º PAV. TIPO</t>
        </is>
      </c>
      <c r="F876" s="119" t="n">
        <v>46400</v>
      </c>
      <c r="G876" s="119" t="n">
        <v>46420</v>
      </c>
      <c r="H876" s="119" t="n">
        <v>46293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IF(E876="","",IF(ISNUMBER(SEARCH("SUBSOLO",E876)),IFERROR(-VALUE(LEFT(E876,FIND("º",SUBSTITUTE(E876,"°","º"))-1)),-1),IF(LEFT(E876,6)="TÉRREO",0,IFERROR(VALUE(LEFT(E876,FIND("º",SUBSTITUTE(E876,"°","º"))-1)),""))))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27769241</v>
      </c>
      <c r="C877" s="4" t="inlineStr">
        <is>
          <t>PRUMADA ELÉTRICA INFRA</t>
        </is>
      </c>
      <c r="D877" s="4" t="inlineStr">
        <is>
          <t>-</t>
        </is>
      </c>
      <c r="E877" s="4" t="inlineStr">
        <is>
          <t>17º PAV. TIPO</t>
        </is>
      </c>
      <c r="F877" s="119" t="n">
        <v>46405</v>
      </c>
      <c r="G877" s="119" t="n">
        <v>46415</v>
      </c>
      <c r="H877" s="119" t="n">
        <v>46293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IF(E877="","",IF(ISNUMBER(SEARCH("SUBSOLO",E877)),IFERROR(-VALUE(LEFT(E877,FIND("º",SUBSTITUTE(E877,"°","º"))-1)),-1),IF(LEFT(E877,6)="TÉRREO",0,IFERROR(VALUE(LEFT(E877,FIND("º",SUBSTITUTE(E877,"°","º"))-1)),""))))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22139737</v>
      </c>
      <c r="C878" s="4" t="inlineStr">
        <is>
          <t>ESTRUTURA TORRE</t>
        </is>
      </c>
      <c r="D878" s="4" t="inlineStr">
        <is>
          <t>-</t>
        </is>
      </c>
      <c r="E878" s="4" t="inlineStr">
        <is>
          <t>25º PAV. TIPO</t>
        </is>
      </c>
      <c r="F878" s="119" t="n">
        <v>46406</v>
      </c>
      <c r="G878" s="119" t="n">
        <v>46420</v>
      </c>
      <c r="H878" s="119" t="n">
        <v>46293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IF(E878="","",IF(ISNUMBER(SEARCH("SUBSOLO",E878)),IFERROR(-VALUE(LEFT(E878,FIND("º",SUBSTITUTE(E878,"°","º"))-1)),-1),IF(LEFT(E878,6)="TÉRREO",0,IFERROR(VALUE(LEFT(E878,FIND("º",SUBSTITUTE(E878,"°","º"))-1)),""))))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9877284</v>
      </c>
      <c r="C879" s="4" t="inlineStr">
        <is>
          <t>ESTRUTURA TORRE</t>
        </is>
      </c>
      <c r="D879" s="4" t="inlineStr">
        <is>
          <t>Forma Pilar</t>
        </is>
      </c>
      <c r="E879" s="4" t="inlineStr">
        <is>
          <t>25º PAV. TIPO</t>
        </is>
      </c>
      <c r="F879" s="119" t="n">
        <v>46406</v>
      </c>
      <c r="G879" s="119" t="n">
        <v>46407</v>
      </c>
      <c r="H879" s="119" t="n">
        <v>46293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IF(E879="","",IF(ISNUMBER(SEARCH("SUBSOLO",E879)),IFERROR(-VALUE(LEFT(E879,FIND("º",SUBSTITUTE(E879,"°","º"))-1)),-1),IF(LEFT(E879,6)="TÉRREO",0,IFERROR(VALUE(LEFT(E879,FIND("º",SUBSTITUTE(E879,"°","º"))-1)),""))))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9877285</v>
      </c>
      <c r="C880" s="4" t="inlineStr">
        <is>
          <t>ESTRUTURA TORRE</t>
        </is>
      </c>
      <c r="D880" s="4" t="inlineStr">
        <is>
          <t>Armação Pilar</t>
        </is>
      </c>
      <c r="E880" s="4" t="inlineStr">
        <is>
          <t>25º PAV. TIPO</t>
        </is>
      </c>
      <c r="F880" s="119" t="n">
        <v>46406</v>
      </c>
      <c r="G880" s="119" t="n">
        <v>46407</v>
      </c>
      <c r="H880" s="119" t="n">
        <v>46293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IF(E880="","",IF(ISNUMBER(SEARCH("SUBSOLO",E880)),IFERROR(-VALUE(LEFT(E880,FIND("º",SUBSTITUTE(E880,"°","º"))-1)),-1),IF(LEFT(E880,6)="TÉRREO",0,IFERROR(VALUE(LEFT(E880,FIND("º",SUBSTITUTE(E880,"°","º"))-1)),""))))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9877286</v>
      </c>
      <c r="C881" s="4" t="inlineStr">
        <is>
          <t>ESTRUTURA TORRE</t>
        </is>
      </c>
      <c r="D881" s="4" t="inlineStr">
        <is>
          <t>Escoramento</t>
        </is>
      </c>
      <c r="E881" s="4" t="inlineStr">
        <is>
          <t>25º PAV. TIPO</t>
        </is>
      </c>
      <c r="F881" s="119" t="n">
        <v>46407</v>
      </c>
      <c r="G881" s="119" t="n">
        <v>46408</v>
      </c>
      <c r="H881" s="119" t="n">
        <v>46293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IF(E881="","",IF(ISNUMBER(SEARCH("SUBSOLO",E881)),IFERROR(-VALUE(LEFT(E881,FIND("º",SUBSTITUTE(E881,"°","º"))-1)),-1),IF(LEFT(E881,6)="TÉRREO",0,IFERROR(VALUE(LEFT(E881,FIND("º",SUBSTITUTE(E881,"°","º"))-1)),""))))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9877961</v>
      </c>
      <c r="C882" s="4" t="inlineStr">
        <is>
          <t>ESTRUTURA TORRE</t>
        </is>
      </c>
      <c r="D882" s="4" t="inlineStr">
        <is>
          <t>Concretagem Pilar</t>
        </is>
      </c>
      <c r="E882" s="4" t="inlineStr">
        <is>
          <t>25º PAV. TIPO</t>
        </is>
      </c>
      <c r="F882" s="119" t="n">
        <v>46409</v>
      </c>
      <c r="G882" s="119" t="n">
        <v>46409</v>
      </c>
      <c r="H882" s="119" t="n">
        <v>46293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IF(E882="","",IF(ISNUMBER(SEARCH("SUBSOLO",E882)),IFERROR(-VALUE(LEFT(E882,FIND("º",SUBSTITUTE(E882,"°","º"))-1)),-1),IF(LEFT(E882,6)="TÉRREO",0,IFERROR(VALUE(LEFT(E882,FIND("º",SUBSTITUTE(E882,"°","º"))-1)),""))))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9877962</v>
      </c>
      <c r="C883" s="4" t="inlineStr">
        <is>
          <t>ESTRUTURA TORRE</t>
        </is>
      </c>
      <c r="D883" s="4" t="inlineStr">
        <is>
          <t>Forma Vigas e Lajes</t>
        </is>
      </c>
      <c r="E883" s="4" t="inlineStr">
        <is>
          <t>25º PAV. TIPO</t>
        </is>
      </c>
      <c r="F883" s="119" t="n">
        <v>46412</v>
      </c>
      <c r="G883" s="119" t="n">
        <v>46415</v>
      </c>
      <c r="H883" s="119" t="n">
        <v>46293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IF(E883="","",IF(ISNUMBER(SEARCH("SUBSOLO",E883)),IFERROR(-VALUE(LEFT(E883,FIND("º",SUBSTITUTE(E883,"°","º"))-1)),-1),IF(LEFT(E883,6)="TÉRREO",0,IFERROR(VALUE(LEFT(E883,FIND("º",SUBSTITUTE(E883,"°","º"))-1)),""))))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9877963</v>
      </c>
      <c r="C884" s="4" t="inlineStr">
        <is>
          <t>ESTRUTURA TORRE</t>
        </is>
      </c>
      <c r="D884" s="4" t="inlineStr">
        <is>
          <t>Armação Vigas e Lajes</t>
        </is>
      </c>
      <c r="E884" s="4" t="inlineStr">
        <is>
          <t>25º PAV. TIPO</t>
        </is>
      </c>
      <c r="F884" s="119" t="n">
        <v>46413</v>
      </c>
      <c r="G884" s="119" t="n">
        <v>46416</v>
      </c>
      <c r="H884" s="119" t="n">
        <v>46293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IF(E884="","",IF(ISNUMBER(SEARCH("SUBSOLO",E884)),IFERROR(-VALUE(LEFT(E884,FIND("º",SUBSTITUTE(E884,"°","º"))-1)),-1),IF(LEFT(E884,6)="TÉRREO",0,IFERROR(VALUE(LEFT(E884,FIND("º",SUBSTITUTE(E884,"°","º"))-1)),""))))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9877964</v>
      </c>
      <c r="C885" s="4" t="inlineStr">
        <is>
          <t>ESTRUTURA TORRE</t>
        </is>
      </c>
      <c r="D885" s="4" t="inlineStr">
        <is>
          <t>Passagem Hidráulica</t>
        </is>
      </c>
      <c r="E885" s="4" t="inlineStr">
        <is>
          <t>25º PAV. TIPO</t>
        </is>
      </c>
      <c r="F885" s="119" t="n">
        <v>46415</v>
      </c>
      <c r="G885" s="119" t="n">
        <v>46415</v>
      </c>
      <c r="H885" s="119" t="n">
        <v>46293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IF(E885="","",IF(ISNUMBER(SEARCH("SUBSOLO",E885)),IFERROR(-VALUE(LEFT(E885,FIND("º",SUBSTITUTE(E885,"°","º"))-1)),-1),IF(LEFT(E885,6)="TÉRREO",0,IFERROR(VALUE(LEFT(E885,FIND("º",SUBSTITUTE(E885,"°","º"))-1)),""))))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9877965</v>
      </c>
      <c r="C886" s="4" t="inlineStr">
        <is>
          <t>ESTRUTURA TORRE</t>
        </is>
      </c>
      <c r="D886" s="4" t="inlineStr">
        <is>
          <t>Passagem Elétrica</t>
        </is>
      </c>
      <c r="E886" s="4" t="inlineStr">
        <is>
          <t>25º PAV. TIPO</t>
        </is>
      </c>
      <c r="F886" s="119" t="n">
        <v>46415</v>
      </c>
      <c r="G886" s="119" t="n">
        <v>46415</v>
      </c>
      <c r="H886" s="119" t="n">
        <v>46293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IF(E886="","",IF(ISNUMBER(SEARCH("SUBSOLO",E886)),IFERROR(-VALUE(LEFT(E886,FIND("º",SUBSTITUTE(E886,"°","º"))-1)),-1),IF(LEFT(E886,6)="TÉRREO",0,IFERROR(VALUE(LEFT(E886,FIND("º",SUBSTITUTE(E886,"°","º"))-1)),""))))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9877966</v>
      </c>
      <c r="C887" s="4" t="inlineStr">
        <is>
          <t>ESTRUTURA TORRE</t>
        </is>
      </c>
      <c r="D887" s="4" t="inlineStr">
        <is>
          <t>Concretagem</t>
        </is>
      </c>
      <c r="E887" s="4" t="inlineStr">
        <is>
          <t>25º PAV. TIPO</t>
        </is>
      </c>
      <c r="F887" s="119" t="n">
        <v>46416</v>
      </c>
      <c r="G887" s="119" t="n">
        <v>46420</v>
      </c>
      <c r="H887" s="119" t="n">
        <v>46293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IF(E887="","",IF(ISNUMBER(SEARCH("SUBSOLO",E887)),IFERROR(-VALUE(LEFT(E887,FIND("º",SUBSTITUTE(E887,"°","º"))-1)),-1),IF(LEFT(E887,6)="TÉRREO",0,IFERROR(VALUE(LEFT(E887,FIND("º",SUBSTITUTE(E887,"°","º"))-1)),""))))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25799972</v>
      </c>
      <c r="C888" s="4" t="inlineStr">
        <is>
          <t>REVESTIMENTO PAREDE</t>
        </is>
      </c>
      <c r="D888" s="4" t="inlineStr">
        <is>
          <t>-</t>
        </is>
      </c>
      <c r="E888" s="4" t="inlineStr">
        <is>
          <t>3º PAV. - ACADEMIA</t>
        </is>
      </c>
      <c r="F888" s="119" t="n">
        <v>46408</v>
      </c>
      <c r="G888" s="119" t="n">
        <v>46437</v>
      </c>
      <c r="H888" s="119" t="n">
        <v>46293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IF(E888="","",IF(ISNUMBER(SEARCH("SUBSOLO",E888)),IFERROR(-VALUE(LEFT(E888,FIND("º",SUBSTITUTE(E888,"°","º"))-1)),-1),IF(LEFT(E888,6)="TÉRREO",0,IFERROR(VALUE(LEFT(E888,FIND("º",SUBSTITUTE(E888,"°","º"))-1)),""))))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33276106</v>
      </c>
      <c r="C889" s="4" t="inlineStr">
        <is>
          <t>INFRAESTRUTURA - AR CONDICIONADO</t>
        </is>
      </c>
      <c r="D889" s="4" t="inlineStr">
        <is>
          <t>-</t>
        </is>
      </c>
      <c r="E889" s="4" t="inlineStr">
        <is>
          <t>6º PAV. TIPO</t>
        </is>
      </c>
      <c r="F889" s="119" t="n">
        <v>46408</v>
      </c>
      <c r="G889" s="119" t="n">
        <v>46421</v>
      </c>
      <c r="H889" s="119" t="n">
        <v>46293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IF(E889="","",IF(ISNUMBER(SEARCH("SUBSOLO",E889)),IFERROR(-VALUE(LEFT(E889,FIND("º",SUBSTITUTE(E889,"°","º"))-1)),-1),IF(LEFT(E889,6)="TÉRREO",0,IFERROR(VALUE(LEFT(E889,FIND("º",SUBSTITUTE(E889,"°","º"))-1)),""))))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33278913</v>
      </c>
      <c r="C890" s="4" t="inlineStr">
        <is>
          <t>INFRAESTRUTURA ELÉTRICA - PAREDES</t>
        </is>
      </c>
      <c r="D890" s="4" t="inlineStr">
        <is>
          <t>-</t>
        </is>
      </c>
      <c r="E890" s="4" t="inlineStr">
        <is>
          <t>6º PAV. TIPO</t>
        </is>
      </c>
      <c r="F890" s="119" t="n">
        <v>46408</v>
      </c>
      <c r="G890" s="119" t="n">
        <v>46420</v>
      </c>
      <c r="H890" s="119" t="n">
        <v>46293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IF(E890="","",IF(ISNUMBER(SEARCH("SUBSOLO",E890)),IFERROR(-VALUE(LEFT(E890,FIND("º",SUBSTITUTE(E890,"°","º"))-1)),-1),IF(LEFT(E890,6)="TÉRREO",0,IFERROR(VALUE(LEFT(E890,FIND("º",SUBSTITUTE(E890,"°","º"))-1)),""))))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29601299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17º PAV. TIPO</t>
        </is>
      </c>
      <c r="F891" s="119" t="n">
        <v>46408</v>
      </c>
      <c r="G891" s="119" t="n">
        <v>46420</v>
      </c>
      <c r="H891" s="119" t="n">
        <v>46293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IF(E891="","",IF(ISNUMBER(SEARCH("SUBSOLO",E891)),IFERROR(-VALUE(LEFT(E891,FIND("º",SUBSTITUTE(E891,"°","º"))-1)),-1),IF(LEFT(E891,6)="TÉRREO",0,IFERROR(VALUE(LEFT(E891,FIND("º",SUBSTITUTE(E891,"°","º"))-1)),""))))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25210397</v>
      </c>
      <c r="C892" s="4" t="inlineStr">
        <is>
          <t>CONTRAMARCO</t>
        </is>
      </c>
      <c r="D892" s="4" t="inlineStr">
        <is>
          <t>-</t>
        </is>
      </c>
      <c r="E892" s="4" t="inlineStr">
        <is>
          <t>16º PAV. TIPO</t>
        </is>
      </c>
      <c r="F892" s="119" t="n">
        <v>46409</v>
      </c>
      <c r="G892" s="119" t="n">
        <v>46421</v>
      </c>
      <c r="H892" s="119" t="n">
        <v>46293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IF(E892="","",IF(ISNUMBER(SEARCH("SUBSOLO",E892)),IFERROR(-VALUE(LEFT(E892,FIND("º",SUBSTITUTE(E892,"°","º"))-1)),-1),IF(LEFT(E892,6)="TÉRREO",0,IFERROR(VALUE(LEFT(E892,FIND("º",SUBSTITUTE(E892,"°","º"))-1)),""))))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25210402</v>
      </c>
      <c r="C893" s="4" t="inlineStr">
        <is>
          <t>GÁS</t>
        </is>
      </c>
      <c r="D893" s="4" t="inlineStr">
        <is>
          <t>-</t>
        </is>
      </c>
      <c r="E893" s="4" t="inlineStr">
        <is>
          <t>16º PAV. TIPO</t>
        </is>
      </c>
      <c r="F893" s="119" t="n">
        <v>46409</v>
      </c>
      <c r="G893" s="119" t="n">
        <v>46421</v>
      </c>
      <c r="H893" s="119" t="n">
        <v>46293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IF(E893="","",IF(ISNUMBER(SEARCH("SUBSOLO",E893)),IFERROR(-VALUE(LEFT(E893,FIND("º",SUBSTITUTE(E893,"°","º"))-1)),-1),IF(LEFT(E893,6)="TÉRREO",0,IFERROR(VALUE(LEFT(E893,FIND("º",SUBSTITUTE(E893,"°","º"))-1)),""))))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29601292</v>
      </c>
      <c r="C894" s="4" t="inlineStr">
        <is>
          <t>ENCUNHAMENTO</t>
        </is>
      </c>
      <c r="D894" s="4" t="inlineStr">
        <is>
          <t>-</t>
        </is>
      </c>
      <c r="E894" s="4" t="inlineStr">
        <is>
          <t>16º PAV. TIPO</t>
        </is>
      </c>
      <c r="F894" s="119" t="n">
        <v>46409</v>
      </c>
      <c r="G894" s="119" t="n">
        <v>46421</v>
      </c>
      <c r="H894" s="119" t="n">
        <v>46293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IF(E894="","",IF(ISNUMBER(SEARCH("SUBSOLO",E894)),IFERROR(-VALUE(LEFT(E894,FIND("º",SUBSTITUTE(E894,"°","º"))-1)),-1),IF(LEFT(E894,6)="TÉRREO",0,IFERROR(VALUE(LEFT(E894,FIND("º",SUBSTITUTE(E894,"°","º"))-1)),""))))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25210778</v>
      </c>
      <c r="C895" s="4" t="inlineStr">
        <is>
          <t>ALVENARIA</t>
        </is>
      </c>
      <c r="D895" s="4" t="inlineStr">
        <is>
          <t>-</t>
        </is>
      </c>
      <c r="E895" s="4" t="inlineStr">
        <is>
          <t>5º PAV. TIPO</t>
        </is>
      </c>
      <c r="F895" s="119" t="n">
        <v>46412</v>
      </c>
      <c r="G895" s="119" t="n">
        <v>46430</v>
      </c>
      <c r="H895" s="119" t="n">
        <v>46293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IF(E895="","",IF(ISNUMBER(SEARCH("SUBSOLO",E895)),IFERROR(-VALUE(LEFT(E895,FIND("º",SUBSTITUTE(E895,"°","º"))-1)),-1),IF(LEFT(E895,6)="TÉRREO",0,IFERROR(VALUE(LEFT(E895,FIND("º",SUBSTITUTE(E895,"°","º"))-1)),""))))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25210824</v>
      </c>
      <c r="C896" s="4" t="inlineStr">
        <is>
          <t>PRUMADA HIDROSSANITÁRIA</t>
        </is>
      </c>
      <c r="D896" s="4" t="inlineStr">
        <is>
          <t>-</t>
        </is>
      </c>
      <c r="E896" s="4" t="inlineStr">
        <is>
          <t>4° PAV. APTO GARDEN</t>
        </is>
      </c>
      <c r="F896" s="119" t="n">
        <v>46413</v>
      </c>
      <c r="G896" s="119" t="n">
        <v>46423</v>
      </c>
      <c r="H896" s="119" t="n">
        <v>46293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IF(E896="","",IF(ISNUMBER(SEARCH("SUBSOLO",E896)),IFERROR(-VALUE(LEFT(E896,FIND("º",SUBSTITUTE(E896,"°","º"))-1)),-1),IF(LEFT(E896,6)="TÉRREO",0,IFERROR(VALUE(LEFT(E896,FIND("º",SUBSTITUTE(E896,"°","º"))-1)),""))))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25210814</v>
      </c>
      <c r="C897" s="4" t="inlineStr">
        <is>
          <t>PRUMADA DE INCÊNDIO</t>
        </is>
      </c>
      <c r="D897" s="4" t="inlineStr">
        <is>
          <t>-</t>
        </is>
      </c>
      <c r="E897" s="4" t="inlineStr">
        <is>
          <t>4° PAV. APTO GARDEN</t>
        </is>
      </c>
      <c r="F897" s="119" t="n">
        <v>46413</v>
      </c>
      <c r="G897" s="119" t="n">
        <v>46423</v>
      </c>
      <c r="H897" s="119" t="n">
        <v>46293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IF(E897="","",IF(ISNUMBER(SEARCH("SUBSOLO",E897)),IFERROR(-VALUE(LEFT(E897,FIND("º",SUBSTITUTE(E897,"°","º"))-1)),-1),IF(LEFT(E897,6)="TÉRREO",0,IFERROR(VALUE(LEFT(E897,FIND("º",SUBSTITUTE(E897,"°","º"))-1)),""))))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27762190</v>
      </c>
      <c r="C898" s="4" t="inlineStr">
        <is>
          <t>TRATAMENTO ACÚSTICO</t>
        </is>
      </c>
      <c r="D898" s="4" t="inlineStr">
        <is>
          <t>-</t>
        </is>
      </c>
      <c r="E898" s="4" t="inlineStr">
        <is>
          <t>7º PAV. TIPO</t>
        </is>
      </c>
      <c r="F898" s="119" t="n">
        <v>46413</v>
      </c>
      <c r="G898" s="119" t="n">
        <v>46413</v>
      </c>
      <c r="H898" s="119" t="n">
        <v>46293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IF(E898="","",IF(ISNUMBER(SEARCH("SUBSOLO",E898)),IFERROR(-VALUE(LEFT(E898,FIND("º",SUBSTITUTE(E898,"°","º"))-1)),-1),IF(LEFT(E898,6)="TÉRREO",0,IFERROR(VALUE(LEFT(E898,FIND("º",SUBSTITUTE(E898,"°","º"))-1)),""))))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25210617</v>
      </c>
      <c r="C899" s="4" t="inlineStr">
        <is>
          <t>IMPERMEABILIZAÇÃO INTERNA</t>
        </is>
      </c>
      <c r="D899" s="4" t="inlineStr">
        <is>
          <t>-</t>
        </is>
      </c>
      <c r="E899" s="4" t="inlineStr">
        <is>
          <t>10º PAV. TIPO</t>
        </is>
      </c>
      <c r="F899" s="119" t="n">
        <v>46413</v>
      </c>
      <c r="G899" s="119" t="n">
        <v>46423</v>
      </c>
      <c r="H899" s="119" t="n">
        <v>46293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IF(E899="","",IF(ISNUMBER(SEARCH("SUBSOLO",E899)),IFERROR(-VALUE(LEFT(E899,FIND("º",SUBSTITUTE(E899,"°","º"))-1)),-1),IF(LEFT(E899,6)="TÉRREO",0,IFERROR(VALUE(LEFT(E899,FIND("º",SUBSTITUTE(E899,"°","º"))-1)),""))))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25210710</v>
      </c>
      <c r="C900" s="4" t="inlineStr">
        <is>
          <t>IMPERMEABILIZAÇÃO VARANDA E JARDINEIRAS</t>
        </is>
      </c>
      <c r="D900" s="4" t="inlineStr">
        <is>
          <t>-</t>
        </is>
      </c>
      <c r="E900" s="4" t="inlineStr">
        <is>
          <t>7º PAV. TIPO</t>
        </is>
      </c>
      <c r="F900" s="119" t="n">
        <v>46414</v>
      </c>
      <c r="G900" s="119" t="n">
        <v>46426</v>
      </c>
      <c r="H900" s="119" t="n">
        <v>46293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IF(E900="","",IF(ISNUMBER(SEARCH("SUBSOLO",E900)),IFERROR(-VALUE(LEFT(E900,FIND("º",SUBSTITUTE(E900,"°","º"))-1)),-1),IF(LEFT(E900,6)="TÉRREO",0,IFERROR(VALUE(LEFT(E900,FIND("º",SUBSTITUTE(E900,"°","º"))-1)),""))))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22139385</v>
      </c>
      <c r="C901" s="4" t="inlineStr">
        <is>
          <t>DEMOLIÇÃO BALTAZAR</t>
        </is>
      </c>
      <c r="D901" s="4" t="inlineStr">
        <is>
          <t>-</t>
        </is>
      </c>
      <c r="E901" s="4" t="inlineStr">
        <is>
          <t>GERAL</t>
        </is>
      </c>
      <c r="F901" s="119" t="n">
        <v>46416</v>
      </c>
      <c r="G901" s="119" t="n">
        <v>46430</v>
      </c>
      <c r="H901" s="119" t="n">
        <v>46293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IF(E901="","",IF(ISNUMBER(SEARCH("SUBSOLO",E901)),IFERROR(-VALUE(LEFT(E901,FIND("º",SUBSTITUTE(E901,"°","º"))-1)),-1),IF(LEFT(E901,6)="TÉRREO",0,IFERROR(VALUE(LEFT(E901,FIND("º",SUBSTITUTE(E901,"°","º"))-1)),""))))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27769228</v>
      </c>
      <c r="C902" s="4" t="inlineStr">
        <is>
          <t>PRUMADA ELÉTRICA INFRA</t>
        </is>
      </c>
      <c r="D902" s="4" t="inlineStr">
        <is>
          <t>-</t>
        </is>
      </c>
      <c r="E902" s="4" t="inlineStr">
        <is>
          <t>4° PAV. APTO GARDEN</t>
        </is>
      </c>
      <c r="F902" s="119" t="n">
        <v>46421</v>
      </c>
      <c r="G902" s="119" t="n">
        <v>46433</v>
      </c>
      <c r="H902" s="119" t="n">
        <v>46293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IF(E902="","",IF(ISNUMBER(SEARCH("SUBSOLO",E902)),IFERROR(-VALUE(LEFT(E902,FIND("º",SUBSTITUTE(E902,"°","º"))-1)),-1),IF(LEFT(E902,6)="TÉRREO",0,IFERROR(VALUE(LEFT(E902,FIND("º",SUBSTITUTE(E902,"°","º"))-1)),""))))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25210746</v>
      </c>
      <c r="C903" s="4" t="inlineStr">
        <is>
          <t>REVESTIMENTO PAREDE</t>
        </is>
      </c>
      <c r="D903" s="4" t="inlineStr">
        <is>
          <t>-</t>
        </is>
      </c>
      <c r="E903" s="4" t="inlineStr">
        <is>
          <t>6º PAV. TIPO</t>
        </is>
      </c>
      <c r="F903" s="119" t="n">
        <v>46421</v>
      </c>
      <c r="G903" s="119" t="n">
        <v>46434</v>
      </c>
      <c r="H903" s="119" t="n">
        <v>46293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IF(E903="","",IF(ISNUMBER(SEARCH("SUBSOLO",E903)),IFERROR(-VALUE(LEFT(E903,FIND("º",SUBSTITUTE(E903,"°","º"))-1)),-1),IF(LEFT(E903,6)="TÉRREO",0,IFERROR(VALUE(LEFT(E903,FIND("º",SUBSTITUTE(E903,"°","º"))-1)),""))))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25210573</v>
      </c>
      <c r="C904" s="4" t="inlineStr">
        <is>
          <t>SHAFT INTERNO INST. HIDRAÚLICAS</t>
        </is>
      </c>
      <c r="D904" s="4" t="inlineStr">
        <is>
          <t>-</t>
        </is>
      </c>
      <c r="E904" s="4" t="inlineStr">
        <is>
          <t>11º PAV. TIPO</t>
        </is>
      </c>
      <c r="F904" s="119" t="n">
        <v>46421</v>
      </c>
      <c r="G904" s="119" t="n">
        <v>46433</v>
      </c>
      <c r="H904" s="119" t="n">
        <v>46293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IF(E904="","",IF(ISNUMBER(SEARCH("SUBSOLO",E904)),IFERROR(-VALUE(LEFT(E904,FIND("º",SUBSTITUTE(E904,"°","º"))-1)),-1),IF(LEFT(E904,6)="TÉRREO",0,IFERROR(VALUE(LEFT(E904,FIND("º",SUBSTITUTE(E904,"°","º"))-1)),""))))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25210366</v>
      </c>
      <c r="C905" s="4" t="inlineStr">
        <is>
          <t>DISTRIBUIÇÃO HIDROSSANITÁRIA</t>
        </is>
      </c>
      <c r="D905" s="4" t="inlineStr">
        <is>
          <t>-</t>
        </is>
      </c>
      <c r="E905" s="4" t="inlineStr">
        <is>
          <t>17º PAV. TIPO</t>
        </is>
      </c>
      <c r="F905" s="119" t="n">
        <v>46421</v>
      </c>
      <c r="G905" s="119" t="n">
        <v>46433</v>
      </c>
      <c r="H905" s="119" t="n">
        <v>46293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IF(E905="","",IF(ISNUMBER(SEARCH("SUBSOLO",E905)),IFERROR(-VALUE(LEFT(E905,FIND("º",SUBSTITUTE(E905,"°","º"))-1)),-1),IF(LEFT(E905,6)="TÉRREO",0,IFERROR(VALUE(LEFT(E905,FIND("º",SUBSTITUTE(E905,"°","º"))-1)),""))))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25210365</v>
      </c>
      <c r="C906" s="4" t="inlineStr">
        <is>
          <t>DISTRIBUIÇÃO ELÉTRICA / QUADRO - SETOR B</t>
        </is>
      </c>
      <c r="D906" s="4" t="inlineStr">
        <is>
          <t>-</t>
        </is>
      </c>
      <c r="E906" s="4" t="inlineStr">
        <is>
          <t>17º PAV. TIPO</t>
        </is>
      </c>
      <c r="F906" s="119" t="n">
        <v>46421</v>
      </c>
      <c r="G906" s="119" t="n">
        <v>46433</v>
      </c>
      <c r="H906" s="119" t="n">
        <v>46293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IF(E906="","",IF(ISNUMBER(SEARCH("SUBSOLO",E906)),IFERROR(-VALUE(LEFT(E906,FIND("º",SUBSTITUTE(E906,"°","º"))-1)),-1),IF(LEFT(E906,6)="TÉRREO",0,IFERROR(VALUE(LEFT(E906,FIND("º",SUBSTITUTE(E906,"°","º"))-1)),""))))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33276743</v>
      </c>
      <c r="C907" s="4" t="inlineStr">
        <is>
          <t>INFRAESTRUTURA ELÉTRICA - TETO</t>
        </is>
      </c>
      <c r="D907" s="4" t="inlineStr">
        <is>
          <t>-</t>
        </is>
      </c>
      <c r="E907" s="4" t="inlineStr">
        <is>
          <t>17º PAV. TIPO</t>
        </is>
      </c>
      <c r="F907" s="119" t="n">
        <v>46421</v>
      </c>
      <c r="G907" s="119" t="n">
        <v>46433</v>
      </c>
      <c r="H907" s="119" t="n">
        <v>46293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IF(E907="","",IF(ISNUMBER(SEARCH("SUBSOLO",E907)),IFERROR(-VALUE(LEFT(E907,FIND("º",SUBSTITUTE(E907,"°","º"))-1)),-1),IF(LEFT(E907,6)="TÉRREO",0,IFERROR(VALUE(LEFT(E907,FIND("º",SUBSTITUTE(E907,"°","º"))-1)),""))))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43846655</v>
      </c>
      <c r="C908" s="4" t="inlineStr">
        <is>
          <t>ALVENARIA EXTERNA</t>
        </is>
      </c>
      <c r="D908" s="4" t="inlineStr">
        <is>
          <t>-</t>
        </is>
      </c>
      <c r="E908" s="4" t="inlineStr">
        <is>
          <t>19º PAV. TIPO</t>
        </is>
      </c>
      <c r="F908" s="119" t="n">
        <v>46421</v>
      </c>
      <c r="G908" s="119" t="n">
        <v>46428</v>
      </c>
      <c r="H908" s="119" t="n">
        <v>46293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IF(E908="","",IF(ISNUMBER(SEARCH("SUBSOLO",E908)),IFERROR(-VALUE(LEFT(E908,FIND("º",SUBSTITUTE(E908,"°","º"))-1)),-1),IF(LEFT(E908,6)="TÉRREO",0,IFERROR(VALUE(LEFT(E908,FIND("º",SUBSTITUTE(E908,"°","º"))-1)),""))))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22139738</v>
      </c>
      <c r="C909" s="4" t="inlineStr">
        <is>
          <t>ESTRUTURA TORRE</t>
        </is>
      </c>
      <c r="D909" s="4" t="inlineStr">
        <is>
          <t>-</t>
        </is>
      </c>
      <c r="E909" s="4" t="inlineStr">
        <is>
          <t>26º PAV. -  DUPLEX INFERIOR</t>
        </is>
      </c>
      <c r="F909" s="119" t="n">
        <v>46421</v>
      </c>
      <c r="G909" s="119" t="n">
        <v>46435</v>
      </c>
      <c r="H909" s="119" t="n">
        <v>46293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IF(E909="","",IF(ISNUMBER(SEARCH("SUBSOLO",E909)),IFERROR(-VALUE(LEFT(E909,FIND("º",SUBSTITUTE(E909,"°","º"))-1)),-1),IF(LEFT(E909,6)="TÉRREO",0,IFERROR(VALUE(LEFT(E909,FIND("º",SUBSTITUTE(E909,"°","º"))-1)),""))))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9877292</v>
      </c>
      <c r="C910" s="4" t="inlineStr">
        <is>
          <t>ESTRUTURA TORRE</t>
        </is>
      </c>
      <c r="D910" s="4" t="inlineStr">
        <is>
          <t>Forma Pilar</t>
        </is>
      </c>
      <c r="E910" s="4" t="inlineStr">
        <is>
          <t>26º PAV. -  DUPLEX INFERIOR</t>
        </is>
      </c>
      <c r="F910" s="119" t="n">
        <v>46421</v>
      </c>
      <c r="G910" s="119" t="n">
        <v>46422</v>
      </c>
      <c r="H910" s="119" t="n">
        <v>46293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IF(E910="","",IF(ISNUMBER(SEARCH("SUBSOLO",E910)),IFERROR(-VALUE(LEFT(E910,FIND("º",SUBSTITUTE(E910,"°","º"))-1)),-1),IF(LEFT(E910,6)="TÉRREO",0,IFERROR(VALUE(LEFT(E910,FIND("º",SUBSTITUTE(E910,"°","º"))-1)),""))))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9877293</v>
      </c>
      <c r="C911" s="4" t="inlineStr">
        <is>
          <t>ESTRUTURA TORRE</t>
        </is>
      </c>
      <c r="D911" s="4" t="inlineStr">
        <is>
          <t>Armação Pilar</t>
        </is>
      </c>
      <c r="E911" s="4" t="inlineStr">
        <is>
          <t>26º PAV. -  DUPLEX INFERIOR</t>
        </is>
      </c>
      <c r="F911" s="119" t="n">
        <v>46421</v>
      </c>
      <c r="G911" s="119" t="n">
        <v>46422</v>
      </c>
      <c r="H911" s="119" t="n">
        <v>46293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IF(E911="","",IF(ISNUMBER(SEARCH("SUBSOLO",E911)),IFERROR(-VALUE(LEFT(E911,FIND("º",SUBSTITUTE(E911,"°","º"))-1)),-1),IF(LEFT(E911,6)="TÉRREO",0,IFERROR(VALUE(LEFT(E911,FIND("º",SUBSTITUTE(E911,"°","º"))-1)),""))))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9877294</v>
      </c>
      <c r="C912" s="4" t="inlineStr">
        <is>
          <t>ESTRUTURA TORRE</t>
        </is>
      </c>
      <c r="D912" s="4" t="inlineStr">
        <is>
          <t>Escoramento</t>
        </is>
      </c>
      <c r="E912" s="4" t="inlineStr">
        <is>
          <t>26º PAV. -  DUPLEX INFERIOR</t>
        </is>
      </c>
      <c r="F912" s="119" t="n">
        <v>46422</v>
      </c>
      <c r="G912" s="119" t="n">
        <v>46423</v>
      </c>
      <c r="H912" s="119" t="n">
        <v>46293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IF(E912="","",IF(ISNUMBER(SEARCH("SUBSOLO",E912)),IFERROR(-VALUE(LEFT(E912,FIND("º",SUBSTITUTE(E912,"°","º"))-1)),-1),IF(LEFT(E912,6)="TÉRREO",0,IFERROR(VALUE(LEFT(E912,FIND("º",SUBSTITUTE(E912,"°","º"))-1)),""))))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9877967</v>
      </c>
      <c r="C913" s="4" t="inlineStr">
        <is>
          <t>ESTRUTURA TORRE</t>
        </is>
      </c>
      <c r="D913" s="4" t="inlineStr">
        <is>
          <t>Concretagem Pilar</t>
        </is>
      </c>
      <c r="E913" s="4" t="inlineStr">
        <is>
          <t>26º PAV. -  DUPLEX INFERIOR</t>
        </is>
      </c>
      <c r="F913" s="119" t="n">
        <v>46426</v>
      </c>
      <c r="G913" s="119" t="n">
        <v>46426</v>
      </c>
      <c r="H913" s="119" t="n">
        <v>46293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IF(E913="","",IF(ISNUMBER(SEARCH("SUBSOLO",E913)),IFERROR(-VALUE(LEFT(E913,FIND("º",SUBSTITUTE(E913,"°","º"))-1)),-1),IF(LEFT(E913,6)="TÉRREO",0,IFERROR(VALUE(LEFT(E913,FIND("º",SUBSTITUTE(E913,"°","º"))-1)),""))))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9877968</v>
      </c>
      <c r="C914" s="4" t="inlineStr">
        <is>
          <t>ESTRUTURA TORRE</t>
        </is>
      </c>
      <c r="D914" s="4" t="inlineStr">
        <is>
          <t>Forma Vigas e Lajes</t>
        </is>
      </c>
      <c r="E914" s="4" t="inlineStr">
        <is>
          <t>26º PAV. -  DUPLEX INFERIOR</t>
        </is>
      </c>
      <c r="F914" s="119" t="n">
        <v>46427</v>
      </c>
      <c r="G914" s="119" t="n">
        <v>46430</v>
      </c>
      <c r="H914" s="119" t="n">
        <v>46293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IF(E914="","",IF(ISNUMBER(SEARCH("SUBSOLO",E914)),IFERROR(-VALUE(LEFT(E914,FIND("º",SUBSTITUTE(E914,"°","º"))-1)),-1),IF(LEFT(E914,6)="TÉRREO",0,IFERROR(VALUE(LEFT(E914,FIND("º",SUBSTITUTE(E914,"°","º"))-1)),""))))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9877969</v>
      </c>
      <c r="C915" s="4" t="inlineStr">
        <is>
          <t>ESTRUTURA TORRE</t>
        </is>
      </c>
      <c r="D915" s="4" t="inlineStr">
        <is>
          <t>Armação Vigas e Lajes</t>
        </is>
      </c>
      <c r="E915" s="4" t="inlineStr">
        <is>
          <t>26º PAV. -  DUPLEX INFERIOR</t>
        </is>
      </c>
      <c r="F915" s="119" t="n">
        <v>46428</v>
      </c>
      <c r="G915" s="119" t="n">
        <v>46433</v>
      </c>
      <c r="H915" s="119" t="n">
        <v>46293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IF(E915="","",IF(ISNUMBER(SEARCH("SUBSOLO",E915)),IFERROR(-VALUE(LEFT(E915,FIND("º",SUBSTITUTE(E915,"°","º"))-1)),-1),IF(LEFT(E915,6)="TÉRREO",0,IFERROR(VALUE(LEFT(E915,FIND("º",SUBSTITUTE(E915,"°","º"))-1)),""))))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9877970</v>
      </c>
      <c r="C916" s="4" t="inlineStr">
        <is>
          <t>ESTRUTURA TORRE</t>
        </is>
      </c>
      <c r="D916" s="4" t="inlineStr">
        <is>
          <t>Passagem Hidráulica</t>
        </is>
      </c>
      <c r="E916" s="4" t="inlineStr">
        <is>
          <t>26º PAV. -  DUPLEX INFERIOR</t>
        </is>
      </c>
      <c r="F916" s="119" t="n">
        <v>46430</v>
      </c>
      <c r="G916" s="119" t="n">
        <v>46430</v>
      </c>
      <c r="H916" s="119" t="n">
        <v>46293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IF(E916="","",IF(ISNUMBER(SEARCH("SUBSOLO",E916)),IFERROR(-VALUE(LEFT(E916,FIND("º",SUBSTITUTE(E916,"°","º"))-1)),-1),IF(LEFT(E916,6)="TÉRREO",0,IFERROR(VALUE(LEFT(E916,FIND("º",SUBSTITUTE(E916,"°","º"))-1)),""))))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9877971</v>
      </c>
      <c r="C917" s="4" t="inlineStr">
        <is>
          <t>ESTRUTURA TORRE</t>
        </is>
      </c>
      <c r="D917" s="4" t="inlineStr">
        <is>
          <t>Passagem Elétrica</t>
        </is>
      </c>
      <c r="E917" s="4" t="inlineStr">
        <is>
          <t>26º PAV. -  DUPLEX INFERIOR</t>
        </is>
      </c>
      <c r="F917" s="119" t="n">
        <v>46430</v>
      </c>
      <c r="G917" s="119" t="n">
        <v>46430</v>
      </c>
      <c r="H917" s="119" t="n">
        <v>46293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IF(E917="","",IF(ISNUMBER(SEARCH("SUBSOLO",E917)),IFERROR(-VALUE(LEFT(E917,FIND("º",SUBSTITUTE(E917,"°","º"))-1)),-1),IF(LEFT(E917,6)="TÉRREO",0,IFERROR(VALUE(LEFT(E917,FIND("º",SUBSTITUTE(E917,"°","º"))-1)),""))))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9877972</v>
      </c>
      <c r="C918" s="4" t="inlineStr">
        <is>
          <t>ESTRUTURA TORRE</t>
        </is>
      </c>
      <c r="D918" s="4" t="inlineStr">
        <is>
          <t>Concretagem</t>
        </is>
      </c>
      <c r="E918" s="4" t="inlineStr">
        <is>
          <t>26º PAV. -  DUPLEX INFERIOR</t>
        </is>
      </c>
      <c r="F918" s="119" t="n">
        <v>46433</v>
      </c>
      <c r="G918" s="119" t="n">
        <v>46435</v>
      </c>
      <c r="H918" s="119" t="n">
        <v>46293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IF(E918="","",IF(ISNUMBER(SEARCH("SUBSOLO",E918)),IFERROR(-VALUE(LEFT(E918,FIND("º",SUBSTITUTE(E918,"°","º"))-1)),-1),IF(LEFT(E918,6)="TÉRREO",0,IFERROR(VALUE(LEFT(E918,FIND("º",SUBSTITUTE(E918,"°","º"))-1)),""))))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25210403</v>
      </c>
      <c r="C919" s="4" t="inlineStr">
        <is>
          <t>REBOCO INTERNO</t>
        </is>
      </c>
      <c r="D919" s="4" t="inlineStr">
        <is>
          <t>-</t>
        </is>
      </c>
      <c r="E919" s="4" t="inlineStr">
        <is>
          <t>16º PAV. TIPO</t>
        </is>
      </c>
      <c r="F919" s="119" t="n">
        <v>46422</v>
      </c>
      <c r="G919" s="119" t="n">
        <v>46442</v>
      </c>
      <c r="H919" s="119" t="n">
        <v>46293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IF(E919="","",IF(ISNUMBER(SEARCH("SUBSOLO",E919)),IFERROR(-VALUE(LEFT(E919,FIND("º",SUBSTITUTE(E919,"°","º"))-1)),-1),IF(LEFT(E919,6)="TÉRREO",0,IFERROR(VALUE(LEFT(E919,FIND("º",SUBSTITUTE(E919,"°","º"))-1)),""))))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25210399</v>
      </c>
      <c r="C920" s="4" t="inlineStr">
        <is>
          <t>ESPALA ESQUADRIA DE ALUMINIO</t>
        </is>
      </c>
      <c r="D920" s="4" t="inlineStr">
        <is>
          <t>-</t>
        </is>
      </c>
      <c r="E920" s="4" t="inlineStr">
        <is>
          <t>16º PAV. TIPO</t>
        </is>
      </c>
      <c r="F920" s="119" t="n">
        <v>46422</v>
      </c>
      <c r="G920" s="119" t="n">
        <v>46428</v>
      </c>
      <c r="H920" s="119" t="n">
        <v>46293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IF(E920="","",IF(ISNUMBER(SEARCH("SUBSOLO",E920)),IFERROR(-VALUE(LEFT(E920,FIND("º",SUBSTITUTE(E920,"°","º"))-1)),-1),IF(LEFT(E920,6)="TÉRREO",0,IFERROR(VALUE(LEFT(E920,FIND("º",SUBSTITUTE(E920,"°","º"))-1)),""))))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25210367</v>
      </c>
      <c r="C921" s="4" t="inlineStr">
        <is>
          <t>GÁS</t>
        </is>
      </c>
      <c r="D921" s="4" t="inlineStr">
        <is>
          <t>-</t>
        </is>
      </c>
      <c r="E921" s="4" t="inlineStr">
        <is>
          <t>17º PAV. TIPO</t>
        </is>
      </c>
      <c r="F921" s="119" t="n">
        <v>46422</v>
      </c>
      <c r="G921" s="119" t="n">
        <v>46434</v>
      </c>
      <c r="H921" s="119" t="n">
        <v>46293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IF(E921="","",IF(ISNUMBER(SEARCH("SUBSOLO",E921)),IFERROR(-VALUE(LEFT(E921,FIND("º",SUBSTITUTE(E921,"°","º"))-1)),-1),IF(LEFT(E921,6)="TÉRREO",0,IFERROR(VALUE(LEFT(E921,FIND("º",SUBSTITUTE(E921,"°","º"))-1)),""))))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25210822</v>
      </c>
      <c r="C922" s="4" t="inlineStr">
        <is>
          <t>GÁS</t>
        </is>
      </c>
      <c r="D922" s="4" t="inlineStr">
        <is>
          <t>-</t>
        </is>
      </c>
      <c r="E922" s="4" t="inlineStr">
        <is>
          <t>4° PAV. APTO GARDEN</t>
        </is>
      </c>
      <c r="F922" s="119" t="n">
        <v>46426</v>
      </c>
      <c r="G922" s="119" t="n">
        <v>46436</v>
      </c>
      <c r="H922" s="119" t="n">
        <v>46293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IF(E922="","",IF(ISNUMBER(SEARCH("SUBSOLO",E922)),IFERROR(-VALUE(LEFT(E922,FIND("º",SUBSTITUTE(E922,"°","º"))-1)),-1),IF(LEFT(E922,6)="TÉRREO",0,IFERROR(VALUE(LEFT(E922,FIND("º",SUBSTITUTE(E922,"°","º"))-1)),""))))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29601043</v>
      </c>
      <c r="C923" s="4" t="inlineStr">
        <is>
          <t>TALISCAMENTO</t>
        </is>
      </c>
      <c r="D923" s="4" t="inlineStr">
        <is>
          <t>-</t>
        </is>
      </c>
      <c r="E923" s="4" t="inlineStr">
        <is>
          <t>4° PAV. APTO GARDEN</t>
        </is>
      </c>
      <c r="F923" s="119" t="n">
        <v>46426</v>
      </c>
      <c r="G923" s="119" t="n">
        <v>46436</v>
      </c>
      <c r="H923" s="119" t="n">
        <v>46293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IF(E923="","",IF(ISNUMBER(SEARCH("SUBSOLO",E923)),IFERROR(-VALUE(LEFT(E923,FIND("º",SUBSTITUTE(E923,"°","º"))-1)),-1),IF(LEFT(E923,6)="TÉRREO",0,IFERROR(VALUE(LEFT(E923,FIND("º",SUBSTITUTE(E923,"°","º"))-1)),""))))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27762193</v>
      </c>
      <c r="C924" s="4" t="inlineStr">
        <is>
          <t>TRATAMENTO ACÚSTICO</t>
        </is>
      </c>
      <c r="D924" s="4" t="inlineStr">
        <is>
          <t>-</t>
        </is>
      </c>
      <c r="E924" s="4" t="inlineStr">
        <is>
          <t>10º PAV. TIPO</t>
        </is>
      </c>
      <c r="F924" s="119" t="n">
        <v>46426</v>
      </c>
      <c r="G924" s="119" t="n">
        <v>46426</v>
      </c>
      <c r="H924" s="119" t="n">
        <v>46293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IF(E924="","",IF(ISNUMBER(SEARCH("SUBSOLO",E924)),IFERROR(-VALUE(LEFT(E924,FIND("º",SUBSTITUTE(E924,"°","º"))-1)),-1),IF(LEFT(E924,6)="TÉRREO",0,IFERROR(VALUE(LEFT(E924,FIND("º",SUBSTITUTE(E924,"°","º"))-1)),""))))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25210721</v>
      </c>
      <c r="C925" s="4" t="inlineStr">
        <is>
          <t>CONTRAPISO</t>
        </is>
      </c>
      <c r="D925" s="4" t="inlineStr">
        <is>
          <t>-</t>
        </is>
      </c>
      <c r="E925" s="4" t="inlineStr">
        <is>
          <t>7º PAV. TIPO</t>
        </is>
      </c>
      <c r="F925" s="119" t="n">
        <v>46427</v>
      </c>
      <c r="G925" s="119" t="n">
        <v>46440</v>
      </c>
      <c r="H925" s="119" t="n">
        <v>46293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IF(E925="","",IF(ISNUMBER(SEARCH("SUBSOLO",E925)),IFERROR(-VALUE(LEFT(E925,FIND("º",SUBSTITUTE(E925,"°","º"))-1)),-1),IF(LEFT(E925,6)="TÉRREO",0,IFERROR(VALUE(LEFT(E925,FIND("º",SUBSTITUTE(E925,"°","º"))-1)),""))))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27765751</v>
      </c>
      <c r="C926" s="4" t="inlineStr">
        <is>
          <t>DRENO + ATERRO JARDINEIRAS</t>
        </is>
      </c>
      <c r="D926" s="4" t="inlineStr">
        <is>
          <t>-</t>
        </is>
      </c>
      <c r="E926" s="4" t="inlineStr">
        <is>
          <t>7º PAV. TIPO</t>
        </is>
      </c>
      <c r="F926" s="119" t="n">
        <v>46427</v>
      </c>
      <c r="G926" s="119" t="n">
        <v>46437</v>
      </c>
      <c r="H926" s="119" t="n">
        <v>46293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IF(E926="","",IF(ISNUMBER(SEARCH("SUBSOLO",E926)),IFERROR(-VALUE(LEFT(E926,FIND("º",SUBSTITUTE(E926,"°","º"))-1)),-1),IF(LEFT(E926,6)="TÉRREO",0,IFERROR(VALUE(LEFT(E926,FIND("º",SUBSTITUTE(E926,"°","º"))-1)),""))))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25210605</v>
      </c>
      <c r="C927" s="4" t="inlineStr">
        <is>
          <t>IMPERMEABILIZAÇÃO VARANDA E JARDINEIRAS</t>
        </is>
      </c>
      <c r="D927" s="4" t="inlineStr">
        <is>
          <t>-</t>
        </is>
      </c>
      <c r="E927" s="4" t="inlineStr">
        <is>
          <t>10º PAV. TIPO</t>
        </is>
      </c>
      <c r="F927" s="119" t="n">
        <v>46427</v>
      </c>
      <c r="G927" s="119" t="n">
        <v>46437</v>
      </c>
      <c r="H927" s="119" t="n">
        <v>46293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IF(E927="","",IF(ISNUMBER(SEARCH("SUBSOLO",E927)),IFERROR(-VALUE(LEFT(E927,FIND("º",SUBSTITUTE(E927,"°","º"))-1)),-1),IF(LEFT(E927,6)="TÉRREO",0,IFERROR(VALUE(LEFT(E927,FIND("º",SUBSTITUTE(E927,"°","º"))-1)),""))))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25210334</v>
      </c>
      <c r="C928" s="4" t="inlineStr">
        <is>
          <t>PRUMADA HIDROSSANITÁRIA</t>
        </is>
      </c>
      <c r="D928" s="4" t="inlineStr">
        <is>
          <t>-</t>
        </is>
      </c>
      <c r="E928" s="4" t="inlineStr">
        <is>
          <t>18º PAV. TIPO</t>
        </is>
      </c>
      <c r="F928" s="119" t="n">
        <v>46427</v>
      </c>
      <c r="G928" s="119" t="n">
        <v>46437</v>
      </c>
      <c r="H928" s="119" t="n">
        <v>46293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IF(E928="","",IF(ISNUMBER(SEARCH("SUBSOLO",E928)),IFERROR(-VALUE(LEFT(E928,FIND("º",SUBSTITUTE(E928,"°","º"))-1)),-1),IF(LEFT(E928,6)="TÉRREO",0,IFERROR(VALUE(LEFT(E928,FIND("º",SUBSTITUTE(E928,"°","º"))-1)),""))))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25210324</v>
      </c>
      <c r="C929" s="4" t="inlineStr">
        <is>
          <t>PRUMADA DE INCÊNDIO</t>
        </is>
      </c>
      <c r="D929" s="4" t="inlineStr">
        <is>
          <t>-</t>
        </is>
      </c>
      <c r="E929" s="4" t="inlineStr">
        <is>
          <t>18º PAV. TIPO</t>
        </is>
      </c>
      <c r="F929" s="119" t="n">
        <v>46427</v>
      </c>
      <c r="G929" s="119" t="n">
        <v>46437</v>
      </c>
      <c r="H929" s="119" t="n">
        <v>46293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IF(E929="","",IF(ISNUMBER(SEARCH("SUBSOLO",E929)),IFERROR(-VALUE(LEFT(E929,FIND("º",SUBSTITUTE(E929,"°","º"))-1)),-1),IF(LEFT(E929,6)="TÉRREO",0,IFERROR(VALUE(LEFT(E929,FIND("º",SUBSTITUTE(E929,"°","º"))-1)),""))))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25801931</v>
      </c>
      <c r="C930" s="4" t="inlineStr">
        <is>
          <t>QUADRA DE TÊNIS E POLIESPORTIVA</t>
        </is>
      </c>
      <c r="D930" s="4" t="inlineStr">
        <is>
          <t>-</t>
        </is>
      </c>
      <c r="E930" s="4" t="inlineStr">
        <is>
          <t>3º PAV. - QUADRA DE TÊNIS E POLIESPORTIVA</t>
        </is>
      </c>
      <c r="F930" s="119" t="n">
        <v>46428</v>
      </c>
      <c r="G930" s="119" t="n">
        <v>46584</v>
      </c>
      <c r="H930" s="119" t="n">
        <v>46293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IF(E930="","",IF(ISNUMBER(SEARCH("SUBSOLO",E930)),IFERROR(-VALUE(LEFT(E930,FIND("º",SUBSTITUTE(E930,"°","º"))-1)),-1),IF(LEFT(E930,6)="TÉRREO",0,IFERROR(VALUE(LEFT(E930,FIND("º",SUBSTITUTE(E930,"°","º"))-1)),""))))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9215888</v>
      </c>
      <c r="C931" s="4" t="inlineStr">
        <is>
          <t>QUADRA DE TÊNIS E POLIESPORTIVA</t>
        </is>
      </c>
      <c r="D931" s="4" t="inlineStr">
        <is>
          <t>Regularização</t>
        </is>
      </c>
      <c r="E931" s="4" t="inlineStr">
        <is>
          <t>3º PAV. - QUADRA DE TÊNIS E POLIESPORTIVA</t>
        </is>
      </c>
      <c r="F931" s="119" t="n">
        <v>46428</v>
      </c>
      <c r="G931" s="119" t="n">
        <v>46462</v>
      </c>
      <c r="H931" s="119" t="n">
        <v>46293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IF(E931="","",IF(ISNUMBER(SEARCH("SUBSOLO",E931)),IFERROR(-VALUE(LEFT(E931,FIND("º",SUBSTITUTE(E931,"°","º"))-1)),-1),IF(LEFT(E931,6)="TÉRREO",0,IFERROR(VALUE(LEFT(E931,FIND("º",SUBSTITUTE(E931,"°","º"))-1)),""))))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9215889</v>
      </c>
      <c r="C932" s="4" t="inlineStr">
        <is>
          <t>QUADRA DE TÊNIS E POLIESPORTIVA</t>
        </is>
      </c>
      <c r="D932" s="4" t="inlineStr">
        <is>
          <t>Drenagem</t>
        </is>
      </c>
      <c r="E932" s="4" t="inlineStr">
        <is>
          <t>3º PAV. - QUADRA DE TÊNIS E POLIESPORTIVA</t>
        </is>
      </c>
      <c r="F932" s="119" t="n">
        <v>46463</v>
      </c>
      <c r="G932" s="119" t="n">
        <v>46491</v>
      </c>
      <c r="H932" s="119" t="n">
        <v>46293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IF(E932="","",IF(ISNUMBER(SEARCH("SUBSOLO",E932)),IFERROR(-VALUE(LEFT(E932,FIND("º",SUBSTITUTE(E932,"°","º"))-1)),-1),IF(LEFT(E932,6)="TÉRREO",0,IFERROR(VALUE(LEFT(E932,FIND("º",SUBSTITUTE(E932,"°","º"))-1)),""))))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9215890</v>
      </c>
      <c r="C933" s="4" t="inlineStr">
        <is>
          <t>QUADRA DE TÊNIS E POLIESPORTIVA</t>
        </is>
      </c>
      <c r="D933" s="4" t="inlineStr">
        <is>
          <t>Base</t>
        </is>
      </c>
      <c r="E933" s="4" t="inlineStr">
        <is>
          <t>3º PAV. - QUADRA DE TÊNIS E POLIESPORTIVA</t>
        </is>
      </c>
      <c r="F933" s="119" t="n">
        <v>46492</v>
      </c>
      <c r="G933" s="119" t="n">
        <v>46520</v>
      </c>
      <c r="H933" s="119" t="n">
        <v>46293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IF(E933="","",IF(ISNUMBER(SEARCH("SUBSOLO",E933)),IFERROR(-VALUE(LEFT(E933,FIND("º",SUBSTITUTE(E933,"°","º"))-1)),-1),IF(LEFT(E933,6)="TÉRREO",0,IFERROR(VALUE(LEFT(E933,FIND("º",SUBSTITUTE(E933,"°","º"))-1)),""))))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9215891</v>
      </c>
      <c r="C934" s="4" t="inlineStr">
        <is>
          <t>QUADRA DE TÊNIS E POLIESPORTIVA</t>
        </is>
      </c>
      <c r="D934" s="4" t="inlineStr">
        <is>
          <t>Piso</t>
        </is>
      </c>
      <c r="E934" s="4" t="inlineStr">
        <is>
          <t>3º PAV. - QUADRA DE TÊNIS E POLIESPORTIVA</t>
        </is>
      </c>
      <c r="F934" s="119" t="n">
        <v>46521</v>
      </c>
      <c r="G934" s="119" t="n">
        <v>46556</v>
      </c>
      <c r="H934" s="119" t="n">
        <v>46293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IF(E934="","",IF(ISNUMBER(SEARCH("SUBSOLO",E934)),IFERROR(-VALUE(LEFT(E934,FIND("º",SUBSTITUTE(E934,"°","º"))-1)),-1),IF(LEFT(E934,6)="TÉRREO",0,IFERROR(VALUE(LEFT(E934,FIND("º",SUBSTITUTE(E934,"°","º"))-1)),""))))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9215892</v>
      </c>
      <c r="C935" s="4" t="inlineStr">
        <is>
          <t>QUADRA DE TÊNIS E POLIESPORTIVA</t>
        </is>
      </c>
      <c r="D935" s="4" t="inlineStr">
        <is>
          <t>Acabamentos</t>
        </is>
      </c>
      <c r="E935" s="4" t="inlineStr">
        <is>
          <t>3º PAV. - QUADRA DE TÊNIS E POLIESPORTIVA</t>
        </is>
      </c>
      <c r="F935" s="119" t="n">
        <v>46559</v>
      </c>
      <c r="G935" s="119" t="n">
        <v>46584</v>
      </c>
      <c r="H935" s="119" t="n">
        <v>46293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IF(E935="","",IF(ISNUMBER(SEARCH("SUBSOLO",E935)),IFERROR(-VALUE(LEFT(E935,FIND("º",SUBSTITUTE(E935,"°","º"))-1)),-1),IF(LEFT(E935,6)="TÉRREO",0,IFERROR(VALUE(LEFT(E935,FIND("º",SUBSTITUTE(E935,"°","º"))-1)),""))))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25210288</v>
      </c>
      <c r="C936" s="4" t="inlineStr">
        <is>
          <t>ALVENARIA</t>
        </is>
      </c>
      <c r="D936" s="4" t="inlineStr">
        <is>
          <t>-</t>
        </is>
      </c>
      <c r="E936" s="4" t="inlineStr">
        <is>
          <t>19º PAV. TIPO</t>
        </is>
      </c>
      <c r="F936" s="119" t="n">
        <v>46429</v>
      </c>
      <c r="G936" s="119" t="n">
        <v>46449</v>
      </c>
      <c r="H936" s="119" t="n">
        <v>46293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IF(E936="","",IF(ISNUMBER(SEARCH("SUBSOLO",E936)),IFERROR(-VALUE(LEFT(E936,FIND("º",SUBSTITUTE(E936,"°","º"))-1)),-1),IF(LEFT(E936,6)="TÉRREO",0,IFERROR(VALUE(LEFT(E936,FIND("º",SUBSTITUTE(E936,"°","º"))-1)),""))))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25807619</v>
      </c>
      <c r="C937" s="4" t="inlineStr">
        <is>
          <t>REVESTIMENTO PAREDE</t>
        </is>
      </c>
      <c r="D937" s="4" t="inlineStr">
        <is>
          <t>-</t>
        </is>
      </c>
      <c r="E937" s="4" t="inlineStr">
        <is>
          <t>3º PAV. ESPAÇO THERMAS, PISCINA COBERTA, SAUNAS E VESTIÁRIOS</t>
        </is>
      </c>
      <c r="F937" s="119" t="n">
        <v>46430</v>
      </c>
      <c r="G937" s="119" t="n">
        <v>46461</v>
      </c>
      <c r="H937" s="119" t="n">
        <v>46293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IF(E937="","",IF(ISNUMBER(SEARCH("SUBSOLO",E937)),IFERROR(-VALUE(LEFT(E937,FIND("º",SUBSTITUTE(E937,"°","º"))-1)),-1),IF(LEFT(E937,6)="TÉRREO",0,IFERROR(VALUE(LEFT(E937,FIND("º",SUBSTITUTE(E937,"°","º"))-1)),""))))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27769295</v>
      </c>
      <c r="C938" s="4" t="inlineStr">
        <is>
          <t>AR CONDICIONADO</t>
        </is>
      </c>
      <c r="D938" s="4" t="inlineStr">
        <is>
          <t>-</t>
        </is>
      </c>
      <c r="E938" s="4" t="inlineStr">
        <is>
          <t>3º PAV. ESPAÇO THERMAS, PISCINA COBERTA, SAUNAS E VESTIÁRIOS</t>
        </is>
      </c>
      <c r="F938" s="119" t="n">
        <v>46430</v>
      </c>
      <c r="G938" s="119" t="n">
        <v>46443</v>
      </c>
      <c r="H938" s="119" t="n">
        <v>46293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IF(E938="","",IF(ISNUMBER(SEARCH("SUBSOLO",E938)),IFERROR(-VALUE(LEFT(E938,FIND("º",SUBSTITUTE(E938,"°","º"))-1)),-1),IF(LEFT(E938,6)="TÉRREO",0,IFERROR(VALUE(LEFT(E938,FIND("º",SUBSTITUTE(E938,"°","º"))-1)),""))))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27769018</v>
      </c>
      <c r="C939" s="4" t="inlineStr">
        <is>
          <t>EXECUÇÃO DE MURO</t>
        </is>
      </c>
      <c r="D939" s="4" t="inlineStr">
        <is>
          <t>-</t>
        </is>
      </c>
      <c r="E939" s="4" t="inlineStr">
        <is>
          <t>GERAL</t>
        </is>
      </c>
      <c r="F939" s="119" t="n">
        <v>46433</v>
      </c>
      <c r="G939" s="119" t="n">
        <v>46689</v>
      </c>
      <c r="H939" s="119" t="n">
        <v>46293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IF(E939="","",IF(ISNUMBER(SEARCH("SUBSOLO",E939)),IFERROR(-VALUE(LEFT(E939,FIND("º",SUBSTITUTE(E939,"°","º"))-1)),-1),IF(LEFT(E939,6)="TÉRREO",0,IFERROR(VALUE(LEFT(E939,FIND("º",SUBSTITUTE(E939,"°","º"))-1)),""))))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25210673</v>
      </c>
      <c r="C940" s="4" t="inlineStr">
        <is>
          <t>ALVENARIA</t>
        </is>
      </c>
      <c r="D940" s="4" t="inlineStr">
        <is>
          <t>-</t>
        </is>
      </c>
      <c r="E940" s="4" t="inlineStr">
        <is>
          <t>8º PAV. TIPO</t>
        </is>
      </c>
      <c r="F940" s="119" t="n">
        <v>46433</v>
      </c>
      <c r="G940" s="119" t="n">
        <v>46451</v>
      </c>
      <c r="H940" s="119" t="n">
        <v>46293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IF(E940="","",IF(ISNUMBER(SEARCH("SUBSOLO",E940)),IFERROR(-VALUE(LEFT(E940,FIND("º",SUBSTITUTE(E940,"°","º"))-1)),-1),IF(LEFT(E940,6)="TÉRREO",0,IFERROR(VALUE(LEFT(E940,FIND("º",SUBSTITUTE(E940,"°","º"))-1)),""))))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25210789</v>
      </c>
      <c r="C941" s="4" t="inlineStr">
        <is>
          <t>PRUMADA HIDROSSANITÁRIA</t>
        </is>
      </c>
      <c r="D941" s="4" t="inlineStr">
        <is>
          <t>-</t>
        </is>
      </c>
      <c r="E941" s="4" t="inlineStr">
        <is>
          <t>5º PAV. TIPO</t>
        </is>
      </c>
      <c r="F941" s="119" t="n">
        <v>46434</v>
      </c>
      <c r="G941" s="119" t="n">
        <v>46444</v>
      </c>
      <c r="H941" s="119" t="n">
        <v>46293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IF(E941="","",IF(ISNUMBER(SEARCH("SUBSOLO",E941)),IFERROR(-VALUE(LEFT(E941,FIND("º",SUBSTITUTE(E941,"°","º"))-1)),-1),IF(LEFT(E941,6)="TÉRREO",0,IFERROR(VALUE(LEFT(E941,FIND("º",SUBSTITUTE(E941,"°","º"))-1)),""))))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25210779</v>
      </c>
      <c r="C942" s="4" t="inlineStr">
        <is>
          <t>PRUMADA DE INCÊNDIO</t>
        </is>
      </c>
      <c r="D942" s="4" t="inlineStr">
        <is>
          <t>-</t>
        </is>
      </c>
      <c r="E942" s="4" t="inlineStr">
        <is>
          <t>5º PAV. TIPO</t>
        </is>
      </c>
      <c r="F942" s="119" t="n">
        <v>46434</v>
      </c>
      <c r="G942" s="119" t="n">
        <v>46444</v>
      </c>
      <c r="H942" s="119" t="n">
        <v>46293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IF(E942="","",IF(ISNUMBER(SEARCH("SUBSOLO",E942)),IFERROR(-VALUE(LEFT(E942,FIND("º",SUBSTITUTE(E942,"°","º"))-1)),-1),IF(LEFT(E942,6)="TÉRREO",0,IFERROR(VALUE(LEFT(E942,FIND("º",SUBSTITUTE(E942,"°","º"))-1)),""))))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25210582</v>
      </c>
      <c r="C943" s="4" t="inlineStr">
        <is>
          <t>IMPERMEABILIZAÇÃO INTERNA</t>
        </is>
      </c>
      <c r="D943" s="4" t="inlineStr">
        <is>
          <t>-</t>
        </is>
      </c>
      <c r="E943" s="4" t="inlineStr">
        <is>
          <t>11º PAV. TIPO</t>
        </is>
      </c>
      <c r="F943" s="119" t="n">
        <v>46434</v>
      </c>
      <c r="G943" s="119" t="n">
        <v>46444</v>
      </c>
      <c r="H943" s="119" t="n">
        <v>46293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IF(E943="","",IF(ISNUMBER(SEARCH("SUBSOLO",E943)),IFERROR(-VALUE(LEFT(E943,FIND("º",SUBSTITUTE(E943,"°","º"))-1)),-1),IF(LEFT(E943,6)="TÉRREO",0,IFERROR(VALUE(LEFT(E943,FIND("º",SUBSTITUTE(E943,"°","º"))-1)),""))))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25210362</v>
      </c>
      <c r="C944" s="4" t="inlineStr">
        <is>
          <t>CONTRAMARCO</t>
        </is>
      </c>
      <c r="D944" s="4" t="inlineStr">
        <is>
          <t>-</t>
        </is>
      </c>
      <c r="E944" s="4" t="inlineStr">
        <is>
          <t>17º PAV. TIPO</t>
        </is>
      </c>
      <c r="F944" s="119" t="n">
        <v>46434</v>
      </c>
      <c r="G944" s="119" t="n">
        <v>46444</v>
      </c>
      <c r="H944" s="119" t="n">
        <v>46293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IF(E944="","",IF(ISNUMBER(SEARCH("SUBSOLO",E944)),IFERROR(-VALUE(LEFT(E944,FIND("º",SUBSTITUTE(E944,"°","º"))-1)),-1),IF(LEFT(E944,6)="TÉRREO",0,IFERROR(VALUE(LEFT(E944,FIND("º",SUBSTITUTE(E944,"°","º"))-1)),""))))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29601291</v>
      </c>
      <c r="C945" s="4" t="inlineStr">
        <is>
          <t>ENCUNHAMENTO</t>
        </is>
      </c>
      <c r="D945" s="4" t="inlineStr">
        <is>
          <t>-</t>
        </is>
      </c>
      <c r="E945" s="4" t="inlineStr">
        <is>
          <t>17º PAV. TIPO</t>
        </is>
      </c>
      <c r="F945" s="119" t="n">
        <v>46434</v>
      </c>
      <c r="G945" s="119" t="n">
        <v>46444</v>
      </c>
      <c r="H945" s="119" t="n">
        <v>46293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IF(E945="","",IF(ISNUMBER(SEARCH("SUBSOLO",E945)),IFERROR(-VALUE(LEFT(E945,FIND("º",SUBSTITUTE(E945,"°","º"))-1)),-1),IF(LEFT(E945,6)="TÉRREO",0,IFERROR(VALUE(LEFT(E945,FIND("º",SUBSTITUTE(E945,"°","º"))-1)),""))))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25210760</v>
      </c>
      <c r="C946" s="4" t="inlineStr">
        <is>
          <t>REVESTIMENTOS PISO</t>
        </is>
      </c>
      <c r="D946" s="4" t="inlineStr">
        <is>
          <t>-</t>
        </is>
      </c>
      <c r="E946" s="4" t="inlineStr">
        <is>
          <t>6º PAV. TIPO</t>
        </is>
      </c>
      <c r="F946" s="119" t="n">
        <v>46435</v>
      </c>
      <c r="G946" s="119" t="n">
        <v>46448</v>
      </c>
      <c r="H946" s="119" t="n">
        <v>46293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IF(E946="","",IF(ISNUMBER(SEARCH("SUBSOLO",E946)),IFERROR(-VALUE(LEFT(E946,FIND("º",SUBSTITUTE(E946,"°","º"))-1)),-1),IF(LEFT(E946,6)="TÉRREO",0,IFERROR(VALUE(LEFT(E946,FIND("º",SUBSTITUTE(E946,"°","º"))-1)),""))))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27769242</v>
      </c>
      <c r="C947" s="4" t="inlineStr">
        <is>
          <t>PRUMADA ELÉTRICA INFRA</t>
        </is>
      </c>
      <c r="D947" s="4" t="inlineStr">
        <is>
          <t>-</t>
        </is>
      </c>
      <c r="E947" s="4" t="inlineStr">
        <is>
          <t>18º PAV. TIPO</t>
        </is>
      </c>
      <c r="F947" s="119" t="n">
        <v>46435</v>
      </c>
      <c r="G947" s="119" t="n">
        <v>46447</v>
      </c>
      <c r="H947" s="119" t="n">
        <v>46293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IF(E947="","",IF(ISNUMBER(SEARCH("SUBSOLO",E947)),IFERROR(-VALUE(LEFT(E947,FIND("º",SUBSTITUTE(E947,"°","º"))-1)),-1),IF(LEFT(E947,6)="TÉRREO",0,IFERROR(VALUE(LEFT(E947,FIND("º",SUBSTITUTE(E947,"°","º"))-1)),""))))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22139739</v>
      </c>
      <c r="C948" s="4" t="inlineStr">
        <is>
          <t>ESTRUTURA TORRE</t>
        </is>
      </c>
      <c r="D948" s="4" t="inlineStr">
        <is>
          <t>-</t>
        </is>
      </c>
      <c r="E948" s="4" t="inlineStr">
        <is>
          <t>27º PAV. -  DUPLEX SUPERIOR</t>
        </is>
      </c>
      <c r="F948" s="119" t="n">
        <v>46436</v>
      </c>
      <c r="G948" s="119" t="n">
        <v>46450</v>
      </c>
      <c r="H948" s="119" t="n">
        <v>46293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IF(E948="","",IF(ISNUMBER(SEARCH("SUBSOLO",E948)),IFERROR(-VALUE(LEFT(E948,FIND("º",SUBSTITUTE(E948,"°","º"))-1)),-1),IF(LEFT(E948,6)="TÉRREO",0,IFERROR(VALUE(LEFT(E948,FIND("º",SUBSTITUTE(E948,"°","º"))-1)),""))))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9877300</v>
      </c>
      <c r="C949" s="4" t="inlineStr">
        <is>
          <t>ESTRUTURA TORRE</t>
        </is>
      </c>
      <c r="D949" s="4" t="inlineStr">
        <is>
          <t>Forma Pilar</t>
        </is>
      </c>
      <c r="E949" s="4" t="inlineStr">
        <is>
          <t>27º PAV. -  DUPLEX SUPERIOR</t>
        </is>
      </c>
      <c r="F949" s="119" t="n">
        <v>46436</v>
      </c>
      <c r="G949" s="119" t="n">
        <v>46437</v>
      </c>
      <c r="H949" s="119" t="n">
        <v>46293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IF(E949="","",IF(ISNUMBER(SEARCH("SUBSOLO",E949)),IFERROR(-VALUE(LEFT(E949,FIND("º",SUBSTITUTE(E949,"°","º"))-1)),-1),IF(LEFT(E949,6)="TÉRREO",0,IFERROR(VALUE(LEFT(E949,FIND("º",SUBSTITUTE(E949,"°","º"))-1)),""))))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9877301</v>
      </c>
      <c r="C950" s="4" t="inlineStr">
        <is>
          <t>ESTRUTURA TORRE</t>
        </is>
      </c>
      <c r="D950" s="4" t="inlineStr">
        <is>
          <t>Armação Pilar</t>
        </is>
      </c>
      <c r="E950" s="4" t="inlineStr">
        <is>
          <t>27º PAV. -  DUPLEX SUPERIOR</t>
        </is>
      </c>
      <c r="F950" s="119" t="n">
        <v>46436</v>
      </c>
      <c r="G950" s="119" t="n">
        <v>46437</v>
      </c>
      <c r="H950" s="119" t="n">
        <v>46293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IF(E950="","",IF(ISNUMBER(SEARCH("SUBSOLO",E950)),IFERROR(-VALUE(LEFT(E950,FIND("º",SUBSTITUTE(E950,"°","º"))-1)),-1),IF(LEFT(E950,6)="TÉRREO",0,IFERROR(VALUE(LEFT(E950,FIND("º",SUBSTITUTE(E950,"°","º"))-1)),""))))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9877302</v>
      </c>
      <c r="C951" s="4" t="inlineStr">
        <is>
          <t>ESTRUTURA TORRE</t>
        </is>
      </c>
      <c r="D951" s="4" t="inlineStr">
        <is>
          <t>Escoramento</t>
        </is>
      </c>
      <c r="E951" s="4" t="inlineStr">
        <is>
          <t>27º PAV. -  DUPLEX SUPERIOR</t>
        </is>
      </c>
      <c r="F951" s="119" t="n">
        <v>46437</v>
      </c>
      <c r="G951" s="119" t="n">
        <v>46440</v>
      </c>
      <c r="H951" s="119" t="n">
        <v>46293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IF(E951="","",IF(ISNUMBER(SEARCH("SUBSOLO",E951)),IFERROR(-VALUE(LEFT(E951,FIND("º",SUBSTITUTE(E951,"°","º"))-1)),-1),IF(LEFT(E951,6)="TÉRREO",0,IFERROR(VALUE(LEFT(E951,FIND("º",SUBSTITUTE(E951,"°","º"))-1)),""))))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9877973</v>
      </c>
      <c r="C952" s="4" t="inlineStr">
        <is>
          <t>ESTRUTURA TORRE</t>
        </is>
      </c>
      <c r="D952" s="4" t="inlineStr">
        <is>
          <t>Concretagem Pilar</t>
        </is>
      </c>
      <c r="E952" s="4" t="inlineStr">
        <is>
          <t>27º PAV. -  DUPLEX SUPERIOR</t>
        </is>
      </c>
      <c r="F952" s="119" t="n">
        <v>46441</v>
      </c>
      <c r="G952" s="119" t="n">
        <v>46441</v>
      </c>
      <c r="H952" s="119" t="n">
        <v>46293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IF(E952="","",IF(ISNUMBER(SEARCH("SUBSOLO",E952)),IFERROR(-VALUE(LEFT(E952,FIND("º",SUBSTITUTE(E952,"°","º"))-1)),-1),IF(LEFT(E952,6)="TÉRREO",0,IFERROR(VALUE(LEFT(E952,FIND("º",SUBSTITUTE(E952,"°","º"))-1)),""))))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9877974</v>
      </c>
      <c r="C953" s="4" t="inlineStr">
        <is>
          <t>ESTRUTURA TORRE</t>
        </is>
      </c>
      <c r="D953" s="4" t="inlineStr">
        <is>
          <t>Forma Vigas e Lajes</t>
        </is>
      </c>
      <c r="E953" s="4" t="inlineStr">
        <is>
          <t>27º PAV. -  DUPLEX SUPERIOR</t>
        </is>
      </c>
      <c r="F953" s="119" t="n">
        <v>46442</v>
      </c>
      <c r="G953" s="119" t="n">
        <v>46447</v>
      </c>
      <c r="H953" s="119" t="n">
        <v>46293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IF(E953="","",IF(ISNUMBER(SEARCH("SUBSOLO",E953)),IFERROR(-VALUE(LEFT(E953,FIND("º",SUBSTITUTE(E953,"°","º"))-1)),-1),IF(LEFT(E953,6)="TÉRREO",0,IFERROR(VALUE(LEFT(E953,FIND("º",SUBSTITUTE(E953,"°","º"))-1)),""))))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9877975</v>
      </c>
      <c r="C954" s="4" t="inlineStr">
        <is>
          <t>ESTRUTURA TORRE</t>
        </is>
      </c>
      <c r="D954" s="4" t="inlineStr">
        <is>
          <t>Armação Vigas e Lajes</t>
        </is>
      </c>
      <c r="E954" s="4" t="inlineStr">
        <is>
          <t>27º PAV. -  DUPLEX SUPERIOR</t>
        </is>
      </c>
      <c r="F954" s="119" t="n">
        <v>46443</v>
      </c>
      <c r="G954" s="119" t="n">
        <v>46448</v>
      </c>
      <c r="H954" s="119" t="n">
        <v>46293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IF(E954="","",IF(ISNUMBER(SEARCH("SUBSOLO",E954)),IFERROR(-VALUE(LEFT(E954,FIND("º",SUBSTITUTE(E954,"°","º"))-1)),-1),IF(LEFT(E954,6)="TÉRREO",0,IFERROR(VALUE(LEFT(E954,FIND("º",SUBSTITUTE(E954,"°","º"))-1)),""))))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9877976</v>
      </c>
      <c r="C955" s="4" t="inlineStr">
        <is>
          <t>ESTRUTURA TORRE</t>
        </is>
      </c>
      <c r="D955" s="4" t="inlineStr">
        <is>
          <t>Passagem Hidráulica</t>
        </is>
      </c>
      <c r="E955" s="4" t="inlineStr">
        <is>
          <t>27º PAV. -  DUPLEX SUPERIOR</t>
        </is>
      </c>
      <c r="F955" s="119" t="n">
        <v>46447</v>
      </c>
      <c r="G955" s="119" t="n">
        <v>46447</v>
      </c>
      <c r="H955" s="119" t="n">
        <v>46293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IF(E955="","",IF(ISNUMBER(SEARCH("SUBSOLO",E955)),IFERROR(-VALUE(LEFT(E955,FIND("º",SUBSTITUTE(E955,"°","º"))-1)),-1),IF(LEFT(E955,6)="TÉRREO",0,IFERROR(VALUE(LEFT(E955,FIND("º",SUBSTITUTE(E955,"°","º"))-1)),""))))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9877977</v>
      </c>
      <c r="C956" s="4" t="inlineStr">
        <is>
          <t>ESTRUTURA TORRE</t>
        </is>
      </c>
      <c r="D956" s="4" t="inlineStr">
        <is>
          <t>Passagem Elétrica</t>
        </is>
      </c>
      <c r="E956" s="4" t="inlineStr">
        <is>
          <t>27º PAV. -  DUPLEX SUPERIOR</t>
        </is>
      </c>
      <c r="F956" s="119" t="n">
        <v>46447</v>
      </c>
      <c r="G956" s="119" t="n">
        <v>46447</v>
      </c>
      <c r="H956" s="119" t="n">
        <v>46293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IF(E956="","",IF(ISNUMBER(SEARCH("SUBSOLO",E956)),IFERROR(-VALUE(LEFT(E956,FIND("º",SUBSTITUTE(E956,"°","º"))-1)),-1),IF(LEFT(E956,6)="TÉRREO",0,IFERROR(VALUE(LEFT(E956,FIND("º",SUBSTITUTE(E956,"°","º"))-1)),""))))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9877978</v>
      </c>
      <c r="C957" s="4" t="inlineStr">
        <is>
          <t>ESTRUTURA TORRE</t>
        </is>
      </c>
      <c r="D957" s="4" t="inlineStr">
        <is>
          <t>Concretagem</t>
        </is>
      </c>
      <c r="E957" s="4" t="inlineStr">
        <is>
          <t>27º PAV. -  DUPLEX SUPERIOR</t>
        </is>
      </c>
      <c r="F957" s="119" t="n">
        <v>46448</v>
      </c>
      <c r="G957" s="119" t="n">
        <v>46450</v>
      </c>
      <c r="H957" s="119" t="n">
        <v>46293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IF(E957="","",IF(ISNUMBER(SEARCH("SUBSOLO",E957)),IFERROR(-VALUE(LEFT(E957,FIND("º",SUBSTITUTE(E957,"°","º"))-1)),-1),IF(LEFT(E957,6)="TÉRREO",0,IFERROR(VALUE(LEFT(E957,FIND("º",SUBSTITUTE(E957,"°","º"))-1)),""))))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25210821</v>
      </c>
      <c r="C958" s="4" t="inlineStr">
        <is>
          <t>DISTRIBUIÇÃO HIDROSSANITÁRIA</t>
        </is>
      </c>
      <c r="D958" s="4" t="inlineStr">
        <is>
          <t>-</t>
        </is>
      </c>
      <c r="E958" s="4" t="inlineStr">
        <is>
          <t>4° PAV. APTO GARDEN</t>
        </is>
      </c>
      <c r="F958" s="119" t="n">
        <v>46437</v>
      </c>
      <c r="G958" s="119" t="n">
        <v>46449</v>
      </c>
      <c r="H958" s="119" t="n">
        <v>46293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IF(E958="","",IF(ISNUMBER(SEARCH("SUBSOLO",E958)),IFERROR(-VALUE(LEFT(E958,FIND("º",SUBSTITUTE(E958,"°","º"))-1)),-1),IF(LEFT(E958,6)="TÉRREO",0,IFERROR(VALUE(LEFT(E958,FIND("º",SUBSTITUTE(E958,"°","º"))-1)),""))))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25210820</v>
      </c>
      <c r="C959" s="4" t="inlineStr">
        <is>
          <t>DISTRIBUIÇÃO ELÉTRICA / QUADRO - SETOR B</t>
        </is>
      </c>
      <c r="D959" s="4" t="inlineStr">
        <is>
          <t>-</t>
        </is>
      </c>
      <c r="E959" s="4" t="inlineStr">
        <is>
          <t>4° PAV. APTO GARDEN</t>
        </is>
      </c>
      <c r="F959" s="119" t="n">
        <v>46437</v>
      </c>
      <c r="G959" s="119" t="n">
        <v>46449</v>
      </c>
      <c r="H959" s="119" t="n">
        <v>46293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IF(E959="","",IF(ISNUMBER(SEARCH("SUBSOLO",E959)),IFERROR(-VALUE(LEFT(E959,FIND("º",SUBSTITUTE(E959,"°","º"))-1)),-1),IF(LEFT(E959,6)="TÉRREO",0,IFERROR(VALUE(LEFT(E959,FIND("º",SUBSTITUTE(E959,"°","º"))-1)),""))))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33276730</v>
      </c>
      <c r="C960" s="4" t="inlineStr">
        <is>
          <t>INFRAESTRUTURA ELÉTRICA - TETO</t>
        </is>
      </c>
      <c r="D960" s="4" t="inlineStr">
        <is>
          <t>-</t>
        </is>
      </c>
      <c r="E960" s="4" t="inlineStr">
        <is>
          <t>4° PAV. APTO GARDEN</t>
        </is>
      </c>
      <c r="F960" s="119" t="n">
        <v>46437</v>
      </c>
      <c r="G960" s="119" t="n">
        <v>46449</v>
      </c>
      <c r="H960" s="119" t="n">
        <v>46293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IF(E960="","",IF(ISNUMBER(SEARCH("SUBSOLO",E960)),IFERROR(-VALUE(LEFT(E960,FIND("º",SUBSTITUTE(E960,"°","º"))-1)),-1),IF(LEFT(E960,6)="TÉRREO",0,IFERROR(VALUE(LEFT(E960,FIND("º",SUBSTITUTE(E960,"°","º"))-1)),""))))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25799893</v>
      </c>
      <c r="C961" s="4" t="inlineStr">
        <is>
          <t>FIAÇÃO ELÉTRICA</t>
        </is>
      </c>
      <c r="D961" s="4" t="inlineStr">
        <is>
          <t>-</t>
        </is>
      </c>
      <c r="E961" s="4" t="inlineStr">
        <is>
          <t>3º PAV. - ACADEMIA</t>
        </is>
      </c>
      <c r="F961" s="119" t="n">
        <v>46440</v>
      </c>
      <c r="G961" s="119" t="n">
        <v>46458</v>
      </c>
      <c r="H961" s="119" t="n">
        <v>46293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IF(E961="","",IF(ISNUMBER(SEARCH("SUBSOLO",E961)),IFERROR(-VALUE(LEFT(E961,FIND("º",SUBSTITUTE(E961,"°","º"))-1)),-1),IF(LEFT(E961,6)="TÉRREO",0,IFERROR(VALUE(LEFT(E961,FIND("º",SUBSTITUTE(E961,"°","º"))-1)),""))))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25210616</v>
      </c>
      <c r="C962" s="4" t="inlineStr">
        <is>
          <t>CONTRAPISO</t>
        </is>
      </c>
      <c r="D962" s="4" t="inlineStr">
        <is>
          <t>-</t>
        </is>
      </c>
      <c r="E962" s="4" t="inlineStr">
        <is>
          <t>10º PAV. TIPO</t>
        </is>
      </c>
      <c r="F962" s="119" t="n">
        <v>46440</v>
      </c>
      <c r="G962" s="119" t="n">
        <v>46451</v>
      </c>
      <c r="H962" s="119" t="n">
        <v>46293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IF(E962="","",IF(ISNUMBER(SEARCH("SUBSOLO",E962)),IFERROR(-VALUE(LEFT(E962,FIND("º",SUBSTITUTE(E962,"°","º"))-1)),-1),IF(LEFT(E962,6)="TÉRREO",0,IFERROR(VALUE(LEFT(E962,FIND("º",SUBSTITUTE(E962,"°","º"))-1)),""))))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27765754</v>
      </c>
      <c r="C963" s="4" t="inlineStr">
        <is>
          <t>DRENO + ATERRO JARDINEIRAS</t>
        </is>
      </c>
      <c r="D963" s="4" t="inlineStr">
        <is>
          <t>-</t>
        </is>
      </c>
      <c r="E963" s="4" t="inlineStr">
        <is>
          <t>10º PAV. TIPO</t>
        </is>
      </c>
      <c r="F963" s="119" t="n">
        <v>46440</v>
      </c>
      <c r="G963" s="119" t="n">
        <v>46450</v>
      </c>
      <c r="H963" s="119" t="n">
        <v>46293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IF(E963="","",IF(ISNUMBER(SEARCH("SUBSOLO",E963)),IFERROR(-VALUE(LEFT(E963,FIND("º",SUBSTITUTE(E963,"°","º"))-1)),-1),IF(LEFT(E963,6)="TÉRREO",0,IFERROR(VALUE(LEFT(E963,FIND("º",SUBSTITUTE(E963,"°","º"))-1)),""))))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25210332</v>
      </c>
      <c r="C964" s="4" t="inlineStr">
        <is>
          <t>GÁS</t>
        </is>
      </c>
      <c r="D964" s="4" t="inlineStr">
        <is>
          <t>-</t>
        </is>
      </c>
      <c r="E964" s="4" t="inlineStr">
        <is>
          <t>18º PAV. TIPO</t>
        </is>
      </c>
      <c r="F964" s="119" t="n">
        <v>46440</v>
      </c>
      <c r="G964" s="119" t="n">
        <v>46450</v>
      </c>
      <c r="H964" s="119" t="n">
        <v>46293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IF(E964="","",IF(ISNUMBER(SEARCH("SUBSOLO",E964)),IFERROR(-VALUE(LEFT(E964,FIND("º",SUBSTITUTE(E964,"°","º"))-1)),-1),IF(LEFT(E964,6)="TÉRREO",0,IFERROR(VALUE(LEFT(E964,FIND("º",SUBSTITUTE(E964,"°","º"))-1)),""))))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29601300</v>
      </c>
      <c r="C965" s="4" t="inlineStr">
        <is>
          <t>TALISCAMENTO</t>
        </is>
      </c>
      <c r="D965" s="4" t="inlineStr">
        <is>
          <t>-</t>
        </is>
      </c>
      <c r="E965" s="4" t="inlineStr">
        <is>
          <t>18º PAV. TIPO</t>
        </is>
      </c>
      <c r="F965" s="119" t="n">
        <v>46440</v>
      </c>
      <c r="G965" s="119" t="n">
        <v>46450</v>
      </c>
      <c r="H965" s="119" t="n">
        <v>46293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IF(E965="","",IF(ISNUMBER(SEARCH("SUBSOLO",E965)),IFERROR(-VALUE(LEFT(E965,FIND("º",SUBSTITUTE(E965,"°","º"))-1)),-1),IF(LEFT(E965,6)="TÉRREO",0,IFERROR(VALUE(LEFT(E965,FIND("º",SUBSTITUTE(E965,"°","º"))-1)),""))))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33276107</v>
      </c>
      <c r="C966" s="4" t="inlineStr">
        <is>
          <t>INFRAESTRUTURA - AR CONDICIONADO</t>
        </is>
      </c>
      <c r="D966" s="4" t="inlineStr">
        <is>
          <t>-</t>
        </is>
      </c>
      <c r="E966" s="4" t="inlineStr">
        <is>
          <t>7º PAV. TIPO</t>
        </is>
      </c>
      <c r="F966" s="119" t="n">
        <v>46441</v>
      </c>
      <c r="G966" s="119" t="n">
        <v>46454</v>
      </c>
      <c r="H966" s="119" t="n">
        <v>46293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IF(E966="","",IF(ISNUMBER(SEARCH("SUBSOLO",E966)),IFERROR(-VALUE(LEFT(E966,FIND("º",SUBSTITUTE(E966,"°","º"))-1)),-1),IF(LEFT(E966,6)="TÉRREO",0,IFERROR(VALUE(LEFT(E966,FIND("º",SUBSTITUTE(E966,"°","º"))-1)),""))))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33278914</v>
      </c>
      <c r="C967" s="4" t="inlineStr">
        <is>
          <t>INFRAESTRUTURA ELÉTRICA - PAREDES</t>
        </is>
      </c>
      <c r="D967" s="4" t="inlineStr">
        <is>
          <t>-</t>
        </is>
      </c>
      <c r="E967" s="4" t="inlineStr">
        <is>
          <t>7º PAV. TIPO</t>
        </is>
      </c>
      <c r="F967" s="119" t="n">
        <v>46441</v>
      </c>
      <c r="G967" s="119" t="n">
        <v>46451</v>
      </c>
      <c r="H967" s="119" t="n">
        <v>46293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IF(E967="","",IF(ISNUMBER(SEARCH("SUBSOLO",E967)),IFERROR(-VALUE(LEFT(E967,FIND("º",SUBSTITUTE(E967,"°","º"))-1)),-1),IF(LEFT(E967,6)="TÉRREO",0,IFERROR(VALUE(LEFT(E967,FIND("º",SUBSTITUTE(E967,"°","º"))-1)),""))))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27769229</v>
      </c>
      <c r="C968" s="4" t="inlineStr">
        <is>
          <t>PRUMADA ELÉTRICA INFRA</t>
        </is>
      </c>
      <c r="D968" s="4" t="inlineStr">
        <is>
          <t>-</t>
        </is>
      </c>
      <c r="E968" s="4" t="inlineStr">
        <is>
          <t>5º PAV. TIPO</t>
        </is>
      </c>
      <c r="F968" s="119" t="n">
        <v>46442</v>
      </c>
      <c r="G968" s="119" t="n">
        <v>46454</v>
      </c>
      <c r="H968" s="119" t="n">
        <v>46293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IF(E968="","",IF(ISNUMBER(SEARCH("SUBSOLO",E968)),IFERROR(-VALUE(LEFT(E968,FIND("º",SUBSTITUTE(E968,"°","º"))-1)),-1),IF(LEFT(E968,6)="TÉRREO",0,IFERROR(VALUE(LEFT(E968,FIND("º",SUBSTITUTE(E968,"°","º"))-1)),""))))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25799862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3º PAV. PISCINA DESCOBERTA E E ÁREA DESCOBERTA PISCINA</t>
        </is>
      </c>
      <c r="F969" s="119" t="n">
        <v>46443</v>
      </c>
      <c r="G969" s="119" t="n">
        <v>46475</v>
      </c>
      <c r="H969" s="119" t="n">
        <v>46293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IF(E969="","",IF(ISNUMBER(SEARCH("SUBSOLO",E969)),IFERROR(-VALUE(LEFT(E969,FIND("º",SUBSTITUTE(E969,"°","º"))-1)),-1),IF(LEFT(E969,6)="TÉRREO",0,IFERROR(VALUE(LEFT(E969,FIND("º",SUBSTITUTE(E969,"°","º"))-1)),""))))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25210398</v>
      </c>
      <c r="C970" s="4" t="inlineStr">
        <is>
          <t>SHAFT INTERNO INST. HIDRAÚLICAS</t>
        </is>
      </c>
      <c r="D970" s="4" t="inlineStr">
        <is>
          <t>-</t>
        </is>
      </c>
      <c r="E970" s="4" t="inlineStr">
        <is>
          <t>16º PAV. TIPO</t>
        </is>
      </c>
      <c r="F970" s="119" t="n">
        <v>46443</v>
      </c>
      <c r="G970" s="119" t="n">
        <v>46455</v>
      </c>
      <c r="H970" s="119" t="n">
        <v>46293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IF(E970="","",IF(ISNUMBER(SEARCH("SUBSOLO",E970)),IFERROR(-VALUE(LEFT(E970,FIND("º",SUBSTITUTE(E970,"°","º"))-1)),-1),IF(LEFT(E970,6)="TÉRREO",0,IFERROR(VALUE(LEFT(E970,FIND("º",SUBSTITUTE(E970,"°","º"))-1)),""))))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25210787</v>
      </c>
      <c r="C971" s="4" t="inlineStr">
        <is>
          <t>GÁS</t>
        </is>
      </c>
      <c r="D971" s="4" t="inlineStr">
        <is>
          <t>-</t>
        </is>
      </c>
      <c r="E971" s="4" t="inlineStr">
        <is>
          <t>5º PAV. TIPO</t>
        </is>
      </c>
      <c r="F971" s="119" t="n">
        <v>46447</v>
      </c>
      <c r="G971" s="119" t="n">
        <v>46457</v>
      </c>
      <c r="H971" s="119" t="n">
        <v>46293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IF(E971="","",IF(ISNUMBER(SEARCH("SUBSOLO",E971)),IFERROR(-VALUE(LEFT(E971,FIND("º",SUBSTITUTE(E971,"°","º"))-1)),-1),IF(LEFT(E971,6)="TÉRREO",0,IFERROR(VALUE(LEFT(E971,FIND("º",SUBSTITUTE(E971,"°","º"))-1)),""))))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29601044</v>
      </c>
      <c r="C972" s="4" t="inlineStr">
        <is>
          <t>TALISCAMENTO</t>
        </is>
      </c>
      <c r="D972" s="4" t="inlineStr">
        <is>
          <t>-</t>
        </is>
      </c>
      <c r="E972" s="4" t="inlineStr">
        <is>
          <t>5º PAV. TIPO</t>
        </is>
      </c>
      <c r="F972" s="119" t="n">
        <v>46447</v>
      </c>
      <c r="G972" s="119" t="n">
        <v>46457</v>
      </c>
      <c r="H972" s="119" t="n">
        <v>46293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IF(E972="","",IF(ISNUMBER(SEARCH("SUBSOLO",E972)),IFERROR(-VALUE(LEFT(E972,FIND("º",SUBSTITUTE(E972,"°","º"))-1)),-1),IF(LEFT(E972,6)="TÉRREO",0,IFERROR(VALUE(LEFT(E972,FIND("º",SUBSTITUTE(E972,"°","º"))-1)),""))))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27762194</v>
      </c>
      <c r="C973" s="4" t="inlineStr">
        <is>
          <t>TRATAMENTO ACÚSTICO</t>
        </is>
      </c>
      <c r="D973" s="4" t="inlineStr">
        <is>
          <t>-</t>
        </is>
      </c>
      <c r="E973" s="4" t="inlineStr">
        <is>
          <t>11º PAV. TIPO</t>
        </is>
      </c>
      <c r="F973" s="119" t="n">
        <v>46447</v>
      </c>
      <c r="G973" s="119" t="n">
        <v>46447</v>
      </c>
      <c r="H973" s="119" t="n">
        <v>46293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IF(E973="","",IF(ISNUMBER(SEARCH("SUBSOLO",E973)),IFERROR(-VALUE(LEFT(E973,FIND("º",SUBSTITUTE(E973,"°","º"))-1)),-1),IF(LEFT(E973,6)="TÉRREO",0,IFERROR(VALUE(LEFT(E973,FIND("º",SUBSTITUTE(E973,"°","º"))-1)),""))))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25210368</v>
      </c>
      <c r="C974" s="4" t="inlineStr">
        <is>
          <t>REBOCO INTERNO</t>
        </is>
      </c>
      <c r="D974" s="4" t="inlineStr">
        <is>
          <t>-</t>
        </is>
      </c>
      <c r="E974" s="4" t="inlineStr">
        <is>
          <t>17º PAV. TIPO</t>
        </is>
      </c>
      <c r="F974" s="119" t="n">
        <v>46447</v>
      </c>
      <c r="G974" s="119" t="n">
        <v>46465</v>
      </c>
      <c r="H974" s="119" t="n">
        <v>46293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IF(E974="","",IF(ISNUMBER(SEARCH("SUBSOLO",E974)),IFERROR(-VALUE(LEFT(E974,FIND("º",SUBSTITUTE(E974,"°","º"))-1)),-1),IF(LEFT(E974,6)="TÉRREO",0,IFERROR(VALUE(LEFT(E974,FIND("º",SUBSTITUTE(E974,"°","º"))-1)),""))))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25210364</v>
      </c>
      <c r="C975" s="4" t="inlineStr">
        <is>
          <t>ESPALA ESQUADRIA DE ALUMINIO</t>
        </is>
      </c>
      <c r="D975" s="4" t="inlineStr">
        <is>
          <t>-</t>
        </is>
      </c>
      <c r="E975" s="4" t="inlineStr">
        <is>
          <t>17º PAV. TIPO</t>
        </is>
      </c>
      <c r="F975" s="119" t="n">
        <v>46447</v>
      </c>
      <c r="G975" s="119" t="n">
        <v>46451</v>
      </c>
      <c r="H975" s="119" t="n">
        <v>46293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IF(E975="","",IF(ISNUMBER(SEARCH("SUBSOLO",E975)),IFERROR(-VALUE(LEFT(E975,FIND("º",SUBSTITUTE(E975,"°","º"))-1)),-1),IF(LEFT(E975,6)="TÉRREO",0,IFERROR(VALUE(LEFT(E975,FIND("º",SUBSTITUTE(E975,"°","º"))-1)),""))))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25210570</v>
      </c>
      <c r="C976" s="4" t="inlineStr">
        <is>
          <t>IMPERMEABILIZAÇÃO VARANDA E JARDINEIRAS</t>
        </is>
      </c>
      <c r="D976" s="4" t="inlineStr">
        <is>
          <t>-</t>
        </is>
      </c>
      <c r="E976" s="4" t="inlineStr">
        <is>
          <t>11º PAV. TIPO</t>
        </is>
      </c>
      <c r="F976" s="119" t="n">
        <v>46448</v>
      </c>
      <c r="G976" s="119" t="n">
        <v>46458</v>
      </c>
      <c r="H976" s="119" t="n">
        <v>46293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IF(E976="","",IF(ISNUMBER(SEARCH("SUBSOLO",E976)),IFERROR(-VALUE(LEFT(E976,FIND("º",SUBSTITUTE(E976,"°","º"))-1)),-1),IF(LEFT(E976,6)="TÉRREO",0,IFERROR(VALUE(LEFT(E976,FIND("º",SUBSTITUTE(E976,"°","º"))-1)),""))))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25210739</v>
      </c>
      <c r="C977" s="4" t="inlineStr">
        <is>
          <t>BANCADAS</t>
        </is>
      </c>
      <c r="D977" s="4" t="inlineStr">
        <is>
          <t>-</t>
        </is>
      </c>
      <c r="E977" s="4" t="inlineStr">
        <is>
          <t>6º PAV. TIPO</t>
        </is>
      </c>
      <c r="F977" s="119" t="n">
        <v>46449</v>
      </c>
      <c r="G977" s="119" t="n">
        <v>46462</v>
      </c>
      <c r="H977" s="119" t="n">
        <v>46293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IF(E977="","",IF(ISNUMBER(SEARCH("SUBSOLO",E977)),IFERROR(-VALUE(LEFT(E977,FIND("º",SUBSTITUTE(E977,"°","º"))-1)),-1),IF(LEFT(E977,6)="TÉRREO",0,IFERROR(VALUE(LEFT(E977,FIND("º",SUBSTITUTE(E977,"°","º"))-1)),""))))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25210817</v>
      </c>
      <c r="C978" s="4" t="inlineStr">
        <is>
          <t>CONTRAMARCO</t>
        </is>
      </c>
      <c r="D978" s="4" t="inlineStr">
        <is>
          <t>-</t>
        </is>
      </c>
      <c r="E978" s="4" t="inlineStr">
        <is>
          <t>4° PAV. APTO GARDEN</t>
        </is>
      </c>
      <c r="F978" s="119" t="n">
        <v>46450</v>
      </c>
      <c r="G978" s="119" t="n">
        <v>46462</v>
      </c>
      <c r="H978" s="119" t="n">
        <v>46293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IF(E978="","",IF(ISNUMBER(SEARCH("SUBSOLO",E978)),IFERROR(-VALUE(LEFT(E978,FIND("º",SUBSTITUTE(E978,"°","º"))-1)),-1),IF(LEFT(E978,6)="TÉRREO",0,IFERROR(VALUE(LEFT(E978,FIND("º",SUBSTITUTE(E978,"°","º"))-1)),""))))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29601042</v>
      </c>
      <c r="C979" s="4" t="inlineStr">
        <is>
          <t>ENCUNHAMENTO</t>
        </is>
      </c>
      <c r="D979" s="4" t="inlineStr">
        <is>
          <t>-</t>
        </is>
      </c>
      <c r="E979" s="4" t="inlineStr">
        <is>
          <t>4° PAV. APTO GARDEN</t>
        </is>
      </c>
      <c r="F979" s="119" t="n">
        <v>46450</v>
      </c>
      <c r="G979" s="119" t="n">
        <v>46462</v>
      </c>
      <c r="H979" s="119" t="n">
        <v>46293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IF(E979="","",IF(ISNUMBER(SEARCH("SUBSOLO",E979)),IFERROR(-VALUE(LEFT(E979,FIND("º",SUBSTITUTE(E979,"°","º"))-1)),-1),IF(LEFT(E979,6)="TÉRREO",0,IFERROR(VALUE(LEFT(E979,FIND("º",SUBSTITUTE(E979,"°","º"))-1)),""))))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43846656</v>
      </c>
      <c r="C980" s="4" t="inlineStr">
        <is>
          <t>ALVENARIA EXTERNA</t>
        </is>
      </c>
      <c r="D980" s="4" t="inlineStr">
        <is>
          <t>-</t>
        </is>
      </c>
      <c r="E980" s="4" t="inlineStr">
        <is>
          <t>20º PAV. TIPO</t>
        </is>
      </c>
      <c r="F980" s="119" t="n">
        <v>46450</v>
      </c>
      <c r="G980" s="119" t="n">
        <v>46456</v>
      </c>
      <c r="H980" s="119" t="n">
        <v>46293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IF(E980="","",IF(ISNUMBER(SEARCH("SUBSOLO",E980)),IFERROR(-VALUE(LEFT(E980,FIND("º",SUBSTITUTE(E980,"°","º"))-1)),-1),IF(LEFT(E980,6)="TÉRREO",0,IFERROR(VALUE(LEFT(E980,FIND("º",SUBSTITUTE(E980,"°","º"))-1)),""))))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25210331</v>
      </c>
      <c r="C981" s="4" t="inlineStr">
        <is>
          <t>DISTRIBUIÇÃO HIDROSSANITÁRIA</t>
        </is>
      </c>
      <c r="D981" s="4" t="inlineStr">
        <is>
          <t>-</t>
        </is>
      </c>
      <c r="E981" s="4" t="inlineStr">
        <is>
          <t>18º PAV. TIPO</t>
        </is>
      </c>
      <c r="F981" s="119" t="n">
        <v>46451</v>
      </c>
      <c r="G981" s="119" t="n">
        <v>46463</v>
      </c>
      <c r="H981" s="119" t="n">
        <v>46293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IF(E981="","",IF(ISNUMBER(SEARCH("SUBSOLO",E981)),IFERROR(-VALUE(LEFT(E981,FIND("º",SUBSTITUTE(E981,"°","º"))-1)),-1),IF(LEFT(E981,6)="TÉRREO",0,IFERROR(VALUE(LEFT(E981,FIND("º",SUBSTITUTE(E981,"°","º"))-1)),""))))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25210330</v>
      </c>
      <c r="C982" s="4" t="inlineStr">
        <is>
          <t>DISTRIBUIÇÃO ELÉTRICA / QUADRO - SETOR B</t>
        </is>
      </c>
      <c r="D982" s="4" t="inlineStr">
        <is>
          <t>-</t>
        </is>
      </c>
      <c r="E982" s="4" t="inlineStr">
        <is>
          <t>18º PAV. TIPO</t>
        </is>
      </c>
      <c r="F982" s="119" t="n">
        <v>46451</v>
      </c>
      <c r="G982" s="119" t="n">
        <v>46463</v>
      </c>
      <c r="H982" s="119" t="n">
        <v>46293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IF(E982="","",IF(ISNUMBER(SEARCH("SUBSOLO",E982)),IFERROR(-VALUE(LEFT(E982,FIND("º",SUBSTITUTE(E982,"°","º"))-1)),-1),IF(LEFT(E982,6)="TÉRREO",0,IFERROR(VALUE(LEFT(E982,FIND("º",SUBSTITUTE(E982,"°","º"))-1)),""))))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33276744</v>
      </c>
      <c r="C983" s="4" t="inlineStr">
        <is>
          <t>INFRAESTRUTURA ELÉTRICA - TETO</t>
        </is>
      </c>
      <c r="D983" s="4" t="inlineStr">
        <is>
          <t>-</t>
        </is>
      </c>
      <c r="E983" s="4" t="inlineStr">
        <is>
          <t>18º PAV. TIPO</t>
        </is>
      </c>
      <c r="F983" s="119" t="n">
        <v>46451</v>
      </c>
      <c r="G983" s="119" t="n">
        <v>46463</v>
      </c>
      <c r="H983" s="119" t="n">
        <v>46293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IF(E983="","",IF(ISNUMBER(SEARCH("SUBSOLO",E983)),IFERROR(-VALUE(LEFT(E983,FIND("º",SUBSTITUTE(E983,"°","º"))-1)),-1),IF(LEFT(E983,6)="TÉRREO",0,IFERROR(VALUE(LEFT(E983,FIND("º",SUBSTITUTE(E983,"°","º"))-1)),""))))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22139740</v>
      </c>
      <c r="C984" s="4" t="inlineStr">
        <is>
          <t>ESTRUTURA TORRE</t>
        </is>
      </c>
      <c r="D984" s="4" t="inlineStr">
        <is>
          <t>-</t>
        </is>
      </c>
      <c r="E984" s="4" t="inlineStr">
        <is>
          <t>28º PAV. -  LAJE TÉCNICA</t>
        </is>
      </c>
      <c r="F984" s="119" t="n">
        <v>46451</v>
      </c>
      <c r="G984" s="119" t="n">
        <v>46465</v>
      </c>
      <c r="H984" s="119" t="n">
        <v>46293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IF(E984="","",IF(ISNUMBER(SEARCH("SUBSOLO",E984)),IFERROR(-VALUE(LEFT(E984,FIND("º",SUBSTITUTE(E984,"°","º"))-1)),-1),IF(LEFT(E984,6)="TÉRREO",0,IFERROR(VALUE(LEFT(E984,FIND("º",SUBSTITUTE(E984,"°","º"))-1)),""))))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9877308</v>
      </c>
      <c r="C985" s="4" t="inlineStr">
        <is>
          <t>ESTRUTURA TORRE</t>
        </is>
      </c>
      <c r="D985" s="4" t="inlineStr">
        <is>
          <t>Forma Pilar</t>
        </is>
      </c>
      <c r="E985" s="4" t="inlineStr">
        <is>
          <t>28º PAV. -  LAJE TÉCNICA</t>
        </is>
      </c>
      <c r="F985" s="119" t="n">
        <v>46451</v>
      </c>
      <c r="G985" s="119" t="n">
        <v>46454</v>
      </c>
      <c r="H985" s="119" t="n">
        <v>46293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IF(E985="","",IF(ISNUMBER(SEARCH("SUBSOLO",E985)),IFERROR(-VALUE(LEFT(E985,FIND("º",SUBSTITUTE(E985,"°","º"))-1)),-1),IF(LEFT(E985,6)="TÉRREO",0,IFERROR(VALUE(LEFT(E985,FIND("º",SUBSTITUTE(E985,"°","º"))-1)),""))))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9877309</v>
      </c>
      <c r="C986" s="4" t="inlineStr">
        <is>
          <t>ESTRUTURA TORRE</t>
        </is>
      </c>
      <c r="D986" s="4" t="inlineStr">
        <is>
          <t>Armação Pilar</t>
        </is>
      </c>
      <c r="E986" s="4" t="inlineStr">
        <is>
          <t>28º PAV. -  LAJE TÉCNICA</t>
        </is>
      </c>
      <c r="F986" s="119" t="n">
        <v>46451</v>
      </c>
      <c r="G986" s="119" t="n">
        <v>46454</v>
      </c>
      <c r="H986" s="119" t="n">
        <v>46293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IF(E986="","",IF(ISNUMBER(SEARCH("SUBSOLO",E986)),IFERROR(-VALUE(LEFT(E986,FIND("º",SUBSTITUTE(E986,"°","º"))-1)),-1),IF(LEFT(E986,6)="TÉRREO",0,IFERROR(VALUE(LEFT(E986,FIND("º",SUBSTITUTE(E986,"°","º"))-1)),""))))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9877310</v>
      </c>
      <c r="C987" s="4" t="inlineStr">
        <is>
          <t>ESTRUTURA TORRE</t>
        </is>
      </c>
      <c r="D987" s="4" t="inlineStr">
        <is>
          <t>Escoramento</t>
        </is>
      </c>
      <c r="E987" s="4" t="inlineStr">
        <is>
          <t>28º PAV. -  LAJE TÉCNICA</t>
        </is>
      </c>
      <c r="F987" s="119" t="n">
        <v>46454</v>
      </c>
      <c r="G987" s="119" t="n">
        <v>46455</v>
      </c>
      <c r="H987" s="119" t="n">
        <v>46293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IF(E987="","",IF(ISNUMBER(SEARCH("SUBSOLO",E987)),IFERROR(-VALUE(LEFT(E987,FIND("º",SUBSTITUTE(E987,"°","º"))-1)),-1),IF(LEFT(E987,6)="TÉRREO",0,IFERROR(VALUE(LEFT(E987,FIND("º",SUBSTITUTE(E987,"°","º"))-1)),""))))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9877992</v>
      </c>
      <c r="C988" s="4" t="inlineStr">
        <is>
          <t>ESTRUTURA TORRE</t>
        </is>
      </c>
      <c r="D988" s="4" t="inlineStr">
        <is>
          <t>Concretagem Pilar</t>
        </is>
      </c>
      <c r="E988" s="4" t="inlineStr">
        <is>
          <t>28º PAV. -  LAJE TÉCNICA</t>
        </is>
      </c>
      <c r="F988" s="119" t="n">
        <v>46456</v>
      </c>
      <c r="G988" s="119" t="n">
        <v>46456</v>
      </c>
      <c r="H988" s="119" t="n">
        <v>46293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IF(E988="","",IF(ISNUMBER(SEARCH("SUBSOLO",E988)),IFERROR(-VALUE(LEFT(E988,FIND("º",SUBSTITUTE(E988,"°","º"))-1)),-1),IF(LEFT(E988,6)="TÉRREO",0,IFERROR(VALUE(LEFT(E988,FIND("º",SUBSTITUTE(E988,"°","º"))-1)),""))))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9877993</v>
      </c>
      <c r="C989" s="4" t="inlineStr">
        <is>
          <t>ESTRUTURA TORRE</t>
        </is>
      </c>
      <c r="D989" s="4" t="inlineStr">
        <is>
          <t>Forma Vigas e Lajes</t>
        </is>
      </c>
      <c r="E989" s="4" t="inlineStr">
        <is>
          <t>28º PAV. -  LAJE TÉCNICA</t>
        </is>
      </c>
      <c r="F989" s="119" t="n">
        <v>46457</v>
      </c>
      <c r="G989" s="119" t="n">
        <v>46462</v>
      </c>
      <c r="H989" s="119" t="n">
        <v>46293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IF(E989="","",IF(ISNUMBER(SEARCH("SUBSOLO",E989)),IFERROR(-VALUE(LEFT(E989,FIND("º",SUBSTITUTE(E989,"°","º"))-1)),-1),IF(LEFT(E989,6)="TÉRREO",0,IFERROR(VALUE(LEFT(E989,FIND("º",SUBSTITUTE(E989,"°","º"))-1)),""))))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9877994</v>
      </c>
      <c r="C990" s="4" t="inlineStr">
        <is>
          <t>ESTRUTURA TORRE</t>
        </is>
      </c>
      <c r="D990" s="4" t="inlineStr">
        <is>
          <t>Armação Vigas e Lajes</t>
        </is>
      </c>
      <c r="E990" s="4" t="inlineStr">
        <is>
          <t>28º PAV. -  LAJE TÉCNICA</t>
        </is>
      </c>
      <c r="F990" s="119" t="n">
        <v>46458</v>
      </c>
      <c r="G990" s="119" t="n">
        <v>46463</v>
      </c>
      <c r="H990" s="119" t="n">
        <v>46293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IF(E990="","",IF(ISNUMBER(SEARCH("SUBSOLO",E990)),IFERROR(-VALUE(LEFT(E990,FIND("º",SUBSTITUTE(E990,"°","º"))-1)),-1),IF(LEFT(E990,6)="TÉRREO",0,IFERROR(VALUE(LEFT(E990,FIND("º",SUBSTITUTE(E990,"°","º"))-1)),""))))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9877995</v>
      </c>
      <c r="C991" s="4" t="inlineStr">
        <is>
          <t>ESTRUTURA TORRE</t>
        </is>
      </c>
      <c r="D991" s="4" t="inlineStr">
        <is>
          <t>Passagem Hidráulica</t>
        </is>
      </c>
      <c r="E991" s="4" t="inlineStr">
        <is>
          <t>28º PAV. -  LAJE TÉCNICA</t>
        </is>
      </c>
      <c r="F991" s="119" t="n">
        <v>46462</v>
      </c>
      <c r="G991" s="119" t="n">
        <v>46462</v>
      </c>
      <c r="H991" s="119" t="n">
        <v>46293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IF(E991="","",IF(ISNUMBER(SEARCH("SUBSOLO",E991)),IFERROR(-VALUE(LEFT(E991,FIND("º",SUBSTITUTE(E991,"°","º"))-1)),-1),IF(LEFT(E991,6)="TÉRREO",0,IFERROR(VALUE(LEFT(E991,FIND("º",SUBSTITUTE(E991,"°","º"))-1)),""))))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9877996</v>
      </c>
      <c r="C992" s="4" t="inlineStr">
        <is>
          <t>ESTRUTURA TORRE</t>
        </is>
      </c>
      <c r="D992" s="4" t="inlineStr">
        <is>
          <t>Passagem Elétrica</t>
        </is>
      </c>
      <c r="E992" s="4" t="inlineStr">
        <is>
          <t>28º PAV. -  LAJE TÉCNICA</t>
        </is>
      </c>
      <c r="F992" s="119" t="n">
        <v>46462</v>
      </c>
      <c r="G992" s="119" t="n">
        <v>46462</v>
      </c>
      <c r="H992" s="119" t="n">
        <v>46293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IF(E992="","",IF(ISNUMBER(SEARCH("SUBSOLO",E992)),IFERROR(-VALUE(LEFT(E992,FIND("º",SUBSTITUTE(E992,"°","º"))-1)),-1),IF(LEFT(E992,6)="TÉRREO",0,IFERROR(VALUE(LEFT(E992,FIND("º",SUBSTITUTE(E992,"°","º"))-1)),""))))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9877997</v>
      </c>
      <c r="C993" s="4" t="inlineStr">
        <is>
          <t>ESTRUTURA TORRE</t>
        </is>
      </c>
      <c r="D993" s="4" t="inlineStr">
        <is>
          <t>Concretagem</t>
        </is>
      </c>
      <c r="E993" s="4" t="inlineStr">
        <is>
          <t>28º PAV. -  LAJE TÉCNICA</t>
        </is>
      </c>
      <c r="F993" s="119" t="n">
        <v>46463</v>
      </c>
      <c r="G993" s="119" t="n">
        <v>46465</v>
      </c>
      <c r="H993" s="119" t="n">
        <v>46293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IF(E993="","",IF(ISNUMBER(SEARCH("SUBSOLO",E993)),IFERROR(-VALUE(LEFT(E993,FIND("º",SUBSTITUTE(E993,"°","º"))-1)),-1),IF(LEFT(E993,6)="TÉRREO",0,IFERROR(VALUE(LEFT(E993,FIND("º",SUBSTITUTE(E993,"°","º"))-1)),""))))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25210711</v>
      </c>
      <c r="C994" s="4" t="inlineStr">
        <is>
          <t>REVESTIMENTO PAREDE</t>
        </is>
      </c>
      <c r="D994" s="4" t="inlineStr">
        <is>
          <t>-</t>
        </is>
      </c>
      <c r="E994" s="4" t="inlineStr">
        <is>
          <t>7º PAV. TIPO</t>
        </is>
      </c>
      <c r="F994" s="119" t="n">
        <v>46454</v>
      </c>
      <c r="G994" s="119" t="n">
        <v>46465</v>
      </c>
      <c r="H994" s="119" t="n">
        <v>46293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IF(E994="","",IF(ISNUMBER(SEARCH("SUBSOLO",E994)),IFERROR(-VALUE(LEFT(E994,FIND("º",SUBSTITUTE(E994,"°","º"))-1)),-1),IF(LEFT(E994,6)="TÉRREO",0,IFERROR(VALUE(LEFT(E994,FIND("º",SUBSTITUTE(E994,"°","º"))-1)),""))))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25210638</v>
      </c>
      <c r="C995" s="4" t="inlineStr">
        <is>
          <t>ALVENARIA</t>
        </is>
      </c>
      <c r="D995" s="4" t="inlineStr">
        <is>
          <t>-</t>
        </is>
      </c>
      <c r="E995" s="4" t="inlineStr">
        <is>
          <t>9º PAV. TIPO</t>
        </is>
      </c>
      <c r="F995" s="119" t="n">
        <v>46454</v>
      </c>
      <c r="G995" s="119" t="n">
        <v>46475</v>
      </c>
      <c r="H995" s="119" t="n">
        <v>46293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IF(E995="","",IF(ISNUMBER(SEARCH("SUBSOLO",E995)),IFERROR(-VALUE(LEFT(E995,FIND("º",SUBSTITUTE(E995,"°","º"))-1)),-1),IF(LEFT(E995,6)="TÉRREO",0,IFERROR(VALUE(LEFT(E995,FIND("º",SUBSTITUTE(E995,"°","º"))-1)),""))))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33276110</v>
      </c>
      <c r="C996" s="4" t="inlineStr">
        <is>
          <t>INFRAESTRUTURA - AR CONDICIONADO</t>
        </is>
      </c>
      <c r="D996" s="4" t="inlineStr">
        <is>
          <t>-</t>
        </is>
      </c>
      <c r="E996" s="4" t="inlineStr">
        <is>
          <t>10º PAV. TIPO</t>
        </is>
      </c>
      <c r="F996" s="119" t="n">
        <v>46454</v>
      </c>
      <c r="G996" s="119" t="n">
        <v>46465</v>
      </c>
      <c r="H996" s="119" t="n">
        <v>46293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IF(E996="","",IF(ISNUMBER(SEARCH("SUBSOLO",E996)),IFERROR(-VALUE(LEFT(E996,FIND("º",SUBSTITUTE(E996,"°","º"))-1)),-1),IF(LEFT(E996,6)="TÉRREO",0,IFERROR(VALUE(LEFT(E996,FIND("º",SUBSTITUTE(E996,"°","º"))-1)),""))))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33278917</v>
      </c>
      <c r="C997" s="4" t="inlineStr">
        <is>
          <t>INFRAESTRUTURA ELÉTRICA - PAREDES</t>
        </is>
      </c>
      <c r="D997" s="4" t="inlineStr">
        <is>
          <t>-</t>
        </is>
      </c>
      <c r="E997" s="4" t="inlineStr">
        <is>
          <t>10º PAV. TIPO</t>
        </is>
      </c>
      <c r="F997" s="119" t="n">
        <v>46454</v>
      </c>
      <c r="G997" s="119" t="n">
        <v>46464</v>
      </c>
      <c r="H997" s="119" t="n">
        <v>46293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IF(E997="","",IF(ISNUMBER(SEARCH("SUBSOLO",E997)),IFERROR(-VALUE(LEFT(E997,FIND("º",SUBSTITUTE(E997,"°","º"))-1)),-1),IF(LEFT(E997,6)="TÉRREO",0,IFERROR(VALUE(LEFT(E997,FIND("º",SUBSTITUTE(E997,"°","º"))-1)),""))))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25210684</v>
      </c>
      <c r="C998" s="4" t="inlineStr">
        <is>
          <t>PRUMADA HIDROSSANITÁRIA</t>
        </is>
      </c>
      <c r="D998" s="4" t="inlineStr">
        <is>
          <t>-</t>
        </is>
      </c>
      <c r="E998" s="4" t="inlineStr">
        <is>
          <t>8º PAV. TIPO</t>
        </is>
      </c>
      <c r="F998" s="119" t="n">
        <v>46455</v>
      </c>
      <c r="G998" s="119" t="n">
        <v>46465</v>
      </c>
      <c r="H998" s="119" t="n">
        <v>46293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IF(E998="","",IF(ISNUMBER(SEARCH("SUBSOLO",E998)),IFERROR(-VALUE(LEFT(E998,FIND("º",SUBSTITUTE(E998,"°","º"))-1)),-1),IF(LEFT(E998,6)="TÉRREO",0,IFERROR(VALUE(LEFT(E998,FIND("º",SUBSTITUTE(E998,"°","º"))-1)),""))))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25210674</v>
      </c>
      <c r="C999" s="4" t="inlineStr">
        <is>
          <t>PRUMADA DE INCÊNDIO</t>
        </is>
      </c>
      <c r="D999" s="4" t="inlineStr">
        <is>
          <t>-</t>
        </is>
      </c>
      <c r="E999" s="4" t="inlineStr">
        <is>
          <t>8º PAV. TIPO</t>
        </is>
      </c>
      <c r="F999" s="119" t="n">
        <v>46455</v>
      </c>
      <c r="G999" s="119" t="n">
        <v>46465</v>
      </c>
      <c r="H999" s="119" t="n">
        <v>46293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IF(E999="","",IF(ISNUMBER(SEARCH("SUBSOLO",E999)),IFERROR(-VALUE(LEFT(E999,FIND("º",SUBSTITUTE(E999,"°","º"))-1)),-1),IF(LEFT(E999,6)="TÉRREO",0,IFERROR(VALUE(LEFT(E999,FIND("º",SUBSTITUTE(E999,"°","º"))-1)),""))))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25210407</v>
      </c>
      <c r="C1000" s="4" t="inlineStr">
        <is>
          <t>IMPERMEABILIZAÇÃO INTERNA</t>
        </is>
      </c>
      <c r="D1000" s="4" t="inlineStr">
        <is>
          <t>-</t>
        </is>
      </c>
      <c r="E1000" s="4" t="inlineStr">
        <is>
          <t>16º PAV. TIPO</t>
        </is>
      </c>
      <c r="F1000" s="119" t="n">
        <v>46456</v>
      </c>
      <c r="G1000" s="119" t="n">
        <v>46468</v>
      </c>
      <c r="H1000" s="119" t="n">
        <v>46293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IF(E1000="","",IF(ISNUMBER(SEARCH("SUBSOLO",E1000)),IFERROR(-VALUE(LEFT(E1000,FIND("º",SUBSTITUTE(E1000,"°","º"))-1)),-1),IF(LEFT(E1000,6)="TÉRREO",0,IFERROR(VALUE(LEFT(E1000,FIND("º",SUBSTITUTE(E1000,"°","º"))-1)),""))))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25210299</v>
      </c>
      <c r="C1001" s="4" t="inlineStr">
        <is>
          <t>PRUMADA HIDROSSANITÁRIA</t>
        </is>
      </c>
      <c r="D1001" s="4" t="inlineStr">
        <is>
          <t>-</t>
        </is>
      </c>
      <c r="E1001" s="4" t="inlineStr">
        <is>
          <t>19º PAV. TIPO</t>
        </is>
      </c>
      <c r="F1001" s="119" t="n">
        <v>46456</v>
      </c>
      <c r="G1001" s="119" t="n">
        <v>46468</v>
      </c>
      <c r="H1001" s="119" t="n">
        <v>46293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IF(E1001="","",IF(ISNUMBER(SEARCH("SUBSOLO",E1001)),IFERROR(-VALUE(LEFT(E1001,FIND("º",SUBSTITUTE(E1001,"°","º"))-1)),-1),IF(LEFT(E1001,6)="TÉRREO",0,IFERROR(VALUE(LEFT(E1001,FIND("º",SUBSTITUTE(E1001,"°","º"))-1)),""))))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25210253</v>
      </c>
      <c r="C1002" s="4" t="inlineStr">
        <is>
          <t>ALVENARIA</t>
        </is>
      </c>
      <c r="D1002" s="4" t="inlineStr">
        <is>
          <t>-</t>
        </is>
      </c>
      <c r="E1002" s="4" t="inlineStr">
        <is>
          <t>20º PAV. TIPO</t>
        </is>
      </c>
      <c r="F1002" s="119" t="n">
        <v>46457</v>
      </c>
      <c r="G1002" s="119" t="n">
        <v>46478</v>
      </c>
      <c r="H1002" s="119" t="n">
        <v>46293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IF(E1002="","",IF(ISNUMBER(SEARCH("SUBSOLO",E1002)),IFERROR(-VALUE(LEFT(E1002,FIND("º",SUBSTITUTE(E1002,"°","º"))-1)),-1),IF(LEFT(E1002,6)="TÉRREO",0,IFERROR(VALUE(LEFT(E1002,FIND("º",SUBSTITUTE(E1002,"°","º"))-1)),""))))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43846657</v>
      </c>
      <c r="C1003" s="4" t="inlineStr">
        <is>
          <t>ALVENARIA EXTERNA</t>
        </is>
      </c>
      <c r="D1003" s="4" t="inlineStr">
        <is>
          <t>-</t>
        </is>
      </c>
      <c r="E1003" s="4" t="inlineStr">
        <is>
          <t>21º PAV. TIPO</t>
        </is>
      </c>
      <c r="F1003" s="119" t="n">
        <v>46457</v>
      </c>
      <c r="G1003" s="119" t="n">
        <v>46463</v>
      </c>
      <c r="H1003" s="119" t="n">
        <v>46293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IF(E1003="","",IF(ISNUMBER(SEARCH("SUBSOLO",E1003)),IFERROR(-VALUE(LEFT(E1003,FIND("º",SUBSTITUTE(E1003,"°","º"))-1)),-1),IF(LEFT(E1003,6)="TÉRREO",0,IFERROR(VALUE(LEFT(E1003,FIND("º",SUBSTITUTE(E1003,"°","º"))-1)),""))))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25210786</v>
      </c>
      <c r="C1004" s="4" t="inlineStr">
        <is>
          <t>DISTRIBUIÇÃO HIDROSSANITÁRIA</t>
        </is>
      </c>
      <c r="D1004" s="4" t="inlineStr">
        <is>
          <t>-</t>
        </is>
      </c>
      <c r="E1004" s="4" t="inlineStr">
        <is>
          <t>5º PAV. TIPO</t>
        </is>
      </c>
      <c r="F1004" s="119" t="n">
        <v>46458</v>
      </c>
      <c r="G1004" s="119" t="n">
        <v>46470</v>
      </c>
      <c r="H1004" s="119" t="n">
        <v>46293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IF(E1004="","",IF(ISNUMBER(SEARCH("SUBSOLO",E1004)),IFERROR(-VALUE(LEFT(E1004,FIND("º",SUBSTITUTE(E1004,"°","º"))-1)),-1),IF(LEFT(E1004,6)="TÉRREO",0,IFERROR(VALUE(LEFT(E1004,FIND("º",SUBSTITUTE(E1004,"°","º"))-1)),""))))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25210785</v>
      </c>
      <c r="C1005" s="4" t="inlineStr">
        <is>
          <t>DISTRIBUIÇÃO ELÉTRICA / QUADRO - SETOR B</t>
        </is>
      </c>
      <c r="D1005" s="4" t="inlineStr">
        <is>
          <t>-</t>
        </is>
      </c>
      <c r="E1005" s="4" t="inlineStr">
        <is>
          <t>5º PAV. TIPO</t>
        </is>
      </c>
      <c r="F1005" s="119" t="n">
        <v>46458</v>
      </c>
      <c r="G1005" s="119" t="n">
        <v>46470</v>
      </c>
      <c r="H1005" s="119" t="n">
        <v>46293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IF(E1005="","",IF(ISNUMBER(SEARCH("SUBSOLO",E1005)),IFERROR(-VALUE(LEFT(E1005,FIND("º",SUBSTITUTE(E1005,"°","º"))-1)),-1),IF(LEFT(E1005,6)="TÉRREO",0,IFERROR(VALUE(LEFT(E1005,FIND("º",SUBSTITUTE(E1005,"°","º"))-1)),""))))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33276731</v>
      </c>
      <c r="C1006" s="4" t="inlineStr">
        <is>
          <t>INFRAESTRUTURA ELÉTRICA - TETO</t>
        </is>
      </c>
      <c r="D1006" s="4" t="inlineStr">
        <is>
          <t>-</t>
        </is>
      </c>
      <c r="E1006" s="4" t="inlineStr">
        <is>
          <t>5º PAV. TIPO</t>
        </is>
      </c>
      <c r="F1006" s="119" t="n">
        <v>46458</v>
      </c>
      <c r="G1006" s="119" t="n">
        <v>46470</v>
      </c>
      <c r="H1006" s="119" t="n">
        <v>46293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IF(E1006="","",IF(ISNUMBER(SEARCH("SUBSOLO",E1006)),IFERROR(-VALUE(LEFT(E1006,FIND("º",SUBSTITUTE(E1006,"°","º"))-1)),-1),IF(LEFT(E1006,6)="TÉRREO",0,IFERROR(VALUE(LEFT(E1006,FIND("º",SUBSTITUTE(E1006,"°","º"))-1)),""))))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27769886</v>
      </c>
      <c r="C1007" s="4" t="inlineStr">
        <is>
          <t>AR CONDICIONADO</t>
        </is>
      </c>
      <c r="D1007" s="4" t="inlineStr">
        <is>
          <t>-</t>
        </is>
      </c>
      <c r="E1007" s="4" t="inlineStr">
        <is>
          <t>3º PAV. - ACADEMIA</t>
        </is>
      </c>
      <c r="F1007" s="119" t="n">
        <v>46461</v>
      </c>
      <c r="G1007" s="119" t="n">
        <v>46475</v>
      </c>
      <c r="H1007" s="119" t="n">
        <v>46293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IF(E1007="","",IF(ISNUMBER(SEARCH("SUBSOLO",E1007)),IFERROR(-VALUE(LEFT(E1007,FIND("º",SUBSTITUTE(E1007,"°","º"))-1)),-1),IF(LEFT(E1007,6)="TÉRREO",0,IFERROR(VALUE(LEFT(E1007,FIND("º",SUBSTITUTE(E1007,"°","º"))-1)),""))))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25210581</v>
      </c>
      <c r="C1008" s="4" t="inlineStr">
        <is>
          <t>CONTRAPISO</t>
        </is>
      </c>
      <c r="D1008" s="4" t="inlineStr">
        <is>
          <t>-</t>
        </is>
      </c>
      <c r="E1008" s="4" t="inlineStr">
        <is>
          <t>11º PAV. TIPO</t>
        </is>
      </c>
      <c r="F1008" s="119" t="n">
        <v>46461</v>
      </c>
      <c r="G1008" s="119" t="n">
        <v>46475</v>
      </c>
      <c r="H1008" s="119" t="n">
        <v>46293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IF(E1008="","",IF(ISNUMBER(SEARCH("SUBSOLO",E1008)),IFERROR(-VALUE(LEFT(E1008,FIND("º",SUBSTITUTE(E1008,"°","º"))-1)),-1),IF(LEFT(E1008,6)="TÉRREO",0,IFERROR(VALUE(LEFT(E1008,FIND("º",SUBSTITUTE(E1008,"°","º"))-1)),""))))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27765755</v>
      </c>
      <c r="C1009" s="4" t="inlineStr">
        <is>
          <t>DRENO + ATERRO JARDINEIRAS</t>
        </is>
      </c>
      <c r="D1009" s="4" t="inlineStr">
        <is>
          <t>-</t>
        </is>
      </c>
      <c r="E1009" s="4" t="inlineStr">
        <is>
          <t>11º PAV. TIPO</t>
        </is>
      </c>
      <c r="F1009" s="119" t="n">
        <v>46461</v>
      </c>
      <c r="G1009" s="119" t="n">
        <v>46471</v>
      </c>
      <c r="H1009" s="119" t="n">
        <v>46293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IF(E1009="","",IF(ISNUMBER(SEARCH("SUBSOLO",E1009)),IFERROR(-VALUE(LEFT(E1009,FIND("º",SUBSTITUTE(E1009,"°","º"))-1)),-1),IF(LEFT(E1009,6)="TÉRREO",0,IFERROR(VALUE(LEFT(E1009,FIND("º",SUBSTITUTE(E1009,"°","º"))-1)),""))))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25807602</v>
      </c>
      <c r="C1010" s="4" t="inlineStr">
        <is>
          <t>REVESTIMENTOS PISO</t>
        </is>
      </c>
      <c r="D1010" s="4" t="inlineStr">
        <is>
          <t>-</t>
        </is>
      </c>
      <c r="E1010" s="4" t="inlineStr">
        <is>
          <t>3º PAV. ESPAÇO THERMAS, PISCINA COBERTA, SAUNAS E VESTIÁRIOS</t>
        </is>
      </c>
      <c r="F1010" s="119" t="n">
        <v>46462</v>
      </c>
      <c r="G1010" s="119" t="n">
        <v>46492</v>
      </c>
      <c r="H1010" s="119" t="n">
        <v>46293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IF(E1010="","",IF(ISNUMBER(SEARCH("SUBSOLO",E1010)),IFERROR(-VALUE(LEFT(E1010,FIND("º",SUBSTITUTE(E1010,"°","º"))-1)),-1),IF(LEFT(E1010,6)="TÉRREO",0,IFERROR(VALUE(LEFT(E1010,FIND("º",SUBSTITUTE(E1010,"°","º"))-1)),""))))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25807655</v>
      </c>
      <c r="C1011" s="4" t="inlineStr">
        <is>
          <t>PISCINA</t>
        </is>
      </c>
      <c r="D1011" s="4" t="inlineStr">
        <is>
          <t>-</t>
        </is>
      </c>
      <c r="E1011" s="4" t="inlineStr">
        <is>
          <t>3º PAV. ESPAÇO THERMAS, PISCINA COBERTA, SAUNAS E VESTIÁRIOS</t>
        </is>
      </c>
      <c r="F1011" s="119" t="n">
        <v>46462</v>
      </c>
      <c r="G1011" s="119" t="n">
        <v>46506</v>
      </c>
      <c r="H1011" s="119" t="n">
        <v>46293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IF(E1011="","",IF(ISNUMBER(SEARCH("SUBSOLO",E1011)),IFERROR(-VALUE(LEFT(E1011,FIND("º",SUBSTITUTE(E1011,"°","º"))-1)),-1),IF(LEFT(E1011,6)="TÉRREO",0,IFERROR(VALUE(LEFT(E1011,FIND("º",SUBSTITUTE(E1011,"°","º"))-1)),""))))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25210823</v>
      </c>
      <c r="C1012" s="4" t="inlineStr">
        <is>
          <t>REBOCO INTERNO</t>
        </is>
      </c>
      <c r="D1012" s="4" t="inlineStr">
        <is>
          <t>-</t>
        </is>
      </c>
      <c r="E1012" s="4" t="inlineStr">
        <is>
          <t>4° PAV. APTO GARDEN</t>
        </is>
      </c>
      <c r="F1012" s="119" t="n">
        <v>46463</v>
      </c>
      <c r="G1012" s="119" t="n">
        <v>46484</v>
      </c>
      <c r="H1012" s="119" t="n">
        <v>46293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IF(E1012="","",IF(ISNUMBER(SEARCH("SUBSOLO",E1012)),IFERROR(-VALUE(LEFT(E1012,FIND("º",SUBSTITUTE(E1012,"°","º"))-1)),-1),IF(LEFT(E1012,6)="TÉRREO",0,IFERROR(VALUE(LEFT(E1012,FIND("º",SUBSTITUTE(E1012,"°","º"))-1)),""))))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25210819</v>
      </c>
      <c r="C1013" s="4" t="inlineStr">
        <is>
          <t>ESPALA ESQUADRIA DE ALUMINIO</t>
        </is>
      </c>
      <c r="D1013" s="4" t="inlineStr">
        <is>
          <t>-</t>
        </is>
      </c>
      <c r="E1013" s="4" t="inlineStr">
        <is>
          <t>4° PAV. APTO GARDEN</t>
        </is>
      </c>
      <c r="F1013" s="119" t="n">
        <v>46463</v>
      </c>
      <c r="G1013" s="119" t="n">
        <v>46469</v>
      </c>
      <c r="H1013" s="119" t="n">
        <v>46293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IF(E1013="","",IF(ISNUMBER(SEARCH("SUBSOLO",E1013)),IFERROR(-VALUE(LEFT(E1013,FIND("º",SUBSTITUTE(E1013,"°","º"))-1)),-1),IF(LEFT(E1013,6)="TÉRREO",0,IFERROR(VALUE(LEFT(E1013,FIND("º",SUBSTITUTE(E1013,"°","º"))-1)),""))))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25210740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6º PAV. TIPO</t>
        </is>
      </c>
      <c r="F1014" s="119" t="n">
        <v>46463</v>
      </c>
      <c r="G1014" s="119" t="n">
        <v>46484</v>
      </c>
      <c r="H1014" s="119" t="n">
        <v>46293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IF(E1014="","",IF(ISNUMBER(SEARCH("SUBSOLO",E1014)),IFERROR(-VALUE(LEFT(E1014,FIND("º",SUBSTITUTE(E1014,"°","º"))-1)),-1),IF(LEFT(E1014,6)="TÉRREO",0,IFERROR(VALUE(LEFT(E1014,FIND("º",SUBSTITUTE(E1014,"°","º"))-1)),""))))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25210771</v>
      </c>
      <c r="C1015" s="4" t="inlineStr">
        <is>
          <t>VENTILAÇÃO / EXAUSTÃO</t>
        </is>
      </c>
      <c r="D1015" s="4" t="inlineStr">
        <is>
          <t>-</t>
        </is>
      </c>
      <c r="E1015" s="4" t="inlineStr">
        <is>
          <t>6º PAV. TIPO</t>
        </is>
      </c>
      <c r="F1015" s="119" t="n">
        <v>46463</v>
      </c>
      <c r="G1015" s="119" t="n">
        <v>46469</v>
      </c>
      <c r="H1015" s="119" t="n">
        <v>46293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IF(E1015="","",IF(ISNUMBER(SEARCH("SUBSOLO",E1015)),IFERROR(-VALUE(LEFT(E1015,FIND("º",SUBSTITUTE(E1015,"°","º"))-1)),-1),IF(LEFT(E1015,6)="TÉRREO",0,IFERROR(VALUE(LEFT(E1015,FIND("º",SUBSTITUTE(E1015,"°","º"))-1)),""))))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27769232</v>
      </c>
      <c r="C1016" s="4" t="inlineStr">
        <is>
          <t>PRUMADA ELÉTRICA INFRA</t>
        </is>
      </c>
      <c r="D1016" s="4" t="inlineStr">
        <is>
          <t>-</t>
        </is>
      </c>
      <c r="E1016" s="4" t="inlineStr">
        <is>
          <t>8º PAV. TIPO</t>
        </is>
      </c>
      <c r="F1016" s="119" t="n">
        <v>46463</v>
      </c>
      <c r="G1016" s="119" t="n">
        <v>46476</v>
      </c>
      <c r="H1016" s="119" t="n">
        <v>46293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IF(E1016="","",IF(ISNUMBER(SEARCH("SUBSOLO",E1016)),IFERROR(-VALUE(LEFT(E1016,FIND("º",SUBSTITUTE(E1016,"°","º"))-1)),-1),IF(LEFT(E1016,6)="TÉRREO",0,IFERROR(VALUE(LEFT(E1016,FIND("º",SUBSTITUTE(E1016,"°","º"))-1)),""))))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25210327</v>
      </c>
      <c r="C1017" s="4" t="inlineStr">
        <is>
          <t>CONTRAMARCO</t>
        </is>
      </c>
      <c r="D1017" s="4" t="inlineStr">
        <is>
          <t>-</t>
        </is>
      </c>
      <c r="E1017" s="4" t="inlineStr">
        <is>
          <t>18º PAV. TIPO</t>
        </is>
      </c>
      <c r="F1017" s="119" t="n">
        <v>46464</v>
      </c>
      <c r="G1017" s="119" t="n">
        <v>46477</v>
      </c>
      <c r="H1017" s="119" t="n">
        <v>46293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IF(E1017="","",IF(ISNUMBER(SEARCH("SUBSOLO",E1017)),IFERROR(-VALUE(LEFT(E1017,FIND("º",SUBSTITUTE(E1017,"°","º"))-1)),-1),IF(LEFT(E1017,6)="TÉRREO",0,IFERROR(VALUE(LEFT(E1017,FIND("º",SUBSTITUTE(E1017,"°","º"))-1)),""))))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29601290</v>
      </c>
      <c r="C1018" s="4" t="inlineStr">
        <is>
          <t>ENCUNHAMENTO</t>
        </is>
      </c>
      <c r="D1018" s="4" t="inlineStr">
        <is>
          <t>-</t>
        </is>
      </c>
      <c r="E1018" s="4" t="inlineStr">
        <is>
          <t>18º PAV. TIPO</t>
        </is>
      </c>
      <c r="F1018" s="119" t="n">
        <v>46464</v>
      </c>
      <c r="G1018" s="119" t="n">
        <v>46477</v>
      </c>
      <c r="H1018" s="119" t="n">
        <v>46293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IF(E1018="","",IF(ISNUMBER(SEARCH("SUBSOLO",E1018)),IFERROR(-VALUE(LEFT(E1018,FIND("º",SUBSTITUTE(E1018,"°","º"))-1)),-1),IF(LEFT(E1018,6)="TÉRREO",0,IFERROR(VALUE(LEFT(E1018,FIND("º",SUBSTITUTE(E1018,"°","º"))-1)),""))))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27769243</v>
      </c>
      <c r="C1019" s="4" t="inlineStr">
        <is>
          <t>PRUMADA ELÉTRICA INFRA</t>
        </is>
      </c>
      <c r="D1019" s="4" t="inlineStr">
        <is>
          <t>-</t>
        </is>
      </c>
      <c r="E1019" s="4" t="inlineStr">
        <is>
          <t>19º PAV. TIPO</t>
        </is>
      </c>
      <c r="F1019" s="119" t="n">
        <v>46464</v>
      </c>
      <c r="G1019" s="119" t="n">
        <v>46477</v>
      </c>
      <c r="H1019" s="119" t="n">
        <v>46293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IF(E1019="","",IF(ISNUMBER(SEARCH("SUBSOLO",E1019)),IFERROR(-VALUE(LEFT(E1019,FIND("º",SUBSTITUTE(E1019,"°","º"))-1)),-1),IF(LEFT(E1019,6)="TÉRREO",0,IFERROR(VALUE(LEFT(E1019,FIND("º",SUBSTITUTE(E1019,"°","º"))-1)),""))))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43846658</v>
      </c>
      <c r="C1020" s="4" t="inlineStr">
        <is>
          <t>ALVENARIA EXTERNA</t>
        </is>
      </c>
      <c r="D1020" s="4" t="inlineStr">
        <is>
          <t>-</t>
        </is>
      </c>
      <c r="E1020" s="4" t="inlineStr">
        <is>
          <t>22º PAV. TIPO</t>
        </is>
      </c>
      <c r="F1020" s="119" t="n">
        <v>46464</v>
      </c>
      <c r="G1020" s="119" t="n">
        <v>46470</v>
      </c>
      <c r="H1020" s="119" t="n">
        <v>46293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IF(E1020="","",IF(ISNUMBER(SEARCH("SUBSOLO",E1020)),IFERROR(-VALUE(LEFT(E1020,FIND("º",SUBSTITUTE(E1020,"°","º"))-1)),-1),IF(LEFT(E1020,6)="TÉRREO",0,IFERROR(VALUE(LEFT(E1020,FIND("º",SUBSTITUTE(E1020,"°","º"))-1)),""))))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25210725</v>
      </c>
      <c r="C1021" s="4" t="inlineStr">
        <is>
          <t>REVESTIMENTOS PISO</t>
        </is>
      </c>
      <c r="D1021" s="4" t="inlineStr">
        <is>
          <t>-</t>
        </is>
      </c>
      <c r="E1021" s="4" t="inlineStr">
        <is>
          <t>7º PAV. TIPO</t>
        </is>
      </c>
      <c r="F1021" s="119" t="n">
        <v>46468</v>
      </c>
      <c r="G1021" s="119" t="n">
        <v>46482</v>
      </c>
      <c r="H1021" s="119" t="n">
        <v>46293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IF(E1021="","",IF(ISNUMBER(SEARCH("SUBSOLO",E1021)),IFERROR(-VALUE(LEFT(E1021,FIND("º",SUBSTITUTE(E1021,"°","º"))-1)),-1),IF(LEFT(E1021,6)="TÉRREO",0,IFERROR(VALUE(LEFT(E1021,FIND("º",SUBSTITUTE(E1021,"°","º"))-1)),""))))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25210682</v>
      </c>
      <c r="C1022" s="4" t="inlineStr">
        <is>
          <t>GÁS</t>
        </is>
      </c>
      <c r="D1022" s="4" t="inlineStr">
        <is>
          <t>-</t>
        </is>
      </c>
      <c r="E1022" s="4" t="inlineStr">
        <is>
          <t>8º PAV. TIPO</t>
        </is>
      </c>
      <c r="F1022" s="119" t="n">
        <v>46468</v>
      </c>
      <c r="G1022" s="119" t="n">
        <v>46479</v>
      </c>
      <c r="H1022" s="119" t="n">
        <v>46293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IF(E1022="","",IF(ISNUMBER(SEARCH("SUBSOLO",E1022)),IFERROR(-VALUE(LEFT(E1022,FIND("º",SUBSTITUTE(E1022,"°","º"))-1)),-1),IF(LEFT(E1022,6)="TÉRREO",0,IFERROR(VALUE(LEFT(E1022,FIND("º",SUBSTITUTE(E1022,"°","º"))-1)),""))))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29601059</v>
      </c>
      <c r="C1023" s="4" t="inlineStr">
        <is>
          <t>TALISCAMENTO</t>
        </is>
      </c>
      <c r="D1023" s="4" t="inlineStr">
        <is>
          <t>-</t>
        </is>
      </c>
      <c r="E1023" s="4" t="inlineStr">
        <is>
          <t>8º PAV. TIPO</t>
        </is>
      </c>
      <c r="F1023" s="119" t="n">
        <v>46468</v>
      </c>
      <c r="G1023" s="119" t="n">
        <v>46479</v>
      </c>
      <c r="H1023" s="119" t="n">
        <v>46293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IF(E1023="","",IF(ISNUMBER(SEARCH("SUBSOLO",E1023)),IFERROR(-VALUE(LEFT(E1023,FIND("º",SUBSTITUTE(E1023,"°","º"))-1)),-1),IF(LEFT(E1023,6)="TÉRREO",0,IFERROR(VALUE(LEFT(E1023,FIND("º",SUBSTITUTE(E1023,"°","º"))-1)),""))))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25210606</v>
      </c>
      <c r="C1024" s="4" t="inlineStr">
        <is>
          <t>REVESTIMENTO PAREDE</t>
        </is>
      </c>
      <c r="D1024" s="4" t="inlineStr">
        <is>
          <t>-</t>
        </is>
      </c>
      <c r="E1024" s="4" t="inlineStr">
        <is>
          <t>10º PAV. TIPO</t>
        </is>
      </c>
      <c r="F1024" s="119" t="n">
        <v>46468</v>
      </c>
      <c r="G1024" s="119" t="n">
        <v>46482</v>
      </c>
      <c r="H1024" s="119" t="n">
        <v>46293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IF(E1024="","",IF(ISNUMBER(SEARCH("SUBSOLO",E1024)),IFERROR(-VALUE(LEFT(E1024,FIND("º",SUBSTITUTE(E1024,"°","º"))-1)),-1),IF(LEFT(E1024,6)="TÉRREO",0,IFERROR(VALUE(LEFT(E1024,FIND("º",SUBSTITUTE(E1024,"°","º"))-1)),""))))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25210363</v>
      </c>
      <c r="C1025" s="4" t="inlineStr">
        <is>
          <t>SHAFT INTERNO INST. HIDRAÚLICAS</t>
        </is>
      </c>
      <c r="D1025" s="4" t="inlineStr">
        <is>
          <t>-</t>
        </is>
      </c>
      <c r="E1025" s="4" t="inlineStr">
        <is>
          <t>17º PAV. TIPO</t>
        </is>
      </c>
      <c r="F1025" s="119" t="n">
        <v>46468</v>
      </c>
      <c r="G1025" s="119" t="n">
        <v>46479</v>
      </c>
      <c r="H1025" s="119" t="n">
        <v>46293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IF(E1025="","",IF(ISNUMBER(SEARCH("SUBSOLO",E1025)),IFERROR(-VALUE(LEFT(E1025,FIND("º",SUBSTITUTE(E1025,"°","º"))-1)),-1),IF(LEFT(E1025,6)="TÉRREO",0,IFERROR(VALUE(LEFT(E1025,FIND("º",SUBSTITUTE(E1025,"°","º"))-1)),""))))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22139741</v>
      </c>
      <c r="C1026" s="4" t="inlineStr">
        <is>
          <t>ESTRUTURA TORRE</t>
        </is>
      </c>
      <c r="D1026" s="4" t="inlineStr">
        <is>
          <t>-</t>
        </is>
      </c>
      <c r="E1026" s="4" t="inlineStr">
        <is>
          <t>29º PAV. -  BARRILETE</t>
        </is>
      </c>
      <c r="F1026" s="119" t="n">
        <v>46468</v>
      </c>
      <c r="G1026" s="119" t="n">
        <v>46483</v>
      </c>
      <c r="H1026" s="119" t="n">
        <v>46293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IF(E1026="","",IF(ISNUMBER(SEARCH("SUBSOLO",E1026)),IFERROR(-VALUE(LEFT(E1026,FIND("º",SUBSTITUTE(E1026,"°","º"))-1)),-1),IF(LEFT(E1026,6)="TÉRREO",0,IFERROR(VALUE(LEFT(E1026,FIND("º",SUBSTITUTE(E1026,"°","º"))-1)),""))))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9877316</v>
      </c>
      <c r="C1027" s="4" t="inlineStr">
        <is>
          <t>ESTRUTURA TORRE</t>
        </is>
      </c>
      <c r="D1027" s="4" t="inlineStr">
        <is>
          <t>Forma Pilar</t>
        </is>
      </c>
      <c r="E1027" s="4" t="inlineStr">
        <is>
          <t>29º PAV. -  BARRILETE</t>
        </is>
      </c>
      <c r="F1027" s="119" t="n">
        <v>46468</v>
      </c>
      <c r="G1027" s="119" t="n">
        <v>46469</v>
      </c>
      <c r="H1027" s="119" t="n">
        <v>46293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IF(E1027="","",IF(ISNUMBER(SEARCH("SUBSOLO",E1027)),IFERROR(-VALUE(LEFT(E1027,FIND("º",SUBSTITUTE(E1027,"°","º"))-1)),-1),IF(LEFT(E1027,6)="TÉRREO",0,IFERROR(VALUE(LEFT(E1027,FIND("º",SUBSTITUTE(E1027,"°","º"))-1)),""))))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9877317</v>
      </c>
      <c r="C1028" s="4" t="inlineStr">
        <is>
          <t>ESTRUTURA TORRE</t>
        </is>
      </c>
      <c r="D1028" s="4" t="inlineStr">
        <is>
          <t>Armação Pilar</t>
        </is>
      </c>
      <c r="E1028" s="4" t="inlineStr">
        <is>
          <t>29º PAV. -  BARRILETE</t>
        </is>
      </c>
      <c r="F1028" s="119" t="n">
        <v>46468</v>
      </c>
      <c r="G1028" s="119" t="n">
        <v>46469</v>
      </c>
      <c r="H1028" s="119" t="n">
        <v>46293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IF(E1028="","",IF(ISNUMBER(SEARCH("SUBSOLO",E1028)),IFERROR(-VALUE(LEFT(E1028,FIND("º",SUBSTITUTE(E1028,"°","º"))-1)),-1),IF(LEFT(E1028,6)="TÉRREO",0,IFERROR(VALUE(LEFT(E1028,FIND("º",SUBSTITUTE(E1028,"°","º"))-1)),""))))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9877318</v>
      </c>
      <c r="C1029" s="4" t="inlineStr">
        <is>
          <t>ESTRUTURA TORRE</t>
        </is>
      </c>
      <c r="D1029" s="4" t="inlineStr">
        <is>
          <t>Escoramento</t>
        </is>
      </c>
      <c r="E1029" s="4" t="inlineStr">
        <is>
          <t>29º PAV. -  BARRILETE</t>
        </is>
      </c>
      <c r="F1029" s="119" t="n">
        <v>46469</v>
      </c>
      <c r="G1029" s="119" t="n">
        <v>46470</v>
      </c>
      <c r="H1029" s="119" t="n">
        <v>46293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IF(E1029="","",IF(ISNUMBER(SEARCH("SUBSOLO",E1029)),IFERROR(-VALUE(LEFT(E1029,FIND("º",SUBSTITUTE(E1029,"°","º"))-1)),-1),IF(LEFT(E1029,6)="TÉRREO",0,IFERROR(VALUE(LEFT(E1029,FIND("º",SUBSTITUTE(E1029,"°","º"))-1)),""))))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9877998</v>
      </c>
      <c r="C1030" s="4" t="inlineStr">
        <is>
          <t>ESTRUTURA TORRE</t>
        </is>
      </c>
      <c r="D1030" s="4" t="inlineStr">
        <is>
          <t>Concretagem Pilar</t>
        </is>
      </c>
      <c r="E1030" s="4" t="inlineStr">
        <is>
          <t>29º PAV. -  BARRILETE</t>
        </is>
      </c>
      <c r="F1030" s="119" t="n">
        <v>46471</v>
      </c>
      <c r="G1030" s="119" t="n">
        <v>46471</v>
      </c>
      <c r="H1030" s="119" t="n">
        <v>46293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IF(E1030="","",IF(ISNUMBER(SEARCH("SUBSOLO",E1030)),IFERROR(-VALUE(LEFT(E1030,FIND("º",SUBSTITUTE(E1030,"°","º"))-1)),-1),IF(LEFT(E1030,6)="TÉRREO",0,IFERROR(VALUE(LEFT(E1030,FIND("º",SUBSTITUTE(E1030,"°","º"))-1)),""))))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9877999</v>
      </c>
      <c r="C1031" s="4" t="inlineStr">
        <is>
          <t>ESTRUTURA TORRE</t>
        </is>
      </c>
      <c r="D1031" s="4" t="inlineStr">
        <is>
          <t>Forma Vigas e Lajes</t>
        </is>
      </c>
      <c r="E1031" s="4" t="inlineStr">
        <is>
          <t>29º PAV. -  BARRILETE</t>
        </is>
      </c>
      <c r="F1031" s="119" t="n">
        <v>46475</v>
      </c>
      <c r="G1031" s="119" t="n">
        <v>46477</v>
      </c>
      <c r="H1031" s="119" t="n">
        <v>46293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IF(E1031="","",IF(ISNUMBER(SEARCH("SUBSOLO",E1031)),IFERROR(-VALUE(LEFT(E1031,FIND("º",SUBSTITUTE(E1031,"°","º"))-1)),-1),IF(LEFT(E1031,6)="TÉRREO",0,IFERROR(VALUE(LEFT(E1031,FIND("º",SUBSTITUTE(E1031,"°","º"))-1)),""))))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9878000</v>
      </c>
      <c r="C1032" s="4" t="inlineStr">
        <is>
          <t>ESTRUTURA TORRE</t>
        </is>
      </c>
      <c r="D1032" s="4" t="inlineStr">
        <is>
          <t>Armação Vigas e Lajes</t>
        </is>
      </c>
      <c r="E1032" s="4" t="inlineStr">
        <is>
          <t>29º PAV. -  BARRILETE</t>
        </is>
      </c>
      <c r="F1032" s="119" t="n">
        <v>46476</v>
      </c>
      <c r="G1032" s="119" t="n">
        <v>46477</v>
      </c>
      <c r="H1032" s="119" t="n">
        <v>46293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IF(E1032="","",IF(ISNUMBER(SEARCH("SUBSOLO",E1032)),IFERROR(-VALUE(LEFT(E1032,FIND("º",SUBSTITUTE(E1032,"°","º"))-1)),-1),IF(LEFT(E1032,6)="TÉRREO",0,IFERROR(VALUE(LEFT(E1032,FIND("º",SUBSTITUTE(E1032,"°","º"))-1)),""))))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9878001</v>
      </c>
      <c r="C1033" s="4" t="inlineStr">
        <is>
          <t>ESTRUTURA TORRE</t>
        </is>
      </c>
      <c r="D1033" s="4" t="inlineStr">
        <is>
          <t>Passagem Hidráulica</t>
        </is>
      </c>
      <c r="E1033" s="4" t="inlineStr">
        <is>
          <t>29º PAV. -  BARRILETE</t>
        </is>
      </c>
      <c r="F1033" s="119" t="n">
        <v>46476</v>
      </c>
      <c r="G1033" s="119" t="n">
        <v>46476</v>
      </c>
      <c r="H1033" s="119" t="n">
        <v>46293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IF(E1033="","",IF(ISNUMBER(SEARCH("SUBSOLO",E1033)),IFERROR(-VALUE(LEFT(E1033,FIND("º",SUBSTITUTE(E1033,"°","º"))-1)),-1),IF(LEFT(E1033,6)="TÉRREO",0,IFERROR(VALUE(LEFT(E1033,FIND("º",SUBSTITUTE(E1033,"°","º"))-1)),""))))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9878002</v>
      </c>
      <c r="C1034" s="4" t="inlineStr">
        <is>
          <t>ESTRUTURA TORRE</t>
        </is>
      </c>
      <c r="D1034" s="4" t="inlineStr">
        <is>
          <t>Passagem Elétrica</t>
        </is>
      </c>
      <c r="E1034" s="4" t="inlineStr">
        <is>
          <t>29º PAV. -  BARRILETE</t>
        </is>
      </c>
      <c r="F1034" s="119" t="n">
        <v>46476</v>
      </c>
      <c r="G1034" s="119" t="n">
        <v>46476</v>
      </c>
      <c r="H1034" s="119" t="n">
        <v>46293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IF(E1034="","",IF(ISNUMBER(SEARCH("SUBSOLO",E1034)),IFERROR(-VALUE(LEFT(E1034,FIND("º",SUBSTITUTE(E1034,"°","º"))-1)),-1),IF(LEFT(E1034,6)="TÉRREO",0,IFERROR(VALUE(LEFT(E1034,FIND("º",SUBSTITUTE(E1034,"°","º"))-1)),""))))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9878003</v>
      </c>
      <c r="C1035" s="4" t="inlineStr">
        <is>
          <t>ESTRUTURA TORRE</t>
        </is>
      </c>
      <c r="D1035" s="4" t="inlineStr">
        <is>
          <t>Concretagem</t>
        </is>
      </c>
      <c r="E1035" s="4" t="inlineStr">
        <is>
          <t>29º PAV. -  BARRILETE</t>
        </is>
      </c>
      <c r="F1035" s="119" t="n">
        <v>46477</v>
      </c>
      <c r="G1035" s="119" t="n">
        <v>46483</v>
      </c>
      <c r="H1035" s="119" t="n">
        <v>46293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IF(E1035="","",IF(ISNUMBER(SEARCH("SUBSOLO",E1035)),IFERROR(-VALUE(LEFT(E1035,FIND("º",SUBSTITUTE(E1035,"°","º"))-1)),-1),IF(LEFT(E1035,6)="TÉRREO",0,IFERROR(VALUE(LEFT(E1035,FIND("º",SUBSTITUTE(E1035,"°","º"))-1)),""))))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27762199</v>
      </c>
      <c r="C1036" s="4" t="inlineStr">
        <is>
          <t>TRATAMENTO ACÚSTICO</t>
        </is>
      </c>
      <c r="D1036" s="4" t="inlineStr">
        <is>
          <t>-</t>
        </is>
      </c>
      <c r="E1036" s="4" t="inlineStr">
        <is>
          <t>16º PAV. TIPO</t>
        </is>
      </c>
      <c r="F1036" s="119" t="n">
        <v>46469</v>
      </c>
      <c r="G1036" s="119" t="n">
        <v>46469</v>
      </c>
      <c r="H1036" s="119" t="n">
        <v>46293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IF(E1036="","",IF(ISNUMBER(SEARCH("SUBSOLO",E1036)),IFERROR(-VALUE(LEFT(E1036,FIND("º",SUBSTITUTE(E1036,"°","º"))-1)),-1),IF(LEFT(E1036,6)="TÉRREO",0,IFERROR(VALUE(LEFT(E1036,FIND("º",SUBSTITUTE(E1036,"°","º"))-1)),""))))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25210297</v>
      </c>
      <c r="C1037" s="4" t="inlineStr">
        <is>
          <t>GÁS</t>
        </is>
      </c>
      <c r="D1037" s="4" t="inlineStr">
        <is>
          <t>-</t>
        </is>
      </c>
      <c r="E1037" s="4" t="inlineStr">
        <is>
          <t>19º PAV. TIPO</t>
        </is>
      </c>
      <c r="F1037" s="119" t="n">
        <v>46469</v>
      </c>
      <c r="G1037" s="119" t="n">
        <v>46482</v>
      </c>
      <c r="H1037" s="119" t="n">
        <v>46293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IF(E1037="","",IF(ISNUMBER(SEARCH("SUBSOLO",E1037)),IFERROR(-VALUE(LEFT(E1037,FIND("º",SUBSTITUTE(E1037,"°","º"))-1)),-1),IF(LEFT(E1037,6)="TÉRREO",0,IFERROR(VALUE(LEFT(E1037,FIND("º",SUBSTITUTE(E1037,"°","º"))-1)),""))))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29601301</v>
      </c>
      <c r="C1038" s="4" t="inlineStr">
        <is>
          <t>TALISCAMENTO</t>
        </is>
      </c>
      <c r="D1038" s="4" t="inlineStr">
        <is>
          <t>-</t>
        </is>
      </c>
      <c r="E1038" s="4" t="inlineStr">
        <is>
          <t>19º PAV. TIPO</t>
        </is>
      </c>
      <c r="F1038" s="119" t="n">
        <v>46469</v>
      </c>
      <c r="G1038" s="119" t="n">
        <v>46482</v>
      </c>
      <c r="H1038" s="119" t="n">
        <v>46293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IF(E1038="","",IF(ISNUMBER(SEARCH("SUBSOLO",E1038)),IFERROR(-VALUE(LEFT(E1038,FIND("º",SUBSTITUTE(E1038,"°","º"))-1)),-1),IF(LEFT(E1038,6)="TÉRREO",0,IFERROR(VALUE(LEFT(E1038,FIND("º",SUBSTITUTE(E1038,"°","º"))-1)),""))))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25210395</v>
      </c>
      <c r="C1039" s="4" t="inlineStr">
        <is>
          <t>IMPERMEABILIZAÇÃO VARANDA E JARDINEIRAS</t>
        </is>
      </c>
      <c r="D1039" s="4" t="inlineStr">
        <is>
          <t>-</t>
        </is>
      </c>
      <c r="E1039" s="4" t="inlineStr">
        <is>
          <t>16º PAV. TIPO</t>
        </is>
      </c>
      <c r="F1039" s="119" t="n">
        <v>46470</v>
      </c>
      <c r="G1039" s="119" t="n">
        <v>46483</v>
      </c>
      <c r="H1039" s="119" t="n">
        <v>46293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IF(E1039="","",IF(ISNUMBER(SEARCH("SUBSOLO",E1039)),IFERROR(-VALUE(LEFT(E1039,FIND("º",SUBSTITUTE(E1039,"°","º"))-1)),-1),IF(LEFT(E1039,6)="TÉRREO",0,IFERROR(VALUE(LEFT(E1039,FIND("º",SUBSTITUTE(E1039,"°","º"))-1)),""))))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25210289</v>
      </c>
      <c r="C1040" s="4" t="inlineStr">
        <is>
          <t>PRUMADA DE INCÊNDIO</t>
        </is>
      </c>
      <c r="D1040" s="4" t="inlineStr">
        <is>
          <t>-</t>
        </is>
      </c>
      <c r="E1040" s="4" t="inlineStr">
        <is>
          <t>19º PAV. TIPO</t>
        </is>
      </c>
      <c r="F1040" s="119" t="n">
        <v>46470</v>
      </c>
      <c r="G1040" s="119" t="n">
        <v>46483</v>
      </c>
      <c r="H1040" s="119" t="n">
        <v>46293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IF(E1040="","",IF(ISNUMBER(SEARCH("SUBSOLO",E1040)),IFERROR(-VALUE(LEFT(E1040,FIND("º",SUBSTITUTE(E1040,"°","º"))-1)),-1),IF(LEFT(E1040,6)="TÉRREO",0,IFERROR(VALUE(LEFT(E1040,FIND("º",SUBSTITUTE(E1040,"°","º"))-1)),""))))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25210782</v>
      </c>
      <c r="C1041" s="4" t="inlineStr">
        <is>
          <t>CONTRAMARCO</t>
        </is>
      </c>
      <c r="D1041" s="4" t="inlineStr">
        <is>
          <t>-</t>
        </is>
      </c>
      <c r="E1041" s="4" t="inlineStr">
        <is>
          <t>5º PAV. TIPO</t>
        </is>
      </c>
      <c r="F1041" s="119" t="n">
        <v>46471</v>
      </c>
      <c r="G1041" s="119" t="n">
        <v>46484</v>
      </c>
      <c r="H1041" s="119" t="n">
        <v>46293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IF(E1041="","",IF(ISNUMBER(SEARCH("SUBSOLO",E1041)),IFERROR(-VALUE(LEFT(E1041,FIND("º",SUBSTITUTE(E1041,"°","º"))-1)),-1),IF(LEFT(E1041,6)="TÉRREO",0,IFERROR(VALUE(LEFT(E1041,FIND("º",SUBSTITUTE(E1041,"°","º"))-1)),""))))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29601045</v>
      </c>
      <c r="C1042" s="4" t="inlineStr">
        <is>
          <t>ENCUNHAMENTO</t>
        </is>
      </c>
      <c r="D1042" s="4" t="inlineStr">
        <is>
          <t>-</t>
        </is>
      </c>
      <c r="E1042" s="4" t="inlineStr">
        <is>
          <t>5º PAV. TIPO</t>
        </is>
      </c>
      <c r="F1042" s="119" t="n">
        <v>46471</v>
      </c>
      <c r="G1042" s="119" t="n">
        <v>46484</v>
      </c>
      <c r="H1042" s="119" t="n">
        <v>46293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IF(E1042="","",IF(ISNUMBER(SEARCH("SUBSOLO",E1042)),IFERROR(-VALUE(LEFT(E1042,FIND("º",SUBSTITUTE(E1042,"°","º"))-1)),-1),IF(LEFT(E1042,6)="TÉRREO",0,IFERROR(VALUE(LEFT(E1042,FIND("º",SUBSTITUTE(E1042,"°","º"))-1)),""))))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43846659</v>
      </c>
      <c r="C1043" s="4" t="inlineStr">
        <is>
          <t>ALVENARIA EXTERNA</t>
        </is>
      </c>
      <c r="D1043" s="4" t="inlineStr">
        <is>
          <t>-</t>
        </is>
      </c>
      <c r="E1043" s="4" t="inlineStr">
        <is>
          <t>23º PAV. TIPO</t>
        </is>
      </c>
      <c r="F1043" s="119" t="n">
        <v>46471</v>
      </c>
      <c r="G1043" s="119" t="n">
        <v>46478</v>
      </c>
      <c r="H1043" s="119" t="n">
        <v>46293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IF(E1043="","",IF(ISNUMBER(SEARCH("SUBSOLO",E1043)),IFERROR(-VALUE(LEFT(E1043,FIND("º",SUBSTITUTE(E1043,"°","º"))-1)),-1),IF(LEFT(E1043,6)="TÉRREO",0,IFERROR(VALUE(LEFT(E1043,FIND("º",SUBSTITUTE(E1043,"°","º"))-1)),""))))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25799914</v>
      </c>
      <c r="C1044" s="4" t="inlineStr">
        <is>
          <t>PISCINA</t>
        </is>
      </c>
      <c r="D1044" s="4" t="inlineStr">
        <is>
          <t>-</t>
        </is>
      </c>
      <c r="E1044" s="4" t="inlineStr">
        <is>
          <t>3º PAV. PISCINA DESCOBERTA E E ÁREA DESCOBERTA PISCINA</t>
        </is>
      </c>
      <c r="F1044" s="119" t="n">
        <v>46476</v>
      </c>
      <c r="G1044" s="119" t="n">
        <v>46496</v>
      </c>
      <c r="H1044" s="119" t="n">
        <v>46293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IF(E1044="","",IF(ISNUMBER(SEARCH("SUBSOLO",E1044)),IFERROR(-VALUE(LEFT(E1044,FIND("º",SUBSTITUTE(E1044,"°","º"))-1)),-1),IF(LEFT(E1044,6)="TÉRREO",0,IFERROR(VALUE(LEFT(E1044,FIND("º",SUBSTITUTE(E1044,"°","º"))-1)),""))))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25799895</v>
      </c>
      <c r="C1045" s="4" t="inlineStr">
        <is>
          <t>FORRO</t>
        </is>
      </c>
      <c r="D1045" s="4" t="inlineStr">
        <is>
          <t>-</t>
        </is>
      </c>
      <c r="E1045" s="4" t="inlineStr">
        <is>
          <t>3º PAV. - ACADEMIA</t>
        </is>
      </c>
      <c r="F1045" s="119" t="n">
        <v>46476</v>
      </c>
      <c r="G1045" s="119" t="n">
        <v>46506</v>
      </c>
      <c r="H1045" s="119" t="n">
        <v>46293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IF(E1045="","",IF(ISNUMBER(SEARCH("SUBSOLO",E1045)),IFERROR(-VALUE(LEFT(E1045,FIND("º",SUBSTITUTE(E1045,"°","º"))-1)),-1),IF(LEFT(E1045,6)="TÉRREO",0,IFERROR(VALUE(LEFT(E1045,FIND("º",SUBSTITUTE(E1045,"°","º"))-1)),""))))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33276111</v>
      </c>
      <c r="C1046" s="4" t="inlineStr">
        <is>
          <t>INFRAESTRUTURA - AR CONDICIONADO</t>
        </is>
      </c>
      <c r="D1046" s="4" t="inlineStr">
        <is>
          <t>-</t>
        </is>
      </c>
      <c r="E1046" s="4" t="inlineStr">
        <is>
          <t>11º PAV. TIPO</t>
        </is>
      </c>
      <c r="F1046" s="119" t="n">
        <v>46476</v>
      </c>
      <c r="G1046" s="119" t="n">
        <v>46489</v>
      </c>
      <c r="H1046" s="119" t="n">
        <v>46293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IF(E1046="","",IF(ISNUMBER(SEARCH("SUBSOLO",E1046)),IFERROR(-VALUE(LEFT(E1046,FIND("º",SUBSTITUTE(E1046,"°","º"))-1)),-1),IF(LEFT(E1046,6)="TÉRREO",0,IFERROR(VALUE(LEFT(E1046,FIND("º",SUBSTITUTE(E1046,"°","º"))-1)),""))))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33278918</v>
      </c>
      <c r="C1047" s="4" t="inlineStr">
        <is>
          <t>INFRAESTRUTURA ELÉTRICA - PAREDES</t>
        </is>
      </c>
      <c r="D1047" s="4" t="inlineStr">
        <is>
          <t>-</t>
        </is>
      </c>
      <c r="E1047" s="4" t="inlineStr">
        <is>
          <t>11º PAV. TIPO</t>
        </is>
      </c>
      <c r="F1047" s="119" t="n">
        <v>46476</v>
      </c>
      <c r="G1047" s="119" t="n">
        <v>46486</v>
      </c>
      <c r="H1047" s="119" t="n">
        <v>46293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IF(E1047="","",IF(ISNUMBER(SEARCH("SUBSOLO",E1047)),IFERROR(-VALUE(LEFT(E1047,FIND("º",SUBSTITUTE(E1047,"°","º"))-1)),-1),IF(LEFT(E1047,6)="TÉRREO",0,IFERROR(VALUE(LEFT(E1047,FIND("º",SUBSTITUTE(E1047,"°","º"))-1)),""))))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25210649</v>
      </c>
      <c r="C1048" s="4" t="inlineStr">
        <is>
          <t>PRUMADA HIDROSSANITÁRIA</t>
        </is>
      </c>
      <c r="D1048" s="4" t="inlineStr">
        <is>
          <t>-</t>
        </is>
      </c>
      <c r="E1048" s="4" t="inlineStr">
        <is>
          <t>9º PAV. TIPO</t>
        </is>
      </c>
      <c r="F1048" s="119" t="n">
        <v>46477</v>
      </c>
      <c r="G1048" s="119" t="n">
        <v>46489</v>
      </c>
      <c r="H1048" s="119" t="n">
        <v>46293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IF(E1048="","",IF(ISNUMBER(SEARCH("SUBSOLO",E1048)),IFERROR(-VALUE(LEFT(E1048,FIND("º",SUBSTITUTE(E1048,"°","º"))-1)),-1),IF(LEFT(E1048,6)="TÉRREO",0,IFERROR(VALUE(LEFT(E1048,FIND("º",SUBSTITUTE(E1048,"°","º"))-1)),""))))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25210639</v>
      </c>
      <c r="C1049" s="4" t="inlineStr">
        <is>
          <t>PRUMADA DE INCÊNDIO</t>
        </is>
      </c>
      <c r="D1049" s="4" t="inlineStr">
        <is>
          <t>-</t>
        </is>
      </c>
      <c r="E1049" s="4" t="inlineStr">
        <is>
          <t>9º PAV. TIPO</t>
        </is>
      </c>
      <c r="F1049" s="119" t="n">
        <v>46477</v>
      </c>
      <c r="G1049" s="119" t="n">
        <v>46489</v>
      </c>
      <c r="H1049" s="119" t="n">
        <v>46293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IF(E1049="","",IF(ISNUMBER(SEARCH("SUBSOLO",E1049)),IFERROR(-VALUE(LEFT(E1049,FIND("º",SUBSTITUTE(E1049,"°","º"))-1)),-1),IF(LEFT(E1049,6)="TÉRREO",0,IFERROR(VALUE(LEFT(E1049,FIND("º",SUBSTITUTE(E1049,"°","º"))-1)),""))))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25210333</v>
      </c>
      <c r="C1050" s="4" t="inlineStr">
        <is>
          <t>REBOCO INTERNO</t>
        </is>
      </c>
      <c r="D1050" s="4" t="inlineStr">
        <is>
          <t>-</t>
        </is>
      </c>
      <c r="E1050" s="4" t="inlineStr">
        <is>
          <t>18º PAV. TIPO</t>
        </is>
      </c>
      <c r="F1050" s="119" t="n">
        <v>46478</v>
      </c>
      <c r="G1050" s="119" t="n">
        <v>46499</v>
      </c>
      <c r="H1050" s="119" t="n">
        <v>46293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IF(E1050="","",IF(ISNUMBER(SEARCH("SUBSOLO",E1050)),IFERROR(-VALUE(LEFT(E1050,FIND("º",SUBSTITUTE(E1050,"°","º"))-1)),-1),IF(LEFT(E1050,6)="TÉRREO",0,IFERROR(VALUE(LEFT(E1050,FIND("º",SUBSTITUTE(E1050,"°","º"))-1)),""))))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25210329</v>
      </c>
      <c r="C1051" s="4" t="inlineStr">
        <is>
          <t>ESPALA ESQUADRIA DE ALUMINIO</t>
        </is>
      </c>
      <c r="D1051" s="4" t="inlineStr">
        <is>
          <t>-</t>
        </is>
      </c>
      <c r="E1051" s="4" t="inlineStr">
        <is>
          <t>18º PAV. TIPO</t>
        </is>
      </c>
      <c r="F1051" s="119" t="n">
        <v>46478</v>
      </c>
      <c r="G1051" s="119" t="n">
        <v>46484</v>
      </c>
      <c r="H1051" s="119" t="n">
        <v>46293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IF(E1051="","",IF(ISNUMBER(SEARCH("SUBSOLO",E1051)),IFERROR(-VALUE(LEFT(E1051,FIND("º",SUBSTITUTE(E1051,"°","º"))-1)),-1),IF(LEFT(E1051,6)="TÉRREO",0,IFERROR(VALUE(LEFT(E1051,FIND("º",SUBSTITUTE(E1051,"°","º"))-1)),""))))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25731724</v>
      </c>
      <c r="C1052" s="4" t="inlineStr">
        <is>
          <t>FACHADA POSTERIOR - F2 (A)</t>
        </is>
      </c>
      <c r="D1052" s="4" t="inlineStr">
        <is>
          <t>-</t>
        </is>
      </c>
      <c r="E1052" s="4" t="inlineStr">
        <is>
          <t>FACHADA</t>
        </is>
      </c>
      <c r="F1052" s="119" t="n">
        <v>46478</v>
      </c>
      <c r="G1052" s="119" t="n">
        <v>46617</v>
      </c>
      <c r="H1052" s="119" t="n">
        <v>46293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IF(E1052="","",IF(ISNUMBER(SEARCH("SUBSOLO",E1052)),IFERROR(-VALUE(LEFT(E1052,FIND("º",SUBSTITUTE(E1052,"°","º"))-1)),-1),IF(LEFT(E1052,6)="TÉRREO",0,IFERROR(VALUE(LEFT(E1052,FIND("º",SUBSTITUTE(E1052,"°","º"))-1)),""))))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25210218</v>
      </c>
      <c r="C1053" s="4" t="inlineStr">
        <is>
          <t>ALVENARIA</t>
        </is>
      </c>
      <c r="D1053" s="4" t="inlineStr">
        <is>
          <t>-</t>
        </is>
      </c>
      <c r="E1053" s="4" t="inlineStr">
        <is>
          <t>21º PAV. TIPO</t>
        </is>
      </c>
      <c r="F1053" s="119" t="n">
        <v>46479</v>
      </c>
      <c r="G1053" s="119" t="n">
        <v>46500</v>
      </c>
      <c r="H1053" s="119" t="n">
        <v>46293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IF(E1053="","",IF(ISNUMBER(SEARCH("SUBSOLO",E1053)),IFERROR(-VALUE(LEFT(E1053,FIND("º",SUBSTITUTE(E1053,"°","º"))-1)),-1),IF(LEFT(E1053,6)="TÉRREO",0,IFERROR(VALUE(LEFT(E1053,FIND("º",SUBSTITUTE(E1053,"°","º"))-1)),""))))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43846660</v>
      </c>
      <c r="C1054" s="4" t="inlineStr">
        <is>
          <t>ALVENARIA EXTERNA</t>
        </is>
      </c>
      <c r="D1054" s="4" t="inlineStr">
        <is>
          <t>-</t>
        </is>
      </c>
      <c r="E1054" s="4" t="inlineStr">
        <is>
          <t>24º PAV. TIPO</t>
        </is>
      </c>
      <c r="F1054" s="119" t="n">
        <v>46479</v>
      </c>
      <c r="G1054" s="119" t="n">
        <v>46485</v>
      </c>
      <c r="H1054" s="119" t="n">
        <v>46293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IF(E1054="","",IF(ISNUMBER(SEARCH("SUBSOLO",E1054)),IFERROR(-VALUE(LEFT(E1054,FIND("º",SUBSTITUTE(E1054,"°","º"))-1)),-1),IF(LEFT(E1054,6)="TÉRREO",0,IFERROR(VALUE(LEFT(E1054,FIND("º",SUBSTITUTE(E1054,"°","º"))-1)),""))))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25210681</v>
      </c>
      <c r="C1055" s="4" t="inlineStr">
        <is>
          <t>DISTRIBUIÇÃO HIDROSSANITÁRIA</t>
        </is>
      </c>
      <c r="D1055" s="4" t="inlineStr">
        <is>
          <t>-</t>
        </is>
      </c>
      <c r="E1055" s="4" t="inlineStr">
        <is>
          <t>8º PAV. TIPO</t>
        </is>
      </c>
      <c r="F1055" s="119" t="n">
        <v>46482</v>
      </c>
      <c r="G1055" s="119" t="n">
        <v>46492</v>
      </c>
      <c r="H1055" s="119" t="n">
        <v>46293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IF(E1055="","",IF(ISNUMBER(SEARCH("SUBSOLO",E1055)),IFERROR(-VALUE(LEFT(E1055,FIND("º",SUBSTITUTE(E1055,"°","º"))-1)),-1),IF(LEFT(E1055,6)="TÉRREO",0,IFERROR(VALUE(LEFT(E1055,FIND("º",SUBSTITUTE(E1055,"°","º"))-1)),""))))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25210680</v>
      </c>
      <c r="C1056" s="4" t="inlineStr">
        <is>
          <t>DISTRIBUIÇÃO ELÉTRICA / QUADRO - SETOR B</t>
        </is>
      </c>
      <c r="D1056" s="4" t="inlineStr">
        <is>
          <t>-</t>
        </is>
      </c>
      <c r="E1056" s="4" t="inlineStr">
        <is>
          <t>8º PAV. TIPO</t>
        </is>
      </c>
      <c r="F1056" s="119" t="n">
        <v>46482</v>
      </c>
      <c r="G1056" s="119" t="n">
        <v>46492</v>
      </c>
      <c r="H1056" s="119" t="n">
        <v>46293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IF(E1056="","",IF(ISNUMBER(SEARCH("SUBSOLO",E1056)),IFERROR(-VALUE(LEFT(E1056,FIND("º",SUBSTITUTE(E1056,"°","º"))-1)),-1),IF(LEFT(E1056,6)="TÉRREO",0,IFERROR(VALUE(LEFT(E1056,FIND("º",SUBSTITUTE(E1056,"°","º"))-1)),""))))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33276734</v>
      </c>
      <c r="C1057" s="4" t="inlineStr">
        <is>
          <t>INFRAESTRUTURA ELÉTRICA - TETO</t>
        </is>
      </c>
      <c r="D1057" s="4" t="inlineStr">
        <is>
          <t>-</t>
        </is>
      </c>
      <c r="E1057" s="4" t="inlineStr">
        <is>
          <t>8º PAV. TIPO</t>
        </is>
      </c>
      <c r="F1057" s="119" t="n">
        <v>46482</v>
      </c>
      <c r="G1057" s="119" t="n">
        <v>46492</v>
      </c>
      <c r="H1057" s="119" t="n">
        <v>46293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IF(E1057="","",IF(ISNUMBER(SEARCH("SUBSOLO",E1057)),IFERROR(-VALUE(LEFT(E1057,FIND("º",SUBSTITUTE(E1057,"°","º"))-1)),-1),IF(LEFT(E1057,6)="TÉRREO",0,IFERROR(VALUE(LEFT(E1057,FIND("º",SUBSTITUTE(E1057,"°","º"))-1)),""))))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25210372</v>
      </c>
      <c r="C1058" s="4" t="inlineStr">
        <is>
          <t>IMPERMEABILIZAÇÃO INTERNA</t>
        </is>
      </c>
      <c r="D1058" s="4" t="inlineStr">
        <is>
          <t>-</t>
        </is>
      </c>
      <c r="E1058" s="4" t="inlineStr">
        <is>
          <t>17º PAV. TIPO</t>
        </is>
      </c>
      <c r="F1058" s="119" t="n">
        <v>46482</v>
      </c>
      <c r="G1058" s="119" t="n">
        <v>46492</v>
      </c>
      <c r="H1058" s="119" t="n">
        <v>46293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IF(E1058="","",IF(ISNUMBER(SEARCH("SUBSOLO",E1058)),IFERROR(-VALUE(LEFT(E1058,FIND("º",SUBSTITUTE(E1058,"°","º"))-1)),-1),IF(LEFT(E1058,6)="TÉRREO",0,IFERROR(VALUE(LEFT(E1058,FIND("º",SUBSTITUTE(E1058,"°","º"))-1)),""))))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25210704</v>
      </c>
      <c r="C1059" s="4" t="inlineStr">
        <is>
          <t>BANCADAS</t>
        </is>
      </c>
      <c r="D1059" s="4" t="inlineStr">
        <is>
          <t>-</t>
        </is>
      </c>
      <c r="E1059" s="4" t="inlineStr">
        <is>
          <t>7º PAV. TIPO</t>
        </is>
      </c>
      <c r="F1059" s="119" t="n">
        <v>46483</v>
      </c>
      <c r="G1059" s="119" t="n">
        <v>46496</v>
      </c>
      <c r="H1059" s="119" t="n">
        <v>46293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IF(E1059="","",IF(ISNUMBER(SEARCH("SUBSOLO",E1059)),IFERROR(-VALUE(LEFT(E1059,FIND("º",SUBSTITUTE(E1059,"°","º"))-1)),-1),IF(LEFT(E1059,6)="TÉRREO",0,IFERROR(VALUE(LEFT(E1059,FIND("º",SUBSTITUTE(E1059,"°","º"))-1)),""))))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25210620</v>
      </c>
      <c r="C1060" s="4" t="inlineStr">
        <is>
          <t>REVESTIMENTOS PISO</t>
        </is>
      </c>
      <c r="D1060" s="4" t="inlineStr">
        <is>
          <t>-</t>
        </is>
      </c>
      <c r="E1060" s="4" t="inlineStr">
        <is>
          <t>10º PAV. TIPO</t>
        </is>
      </c>
      <c r="F1060" s="119" t="n">
        <v>46483</v>
      </c>
      <c r="G1060" s="119" t="n">
        <v>46496</v>
      </c>
      <c r="H1060" s="119" t="n">
        <v>46293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IF(E1060="","",IF(ISNUMBER(SEARCH("SUBSOLO",E1060)),IFERROR(-VALUE(LEFT(E1060,FIND("º",SUBSTITUTE(E1060,"°","º"))-1)),-1),IF(LEFT(E1060,6)="TÉRREO",0,IFERROR(VALUE(LEFT(E1060,FIND("º",SUBSTITUTE(E1060,"°","º"))-1)),""))))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25210296</v>
      </c>
      <c r="C1061" s="4" t="inlineStr">
        <is>
          <t>DISTRIBUIÇÃO HIDROSSANITÁRIA</t>
        </is>
      </c>
      <c r="D1061" s="4" t="inlineStr">
        <is>
          <t>-</t>
        </is>
      </c>
      <c r="E1061" s="4" t="inlineStr">
        <is>
          <t>19º PAV. TIPO</t>
        </is>
      </c>
      <c r="F1061" s="119" t="n">
        <v>46483</v>
      </c>
      <c r="G1061" s="119" t="n">
        <v>46493</v>
      </c>
      <c r="H1061" s="119" t="n">
        <v>46293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IF(E1061="","",IF(ISNUMBER(SEARCH("SUBSOLO",E1061)),IFERROR(-VALUE(LEFT(E1061,FIND("º",SUBSTITUTE(E1061,"°","º"))-1)),-1),IF(LEFT(E1061,6)="TÉRREO",0,IFERROR(VALUE(LEFT(E1061,FIND("º",SUBSTITUTE(E1061,"°","º"))-1)),""))))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25210295</v>
      </c>
      <c r="C1062" s="4" t="inlineStr">
        <is>
          <t>DISTRIBUIÇÃO ELÉTRICA / QUADRO - SETOR B</t>
        </is>
      </c>
      <c r="D1062" s="4" t="inlineStr">
        <is>
          <t>-</t>
        </is>
      </c>
      <c r="E1062" s="4" t="inlineStr">
        <is>
          <t>19º PAV. TIPO</t>
        </is>
      </c>
      <c r="F1062" s="119" t="n">
        <v>46483</v>
      </c>
      <c r="G1062" s="119" t="n">
        <v>46493</v>
      </c>
      <c r="H1062" s="119" t="n">
        <v>46293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IF(E1062="","",IF(ISNUMBER(SEARCH("SUBSOLO",E1062)),IFERROR(-VALUE(LEFT(E1062,FIND("º",SUBSTITUTE(E1062,"°","º"))-1)),-1),IF(LEFT(E1062,6)="TÉRREO",0,IFERROR(VALUE(LEFT(E1062,FIND("º",SUBSTITUTE(E1062,"°","º"))-1)),""))))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33276745</v>
      </c>
      <c r="C1063" s="4" t="inlineStr">
        <is>
          <t>INFRAESTRUTURA ELÉTRICA - TETO</t>
        </is>
      </c>
      <c r="D1063" s="4" t="inlineStr">
        <is>
          <t>-</t>
        </is>
      </c>
      <c r="E1063" s="4" t="inlineStr">
        <is>
          <t>19º PAV. TIPO</t>
        </is>
      </c>
      <c r="F1063" s="119" t="n">
        <v>46483</v>
      </c>
      <c r="G1063" s="119" t="n">
        <v>46493</v>
      </c>
      <c r="H1063" s="119" t="n">
        <v>46293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IF(E1063="","",IF(ISNUMBER(SEARCH("SUBSOLO",E1063)),IFERROR(-VALUE(LEFT(E1063,FIND("º",SUBSTITUTE(E1063,"°","º"))-1)),-1),IF(LEFT(E1063,6)="TÉRREO",0,IFERROR(VALUE(LEFT(E1063,FIND("º",SUBSTITUTE(E1063,"°","º"))-1)),""))))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27765821</v>
      </c>
      <c r="C1064" s="4" t="inlineStr">
        <is>
          <t>CAIXAS DE PASSAGEM</t>
        </is>
      </c>
      <c r="D1064" s="4" t="inlineStr">
        <is>
          <t>-</t>
        </is>
      </c>
      <c r="E1064" s="4" t="inlineStr">
        <is>
          <t>GERAL</t>
        </is>
      </c>
      <c r="F1064" s="119" t="n">
        <v>46484</v>
      </c>
      <c r="G1064" s="119" t="n">
        <v>46569</v>
      </c>
      <c r="H1064" s="119" t="n">
        <v>46293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27765760</v>
      </c>
      <c r="C1065" s="4" t="inlineStr">
        <is>
          <t>DRENO + ATERRO JARDINEIRAS</t>
        </is>
      </c>
      <c r="D1065" s="4" t="inlineStr">
        <is>
          <t>-</t>
        </is>
      </c>
      <c r="E1065" s="4" t="inlineStr">
        <is>
          <t>16º PAV. TIPO</t>
        </is>
      </c>
      <c r="F1065" s="119" t="n">
        <v>46484</v>
      </c>
      <c r="G1065" s="119" t="n">
        <v>46496</v>
      </c>
      <c r="H1065" s="119" t="n">
        <v>46293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IF(E1065="","",IF(ISNUMBER(SEARCH("SUBSOLO",E1065)),IFERROR(-VALUE(LEFT(E1065,FIND("º",SUBSTITUTE(E1065,"°","º"))-1)),-1),IF(LEFT(E1065,6)="TÉRREO",0,IFERROR(VALUE(LEFT(E1065,FIND("º",SUBSTITUTE(E1065,"°","º"))-1)),""))))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25210829</v>
      </c>
      <c r="C1066" s="4" t="inlineStr">
        <is>
          <t>ESQUADRIA</t>
        </is>
      </c>
      <c r="D1066" s="4" t="inlineStr">
        <is>
          <t>-</t>
        </is>
      </c>
      <c r="E1066" s="4" t="inlineStr">
        <is>
          <t>4° PAV. APTO GARDEN</t>
        </is>
      </c>
      <c r="F1066" s="119" t="n">
        <v>46485</v>
      </c>
      <c r="G1066" s="119" t="n">
        <v>46506</v>
      </c>
      <c r="H1066" s="119" t="n">
        <v>46293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IF(E1066="","",IF(ISNUMBER(SEARCH("SUBSOLO",E1066)),IFERROR(-VALUE(LEFT(E1066,FIND("º",SUBSTITUTE(E1066,"°","º"))-1)),-1),IF(LEFT(E1066,6)="TÉRREO",0,IFERROR(VALUE(LEFT(E1066,FIND("º",SUBSTITUTE(E1066,"°","º"))-1)),""))))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25210818</v>
      </c>
      <c r="C1067" s="4" t="inlineStr">
        <is>
          <t>SHAFT INTERNO INST. HIDRAÚLICAS</t>
        </is>
      </c>
      <c r="D1067" s="4" t="inlineStr">
        <is>
          <t>-</t>
        </is>
      </c>
      <c r="E1067" s="4" t="inlineStr">
        <is>
          <t>4° PAV. APTO GARDEN</t>
        </is>
      </c>
      <c r="F1067" s="119" t="n">
        <v>46485</v>
      </c>
      <c r="G1067" s="119" t="n">
        <v>46497</v>
      </c>
      <c r="H1067" s="119" t="n">
        <v>46293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IF(E1067="","",IF(ISNUMBER(SEARCH("SUBSOLO",E1067)),IFERROR(-VALUE(LEFT(E1067,FIND("º",SUBSTITUTE(E1067,"°","º"))-1)),-1),IF(LEFT(E1067,6)="TÉRREO",0,IFERROR(VALUE(LEFT(E1067,FIND("º",SUBSTITUTE(E1067,"°","º"))-1)),""))))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25210788</v>
      </c>
      <c r="C1068" s="4" t="inlineStr">
        <is>
          <t>REBOCO INTERNO</t>
        </is>
      </c>
      <c r="D1068" s="4" t="inlineStr">
        <is>
          <t>-</t>
        </is>
      </c>
      <c r="E1068" s="4" t="inlineStr">
        <is>
          <t>5º PAV. TIPO</t>
        </is>
      </c>
      <c r="F1068" s="119" t="n">
        <v>46485</v>
      </c>
      <c r="G1068" s="119" t="n">
        <v>46506</v>
      </c>
      <c r="H1068" s="119" t="n">
        <v>46293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IF(E1068="","",IF(ISNUMBER(SEARCH("SUBSOLO",E1068)),IFERROR(-VALUE(LEFT(E1068,FIND("º",SUBSTITUTE(E1068,"°","º"))-1)),-1),IF(LEFT(E1068,6)="TÉRREO",0,IFERROR(VALUE(LEFT(E1068,FIND("º",SUBSTITUTE(E1068,"°","º"))-1)),""))))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25210784</v>
      </c>
      <c r="C1069" s="4" t="inlineStr">
        <is>
          <t>ESPALA ESQUADRIA DE ALUMINIO</t>
        </is>
      </c>
      <c r="D1069" s="4" t="inlineStr">
        <is>
          <t>-</t>
        </is>
      </c>
      <c r="E1069" s="4" t="inlineStr">
        <is>
          <t>5º PAV. TIPO</t>
        </is>
      </c>
      <c r="F1069" s="119" t="n">
        <v>46485</v>
      </c>
      <c r="G1069" s="119" t="n">
        <v>46491</v>
      </c>
      <c r="H1069" s="119" t="n">
        <v>46293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IF(E1069="","",IF(ISNUMBER(SEARCH("SUBSOLO",E1069)),IFERROR(-VALUE(LEFT(E1069,FIND("º",SUBSTITUTE(E1069,"°","º"))-1)),-1),IF(LEFT(E1069,6)="TÉRREO",0,IFERROR(VALUE(LEFT(E1069,FIND("º",SUBSTITUTE(E1069,"°","º"))-1)),""))))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25210758</v>
      </c>
      <c r="C1070" s="4" t="inlineStr">
        <is>
          <t>FORRO</t>
        </is>
      </c>
      <c r="D1070" s="4" t="inlineStr">
        <is>
          <t>-</t>
        </is>
      </c>
      <c r="E1070" s="4" t="inlineStr">
        <is>
          <t>6º PAV. TIPO</t>
        </is>
      </c>
      <c r="F1070" s="119" t="n">
        <v>46485</v>
      </c>
      <c r="G1070" s="119" t="n">
        <v>46506</v>
      </c>
      <c r="H1070" s="119" t="n">
        <v>46293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IF(E1070="","",IF(ISNUMBER(SEARCH("SUBSOLO",E1070)),IFERROR(-VALUE(LEFT(E1070,FIND("º",SUBSTITUTE(E1070,"°","º"))-1)),-1),IF(LEFT(E1070,6)="TÉRREO",0,IFERROR(VALUE(LEFT(E1070,FIND("º",SUBSTITUTE(E1070,"°","º"))-1)),""))))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27769233</v>
      </c>
      <c r="C1071" s="4" t="inlineStr">
        <is>
          <t>PRUMADA ELÉTRICA INFRA</t>
        </is>
      </c>
      <c r="D1071" s="4" t="inlineStr">
        <is>
          <t>-</t>
        </is>
      </c>
      <c r="E1071" s="4" t="inlineStr">
        <is>
          <t>9º PAV. TIPO</t>
        </is>
      </c>
      <c r="F1071" s="119" t="n">
        <v>46485</v>
      </c>
      <c r="G1071" s="119" t="n">
        <v>46497</v>
      </c>
      <c r="H1071" s="119" t="n">
        <v>46293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IF(E1071="","",IF(ISNUMBER(SEARCH("SUBSOLO",E1071)),IFERROR(-VALUE(LEFT(E1071,FIND("º",SUBSTITUTE(E1071,"°","º"))-1)),-1),IF(LEFT(E1071,6)="TÉRREO",0,IFERROR(VALUE(LEFT(E1071,FIND("º",SUBSTITUTE(E1071,"°","º"))-1)),""))))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25210264</v>
      </c>
      <c r="C1072" s="4" t="inlineStr">
        <is>
          <t>PRUMADA HIDROSSANITÁRIA</t>
        </is>
      </c>
      <c r="D1072" s="4" t="inlineStr">
        <is>
          <t>-</t>
        </is>
      </c>
      <c r="E1072" s="4" t="inlineStr">
        <is>
          <t>20º PAV. TIPO</t>
        </is>
      </c>
      <c r="F1072" s="119" t="n">
        <v>46485</v>
      </c>
      <c r="G1072" s="119" t="n">
        <v>46497</v>
      </c>
      <c r="H1072" s="119" t="n">
        <v>46293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IF(E1072="","",IF(ISNUMBER(SEARCH("SUBSOLO",E1072)),IFERROR(-VALUE(LEFT(E1072,FIND("º",SUBSTITUTE(E1072,"°","º"))-1)),-1),IF(LEFT(E1072,6)="TÉRREO",0,IFERROR(VALUE(LEFT(E1072,FIND("º",SUBSTITUTE(E1072,"°","º"))-1)),""))))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43846661</v>
      </c>
      <c r="C1073" s="4" t="inlineStr">
        <is>
          <t>ALVENARIA EXTERNA</t>
        </is>
      </c>
      <c r="D1073" s="4" t="inlineStr">
        <is>
          <t>-</t>
        </is>
      </c>
      <c r="E1073" s="4" t="inlineStr">
        <is>
          <t>25º PAV. TIPO</t>
        </is>
      </c>
      <c r="F1073" s="119" t="n">
        <v>46486</v>
      </c>
      <c r="G1073" s="119" t="n">
        <v>46492</v>
      </c>
      <c r="H1073" s="119" t="n">
        <v>46293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IF(E1073="","",IF(ISNUMBER(SEARCH("SUBSOLO",E1073)),IFERROR(-VALUE(LEFT(E1073,FIND("º",SUBSTITUTE(E1073,"°","º"))-1)),-1),IF(LEFT(E1073,6)="TÉRREO",0,IFERROR(VALUE(LEFT(E1073,FIND("º",SUBSTITUTE(E1073,"°","º"))-1)),""))))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25210571</v>
      </c>
      <c r="C1074" s="4" t="inlineStr">
        <is>
          <t>REVESTIMENTO PAREDE</t>
        </is>
      </c>
      <c r="D1074" s="4" t="inlineStr">
        <is>
          <t>-</t>
        </is>
      </c>
      <c r="E1074" s="4" t="inlineStr">
        <is>
          <t>11º PAV. TIPO</t>
        </is>
      </c>
      <c r="F1074" s="119" t="n">
        <v>46489</v>
      </c>
      <c r="G1074" s="119" t="n">
        <v>46503</v>
      </c>
      <c r="H1074" s="119" t="n">
        <v>46293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IF(E1074="","",IF(ISNUMBER(SEARCH("SUBSOLO",E1074)),IFERROR(-VALUE(LEFT(E1074,FIND("º",SUBSTITUTE(E1074,"°","º"))-1)),-1),IF(LEFT(E1074,6)="TÉRREO",0,IFERROR(VALUE(LEFT(E1074,FIND("º",SUBSTITUTE(E1074,"°","º"))-1)),""))))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25210647</v>
      </c>
      <c r="C1075" s="4" t="inlineStr">
        <is>
          <t>GÁS</t>
        </is>
      </c>
      <c r="D1075" s="4" t="inlineStr">
        <is>
          <t>-</t>
        </is>
      </c>
      <c r="E1075" s="4" t="inlineStr">
        <is>
          <t>9º PAV. TIPO</t>
        </is>
      </c>
      <c r="F1075" s="119" t="n">
        <v>46490</v>
      </c>
      <c r="G1075" s="119" t="n">
        <v>46503</v>
      </c>
      <c r="H1075" s="119" t="n">
        <v>46293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IF(E1075="","",IF(ISNUMBER(SEARCH("SUBSOLO",E1075)),IFERROR(-VALUE(LEFT(E1075,FIND("º",SUBSTITUTE(E1075,"°","º"))-1)),-1),IF(LEFT(E1075,6)="TÉRREO",0,IFERROR(VALUE(LEFT(E1075,FIND("º",SUBSTITUTE(E1075,"°","º"))-1)),""))))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29601061</v>
      </c>
      <c r="C1076" s="4" t="inlineStr">
        <is>
          <t>TALISCAMENTO</t>
        </is>
      </c>
      <c r="D1076" s="4" t="inlineStr">
        <is>
          <t>-</t>
        </is>
      </c>
      <c r="E1076" s="4" t="inlineStr">
        <is>
          <t>9º PAV. TIPO</t>
        </is>
      </c>
      <c r="F1076" s="119" t="n">
        <v>46490</v>
      </c>
      <c r="G1076" s="119" t="n">
        <v>46503</v>
      </c>
      <c r="H1076" s="119" t="n">
        <v>46293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IF(E1076="","",IF(ISNUMBER(SEARCH("SUBSOLO",E1076)),IFERROR(-VALUE(LEFT(E1076,FIND("º",SUBSTITUTE(E1076,"°","º"))-1)),-1),IF(LEFT(E1076,6)="TÉRREO",0,IFERROR(VALUE(LEFT(E1076,FIND("º",SUBSTITUTE(E1076,"°","º"))-1)),""))))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25210544</v>
      </c>
      <c r="C1077" s="4" t="inlineStr">
        <is>
          <t>PRUMADA HIDROSSANITÁRIA</t>
        </is>
      </c>
      <c r="D1077" s="4" t="inlineStr">
        <is>
          <t>-</t>
        </is>
      </c>
      <c r="E1077" s="4" t="inlineStr">
        <is>
          <t>12º PAV. TIPO</t>
        </is>
      </c>
      <c r="F1077" s="119" t="n">
        <v>46490</v>
      </c>
      <c r="G1077" s="119" t="n">
        <v>46503</v>
      </c>
      <c r="H1077" s="119" t="n">
        <v>46293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IF(E1077="","",IF(ISNUMBER(SEARCH("SUBSOLO",E1077)),IFERROR(-VALUE(LEFT(E1077,FIND("º",SUBSTITUTE(E1077,"°","º"))-1)),-1),IF(LEFT(E1077,6)="TÉRREO",0,IFERROR(VALUE(LEFT(E1077,FIND("º",SUBSTITUTE(E1077,"°","º"))-1)),""))))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25210534</v>
      </c>
      <c r="C1078" s="4" t="inlineStr">
        <is>
          <t>PRUMADA DE INCÊNDIO</t>
        </is>
      </c>
      <c r="D1078" s="4" t="inlineStr">
        <is>
          <t>-</t>
        </is>
      </c>
      <c r="E1078" s="4" t="inlineStr">
        <is>
          <t>12º PAV. TIPO</t>
        </is>
      </c>
      <c r="F1078" s="119" t="n">
        <v>46490</v>
      </c>
      <c r="G1078" s="119" t="n">
        <v>46503</v>
      </c>
      <c r="H1078" s="119" t="n">
        <v>46293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IF(E1078="","",IF(ISNUMBER(SEARCH("SUBSOLO",E1078)),IFERROR(-VALUE(LEFT(E1078,FIND("º",SUBSTITUTE(E1078,"°","º"))-1)),-1),IF(LEFT(E1078,6)="TÉRREO",0,IFERROR(VALUE(LEFT(E1078,FIND("º",SUBSTITUTE(E1078,"°","º"))-1)),""))))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25807552</v>
      </c>
      <c r="C1079" s="4" t="inlineStr">
        <is>
          <t>BANCADAS</t>
        </is>
      </c>
      <c r="D1079" s="4" t="inlineStr">
        <is>
          <t>-</t>
        </is>
      </c>
      <c r="E1079" s="4" t="inlineStr">
        <is>
          <t>3º PAV. ESPAÇO THERMAS, PISCINA COBERTA, SAUNAS E VESTIÁRIOS</t>
        </is>
      </c>
      <c r="F1079" s="119" t="n">
        <v>46493</v>
      </c>
      <c r="G1079" s="119" t="n">
        <v>46507</v>
      </c>
      <c r="H1079" s="119" t="n">
        <v>46293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IF(E1079="","",IF(ISNUMBER(SEARCH("SUBSOLO",E1079)),IFERROR(-VALUE(LEFT(E1079,FIND("º",SUBSTITUTE(E1079,"°","º"))-1)),-1),IF(LEFT(E1079,6)="TÉRREO",0,IFERROR(VALUE(LEFT(E1079,FIND("º",SUBSTITUTE(E1079,"°","º"))-1)),""))))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25210677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8º PAV. TIPO</t>
        </is>
      </c>
      <c r="F1080" s="119" t="n">
        <v>46493</v>
      </c>
      <c r="G1080" s="119" t="n">
        <v>46506</v>
      </c>
      <c r="H1080" s="119" t="n">
        <v>46293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IF(E1080="","",IF(ISNUMBER(SEARCH("SUBSOLO",E1080)),IFERROR(-VALUE(LEFT(E1080,FIND("º",SUBSTITUTE(E1080,"°","º"))-1)),-1),IF(LEFT(E1080,6)="TÉRREO",0,IFERROR(VALUE(LEFT(E1080,FIND("º",SUBSTITUTE(E1080,"°","º"))-1)),""))))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29601051</v>
      </c>
      <c r="C1081" s="4" t="inlineStr">
        <is>
          <t>ENCUNHAMENTO</t>
        </is>
      </c>
      <c r="D1081" s="4" t="inlineStr">
        <is>
          <t>-</t>
        </is>
      </c>
      <c r="E1081" s="4" t="inlineStr">
        <is>
          <t>8º PAV. TIPO</t>
        </is>
      </c>
      <c r="F1081" s="119" t="n">
        <v>46493</v>
      </c>
      <c r="G1081" s="119" t="n">
        <v>46506</v>
      </c>
      <c r="H1081" s="119" t="n">
        <v>46293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IF(E1081="","",IF(ISNUMBER(SEARCH("SUBSOLO",E1081)),IFERROR(-VALUE(LEFT(E1081,FIND("º",SUBSTITUTE(E1081,"°","º"))-1)),-1),IF(LEFT(E1081,6)="TÉRREO",0,IFERROR(VALUE(LEFT(E1081,FIND("º",SUBSTITUTE(E1081,"°","º"))-1)),""))))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27762200</v>
      </c>
      <c r="C1082" s="4" t="inlineStr">
        <is>
          <t>TRATAMENTO ACÚSTICO</t>
        </is>
      </c>
      <c r="D1082" s="4" t="inlineStr">
        <is>
          <t>-</t>
        </is>
      </c>
      <c r="E1082" s="4" t="inlineStr">
        <is>
          <t>17º PAV. TIPO</t>
        </is>
      </c>
      <c r="F1082" s="119" t="n">
        <v>46493</v>
      </c>
      <c r="G1082" s="119" t="n">
        <v>46493</v>
      </c>
      <c r="H1082" s="119" t="n">
        <v>46293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IF(E1082="","",IF(ISNUMBER(SEARCH("SUBSOLO",E1082)),IFERROR(-VALUE(LEFT(E1082,FIND("º",SUBSTITUTE(E1082,"°","º"))-1)),-1),IF(LEFT(E1082,6)="TÉRREO",0,IFERROR(VALUE(LEFT(E1082,FIND("º",SUBSTITUTE(E1082,"°","º"))-1)),""))))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27769244</v>
      </c>
      <c r="C1083" s="4" t="inlineStr">
        <is>
          <t>PRUMADA ELÉTRICA INFRA</t>
        </is>
      </c>
      <c r="D1083" s="4" t="inlineStr">
        <is>
          <t>-</t>
        </is>
      </c>
      <c r="E1083" s="4" t="inlineStr">
        <is>
          <t>20º PAV. TIPO</t>
        </is>
      </c>
      <c r="F1083" s="119" t="n">
        <v>46493</v>
      </c>
      <c r="G1083" s="119" t="n">
        <v>46506</v>
      </c>
      <c r="H1083" s="119" t="n">
        <v>46293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IF(E1083="","",IF(ISNUMBER(SEARCH("SUBSOLO",E1083)),IFERROR(-VALUE(LEFT(E1083,FIND("º",SUBSTITUTE(E1083,"°","º"))-1)),-1),IF(LEFT(E1083,6)="TÉRREO",0,IFERROR(VALUE(LEFT(E1083,FIND("º",SUBSTITUTE(E1083,"°","º"))-1)),""))))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43846662</v>
      </c>
      <c r="C1084" s="4" t="inlineStr">
        <is>
          <t>ALVENARIA EXTERNA</t>
        </is>
      </c>
      <c r="D1084" s="4" t="inlineStr">
        <is>
          <t>-</t>
        </is>
      </c>
      <c r="E1084" s="4" t="inlineStr">
        <is>
          <t>26º PAV. -  DUPLEX INFERIOR</t>
        </is>
      </c>
      <c r="F1084" s="119" t="n">
        <v>46493</v>
      </c>
      <c r="G1084" s="119" t="n">
        <v>46500</v>
      </c>
      <c r="H1084" s="119" t="n">
        <v>46293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IF(E1084="","",IF(ISNUMBER(SEARCH("SUBSOLO",E1084)),IFERROR(-VALUE(LEFT(E1084,FIND("º",SUBSTITUTE(E1084,"°","º"))-1)),-1),IF(LEFT(E1084,6)="TÉRREO",0,IFERROR(VALUE(LEFT(E1084,FIND("º",SUBSTITUTE(E1084,"°","º"))-1)),""))))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25210360</v>
      </c>
      <c r="C1085" s="4" t="inlineStr">
        <is>
          <t>IMPERMEABILIZAÇÃO VARANDA E JARDINEIRAS</t>
        </is>
      </c>
      <c r="D1085" s="4" t="inlineStr">
        <is>
          <t>-</t>
        </is>
      </c>
      <c r="E1085" s="4" t="inlineStr">
        <is>
          <t>17º PAV. TIPO</t>
        </is>
      </c>
      <c r="F1085" s="119" t="n">
        <v>46496</v>
      </c>
      <c r="G1085" s="119" t="n">
        <v>46507</v>
      </c>
      <c r="H1085" s="119" t="n">
        <v>46293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IF(E1085="","",IF(ISNUMBER(SEARCH("SUBSOLO",E1085)),IFERROR(-VALUE(LEFT(E1085,FIND("º",SUBSTITUTE(E1085,"°","º"))-1)),-1),IF(LEFT(E1085,6)="TÉRREO",0,IFERROR(VALUE(LEFT(E1085,FIND("º",SUBSTITUTE(E1085,"°","º"))-1)),""))))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25210292</v>
      </c>
      <c r="C1086" s="4" t="inlineStr">
        <is>
          <t>CONTRAMARCO</t>
        </is>
      </c>
      <c r="D1086" s="4" t="inlineStr">
        <is>
          <t>-</t>
        </is>
      </c>
      <c r="E1086" s="4" t="inlineStr">
        <is>
          <t>19º PAV. TIPO</t>
        </is>
      </c>
      <c r="F1086" s="119" t="n">
        <v>46496</v>
      </c>
      <c r="G1086" s="119" t="n">
        <v>46507</v>
      </c>
      <c r="H1086" s="119" t="n">
        <v>46293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IF(E1086="","",IF(ISNUMBER(SEARCH("SUBSOLO",E1086)),IFERROR(-VALUE(LEFT(E1086,FIND("º",SUBSTITUTE(E1086,"°","º"))-1)),-1),IF(LEFT(E1086,6)="TÉRREO",0,IFERROR(VALUE(LEFT(E1086,FIND("º",SUBSTITUTE(E1086,"°","º"))-1)),""))))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29601289</v>
      </c>
      <c r="C1087" s="4" t="inlineStr">
        <is>
          <t>ENCUNHAMENTO</t>
        </is>
      </c>
      <c r="D1087" s="4" t="inlineStr">
        <is>
          <t>-</t>
        </is>
      </c>
      <c r="E1087" s="4" t="inlineStr">
        <is>
          <t>19º PAV. TIPO</t>
        </is>
      </c>
      <c r="F1087" s="119" t="n">
        <v>46496</v>
      </c>
      <c r="G1087" s="119" t="n">
        <v>46507</v>
      </c>
      <c r="H1087" s="119" t="n">
        <v>46293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IF(E1087="","",IF(ISNUMBER(SEARCH("SUBSOLO",E1087)),IFERROR(-VALUE(LEFT(E1087,FIND("º",SUBSTITUTE(E1087,"°","º"))-1)),-1),IF(LEFT(E1087,6)="TÉRREO",0,IFERROR(VALUE(LEFT(E1087,FIND("º",SUBSTITUTE(E1087,"°","º"))-1)),""))))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25799861</v>
      </c>
      <c r="C1088" s="4" t="inlineStr">
        <is>
          <t>FIAÇÃO ELÉTRICA</t>
        </is>
      </c>
      <c r="D1088" s="4" t="inlineStr">
        <is>
          <t>-</t>
        </is>
      </c>
      <c r="E1088" s="4" t="inlineStr">
        <is>
          <t>3º PAV. PISCINA DESCOBERTA E E ÁREA DESCOBERTA PISCINA</t>
        </is>
      </c>
      <c r="F1088" s="119" t="n">
        <v>46497</v>
      </c>
      <c r="G1088" s="119" t="n">
        <v>46511</v>
      </c>
      <c r="H1088" s="119" t="n">
        <v>46293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IF(E1088="","",IF(ISNUMBER(SEARCH("SUBSOLO",E1088)),IFERROR(-VALUE(LEFT(E1088,FIND("º",SUBSTITUTE(E1088,"°","º"))-1)),-1),IF(LEFT(E1088,6)="TÉRREO",0,IFERROR(VALUE(LEFT(E1088,FIND("º",SUBSTITUTE(E1088,"°","º"))-1)),""))))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25799970</v>
      </c>
      <c r="C1089" s="4" t="inlineStr">
        <is>
          <t>REVESTIMENTOS PISO</t>
        </is>
      </c>
      <c r="D1089" s="4" t="inlineStr">
        <is>
          <t>-</t>
        </is>
      </c>
      <c r="E1089" s="4" t="inlineStr">
        <is>
          <t>3º PAV. - BAR PISCINA, VESTIÁRIOS, DEPOSITOS E LOUNGE QUADRAS</t>
        </is>
      </c>
      <c r="F1089" s="119" t="n">
        <v>46497</v>
      </c>
      <c r="G1089" s="119" t="n">
        <v>46527</v>
      </c>
      <c r="H1089" s="119" t="n">
        <v>46293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IF(E1089="","",IF(ISNUMBER(SEARCH("SUBSOLO",E1089)),IFERROR(-VALUE(LEFT(E1089,FIND("º",SUBSTITUTE(E1089,"°","º"))-1)),-1),IF(LEFT(E1089,6)="TÉRREO",0,IFERROR(VALUE(LEFT(E1089,FIND("º",SUBSTITUTE(E1089,"°","º"))-1)),""))))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25210705</v>
      </c>
      <c r="C1090" s="4" t="inlineStr">
        <is>
          <t>FIAÇÃO ELÉTRICA</t>
        </is>
      </c>
      <c r="D1090" s="4" t="inlineStr">
        <is>
          <t>-</t>
        </is>
      </c>
      <c r="E1090" s="4" t="inlineStr">
        <is>
          <t>7º PAV. TIPO</t>
        </is>
      </c>
      <c r="F1090" s="119" t="n">
        <v>46497</v>
      </c>
      <c r="G1090" s="119" t="n">
        <v>46518</v>
      </c>
      <c r="H1090" s="119" t="n">
        <v>46293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IF(E1090="","",IF(ISNUMBER(SEARCH("SUBSOLO",E1090)),IFERROR(-VALUE(LEFT(E1090,FIND("º",SUBSTITUTE(E1090,"°","º"))-1)),-1),IF(LEFT(E1090,6)="TÉRREO",0,IFERROR(VALUE(LEFT(E1090,FIND("º",SUBSTITUTE(E1090,"°","º"))-1)),""))))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25210736</v>
      </c>
      <c r="C1091" s="4" t="inlineStr">
        <is>
          <t>VENTILAÇÃO / EXAUSTÃO</t>
        </is>
      </c>
      <c r="D1091" s="4" t="inlineStr">
        <is>
          <t>-</t>
        </is>
      </c>
      <c r="E1091" s="4" t="inlineStr">
        <is>
          <t>7º PAV. TIPO</t>
        </is>
      </c>
      <c r="F1091" s="119" t="n">
        <v>46497</v>
      </c>
      <c r="G1091" s="119" t="n">
        <v>46504</v>
      </c>
      <c r="H1091" s="119" t="n">
        <v>46293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IF(E1091="","",IF(ISNUMBER(SEARCH("SUBSOLO",E1091)),IFERROR(-VALUE(LEFT(E1091,FIND("º",SUBSTITUTE(E1091,"°","º"))-1)),-1),IF(LEFT(E1091,6)="TÉRREO",0,IFERROR(VALUE(LEFT(E1091,FIND("º",SUBSTITUTE(E1091,"°","º"))-1)),""))))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25210599</v>
      </c>
      <c r="C1092" s="4" t="inlineStr">
        <is>
          <t>BANCADAS</t>
        </is>
      </c>
      <c r="D1092" s="4" t="inlineStr">
        <is>
          <t>-</t>
        </is>
      </c>
      <c r="E1092" s="4" t="inlineStr">
        <is>
          <t>10º PAV. TIPO</t>
        </is>
      </c>
      <c r="F1092" s="119" t="n">
        <v>46497</v>
      </c>
      <c r="G1092" s="119" t="n">
        <v>46511</v>
      </c>
      <c r="H1092" s="119" t="n">
        <v>46293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IF(E1092="","",IF(ISNUMBER(SEARCH("SUBSOLO",E1092)),IFERROR(-VALUE(LEFT(E1092,FIND("º",SUBSTITUTE(E1092,"°","º"))-1)),-1),IF(LEFT(E1092,6)="TÉRREO",0,IFERROR(VALUE(LEFT(E1092,FIND("º",SUBSTITUTE(E1092,"°","º"))-1)),""))))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25210463</v>
      </c>
      <c r="C1093" s="4" t="inlineStr">
        <is>
          <t>ALVENARIA</t>
        </is>
      </c>
      <c r="D1093" s="4" t="inlineStr">
        <is>
          <t>-</t>
        </is>
      </c>
      <c r="E1093" s="4" t="inlineStr">
        <is>
          <t>14º PAV. TIPO</t>
        </is>
      </c>
      <c r="F1093" s="119" t="n">
        <v>46497</v>
      </c>
      <c r="G1093" s="119" t="n">
        <v>46518</v>
      </c>
      <c r="H1093" s="119" t="n">
        <v>46293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IF(E1093="","",IF(ISNUMBER(SEARCH("SUBSOLO",E1093)),IFERROR(-VALUE(LEFT(E1093,FIND("º",SUBSTITUTE(E1093,"°","º"))-1)),-1),IF(LEFT(E1093,6)="TÉRREO",0,IFERROR(VALUE(LEFT(E1093,FIND("º",SUBSTITUTE(E1093,"°","º"))-1)),""))))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25210406</v>
      </c>
      <c r="C1094" s="4" t="inlineStr">
        <is>
          <t>CONTRAPISO</t>
        </is>
      </c>
      <c r="D1094" s="4" t="inlineStr">
        <is>
          <t>-</t>
        </is>
      </c>
      <c r="E1094" s="4" t="inlineStr">
        <is>
          <t>16º PAV. TIPO</t>
        </is>
      </c>
      <c r="F1094" s="119" t="n">
        <v>46497</v>
      </c>
      <c r="G1094" s="119" t="n">
        <v>46518</v>
      </c>
      <c r="H1094" s="119" t="n">
        <v>46293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IF(E1094="","",IF(ISNUMBER(SEARCH("SUBSOLO",E1094)),IFERROR(-VALUE(LEFT(E1094,FIND("º",SUBSTITUTE(E1094,"°","º"))-1)),-1),IF(LEFT(E1094,6)="TÉRREO",0,IFERROR(VALUE(LEFT(E1094,FIND("º",SUBSTITUTE(E1094,"°","º"))-1)),""))))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25752716</v>
      </c>
      <c r="C1095" s="4" t="inlineStr">
        <is>
          <t>PREPARAÇÃO POÇO ELEVADOR</t>
        </is>
      </c>
      <c r="D1095" s="4" t="inlineStr">
        <is>
          <t>-</t>
        </is>
      </c>
      <c r="E1095" s="4" t="inlineStr">
        <is>
          <t>ELEVADORES</t>
        </is>
      </c>
      <c r="F1095" s="119" t="n">
        <v>46497</v>
      </c>
      <c r="G1095" s="119" t="n">
        <v>46611</v>
      </c>
      <c r="H1095" s="119" t="n">
        <v>46293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9203176</v>
      </c>
      <c r="C1096" s="4" t="inlineStr">
        <is>
          <t>PREPARAÇÃO POÇO ELEVADOR</t>
        </is>
      </c>
      <c r="D1096" s="4" t="inlineStr">
        <is>
          <t>Elevador 1</t>
        </is>
      </c>
      <c r="E1096" s="4" t="inlineStr">
        <is>
          <t>ELEVADORES</t>
        </is>
      </c>
      <c r="F1096" s="119" t="n">
        <v>46497</v>
      </c>
      <c r="G1096" s="119" t="n">
        <v>46560</v>
      </c>
      <c r="H1096" s="119" t="n">
        <v>46293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9203177</v>
      </c>
      <c r="C1097" s="4" t="inlineStr">
        <is>
          <t>PREPARAÇÃO POÇO ELEVADOR</t>
        </is>
      </c>
      <c r="D1097" s="4" t="inlineStr">
        <is>
          <t>Elevador 2</t>
        </is>
      </c>
      <c r="E1097" s="4" t="inlineStr">
        <is>
          <t>ELEVADORES</t>
        </is>
      </c>
      <c r="F1097" s="119" t="n">
        <v>46519</v>
      </c>
      <c r="G1097" s="119" t="n">
        <v>46581</v>
      </c>
      <c r="H1097" s="119" t="n">
        <v>46293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9203178</v>
      </c>
      <c r="C1098" s="4" t="inlineStr">
        <is>
          <t>PREPARAÇÃO POÇO ELEVADOR</t>
        </is>
      </c>
      <c r="D1098" s="4" t="inlineStr">
        <is>
          <t>Elevador 3</t>
        </is>
      </c>
      <c r="E1098" s="4" t="inlineStr">
        <is>
          <t>ELEVADORES</t>
        </is>
      </c>
      <c r="F1098" s="119" t="n">
        <v>46582</v>
      </c>
      <c r="G1098" s="119" t="n">
        <v>46611</v>
      </c>
      <c r="H1098" s="119" t="n">
        <v>46293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25210827</v>
      </c>
      <c r="C1099" s="4" t="inlineStr">
        <is>
          <t>IMPERMEABILIZAÇÃO INTERNA</t>
        </is>
      </c>
      <c r="D1099" s="4" t="inlineStr">
        <is>
          <t>-</t>
        </is>
      </c>
      <c r="E1099" s="4" t="inlineStr">
        <is>
          <t>4° PAV. APTO GARDEN</t>
        </is>
      </c>
      <c r="F1099" s="119" t="n">
        <v>46499</v>
      </c>
      <c r="G1099" s="119" t="n">
        <v>46511</v>
      </c>
      <c r="H1099" s="119" t="n">
        <v>46293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IF(E1099="","",IF(ISNUMBER(SEARCH("SUBSOLO",E1099)),IFERROR(-VALUE(LEFT(E1099,FIND("º",SUBSTITUTE(E1099,"°","º"))-1)),-1),IF(LEFT(E1099,6)="TÉRREO",0,IFERROR(VALUE(LEFT(E1099,FIND("º",SUBSTITUTE(E1099,"°","º"))-1)),""))))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27769236</v>
      </c>
      <c r="C1100" s="4" t="inlineStr">
        <is>
          <t>PRUMADA ELÉTRICA INFRA</t>
        </is>
      </c>
      <c r="D1100" s="4" t="inlineStr">
        <is>
          <t>-</t>
        </is>
      </c>
      <c r="E1100" s="4" t="inlineStr">
        <is>
          <t>12º PAV. TIPO</t>
        </is>
      </c>
      <c r="F1100" s="119" t="n">
        <v>46499</v>
      </c>
      <c r="G1100" s="119" t="n">
        <v>46511</v>
      </c>
      <c r="H1100" s="119" t="n">
        <v>46293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IF(E1100="","",IF(ISNUMBER(SEARCH("SUBSOLO",E1100)),IFERROR(-VALUE(LEFT(E1100,FIND("º",SUBSTITUTE(E1100,"°","º"))-1)),-1),IF(LEFT(E1100,6)="TÉRREO",0,IFERROR(VALUE(LEFT(E1100,FIND("º",SUBSTITUTE(E1100,"°","º"))-1)),""))))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25210262</v>
      </c>
      <c r="C1101" s="4" t="inlineStr">
        <is>
          <t>GÁS</t>
        </is>
      </c>
      <c r="D1101" s="4" t="inlineStr">
        <is>
          <t>-</t>
        </is>
      </c>
      <c r="E1101" s="4" t="inlineStr">
        <is>
          <t>20º PAV. TIPO</t>
        </is>
      </c>
      <c r="F1101" s="119" t="n">
        <v>46499</v>
      </c>
      <c r="G1101" s="119" t="n">
        <v>46511</v>
      </c>
      <c r="H1101" s="119" t="n">
        <v>46293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IF(E1101="","",IF(ISNUMBER(SEARCH("SUBSOLO",E1101)),IFERROR(-VALUE(LEFT(E1101,FIND("º",SUBSTITUTE(E1101,"°","º"))-1)),-1),IF(LEFT(E1101,6)="TÉRREO",0,IFERROR(VALUE(LEFT(E1101,FIND("º",SUBSTITUTE(E1101,"°","º"))-1)),""))))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29601302</v>
      </c>
      <c r="C1102" s="4" t="inlineStr">
        <is>
          <t>TALISCAMENTO</t>
        </is>
      </c>
      <c r="D1102" s="4" t="inlineStr">
        <is>
          <t>-</t>
        </is>
      </c>
      <c r="E1102" s="4" t="inlineStr">
        <is>
          <t>20º PAV. TIPO</t>
        </is>
      </c>
      <c r="F1102" s="119" t="n">
        <v>46499</v>
      </c>
      <c r="G1102" s="119" t="n">
        <v>46511</v>
      </c>
      <c r="H1102" s="119" t="n">
        <v>46293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IF(E1102="","",IF(ISNUMBER(SEARCH("SUBSOLO",E1102)),IFERROR(-VALUE(LEFT(E1102,FIND("º",SUBSTITUTE(E1102,"°","º"))-1)),-1),IF(LEFT(E1102,6)="TÉRREO",0,IFERROR(VALUE(LEFT(E1102,FIND("º",SUBSTITUTE(E1102,"°","º"))-1)),""))))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30642088</v>
      </c>
      <c r="C1103" s="4" t="inlineStr">
        <is>
          <t>RESERVATÓRIO - CAIXA DE DETENÇÃO</t>
        </is>
      </c>
      <c r="D1103" s="4" t="inlineStr">
        <is>
          <t>-</t>
        </is>
      </c>
      <c r="E1103" s="4" t="inlineStr">
        <is>
          <t>TÉRREO - GARAGENS</t>
        </is>
      </c>
      <c r="F1103" s="119" t="n">
        <v>46500</v>
      </c>
      <c r="G1103" s="119" t="n">
        <v>46594</v>
      </c>
      <c r="H1103" s="119" t="n">
        <v>46293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IF(E1103="","",IF(ISNUMBER(SEARCH("SUBSOLO",E1103)),IFERROR(-VALUE(LEFT(E1103,FIND("º",SUBSTITUTE(E1103,"°","º"))-1)),-1),IF(LEFT(E1103,6)="TÉRREO",0,IFERROR(VALUE(LEFT(E1103,FIND("º",SUBSTITUTE(E1103,"°","º"))-1)),""))))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25210328</v>
      </c>
      <c r="C1104" s="4" t="inlineStr">
        <is>
          <t>SHAFT INTERNO INST. HIDRAÚLICAS</t>
        </is>
      </c>
      <c r="D1104" s="4" t="inlineStr">
        <is>
          <t>-</t>
        </is>
      </c>
      <c r="E1104" s="4" t="inlineStr">
        <is>
          <t>18º PAV. TIPO</t>
        </is>
      </c>
      <c r="F1104" s="119" t="n">
        <v>46500</v>
      </c>
      <c r="G1104" s="119" t="n">
        <v>46512</v>
      </c>
      <c r="H1104" s="119" t="n">
        <v>46293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IF(E1104="","",IF(ISNUMBER(SEARCH("SUBSOLO",E1104)),IFERROR(-VALUE(LEFT(E1104,FIND("º",SUBSTITUTE(E1104,"°","º"))-1)),-1),IF(LEFT(E1104,6)="TÉRREO",0,IFERROR(VALUE(LEFT(E1104,FIND("º",SUBSTITUTE(E1104,"°","º"))-1)),""))))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25210254</v>
      </c>
      <c r="C1105" s="4" t="inlineStr">
        <is>
          <t>PRUMADA DE INCÊNDIO</t>
        </is>
      </c>
      <c r="D1105" s="4" t="inlineStr">
        <is>
          <t>-</t>
        </is>
      </c>
      <c r="E1105" s="4" t="inlineStr">
        <is>
          <t>20º PAV. TIPO</t>
        </is>
      </c>
      <c r="F1105" s="119" t="n">
        <v>46500</v>
      </c>
      <c r="G1105" s="119" t="n">
        <v>46512</v>
      </c>
      <c r="H1105" s="119" t="n">
        <v>46293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IF(E1105="","",IF(ISNUMBER(SEARCH("SUBSOLO",E1105)),IFERROR(-VALUE(LEFT(E1105,FIND("º",SUBSTITUTE(E1105,"°","º"))-1)),-1),IF(LEFT(E1105,6)="TÉRREO",0,IFERROR(VALUE(LEFT(E1105,FIND("º",SUBSTITUTE(E1105,"°","º"))-1)),""))))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25210183</v>
      </c>
      <c r="C1106" s="4" t="inlineStr">
        <is>
          <t>ALVENARIA</t>
        </is>
      </c>
      <c r="D1106" s="4" t="inlineStr">
        <is>
          <t>-</t>
        </is>
      </c>
      <c r="E1106" s="4" t="inlineStr">
        <is>
          <t>22º PAV. TIPO</t>
        </is>
      </c>
      <c r="F1106" s="119" t="n">
        <v>46503</v>
      </c>
      <c r="G1106" s="119" t="n">
        <v>46521</v>
      </c>
      <c r="H1106" s="119" t="n">
        <v>46293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IF(E1106="","",IF(ISNUMBER(SEARCH("SUBSOLO",E1106)),IFERROR(-VALUE(LEFT(E1106,FIND("º",SUBSTITUTE(E1106,"°","º"))-1)),-1),IF(LEFT(E1106,6)="TÉRREO",0,IFERROR(VALUE(LEFT(E1106,FIND("º",SUBSTITUTE(E1106,"°","º"))-1)),""))))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43846663</v>
      </c>
      <c r="C1107" s="4" t="inlineStr">
        <is>
          <t>ALVENARIA EXTERNA</t>
        </is>
      </c>
      <c r="D1107" s="4" t="inlineStr">
        <is>
          <t>-</t>
        </is>
      </c>
      <c r="E1107" s="4" t="inlineStr">
        <is>
          <t>27º PAV. -  DUPLEX SUPERIOR</t>
        </is>
      </c>
      <c r="F1107" s="119" t="n">
        <v>46503</v>
      </c>
      <c r="G1107" s="119" t="n">
        <v>46507</v>
      </c>
      <c r="H1107" s="119" t="n">
        <v>46293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IF(E1107="","",IF(ISNUMBER(SEARCH("SUBSOLO",E1107)),IFERROR(-VALUE(LEFT(E1107,FIND("º",SUBSTITUTE(E1107,"°","º"))-1)),-1),IF(LEFT(E1107,6)="TÉRREO",0,IFERROR(VALUE(LEFT(E1107,FIND("º",SUBSTITUTE(E1107,"°","º"))-1)),""))))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25210646</v>
      </c>
      <c r="C1108" s="4" t="inlineStr">
        <is>
          <t>DISTRIBUIÇÃO HIDROSSANITÁRIA</t>
        </is>
      </c>
      <c r="D1108" s="4" t="inlineStr">
        <is>
          <t>-</t>
        </is>
      </c>
      <c r="E1108" s="4" t="inlineStr">
        <is>
          <t>9º PAV. TIPO</t>
        </is>
      </c>
      <c r="F1108" s="119" t="n">
        <v>46504</v>
      </c>
      <c r="G1108" s="119" t="n">
        <v>46514</v>
      </c>
      <c r="H1108" s="119" t="n">
        <v>46293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IF(E1108="","",IF(ISNUMBER(SEARCH("SUBSOLO",E1108)),IFERROR(-VALUE(LEFT(E1108,FIND("º",SUBSTITUTE(E1108,"°","º"))-1)),-1),IF(LEFT(E1108,6)="TÉRREO",0,IFERROR(VALUE(LEFT(E1108,FIND("º",SUBSTITUTE(E1108,"°","º"))-1)),""))))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25210645</v>
      </c>
      <c r="C1109" s="4" t="inlineStr">
        <is>
          <t>DISTRIBUIÇÃO ELÉTRICA / QUADRO - SETOR B</t>
        </is>
      </c>
      <c r="D1109" s="4" t="inlineStr">
        <is>
          <t>-</t>
        </is>
      </c>
      <c r="E1109" s="4" t="inlineStr">
        <is>
          <t>9º PAV. TIPO</t>
        </is>
      </c>
      <c r="F1109" s="119" t="n">
        <v>46504</v>
      </c>
      <c r="G1109" s="119" t="n">
        <v>46514</v>
      </c>
      <c r="H1109" s="119" t="n">
        <v>46293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IF(E1109="","",IF(ISNUMBER(SEARCH("SUBSOLO",E1109)),IFERROR(-VALUE(LEFT(E1109,FIND("º",SUBSTITUTE(E1109,"°","º"))-1)),-1),IF(LEFT(E1109,6)="TÉRREO",0,IFERROR(VALUE(LEFT(E1109,FIND("º",SUBSTITUTE(E1109,"°","º"))-1)),""))))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33276735</v>
      </c>
      <c r="C1110" s="4" t="inlineStr">
        <is>
          <t>INFRAESTRUTURA ELÉTRICA - TETO</t>
        </is>
      </c>
      <c r="D1110" s="4" t="inlineStr">
        <is>
          <t>-</t>
        </is>
      </c>
      <c r="E1110" s="4" t="inlineStr">
        <is>
          <t>9º PAV. TIPO</t>
        </is>
      </c>
      <c r="F1110" s="119" t="n">
        <v>46504</v>
      </c>
      <c r="G1110" s="119" t="n">
        <v>46514</v>
      </c>
      <c r="H1110" s="119" t="n">
        <v>46293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IF(E1110="","",IF(ISNUMBER(SEARCH("SUBSOLO",E1110)),IFERROR(-VALUE(LEFT(E1110,FIND("º",SUBSTITUTE(E1110,"°","º"))-1)),-1),IF(LEFT(E1110,6)="TÉRREO",0,IFERROR(VALUE(LEFT(E1110,FIND("º",SUBSTITUTE(E1110,"°","º"))-1)),""))))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25210585</v>
      </c>
      <c r="C1111" s="4" t="inlineStr">
        <is>
          <t>REVESTIMENTOS PISO</t>
        </is>
      </c>
      <c r="D1111" s="4" t="inlineStr">
        <is>
          <t>-</t>
        </is>
      </c>
      <c r="E1111" s="4" t="inlineStr">
        <is>
          <t>11º PAV. TIPO</t>
        </is>
      </c>
      <c r="F1111" s="119" t="n">
        <v>46504</v>
      </c>
      <c r="G1111" s="119" t="n">
        <v>46517</v>
      </c>
      <c r="H1111" s="119" t="n">
        <v>46293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IF(E1111="","",IF(ISNUMBER(SEARCH("SUBSOLO",E1111)),IFERROR(-VALUE(LEFT(E1111,FIND("º",SUBSTITUTE(E1111,"°","º"))-1)),-1),IF(LEFT(E1111,6)="TÉRREO",0,IFERROR(VALUE(LEFT(E1111,FIND("º",SUBSTITUTE(E1111,"°","º"))-1)),""))))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25210542</v>
      </c>
      <c r="C1112" s="4" t="inlineStr">
        <is>
          <t>GÁS</t>
        </is>
      </c>
      <c r="D1112" s="4" t="inlineStr">
        <is>
          <t>-</t>
        </is>
      </c>
      <c r="E1112" s="4" t="inlineStr">
        <is>
          <t>12º PAV. TIPO</t>
        </is>
      </c>
      <c r="F1112" s="119" t="n">
        <v>46504</v>
      </c>
      <c r="G1112" s="119" t="n">
        <v>46514</v>
      </c>
      <c r="H1112" s="119" t="n">
        <v>46293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IF(E1112="","",IF(ISNUMBER(SEARCH("SUBSOLO",E1112)),IFERROR(-VALUE(LEFT(E1112,FIND("º",SUBSTITUTE(E1112,"°","º"))-1)),-1),IF(LEFT(E1112,6)="TÉRREO",0,IFERROR(VALUE(LEFT(E1112,FIND("º",SUBSTITUTE(E1112,"°","º"))-1)),""))))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29601158</v>
      </c>
      <c r="C1113" s="4" t="inlineStr">
        <is>
          <t>TALISCAMENTO</t>
        </is>
      </c>
      <c r="D1113" s="4" t="inlineStr">
        <is>
          <t>-</t>
        </is>
      </c>
      <c r="E1113" s="4" t="inlineStr">
        <is>
          <t>12º PAV. TIPO</t>
        </is>
      </c>
      <c r="F1113" s="119" t="n">
        <v>46504</v>
      </c>
      <c r="G1113" s="119" t="n">
        <v>46514</v>
      </c>
      <c r="H1113" s="119" t="n">
        <v>46293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IF(E1113="","",IF(ISNUMBER(SEARCH("SUBSOLO",E1113)),IFERROR(-VALUE(LEFT(E1113,FIND("º",SUBSTITUTE(E1113,"°","º"))-1)),-1),IF(LEFT(E1113,6)="TÉRREO",0,IFERROR(VALUE(LEFT(E1113,FIND("º",SUBSTITUTE(E1113,"°","º"))-1)),""))))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25210794</v>
      </c>
      <c r="C1114" s="4" t="inlineStr">
        <is>
          <t>ESQUADRIA</t>
        </is>
      </c>
      <c r="D1114" s="4" t="inlineStr">
        <is>
          <t>-</t>
        </is>
      </c>
      <c r="E1114" s="4" t="inlineStr">
        <is>
          <t>5º PAV. TIPO</t>
        </is>
      </c>
      <c r="F1114" s="119" t="n">
        <v>46507</v>
      </c>
      <c r="G1114" s="119" t="n">
        <v>46527</v>
      </c>
      <c r="H1114" s="119" t="n">
        <v>46293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IF(E1114="","",IF(ISNUMBER(SEARCH("SUBSOLO",E1114)),IFERROR(-VALUE(LEFT(E1114,FIND("º",SUBSTITUTE(E1114,"°","º"))-1)),-1),IF(LEFT(E1114,6)="TÉRREO",0,IFERROR(VALUE(LEFT(E1114,FIND("º",SUBSTITUTE(E1114,"°","º"))-1)),""))))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25210783</v>
      </c>
      <c r="C1115" s="4" t="inlineStr">
        <is>
          <t>SHAFT INTERNO INST. HIDRAÚLICAS</t>
        </is>
      </c>
      <c r="D1115" s="4" t="inlineStr">
        <is>
          <t>-</t>
        </is>
      </c>
      <c r="E1115" s="4" t="inlineStr">
        <is>
          <t>5º PAV. TIPO</t>
        </is>
      </c>
      <c r="F1115" s="119" t="n">
        <v>46507</v>
      </c>
      <c r="G1115" s="119" t="n">
        <v>46519</v>
      </c>
      <c r="H1115" s="119" t="n">
        <v>46293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IF(E1115="","",IF(ISNUMBER(SEARCH("SUBSOLO",E1115)),IFERROR(-VALUE(LEFT(E1115,FIND("º",SUBSTITUTE(E1115,"°","º"))-1)),-1),IF(LEFT(E1115,6)="TÉRREO",0,IFERROR(VALUE(LEFT(E1115,FIND("º",SUBSTITUTE(E1115,"°","º"))-1)),""))))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25210737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6º PAV. TIPO</t>
        </is>
      </c>
      <c r="F1116" s="119" t="n">
        <v>46507</v>
      </c>
      <c r="G1116" s="119" t="n">
        <v>46520</v>
      </c>
      <c r="H1116" s="119" t="n">
        <v>46293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IF(E1116="","",IF(ISNUMBER(SEARCH("SUBSOLO",E1116)),IFERROR(-VALUE(LEFT(E1116,FIND("º",SUBSTITUTE(E1116,"°","º"))-1)),-1),IF(LEFT(E1116,6)="TÉRREO",0,IFERROR(VALUE(LEFT(E1116,FIND("º",SUBSTITUTE(E1116,"°","º"))-1)),""))))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25210683</v>
      </c>
      <c r="C1117" s="4" t="inlineStr">
        <is>
          <t>REBOCO INTERNO</t>
        </is>
      </c>
      <c r="D1117" s="4" t="inlineStr">
        <is>
          <t>-</t>
        </is>
      </c>
      <c r="E1117" s="4" t="inlineStr">
        <is>
          <t>8º PAV. TIPO</t>
        </is>
      </c>
      <c r="F1117" s="119" t="n">
        <v>46507</v>
      </c>
      <c r="G1117" s="119" t="n">
        <v>46527</v>
      </c>
      <c r="H1117" s="119" t="n">
        <v>46293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IF(E1117="","",IF(ISNUMBER(SEARCH("SUBSOLO",E1117)),IFERROR(-VALUE(LEFT(E1117,FIND("º",SUBSTITUTE(E1117,"°","º"))-1)),-1),IF(LEFT(E1117,6)="TÉRREO",0,IFERROR(VALUE(LEFT(E1117,FIND("º",SUBSTITUTE(E1117,"°","º"))-1)),""))))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25210679</v>
      </c>
      <c r="C1118" s="4" t="inlineStr">
        <is>
          <t>ESPALA ESQUADRIA DE ALUMINIO</t>
        </is>
      </c>
      <c r="D1118" s="4" t="inlineStr">
        <is>
          <t>-</t>
        </is>
      </c>
      <c r="E1118" s="4" t="inlineStr">
        <is>
          <t>8º PAV. TIPO</t>
        </is>
      </c>
      <c r="F1118" s="119" t="n">
        <v>46507</v>
      </c>
      <c r="G1118" s="119" t="n">
        <v>46513</v>
      </c>
      <c r="H1118" s="119" t="n">
        <v>46293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IF(E1118="","",IF(ISNUMBER(SEARCH("SUBSOLO",E1118)),IFERROR(-VALUE(LEFT(E1118,FIND("º",SUBSTITUTE(E1118,"°","º"))-1)),-1),IF(LEFT(E1118,6)="TÉRREO",0,IFERROR(VALUE(LEFT(E1118,FIND("º",SUBSTITUTE(E1118,"°","º"))-1)),""))))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25807551</v>
      </c>
      <c r="C1119" s="4" t="inlineStr">
        <is>
          <t>FORRO</t>
        </is>
      </c>
      <c r="D1119" s="4" t="inlineStr">
        <is>
          <t>-</t>
        </is>
      </c>
      <c r="E1119" s="4" t="inlineStr">
        <is>
          <t>3º PAV. ESPAÇO THERMAS, PISCINA COBERTA, SAUNAS E VESTIÁRIOS</t>
        </is>
      </c>
      <c r="F1119" s="119" t="n">
        <v>46510</v>
      </c>
      <c r="G1119" s="119" t="n">
        <v>46540</v>
      </c>
      <c r="H1119" s="119" t="n">
        <v>46293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IF(E1119="","",IF(ISNUMBER(SEARCH("SUBSOLO",E1119)),IFERROR(-VALUE(LEFT(E1119,FIND("º",SUBSTITUTE(E1119,"°","º"))-1)),-1),IF(LEFT(E1119,6)="TÉRREO",0,IFERROR(VALUE(LEFT(E1119,FIND("º",SUBSTITUTE(E1119,"°","º"))-1)),""))))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25799975</v>
      </c>
      <c r="C1120" s="4" t="inlineStr">
        <is>
          <t>ALVENARIA</t>
        </is>
      </c>
      <c r="D1120" s="4" t="inlineStr">
        <is>
          <t>-</t>
        </is>
      </c>
      <c r="E1120" s="4" t="inlineStr">
        <is>
          <t>3º PAV. - ESPAÇO KIDS E GOURMET, SALÃO DE FESTAS E APOIO, LOBBY PILOTIS</t>
        </is>
      </c>
      <c r="F1120" s="119" t="n">
        <v>46510</v>
      </c>
      <c r="G1120" s="119" t="n">
        <v>46521</v>
      </c>
      <c r="H1120" s="119" t="n">
        <v>46293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IF(E1120="","",IF(ISNUMBER(SEARCH("SUBSOLO",E1120)),IFERROR(-VALUE(LEFT(E1120,FIND("º",SUBSTITUTE(E1120,"°","º"))-1)),-1),IF(LEFT(E1120,6)="TÉRREO",0,IFERROR(VALUE(LEFT(E1120,FIND("º",SUBSTITUTE(E1120,"°","º"))-1)),""))))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27765761</v>
      </c>
      <c r="C1121" s="4" t="inlineStr">
        <is>
          <t>DRENO + ATERRO JARDINEIRAS</t>
        </is>
      </c>
      <c r="D1121" s="4" t="inlineStr">
        <is>
          <t>-</t>
        </is>
      </c>
      <c r="E1121" s="4" t="inlineStr">
        <is>
          <t>17º PAV. TIPO</t>
        </is>
      </c>
      <c r="F1121" s="119" t="n">
        <v>46510</v>
      </c>
      <c r="G1121" s="119" t="n">
        <v>46520</v>
      </c>
      <c r="H1121" s="119" t="n">
        <v>46293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IF(E1121="","",IF(ISNUMBER(SEARCH("SUBSOLO",E1121)),IFERROR(-VALUE(LEFT(E1121,FIND("º",SUBSTITUTE(E1121,"°","º"))-1)),-1),IF(LEFT(E1121,6)="TÉRREO",0,IFERROR(VALUE(LEFT(E1121,FIND("º",SUBSTITUTE(E1121,"°","º"))-1)),""))))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25210298</v>
      </c>
      <c r="C1122" s="4" t="inlineStr">
        <is>
          <t>REBOCO INTERNO</t>
        </is>
      </c>
      <c r="D1122" s="4" t="inlineStr">
        <is>
          <t>-</t>
        </is>
      </c>
      <c r="E1122" s="4" t="inlineStr">
        <is>
          <t>19º PAV. TIPO</t>
        </is>
      </c>
      <c r="F1122" s="119" t="n">
        <v>46510</v>
      </c>
      <c r="G1122" s="119" t="n">
        <v>46528</v>
      </c>
      <c r="H1122" s="119" t="n">
        <v>46293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IF(E1122="","",IF(ISNUMBER(SEARCH("SUBSOLO",E1122)),IFERROR(-VALUE(LEFT(E1122,FIND("º",SUBSTITUTE(E1122,"°","º"))-1)),-1),IF(LEFT(E1122,6)="TÉRREO",0,IFERROR(VALUE(LEFT(E1122,FIND("º",SUBSTITUTE(E1122,"°","º"))-1)),""))))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25210294</v>
      </c>
      <c r="C1123" s="4" t="inlineStr">
        <is>
          <t>ESPALA ESQUADRIA DE ALUMINIO</t>
        </is>
      </c>
      <c r="D1123" s="4" t="inlineStr">
        <is>
          <t>-</t>
        </is>
      </c>
      <c r="E1123" s="4" t="inlineStr">
        <is>
          <t>19º PAV. TIPO</t>
        </is>
      </c>
      <c r="F1123" s="119" t="n">
        <v>46510</v>
      </c>
      <c r="G1123" s="119" t="n">
        <v>46514</v>
      </c>
      <c r="H1123" s="119" t="n">
        <v>46293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IF(E1123="","",IF(ISNUMBER(SEARCH("SUBSOLO",E1123)),IFERROR(-VALUE(LEFT(E1123,FIND("º",SUBSTITUTE(E1123,"°","º"))-1)),-1),IF(LEFT(E1123,6)="TÉRREO",0,IFERROR(VALUE(LEFT(E1123,FIND("º",SUBSTITUTE(E1123,"°","º"))-1)),""))))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27762187</v>
      </c>
      <c r="C1124" s="4" t="inlineStr">
        <is>
          <t>TRATAMENTO ACÚSTICO</t>
        </is>
      </c>
      <c r="D1124" s="4" t="inlineStr">
        <is>
          <t>-</t>
        </is>
      </c>
      <c r="E1124" s="4" t="inlineStr">
        <is>
          <t>4° PAV. APTO GARDEN</t>
        </is>
      </c>
      <c r="F1124" s="119" t="n">
        <v>46512</v>
      </c>
      <c r="G1124" s="119" t="n">
        <v>46512</v>
      </c>
      <c r="H1124" s="119" t="n">
        <v>46293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IF(E1124="","",IF(ISNUMBER(SEARCH("SUBSOLO",E1124)),IFERROR(-VALUE(LEFT(E1124,FIND("º",SUBSTITUTE(E1124,"°","º"))-1)),-1),IF(LEFT(E1124,6)="TÉRREO",0,IFERROR(VALUE(LEFT(E1124,FIND("º",SUBSTITUTE(E1124,"°","º"))-1)),""))))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25210600</v>
      </c>
      <c r="C1125" s="4" t="inlineStr">
        <is>
          <t>FIAÇÃO ELÉTRICA</t>
        </is>
      </c>
      <c r="D1125" s="4" t="inlineStr">
        <is>
          <t>-</t>
        </is>
      </c>
      <c r="E1125" s="4" t="inlineStr">
        <is>
          <t>10º PAV. TIPO</t>
        </is>
      </c>
      <c r="F1125" s="119" t="n">
        <v>46512</v>
      </c>
      <c r="G1125" s="119" t="n">
        <v>46532</v>
      </c>
      <c r="H1125" s="119" t="n">
        <v>46293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IF(E1125="","",IF(ISNUMBER(SEARCH("SUBSOLO",E1125)),IFERROR(-VALUE(LEFT(E1125,FIND("º",SUBSTITUTE(E1125,"°","º"))-1)),-1),IF(LEFT(E1125,6)="TÉRREO",0,IFERROR(VALUE(LEFT(E1125,FIND("º",SUBSTITUTE(E1125,"°","º"))-1)),""))))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25210631</v>
      </c>
      <c r="C1126" s="4" t="inlineStr">
        <is>
          <t>VENTILAÇÃO / EXAUSTÃO</t>
        </is>
      </c>
      <c r="D1126" s="4" t="inlineStr">
        <is>
          <t>-</t>
        </is>
      </c>
      <c r="E1126" s="4" t="inlineStr">
        <is>
          <t>10º PAV. TIPO</t>
        </is>
      </c>
      <c r="F1126" s="119" t="n">
        <v>46512</v>
      </c>
      <c r="G1126" s="119" t="n">
        <v>46518</v>
      </c>
      <c r="H1126" s="119" t="n">
        <v>46293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IF(E1126="","",IF(ISNUMBER(SEARCH("SUBSOLO",E1126)),IFERROR(-VALUE(LEFT(E1126,FIND("º",SUBSTITUTE(E1126,"°","º"))-1)),-1),IF(LEFT(E1126,6)="TÉRREO",0,IFERROR(VALUE(LEFT(E1126,FIND("º",SUBSTITUTE(E1126,"°","º"))-1)),""))))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25210261</v>
      </c>
      <c r="C1127" s="4" t="inlineStr">
        <is>
          <t>DISTRIBUIÇÃO HIDROSSANITÁRIA</t>
        </is>
      </c>
      <c r="D1127" s="4" t="inlineStr">
        <is>
          <t>-</t>
        </is>
      </c>
      <c r="E1127" s="4" t="inlineStr">
        <is>
          <t>20º PAV. TIPO</t>
        </is>
      </c>
      <c r="F1127" s="119" t="n">
        <v>46512</v>
      </c>
      <c r="G1127" s="119" t="n">
        <v>46524</v>
      </c>
      <c r="H1127" s="119" t="n">
        <v>46293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IF(E1127="","",IF(ISNUMBER(SEARCH("SUBSOLO",E1127)),IFERROR(-VALUE(LEFT(E1127,FIND("º",SUBSTITUTE(E1127,"°","º"))-1)),-1),IF(LEFT(E1127,6)="TÉRREO",0,IFERROR(VALUE(LEFT(E1127,FIND("º",SUBSTITUTE(E1127,"°","º"))-1)),""))))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25210260</v>
      </c>
      <c r="C1128" s="4" t="inlineStr">
        <is>
          <t>DISTRIBUIÇÃO ELÉTRICA / QUADRO - SETOR B</t>
        </is>
      </c>
      <c r="D1128" s="4" t="inlineStr">
        <is>
          <t>-</t>
        </is>
      </c>
      <c r="E1128" s="4" t="inlineStr">
        <is>
          <t>20º PAV. TIPO</t>
        </is>
      </c>
      <c r="F1128" s="119" t="n">
        <v>46512</v>
      </c>
      <c r="G1128" s="119" t="n">
        <v>46524</v>
      </c>
      <c r="H1128" s="119" t="n">
        <v>46293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IF(E1128="","",IF(ISNUMBER(SEARCH("SUBSOLO",E1128)),IFERROR(-VALUE(LEFT(E1128,FIND("º",SUBSTITUTE(E1128,"°","º"))-1)),-1),IF(LEFT(E1128,6)="TÉRREO",0,IFERROR(VALUE(LEFT(E1128,FIND("º",SUBSTITUTE(E1128,"°","º"))-1)),""))))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33276746</v>
      </c>
      <c r="C1129" s="4" t="inlineStr">
        <is>
          <t>INFRAESTRUTURA ELÉTRICA - TETO</t>
        </is>
      </c>
      <c r="D1129" s="4" t="inlineStr">
        <is>
          <t>-</t>
        </is>
      </c>
      <c r="E1129" s="4" t="inlineStr">
        <is>
          <t>20º PAV. TIPO</t>
        </is>
      </c>
      <c r="F1129" s="119" t="n">
        <v>46512</v>
      </c>
      <c r="G1129" s="119" t="n">
        <v>46524</v>
      </c>
      <c r="H1129" s="119" t="n">
        <v>46293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IF(E1129="","",IF(ISNUMBER(SEARCH("SUBSOLO",E1129)),IFERROR(-VALUE(LEFT(E1129,FIND("º",SUBSTITUTE(E1129,"°","º"))-1)),-1),IF(LEFT(E1129,6)="TÉRREO",0,IFERROR(VALUE(LEFT(E1129,FIND("º",SUBSTITUTE(E1129,"°","º"))-1)),""))))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25210815</v>
      </c>
      <c r="C1130" s="4" t="inlineStr">
        <is>
          <t>IMPERMEABILIZAÇÃO VARANDA E JARDINEIRAS</t>
        </is>
      </c>
      <c r="D1130" s="4" t="inlineStr">
        <is>
          <t>-</t>
        </is>
      </c>
      <c r="E1130" s="4" t="inlineStr">
        <is>
          <t>4° PAV. APTO GARDEN</t>
        </is>
      </c>
      <c r="F1130" s="119" t="n">
        <v>46513</v>
      </c>
      <c r="G1130" s="119" t="n">
        <v>46525</v>
      </c>
      <c r="H1130" s="119" t="n">
        <v>46293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IF(E1130="","",IF(ISNUMBER(SEARCH("SUBSOLO",E1130)),IFERROR(-VALUE(LEFT(E1130,FIND("º",SUBSTITUTE(E1130,"°","º"))-1)),-1),IF(LEFT(E1130,6)="TÉRREO",0,IFERROR(VALUE(LEFT(E1130,FIND("º",SUBSTITUTE(E1130,"°","º"))-1)),""))))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25210337</v>
      </c>
      <c r="C1131" s="4" t="inlineStr">
        <is>
          <t>IMPERMEABILIZAÇÃO INTERNA</t>
        </is>
      </c>
      <c r="D1131" s="4" t="inlineStr">
        <is>
          <t>-</t>
        </is>
      </c>
      <c r="E1131" s="4" t="inlineStr">
        <is>
          <t>18º PAV. TIPO</t>
        </is>
      </c>
      <c r="F1131" s="119" t="n">
        <v>46513</v>
      </c>
      <c r="G1131" s="119" t="n">
        <v>46525</v>
      </c>
      <c r="H1131" s="119" t="n">
        <v>46293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IF(E1131="","",IF(ISNUMBER(SEARCH("SUBSOLO",E1131)),IFERROR(-VALUE(LEFT(E1131,FIND("º",SUBSTITUTE(E1131,"°","º"))-1)),-1),IF(LEFT(E1131,6)="TÉRREO",0,IFERROR(VALUE(LEFT(E1131,FIND("º",SUBSTITUTE(E1131,"°","º"))-1)),""))))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25210642</v>
      </c>
      <c r="C1132" s="4" t="inlineStr">
        <is>
          <t>CONTRAMARCO</t>
        </is>
      </c>
      <c r="D1132" s="4" t="inlineStr">
        <is>
          <t>-</t>
        </is>
      </c>
      <c r="E1132" s="4" t="inlineStr">
        <is>
          <t>9º PAV. TIPO</t>
        </is>
      </c>
      <c r="F1132" s="119" t="n">
        <v>46517</v>
      </c>
      <c r="G1132" s="119" t="n">
        <v>46527</v>
      </c>
      <c r="H1132" s="119" t="n">
        <v>46293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IF(E1132="","",IF(ISNUMBER(SEARCH("SUBSOLO",E1132)),IFERROR(-VALUE(LEFT(E1132,FIND("º",SUBSTITUTE(E1132,"°","º"))-1)),-1),IF(LEFT(E1132,6)="TÉRREO",0,IFERROR(VALUE(LEFT(E1132,FIND("º",SUBSTITUTE(E1132,"°","º"))-1)),""))))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29601060</v>
      </c>
      <c r="C1133" s="4" t="inlineStr">
        <is>
          <t>ENCUNHAMENTO</t>
        </is>
      </c>
      <c r="D1133" s="4" t="inlineStr">
        <is>
          <t>-</t>
        </is>
      </c>
      <c r="E1133" s="4" t="inlineStr">
        <is>
          <t>9º PAV. TIPO</t>
        </is>
      </c>
      <c r="F1133" s="119" t="n">
        <v>46517</v>
      </c>
      <c r="G1133" s="119" t="n">
        <v>46527</v>
      </c>
      <c r="H1133" s="119" t="n">
        <v>46293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IF(E1133="","",IF(ISNUMBER(SEARCH("SUBSOLO",E1133)),IFERROR(-VALUE(LEFT(E1133,FIND("º",SUBSTITUTE(E1133,"°","º"))-1)),-1),IF(LEFT(E1133,6)="TÉRREO",0,IFERROR(VALUE(LEFT(E1133,FIND("º",SUBSTITUTE(E1133,"°","º"))-1)),""))))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25210541</v>
      </c>
      <c r="C1134" s="4" t="inlineStr">
        <is>
          <t>DISTRIBUIÇÃO HIDROSSANITÁRIA</t>
        </is>
      </c>
      <c r="D1134" s="4" t="inlineStr">
        <is>
          <t>-</t>
        </is>
      </c>
      <c r="E1134" s="4" t="inlineStr">
        <is>
          <t>12º PAV. TIPO</t>
        </is>
      </c>
      <c r="F1134" s="119" t="n">
        <v>46517</v>
      </c>
      <c r="G1134" s="119" t="n">
        <v>46527</v>
      </c>
      <c r="H1134" s="119" t="n">
        <v>46293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IF(E1134="","",IF(ISNUMBER(SEARCH("SUBSOLO",E1134)),IFERROR(-VALUE(LEFT(E1134,FIND("º",SUBSTITUTE(E1134,"°","º"))-1)),-1),IF(LEFT(E1134,6)="TÉRREO",0,IFERROR(VALUE(LEFT(E1134,FIND("º",SUBSTITUTE(E1134,"°","º"))-1)),""))))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25210540</v>
      </c>
      <c r="C1135" s="4" t="inlineStr">
        <is>
          <t>DISTRIBUIÇÃO ELÉTRICA / QUADRO - SETOR B</t>
        </is>
      </c>
      <c r="D1135" s="4" t="inlineStr">
        <is>
          <t>-</t>
        </is>
      </c>
      <c r="E1135" s="4" t="inlineStr">
        <is>
          <t>12º PAV. TIPO</t>
        </is>
      </c>
      <c r="F1135" s="119" t="n">
        <v>46517</v>
      </c>
      <c r="G1135" s="119" t="n">
        <v>46527</v>
      </c>
      <c r="H1135" s="119" t="n">
        <v>46293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IF(E1135="","",IF(ISNUMBER(SEARCH("SUBSOLO",E1135)),IFERROR(-VALUE(LEFT(E1135,FIND("º",SUBSTITUTE(E1135,"°","º"))-1)),-1),IF(LEFT(E1135,6)="TÉRREO",0,IFERROR(VALUE(LEFT(E1135,FIND("º",SUBSTITUTE(E1135,"°","º"))-1)),""))))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33276738</v>
      </c>
      <c r="C1136" s="4" t="inlineStr">
        <is>
          <t>INFRAESTRUTURA ELÉTRICA - TETO</t>
        </is>
      </c>
      <c r="D1136" s="4" t="inlineStr">
        <is>
          <t>-</t>
        </is>
      </c>
      <c r="E1136" s="4" t="inlineStr">
        <is>
          <t>12º PAV. TIPO</t>
        </is>
      </c>
      <c r="F1136" s="119" t="n">
        <v>46517</v>
      </c>
      <c r="G1136" s="119" t="n">
        <v>46527</v>
      </c>
      <c r="H1136" s="119" t="n">
        <v>46293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IF(E1136="","",IF(ISNUMBER(SEARCH("SUBSOLO",E1136)),IFERROR(-VALUE(LEFT(E1136,FIND("º",SUBSTITUTE(E1136,"°","º"))-1)),-1),IF(LEFT(E1136,6)="TÉRREO",0,IFERROR(VALUE(LEFT(E1136,FIND("º",SUBSTITUTE(E1136,"°","º"))-1)),""))))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25210564</v>
      </c>
      <c r="C1137" s="4" t="inlineStr">
        <is>
          <t>BANCADAS</t>
        </is>
      </c>
      <c r="D1137" s="4" t="inlineStr">
        <is>
          <t>-</t>
        </is>
      </c>
      <c r="E1137" s="4" t="inlineStr">
        <is>
          <t>11º PAV. TIPO</t>
        </is>
      </c>
      <c r="F1137" s="119" t="n">
        <v>46518</v>
      </c>
      <c r="G1137" s="119" t="n">
        <v>46531</v>
      </c>
      <c r="H1137" s="119" t="n">
        <v>46293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IF(E1137="","",IF(ISNUMBER(SEARCH("SUBSOLO",E1137)),IFERROR(-VALUE(LEFT(E1137,FIND("º",SUBSTITUTE(E1137,"°","º"))-1)),-1),IF(LEFT(E1137,6)="TÉRREO",0,IFERROR(VALUE(LEFT(E1137,FIND("º",SUBSTITUTE(E1137,"°","º"))-1)),""))))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25210723</v>
      </c>
      <c r="C1138" s="4" t="inlineStr">
        <is>
          <t>FORRO</t>
        </is>
      </c>
      <c r="D1138" s="4" t="inlineStr">
        <is>
          <t>-</t>
        </is>
      </c>
      <c r="E1138" s="4" t="inlineStr">
        <is>
          <t>7º PAV. TIPO</t>
        </is>
      </c>
      <c r="F1138" s="119" t="n">
        <v>46519</v>
      </c>
      <c r="G1138" s="119" t="n">
        <v>46540</v>
      </c>
      <c r="H1138" s="119" t="n">
        <v>46293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IF(E1138="","",IF(ISNUMBER(SEARCH("SUBSOLO",E1138)),IFERROR(-VALUE(LEFT(E1138,FIND("º",SUBSTITUTE(E1138,"°","º"))-1)),-1),IF(LEFT(E1138,6)="TÉRREO",0,IFERROR(VALUE(LEFT(E1138,FIND("º",SUBSTITUTE(E1138,"°","º"))-1)),""))))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25210428</v>
      </c>
      <c r="C1139" s="4" t="inlineStr">
        <is>
          <t>ALVENARIA</t>
        </is>
      </c>
      <c r="D1139" s="4" t="inlineStr">
        <is>
          <t>-</t>
        </is>
      </c>
      <c r="E1139" s="4" t="inlineStr">
        <is>
          <t>15º PAV. TIPO</t>
        </is>
      </c>
      <c r="F1139" s="119" t="n">
        <v>46519</v>
      </c>
      <c r="G1139" s="119" t="n">
        <v>46540</v>
      </c>
      <c r="H1139" s="119" t="n">
        <v>46293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IF(E1139="","",IF(ISNUMBER(SEARCH("SUBSOLO",E1139)),IFERROR(-VALUE(LEFT(E1139,FIND("º",SUBSTITUTE(E1139,"°","º"))-1)),-1),IF(LEFT(E1139,6)="TÉRREO",0,IFERROR(VALUE(LEFT(E1139,FIND("º",SUBSTITUTE(E1139,"°","º"))-1)),""))))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33276116</v>
      </c>
      <c r="C1140" s="4" t="inlineStr">
        <is>
          <t>INFRAESTRUTURA - AR CONDICIONADO</t>
        </is>
      </c>
      <c r="D1140" s="4" t="inlineStr">
        <is>
          <t>-</t>
        </is>
      </c>
      <c r="E1140" s="4" t="inlineStr">
        <is>
          <t>16º PAV. TIPO</t>
        </is>
      </c>
      <c r="F1140" s="119" t="n">
        <v>46519</v>
      </c>
      <c r="G1140" s="119" t="n">
        <v>46540</v>
      </c>
      <c r="H1140" s="119" t="n">
        <v>46293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IF(E1140="","",IF(ISNUMBER(SEARCH("SUBSOLO",E1140)),IFERROR(-VALUE(LEFT(E1140,FIND("º",SUBSTITUTE(E1140,"°","º"))-1)),-1),IF(LEFT(E1140,6)="TÉRREO",0,IFERROR(VALUE(LEFT(E1140,FIND("º",SUBSTITUTE(E1140,"°","º"))-1)),""))))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33278923</v>
      </c>
      <c r="C1141" s="4" t="inlineStr">
        <is>
          <t>INFRAESTRUTURA ELÉTRICA - PAREDES</t>
        </is>
      </c>
      <c r="D1141" s="4" t="inlineStr">
        <is>
          <t>-</t>
        </is>
      </c>
      <c r="E1141" s="4" t="inlineStr">
        <is>
          <t>16º PAV. TIPO</t>
        </is>
      </c>
      <c r="F1141" s="119" t="n">
        <v>46519</v>
      </c>
      <c r="G1141" s="119" t="n">
        <v>46540</v>
      </c>
      <c r="H1141" s="119" t="n">
        <v>46293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IF(E1141="","",IF(ISNUMBER(SEARCH("SUBSOLO",E1141)),IFERROR(-VALUE(LEFT(E1141,FIND("º",SUBSTITUTE(E1141,"°","º"))-1)),-1),IF(LEFT(E1141,6)="TÉRREO",0,IFERROR(VALUE(LEFT(E1141,FIND("º",SUBSTITUTE(E1141,"°","º"))-1)),""))))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25210371</v>
      </c>
      <c r="C1142" s="4" t="inlineStr">
        <is>
          <t>CONTRAPISO</t>
        </is>
      </c>
      <c r="D1142" s="4" t="inlineStr">
        <is>
          <t>-</t>
        </is>
      </c>
      <c r="E1142" s="4" t="inlineStr">
        <is>
          <t>17º PAV. TIPO</t>
        </is>
      </c>
      <c r="F1142" s="119" t="n">
        <v>46519</v>
      </c>
      <c r="G1142" s="119" t="n">
        <v>46532</v>
      </c>
      <c r="H1142" s="119" t="n">
        <v>46293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IF(E1142="","",IF(ISNUMBER(SEARCH("SUBSOLO",E1142)),IFERROR(-VALUE(LEFT(E1142,FIND("º",SUBSTITUTE(E1142,"°","º"))-1)),-1),IF(LEFT(E1142,6)="TÉRREO",0,IFERROR(VALUE(LEFT(E1142,FIND("º",SUBSTITUTE(E1142,"°","º"))-1)),""))))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25210792</v>
      </c>
      <c r="C1143" s="4" t="inlineStr">
        <is>
          <t>IMPERMEABILIZAÇÃO INTERNA</t>
        </is>
      </c>
      <c r="D1143" s="4" t="inlineStr">
        <is>
          <t>-</t>
        </is>
      </c>
      <c r="E1143" s="4" t="inlineStr">
        <is>
          <t>5º PAV. TIPO</t>
        </is>
      </c>
      <c r="F1143" s="119" t="n">
        <v>46520</v>
      </c>
      <c r="G1143" s="119" t="n">
        <v>46532</v>
      </c>
      <c r="H1143" s="119" t="n">
        <v>46293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IF(E1143="","",IF(ISNUMBER(SEARCH("SUBSOLO",E1143)),IFERROR(-VALUE(LEFT(E1143,FIND("º",SUBSTITUTE(E1143,"°","º"))-1)),-1),IF(LEFT(E1143,6)="TÉRREO",0,IFERROR(VALUE(LEFT(E1143,FIND("º",SUBSTITUTE(E1143,"°","º"))-1)),""))))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25210474</v>
      </c>
      <c r="C1144" s="4" t="inlineStr">
        <is>
          <t>PRUMADA HIDROSSANITÁRIA</t>
        </is>
      </c>
      <c r="D1144" s="4" t="inlineStr">
        <is>
          <t>-</t>
        </is>
      </c>
      <c r="E1144" s="4" t="inlineStr">
        <is>
          <t>14º PAV. TIPO</t>
        </is>
      </c>
      <c r="F1144" s="119" t="n">
        <v>46520</v>
      </c>
      <c r="G1144" s="119" t="n">
        <v>46532</v>
      </c>
      <c r="H1144" s="119" t="n">
        <v>46293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IF(E1144="","",IF(ISNUMBER(SEARCH("SUBSOLO",E1144)),IFERROR(-VALUE(LEFT(E1144,FIND("º",SUBSTITUTE(E1144,"°","º"))-1)),-1),IF(LEFT(E1144,6)="TÉRREO",0,IFERROR(VALUE(LEFT(E1144,FIND("º",SUBSTITUTE(E1144,"°","º"))-1)),""))))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25210464</v>
      </c>
      <c r="C1145" s="4" t="inlineStr">
        <is>
          <t>PRUMADA DE INCÊNDIO</t>
        </is>
      </c>
      <c r="D1145" s="4" t="inlineStr">
        <is>
          <t>-</t>
        </is>
      </c>
      <c r="E1145" s="4" t="inlineStr">
        <is>
          <t>14º PAV. TIPO</t>
        </is>
      </c>
      <c r="F1145" s="119" t="n">
        <v>46520</v>
      </c>
      <c r="G1145" s="119" t="n">
        <v>46532</v>
      </c>
      <c r="H1145" s="119" t="n">
        <v>46293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IF(E1145="","",IF(ISNUMBER(SEARCH("SUBSOLO",E1145)),IFERROR(-VALUE(LEFT(E1145,FIND("º",SUBSTITUTE(E1145,"°","º"))-1)),-1),IF(LEFT(E1145,6)="TÉRREO",0,IFERROR(VALUE(LEFT(E1145,FIND("º",SUBSTITUTE(E1145,"°","º"))-1)),""))))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25210738</v>
      </c>
      <c r="C1146" s="4" t="inlineStr">
        <is>
          <t>PINTURA 1º DEMÃO</t>
        </is>
      </c>
      <c r="D1146" s="4" t="inlineStr">
        <is>
          <t>-</t>
        </is>
      </c>
      <c r="E1146" s="4" t="inlineStr">
        <is>
          <t>6º PAV. TIPO</t>
        </is>
      </c>
      <c r="F1146" s="119" t="n">
        <v>46521</v>
      </c>
      <c r="G1146" s="119" t="n">
        <v>46535</v>
      </c>
      <c r="H1146" s="119" t="n">
        <v>46293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IF(E1146="","",IF(ISNUMBER(SEARCH("SUBSOLO",E1146)),IFERROR(-VALUE(LEFT(E1146,FIND("º",SUBSTITUTE(E1146,"°","º"))-1)),-1),IF(LEFT(E1146,6)="TÉRREO",0,IFERROR(VALUE(LEFT(E1146,FIND("º",SUBSTITUTE(E1146,"°","º"))-1)),""))))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25799976</v>
      </c>
      <c r="C1147" s="4" t="inlineStr">
        <is>
          <t>PRUMADA DE INCÊNDIO</t>
        </is>
      </c>
      <c r="D1147" s="4" t="inlineStr">
        <is>
          <t>-</t>
        </is>
      </c>
      <c r="E1147" s="4" t="inlineStr">
        <is>
          <t>3º PAV. - ESPAÇO KIDS E GOURMET, SALÃO DE FESTAS E APOIO, LOBBY PILOTIS</t>
        </is>
      </c>
      <c r="F1147" s="119" t="n">
        <v>46524</v>
      </c>
      <c r="G1147" s="119" t="n">
        <v>46528</v>
      </c>
      <c r="H1147" s="119" t="n">
        <v>46293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IF(E1147="","",IF(ISNUMBER(SEARCH("SUBSOLO",E1147)),IFERROR(-VALUE(LEFT(E1147,FIND("º",SUBSTITUTE(E1147,"°","º"))-1)),-1),IF(LEFT(E1147,6)="TÉRREO",0,IFERROR(VALUE(LEFT(E1147,FIND("º",SUBSTITUTE(E1147,"°","º"))-1)),""))))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25210148</v>
      </c>
      <c r="C1148" s="4" t="inlineStr">
        <is>
          <t>ALVENARIA</t>
        </is>
      </c>
      <c r="D1148" s="4" t="inlineStr">
        <is>
          <t>-</t>
        </is>
      </c>
      <c r="E1148" s="4" t="inlineStr">
        <is>
          <t>23º PAV. TIPO</t>
        </is>
      </c>
      <c r="F1148" s="119" t="n">
        <v>46524</v>
      </c>
      <c r="G1148" s="119" t="n">
        <v>46545</v>
      </c>
      <c r="H1148" s="119" t="n">
        <v>46293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IF(E1148="","",IF(ISNUMBER(SEARCH("SUBSOLO",E1148)),IFERROR(-VALUE(LEFT(E1148,FIND("º",SUBSTITUTE(E1148,"°","º"))-1)),-1),IF(LEFT(E1148,6)="TÉRREO",0,IFERROR(VALUE(LEFT(E1148,FIND("º",SUBSTITUTE(E1148,"°","º"))-1)),""))))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25210257</v>
      </c>
      <c r="C1149" s="4" t="inlineStr">
        <is>
          <t>CONTRAMARCO</t>
        </is>
      </c>
      <c r="D1149" s="4" t="inlineStr">
        <is>
          <t>-</t>
        </is>
      </c>
      <c r="E1149" s="4" t="inlineStr">
        <is>
          <t>20º PAV. TIPO</t>
        </is>
      </c>
      <c r="F1149" s="119" t="n">
        <v>46525</v>
      </c>
      <c r="G1149" s="119" t="n">
        <v>46538</v>
      </c>
      <c r="H1149" s="119" t="n">
        <v>46293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IF(E1149="","",IF(ISNUMBER(SEARCH("SUBSOLO",E1149)),IFERROR(-VALUE(LEFT(E1149,FIND("º",SUBSTITUTE(E1149,"°","º"))-1)),-1),IF(LEFT(E1149,6)="TÉRREO",0,IFERROR(VALUE(LEFT(E1149,FIND("º",SUBSTITUTE(E1149,"°","º"))-1)),""))))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29601288</v>
      </c>
      <c r="C1150" s="4" t="inlineStr">
        <is>
          <t>ENCUNHAMENTO</t>
        </is>
      </c>
      <c r="D1150" s="4" t="inlineStr">
        <is>
          <t>-</t>
        </is>
      </c>
      <c r="E1150" s="4" t="inlineStr">
        <is>
          <t>20º PAV. TIPO</t>
        </is>
      </c>
      <c r="F1150" s="119" t="n">
        <v>46525</v>
      </c>
      <c r="G1150" s="119" t="n">
        <v>46538</v>
      </c>
      <c r="H1150" s="119" t="n">
        <v>46293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IF(E1150="","",IF(ISNUMBER(SEARCH("SUBSOLO",E1150)),IFERROR(-VALUE(LEFT(E1150,FIND("º",SUBSTITUTE(E1150,"°","º"))-1)),-1),IF(LEFT(E1150,6)="TÉRREO",0,IFERROR(VALUE(LEFT(E1150,FIND("º",SUBSTITUTE(E1150,"°","º"))-1)),""))))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25210826</v>
      </c>
      <c r="C1151" s="4" t="inlineStr">
        <is>
          <t>CONTRAPISO</t>
        </is>
      </c>
      <c r="D1151" s="4" t="inlineStr">
        <is>
          <t>-</t>
        </is>
      </c>
      <c r="E1151" s="4" t="inlineStr">
        <is>
          <t>4° PAV. APTO GARDEN</t>
        </is>
      </c>
      <c r="F1151" s="119" t="n">
        <v>46526</v>
      </c>
      <c r="G1151" s="119" t="n">
        <v>46540</v>
      </c>
      <c r="H1151" s="119" t="n">
        <v>46293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IF(E1151="","",IF(ISNUMBER(SEARCH("SUBSOLO",E1151)),IFERROR(-VALUE(LEFT(E1151,FIND("º",SUBSTITUTE(E1151,"°","º"))-1)),-1),IF(LEFT(E1151,6)="TÉRREO",0,IFERROR(VALUE(LEFT(E1151,FIND("º",SUBSTITUTE(E1151,"°","º"))-1)),""))))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27765748</v>
      </c>
      <c r="C1152" s="4" t="inlineStr">
        <is>
          <t>DRENO + ATERRO JARDINEIRAS</t>
        </is>
      </c>
      <c r="D1152" s="4" t="inlineStr">
        <is>
          <t>-</t>
        </is>
      </c>
      <c r="E1152" s="4" t="inlineStr">
        <is>
          <t>4° PAV. APTO GARDEN</t>
        </is>
      </c>
      <c r="F1152" s="119" t="n">
        <v>46526</v>
      </c>
      <c r="G1152" s="119" t="n">
        <v>46539</v>
      </c>
      <c r="H1152" s="119" t="n">
        <v>46293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IF(E1152="","",IF(ISNUMBER(SEARCH("SUBSOLO",E1152)),IFERROR(-VALUE(LEFT(E1152,FIND("º",SUBSTITUTE(E1152,"°","º"))-1)),-1),IF(LEFT(E1152,6)="TÉRREO",0,IFERROR(VALUE(LEFT(E1152,FIND("º",SUBSTITUTE(E1152,"°","º"))-1)),""))))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27762201</v>
      </c>
      <c r="C1153" s="4" t="inlineStr">
        <is>
          <t>TRATAMENTO ACÚSTICO</t>
        </is>
      </c>
      <c r="D1153" s="4" t="inlineStr">
        <is>
          <t>-</t>
        </is>
      </c>
      <c r="E1153" s="4" t="inlineStr">
        <is>
          <t>18º PAV. TIPO</t>
        </is>
      </c>
      <c r="F1153" s="119" t="n">
        <v>46526</v>
      </c>
      <c r="G1153" s="119" t="n">
        <v>46526</v>
      </c>
      <c r="H1153" s="119" t="n">
        <v>46293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IF(E1153="","",IF(ISNUMBER(SEARCH("SUBSOLO",E1153)),IFERROR(-VALUE(LEFT(E1153,FIND("º",SUBSTITUTE(E1153,"°","º"))-1)),-1),IF(LEFT(E1153,6)="TÉRREO",0,IFERROR(VALUE(LEFT(E1153,FIND("º",SUBSTITUTE(E1153,"°","º"))-1)),""))))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25210325</v>
      </c>
      <c r="C1154" s="4" t="inlineStr">
        <is>
          <t>IMPERMEABILIZAÇÃO VARANDA E JARDINEIRAS</t>
        </is>
      </c>
      <c r="D1154" s="4" t="inlineStr">
        <is>
          <t>-</t>
        </is>
      </c>
      <c r="E1154" s="4" t="inlineStr">
        <is>
          <t>18º PAV. TIPO</t>
        </is>
      </c>
      <c r="F1154" s="119" t="n">
        <v>46527</v>
      </c>
      <c r="G1154" s="119" t="n">
        <v>46540</v>
      </c>
      <c r="H1154" s="119" t="n">
        <v>46293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IF(E1154="","",IF(ISNUMBER(SEARCH("SUBSOLO",E1154)),IFERROR(-VALUE(LEFT(E1154,FIND("º",SUBSTITUTE(E1154,"°","º"))-1)),-1),IF(LEFT(E1154,6)="TÉRREO",0,IFERROR(VALUE(LEFT(E1154,FIND("º",SUBSTITUTE(E1154,"°","º"))-1)),""))))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25799971</v>
      </c>
      <c r="C1155" s="4" t="inlineStr">
        <is>
          <t>REVESTIMENTO PAREDE</t>
        </is>
      </c>
      <c r="D1155" s="4" t="inlineStr">
        <is>
          <t>-</t>
        </is>
      </c>
      <c r="E1155" s="4" t="inlineStr">
        <is>
          <t>3º PAV. - BAR PISCINA, VESTIÁRIOS, DEPOSITOS E LOUNGE QUADRAS</t>
        </is>
      </c>
      <c r="F1155" s="119" t="n">
        <v>46528</v>
      </c>
      <c r="G1155" s="119" t="n">
        <v>46560</v>
      </c>
      <c r="H1155" s="119" t="n">
        <v>46293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IF(E1155="","",IF(ISNUMBER(SEARCH("SUBSOLO",E1155)),IFERROR(-VALUE(LEFT(E1155,FIND("º",SUBSTITUTE(E1155,"°","º"))-1)),-1),IF(LEFT(E1155,6)="TÉRREO",0,IFERROR(VALUE(LEFT(E1155,FIND("º",SUBSTITUTE(E1155,"°","º"))-1)),""))))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25799977</v>
      </c>
      <c r="C1156" s="4" t="inlineStr">
        <is>
          <t>PRUMADA HIDROSSANITÁRIA</t>
        </is>
      </c>
      <c r="D1156" s="4" t="inlineStr">
        <is>
          <t>-</t>
        </is>
      </c>
      <c r="E1156" s="4" t="inlineStr">
        <is>
          <t>3º PAV. - ESPAÇO KIDS E GOURMET, SALÃO DE FESTAS E APOIO, LOBBY PILOTIS</t>
        </is>
      </c>
      <c r="F1156" s="119" t="n">
        <v>46528</v>
      </c>
      <c r="G1156" s="119" t="n">
        <v>46535</v>
      </c>
      <c r="H1156" s="119" t="n">
        <v>46293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IF(E1156="","",IF(ISNUMBER(SEARCH("SUBSOLO",E1156)),IFERROR(-VALUE(LEFT(E1156,FIND("º",SUBSTITUTE(E1156,"°","º"))-1)),-1),IF(LEFT(E1156,6)="TÉRREO",0,IFERROR(VALUE(LEFT(E1156,FIND("º",SUBSTITUTE(E1156,"°","º"))-1)),""))))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25210678</v>
      </c>
      <c r="C1157" s="4" t="inlineStr">
        <is>
          <t>SHAFT INTERNO INST. HIDRAÚLICAS</t>
        </is>
      </c>
      <c r="D1157" s="4" t="inlineStr">
        <is>
          <t>-</t>
        </is>
      </c>
      <c r="E1157" s="4" t="inlineStr">
        <is>
          <t>8º PAV. TIPO</t>
        </is>
      </c>
      <c r="F1157" s="119" t="n">
        <v>46528</v>
      </c>
      <c r="G1157" s="119" t="n">
        <v>46541</v>
      </c>
      <c r="H1157" s="119" t="n">
        <v>46293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IF(E1157="","",IF(ISNUMBER(SEARCH("SUBSOLO",E1157)),IFERROR(-VALUE(LEFT(E1157,FIND("º",SUBSTITUTE(E1157,"°","º"))-1)),-1),IF(LEFT(E1157,6)="TÉRREO",0,IFERROR(VALUE(LEFT(E1157,FIND("º",SUBSTITUTE(E1157,"°","º"))-1)),""))))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25210648</v>
      </c>
      <c r="C1158" s="4" t="inlineStr">
        <is>
          <t>REBOCO INTERNO</t>
        </is>
      </c>
      <c r="D1158" s="4" t="inlineStr">
        <is>
          <t>-</t>
        </is>
      </c>
      <c r="E1158" s="4" t="inlineStr">
        <is>
          <t>9º PAV. TIPO</t>
        </is>
      </c>
      <c r="F1158" s="119" t="n">
        <v>46528</v>
      </c>
      <c r="G1158" s="119" t="n">
        <v>46549</v>
      </c>
      <c r="H1158" s="119" t="n">
        <v>46293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IF(E1158="","",IF(ISNUMBER(SEARCH("SUBSOLO",E1158)),IFERROR(-VALUE(LEFT(E1158,FIND("º",SUBSTITUTE(E1158,"°","º"))-1)),-1),IF(LEFT(E1158,6)="TÉRREO",0,IFERROR(VALUE(LEFT(E1158,FIND("º",SUBSTITUTE(E1158,"°","º"))-1)),""))))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25210644</v>
      </c>
      <c r="C1159" s="4" t="inlineStr">
        <is>
          <t>ESPALA ESQUADRIA DE ALUMINIO</t>
        </is>
      </c>
      <c r="D1159" s="4" t="inlineStr">
        <is>
          <t>-</t>
        </is>
      </c>
      <c r="E1159" s="4" t="inlineStr">
        <is>
          <t>9º PAV. TIPO</t>
        </is>
      </c>
      <c r="F1159" s="119" t="n">
        <v>46528</v>
      </c>
      <c r="G1159" s="119" t="n">
        <v>46535</v>
      </c>
      <c r="H1159" s="119" t="n">
        <v>46293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IF(E1159="","",IF(ISNUMBER(SEARCH("SUBSOLO",E1159)),IFERROR(-VALUE(LEFT(E1159,FIND("º",SUBSTITUTE(E1159,"°","º"))-1)),-1),IF(LEFT(E1159,6)="TÉRREO",0,IFERROR(VALUE(LEFT(E1159,FIND("º",SUBSTITUTE(E1159,"°","º"))-1)),""))))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25210537</v>
      </c>
      <c r="C1160" s="4" t="inlineStr">
        <is>
          <t>CONTRAMARCO</t>
        </is>
      </c>
      <c r="D1160" s="4" t="inlineStr">
        <is>
          <t>-</t>
        </is>
      </c>
      <c r="E1160" s="4" t="inlineStr">
        <is>
          <t>12º PAV. TIPO</t>
        </is>
      </c>
      <c r="F1160" s="119" t="n">
        <v>46528</v>
      </c>
      <c r="G1160" s="119" t="n">
        <v>46541</v>
      </c>
      <c r="H1160" s="119" t="n">
        <v>46293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IF(E1160="","",IF(ISNUMBER(SEARCH("SUBSOLO",E1160)),IFERROR(-VALUE(LEFT(E1160,FIND("º",SUBSTITUTE(E1160,"°","º"))-1)),-1),IF(LEFT(E1160,6)="TÉRREO",0,IFERROR(VALUE(LEFT(E1160,FIND("º",SUBSTITUTE(E1160,"°","º"))-1)),""))))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29601159</v>
      </c>
      <c r="C1161" s="4" t="inlineStr">
        <is>
          <t>ENCUNHAMENTO</t>
        </is>
      </c>
      <c r="D1161" s="4" t="inlineStr">
        <is>
          <t>-</t>
        </is>
      </c>
      <c r="E1161" s="4" t="inlineStr">
        <is>
          <t>12º PAV. TIPO</t>
        </is>
      </c>
      <c r="F1161" s="119" t="n">
        <v>46528</v>
      </c>
      <c r="G1161" s="119" t="n">
        <v>46541</v>
      </c>
      <c r="H1161" s="119" t="n">
        <v>46293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IF(E1161="","",IF(ISNUMBER(SEARCH("SUBSOLO",E1161)),IFERROR(-VALUE(LEFT(E1161,FIND("º",SUBSTITUTE(E1161,"°","º"))-1)),-1),IF(LEFT(E1161,6)="TÉRREO",0,IFERROR(VALUE(LEFT(E1161,FIND("º",SUBSTITUTE(E1161,"°","º"))-1)),""))))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27769238</v>
      </c>
      <c r="C1162" s="4" t="inlineStr">
        <is>
          <t>PRUMADA ELÉTRICA INFRA</t>
        </is>
      </c>
      <c r="D1162" s="4" t="inlineStr">
        <is>
          <t>-</t>
        </is>
      </c>
      <c r="E1162" s="4" t="inlineStr">
        <is>
          <t>14º PAV. TIPO</t>
        </is>
      </c>
      <c r="F1162" s="119" t="n">
        <v>46528</v>
      </c>
      <c r="G1162" s="119" t="n">
        <v>46541</v>
      </c>
      <c r="H1162" s="119" t="n">
        <v>46293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IF(E1162="","",IF(ISNUMBER(SEARCH("SUBSOLO",E1162)),IFERROR(-VALUE(LEFT(E1162,FIND("º",SUBSTITUTE(E1162,"°","º"))-1)),-1),IF(LEFT(E1162,6)="TÉRREO",0,IFERROR(VALUE(LEFT(E1162,FIND("º",SUBSTITUTE(E1162,"°","º"))-1)),""))))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25210293</v>
      </c>
      <c r="C1163" s="4" t="inlineStr">
        <is>
          <t>SHAFT INTERNO INST. HIDRAÚLICAS</t>
        </is>
      </c>
      <c r="D1163" s="4" t="inlineStr">
        <is>
          <t>-</t>
        </is>
      </c>
      <c r="E1163" s="4" t="inlineStr">
        <is>
          <t>19º PAV. TIPO</t>
        </is>
      </c>
      <c r="F1163" s="119" t="n">
        <v>46531</v>
      </c>
      <c r="G1163" s="119" t="n">
        <v>46542</v>
      </c>
      <c r="H1163" s="119" t="n">
        <v>46293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IF(E1163="","",IF(ISNUMBER(SEARCH("SUBSOLO",E1163)),IFERROR(-VALUE(LEFT(E1163,FIND("º",SUBSTITUTE(E1163,"°","º"))-1)),-1),IF(LEFT(E1163,6)="TÉRREO",0,IFERROR(VALUE(LEFT(E1163,FIND("º",SUBSTITUTE(E1163,"°","º"))-1)),""))))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25210596</v>
      </c>
      <c r="C1164" s="4" t="inlineStr">
        <is>
          <t>VENTILAÇÃO / EXAUSTÃO</t>
        </is>
      </c>
      <c r="D1164" s="4" t="inlineStr">
        <is>
          <t>-</t>
        </is>
      </c>
      <c r="E1164" s="4" t="inlineStr">
        <is>
          <t>11º PAV. TIPO</t>
        </is>
      </c>
      <c r="F1164" s="119" t="n">
        <v>46532</v>
      </c>
      <c r="G1164" s="119" t="n">
        <v>46539</v>
      </c>
      <c r="H1164" s="119" t="n">
        <v>46293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IF(E1164="","",IF(ISNUMBER(SEARCH("SUBSOLO",E1164)),IFERROR(-VALUE(LEFT(E1164,FIND("º",SUBSTITUTE(E1164,"°","º"))-1)),-1),IF(LEFT(E1164,6)="TÉRREO",0,IFERROR(VALUE(LEFT(E1164,FIND("º",SUBSTITUTE(E1164,"°","º"))-1)),""))))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27762188</v>
      </c>
      <c r="C1165" s="4" t="inlineStr">
        <is>
          <t>TRATAMENTO ACÚSTICO</t>
        </is>
      </c>
      <c r="D1165" s="4" t="inlineStr">
        <is>
          <t>-</t>
        </is>
      </c>
      <c r="E1165" s="4" t="inlineStr">
        <is>
          <t>5º PAV. TIPO</t>
        </is>
      </c>
      <c r="F1165" s="119" t="n">
        <v>46533</v>
      </c>
      <c r="G1165" s="119" t="n">
        <v>46533</v>
      </c>
      <c r="H1165" s="119" t="n">
        <v>46293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IF(E1165="","",IF(ISNUMBER(SEARCH("SUBSOLO",E1165)),IFERROR(-VALUE(LEFT(E1165,FIND("º",SUBSTITUTE(E1165,"°","º"))-1)),-1),IF(LEFT(E1165,6)="TÉRREO",0,IFERROR(VALUE(LEFT(E1165,FIND("º",SUBSTITUTE(E1165,"°","º"))-1)),""))))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25210618</v>
      </c>
      <c r="C1166" s="4" t="inlineStr">
        <is>
          <t>FORRO</t>
        </is>
      </c>
      <c r="D1166" s="4" t="inlineStr">
        <is>
          <t>-</t>
        </is>
      </c>
      <c r="E1166" s="4" t="inlineStr">
        <is>
          <t>10º PAV. TIPO</t>
        </is>
      </c>
      <c r="F1166" s="119" t="n">
        <v>46533</v>
      </c>
      <c r="G1166" s="119" t="n">
        <v>46554</v>
      </c>
      <c r="H1166" s="119" t="n">
        <v>46293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IF(E1166="","",IF(ISNUMBER(SEARCH("SUBSOLO",E1166)),IFERROR(-VALUE(LEFT(E1166,FIND("º",SUBSTITUTE(E1166,"°","º"))-1)),-1),IF(LEFT(E1166,6)="TÉRREO",0,IFERROR(VALUE(LEFT(E1166,FIND("º",SUBSTITUTE(E1166,"°","º"))-1)),""))))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25210565</v>
      </c>
      <c r="C1167" s="4" t="inlineStr">
        <is>
          <t>FIAÇÃO ELÉTRICA</t>
        </is>
      </c>
      <c r="D1167" s="4" t="inlineStr">
        <is>
          <t>-</t>
        </is>
      </c>
      <c r="E1167" s="4" t="inlineStr">
        <is>
          <t>11º PAV. TIPO</t>
        </is>
      </c>
      <c r="F1167" s="119" t="n">
        <v>46533</v>
      </c>
      <c r="G1167" s="119" t="n">
        <v>46554</v>
      </c>
      <c r="H1167" s="119" t="n">
        <v>46293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IF(E1167="","",IF(ISNUMBER(SEARCH("SUBSOLO",E1167)),IFERROR(-VALUE(LEFT(E1167,FIND("º",SUBSTITUTE(E1167,"°","º"))-1)),-1),IF(LEFT(E1167,6)="TÉRREO",0,IFERROR(VALUE(LEFT(E1167,FIND("º",SUBSTITUTE(E1167,"°","º"))-1)),""))))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25210472</v>
      </c>
      <c r="C1168" s="4" t="inlineStr">
        <is>
          <t>GÁS</t>
        </is>
      </c>
      <c r="D1168" s="4" t="inlineStr">
        <is>
          <t>-</t>
        </is>
      </c>
      <c r="E1168" s="4" t="inlineStr">
        <is>
          <t>14º PAV. TIPO</t>
        </is>
      </c>
      <c r="F1168" s="119" t="n">
        <v>46533</v>
      </c>
      <c r="G1168" s="119" t="n">
        <v>46546</v>
      </c>
      <c r="H1168" s="119" t="n">
        <v>46293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IF(E1168="","",IF(ISNUMBER(SEARCH("SUBSOLO",E1168)),IFERROR(-VALUE(LEFT(E1168,FIND("º",SUBSTITUTE(E1168,"°","º"))-1)),-1),IF(LEFT(E1168,6)="TÉRREO",0,IFERROR(VALUE(LEFT(E1168,FIND("º",SUBSTITUTE(E1168,"°","º"))-1)),""))))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29601277</v>
      </c>
      <c r="C1169" s="4" t="inlineStr">
        <is>
          <t>TALISCAMENTO</t>
        </is>
      </c>
      <c r="D1169" s="4" t="inlineStr">
        <is>
          <t>-</t>
        </is>
      </c>
      <c r="E1169" s="4" t="inlineStr">
        <is>
          <t>14º PAV. TIPO</t>
        </is>
      </c>
      <c r="F1169" s="119" t="n">
        <v>46533</v>
      </c>
      <c r="G1169" s="119" t="n">
        <v>46546</v>
      </c>
      <c r="H1169" s="119" t="n">
        <v>46293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IF(E1169="","",IF(ISNUMBER(SEARCH("SUBSOLO",E1169)),IFERROR(-VALUE(LEFT(E1169,FIND("º",SUBSTITUTE(E1169,"°","º"))-1)),-1),IF(LEFT(E1169,6)="TÉRREO",0,IFERROR(VALUE(LEFT(E1169,FIND("º",SUBSTITUTE(E1169,"°","º"))-1)),""))))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25210780</v>
      </c>
      <c r="C1170" s="4" t="inlineStr">
        <is>
          <t>IMPERMEABILIZAÇÃO VARANDA E JARDINEIRAS</t>
        </is>
      </c>
      <c r="D1170" s="4" t="inlineStr">
        <is>
          <t>-</t>
        </is>
      </c>
      <c r="E1170" s="4" t="inlineStr">
        <is>
          <t>5º PAV. TIPO</t>
        </is>
      </c>
      <c r="F1170" s="119" t="n">
        <v>46535</v>
      </c>
      <c r="G1170" s="119" t="n">
        <v>46547</v>
      </c>
      <c r="H1170" s="119" t="n">
        <v>46293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IF(E1170="","",IF(ISNUMBER(SEARCH("SUBSOLO",E1170)),IFERROR(-VALUE(LEFT(E1170,FIND("º",SUBSTITUTE(E1170,"°","º"))-1)),-1),IF(LEFT(E1170,6)="TÉRREO",0,IFERROR(VALUE(LEFT(E1170,FIND("º",SUBSTITUTE(E1170,"°","º"))-1)),""))))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25799979</v>
      </c>
      <c r="C1171" s="4" t="inlineStr">
        <is>
          <t>DISTRIBUIÇÃO HIDROSSANITÁRIA</t>
        </is>
      </c>
      <c r="D1171" s="4" t="inlineStr">
        <is>
          <t>-</t>
        </is>
      </c>
      <c r="E1171" s="4" t="inlineStr">
        <is>
          <t>3º PAV. - ESPAÇO KIDS E GOURMET, SALÃO DE FESTAS E APOIO, LOBBY PILOTIS</t>
        </is>
      </c>
      <c r="F1171" s="119" t="n">
        <v>46538</v>
      </c>
      <c r="G1171" s="119" t="n">
        <v>46542</v>
      </c>
      <c r="H1171" s="119" t="n">
        <v>46293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IF(E1171="","",IF(ISNUMBER(SEARCH("SUBSOLO",E1171)),IFERROR(-VALUE(LEFT(E1171,FIND("º",SUBSTITUTE(E1171,"°","º"))-1)),-1),IF(LEFT(E1171,6)="TÉRREO",0,IFERROR(VALUE(LEFT(E1171,FIND("º",SUBSTITUTE(E1171,"°","º"))-1)),""))))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25799978</v>
      </c>
      <c r="C1172" s="4" t="inlineStr">
        <is>
          <t>GÁS</t>
        </is>
      </c>
      <c r="D1172" s="4" t="inlineStr">
        <is>
          <t>-</t>
        </is>
      </c>
      <c r="E1172" s="4" t="inlineStr">
        <is>
          <t>3º PAV. - ESPAÇO KIDS E GOURMET, SALÃO DE FESTAS E APOIO, LOBBY PILOTIS</t>
        </is>
      </c>
      <c r="F1172" s="119" t="n">
        <v>46538</v>
      </c>
      <c r="G1172" s="119" t="n">
        <v>46542</v>
      </c>
      <c r="H1172" s="119" t="n">
        <v>46293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IF(E1172="","",IF(ISNUMBER(SEARCH("SUBSOLO",E1172)),IFERROR(-VALUE(LEFT(E1172,FIND("º",SUBSTITUTE(E1172,"°","º"))-1)),-1),IF(LEFT(E1172,6)="TÉRREO",0,IFERROR(VALUE(LEFT(E1172,FIND("º",SUBSTITUTE(E1172,"°","º"))-1)),""))))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25799981</v>
      </c>
      <c r="C1173" s="4" t="inlineStr">
        <is>
          <t>DISTRIBUIÇÃO ELÉTRICA / QUADRO - SETOR B</t>
        </is>
      </c>
      <c r="D1173" s="4" t="inlineStr">
        <is>
          <t>-</t>
        </is>
      </c>
      <c r="E1173" s="4" t="inlineStr">
        <is>
          <t>3º PAV. - ESPAÇO KIDS E GOURMET, SALÃO DE FESTAS E APOIO, LOBBY PILOTIS</t>
        </is>
      </c>
      <c r="F1173" s="119" t="n">
        <v>46538</v>
      </c>
      <c r="G1173" s="119" t="n">
        <v>46549</v>
      </c>
      <c r="H1173" s="119" t="n">
        <v>46293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IF(E1173="","",IF(ISNUMBER(SEARCH("SUBSOLO",E1173)),IFERROR(-VALUE(LEFT(E1173,FIND("º",SUBSTITUTE(E1173,"°","º"))-1)),-1),IF(LEFT(E1173,6)="TÉRREO",0,IFERROR(VALUE(LEFT(E1173,FIND("º",SUBSTITUTE(E1173,"°","º"))-1)),""))))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25210759</v>
      </c>
      <c r="C1174" s="4" t="inlineStr">
        <is>
          <t>ESQUADRIA</t>
        </is>
      </c>
      <c r="D1174" s="4" t="inlineStr">
        <is>
          <t>-</t>
        </is>
      </c>
      <c r="E1174" s="4" t="inlineStr">
        <is>
          <t>6º PAV. TIPO</t>
        </is>
      </c>
      <c r="F1174" s="119" t="n">
        <v>46538</v>
      </c>
      <c r="G1174" s="119" t="n">
        <v>46556</v>
      </c>
      <c r="H1174" s="119" t="n">
        <v>46293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IF(E1174="","",IF(ISNUMBER(SEARCH("SUBSOLO",E1174)),IFERROR(-VALUE(LEFT(E1174,FIND("º",SUBSTITUTE(E1174,"°","º"))-1)),-1),IF(LEFT(E1174,6)="TÉRREO",0,IFERROR(VALUE(LEFT(E1174,FIND("º",SUBSTITUTE(E1174,"°","º"))-1)),""))))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25752749</v>
      </c>
      <c r="C1175" s="4" t="inlineStr">
        <is>
          <t>IMPERMEABILIZAÇÃO INTERNA</t>
        </is>
      </c>
      <c r="D1175" s="4" t="inlineStr">
        <is>
          <t>-</t>
        </is>
      </c>
      <c r="E1175" s="4" t="inlineStr">
        <is>
          <t>2º PAV. - ÁREAS TÉCNICAS</t>
        </is>
      </c>
      <c r="F1175" s="119" t="n">
        <v>46539</v>
      </c>
      <c r="G1175" s="119" t="n">
        <v>46552</v>
      </c>
      <c r="H1175" s="119" t="n">
        <v>46293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IF(E1175="","",IF(ISNUMBER(SEARCH("SUBSOLO",E1175)),IFERROR(-VALUE(LEFT(E1175,FIND("º",SUBSTITUTE(E1175,"°","º"))-1)),-1),IF(LEFT(E1175,6)="TÉRREO",0,IFERROR(VALUE(LEFT(E1175,FIND("º",SUBSTITUTE(E1175,"°","º"))-1)),""))))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25210263</v>
      </c>
      <c r="C1176" s="4" t="inlineStr">
        <is>
          <t>REBOCO INTERNO</t>
        </is>
      </c>
      <c r="D1176" s="4" t="inlineStr">
        <is>
          <t>-</t>
        </is>
      </c>
      <c r="E1176" s="4" t="inlineStr">
        <is>
          <t>20º PAV. TIPO</t>
        </is>
      </c>
      <c r="F1176" s="119" t="n">
        <v>46539</v>
      </c>
      <c r="G1176" s="119" t="n">
        <v>46559</v>
      </c>
      <c r="H1176" s="119" t="n">
        <v>46293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IF(E1176="","",IF(ISNUMBER(SEARCH("SUBSOLO",E1176)),IFERROR(-VALUE(LEFT(E1176,FIND("º",SUBSTITUTE(E1176,"°","º"))-1)),-1),IF(LEFT(E1176,6)="TÉRREO",0,IFERROR(VALUE(LEFT(E1176,FIND("º",SUBSTITUTE(E1176,"°","º"))-1)),""))))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25210259</v>
      </c>
      <c r="C1177" s="4" t="inlineStr">
        <is>
          <t>ESPALA ESQUADRIA DE ALUMINIO</t>
        </is>
      </c>
      <c r="D1177" s="4" t="inlineStr">
        <is>
          <t>-</t>
        </is>
      </c>
      <c r="E1177" s="4" t="inlineStr">
        <is>
          <t>20º PAV. TIPO</t>
        </is>
      </c>
      <c r="F1177" s="119" t="n">
        <v>46539</v>
      </c>
      <c r="G1177" s="119" t="n">
        <v>46545</v>
      </c>
      <c r="H1177" s="119" t="n">
        <v>46293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IF(E1177="","",IF(ISNUMBER(SEARCH("SUBSOLO",E1177)),IFERROR(-VALUE(LEFT(E1177,FIND("º",SUBSTITUTE(E1177,"°","º"))-1)),-1),IF(LEFT(E1177,6)="TÉRREO",0,IFERROR(VALUE(LEFT(E1177,FIND("º",SUBSTITUTE(E1177,"°","º"))-1)),""))))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25807553</v>
      </c>
      <c r="C1178" s="4" t="inlineStr">
        <is>
          <t>ESQUADRIA</t>
        </is>
      </c>
      <c r="D1178" s="4" t="inlineStr">
        <is>
          <t>-</t>
        </is>
      </c>
      <c r="E1178" s="4" t="inlineStr">
        <is>
          <t>3º PAV. ESPAÇO THERMAS, PISCINA COBERTA, SAUNAS E VESTIÁRIOS</t>
        </is>
      </c>
      <c r="F1178" s="119" t="n">
        <v>46541</v>
      </c>
      <c r="G1178" s="119" t="n">
        <v>46570</v>
      </c>
      <c r="H1178" s="119" t="n">
        <v>46293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IF(E1178="","",IF(ISNUMBER(SEARCH("SUBSOLO",E1178)),IFERROR(-VALUE(LEFT(E1178,FIND("º",SUBSTITUTE(E1178,"°","º"))-1)),-1),IF(LEFT(E1178,6)="TÉRREO",0,IFERROR(VALUE(LEFT(E1178,FIND("º",SUBSTITUTE(E1178,"°","º"))-1)),""))))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33276104</v>
      </c>
      <c r="C1179" s="4" t="inlineStr">
        <is>
          <t>INFRAESTRUTURA - AR CONDICIONADO</t>
        </is>
      </c>
      <c r="D1179" s="4" t="inlineStr">
        <is>
          <t>-</t>
        </is>
      </c>
      <c r="E1179" s="4" t="inlineStr">
        <is>
          <t>4° PAV. APTO GARDEN</t>
        </is>
      </c>
      <c r="F1179" s="119" t="n">
        <v>46541</v>
      </c>
      <c r="G1179" s="119" t="n">
        <v>46554</v>
      </c>
      <c r="H1179" s="119" t="n">
        <v>46293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IF(E1179="","",IF(ISNUMBER(SEARCH("SUBSOLO",E1179)),IFERROR(-VALUE(LEFT(E1179,FIND("º",SUBSTITUTE(E1179,"°","º"))-1)),-1),IF(LEFT(E1179,6)="TÉRREO",0,IFERROR(VALUE(LEFT(E1179,FIND("º",SUBSTITUTE(E1179,"°","º"))-1)),""))))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33278911</v>
      </c>
      <c r="C1180" s="4" t="inlineStr">
        <is>
          <t>INFRAESTRUTURA ELÉTRICA - PAREDES</t>
        </is>
      </c>
      <c r="D1180" s="4" t="inlineStr">
        <is>
          <t>-</t>
        </is>
      </c>
      <c r="E1180" s="4" t="inlineStr">
        <is>
          <t>4° PAV. APTO GARDEN</t>
        </is>
      </c>
      <c r="F1180" s="119" t="n">
        <v>46541</v>
      </c>
      <c r="G1180" s="119" t="n">
        <v>46553</v>
      </c>
      <c r="H1180" s="119" t="n">
        <v>46293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IF(E1180="","",IF(ISNUMBER(SEARCH("SUBSOLO",E1180)),IFERROR(-VALUE(LEFT(E1180,FIND("º",SUBSTITUTE(E1180,"°","º"))-1)),-1),IF(LEFT(E1180,6)="TÉRREO",0,IFERROR(VALUE(LEFT(E1180,FIND("º",SUBSTITUTE(E1180,"°","º"))-1)),""))))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25210702</v>
      </c>
      <c r="C1181" s="4" t="inlineStr">
        <is>
          <t>MASSA CORRIDA</t>
        </is>
      </c>
      <c r="D1181" s="4" t="inlineStr">
        <is>
          <t>-</t>
        </is>
      </c>
      <c r="E1181" s="4" t="inlineStr">
        <is>
          <t>7º PAV. TIPO</t>
        </is>
      </c>
      <c r="F1181" s="119" t="n">
        <v>46541</v>
      </c>
      <c r="G1181" s="119" t="n">
        <v>46549</v>
      </c>
      <c r="H1181" s="119" t="n">
        <v>46293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IF(E1181="","",IF(ISNUMBER(SEARCH("SUBSOLO",E1181)),IFERROR(-VALUE(LEFT(E1181,FIND("º",SUBSTITUTE(E1181,"°","º"))-1)),-1),IF(LEFT(E1181,6)="TÉRREO",0,IFERROR(VALUE(LEFT(E1181,FIND("º",SUBSTITUTE(E1181,"°","º"))-1)),""))))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25210498</v>
      </c>
      <c r="C1182" s="4" t="inlineStr">
        <is>
          <t>ALVENARIA</t>
        </is>
      </c>
      <c r="D1182" s="4" t="inlineStr">
        <is>
          <t>-</t>
        </is>
      </c>
      <c r="E1182" s="4" t="inlineStr">
        <is>
          <t>13º PAV. TIPO</t>
        </is>
      </c>
      <c r="F1182" s="119" t="n">
        <v>46541</v>
      </c>
      <c r="G1182" s="119" t="n">
        <v>46561</v>
      </c>
      <c r="H1182" s="119" t="n">
        <v>46293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IF(E1182="","",IF(ISNUMBER(SEARCH("SUBSOLO",E1182)),IFERROR(-VALUE(LEFT(E1182,FIND("º",SUBSTITUTE(E1182,"°","º"))-1)),-1),IF(LEFT(E1182,6)="TÉRREO",0,IFERROR(VALUE(LEFT(E1182,FIND("º",SUBSTITUTE(E1182,"°","º"))-1)),""))))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25210396</v>
      </c>
      <c r="C1183" s="4" t="inlineStr">
        <is>
          <t>REVESTIMENTO PAREDE</t>
        </is>
      </c>
      <c r="D1183" s="4" t="inlineStr">
        <is>
          <t>-</t>
        </is>
      </c>
      <c r="E1183" s="4" t="inlineStr">
        <is>
          <t>16º PAV. TIPO</t>
        </is>
      </c>
      <c r="F1183" s="119" t="n">
        <v>46541</v>
      </c>
      <c r="G1183" s="119" t="n">
        <v>46554</v>
      </c>
      <c r="H1183" s="119" t="n">
        <v>46293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IF(E1183="","",IF(ISNUMBER(SEARCH("SUBSOLO",E1183)),IFERROR(-VALUE(LEFT(E1183,FIND("º",SUBSTITUTE(E1183,"°","º"))-1)),-1),IF(LEFT(E1183,6)="TÉRREO",0,IFERROR(VALUE(LEFT(E1183,FIND("º",SUBSTITUTE(E1183,"°","º"))-1)),""))))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33276117</v>
      </c>
      <c r="C1184" s="4" t="inlineStr">
        <is>
          <t>INFRAESTRUTURA - AR CONDICIONADO</t>
        </is>
      </c>
      <c r="D1184" s="4" t="inlineStr">
        <is>
          <t>-</t>
        </is>
      </c>
      <c r="E1184" s="4" t="inlineStr">
        <is>
          <t>17º PAV. TIPO</t>
        </is>
      </c>
      <c r="F1184" s="119" t="n">
        <v>46541</v>
      </c>
      <c r="G1184" s="119" t="n">
        <v>46554</v>
      </c>
      <c r="H1184" s="119" t="n">
        <v>46293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IF(E1184="","",IF(ISNUMBER(SEARCH("SUBSOLO",E1184)),IFERROR(-VALUE(LEFT(E1184,FIND("º",SUBSTITUTE(E1184,"°","º"))-1)),-1),IF(LEFT(E1184,6)="TÉRREO",0,IFERROR(VALUE(LEFT(E1184,FIND("º",SUBSTITUTE(E1184,"°","º"))-1)),""))))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33278924</v>
      </c>
      <c r="C1185" s="4" t="inlineStr">
        <is>
          <t>INFRAESTRUTURA ELÉTRICA - PAREDES</t>
        </is>
      </c>
      <c r="D1185" s="4" t="inlineStr">
        <is>
          <t>-</t>
        </is>
      </c>
      <c r="E1185" s="4" t="inlineStr">
        <is>
          <t>17º PAV. TIPO</t>
        </is>
      </c>
      <c r="F1185" s="119" t="n">
        <v>46541</v>
      </c>
      <c r="G1185" s="119" t="n">
        <v>46553</v>
      </c>
      <c r="H1185" s="119" t="n">
        <v>46293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IF(E1185="","",IF(ISNUMBER(SEARCH("SUBSOLO",E1185)),IFERROR(-VALUE(LEFT(E1185,FIND("º",SUBSTITUTE(E1185,"°","º"))-1)),-1),IF(LEFT(E1185,6)="TÉRREO",0,IFERROR(VALUE(LEFT(E1185,FIND("º",SUBSTITUTE(E1185,"°","º"))-1)),""))))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25210336</v>
      </c>
      <c r="C1186" s="4" t="inlineStr">
        <is>
          <t>CONTRAPISO</t>
        </is>
      </c>
      <c r="D1186" s="4" t="inlineStr">
        <is>
          <t>-</t>
        </is>
      </c>
      <c r="E1186" s="4" t="inlineStr">
        <is>
          <t>18º PAV. TIPO</t>
        </is>
      </c>
      <c r="F1186" s="119" t="n">
        <v>46541</v>
      </c>
      <c r="G1186" s="119" t="n">
        <v>46554</v>
      </c>
      <c r="H1186" s="119" t="n">
        <v>46293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IF(E1186="","",IF(ISNUMBER(SEARCH("SUBSOLO",E1186)),IFERROR(-VALUE(LEFT(E1186,FIND("º",SUBSTITUTE(E1186,"°","º"))-1)),-1),IF(LEFT(E1186,6)="TÉRREO",0,IFERROR(VALUE(LEFT(E1186,FIND("º",SUBSTITUTE(E1186,"°","º"))-1)),""))))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27765762</v>
      </c>
      <c r="C1187" s="4" t="inlineStr">
        <is>
          <t>DRENO + ATERRO JARDINEIRAS</t>
        </is>
      </c>
      <c r="D1187" s="4" t="inlineStr">
        <is>
          <t>-</t>
        </is>
      </c>
      <c r="E1187" s="4" t="inlineStr">
        <is>
          <t>18º PAV. TIPO</t>
        </is>
      </c>
      <c r="F1187" s="119" t="n">
        <v>46541</v>
      </c>
      <c r="G1187" s="119" t="n">
        <v>46553</v>
      </c>
      <c r="H1187" s="119" t="n">
        <v>46293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IF(E1187="","",IF(ISNUMBER(SEARCH("SUBSOLO",E1187)),IFERROR(-VALUE(LEFT(E1187,FIND("º",SUBSTITUTE(E1187,"°","º"))-1)),-1),IF(LEFT(E1187,6)="TÉRREO",0,IFERROR(VALUE(LEFT(E1187,FIND("º",SUBSTITUTE(E1187,"°","º"))-1)),""))))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25210687</v>
      </c>
      <c r="C1188" s="4" t="inlineStr">
        <is>
          <t>IMPERMEABILIZAÇÃO INTERNA</t>
        </is>
      </c>
      <c r="D1188" s="4" t="inlineStr">
        <is>
          <t>-</t>
        </is>
      </c>
      <c r="E1188" s="4" t="inlineStr">
        <is>
          <t>8º PAV. TIPO</t>
        </is>
      </c>
      <c r="F1188" s="119" t="n">
        <v>46542</v>
      </c>
      <c r="G1188" s="119" t="n">
        <v>46554</v>
      </c>
      <c r="H1188" s="119" t="n">
        <v>46293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IF(E1188="","",IF(ISNUMBER(SEARCH("SUBSOLO",E1188)),IFERROR(-VALUE(LEFT(E1188,FIND("º",SUBSTITUTE(E1188,"°","º"))-1)),-1),IF(LEFT(E1188,6)="TÉRREO",0,IFERROR(VALUE(LEFT(E1188,FIND("º",SUBSTITUTE(E1188,"°","º"))-1)),""))))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25210543</v>
      </c>
      <c r="C1189" s="4" t="inlineStr">
        <is>
          <t>REBOCO INTERNO</t>
        </is>
      </c>
      <c r="D1189" s="4" t="inlineStr">
        <is>
          <t>-</t>
        </is>
      </c>
      <c r="E1189" s="4" t="inlineStr">
        <is>
          <t>12º PAV. TIPO</t>
        </is>
      </c>
      <c r="F1189" s="119" t="n">
        <v>46542</v>
      </c>
      <c r="G1189" s="119" t="n">
        <v>46562</v>
      </c>
      <c r="H1189" s="119" t="n">
        <v>46293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IF(E1189="","",IF(ISNUMBER(SEARCH("SUBSOLO",E1189)),IFERROR(-VALUE(LEFT(E1189,FIND("º",SUBSTITUTE(E1189,"°","º"))-1)),-1),IF(LEFT(E1189,6)="TÉRREO",0,IFERROR(VALUE(LEFT(E1189,FIND("º",SUBSTITUTE(E1189,"°","º"))-1)),""))))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25210539</v>
      </c>
      <c r="C1190" s="4" t="inlineStr">
        <is>
          <t>ESPALA ESQUADRIA DE ALUMINIO</t>
        </is>
      </c>
      <c r="D1190" s="4" t="inlineStr">
        <is>
          <t>-</t>
        </is>
      </c>
      <c r="E1190" s="4" t="inlineStr">
        <is>
          <t>12º PAV. TIPO</t>
        </is>
      </c>
      <c r="F1190" s="119" t="n">
        <v>46542</v>
      </c>
      <c r="G1190" s="119" t="n">
        <v>46548</v>
      </c>
      <c r="H1190" s="119" t="n">
        <v>46293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IF(E1190="","",IF(ISNUMBER(SEARCH("SUBSOLO",E1190)),IFERROR(-VALUE(LEFT(E1190,FIND("º",SUBSTITUTE(E1190,"°","º"))-1)),-1),IF(LEFT(E1190,6)="TÉRREO",0,IFERROR(VALUE(LEFT(E1190,FIND("º",SUBSTITUTE(E1190,"°","º"))-1)),""))))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25210439</v>
      </c>
      <c r="C1191" s="4" t="inlineStr">
        <is>
          <t>PRUMADA HIDROSSANITÁRIA</t>
        </is>
      </c>
      <c r="D1191" s="4" t="inlineStr">
        <is>
          <t>-</t>
        </is>
      </c>
      <c r="E1191" s="4" t="inlineStr">
        <is>
          <t>15º PAV. TIPO</t>
        </is>
      </c>
      <c r="F1191" s="119" t="n">
        <v>46542</v>
      </c>
      <c r="G1191" s="119" t="n">
        <v>46554</v>
      </c>
      <c r="H1191" s="119" t="n">
        <v>46293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IF(E1191="","",IF(ISNUMBER(SEARCH("SUBSOLO",E1191)),IFERROR(-VALUE(LEFT(E1191,FIND("º",SUBSTITUTE(E1191,"°","º"))-1)),-1),IF(LEFT(E1191,6)="TÉRREO",0,IFERROR(VALUE(LEFT(E1191,FIND("º",SUBSTITUTE(E1191,"°","º"))-1)),""))))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25210429</v>
      </c>
      <c r="C1192" s="4" t="inlineStr">
        <is>
          <t>PRUMADA DE INCÊNDIO</t>
        </is>
      </c>
      <c r="D1192" s="4" t="inlineStr">
        <is>
          <t>-</t>
        </is>
      </c>
      <c r="E1192" s="4" t="inlineStr">
        <is>
          <t>15º PAV. TIPO</t>
        </is>
      </c>
      <c r="F1192" s="119" t="n">
        <v>46542</v>
      </c>
      <c r="G1192" s="119" t="n">
        <v>46554</v>
      </c>
      <c r="H1192" s="119" t="n">
        <v>46293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IF(E1192="","",IF(ISNUMBER(SEARCH("SUBSOLO",E1192)),IFERROR(-VALUE(LEFT(E1192,FIND("º",SUBSTITUTE(E1192,"°","º"))-1)),-1),IF(LEFT(E1192,6)="TÉRREO",0,IFERROR(VALUE(LEFT(E1192,FIND("º",SUBSTITUTE(E1192,"°","º"))-1)),""))))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25210302</v>
      </c>
      <c r="C1193" s="4" t="inlineStr">
        <is>
          <t>IMPERMEABILIZAÇÃO INTERNA</t>
        </is>
      </c>
      <c r="D1193" s="4" t="inlineStr">
        <is>
          <t>-</t>
        </is>
      </c>
      <c r="E1193" s="4" t="inlineStr">
        <is>
          <t>19º PAV. TIPO</t>
        </is>
      </c>
      <c r="F1193" s="119" t="n">
        <v>46545</v>
      </c>
      <c r="G1193" s="119" t="n">
        <v>46555</v>
      </c>
      <c r="H1193" s="119" t="n">
        <v>46293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IF(E1193="","",IF(ISNUMBER(SEARCH("SUBSOLO",E1193)),IFERROR(-VALUE(LEFT(E1193,FIND("º",SUBSTITUTE(E1193,"°","º"))-1)),-1),IF(LEFT(E1193,6)="TÉRREO",0,IFERROR(VALUE(LEFT(E1193,FIND("º",SUBSTITUTE(E1193,"°","º"))-1)),""))))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25210113</v>
      </c>
      <c r="C1194" s="4" t="inlineStr">
        <is>
          <t>ALVENARIA</t>
        </is>
      </c>
      <c r="D1194" s="4" t="inlineStr">
        <is>
          <t>-</t>
        </is>
      </c>
      <c r="E1194" s="4" t="inlineStr">
        <is>
          <t>24º PAV. TIPO</t>
        </is>
      </c>
      <c r="F1194" s="119" t="n">
        <v>46546</v>
      </c>
      <c r="G1194" s="119" t="n">
        <v>46566</v>
      </c>
      <c r="H1194" s="119" t="n">
        <v>46293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IF(E1194="","",IF(ISNUMBER(SEARCH("SUBSOLO",E1194)),IFERROR(-VALUE(LEFT(E1194,FIND("º",SUBSTITUTE(E1194,"°","º"))-1)),-1),IF(LEFT(E1194,6)="TÉRREO",0,IFERROR(VALUE(LEFT(E1194,FIND("º",SUBSTITUTE(E1194,"°","º"))-1)),""))))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25210471</v>
      </c>
      <c r="C1195" s="4" t="inlineStr">
        <is>
          <t>DISTRIBUIÇÃO HIDROSSANITÁRIA</t>
        </is>
      </c>
      <c r="D1195" s="4" t="inlineStr">
        <is>
          <t>-</t>
        </is>
      </c>
      <c r="E1195" s="4" t="inlineStr">
        <is>
          <t>14º PAV. TIPO</t>
        </is>
      </c>
      <c r="F1195" s="119" t="n">
        <v>46547</v>
      </c>
      <c r="G1195" s="119" t="n">
        <v>46559</v>
      </c>
      <c r="H1195" s="119" t="n">
        <v>46293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IF(E1195="","",IF(ISNUMBER(SEARCH("SUBSOLO",E1195)),IFERROR(-VALUE(LEFT(E1195,FIND("º",SUBSTITUTE(E1195,"°","º"))-1)),-1),IF(LEFT(E1195,6)="TÉRREO",0,IFERROR(VALUE(LEFT(E1195,FIND("º",SUBSTITUTE(E1195,"°","º"))-1)),""))))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25210470</v>
      </c>
      <c r="C1196" s="4" t="inlineStr">
        <is>
          <t>DISTRIBUIÇÃO ELÉTRICA / QUADRO - SETOR B</t>
        </is>
      </c>
      <c r="D1196" s="4" t="inlineStr">
        <is>
          <t>-</t>
        </is>
      </c>
      <c r="E1196" s="4" t="inlineStr">
        <is>
          <t>14º PAV. TIPO</t>
        </is>
      </c>
      <c r="F1196" s="119" t="n">
        <v>46547</v>
      </c>
      <c r="G1196" s="119" t="n">
        <v>46559</v>
      </c>
      <c r="H1196" s="119" t="n">
        <v>46293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IF(E1196="","",IF(ISNUMBER(SEARCH("SUBSOLO",E1196)),IFERROR(-VALUE(LEFT(E1196,FIND("º",SUBSTITUTE(E1196,"°","º"))-1)),-1),IF(LEFT(E1196,6)="TÉRREO",0,IFERROR(VALUE(LEFT(E1196,FIND("º",SUBSTITUTE(E1196,"°","º"))-1)),""))))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33276740</v>
      </c>
      <c r="C1197" s="4" t="inlineStr">
        <is>
          <t>INFRAESTRUTURA ELÉTRICA - TETO</t>
        </is>
      </c>
      <c r="D1197" s="4" t="inlineStr">
        <is>
          <t>-</t>
        </is>
      </c>
      <c r="E1197" s="4" t="inlineStr">
        <is>
          <t>14º PAV. TIPO</t>
        </is>
      </c>
      <c r="F1197" s="119" t="n">
        <v>46547</v>
      </c>
      <c r="G1197" s="119" t="n">
        <v>46559</v>
      </c>
      <c r="H1197" s="119" t="n">
        <v>46293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IF(E1197="","",IF(ISNUMBER(SEARCH("SUBSOLO",E1197)),IFERROR(-VALUE(LEFT(E1197,FIND("º",SUBSTITUTE(E1197,"°","º"))-1)),-1),IF(LEFT(E1197,6)="TÉRREO",0,IFERROR(VALUE(LEFT(E1197,FIND("º",SUBSTITUTE(E1197,"°","º"))-1)),""))))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25210791</v>
      </c>
      <c r="C1198" s="4" t="inlineStr">
        <is>
          <t>CONTRAPISO</t>
        </is>
      </c>
      <c r="D1198" s="4" t="inlineStr">
        <is>
          <t>-</t>
        </is>
      </c>
      <c r="E1198" s="4" t="inlineStr">
        <is>
          <t>5º PAV. TIPO</t>
        </is>
      </c>
      <c r="F1198" s="119" t="n">
        <v>46548</v>
      </c>
      <c r="G1198" s="119" t="n">
        <v>46561</v>
      </c>
      <c r="H1198" s="119" t="n">
        <v>46293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IF(E1198="","",IF(ISNUMBER(SEARCH("SUBSOLO",E1198)),IFERROR(-VALUE(LEFT(E1198,FIND("º",SUBSTITUTE(E1198,"°","º"))-1)),-1),IF(LEFT(E1198,6)="TÉRREO",0,IFERROR(VALUE(LEFT(E1198,FIND("º",SUBSTITUTE(E1198,"°","º"))-1)),""))))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27765749</v>
      </c>
      <c r="C1199" s="4" t="inlineStr">
        <is>
          <t>DRENO + ATERRO JARDINEIRAS</t>
        </is>
      </c>
      <c r="D1199" s="4" t="inlineStr">
        <is>
          <t>-</t>
        </is>
      </c>
      <c r="E1199" s="4" t="inlineStr">
        <is>
          <t>5º PAV. TIPO</t>
        </is>
      </c>
      <c r="F1199" s="119" t="n">
        <v>46548</v>
      </c>
      <c r="G1199" s="119" t="n">
        <v>46560</v>
      </c>
      <c r="H1199" s="119" t="n">
        <v>46293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IF(E1199="","",IF(ISNUMBER(SEARCH("SUBSOLO",E1199)),IFERROR(-VALUE(LEFT(E1199,FIND("º",SUBSTITUTE(E1199,"°","º"))-1)),-1),IF(LEFT(E1199,6)="TÉRREO",0,IFERROR(VALUE(LEFT(E1199,FIND("º",SUBSTITUTE(E1199,"°","º"))-1)),""))))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25731725</v>
      </c>
      <c r="C1200" s="4" t="inlineStr">
        <is>
          <t>FACHADA JAIRO - F2 (B)</t>
        </is>
      </c>
      <c r="D1200" s="4" t="inlineStr">
        <is>
          <t>-</t>
        </is>
      </c>
      <c r="E1200" s="4" t="inlineStr">
        <is>
          <t>FACHADA</t>
        </is>
      </c>
      <c r="F1200" s="119" t="n">
        <v>46549</v>
      </c>
      <c r="G1200" s="119" t="n">
        <v>46639</v>
      </c>
      <c r="H1200" s="119" t="n">
        <v>46293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IF(E1200="","",IF(ISNUMBER(SEARCH("SUBSOLO",E1200)),IFERROR(-VALUE(LEFT(E1200,FIND("º",SUBSTITUTE(E1200,"°","º"))-1)),-1),IF(LEFT(E1200,6)="TÉRREO",0,IFERROR(VALUE(LEFT(E1200,FIND("º",SUBSTITUTE(E1200,"°","º"))-1)),""))))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25799980</v>
      </c>
      <c r="C1201" s="4" t="inlineStr">
        <is>
          <t>SHAFT INTERNO INST. HIDRAÚLICAS</t>
        </is>
      </c>
      <c r="D1201" s="4" t="inlineStr">
        <is>
          <t>-</t>
        </is>
      </c>
      <c r="E1201" s="4" t="inlineStr">
        <is>
          <t>3º PAV. - ESPAÇO KIDS E GOURMET, SALÃO DE FESTAS E APOIO, LOBBY PILOTIS</t>
        </is>
      </c>
      <c r="F1201" s="119" t="n">
        <v>46552</v>
      </c>
      <c r="G1201" s="119" t="n">
        <v>46556</v>
      </c>
      <c r="H1201" s="119" t="n">
        <v>46293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IF(E1201="","",IF(ISNUMBER(SEARCH("SUBSOLO",E1201)),IFERROR(-VALUE(LEFT(E1201,FIND("º",SUBSTITUTE(E1201,"°","º"))-1)),-1),IF(LEFT(E1201,6)="TÉRREO",0,IFERROR(VALUE(LEFT(E1201,FIND("º",SUBSTITUTE(E1201,"°","º"))-1)),""))))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25210703</v>
      </c>
      <c r="C1202" s="4" t="inlineStr">
        <is>
          <t>PINTURA 1º DEMÃO</t>
        </is>
      </c>
      <c r="D1202" s="4" t="inlineStr">
        <is>
          <t>-</t>
        </is>
      </c>
      <c r="E1202" s="4" t="inlineStr">
        <is>
          <t>7º PAV. TIPO</t>
        </is>
      </c>
      <c r="F1202" s="119" t="n">
        <v>46552</v>
      </c>
      <c r="G1202" s="119" t="n">
        <v>46561</v>
      </c>
      <c r="H1202" s="119" t="n">
        <v>46293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IF(E1202="","",IF(ISNUMBER(SEARCH("SUBSOLO",E1202)),IFERROR(-VALUE(LEFT(E1202,FIND("º",SUBSTITUTE(E1202,"°","º"))-1)),-1),IF(LEFT(E1202,6)="TÉRREO",0,IFERROR(VALUE(LEFT(E1202,FIND("º",SUBSTITUTE(E1202,"°","º"))-1)),""))))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25210643</v>
      </c>
      <c r="C1203" s="4" t="inlineStr">
        <is>
          <t>SHAFT INTERNO INST. HIDRAÚLICAS</t>
        </is>
      </c>
      <c r="D1203" s="4" t="inlineStr">
        <is>
          <t>-</t>
        </is>
      </c>
      <c r="E1203" s="4" t="inlineStr">
        <is>
          <t>9º PAV. TIPO</t>
        </is>
      </c>
      <c r="F1203" s="119" t="n">
        <v>46552</v>
      </c>
      <c r="G1203" s="119" t="n">
        <v>46562</v>
      </c>
      <c r="H1203" s="119" t="n">
        <v>46293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IF(E1203="","",IF(ISNUMBER(SEARCH("SUBSOLO",E1203)),IFERROR(-VALUE(LEFT(E1203,FIND("º",SUBSTITUTE(E1203,"°","º"))-1)),-1),IF(LEFT(E1203,6)="TÉRREO",0,IFERROR(VALUE(LEFT(E1203,FIND("º",SUBSTITUTE(E1203,"°","º"))-1)),""))))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27769239</v>
      </c>
      <c r="C1204" s="4" t="inlineStr">
        <is>
          <t>PRUMADA ELÉTRICA INFRA</t>
        </is>
      </c>
      <c r="D1204" s="4" t="inlineStr">
        <is>
          <t>-</t>
        </is>
      </c>
      <c r="E1204" s="4" t="inlineStr">
        <is>
          <t>15º PAV. TIPO</t>
        </is>
      </c>
      <c r="F1204" s="119" t="n">
        <v>46552</v>
      </c>
      <c r="G1204" s="119" t="n">
        <v>46562</v>
      </c>
      <c r="H1204" s="119" t="n">
        <v>46293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IF(E1204="","",IF(ISNUMBER(SEARCH("SUBSOLO",E1204)),IFERROR(-VALUE(LEFT(E1204,FIND("º",SUBSTITUTE(E1204,"°","º"))-1)),-1),IF(LEFT(E1204,6)="TÉRREO",0,IFERROR(VALUE(LEFT(E1204,FIND("º",SUBSTITUTE(E1204,"°","º"))-1)),""))))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25752750</v>
      </c>
      <c r="C1205" s="4" t="inlineStr">
        <is>
          <t>CONTRAPISO</t>
        </is>
      </c>
      <c r="D1205" s="4" t="inlineStr">
        <is>
          <t>-</t>
        </is>
      </c>
      <c r="E1205" s="4" t="inlineStr">
        <is>
          <t>2º PAV. - ÁREAS TÉCNICAS</t>
        </is>
      </c>
      <c r="F1205" s="119" t="n">
        <v>46553</v>
      </c>
      <c r="G1205" s="119" t="n">
        <v>46559</v>
      </c>
      <c r="H1205" s="119" t="n">
        <v>46293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IF(E1205="","",IF(ISNUMBER(SEARCH("SUBSOLO",E1205)),IFERROR(-VALUE(LEFT(E1205,FIND("º",SUBSTITUTE(E1205,"°","º"))-1)),-1),IF(LEFT(E1205,6)="TÉRREO",0,IFERROR(VALUE(LEFT(E1205,FIND("º",SUBSTITUTE(E1205,"°","º"))-1)),""))))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25210816</v>
      </c>
      <c r="C1206" s="4" t="inlineStr">
        <is>
          <t>REVESTIMENTO PAREDE</t>
        </is>
      </c>
      <c r="D1206" s="4" t="inlineStr">
        <is>
          <t>-</t>
        </is>
      </c>
      <c r="E1206" s="4" t="inlineStr">
        <is>
          <t>4° PAV. APTO GARDEN</t>
        </is>
      </c>
      <c r="F1206" s="119" t="n">
        <v>46554</v>
      </c>
      <c r="G1206" s="119" t="n">
        <v>46567</v>
      </c>
      <c r="H1206" s="119" t="n">
        <v>46293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IF(E1206="","",IF(ISNUMBER(SEARCH("SUBSOLO",E1206)),IFERROR(-VALUE(LEFT(E1206,FIND("º",SUBSTITUTE(E1206,"°","º"))-1)),-1),IF(LEFT(E1206,6)="TÉRREO",0,IFERROR(VALUE(LEFT(E1206,FIND("º",SUBSTITUTE(E1206,"°","º"))-1)),""))))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27762191</v>
      </c>
      <c r="C1207" s="4" t="inlineStr">
        <is>
          <t>TRATAMENTO ACÚSTICO</t>
        </is>
      </c>
      <c r="D1207" s="4" t="inlineStr">
        <is>
          <t>-</t>
        </is>
      </c>
      <c r="E1207" s="4" t="inlineStr">
        <is>
          <t>8º PAV. TIPO</t>
        </is>
      </c>
      <c r="F1207" s="119" t="n">
        <v>46555</v>
      </c>
      <c r="G1207" s="119" t="n">
        <v>46555</v>
      </c>
      <c r="H1207" s="119" t="n">
        <v>46293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IF(E1207="","",IF(ISNUMBER(SEARCH("SUBSOLO",E1207)),IFERROR(-VALUE(LEFT(E1207,FIND("º",SUBSTITUTE(E1207,"°","º"))-1)),-1),IF(LEFT(E1207,6)="TÉRREO",0,IFERROR(VALUE(LEFT(E1207,FIND("º",SUBSTITUTE(E1207,"°","º"))-1)),""))))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25210597</v>
      </c>
      <c r="C1208" s="4" t="inlineStr">
        <is>
          <t>MASSA CORRIDA</t>
        </is>
      </c>
      <c r="D1208" s="4" t="inlineStr">
        <is>
          <t>-</t>
        </is>
      </c>
      <c r="E1208" s="4" t="inlineStr">
        <is>
          <t>10º PAV. TIPO</t>
        </is>
      </c>
      <c r="F1208" s="119" t="n">
        <v>46555</v>
      </c>
      <c r="G1208" s="119" t="n">
        <v>46563</v>
      </c>
      <c r="H1208" s="119" t="n">
        <v>46293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IF(E1208="","",IF(ISNUMBER(SEARCH("SUBSOLO",E1208)),IFERROR(-VALUE(LEFT(E1208,FIND("º",SUBSTITUTE(E1208,"°","º"))-1)),-1),IF(LEFT(E1208,6)="TÉRREO",0,IFERROR(VALUE(LEFT(E1208,FIND("º",SUBSTITUTE(E1208,"°","º"))-1)),""))))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25210583</v>
      </c>
      <c r="C1209" s="4" t="inlineStr">
        <is>
          <t>FORRO</t>
        </is>
      </c>
      <c r="D1209" s="4" t="inlineStr">
        <is>
          <t>-</t>
        </is>
      </c>
      <c r="E1209" s="4" t="inlineStr">
        <is>
          <t>11º PAV. TIPO</t>
        </is>
      </c>
      <c r="F1209" s="119" t="n">
        <v>46555</v>
      </c>
      <c r="G1209" s="119" t="n">
        <v>46575</v>
      </c>
      <c r="H1209" s="119" t="n">
        <v>46293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IF(E1209="","",IF(ISNUMBER(SEARCH("SUBSOLO",E1209)),IFERROR(-VALUE(LEFT(E1209,FIND("º",SUBSTITUTE(E1209,"°","º"))-1)),-1),IF(LEFT(E1209,6)="TÉRREO",0,IFERROR(VALUE(LEFT(E1209,FIND("º",SUBSTITUTE(E1209,"°","º"))-1)),""))))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25210437</v>
      </c>
      <c r="C1210" s="4" t="inlineStr">
        <is>
          <t>GÁS</t>
        </is>
      </c>
      <c r="D1210" s="4" t="inlineStr">
        <is>
          <t>-</t>
        </is>
      </c>
      <c r="E1210" s="4" t="inlineStr">
        <is>
          <t>15º PAV. TIPO</t>
        </is>
      </c>
      <c r="F1210" s="119" t="n">
        <v>46555</v>
      </c>
      <c r="G1210" s="119" t="n">
        <v>46567</v>
      </c>
      <c r="H1210" s="119" t="n">
        <v>46293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IF(E1210="","",IF(ISNUMBER(SEARCH("SUBSOLO",E1210)),IFERROR(-VALUE(LEFT(E1210,FIND("º",SUBSTITUTE(E1210,"°","º"))-1)),-1),IF(LEFT(E1210,6)="TÉRREO",0,IFERROR(VALUE(LEFT(E1210,FIND("º",SUBSTITUTE(E1210,"°","º"))-1)),""))))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29601279</v>
      </c>
      <c r="C1211" s="4" t="inlineStr">
        <is>
          <t>TALISCAMENTO</t>
        </is>
      </c>
      <c r="D1211" s="4" t="inlineStr">
        <is>
          <t>-</t>
        </is>
      </c>
      <c r="E1211" s="4" t="inlineStr">
        <is>
          <t>15º PAV. TIPO</t>
        </is>
      </c>
      <c r="F1211" s="119" t="n">
        <v>46555</v>
      </c>
      <c r="G1211" s="119" t="n">
        <v>46567</v>
      </c>
      <c r="H1211" s="119" t="n">
        <v>46293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IF(E1211="","",IF(ISNUMBER(SEARCH("SUBSOLO",E1211)),IFERROR(-VALUE(LEFT(E1211,FIND("º",SUBSTITUTE(E1211,"°","º"))-1)),-1),IF(LEFT(E1211,6)="TÉRREO",0,IFERROR(VALUE(LEFT(E1211,FIND("º",SUBSTITUTE(E1211,"°","º"))-1)),""))))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25210410</v>
      </c>
      <c r="C1212" s="4" t="inlineStr">
        <is>
          <t>REVESTIMENTOS PISO</t>
        </is>
      </c>
      <c r="D1212" s="4" t="inlineStr">
        <is>
          <t>-</t>
        </is>
      </c>
      <c r="E1212" s="4" t="inlineStr">
        <is>
          <t>16º PAV. TIPO</t>
        </is>
      </c>
      <c r="F1212" s="119" t="n">
        <v>46555</v>
      </c>
      <c r="G1212" s="119" t="n">
        <v>46568</v>
      </c>
      <c r="H1212" s="119" t="n">
        <v>46293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IF(E1212="","",IF(ISNUMBER(SEARCH("SUBSOLO",E1212)),IFERROR(-VALUE(LEFT(E1212,FIND("º",SUBSTITUTE(E1212,"°","º"))-1)),-1),IF(LEFT(E1212,6)="TÉRREO",0,IFERROR(VALUE(LEFT(E1212,FIND("º",SUBSTITUTE(E1212,"°","º"))-1)),""))))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25210361</v>
      </c>
      <c r="C1213" s="4" t="inlineStr">
        <is>
          <t>REVESTIMENTO PAREDE</t>
        </is>
      </c>
      <c r="D1213" s="4" t="inlineStr">
        <is>
          <t>-</t>
        </is>
      </c>
      <c r="E1213" s="4" t="inlineStr">
        <is>
          <t>17º PAV. TIPO</t>
        </is>
      </c>
      <c r="F1213" s="119" t="n">
        <v>46555</v>
      </c>
      <c r="G1213" s="119" t="n">
        <v>46568</v>
      </c>
      <c r="H1213" s="119" t="n">
        <v>46293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IF(E1213="","",IF(ISNUMBER(SEARCH("SUBSOLO",E1213)),IFERROR(-VALUE(LEFT(E1213,FIND("º",SUBSTITUTE(E1213,"°","º"))-1)),-1),IF(LEFT(E1213,6)="TÉRREO",0,IFERROR(VALUE(LEFT(E1213,FIND("º",SUBSTITUTE(E1213,"°","º"))-1)),""))))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33276118</v>
      </c>
      <c r="C1214" s="4" t="inlineStr">
        <is>
          <t>INFRAESTRUTURA - AR CONDICIONADO</t>
        </is>
      </c>
      <c r="D1214" s="4" t="inlineStr">
        <is>
          <t>-</t>
        </is>
      </c>
      <c r="E1214" s="4" t="inlineStr">
        <is>
          <t>18º PAV. TIPO</t>
        </is>
      </c>
      <c r="F1214" s="119" t="n">
        <v>46555</v>
      </c>
      <c r="G1214" s="119" t="n">
        <v>46568</v>
      </c>
      <c r="H1214" s="119" t="n">
        <v>46293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IF(E1214="","",IF(ISNUMBER(SEARCH("SUBSOLO",E1214)),IFERROR(-VALUE(LEFT(E1214,FIND("º",SUBSTITUTE(E1214,"°","º"))-1)),-1),IF(LEFT(E1214,6)="TÉRREO",0,IFERROR(VALUE(LEFT(E1214,FIND("º",SUBSTITUTE(E1214,"°","º"))-1)),""))))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33278925</v>
      </c>
      <c r="C1215" s="4" t="inlineStr">
        <is>
          <t>INFRAESTRUTURA ELÉTRICA - PAREDES</t>
        </is>
      </c>
      <c r="D1215" s="4" t="inlineStr">
        <is>
          <t>-</t>
        </is>
      </c>
      <c r="E1215" s="4" t="inlineStr">
        <is>
          <t>18º PAV. TIPO</t>
        </is>
      </c>
      <c r="F1215" s="119" t="n">
        <v>46555</v>
      </c>
      <c r="G1215" s="119" t="n">
        <v>46567</v>
      </c>
      <c r="H1215" s="119" t="n">
        <v>46293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IF(E1215="","",IF(ISNUMBER(SEARCH("SUBSOLO",E1215)),IFERROR(-VALUE(LEFT(E1215,FIND("º",SUBSTITUTE(E1215,"°","º"))-1)),-1),IF(LEFT(E1215,6)="TÉRREO",0,IFERROR(VALUE(LEFT(E1215,FIND("º",SUBSTITUTE(E1215,"°","º"))-1)),""))))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25210229</v>
      </c>
      <c r="C1216" s="4" t="inlineStr">
        <is>
          <t>PRUMADA HIDROSSANITÁRIA</t>
        </is>
      </c>
      <c r="D1216" s="4" t="inlineStr">
        <is>
          <t>-</t>
        </is>
      </c>
      <c r="E1216" s="4" t="inlineStr">
        <is>
          <t>21º PAV. TIPO</t>
        </is>
      </c>
      <c r="F1216" s="119" t="n">
        <v>46555</v>
      </c>
      <c r="G1216" s="119" t="n">
        <v>46567</v>
      </c>
      <c r="H1216" s="119" t="n">
        <v>46293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IF(E1216="","",IF(ISNUMBER(SEARCH("SUBSOLO",E1216)),IFERROR(-VALUE(LEFT(E1216,FIND("º",SUBSTITUTE(E1216,"°","º"))-1)),-1),IF(LEFT(E1216,6)="TÉRREO",0,IFERROR(VALUE(LEFT(E1216,FIND("º",SUBSTITUTE(E1216,"°","º"))-1)),""))))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25210219</v>
      </c>
      <c r="C1217" s="4" t="inlineStr">
        <is>
          <t>PRUMADA DE INCÊNDIO</t>
        </is>
      </c>
      <c r="D1217" s="4" t="inlineStr">
        <is>
          <t>-</t>
        </is>
      </c>
      <c r="E1217" s="4" t="inlineStr">
        <is>
          <t>21º PAV. TIPO</t>
        </is>
      </c>
      <c r="F1217" s="119" t="n">
        <v>46555</v>
      </c>
      <c r="G1217" s="119" t="n">
        <v>46567</v>
      </c>
      <c r="H1217" s="119" t="n">
        <v>46293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IF(E1217="","",IF(ISNUMBER(SEARCH("SUBSOLO",E1217)),IFERROR(-VALUE(LEFT(E1217,FIND("º",SUBSTITUTE(E1217,"°","º"))-1)),-1),IF(LEFT(E1217,6)="TÉRREO",0,IFERROR(VALUE(LEFT(E1217,FIND("º",SUBSTITUTE(E1217,"°","º"))-1)),""))))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25210675</v>
      </c>
      <c r="C1218" s="4" t="inlineStr">
        <is>
          <t>IMPERMEABILIZAÇÃO VARANDA E JARDINEIRAS</t>
        </is>
      </c>
      <c r="D1218" s="4" t="inlineStr">
        <is>
          <t>-</t>
        </is>
      </c>
      <c r="E1218" s="4" t="inlineStr">
        <is>
          <t>8º PAV. TIPO</t>
        </is>
      </c>
      <c r="F1218" s="119" t="n">
        <v>46556</v>
      </c>
      <c r="G1218" s="119" t="n">
        <v>46568</v>
      </c>
      <c r="H1218" s="119" t="n">
        <v>46293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IF(E1218="","",IF(ISNUMBER(SEARCH("SUBSOLO",E1218)),IFERROR(-VALUE(LEFT(E1218,FIND("º",SUBSTITUTE(E1218,"°","º"))-1)),-1),IF(LEFT(E1218,6)="TÉRREO",0,IFERROR(VALUE(LEFT(E1218,FIND("º",SUBSTITUTE(E1218,"°","º"))-1)),""))))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27762202</v>
      </c>
      <c r="C1219" s="4" t="inlineStr">
        <is>
          <t>TRATAMENTO ACÚSTICO</t>
        </is>
      </c>
      <c r="D1219" s="4" t="inlineStr">
        <is>
          <t>-</t>
        </is>
      </c>
      <c r="E1219" s="4" t="inlineStr">
        <is>
          <t>19º PAV. TIPO</t>
        </is>
      </c>
      <c r="F1219" s="119" t="n">
        <v>46556</v>
      </c>
      <c r="G1219" s="119" t="n">
        <v>46556</v>
      </c>
      <c r="H1219" s="119" t="n">
        <v>46293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IF(E1219="","",IF(ISNUMBER(SEARCH("SUBSOLO",E1219)),IFERROR(-VALUE(LEFT(E1219,FIND("º",SUBSTITUTE(E1219,"°","º"))-1)),-1),IF(LEFT(E1219,6)="TÉRREO",0,IFERROR(VALUE(LEFT(E1219,FIND("º",SUBSTITUTE(E1219,"°","º"))-1)),""))))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27766397</v>
      </c>
      <c r="C1220" s="4" t="inlineStr">
        <is>
          <t>ACABAMENTOS INCÊNDIO</t>
        </is>
      </c>
      <c r="D1220" s="4" t="inlineStr">
        <is>
          <t>-</t>
        </is>
      </c>
      <c r="E1220" s="4" t="inlineStr">
        <is>
          <t>TÉRREO - GARAGENS</t>
        </is>
      </c>
      <c r="F1220" s="119" t="n">
        <v>46559</v>
      </c>
      <c r="G1220" s="119" t="n">
        <v>46569</v>
      </c>
      <c r="H1220" s="119" t="n">
        <v>46293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IF(E1220="","",IF(ISNUMBER(SEARCH("SUBSOLO",E1220)),IFERROR(-VALUE(LEFT(E1220,FIND("º",SUBSTITUTE(E1220,"°","º"))-1)),-1),IF(LEFT(E1220,6)="TÉRREO",0,IFERROR(VALUE(LEFT(E1220,FIND("º",SUBSTITUTE(E1220,"°","º"))-1)),""))))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25799982</v>
      </c>
      <c r="C1221" s="4" t="inlineStr">
        <is>
          <t>CONTRAMARCO</t>
        </is>
      </c>
      <c r="D1221" s="4" t="inlineStr">
        <is>
          <t>-</t>
        </is>
      </c>
      <c r="E1221" s="4" t="inlineStr">
        <is>
          <t>3º PAV. - ESPAÇO KIDS E GOURMET, SALÃO DE FESTAS E APOIO, LOBBY PILOTIS</t>
        </is>
      </c>
      <c r="F1221" s="119" t="n">
        <v>46559</v>
      </c>
      <c r="G1221" s="119" t="n">
        <v>46563</v>
      </c>
      <c r="H1221" s="119" t="n">
        <v>46293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IF(E1221="","",IF(ISNUMBER(SEARCH("SUBSOLO",E1221)),IFERROR(-VALUE(LEFT(E1221,FIND("º",SUBSTITUTE(E1221,"°","º"))-1)),-1),IF(LEFT(E1221,6)="TÉRREO",0,IFERROR(VALUE(LEFT(E1221,FIND("º",SUBSTITUTE(E1221,"°","º"))-1)),""))))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25210755</v>
      </c>
      <c r="C1222" s="4" t="inlineStr">
        <is>
          <t>PISO MADEIRA / LAMINADO</t>
        </is>
      </c>
      <c r="D1222" s="4" t="inlineStr">
        <is>
          <t>-</t>
        </is>
      </c>
      <c r="E1222" s="4" t="inlineStr">
        <is>
          <t>6º PAV. TIPO</t>
        </is>
      </c>
      <c r="F1222" s="119" t="n">
        <v>46559</v>
      </c>
      <c r="G1222" s="119" t="n">
        <v>46570</v>
      </c>
      <c r="H1222" s="119" t="n">
        <v>46293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IF(E1222="","",IF(ISNUMBER(SEARCH("SUBSOLO",E1222)),IFERROR(-VALUE(LEFT(E1222,FIND("º",SUBSTITUTE(E1222,"°","º"))-1)),-1),IF(LEFT(E1222,6)="TÉRREO",0,IFERROR(VALUE(LEFT(E1222,FIND("º",SUBSTITUTE(E1222,"°","º"))-1)),""))))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9054402</v>
      </c>
      <c r="C1223" s="4" t="inlineStr">
        <is>
          <t>PISO MADEIRA / LAMINADO</t>
        </is>
      </c>
      <c r="D1223" s="4" t="inlineStr">
        <is>
          <t>Regularização de Piso</t>
        </is>
      </c>
      <c r="E1223" s="4" t="inlineStr">
        <is>
          <t>6º PAV. TIPO</t>
        </is>
      </c>
      <c r="F1223" s="119" t="n">
        <v>46559</v>
      </c>
      <c r="G1223" s="119" t="n">
        <v>46563</v>
      </c>
      <c r="H1223" s="119" t="n">
        <v>46293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IF(E1223="","",IF(ISNUMBER(SEARCH("SUBSOLO",E1223)),IFERROR(-VALUE(LEFT(E1223,FIND("º",SUBSTITUTE(E1223,"°","º"))-1)),-1),IF(LEFT(E1223,6)="TÉRREO",0,IFERROR(VALUE(LEFT(E1223,FIND("º",SUBSTITUTE(E1223,"°","º"))-1)),""))))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9054403</v>
      </c>
      <c r="C1224" s="4" t="inlineStr">
        <is>
          <t>PISO MADEIRA / LAMINADO</t>
        </is>
      </c>
      <c r="D1224" s="4" t="inlineStr">
        <is>
          <t>Instalação Piso Madeira</t>
        </is>
      </c>
      <c r="E1224" s="4" t="inlineStr">
        <is>
          <t>6º PAV. TIPO</t>
        </is>
      </c>
      <c r="F1224" s="119" t="n">
        <v>46566</v>
      </c>
      <c r="G1224" s="119" t="n">
        <v>46570</v>
      </c>
      <c r="H1224" s="119" t="n">
        <v>46293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IF(E1224="","",IF(ISNUMBER(SEARCH("SUBSOLO",E1224)),IFERROR(-VALUE(LEFT(E1224,FIND("º",SUBSTITUTE(E1224,"°","º"))-1)),-1),IF(LEFT(E1224,6)="TÉRREO",0,IFERROR(VALUE(LEFT(E1224,FIND("º",SUBSTITUTE(E1224,"°","º"))-1)),""))))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25210290</v>
      </c>
      <c r="C1225" s="4" t="inlineStr">
        <is>
          <t>IMPERMEABILIZAÇÃO VARANDA E JARDINEIRAS</t>
        </is>
      </c>
      <c r="D1225" s="4" t="inlineStr">
        <is>
          <t>-</t>
        </is>
      </c>
      <c r="E1225" s="4" t="inlineStr">
        <is>
          <t>19º PAV. TIPO</t>
        </is>
      </c>
      <c r="F1225" s="119" t="n">
        <v>46559</v>
      </c>
      <c r="G1225" s="119" t="n">
        <v>46569</v>
      </c>
      <c r="H1225" s="119" t="n">
        <v>46293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IF(E1225="","",IF(ISNUMBER(SEARCH("SUBSOLO",E1225)),IFERROR(-VALUE(LEFT(E1225,FIND("º",SUBSTITUTE(E1225,"°","º"))-1)),-1),IF(LEFT(E1225,6)="TÉRREO",0,IFERROR(VALUE(LEFT(E1225,FIND("º",SUBSTITUTE(E1225,"°","º"))-1)),""))))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25752766</v>
      </c>
      <c r="C1226" s="4" t="inlineStr">
        <is>
          <t>RESERVATÓRIOS / BOILERS</t>
        </is>
      </c>
      <c r="D1226" s="4" t="inlineStr">
        <is>
          <t>-</t>
        </is>
      </c>
      <c r="E1226" s="4" t="inlineStr">
        <is>
          <t>2º PAV. - ÁREAS TÉCNICAS</t>
        </is>
      </c>
      <c r="F1226" s="119" t="n">
        <v>46560</v>
      </c>
      <c r="G1226" s="119" t="n">
        <v>46580</v>
      </c>
      <c r="H1226" s="119" t="n">
        <v>46293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IF(E1226="","",IF(ISNUMBER(SEARCH("SUBSOLO",E1226)),IFERROR(-VALUE(LEFT(E1226,FIND("º",SUBSTITUTE(E1226,"°","º"))-1)),-1),IF(LEFT(E1226,6)="TÉRREO",0,IFERROR(VALUE(LEFT(E1226,FIND("º",SUBSTITUTE(E1226,"°","º"))-1)),""))))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25210467</v>
      </c>
      <c r="C1227" s="4" t="inlineStr">
        <is>
          <t>CONTRAMARCO</t>
        </is>
      </c>
      <c r="D1227" s="4" t="inlineStr">
        <is>
          <t>-</t>
        </is>
      </c>
      <c r="E1227" s="4" t="inlineStr">
        <is>
          <t>14º PAV. TIPO</t>
        </is>
      </c>
      <c r="F1227" s="119" t="n">
        <v>46560</v>
      </c>
      <c r="G1227" s="119" t="n">
        <v>46570</v>
      </c>
      <c r="H1227" s="119" t="n">
        <v>46293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IF(E1227="","",IF(ISNUMBER(SEARCH("SUBSOLO",E1227)),IFERROR(-VALUE(LEFT(E1227,FIND("º",SUBSTITUTE(E1227,"°","º"))-1)),-1),IF(LEFT(E1227,6)="TÉRREO",0,IFERROR(VALUE(LEFT(E1227,FIND("º",SUBSTITUTE(E1227,"°","º"))-1)),""))))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29601278</v>
      </c>
      <c r="C1228" s="4" t="inlineStr">
        <is>
          <t>ENCUNHAMENTO</t>
        </is>
      </c>
      <c r="D1228" s="4" t="inlineStr">
        <is>
          <t>-</t>
        </is>
      </c>
      <c r="E1228" s="4" t="inlineStr">
        <is>
          <t>14º PAV. TIPO</t>
        </is>
      </c>
      <c r="F1228" s="119" t="n">
        <v>46560</v>
      </c>
      <c r="G1228" s="119" t="n">
        <v>46570</v>
      </c>
      <c r="H1228" s="119" t="n">
        <v>46293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IF(E1228="","",IF(ISNUMBER(SEARCH("SUBSOLO",E1228)),IFERROR(-VALUE(LEFT(E1228,FIND("º",SUBSTITUTE(E1228,"°","º"))-1)),-1),IF(LEFT(E1228,6)="TÉRREO",0,IFERROR(VALUE(LEFT(E1228,FIND("º",SUBSTITUTE(E1228,"°","º"))-1)),""))))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25210258</v>
      </c>
      <c r="C1229" s="4" t="inlineStr">
        <is>
          <t>SHAFT INTERNO INST. HIDRAÚLICAS</t>
        </is>
      </c>
      <c r="D1229" s="4" t="inlineStr">
        <is>
          <t>-</t>
        </is>
      </c>
      <c r="E1229" s="4" t="inlineStr">
        <is>
          <t>20º PAV. TIPO</t>
        </is>
      </c>
      <c r="F1229" s="119" t="n">
        <v>46560</v>
      </c>
      <c r="G1229" s="119" t="n">
        <v>46570</v>
      </c>
      <c r="H1229" s="119" t="n">
        <v>46293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IF(E1229="","",IF(ISNUMBER(SEARCH("SUBSOLO",E1229)),IFERROR(-VALUE(LEFT(E1229,FIND("º",SUBSTITUTE(E1229,"°","º"))-1)),-1),IF(LEFT(E1229,6)="TÉRREO",0,IFERROR(VALUE(LEFT(E1229,FIND("º",SUBSTITUTE(E1229,"°","º"))-1)),""))))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25799828</v>
      </c>
      <c r="C1230" s="4" t="inlineStr">
        <is>
          <t>BANCADAS</t>
        </is>
      </c>
      <c r="D1230" s="4" t="inlineStr">
        <is>
          <t>-</t>
        </is>
      </c>
      <c r="E1230" s="4" t="inlineStr">
        <is>
          <t>3º PAV. - BAR PISCINA, VESTIÁRIOS, DEPOSITOS E LOUNGE QUADRAS</t>
        </is>
      </c>
      <c r="F1230" s="119" t="n">
        <v>46561</v>
      </c>
      <c r="G1230" s="119" t="n">
        <v>46590</v>
      </c>
      <c r="H1230" s="119" t="n">
        <v>46293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IF(E1230="","",IF(ISNUMBER(SEARCH("SUBSOLO",E1230)),IFERROR(-VALUE(LEFT(E1230,FIND("º",SUBSTITUTE(E1230,"°","º"))-1)),-1),IF(LEFT(E1230,6)="TÉRREO",0,IFERROR(VALUE(LEFT(E1230,FIND("º",SUBSTITUTE(E1230,"°","º"))-1)),""))))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25752733</v>
      </c>
      <c r="C1231" s="4" t="inlineStr">
        <is>
          <t>ELEVADOR 1</t>
        </is>
      </c>
      <c r="D1231" s="4" t="inlineStr">
        <is>
          <t>-</t>
        </is>
      </c>
      <c r="E1231" s="4" t="inlineStr">
        <is>
          <t>ELEVADORES</t>
        </is>
      </c>
      <c r="F1231" s="119" t="n">
        <v>46561</v>
      </c>
      <c r="G1231" s="119" t="n">
        <v>46622</v>
      </c>
      <c r="H1231" s="119" t="n">
        <v>46293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IF(E1231="","",IF(ISNUMBER(SEARCH("SUBSOLO",E1231)),IFERROR(-VALUE(LEFT(E1231,FIND("º",SUBSTITUTE(E1231,"°","º"))-1)),-1),IF(LEFT(E1231,6)="TÉRREO",0,IFERROR(VALUE(LEFT(E1231,FIND("º",SUBSTITUTE(E1231,"°","º"))-1)),""))))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33276105</v>
      </c>
      <c r="C1232" s="4" t="inlineStr">
        <is>
          <t>INFRAESTRUTURA - AR CONDICIONADO</t>
        </is>
      </c>
      <c r="D1232" s="4" t="inlineStr">
        <is>
          <t>-</t>
        </is>
      </c>
      <c r="E1232" s="4" t="inlineStr">
        <is>
          <t>5º PAV. TIPO</t>
        </is>
      </c>
      <c r="F1232" s="119" t="n">
        <v>46562</v>
      </c>
      <c r="G1232" s="119" t="n">
        <v>46575</v>
      </c>
      <c r="H1232" s="119" t="n">
        <v>46293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IF(E1232="","",IF(ISNUMBER(SEARCH("SUBSOLO",E1232)),IFERROR(-VALUE(LEFT(E1232,FIND("º",SUBSTITUTE(E1232,"°","º"))-1)),-1),IF(LEFT(E1232,6)="TÉRREO",0,IFERROR(VALUE(LEFT(E1232,FIND("º",SUBSTITUTE(E1232,"°","º"))-1)),""))))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33278912</v>
      </c>
      <c r="C1233" s="4" t="inlineStr">
        <is>
          <t>INFRAESTRUTURA ELÉTRICA - PAREDES</t>
        </is>
      </c>
      <c r="D1233" s="4" t="inlineStr">
        <is>
          <t>-</t>
        </is>
      </c>
      <c r="E1233" s="4" t="inlineStr">
        <is>
          <t>5º PAV. TIPO</t>
        </is>
      </c>
      <c r="F1233" s="119" t="n">
        <v>46562</v>
      </c>
      <c r="G1233" s="119" t="n">
        <v>46574</v>
      </c>
      <c r="H1233" s="119" t="n">
        <v>46293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IF(E1233="","",IF(ISNUMBER(SEARCH("SUBSOLO",E1233)),IFERROR(-VALUE(LEFT(E1233,FIND("º",SUBSTITUTE(E1233,"°","º"))-1)),-1),IF(LEFT(E1233,6)="TÉRREO",0,IFERROR(VALUE(LEFT(E1233,FIND("º",SUBSTITUTE(E1233,"°","º"))-1)),""))))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25210724</v>
      </c>
      <c r="C1234" s="4" t="inlineStr">
        <is>
          <t>ESQUADRIA</t>
        </is>
      </c>
      <c r="D1234" s="4" t="inlineStr">
        <is>
          <t>-</t>
        </is>
      </c>
      <c r="E1234" s="4" t="inlineStr">
        <is>
          <t>7º PAV. TIPO</t>
        </is>
      </c>
      <c r="F1234" s="119" t="n">
        <v>46562</v>
      </c>
      <c r="G1234" s="119" t="n">
        <v>46582</v>
      </c>
      <c r="H1234" s="119" t="n">
        <v>46293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IF(E1234="","",IF(ISNUMBER(SEARCH("SUBSOLO",E1234)),IFERROR(-VALUE(LEFT(E1234,FIND("º",SUBSTITUTE(E1234,"°","º"))-1)),-1),IF(LEFT(E1234,6)="TÉRREO",0,IFERROR(VALUE(LEFT(E1234,FIND("º",SUBSTITUTE(E1234,"°","º"))-1)),""))))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25210652</v>
      </c>
      <c r="C1235" s="4" t="inlineStr">
        <is>
          <t>IMPERMEABILIZAÇÃO INTERNA</t>
        </is>
      </c>
      <c r="D1235" s="4" t="inlineStr">
        <is>
          <t>-</t>
        </is>
      </c>
      <c r="E1235" s="4" t="inlineStr">
        <is>
          <t>9º PAV. TIPO</t>
        </is>
      </c>
      <c r="F1235" s="119" t="n">
        <v>46563</v>
      </c>
      <c r="G1235" s="119" t="n">
        <v>46575</v>
      </c>
      <c r="H1235" s="119" t="n">
        <v>46293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IF(E1235="","",IF(ISNUMBER(SEARCH("SUBSOLO",E1235)),IFERROR(-VALUE(LEFT(E1235,FIND("º",SUBSTITUTE(E1235,"°","º"))-1)),-1),IF(LEFT(E1235,6)="TÉRREO",0,IFERROR(VALUE(LEFT(E1235,FIND("º",SUBSTITUTE(E1235,"°","º"))-1)),""))))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25210538</v>
      </c>
      <c r="C1236" s="4" t="inlineStr">
        <is>
          <t>SHAFT INTERNO INST. HIDRAÚLICAS</t>
        </is>
      </c>
      <c r="D1236" s="4" t="inlineStr">
        <is>
          <t>-</t>
        </is>
      </c>
      <c r="E1236" s="4" t="inlineStr">
        <is>
          <t>12º PAV. TIPO</t>
        </is>
      </c>
      <c r="F1236" s="119" t="n">
        <v>46563</v>
      </c>
      <c r="G1236" s="119" t="n">
        <v>46575</v>
      </c>
      <c r="H1236" s="119" t="n">
        <v>46293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IF(E1236="","",IF(ISNUMBER(SEARCH("SUBSOLO",E1236)),IFERROR(-VALUE(LEFT(E1236,FIND("º",SUBSTITUTE(E1236,"°","º"))-1)),-1),IF(LEFT(E1236,6)="TÉRREO",0,IFERROR(VALUE(LEFT(E1236,FIND("º",SUBSTITUTE(E1236,"°","º"))-1)),""))))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25210509</v>
      </c>
      <c r="C1237" s="4" t="inlineStr">
        <is>
          <t>PRUMADA HIDROSSANITÁRIA</t>
        </is>
      </c>
      <c r="D1237" s="4" t="inlineStr">
        <is>
          <t>-</t>
        </is>
      </c>
      <c r="E1237" s="4" t="inlineStr">
        <is>
          <t>13º PAV. TIPO</t>
        </is>
      </c>
      <c r="F1237" s="119" t="n">
        <v>46563</v>
      </c>
      <c r="G1237" s="119" t="n">
        <v>46575</v>
      </c>
      <c r="H1237" s="119" t="n">
        <v>46293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IF(E1237="","",IF(ISNUMBER(SEARCH("SUBSOLO",E1237)),IFERROR(-VALUE(LEFT(E1237,FIND("º",SUBSTITUTE(E1237,"°","º"))-1)),-1),IF(LEFT(E1237,6)="TÉRREO",0,IFERROR(VALUE(LEFT(E1237,FIND("º",SUBSTITUTE(E1237,"°","º"))-1)),""))))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25210499</v>
      </c>
      <c r="C1238" s="4" t="inlineStr">
        <is>
          <t>PRUMADA DE INCÊNDIO</t>
        </is>
      </c>
      <c r="D1238" s="4" t="inlineStr">
        <is>
          <t>-</t>
        </is>
      </c>
      <c r="E1238" s="4" t="inlineStr">
        <is>
          <t>13º PAV. TIPO</t>
        </is>
      </c>
      <c r="F1238" s="119" t="n">
        <v>46563</v>
      </c>
      <c r="G1238" s="119" t="n">
        <v>46575</v>
      </c>
      <c r="H1238" s="119" t="n">
        <v>46293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IF(E1238="","",IF(ISNUMBER(SEARCH("SUBSOLO",E1238)),IFERROR(-VALUE(LEFT(E1238,FIND("º",SUBSTITUTE(E1238,"°","º"))-1)),-1),IF(LEFT(E1238,6)="TÉRREO",0,IFERROR(VALUE(LEFT(E1238,FIND("º",SUBSTITUTE(E1238,"°","º"))-1)),""))))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27769245</v>
      </c>
      <c r="C1239" s="4" t="inlineStr">
        <is>
          <t>PRUMADA ELÉTRICA INFRA</t>
        </is>
      </c>
      <c r="D1239" s="4" t="inlineStr">
        <is>
          <t>-</t>
        </is>
      </c>
      <c r="E1239" s="4" t="inlineStr">
        <is>
          <t>21º PAV. TIPO</t>
        </is>
      </c>
      <c r="F1239" s="119" t="n">
        <v>46563</v>
      </c>
      <c r="G1239" s="119" t="n">
        <v>46575</v>
      </c>
      <c r="H1239" s="119" t="n">
        <v>46293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IF(E1239="","",IF(ISNUMBER(SEARCH("SUBSOLO",E1239)),IFERROR(-VALUE(LEFT(E1239,FIND("º",SUBSTITUTE(E1239,"°","º"))-1)),-1),IF(LEFT(E1239,6)="TÉRREO",0,IFERROR(VALUE(LEFT(E1239,FIND("º",SUBSTITUTE(E1239,"°","º"))-1)),""))))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25752910</v>
      </c>
      <c r="C1240" s="4" t="inlineStr">
        <is>
          <t>DISTRIBUIÇÃO ELÉTRICA / QUADRO - SETOR B</t>
        </is>
      </c>
      <c r="D1240" s="4" t="inlineStr">
        <is>
          <t>-</t>
        </is>
      </c>
      <c r="E1240" s="4" t="inlineStr">
        <is>
          <t>2º PAV. GARAGEM.</t>
        </is>
      </c>
      <c r="F1240" s="119" t="n">
        <v>46566</v>
      </c>
      <c r="G1240" s="119" t="n">
        <v>46595</v>
      </c>
      <c r="H1240" s="119" t="n">
        <v>46293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IF(E1240="","",IF(ISNUMBER(SEARCH("SUBSOLO",E1240)),IFERROR(-VALUE(LEFT(E1240,FIND("º",SUBSTITUTE(E1240,"°","º"))-1)),-1),IF(LEFT(E1240,6)="TÉRREO",0,IFERROR(VALUE(LEFT(E1240,FIND("º",SUBSTITUTE(E1240,"°","º"))-1)),""))))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25799983</v>
      </c>
      <c r="C1241" s="4" t="inlineStr">
        <is>
          <t>REBOCO INTERNO</t>
        </is>
      </c>
      <c r="D1241" s="4" t="inlineStr">
        <is>
          <t>-</t>
        </is>
      </c>
      <c r="E1241" s="4" t="inlineStr">
        <is>
          <t>3º PAV. - ESPAÇO KIDS E GOURMET, SALÃO DE FESTAS E APOIO, LOBBY PILOTIS</t>
        </is>
      </c>
      <c r="F1241" s="119" t="n">
        <v>46566</v>
      </c>
      <c r="G1241" s="119" t="n">
        <v>46577</v>
      </c>
      <c r="H1241" s="119" t="n">
        <v>46293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IF(E1241="","",IF(ISNUMBER(SEARCH("SUBSOLO",E1241)),IFERROR(-VALUE(LEFT(E1241,FIND("º",SUBSTITUTE(E1241,"°","º"))-1)),-1),IF(LEFT(E1241,6)="TÉRREO",0,IFERROR(VALUE(LEFT(E1241,FIND("º",SUBSTITUTE(E1241,"°","º"))-1)),""))))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25210598</v>
      </c>
      <c r="C1242" s="4" t="inlineStr">
        <is>
          <t>PINTURA 1º DEMÃO</t>
        </is>
      </c>
      <c r="D1242" s="4" t="inlineStr">
        <is>
          <t>-</t>
        </is>
      </c>
      <c r="E1242" s="4" t="inlineStr">
        <is>
          <t>10º PAV. TIPO</t>
        </is>
      </c>
      <c r="F1242" s="119" t="n">
        <v>46566</v>
      </c>
      <c r="G1242" s="119" t="n">
        <v>46575</v>
      </c>
      <c r="H1242" s="119" t="n">
        <v>46293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IF(E1242="","",IF(ISNUMBER(SEARCH("SUBSOLO",E1242)),IFERROR(-VALUE(LEFT(E1242,FIND("º",SUBSTITUTE(E1242,"°","º"))-1)),-1),IF(LEFT(E1242,6)="TÉRREO",0,IFERROR(VALUE(LEFT(E1242,FIND("º",SUBSTITUTE(E1242,"°","º"))-1)),""))))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25210078</v>
      </c>
      <c r="C1243" s="4" t="inlineStr">
        <is>
          <t>ALVENARIA</t>
        </is>
      </c>
      <c r="D1243" s="4" t="inlineStr">
        <is>
          <t>-</t>
        </is>
      </c>
      <c r="E1243" s="4" t="inlineStr">
        <is>
          <t>25º PAV. TIPO</t>
        </is>
      </c>
      <c r="F1243" s="119" t="n">
        <v>46567</v>
      </c>
      <c r="G1243" s="119" t="n">
        <v>46580</v>
      </c>
      <c r="H1243" s="119" t="n">
        <v>46293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IF(E1243="","",IF(ISNUMBER(SEARCH("SUBSOLO",E1243)),IFERROR(-VALUE(LEFT(E1243,FIND("º",SUBSTITUTE(E1243,"°","º"))-1)),-1),IF(LEFT(E1243,6)="TÉRREO",0,IFERROR(VALUE(LEFT(E1243,FIND("º",SUBSTITUTE(E1243,"°","º"))-1)),""))))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25210830</v>
      </c>
      <c r="C1244" s="4" t="inlineStr">
        <is>
          <t>REVESTIMENTOS PISO</t>
        </is>
      </c>
      <c r="D1244" s="4" t="inlineStr">
        <is>
          <t>-</t>
        </is>
      </c>
      <c r="E1244" s="4" t="inlineStr">
        <is>
          <t>4° PAV. APTO GARDEN</t>
        </is>
      </c>
      <c r="F1244" s="119" t="n">
        <v>46568</v>
      </c>
      <c r="G1244" s="119" t="n">
        <v>46581</v>
      </c>
      <c r="H1244" s="119" t="n">
        <v>46293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IF(E1244="","",IF(ISNUMBER(SEARCH("SUBSOLO",E1244)),IFERROR(-VALUE(LEFT(E1244,FIND("º",SUBSTITUTE(E1244,"°","º"))-1)),-1),IF(LEFT(E1244,6)="TÉRREO",0,IFERROR(VALUE(LEFT(E1244,FIND("º",SUBSTITUTE(E1244,"°","º"))-1)),""))))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25210436</v>
      </c>
      <c r="C1245" s="4" t="inlineStr">
        <is>
          <t>DISTRIBUIÇÃO HIDROSSANITÁRIA</t>
        </is>
      </c>
      <c r="D1245" s="4" t="inlineStr">
        <is>
          <t>-</t>
        </is>
      </c>
      <c r="E1245" s="4" t="inlineStr">
        <is>
          <t>15º PAV. TIPO</t>
        </is>
      </c>
      <c r="F1245" s="119" t="n">
        <v>46568</v>
      </c>
      <c r="G1245" s="119" t="n">
        <v>46580</v>
      </c>
      <c r="H1245" s="119" t="n">
        <v>46293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IF(E1245="","",IF(ISNUMBER(SEARCH("SUBSOLO",E1245)),IFERROR(-VALUE(LEFT(E1245,FIND("º",SUBSTITUTE(E1245,"°","º"))-1)),-1),IF(LEFT(E1245,6)="TÉRREO",0,IFERROR(VALUE(LEFT(E1245,FIND("º",SUBSTITUTE(E1245,"°","º"))-1)),""))))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25210435</v>
      </c>
      <c r="C1246" s="4" t="inlineStr">
        <is>
          <t>DISTRIBUIÇÃO ELÉTRICA / QUADRO - SETOR B</t>
        </is>
      </c>
      <c r="D1246" s="4" t="inlineStr">
        <is>
          <t>-</t>
        </is>
      </c>
      <c r="E1246" s="4" t="inlineStr">
        <is>
          <t>15º PAV. TIPO</t>
        </is>
      </c>
      <c r="F1246" s="119" t="n">
        <v>46568</v>
      </c>
      <c r="G1246" s="119" t="n">
        <v>46580</v>
      </c>
      <c r="H1246" s="119" t="n">
        <v>46293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IF(E1246="","",IF(ISNUMBER(SEARCH("SUBSOLO",E1246)),IFERROR(-VALUE(LEFT(E1246,FIND("º",SUBSTITUTE(E1246,"°","º"))-1)),-1),IF(LEFT(E1246,6)="TÉRREO",0,IFERROR(VALUE(LEFT(E1246,FIND("º",SUBSTITUTE(E1246,"°","º"))-1)),""))))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33276741</v>
      </c>
      <c r="C1247" s="4" t="inlineStr">
        <is>
          <t>INFRAESTRUTURA ELÉTRICA - TETO</t>
        </is>
      </c>
      <c r="D1247" s="4" t="inlineStr">
        <is>
          <t>-</t>
        </is>
      </c>
      <c r="E1247" s="4" t="inlineStr">
        <is>
          <t>15º PAV. TIPO</t>
        </is>
      </c>
      <c r="F1247" s="119" t="n">
        <v>46568</v>
      </c>
      <c r="G1247" s="119" t="n">
        <v>46580</v>
      </c>
      <c r="H1247" s="119" t="n">
        <v>46293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IF(E1247="","",IF(ISNUMBER(SEARCH("SUBSOLO",E1247)),IFERROR(-VALUE(LEFT(E1247,FIND("º",SUBSTITUTE(E1247,"°","º"))-1)),-1),IF(LEFT(E1247,6)="TÉRREO",0,IFERROR(VALUE(LEFT(E1247,FIND("º",SUBSTITUTE(E1247,"°","º"))-1)),""))))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25210227</v>
      </c>
      <c r="C1248" s="4" t="inlineStr">
        <is>
          <t>GÁS</t>
        </is>
      </c>
      <c r="D1248" s="4" t="inlineStr">
        <is>
          <t>-</t>
        </is>
      </c>
      <c r="E1248" s="4" t="inlineStr">
        <is>
          <t>21º PAV. TIPO</t>
        </is>
      </c>
      <c r="F1248" s="119" t="n">
        <v>46568</v>
      </c>
      <c r="G1248" s="119" t="n">
        <v>46580</v>
      </c>
      <c r="H1248" s="119" t="n">
        <v>46293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IF(E1248="","",IF(ISNUMBER(SEARCH("SUBSOLO",E1248)),IFERROR(-VALUE(LEFT(E1248,FIND("º",SUBSTITUTE(E1248,"°","º"))-1)),-1),IF(LEFT(E1248,6)="TÉRREO",0,IFERROR(VALUE(LEFT(E1248,FIND("º",SUBSTITUTE(E1248,"°","º"))-1)),""))))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29601303</v>
      </c>
      <c r="C1249" s="4" t="inlineStr">
        <is>
          <t>TALISCAMENTO</t>
        </is>
      </c>
      <c r="D1249" s="4" t="inlineStr">
        <is>
          <t>-</t>
        </is>
      </c>
      <c r="E1249" s="4" t="inlineStr">
        <is>
          <t>21º PAV. TIPO</t>
        </is>
      </c>
      <c r="F1249" s="119" t="n">
        <v>46568</v>
      </c>
      <c r="G1249" s="119" t="n">
        <v>46580</v>
      </c>
      <c r="H1249" s="119" t="n">
        <v>46293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IF(E1249="","",IF(ISNUMBER(SEARCH("SUBSOLO",E1249)),IFERROR(-VALUE(LEFT(E1249,FIND("º",SUBSTITUTE(E1249,"°","º"))-1)),-1),IF(LEFT(E1249,6)="TÉRREO",0,IFERROR(VALUE(LEFT(E1249,FIND("º",SUBSTITUTE(E1249,"°","º"))-1)),""))))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25210194</v>
      </c>
      <c r="C1250" s="4" t="inlineStr">
        <is>
          <t>PRUMADA HIDROSSANITÁRIA</t>
        </is>
      </c>
      <c r="D1250" s="4" t="inlineStr">
        <is>
          <t>-</t>
        </is>
      </c>
      <c r="E1250" s="4" t="inlineStr">
        <is>
          <t>22º PAV. TIPO</t>
        </is>
      </c>
      <c r="F1250" s="119" t="n">
        <v>46568</v>
      </c>
      <c r="G1250" s="119" t="n">
        <v>46580</v>
      </c>
      <c r="H1250" s="119" t="n">
        <v>46293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IF(E1250="","",IF(ISNUMBER(SEARCH("SUBSOLO",E1250)),IFERROR(-VALUE(LEFT(E1250,FIND("º",SUBSTITUTE(E1250,"°","º"))-1)),-1),IF(LEFT(E1250,6)="TÉRREO",0,IFERROR(VALUE(LEFT(E1250,FIND("º",SUBSTITUTE(E1250,"°","º"))-1)),""))))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25210184</v>
      </c>
      <c r="C1251" s="4" t="inlineStr">
        <is>
          <t>PRUMADA DE INCÊNDIO</t>
        </is>
      </c>
      <c r="D1251" s="4" t="inlineStr">
        <is>
          <t>-</t>
        </is>
      </c>
      <c r="E1251" s="4" t="inlineStr">
        <is>
          <t>22º PAV. TIPO</t>
        </is>
      </c>
      <c r="F1251" s="119" t="n">
        <v>46568</v>
      </c>
      <c r="G1251" s="119" t="n">
        <v>46580</v>
      </c>
      <c r="H1251" s="119" t="n">
        <v>46293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IF(E1251="","",IF(ISNUMBER(SEARCH("SUBSOLO",E1251)),IFERROR(-VALUE(LEFT(E1251,FIND("º",SUBSTITUTE(E1251,"°","º"))-1)),-1),IF(LEFT(E1251,6)="TÉRREO",0,IFERROR(VALUE(LEFT(E1251,FIND("º",SUBSTITUTE(E1251,"°","º"))-1)),""))))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25802671</v>
      </c>
      <c r="C1252" s="4" t="inlineStr">
        <is>
          <t>RAMAL DE ENTRADA - COPASA</t>
        </is>
      </c>
      <c r="D1252" s="4" t="inlineStr">
        <is>
          <t>-</t>
        </is>
      </c>
      <c r="E1252" s="4" t="inlineStr">
        <is>
          <t>GERAL</t>
        </is>
      </c>
      <c r="F1252" s="119" t="n">
        <v>46569</v>
      </c>
      <c r="G1252" s="119" t="n">
        <v>46661</v>
      </c>
      <c r="H1252" s="119" t="n">
        <v>46293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25210686</v>
      </c>
      <c r="C1253" s="4" t="inlineStr">
        <is>
          <t>CONTRAPISO</t>
        </is>
      </c>
      <c r="D1253" s="4" t="inlineStr">
        <is>
          <t>-</t>
        </is>
      </c>
      <c r="E1253" s="4" t="inlineStr">
        <is>
          <t>8º PAV. TIPO</t>
        </is>
      </c>
      <c r="F1253" s="119" t="n">
        <v>46569</v>
      </c>
      <c r="G1253" s="119" t="n">
        <v>46582</v>
      </c>
      <c r="H1253" s="119" t="n">
        <v>46293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IF(E1253="","",IF(ISNUMBER(SEARCH("SUBSOLO",E1253)),IFERROR(-VALUE(LEFT(E1253,FIND("º",SUBSTITUTE(E1253,"°","º"))-1)),-1),IF(LEFT(E1253,6)="TÉRREO",0,IFERROR(VALUE(LEFT(E1253,FIND("º",SUBSTITUTE(E1253,"°","º"))-1)),""))))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27765752</v>
      </c>
      <c r="C1254" s="4" t="inlineStr">
        <is>
          <t>DRENO + ATERRO JARDINEIRAS</t>
        </is>
      </c>
      <c r="D1254" s="4" t="inlineStr">
        <is>
          <t>-</t>
        </is>
      </c>
      <c r="E1254" s="4" t="inlineStr">
        <is>
          <t>8º PAV. TIPO</t>
        </is>
      </c>
      <c r="F1254" s="119" t="n">
        <v>46569</v>
      </c>
      <c r="G1254" s="119" t="n">
        <v>46581</v>
      </c>
      <c r="H1254" s="119" t="n">
        <v>46293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IF(E1254="","",IF(ISNUMBER(SEARCH("SUBSOLO",E1254)),IFERROR(-VALUE(LEFT(E1254,FIND("º",SUBSTITUTE(E1254,"°","º"))-1)),-1),IF(LEFT(E1254,6)="TÉRREO",0,IFERROR(VALUE(LEFT(E1254,FIND("º",SUBSTITUTE(E1254,"°","º"))-1)),""))))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25210389</v>
      </c>
      <c r="C1255" s="4" t="inlineStr">
        <is>
          <t>BANCADAS</t>
        </is>
      </c>
      <c r="D1255" s="4" t="inlineStr">
        <is>
          <t>-</t>
        </is>
      </c>
      <c r="E1255" s="4" t="inlineStr">
        <is>
          <t>16º PAV. TIPO</t>
        </is>
      </c>
      <c r="F1255" s="119" t="n">
        <v>46569</v>
      </c>
      <c r="G1255" s="119" t="n">
        <v>46582</v>
      </c>
      <c r="H1255" s="119" t="n">
        <v>46293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IF(E1255="","",IF(ISNUMBER(SEARCH("SUBSOLO",E1255)),IFERROR(-VALUE(LEFT(E1255,FIND("º",SUBSTITUTE(E1255,"°","º"))-1)),-1),IF(LEFT(E1255,6)="TÉRREO",0,IFERROR(VALUE(LEFT(E1255,FIND("º",SUBSTITUTE(E1255,"°","º"))-1)),""))))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25210375</v>
      </c>
      <c r="C1256" s="4" t="inlineStr">
        <is>
          <t>REVESTIMENTOS PISO</t>
        </is>
      </c>
      <c r="D1256" s="4" t="inlineStr">
        <is>
          <t>-</t>
        </is>
      </c>
      <c r="E1256" s="4" t="inlineStr">
        <is>
          <t>17º PAV. TIPO</t>
        </is>
      </c>
      <c r="F1256" s="119" t="n">
        <v>46569</v>
      </c>
      <c r="G1256" s="119" t="n">
        <v>46582</v>
      </c>
      <c r="H1256" s="119" t="n">
        <v>46293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IF(E1256="","",IF(ISNUMBER(SEARCH("SUBSOLO",E1256)),IFERROR(-VALUE(LEFT(E1256,FIND("º",SUBSTITUTE(E1256,"°","º"))-1)),-1),IF(LEFT(E1256,6)="TÉRREO",0,IFERROR(VALUE(LEFT(E1256,FIND("º",SUBSTITUTE(E1256,"°","º"))-1)),""))))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25210326</v>
      </c>
      <c r="C1257" s="4" t="inlineStr">
        <is>
          <t>REVESTIMENTO PAREDE</t>
        </is>
      </c>
      <c r="D1257" s="4" t="inlineStr">
        <is>
          <t>-</t>
        </is>
      </c>
      <c r="E1257" s="4" t="inlineStr">
        <is>
          <t>18º PAV. TIPO</t>
        </is>
      </c>
      <c r="F1257" s="119" t="n">
        <v>46569</v>
      </c>
      <c r="G1257" s="119" t="n">
        <v>46582</v>
      </c>
      <c r="H1257" s="119" t="n">
        <v>46293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IF(E1257="","",IF(ISNUMBER(SEARCH("SUBSOLO",E1257)),IFERROR(-VALUE(LEFT(E1257,FIND("º",SUBSTITUTE(E1257,"°","º"))-1)),-1),IF(LEFT(E1257,6)="TÉRREO",0,IFERROR(VALUE(LEFT(E1257,FIND("º",SUBSTITUTE(E1257,"°","º"))-1)),""))))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25802672</v>
      </c>
      <c r="C1258" s="4" t="inlineStr">
        <is>
          <t>LIGAÇÃO COPASA</t>
        </is>
      </c>
      <c r="D1258" s="4" t="inlineStr">
        <is>
          <t>-</t>
        </is>
      </c>
      <c r="E1258" s="4" t="inlineStr">
        <is>
          <t>GERAL</t>
        </is>
      </c>
      <c r="F1258" s="119" t="n">
        <v>46570</v>
      </c>
      <c r="G1258" s="119" t="n">
        <v>46696</v>
      </c>
      <c r="H1258" s="119" t="n">
        <v>46293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25210301</v>
      </c>
      <c r="C1259" s="4" t="inlineStr">
        <is>
          <t>CONTRAPISO</t>
        </is>
      </c>
      <c r="D1259" s="4" t="inlineStr">
        <is>
          <t>-</t>
        </is>
      </c>
      <c r="E1259" s="4" t="inlineStr">
        <is>
          <t>19º PAV. TIPO</t>
        </is>
      </c>
      <c r="F1259" s="119" t="n">
        <v>46570</v>
      </c>
      <c r="G1259" s="119" t="n">
        <v>46583</v>
      </c>
      <c r="H1259" s="119" t="n">
        <v>46293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IF(E1259="","",IF(ISNUMBER(SEARCH("SUBSOLO",E1259)),IFERROR(-VALUE(LEFT(E1259,FIND("º",SUBSTITUTE(E1259,"°","º"))-1)),-1),IF(LEFT(E1259,6)="TÉRREO",0,IFERROR(VALUE(LEFT(E1259,FIND("º",SUBSTITUTE(E1259,"°","º"))-1)),""))))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27765763</v>
      </c>
      <c r="C1260" s="4" t="inlineStr">
        <is>
          <t>DRENO + ATERRO JARDINEIRAS</t>
        </is>
      </c>
      <c r="D1260" s="4" t="inlineStr">
        <is>
          <t>-</t>
        </is>
      </c>
      <c r="E1260" s="4" t="inlineStr">
        <is>
          <t>19º PAV. TIPO</t>
        </is>
      </c>
      <c r="F1260" s="119" t="n">
        <v>46570</v>
      </c>
      <c r="G1260" s="119" t="n">
        <v>46582</v>
      </c>
      <c r="H1260" s="119" t="n">
        <v>46293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IF(E1260="","",IF(ISNUMBER(SEARCH("SUBSOLO",E1260)),IFERROR(-VALUE(LEFT(E1260,FIND("º",SUBSTITUTE(E1260,"°","º"))-1)),-1),IF(LEFT(E1260,6)="TÉRREO",0,IFERROR(VALUE(LEFT(E1260,FIND("º",SUBSTITUTE(E1260,"°","º"))-1)),""))))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25807554</v>
      </c>
      <c r="C1261" s="4" t="inlineStr">
        <is>
          <t>MASSA CORRIDA</t>
        </is>
      </c>
      <c r="D1261" s="4" t="inlineStr">
        <is>
          <t>-</t>
        </is>
      </c>
      <c r="E1261" s="4" t="inlineStr">
        <is>
          <t>3º PAV. ESPAÇO THERMAS, PISCINA COBERTA, SAUNAS E VESTIÁRIOS</t>
        </is>
      </c>
      <c r="F1261" s="119" t="n">
        <v>46573</v>
      </c>
      <c r="G1261" s="119" t="n">
        <v>46584</v>
      </c>
      <c r="H1261" s="119" t="n">
        <v>46293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IF(E1261="","",IF(ISNUMBER(SEARCH("SUBSOLO",E1261)),IFERROR(-VALUE(LEFT(E1261,FIND("º",SUBSTITUTE(E1261,"°","º"))-1)),-1),IF(LEFT(E1261,6)="TÉRREO",0,IFERROR(VALUE(LEFT(E1261,FIND("º",SUBSTITUTE(E1261,"°","º"))-1)),""))))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25210761</v>
      </c>
      <c r="C1262" s="4" t="inlineStr">
        <is>
          <t>ESQUADRIA MADEIRA</t>
        </is>
      </c>
      <c r="D1262" s="4" t="inlineStr">
        <is>
          <t>-</t>
        </is>
      </c>
      <c r="E1262" s="4" t="inlineStr">
        <is>
          <t>6º PAV. TIPO</t>
        </is>
      </c>
      <c r="F1262" s="119" t="n">
        <v>46573</v>
      </c>
      <c r="G1262" s="119" t="n">
        <v>46584</v>
      </c>
      <c r="H1262" s="119" t="n">
        <v>46293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IF(E1262="","",IF(ISNUMBER(SEARCH("SUBSOLO",E1262)),IFERROR(-VALUE(LEFT(E1262,FIND("º",SUBSTITUTE(E1262,"°","º"))-1)),-1),IF(LEFT(E1262,6)="TÉRREO",0,IFERROR(VALUE(LEFT(E1262,FIND("º",SUBSTITUTE(E1262,"°","º"))-1)),""))))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27769237</v>
      </c>
      <c r="C1263" s="4" t="inlineStr">
        <is>
          <t>PRUMADA ELÉTRICA INFRA</t>
        </is>
      </c>
      <c r="D1263" s="4" t="inlineStr">
        <is>
          <t>-</t>
        </is>
      </c>
      <c r="E1263" s="4" t="inlineStr">
        <is>
          <t>13º PAV. TIPO</t>
        </is>
      </c>
      <c r="F1263" s="119" t="n">
        <v>46573</v>
      </c>
      <c r="G1263" s="119" t="n">
        <v>46583</v>
      </c>
      <c r="H1263" s="119" t="n">
        <v>46293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IF(E1263="","",IF(ISNUMBER(SEARCH("SUBSOLO",E1263)),IFERROR(-VALUE(LEFT(E1263,FIND("º",SUBSTITUTE(E1263,"°","º"))-1)),-1),IF(LEFT(E1263,6)="TÉRREO",0,IFERROR(VALUE(LEFT(E1263,FIND("º",SUBSTITUTE(E1263,"°","º"))-1)),""))))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25210473</v>
      </c>
      <c r="C1264" s="4" t="inlineStr">
        <is>
          <t>REBOCO INTERNO</t>
        </is>
      </c>
      <c r="D1264" s="4" t="inlineStr">
        <is>
          <t>-</t>
        </is>
      </c>
      <c r="E1264" s="4" t="inlineStr">
        <is>
          <t>14º PAV. TIPO</t>
        </is>
      </c>
      <c r="F1264" s="119" t="n">
        <v>46573</v>
      </c>
      <c r="G1264" s="119" t="n">
        <v>46591</v>
      </c>
      <c r="H1264" s="119" t="n">
        <v>46293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IF(E1264="","",IF(ISNUMBER(SEARCH("SUBSOLO",E1264)),IFERROR(-VALUE(LEFT(E1264,FIND("º",SUBSTITUTE(E1264,"°","º"))-1)),-1),IF(LEFT(E1264,6)="TÉRREO",0,IFERROR(VALUE(LEFT(E1264,FIND("º",SUBSTITUTE(E1264,"°","º"))-1)),""))))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25210469</v>
      </c>
      <c r="C1265" s="4" t="inlineStr">
        <is>
          <t>ESPALA ESQUADRIA DE ALUMINIO</t>
        </is>
      </c>
      <c r="D1265" s="4" t="inlineStr">
        <is>
          <t>-</t>
        </is>
      </c>
      <c r="E1265" s="4" t="inlineStr">
        <is>
          <t>14º PAV. TIPO</t>
        </is>
      </c>
      <c r="F1265" s="119" t="n">
        <v>46573</v>
      </c>
      <c r="G1265" s="119" t="n">
        <v>46577</v>
      </c>
      <c r="H1265" s="119" t="n">
        <v>46293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IF(E1265="","",IF(ISNUMBER(SEARCH("SUBSOLO",E1265)),IFERROR(-VALUE(LEFT(E1265,FIND("º",SUBSTITUTE(E1265,"°","º"))-1)),-1),IF(LEFT(E1265,6)="TÉRREO",0,IFERROR(VALUE(LEFT(E1265,FIND("º",SUBSTITUTE(E1265,"°","º"))-1)),""))))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25210267</v>
      </c>
      <c r="C1266" s="4" t="inlineStr">
        <is>
          <t>IMPERMEABILIZAÇÃO INTERNA</t>
        </is>
      </c>
      <c r="D1266" s="4" t="inlineStr">
        <is>
          <t>-</t>
        </is>
      </c>
      <c r="E1266" s="4" t="inlineStr">
        <is>
          <t>20º PAV. TIPO</t>
        </is>
      </c>
      <c r="F1266" s="119" t="n">
        <v>46573</v>
      </c>
      <c r="G1266" s="119" t="n">
        <v>46583</v>
      </c>
      <c r="H1266" s="119" t="n">
        <v>46293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IF(E1266="","",IF(ISNUMBER(SEARCH("SUBSOLO",E1266)),IFERROR(-VALUE(LEFT(E1266,FIND("º",SUBSTITUTE(E1266,"°","º"))-1)),-1),IF(LEFT(E1266,6)="TÉRREO",0,IFERROR(VALUE(LEFT(E1266,FIND("º",SUBSTITUTE(E1266,"°","º"))-1)),""))))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25210781</v>
      </c>
      <c r="C1267" s="4" t="inlineStr">
        <is>
          <t>REVESTIMENTO PAREDE</t>
        </is>
      </c>
      <c r="D1267" s="4" t="inlineStr">
        <is>
          <t>-</t>
        </is>
      </c>
      <c r="E1267" s="4" t="inlineStr">
        <is>
          <t>5º PAV. TIPO</t>
        </is>
      </c>
      <c r="F1267" s="119" t="n">
        <v>46575</v>
      </c>
      <c r="G1267" s="119" t="n">
        <v>46588</v>
      </c>
      <c r="H1267" s="119" t="n">
        <v>46293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IF(E1267="","",IF(ISNUMBER(SEARCH("SUBSOLO",E1267)),IFERROR(-VALUE(LEFT(E1267,FIND("º",SUBSTITUTE(E1267,"°","º"))-1)),-1),IF(LEFT(E1267,6)="TÉRREO",0,IFERROR(VALUE(LEFT(E1267,FIND("º",SUBSTITUTE(E1267,"°","º"))-1)),""))))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27762192</v>
      </c>
      <c r="C1268" s="4" t="inlineStr">
        <is>
          <t>TRATAMENTO ACÚSTICO</t>
        </is>
      </c>
      <c r="D1268" s="4" t="inlineStr">
        <is>
          <t>-</t>
        </is>
      </c>
      <c r="E1268" s="4" t="inlineStr">
        <is>
          <t>9º PAV. TIPO</t>
        </is>
      </c>
      <c r="F1268" s="119" t="n">
        <v>46576</v>
      </c>
      <c r="G1268" s="119" t="n">
        <v>46576</v>
      </c>
      <c r="H1268" s="119" t="n">
        <v>46293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IF(E1268="","",IF(ISNUMBER(SEARCH("SUBSOLO",E1268)),IFERROR(-VALUE(LEFT(E1268,FIND("º",SUBSTITUTE(E1268,"°","º"))-1)),-1),IF(LEFT(E1268,6)="TÉRREO",0,IFERROR(VALUE(LEFT(E1268,FIND("º",SUBSTITUTE(E1268,"°","º"))-1)),""))))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25210562</v>
      </c>
      <c r="C1269" s="4" t="inlineStr">
        <is>
          <t>MASSA CORRIDA</t>
        </is>
      </c>
      <c r="D1269" s="4" t="inlineStr">
        <is>
          <t>-</t>
        </is>
      </c>
      <c r="E1269" s="4" t="inlineStr">
        <is>
          <t>11º PAV. TIPO</t>
        </is>
      </c>
      <c r="F1269" s="119" t="n">
        <v>46576</v>
      </c>
      <c r="G1269" s="119" t="n">
        <v>46584</v>
      </c>
      <c r="H1269" s="119" t="n">
        <v>46293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IF(E1269="","",IF(ISNUMBER(SEARCH("SUBSOLO",E1269)),IFERROR(-VALUE(LEFT(E1269,FIND("º",SUBSTITUTE(E1269,"°","º"))-1)),-1),IF(LEFT(E1269,6)="TÉRREO",0,IFERROR(VALUE(LEFT(E1269,FIND("º",SUBSTITUTE(E1269,"°","º"))-1)),""))))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25210547</v>
      </c>
      <c r="C1270" s="4" t="inlineStr">
        <is>
          <t>IMPERMEABILIZAÇÃO INTERNA</t>
        </is>
      </c>
      <c r="D1270" s="4" t="inlineStr">
        <is>
          <t>-</t>
        </is>
      </c>
      <c r="E1270" s="4" t="inlineStr">
        <is>
          <t>12º PAV. TIPO</t>
        </is>
      </c>
      <c r="F1270" s="119" t="n">
        <v>46576</v>
      </c>
      <c r="G1270" s="119" t="n">
        <v>46588</v>
      </c>
      <c r="H1270" s="119" t="n">
        <v>46293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IF(E1270="","",IF(ISNUMBER(SEARCH("SUBSOLO",E1270)),IFERROR(-VALUE(LEFT(E1270,FIND("º",SUBSTITUTE(E1270,"°","º"))-1)),-1),IF(LEFT(E1270,6)="TÉRREO",0,IFERROR(VALUE(LEFT(E1270,FIND("º",SUBSTITUTE(E1270,"°","º"))-1)),""))))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25210507</v>
      </c>
      <c r="C1271" s="4" t="inlineStr">
        <is>
          <t>GÁS</t>
        </is>
      </c>
      <c r="D1271" s="4" t="inlineStr">
        <is>
          <t>-</t>
        </is>
      </c>
      <c r="E1271" s="4" t="inlineStr">
        <is>
          <t>13º PAV. TIPO</t>
        </is>
      </c>
      <c r="F1271" s="119" t="n">
        <v>46576</v>
      </c>
      <c r="G1271" s="119" t="n">
        <v>46588</v>
      </c>
      <c r="H1271" s="119" t="n">
        <v>46293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IF(E1271="","",IF(ISNUMBER(SEARCH("SUBSOLO",E1271)),IFERROR(-VALUE(LEFT(E1271,FIND("º",SUBSTITUTE(E1271,"°","º"))-1)),-1),IF(LEFT(E1271,6)="TÉRREO",0,IFERROR(VALUE(LEFT(E1271,FIND("º",SUBSTITUTE(E1271,"°","º"))-1)),""))))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29601275</v>
      </c>
      <c r="C1272" s="4" t="inlineStr">
        <is>
          <t>TALISCAMENTO</t>
        </is>
      </c>
      <c r="D1272" s="4" t="inlineStr">
        <is>
          <t>-</t>
        </is>
      </c>
      <c r="E1272" s="4" t="inlineStr">
        <is>
          <t>13º PAV. TIPO</t>
        </is>
      </c>
      <c r="F1272" s="119" t="n">
        <v>46576</v>
      </c>
      <c r="G1272" s="119" t="n">
        <v>46588</v>
      </c>
      <c r="H1272" s="119" t="n">
        <v>46293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IF(E1272="","",IF(ISNUMBER(SEARCH("SUBSOLO",E1272)),IFERROR(-VALUE(LEFT(E1272,FIND("º",SUBSTITUTE(E1272,"°","º"))-1)),-1),IF(LEFT(E1272,6)="TÉRREO",0,IFERROR(VALUE(LEFT(E1272,FIND("º",SUBSTITUTE(E1272,"°","º"))-1)),""))))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27769246</v>
      </c>
      <c r="C1273" s="4" t="inlineStr">
        <is>
          <t>PRUMADA ELÉTRICA INFRA</t>
        </is>
      </c>
      <c r="D1273" s="4" t="inlineStr">
        <is>
          <t>-</t>
        </is>
      </c>
      <c r="E1273" s="4" t="inlineStr">
        <is>
          <t>22º PAV. TIPO</t>
        </is>
      </c>
      <c r="F1273" s="119" t="n">
        <v>46576</v>
      </c>
      <c r="G1273" s="119" t="n">
        <v>46588</v>
      </c>
      <c r="H1273" s="119" t="n">
        <v>46293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IF(E1273="","",IF(ISNUMBER(SEARCH("SUBSOLO",E1273)),IFERROR(-VALUE(LEFT(E1273,FIND("º",SUBSTITUTE(E1273,"°","º"))-1)),-1),IF(LEFT(E1273,6)="TÉRREO",0,IFERROR(VALUE(LEFT(E1273,FIND("º",SUBSTITUTE(E1273,"°","º"))-1)),""))))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25210640</v>
      </c>
      <c r="C1274" s="4" t="inlineStr">
        <is>
          <t>IMPERMEABILIZAÇÃO VARANDA E JARDINEIRAS</t>
        </is>
      </c>
      <c r="D1274" s="4" t="inlineStr">
        <is>
          <t>-</t>
        </is>
      </c>
      <c r="E1274" s="4" t="inlineStr">
        <is>
          <t>9º PAV. TIPO</t>
        </is>
      </c>
      <c r="F1274" s="119" t="n">
        <v>46577</v>
      </c>
      <c r="G1274" s="119" t="n">
        <v>46589</v>
      </c>
      <c r="H1274" s="119" t="n">
        <v>46293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IF(E1274="","",IF(ISNUMBER(SEARCH("SUBSOLO",E1274)),IFERROR(-VALUE(LEFT(E1274,FIND("º",SUBSTITUTE(E1274,"°","º"))-1)),-1),IF(LEFT(E1274,6)="TÉRREO",0,IFERROR(VALUE(LEFT(E1274,FIND("º",SUBSTITUTE(E1274,"°","º"))-1)),""))))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25799986</v>
      </c>
      <c r="C1275" s="4" t="inlineStr">
        <is>
          <t>IMPERMEABILIZAÇÃO</t>
        </is>
      </c>
      <c r="D1275" s="4" t="inlineStr">
        <is>
          <t>-</t>
        </is>
      </c>
      <c r="E1275" s="4" t="inlineStr">
        <is>
          <t>3º PAV. - ESPAÇO KIDS E GOURMET, SALÃO DE FESTAS E APOIO, LOBBY PILOTIS</t>
        </is>
      </c>
      <c r="F1275" s="119" t="n">
        <v>46580</v>
      </c>
      <c r="G1275" s="119" t="n">
        <v>46622</v>
      </c>
      <c r="H1275" s="119" t="n">
        <v>46293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IF(E1275="","",IF(ISNUMBER(SEARCH("SUBSOLO",E1275)),IFERROR(-VALUE(LEFT(E1275,FIND("º",SUBSTITUTE(E1275,"°","º"))-1)),-1),IF(LEFT(E1275,6)="TÉRREO",0,IFERROR(VALUE(LEFT(E1275,FIND("º",SUBSTITUTE(E1275,"°","º"))-1)),""))))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42645657</v>
      </c>
      <c r="C1276" s="4" t="inlineStr">
        <is>
          <t>IMPERMEABILIZAÇÃO</t>
        </is>
      </c>
      <c r="D1276" s="4" t="inlineStr">
        <is>
          <t>Imprimação</t>
        </is>
      </c>
      <c r="E1276" s="4" t="inlineStr">
        <is>
          <t>3º PAV. - ESPAÇO KIDS E GOURMET, SALÃO DE FESTAS E APOIO, LOBBY PILOTIS</t>
        </is>
      </c>
      <c r="F1276" s="119" t="n">
        <v>46580</v>
      </c>
      <c r="G1276" s="119" t="n">
        <v>46588</v>
      </c>
      <c r="H1276" s="119" t="n">
        <v>46293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IF(E1276="","",IF(ISNUMBER(SEARCH("SUBSOLO",E1276)),IFERROR(-VALUE(LEFT(E1276,FIND("º",SUBSTITUTE(E1276,"°","º"))-1)),-1),IF(LEFT(E1276,6)="TÉRREO",0,IFERROR(VALUE(LEFT(E1276,FIND("º",SUBSTITUTE(E1276,"°","º"))-1)),""))))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42645658</v>
      </c>
      <c r="C1277" s="4" t="inlineStr">
        <is>
          <t>IMPERMEABILIZAÇÃO</t>
        </is>
      </c>
      <c r="D1277" s="4" t="inlineStr">
        <is>
          <t>Manta - Primeira Camada</t>
        </is>
      </c>
      <c r="E1277" s="4" t="inlineStr">
        <is>
          <t>3º PAV. - ESPAÇO KIDS E GOURMET, SALÃO DE FESTAS E APOIO, LOBBY PILOTIS</t>
        </is>
      </c>
      <c r="F1277" s="119" t="n">
        <v>46589</v>
      </c>
      <c r="G1277" s="119" t="n">
        <v>46602</v>
      </c>
      <c r="H1277" s="119" t="n">
        <v>46293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IF(E1277="","",IF(ISNUMBER(SEARCH("SUBSOLO",E1277)),IFERROR(-VALUE(LEFT(E1277,FIND("º",SUBSTITUTE(E1277,"°","º"))-1)),-1),IF(LEFT(E1277,6)="TÉRREO",0,IFERROR(VALUE(LEFT(E1277,FIND("º",SUBSTITUTE(E1277,"°","º"))-1)),""))))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42645659</v>
      </c>
      <c r="C1278" s="4" t="inlineStr">
        <is>
          <t>IMPERMEABILIZAÇÃO</t>
        </is>
      </c>
      <c r="D1278" s="4" t="inlineStr">
        <is>
          <t>Manta - Segunda Camada</t>
        </is>
      </c>
      <c r="E1278" s="4" t="inlineStr">
        <is>
          <t>3º PAV. - ESPAÇO KIDS E GOURMET, SALÃO DE FESTAS E APOIO, LOBBY PILOTIS</t>
        </is>
      </c>
      <c r="F1278" s="119" t="n">
        <v>46595</v>
      </c>
      <c r="G1278" s="119" t="n">
        <v>46608</v>
      </c>
      <c r="H1278" s="119" t="n">
        <v>46293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IF(E1278="","",IF(ISNUMBER(SEARCH("SUBSOLO",E1278)),IFERROR(-VALUE(LEFT(E1278,FIND("º",SUBSTITUTE(E1278,"°","º"))-1)),-1),IF(LEFT(E1278,6)="TÉRREO",0,IFERROR(VALUE(LEFT(E1278,FIND("º",SUBSTITUTE(E1278,"°","º"))-1)),""))))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42645660</v>
      </c>
      <c r="C1279" s="4" t="inlineStr">
        <is>
          <t>IMPERMEABILIZAÇÃO</t>
        </is>
      </c>
      <c r="D1279" s="4" t="inlineStr">
        <is>
          <t>Teste Manta - Fase 1</t>
        </is>
      </c>
      <c r="E1279" s="4" t="inlineStr">
        <is>
          <t>3º PAV. - ESPAÇO KIDS E GOURMET, SALÃO DE FESTAS E APOIO, LOBBY PILOTIS</t>
        </is>
      </c>
      <c r="F1279" s="119" t="n">
        <v>46609</v>
      </c>
      <c r="G1279" s="119" t="n">
        <v>46615</v>
      </c>
      <c r="H1279" s="119" t="n">
        <v>46293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IF(E1279="","",IF(ISNUMBER(SEARCH("SUBSOLO",E1279)),IFERROR(-VALUE(LEFT(E1279,FIND("º",SUBSTITUTE(E1279,"°","º"))-1)),-1),IF(LEFT(E1279,6)="TÉRREO",0,IFERROR(VALUE(LEFT(E1279,FIND("º",SUBSTITUTE(E1279,"°","º"))-1)),""))))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42645661</v>
      </c>
      <c r="C1280" s="4" t="inlineStr">
        <is>
          <t>IMPERMEABILIZAÇÃO</t>
        </is>
      </c>
      <c r="D1280" s="4" t="inlineStr">
        <is>
          <t>Teste Manta - Fase 2</t>
        </is>
      </c>
      <c r="E1280" s="4" t="inlineStr">
        <is>
          <t>3º PAV. - ESPAÇO KIDS E GOURMET, SALÃO DE FESTAS E APOIO, LOBBY PILOTIS</t>
        </is>
      </c>
      <c r="F1280" s="119" t="n">
        <v>46616</v>
      </c>
      <c r="G1280" s="119" t="n">
        <v>46622</v>
      </c>
      <c r="H1280" s="119" t="n">
        <v>46293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IF(E1280="","",IF(ISNUMBER(SEARCH("SUBSOLO",E1280)),IFERROR(-VALUE(LEFT(E1280,FIND("º",SUBSTITUTE(E1280,"°","º"))-1)),-1),IF(LEFT(E1280,6)="TÉRREO",0,IFERROR(VALUE(LEFT(E1280,FIND("º",SUBSTITUTE(E1280,"°","º"))-1)),""))))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33275992</v>
      </c>
      <c r="C1281" s="4" t="inlineStr">
        <is>
          <t>FORRO DE MADEIRA</t>
        </is>
      </c>
      <c r="D1281" s="4" t="inlineStr">
        <is>
          <t>-</t>
        </is>
      </c>
      <c r="E1281" s="4" t="inlineStr">
        <is>
          <t>6º PAV. TIPO</t>
        </is>
      </c>
      <c r="F1281" s="119" t="n">
        <v>46580</v>
      </c>
      <c r="G1281" s="119" t="n">
        <v>46598</v>
      </c>
      <c r="H1281" s="119" t="n">
        <v>46293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IF(E1281="","",IF(ISNUMBER(SEARCH("SUBSOLO",E1281)),IFERROR(-VALUE(LEFT(E1281,FIND("º",SUBSTITUTE(E1281,"°","º"))-1)),-1),IF(LEFT(E1281,6)="TÉRREO",0,IFERROR(VALUE(LEFT(E1281,FIND("º",SUBSTITUTE(E1281,"°","º"))-1)),""))))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25752760</v>
      </c>
      <c r="C1282" s="4" t="inlineStr">
        <is>
          <t>ESQUADRIA</t>
        </is>
      </c>
      <c r="D1282" s="4" t="inlineStr">
        <is>
          <t>-</t>
        </is>
      </c>
      <c r="E1282" s="4" t="inlineStr">
        <is>
          <t>2º PAV. - ÁREAS TÉCNICAS</t>
        </is>
      </c>
      <c r="F1282" s="119" t="n">
        <v>46581</v>
      </c>
      <c r="G1282" s="119" t="n">
        <v>46587</v>
      </c>
      <c r="H1282" s="119" t="n">
        <v>46293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IF(E1282="","",IF(ISNUMBER(SEARCH("SUBSOLO",E1282)),IFERROR(-VALUE(LEFT(E1282,FIND("º",SUBSTITUTE(E1282,"°","º"))-1)),-1),IF(LEFT(E1282,6)="TÉRREO",0,IFERROR(VALUE(LEFT(E1282,FIND("º",SUBSTITUTE(E1282,"°","º"))-1)),""))))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25210432</v>
      </c>
      <c r="C1283" s="4" t="inlineStr">
        <is>
          <t>CONTRAMARCO</t>
        </is>
      </c>
      <c r="D1283" s="4" t="inlineStr">
        <is>
          <t>-</t>
        </is>
      </c>
      <c r="E1283" s="4" t="inlineStr">
        <is>
          <t>15º PAV. TIPO</t>
        </is>
      </c>
      <c r="F1283" s="119" t="n">
        <v>46581</v>
      </c>
      <c r="G1283" s="119" t="n">
        <v>46591</v>
      </c>
      <c r="H1283" s="119" t="n">
        <v>46293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IF(E1283="","",IF(ISNUMBER(SEARCH("SUBSOLO",E1283)),IFERROR(-VALUE(LEFT(E1283,FIND("º",SUBSTITUTE(E1283,"°","º"))-1)),-1),IF(LEFT(E1283,6)="TÉRREO",0,IFERROR(VALUE(LEFT(E1283,FIND("º",SUBSTITUTE(E1283,"°","º"))-1)),""))))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29601280</v>
      </c>
      <c r="C1284" s="4" t="inlineStr">
        <is>
          <t>ENCUNHAMENTO</t>
        </is>
      </c>
      <c r="D1284" s="4" t="inlineStr">
        <is>
          <t>-</t>
        </is>
      </c>
      <c r="E1284" s="4" t="inlineStr">
        <is>
          <t>15º PAV. TIPO</t>
        </is>
      </c>
      <c r="F1284" s="119" t="n">
        <v>46581</v>
      </c>
      <c r="G1284" s="119" t="n">
        <v>46591</v>
      </c>
      <c r="H1284" s="119" t="n">
        <v>46293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IF(E1284="","",IF(ISNUMBER(SEARCH("SUBSOLO",E1284)),IFERROR(-VALUE(LEFT(E1284,FIND("º",SUBSTITUTE(E1284,"°","º"))-1)),-1),IF(LEFT(E1284,6)="TÉRREO",0,IFERROR(VALUE(LEFT(E1284,FIND("º",SUBSTITUTE(E1284,"°","º"))-1)),""))))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25210226</v>
      </c>
      <c r="C1285" s="4" t="inlineStr">
        <is>
          <t>DISTRIBUIÇÃO HIDROSSANITÁRIA</t>
        </is>
      </c>
      <c r="D1285" s="4" t="inlineStr">
        <is>
          <t>-</t>
        </is>
      </c>
      <c r="E1285" s="4" t="inlineStr">
        <is>
          <t>21º PAV. TIPO</t>
        </is>
      </c>
      <c r="F1285" s="119" t="n">
        <v>46581</v>
      </c>
      <c r="G1285" s="119" t="n">
        <v>46591</v>
      </c>
      <c r="H1285" s="119" t="n">
        <v>46293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IF(E1285="","",IF(ISNUMBER(SEARCH("SUBSOLO",E1285)),IFERROR(-VALUE(LEFT(E1285,FIND("º",SUBSTITUTE(E1285,"°","º"))-1)),-1),IF(LEFT(E1285,6)="TÉRREO",0,IFERROR(VALUE(LEFT(E1285,FIND("º",SUBSTITUTE(E1285,"°","º"))-1)),""))))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25210225</v>
      </c>
      <c r="C1286" s="4" t="inlineStr">
        <is>
          <t>DISTRIBUIÇÃO ELÉTRICA / QUADRO - SETOR B</t>
        </is>
      </c>
      <c r="D1286" s="4" t="inlineStr">
        <is>
          <t>-</t>
        </is>
      </c>
      <c r="E1286" s="4" t="inlineStr">
        <is>
          <t>21º PAV. TIPO</t>
        </is>
      </c>
      <c r="F1286" s="119" t="n">
        <v>46581</v>
      </c>
      <c r="G1286" s="119" t="n">
        <v>46591</v>
      </c>
      <c r="H1286" s="119" t="n">
        <v>46293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IF(E1286="","",IF(ISNUMBER(SEARCH("SUBSOLO",E1286)),IFERROR(-VALUE(LEFT(E1286,FIND("º",SUBSTITUTE(E1286,"°","º"))-1)),-1),IF(LEFT(E1286,6)="TÉRREO",0,IFERROR(VALUE(LEFT(E1286,FIND("º",SUBSTITUTE(E1286,"°","º"))-1)),""))))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33276747</v>
      </c>
      <c r="C1287" s="4" t="inlineStr">
        <is>
          <t>INFRAESTRUTURA ELÉTRICA - TETO</t>
        </is>
      </c>
      <c r="D1287" s="4" t="inlineStr">
        <is>
          <t>-</t>
        </is>
      </c>
      <c r="E1287" s="4" t="inlineStr">
        <is>
          <t>21º PAV. TIPO</t>
        </is>
      </c>
      <c r="F1287" s="119" t="n">
        <v>46581</v>
      </c>
      <c r="G1287" s="119" t="n">
        <v>46591</v>
      </c>
      <c r="H1287" s="119" t="n">
        <v>46293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IF(E1287="","",IF(ISNUMBER(SEARCH("SUBSOLO",E1287)),IFERROR(-VALUE(LEFT(E1287,FIND("º",SUBSTITUTE(E1287,"°","º"))-1)),-1),IF(LEFT(E1287,6)="TÉRREO",0,IFERROR(VALUE(LEFT(E1287,FIND("º",SUBSTITUTE(E1287,"°","º"))-1)),""))))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25210192</v>
      </c>
      <c r="C1288" s="4" t="inlineStr">
        <is>
          <t>GÁS</t>
        </is>
      </c>
      <c r="D1288" s="4" t="inlineStr">
        <is>
          <t>-</t>
        </is>
      </c>
      <c r="E1288" s="4" t="inlineStr">
        <is>
          <t>22º PAV. TIPO</t>
        </is>
      </c>
      <c r="F1288" s="119" t="n">
        <v>46581</v>
      </c>
      <c r="G1288" s="119" t="n">
        <v>46591</v>
      </c>
      <c r="H1288" s="119" t="n">
        <v>46293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IF(E1288="","",IF(ISNUMBER(SEARCH("SUBSOLO",E1288)),IFERROR(-VALUE(LEFT(E1288,FIND("º",SUBSTITUTE(E1288,"°","º"))-1)),-1),IF(LEFT(E1288,6)="TÉRREO",0,IFERROR(VALUE(LEFT(E1288,FIND("º",SUBSTITUTE(E1288,"°","º"))-1)),""))))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29601304</v>
      </c>
      <c r="C1289" s="4" t="inlineStr">
        <is>
          <t>TALISCAMENTO</t>
        </is>
      </c>
      <c r="D1289" s="4" t="inlineStr">
        <is>
          <t>-</t>
        </is>
      </c>
      <c r="E1289" s="4" t="inlineStr">
        <is>
          <t>22º PAV. TIPO</t>
        </is>
      </c>
      <c r="F1289" s="119" t="n">
        <v>46581</v>
      </c>
      <c r="G1289" s="119" t="n">
        <v>46591</v>
      </c>
      <c r="H1289" s="119" t="n">
        <v>46293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IF(E1289="","",IF(ISNUMBER(SEARCH("SUBSOLO",E1289)),IFERROR(-VALUE(LEFT(E1289,FIND("º",SUBSTITUTE(E1289,"°","º"))-1)),-1),IF(LEFT(E1289,6)="TÉRREO",0,IFERROR(VALUE(LEFT(E1289,FIND("º",SUBSTITUTE(E1289,"°","º"))-1)),""))))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25210159</v>
      </c>
      <c r="C1290" s="4" t="inlineStr">
        <is>
          <t>PRUMADA HIDROSSANITÁRIA</t>
        </is>
      </c>
      <c r="D1290" s="4" t="inlineStr">
        <is>
          <t>-</t>
        </is>
      </c>
      <c r="E1290" s="4" t="inlineStr">
        <is>
          <t>23º PAV. TIPO</t>
        </is>
      </c>
      <c r="F1290" s="119" t="n">
        <v>46581</v>
      </c>
      <c r="G1290" s="119" t="n">
        <v>46591</v>
      </c>
      <c r="H1290" s="119" t="n">
        <v>46293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IF(E1290="","",IF(ISNUMBER(SEARCH("SUBSOLO",E1290)),IFERROR(-VALUE(LEFT(E1290,FIND("º",SUBSTITUTE(E1290,"°","º"))-1)),-1),IF(LEFT(E1290,6)="TÉRREO",0,IFERROR(VALUE(LEFT(E1290,FIND("º",SUBSTITUTE(E1290,"°","º"))-1)),""))))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25210149</v>
      </c>
      <c r="C1291" s="4" t="inlineStr">
        <is>
          <t>PRUMADA DE INCÊNDIO</t>
        </is>
      </c>
      <c r="D1291" s="4" t="inlineStr">
        <is>
          <t>-</t>
        </is>
      </c>
      <c r="E1291" s="4" t="inlineStr">
        <is>
          <t>23º PAV. TIPO</t>
        </is>
      </c>
      <c r="F1291" s="119" t="n">
        <v>46581</v>
      </c>
      <c r="G1291" s="119" t="n">
        <v>46591</v>
      </c>
      <c r="H1291" s="119" t="n">
        <v>46293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IF(E1291="","",IF(ISNUMBER(SEARCH("SUBSOLO",E1291)),IFERROR(-VALUE(LEFT(E1291,FIND("º",SUBSTITUTE(E1291,"°","º"))-1)),-1),IF(LEFT(E1291,6)="TÉRREO",0,IFERROR(VALUE(LEFT(E1291,FIND("º",SUBSTITUTE(E1291,"°","º"))-1)),""))))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25210043</v>
      </c>
      <c r="C1292" s="4" t="inlineStr">
        <is>
          <t>ALVENARIA</t>
        </is>
      </c>
      <c r="D1292" s="4" t="inlineStr">
        <is>
          <t>-</t>
        </is>
      </c>
      <c r="E1292" s="4" t="inlineStr">
        <is>
          <t>26º PAV. -  DUPLEX INFERIOR</t>
        </is>
      </c>
      <c r="F1292" s="119" t="n">
        <v>46581</v>
      </c>
      <c r="G1292" s="119" t="n">
        <v>46594</v>
      </c>
      <c r="H1292" s="119" t="n">
        <v>46293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IF(E1292="","",IF(ISNUMBER(SEARCH("SUBSOLO",E1292)),IFERROR(-VALUE(LEFT(E1292,FIND("º",SUBSTITUTE(E1292,"°","º"))-1)),-1),IF(LEFT(E1292,6)="TÉRREO",0,IFERROR(VALUE(LEFT(E1292,FIND("º",SUBSTITUTE(E1292,"°","º"))-1)),""))))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25210809</v>
      </c>
      <c r="C1293" s="4" t="inlineStr">
        <is>
          <t>BANCADAS</t>
        </is>
      </c>
      <c r="D1293" s="4" t="inlineStr">
        <is>
          <t>-</t>
        </is>
      </c>
      <c r="E1293" s="4" t="inlineStr">
        <is>
          <t>4° PAV. APTO GARDEN</t>
        </is>
      </c>
      <c r="F1293" s="119" t="n">
        <v>46582</v>
      </c>
      <c r="G1293" s="119" t="n">
        <v>46595</v>
      </c>
      <c r="H1293" s="119" t="n">
        <v>46293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IF(E1293="","",IF(ISNUMBER(SEARCH("SUBSOLO",E1293)),IFERROR(-VALUE(LEFT(E1293,FIND("º",SUBSTITUTE(E1293,"°","º"))-1)),-1),IF(LEFT(E1293,6)="TÉRREO",0,IFERROR(VALUE(LEFT(E1293,FIND("º",SUBSTITUTE(E1293,"°","º"))-1)),""))))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25210720</v>
      </c>
      <c r="C1294" s="4" t="inlineStr">
        <is>
          <t>PISO MADEIRA / LAMINADO</t>
        </is>
      </c>
      <c r="D1294" s="4" t="inlineStr">
        <is>
          <t>-</t>
        </is>
      </c>
      <c r="E1294" s="4" t="inlineStr">
        <is>
          <t>7º PAV. TIPO</t>
        </is>
      </c>
      <c r="F1294" s="119" t="n">
        <v>46583</v>
      </c>
      <c r="G1294" s="119" t="n">
        <v>46596</v>
      </c>
      <c r="H1294" s="119" t="n">
        <v>46293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IF(E1294="","",IF(ISNUMBER(SEARCH("SUBSOLO",E1294)),IFERROR(-VALUE(LEFT(E1294,FIND("º",SUBSTITUTE(E1294,"°","º"))-1)),-1),IF(LEFT(E1294,6)="TÉRREO",0,IFERROR(VALUE(LEFT(E1294,FIND("º",SUBSTITUTE(E1294,"°","º"))-1)),""))))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9054400</v>
      </c>
      <c r="C1295" s="4" t="inlineStr">
        <is>
          <t>PISO MADEIRA / LAMINADO</t>
        </is>
      </c>
      <c r="D1295" s="4" t="inlineStr">
        <is>
          <t>Regularização de Piso</t>
        </is>
      </c>
      <c r="E1295" s="4" t="inlineStr">
        <is>
          <t>7º PAV. TIPO</t>
        </is>
      </c>
      <c r="F1295" s="119" t="n">
        <v>46583</v>
      </c>
      <c r="G1295" s="119" t="n">
        <v>46589</v>
      </c>
      <c r="H1295" s="119" t="n">
        <v>46293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IF(E1295="","",IF(ISNUMBER(SEARCH("SUBSOLO",E1295)),IFERROR(-VALUE(LEFT(E1295,FIND("º",SUBSTITUTE(E1295,"°","º"))-1)),-1),IF(LEFT(E1295,6)="TÉRREO",0,IFERROR(VALUE(LEFT(E1295,FIND("º",SUBSTITUTE(E1295,"°","º"))-1)),""))))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9054401</v>
      </c>
      <c r="C1296" s="4" t="inlineStr">
        <is>
          <t>PISO MADEIRA / LAMINADO</t>
        </is>
      </c>
      <c r="D1296" s="4" t="inlineStr">
        <is>
          <t>Instalação Piso Madeira</t>
        </is>
      </c>
      <c r="E1296" s="4" t="inlineStr">
        <is>
          <t>7º PAV. TIPO</t>
        </is>
      </c>
      <c r="F1296" s="119" t="n">
        <v>46590</v>
      </c>
      <c r="G1296" s="119" t="n">
        <v>46596</v>
      </c>
      <c r="H1296" s="119" t="n">
        <v>46293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IF(E1296="","",IF(ISNUMBER(SEARCH("SUBSOLO",E1296)),IFERROR(-VALUE(LEFT(E1296,FIND("º",SUBSTITUTE(E1296,"°","º"))-1)),-1),IF(LEFT(E1296,6)="TÉRREO",0,IFERROR(VALUE(LEFT(E1296,FIND("º",SUBSTITUTE(E1296,"°","º"))-1)),""))))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25210689</v>
      </c>
      <c r="C1297" s="4" t="inlineStr">
        <is>
          <t>ESQUADRIA</t>
        </is>
      </c>
      <c r="D1297" s="4" t="inlineStr">
        <is>
          <t>-</t>
        </is>
      </c>
      <c r="E1297" s="4" t="inlineStr">
        <is>
          <t>8º PAV. TIPO</t>
        </is>
      </c>
      <c r="F1297" s="119" t="n">
        <v>46583</v>
      </c>
      <c r="G1297" s="119" t="n">
        <v>46603</v>
      </c>
      <c r="H1297" s="119" t="n">
        <v>46293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IF(E1297="","",IF(ISNUMBER(SEARCH("SUBSOLO",E1297)),IFERROR(-VALUE(LEFT(E1297,FIND("º",SUBSTITUTE(E1297,"°","º"))-1)),-1),IF(LEFT(E1297,6)="TÉRREO",0,IFERROR(VALUE(LEFT(E1297,FIND("º",SUBSTITUTE(E1297,"°","º"))-1)),""))))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33276108</v>
      </c>
      <c r="C1298" s="4" t="inlineStr">
        <is>
          <t>INFRAESTRUTURA - AR CONDICIONADO</t>
        </is>
      </c>
      <c r="D1298" s="4" t="inlineStr">
        <is>
          <t>-</t>
        </is>
      </c>
      <c r="E1298" s="4" t="inlineStr">
        <is>
          <t>8º PAV. TIPO</t>
        </is>
      </c>
      <c r="F1298" s="119" t="n">
        <v>46583</v>
      </c>
      <c r="G1298" s="119" t="n">
        <v>46596</v>
      </c>
      <c r="H1298" s="119" t="n">
        <v>46293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IF(E1298="","",IF(ISNUMBER(SEARCH("SUBSOLO",E1298)),IFERROR(-VALUE(LEFT(E1298,FIND("º",SUBSTITUTE(E1298,"°","º"))-1)),-1),IF(LEFT(E1298,6)="TÉRREO",0,IFERROR(VALUE(LEFT(E1298,FIND("º",SUBSTITUTE(E1298,"°","º"))-1)),""))))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33278915</v>
      </c>
      <c r="C1299" s="4" t="inlineStr">
        <is>
          <t>INFRAESTRUTURA ELÉTRICA - PAREDES</t>
        </is>
      </c>
      <c r="D1299" s="4" t="inlineStr">
        <is>
          <t>-</t>
        </is>
      </c>
      <c r="E1299" s="4" t="inlineStr">
        <is>
          <t>8º PAV. TIPO</t>
        </is>
      </c>
      <c r="F1299" s="119" t="n">
        <v>46583</v>
      </c>
      <c r="G1299" s="119" t="n">
        <v>46595</v>
      </c>
      <c r="H1299" s="119" t="n">
        <v>46293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IF(E1299="","",IF(ISNUMBER(SEARCH("SUBSOLO",E1299)),IFERROR(-VALUE(LEFT(E1299,FIND("º",SUBSTITUTE(E1299,"°","º"))-1)),-1),IF(LEFT(E1299,6)="TÉRREO",0,IFERROR(VALUE(LEFT(E1299,FIND("º",SUBSTITUTE(E1299,"°","º"))-1)),""))))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25210390</v>
      </c>
      <c r="C1300" s="4" t="inlineStr">
        <is>
          <t>FIAÇÃO ELÉTRICA</t>
        </is>
      </c>
      <c r="D1300" s="4" t="inlineStr">
        <is>
          <t>-</t>
        </is>
      </c>
      <c r="E1300" s="4" t="inlineStr">
        <is>
          <t>16º PAV. TIPO</t>
        </is>
      </c>
      <c r="F1300" s="119" t="n">
        <v>46583</v>
      </c>
      <c r="G1300" s="119" t="n">
        <v>46603</v>
      </c>
      <c r="H1300" s="119" t="n">
        <v>46293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IF(E1300="","",IF(ISNUMBER(SEARCH("SUBSOLO",E1300)),IFERROR(-VALUE(LEFT(E1300,FIND("º",SUBSTITUTE(E1300,"°","º"))-1)),-1),IF(LEFT(E1300,6)="TÉRREO",0,IFERROR(VALUE(LEFT(E1300,FIND("º",SUBSTITUTE(E1300,"°","º"))-1)),""))))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25210421</v>
      </c>
      <c r="C1301" s="4" t="inlineStr">
        <is>
          <t>VENTILAÇÃO / EXAUSTÃO</t>
        </is>
      </c>
      <c r="D1301" s="4" t="inlineStr">
        <is>
          <t>-</t>
        </is>
      </c>
      <c r="E1301" s="4" t="inlineStr">
        <is>
          <t>16º PAV. TIPO</t>
        </is>
      </c>
      <c r="F1301" s="119" t="n">
        <v>46583</v>
      </c>
      <c r="G1301" s="119" t="n">
        <v>46589</v>
      </c>
      <c r="H1301" s="119" t="n">
        <v>46293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IF(E1301="","",IF(ISNUMBER(SEARCH("SUBSOLO",E1301)),IFERROR(-VALUE(LEFT(E1301,FIND("º",SUBSTITUTE(E1301,"°","º"))-1)),-1),IF(LEFT(E1301,6)="TÉRREO",0,IFERROR(VALUE(LEFT(E1301,FIND("º",SUBSTITUTE(E1301,"°","º"))-1)),""))))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25210354</v>
      </c>
      <c r="C1302" s="4" t="inlineStr">
        <is>
          <t>BANCADAS</t>
        </is>
      </c>
      <c r="D1302" s="4" t="inlineStr">
        <is>
          <t>-</t>
        </is>
      </c>
      <c r="E1302" s="4" t="inlineStr">
        <is>
          <t>17º PAV. TIPO</t>
        </is>
      </c>
      <c r="F1302" s="119" t="n">
        <v>46583</v>
      </c>
      <c r="G1302" s="119" t="n">
        <v>46596</v>
      </c>
      <c r="H1302" s="119" t="n">
        <v>46293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IF(E1302="","",IF(ISNUMBER(SEARCH("SUBSOLO",E1302)),IFERROR(-VALUE(LEFT(E1302,FIND("º",SUBSTITUTE(E1302,"°","º"))-1)),-1),IF(LEFT(E1302,6)="TÉRREO",0,IFERROR(VALUE(LEFT(E1302,FIND("º",SUBSTITUTE(E1302,"°","º"))-1)),""))))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25210340</v>
      </c>
      <c r="C1303" s="4" t="inlineStr">
        <is>
          <t>REVESTIMENTOS PISO</t>
        </is>
      </c>
      <c r="D1303" s="4" t="inlineStr">
        <is>
          <t>-</t>
        </is>
      </c>
      <c r="E1303" s="4" t="inlineStr">
        <is>
          <t>18º PAV. TIPO</t>
        </is>
      </c>
      <c r="F1303" s="119" t="n">
        <v>46583</v>
      </c>
      <c r="G1303" s="119" t="n">
        <v>46596</v>
      </c>
      <c r="H1303" s="119" t="n">
        <v>46293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IF(E1303="","",IF(ISNUMBER(SEARCH("SUBSOLO",E1303)),IFERROR(-VALUE(LEFT(E1303,FIND("º",SUBSTITUTE(E1303,"°","º"))-1)),-1),IF(LEFT(E1303,6)="TÉRREO",0,IFERROR(VALUE(LEFT(E1303,FIND("º",SUBSTITUTE(E1303,"°","º"))-1)),""))))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33276119</v>
      </c>
      <c r="C1304" s="4" t="inlineStr">
        <is>
          <t>INFRAESTRUTURA - AR CONDICIONADO</t>
        </is>
      </c>
      <c r="D1304" s="4" t="inlineStr">
        <is>
          <t>-</t>
        </is>
      </c>
      <c r="E1304" s="4" t="inlineStr">
        <is>
          <t>19º PAV. TIPO</t>
        </is>
      </c>
      <c r="F1304" s="119" t="n">
        <v>46584</v>
      </c>
      <c r="G1304" s="119" t="n">
        <v>46597</v>
      </c>
      <c r="H1304" s="119" t="n">
        <v>46293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IF(E1304="","",IF(ISNUMBER(SEARCH("SUBSOLO",E1304)),IFERROR(-VALUE(LEFT(E1304,FIND("º",SUBSTITUTE(E1304,"°","º"))-1)),-1),IF(LEFT(E1304,6)="TÉRREO",0,IFERROR(VALUE(LEFT(E1304,FIND("º",SUBSTITUTE(E1304,"°","º"))-1)),""))))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33278926</v>
      </c>
      <c r="C1305" s="4" t="inlineStr">
        <is>
          <t>INFRAESTRUTURA ELÉTRICA - PAREDES</t>
        </is>
      </c>
      <c r="D1305" s="4" t="inlineStr">
        <is>
          <t>-</t>
        </is>
      </c>
      <c r="E1305" s="4" t="inlineStr">
        <is>
          <t>19º PAV. TIPO</t>
        </is>
      </c>
      <c r="F1305" s="119" t="n">
        <v>46584</v>
      </c>
      <c r="G1305" s="119" t="n">
        <v>46596</v>
      </c>
      <c r="H1305" s="119" t="n">
        <v>46293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IF(E1305="","",IF(ISNUMBER(SEARCH("SUBSOLO",E1305)),IFERROR(-VALUE(LEFT(E1305,FIND("º",SUBSTITUTE(E1305,"°","º"))-1)),-1),IF(LEFT(E1305,6)="TÉRREO",0,IFERROR(VALUE(LEFT(E1305,FIND("º",SUBSTITUTE(E1305,"°","º"))-1)),""))))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27762203</v>
      </c>
      <c r="C1306" s="4" t="inlineStr">
        <is>
          <t>TRATAMENTO ACÚSTICO</t>
        </is>
      </c>
      <c r="D1306" s="4" t="inlineStr">
        <is>
          <t>-</t>
        </is>
      </c>
      <c r="E1306" s="4" t="inlineStr">
        <is>
          <t>20º PAV. TIPO</t>
        </is>
      </c>
      <c r="F1306" s="119" t="n">
        <v>46584</v>
      </c>
      <c r="G1306" s="119" t="n">
        <v>46584</v>
      </c>
      <c r="H1306" s="119" t="n">
        <v>46293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IF(E1306="","",IF(ISNUMBER(SEARCH("SUBSOLO",E1306)),IFERROR(-VALUE(LEFT(E1306,FIND("º",SUBSTITUTE(E1306,"°","º"))-1)),-1),IF(LEFT(E1306,6)="TÉRREO",0,IFERROR(VALUE(LEFT(E1306,FIND("º",SUBSTITUTE(E1306,"°","º"))-1)),""))))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25807555</v>
      </c>
      <c r="C1307" s="4" t="inlineStr">
        <is>
          <t>PINTURA 1º DEMÃO</t>
        </is>
      </c>
      <c r="D1307" s="4" t="inlineStr">
        <is>
          <t>-</t>
        </is>
      </c>
      <c r="E1307" s="4" t="inlineStr">
        <is>
          <t>3º PAV. ESPAÇO THERMAS, PISCINA COBERTA, SAUNAS E VESTIÁRIOS</t>
        </is>
      </c>
      <c r="F1307" s="119" t="n">
        <v>46587</v>
      </c>
      <c r="G1307" s="119" t="n">
        <v>46598</v>
      </c>
      <c r="H1307" s="119" t="n">
        <v>46293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IF(E1307="","",IF(ISNUMBER(SEARCH("SUBSOLO",E1307)),IFERROR(-VALUE(LEFT(E1307,FIND("º",SUBSTITUTE(E1307,"°","º"))-1)),-1),IF(LEFT(E1307,6)="TÉRREO",0,IFERROR(VALUE(LEFT(E1307,FIND("º",SUBSTITUTE(E1307,"°","º"))-1)),""))))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25210741</v>
      </c>
      <c r="C1308" s="4" t="inlineStr">
        <is>
          <t>RODAPÉ MADEIRA / PVC</t>
        </is>
      </c>
      <c r="D1308" s="4" t="inlineStr">
        <is>
          <t>-</t>
        </is>
      </c>
      <c r="E1308" s="4" t="inlineStr">
        <is>
          <t>6º PAV. TIPO</t>
        </is>
      </c>
      <c r="F1308" s="119" t="n">
        <v>46587</v>
      </c>
      <c r="G1308" s="119" t="n">
        <v>46598</v>
      </c>
      <c r="H1308" s="119" t="n">
        <v>46293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IF(E1308="","",IF(ISNUMBER(SEARCH("SUBSOLO",E1308)),IFERROR(-VALUE(LEFT(E1308,FIND("º",SUBSTITUTE(E1308,"°","º"))-1)),-1),IF(LEFT(E1308,6)="TÉRREO",0,IFERROR(VALUE(LEFT(E1308,FIND("º",SUBSTITUTE(E1308,"°","º"))-1)),""))))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25210563</v>
      </c>
      <c r="C1309" s="4" t="inlineStr">
        <is>
          <t>PINTURA 1º DEMÃO</t>
        </is>
      </c>
      <c r="D1309" s="4" t="inlineStr">
        <is>
          <t>-</t>
        </is>
      </c>
      <c r="E1309" s="4" t="inlineStr">
        <is>
          <t>11º PAV. TIPO</t>
        </is>
      </c>
      <c r="F1309" s="119" t="n">
        <v>46587</v>
      </c>
      <c r="G1309" s="119" t="n">
        <v>46596</v>
      </c>
      <c r="H1309" s="119" t="n">
        <v>46293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IF(E1309="","",IF(ISNUMBER(SEARCH("SUBSOLO",E1309)),IFERROR(-VALUE(LEFT(E1309,FIND("º",SUBSTITUTE(E1309,"°","º"))-1)),-1),IF(LEFT(E1309,6)="TÉRREO",0,IFERROR(VALUE(LEFT(E1309,FIND("º",SUBSTITUTE(E1309,"°","º"))-1)),""))))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25210255</v>
      </c>
      <c r="C1310" s="4" t="inlineStr">
        <is>
          <t>IMPERMEABILIZAÇÃO VARANDA E JARDINEIRAS</t>
        </is>
      </c>
      <c r="D1310" s="4" t="inlineStr">
        <is>
          <t>-</t>
        </is>
      </c>
      <c r="E1310" s="4" t="inlineStr">
        <is>
          <t>20º PAV. TIPO</t>
        </is>
      </c>
      <c r="F1310" s="119" t="n">
        <v>46587</v>
      </c>
      <c r="G1310" s="119" t="n">
        <v>46597</v>
      </c>
      <c r="H1310" s="119" t="n">
        <v>46293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IF(E1310="","",IF(ISNUMBER(SEARCH("SUBSOLO",E1310)),IFERROR(-VALUE(LEFT(E1310,FIND("º",SUBSTITUTE(E1310,"°","º"))-1)),-1),IF(LEFT(E1310,6)="TÉRREO",0,IFERROR(VALUE(LEFT(E1310,FIND("º",SUBSTITUTE(E1310,"°","º"))-1)),""))))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25752759</v>
      </c>
      <c r="C1311" s="4" t="inlineStr">
        <is>
          <t>FORRO</t>
        </is>
      </c>
      <c r="D1311" s="4" t="inlineStr">
        <is>
          <t>-</t>
        </is>
      </c>
      <c r="E1311" s="4" t="inlineStr">
        <is>
          <t>2º PAV. - ÁREAS TÉCNICAS</t>
        </is>
      </c>
      <c r="F1311" s="119" t="n">
        <v>46588</v>
      </c>
      <c r="G1311" s="119" t="n">
        <v>46594</v>
      </c>
      <c r="H1311" s="119" t="n">
        <v>46293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IF(E1311="","",IF(ISNUMBER(SEARCH("SUBSOLO",E1311)),IFERROR(-VALUE(LEFT(E1311,FIND("º",SUBSTITUTE(E1311,"°","º"))-1)),-1),IF(LEFT(E1311,6)="TÉRREO",0,IFERROR(VALUE(LEFT(E1311,FIND("º",SUBSTITUTE(E1311,"°","º"))-1)),""))))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25210795</v>
      </c>
      <c r="C1312" s="4" t="inlineStr">
        <is>
          <t>REVESTIMENTOS PISO</t>
        </is>
      </c>
      <c r="D1312" s="4" t="inlineStr">
        <is>
          <t>-</t>
        </is>
      </c>
      <c r="E1312" s="4" t="inlineStr">
        <is>
          <t>5º PAV. TIPO</t>
        </is>
      </c>
      <c r="F1312" s="119" t="n">
        <v>46589</v>
      </c>
      <c r="G1312" s="119" t="n">
        <v>46602</v>
      </c>
      <c r="H1312" s="119" t="n">
        <v>46293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IF(E1312="","",IF(ISNUMBER(SEARCH("SUBSOLO",E1312)),IFERROR(-VALUE(LEFT(E1312,FIND("º",SUBSTITUTE(E1312,"°","º"))-1)),-1),IF(LEFT(E1312,6)="TÉRREO",0,IFERROR(VALUE(LEFT(E1312,FIND("º",SUBSTITUTE(E1312,"°","º"))-1)),""))))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27762195</v>
      </c>
      <c r="C1313" s="4" t="inlineStr">
        <is>
          <t>TRATAMENTO ACÚSTICO</t>
        </is>
      </c>
      <c r="D1313" s="4" t="inlineStr">
        <is>
          <t>-</t>
        </is>
      </c>
      <c r="E1313" s="4" t="inlineStr">
        <is>
          <t>12º PAV. TIPO</t>
        </is>
      </c>
      <c r="F1313" s="119" t="n">
        <v>46589</v>
      </c>
      <c r="G1313" s="119" t="n">
        <v>46589</v>
      </c>
      <c r="H1313" s="119" t="n">
        <v>46293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IF(E1313="","",IF(ISNUMBER(SEARCH("SUBSOLO",E1313)),IFERROR(-VALUE(LEFT(E1313,FIND("º",SUBSTITUTE(E1313,"°","º"))-1)),-1),IF(LEFT(E1313,6)="TÉRREO",0,IFERROR(VALUE(LEFT(E1313,FIND("º",SUBSTITUTE(E1313,"°","º"))-1)),""))))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25210506</v>
      </c>
      <c r="C1314" s="4" t="inlineStr">
        <is>
          <t>DISTRIBUIÇÃO HIDROSSANITÁRIA</t>
        </is>
      </c>
      <c r="D1314" s="4" t="inlineStr">
        <is>
          <t>-</t>
        </is>
      </c>
      <c r="E1314" s="4" t="inlineStr">
        <is>
          <t>13º PAV. TIPO</t>
        </is>
      </c>
      <c r="F1314" s="119" t="n">
        <v>46589</v>
      </c>
      <c r="G1314" s="119" t="n">
        <v>46601</v>
      </c>
      <c r="H1314" s="119" t="n">
        <v>46293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IF(E1314="","",IF(ISNUMBER(SEARCH("SUBSOLO",E1314)),IFERROR(-VALUE(LEFT(E1314,FIND("º",SUBSTITUTE(E1314,"°","º"))-1)),-1),IF(LEFT(E1314,6)="TÉRREO",0,IFERROR(VALUE(LEFT(E1314,FIND("º",SUBSTITUTE(E1314,"°","º"))-1)),""))))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25210505</v>
      </c>
      <c r="C1315" s="4" t="inlineStr">
        <is>
          <t>DISTRIBUIÇÃO ELÉTRICA / QUADRO - SETOR B</t>
        </is>
      </c>
      <c r="D1315" s="4" t="inlineStr">
        <is>
          <t>-</t>
        </is>
      </c>
      <c r="E1315" s="4" t="inlineStr">
        <is>
          <t>13º PAV. TIPO</t>
        </is>
      </c>
      <c r="F1315" s="119" t="n">
        <v>46589</v>
      </c>
      <c r="G1315" s="119" t="n">
        <v>46601</v>
      </c>
      <c r="H1315" s="119" t="n">
        <v>46293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IF(E1315="","",IF(ISNUMBER(SEARCH("SUBSOLO",E1315)),IFERROR(-VALUE(LEFT(E1315,FIND("º",SUBSTITUTE(E1315,"°","º"))-1)),-1),IF(LEFT(E1315,6)="TÉRREO",0,IFERROR(VALUE(LEFT(E1315,FIND("º",SUBSTITUTE(E1315,"°","º"))-1)),""))))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33276739</v>
      </c>
      <c r="C1316" s="4" t="inlineStr">
        <is>
          <t>INFRAESTRUTURA ELÉTRICA - TETO</t>
        </is>
      </c>
      <c r="D1316" s="4" t="inlineStr">
        <is>
          <t>-</t>
        </is>
      </c>
      <c r="E1316" s="4" t="inlineStr">
        <is>
          <t>13º PAV. TIPO</t>
        </is>
      </c>
      <c r="F1316" s="119" t="n">
        <v>46589</v>
      </c>
      <c r="G1316" s="119" t="n">
        <v>46601</v>
      </c>
      <c r="H1316" s="119" t="n">
        <v>46293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IF(E1316="","",IF(ISNUMBER(SEARCH("SUBSOLO",E1316)),IFERROR(-VALUE(LEFT(E1316,FIND("º",SUBSTITUTE(E1316,"°","º"))-1)),-1),IF(LEFT(E1316,6)="TÉRREO",0,IFERROR(VALUE(LEFT(E1316,FIND("º",SUBSTITUTE(E1316,"°","º"))-1)),""))))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27769247</v>
      </c>
      <c r="C1317" s="4" t="inlineStr">
        <is>
          <t>PRUMADA ELÉTRICA INFRA</t>
        </is>
      </c>
      <c r="D1317" s="4" t="inlineStr">
        <is>
          <t>-</t>
        </is>
      </c>
      <c r="E1317" s="4" t="inlineStr">
        <is>
          <t>23º PAV. TIPO</t>
        </is>
      </c>
      <c r="F1317" s="119" t="n">
        <v>46589</v>
      </c>
      <c r="G1317" s="119" t="n">
        <v>46601</v>
      </c>
      <c r="H1317" s="119" t="n">
        <v>46293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IF(E1317="","",IF(ISNUMBER(SEARCH("SUBSOLO",E1317)),IFERROR(-VALUE(LEFT(E1317,FIND("º",SUBSTITUTE(E1317,"°","º"))-1)),-1),IF(LEFT(E1317,6)="TÉRREO",0,IFERROR(VALUE(LEFT(E1317,FIND("º",SUBSTITUTE(E1317,"°","º"))-1)),""))))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25210651</v>
      </c>
      <c r="C1318" s="4" t="inlineStr">
        <is>
          <t>CONTRAPISO</t>
        </is>
      </c>
      <c r="D1318" s="4" t="inlineStr">
        <is>
          <t>-</t>
        </is>
      </c>
      <c r="E1318" s="4" t="inlineStr">
        <is>
          <t>9º PAV. TIPO</t>
        </is>
      </c>
      <c r="F1318" s="119" t="n">
        <v>46590</v>
      </c>
      <c r="G1318" s="119" t="n">
        <v>46603</v>
      </c>
      <c r="H1318" s="119" t="n">
        <v>46293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IF(E1318="","",IF(ISNUMBER(SEARCH("SUBSOLO",E1318)),IFERROR(-VALUE(LEFT(E1318,FIND("º",SUBSTITUTE(E1318,"°","º"))-1)),-1),IF(LEFT(E1318,6)="TÉRREO",0,IFERROR(VALUE(LEFT(E1318,FIND("º",SUBSTITUTE(E1318,"°","º"))-1)),""))))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27765753</v>
      </c>
      <c r="C1319" s="4" t="inlineStr">
        <is>
          <t>DRENO + ATERRO JARDINEIRAS</t>
        </is>
      </c>
      <c r="D1319" s="4" t="inlineStr">
        <is>
          <t>-</t>
        </is>
      </c>
      <c r="E1319" s="4" t="inlineStr">
        <is>
          <t>9º PAV. TIPO</t>
        </is>
      </c>
      <c r="F1319" s="119" t="n">
        <v>46590</v>
      </c>
      <c r="G1319" s="119" t="n">
        <v>46602</v>
      </c>
      <c r="H1319" s="119" t="n">
        <v>46293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IF(E1319="","",IF(ISNUMBER(SEARCH("SUBSOLO",E1319)),IFERROR(-VALUE(LEFT(E1319,FIND("º",SUBSTITUTE(E1319,"°","º"))-1)),-1),IF(LEFT(E1319,6)="TÉRREO",0,IFERROR(VALUE(LEFT(E1319,FIND("º",SUBSTITUTE(E1319,"°","º"))-1)),""))))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25210535</v>
      </c>
      <c r="C1320" s="4" t="inlineStr">
        <is>
          <t>IMPERMEABILIZAÇÃO VARANDA E JARDINEIRAS</t>
        </is>
      </c>
      <c r="D1320" s="4" t="inlineStr">
        <is>
          <t>-</t>
        </is>
      </c>
      <c r="E1320" s="4" t="inlineStr">
        <is>
          <t>12º PAV. TIPO</t>
        </is>
      </c>
      <c r="F1320" s="119" t="n">
        <v>46590</v>
      </c>
      <c r="G1320" s="119" t="n">
        <v>46602</v>
      </c>
      <c r="H1320" s="119" t="n">
        <v>46293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IF(E1320="","",IF(ISNUMBER(SEARCH("SUBSOLO",E1320)),IFERROR(-VALUE(LEFT(E1320,FIND("º",SUBSTITUTE(E1320,"°","º"))-1)),-1),IF(LEFT(E1320,6)="TÉRREO",0,IFERROR(VALUE(LEFT(E1320,FIND("º",SUBSTITUTE(E1320,"°","º"))-1)),""))))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25799829</v>
      </c>
      <c r="C1321" s="4" t="inlineStr">
        <is>
          <t>FIAÇÃO ELÉTRICA</t>
        </is>
      </c>
      <c r="D1321" s="4" t="inlineStr">
        <is>
          <t>-</t>
        </is>
      </c>
      <c r="E1321" s="4" t="inlineStr">
        <is>
          <t>3º PAV. - BAR PISCINA, VESTIÁRIOS, DEPOSITOS E LOUNGE QUADRAS</t>
        </is>
      </c>
      <c r="F1321" s="119" t="n">
        <v>46591</v>
      </c>
      <c r="G1321" s="119" t="n">
        <v>46611</v>
      </c>
      <c r="H1321" s="119" t="n">
        <v>46293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IF(E1321="","",IF(ISNUMBER(SEARCH("SUBSOLO",E1321)),IFERROR(-VALUE(LEFT(E1321,FIND("º",SUBSTITUTE(E1321,"°","º"))-1)),-1),IF(LEFT(E1321,6)="TÉRREO",0,IFERROR(VALUE(LEFT(E1321,FIND("º",SUBSTITUTE(E1321,"°","º"))-1)),""))))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25731722</v>
      </c>
      <c r="C1322" s="4" t="inlineStr">
        <is>
          <t>FACHADA FRONTAL - F2 (C)</t>
        </is>
      </c>
      <c r="D1322" s="4" t="inlineStr">
        <is>
          <t>-</t>
        </is>
      </c>
      <c r="E1322" s="4" t="inlineStr">
        <is>
          <t>FACHADA</t>
        </is>
      </c>
      <c r="F1322" s="119" t="n">
        <v>46591</v>
      </c>
      <c r="G1322" s="119" t="n">
        <v>46758</v>
      </c>
      <c r="H1322" s="119" t="n">
        <v>46293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IF(E1322="","",IF(ISNUMBER(SEARCH("SUBSOLO",E1322)),IFERROR(-VALUE(LEFT(E1322,FIND("º",SUBSTITUTE(E1322,"°","º"))-1)),-1),IF(LEFT(E1322,6)="TÉRREO",0,IFERROR(VALUE(LEFT(E1322,FIND("º",SUBSTITUTE(E1322,"°","º"))-1)),""))))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25210468</v>
      </c>
      <c r="C1323" s="4" t="inlineStr">
        <is>
          <t>SHAFT INTERNO INST. HIDRAÚLICAS</t>
        </is>
      </c>
      <c r="D1323" s="4" t="inlineStr">
        <is>
          <t>-</t>
        </is>
      </c>
      <c r="E1323" s="4" t="inlineStr">
        <is>
          <t>14º PAV. TIPO</t>
        </is>
      </c>
      <c r="F1323" s="119" t="n">
        <v>46594</v>
      </c>
      <c r="G1323" s="119" t="n">
        <v>46604</v>
      </c>
      <c r="H1323" s="119" t="n">
        <v>46293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IF(E1323="","",IF(ISNUMBER(SEARCH("SUBSOLO",E1323)),IFERROR(-VALUE(LEFT(E1323,FIND("º",SUBSTITUTE(E1323,"°","º"))-1)),-1),IF(LEFT(E1323,6)="TÉRREO",0,IFERROR(VALUE(LEFT(E1323,FIND("º",SUBSTITUTE(E1323,"°","º"))-1)),""))))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25210438</v>
      </c>
      <c r="C1324" s="4" t="inlineStr">
        <is>
          <t>REBOCO INTERNO</t>
        </is>
      </c>
      <c r="D1324" s="4" t="inlineStr">
        <is>
          <t>-</t>
        </is>
      </c>
      <c r="E1324" s="4" t="inlineStr">
        <is>
          <t>15º PAV. TIPO</t>
        </is>
      </c>
      <c r="F1324" s="119" t="n">
        <v>46594</v>
      </c>
      <c r="G1324" s="119" t="n">
        <v>46612</v>
      </c>
      <c r="H1324" s="119" t="n">
        <v>46293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IF(E1324="","",IF(ISNUMBER(SEARCH("SUBSOLO",E1324)),IFERROR(-VALUE(LEFT(E1324,FIND("º",SUBSTITUTE(E1324,"°","º"))-1)),-1),IF(LEFT(E1324,6)="TÉRREO",0,IFERROR(VALUE(LEFT(E1324,FIND("º",SUBSTITUTE(E1324,"°","º"))-1)),""))))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25210434</v>
      </c>
      <c r="C1325" s="4" t="inlineStr">
        <is>
          <t>ESPALA ESQUADRIA DE ALUMINIO</t>
        </is>
      </c>
      <c r="D1325" s="4" t="inlineStr">
        <is>
          <t>-</t>
        </is>
      </c>
      <c r="E1325" s="4" t="inlineStr">
        <is>
          <t>15º PAV. TIPO</t>
        </is>
      </c>
      <c r="F1325" s="119" t="n">
        <v>46594</v>
      </c>
      <c r="G1325" s="119" t="n">
        <v>46598</v>
      </c>
      <c r="H1325" s="119" t="n">
        <v>46293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IF(E1325="","",IF(ISNUMBER(SEARCH("SUBSOLO",E1325)),IFERROR(-VALUE(LEFT(E1325,FIND("º",SUBSTITUTE(E1325,"°","º"))-1)),-1),IF(LEFT(E1325,6)="TÉRREO",0,IFERROR(VALUE(LEFT(E1325,FIND("º",SUBSTITUTE(E1325,"°","º"))-1)),""))))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25210222</v>
      </c>
      <c r="C1326" s="4" t="inlineStr">
        <is>
          <t>CONTRAMARCO</t>
        </is>
      </c>
      <c r="D1326" s="4" t="inlineStr">
        <is>
          <t>-</t>
        </is>
      </c>
      <c r="E1326" s="4" t="inlineStr">
        <is>
          <t>21º PAV. TIPO</t>
        </is>
      </c>
      <c r="F1326" s="119" t="n">
        <v>46594</v>
      </c>
      <c r="G1326" s="119" t="n">
        <v>46604</v>
      </c>
      <c r="H1326" s="119" t="n">
        <v>46293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IF(E1326="","",IF(ISNUMBER(SEARCH("SUBSOLO",E1326)),IFERROR(-VALUE(LEFT(E1326,FIND("º",SUBSTITUTE(E1326,"°","º"))-1)),-1),IF(LEFT(E1326,6)="TÉRREO",0,IFERROR(VALUE(LEFT(E1326,FIND("º",SUBSTITUTE(E1326,"°","º"))-1)),""))))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29601287</v>
      </c>
      <c r="C1327" s="4" t="inlineStr">
        <is>
          <t>ENCUNHAMENTO</t>
        </is>
      </c>
      <c r="D1327" s="4" t="inlineStr">
        <is>
          <t>-</t>
        </is>
      </c>
      <c r="E1327" s="4" t="inlineStr">
        <is>
          <t>21º PAV. TIPO</t>
        </is>
      </c>
      <c r="F1327" s="119" t="n">
        <v>46594</v>
      </c>
      <c r="G1327" s="119" t="n">
        <v>46604</v>
      </c>
      <c r="H1327" s="119" t="n">
        <v>46293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IF(E1327="","",IF(ISNUMBER(SEARCH("SUBSOLO",E1327)),IFERROR(-VALUE(LEFT(E1327,FIND("º",SUBSTITUTE(E1327,"°","º"))-1)),-1),IF(LEFT(E1327,6)="TÉRREO",0,IFERROR(VALUE(LEFT(E1327,FIND("º",SUBSTITUTE(E1327,"°","º"))-1)),""))))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25210191</v>
      </c>
      <c r="C1328" s="4" t="inlineStr">
        <is>
          <t>DISTRIBUIÇÃO HIDROSSANITÁRIA</t>
        </is>
      </c>
      <c r="D1328" s="4" t="inlineStr">
        <is>
          <t>-</t>
        </is>
      </c>
      <c r="E1328" s="4" t="inlineStr">
        <is>
          <t>22º PAV. TIPO</t>
        </is>
      </c>
      <c r="F1328" s="119" t="n">
        <v>46594</v>
      </c>
      <c r="G1328" s="119" t="n">
        <v>46604</v>
      </c>
      <c r="H1328" s="119" t="n">
        <v>46293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IF(E1328="","",IF(ISNUMBER(SEARCH("SUBSOLO",E1328)),IFERROR(-VALUE(LEFT(E1328,FIND("º",SUBSTITUTE(E1328,"°","º"))-1)),-1),IF(LEFT(E1328,6)="TÉRREO",0,IFERROR(VALUE(LEFT(E1328,FIND("º",SUBSTITUTE(E1328,"°","º"))-1)),""))))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25210190</v>
      </c>
      <c r="C1329" s="4" t="inlineStr">
        <is>
          <t>DISTRIBUIÇÃO ELÉTRICA / QUADRO - SETOR B</t>
        </is>
      </c>
      <c r="D1329" s="4" t="inlineStr">
        <is>
          <t>-</t>
        </is>
      </c>
      <c r="E1329" s="4" t="inlineStr">
        <is>
          <t>22º PAV. TIPO</t>
        </is>
      </c>
      <c r="F1329" s="119" t="n">
        <v>46594</v>
      </c>
      <c r="G1329" s="119" t="n">
        <v>46604</v>
      </c>
      <c r="H1329" s="119" t="n">
        <v>46293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IF(E1329="","",IF(ISNUMBER(SEARCH("SUBSOLO",E1329)),IFERROR(-VALUE(LEFT(E1329,FIND("º",SUBSTITUTE(E1329,"°","º"))-1)),-1),IF(LEFT(E1329,6)="TÉRREO",0,IFERROR(VALUE(LEFT(E1329,FIND("º",SUBSTITUTE(E1329,"°","º"))-1)),""))))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33276748</v>
      </c>
      <c r="C1330" s="4" t="inlineStr">
        <is>
          <t>INFRAESTRUTURA ELÉTRICA - TETO</t>
        </is>
      </c>
      <c r="D1330" s="4" t="inlineStr">
        <is>
          <t>-</t>
        </is>
      </c>
      <c r="E1330" s="4" t="inlineStr">
        <is>
          <t>22º PAV. TIPO</t>
        </is>
      </c>
      <c r="F1330" s="119" t="n">
        <v>46594</v>
      </c>
      <c r="G1330" s="119" t="n">
        <v>46604</v>
      </c>
      <c r="H1330" s="119" t="n">
        <v>46293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IF(E1330="","",IF(ISNUMBER(SEARCH("SUBSOLO",E1330)),IFERROR(-VALUE(LEFT(E1330,FIND("º",SUBSTITUTE(E1330,"°","º"))-1)),-1),IF(LEFT(E1330,6)="TÉRREO",0,IFERROR(VALUE(LEFT(E1330,FIND("º",SUBSTITUTE(E1330,"°","º"))-1)),""))))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25210157</v>
      </c>
      <c r="C1331" s="4" t="inlineStr">
        <is>
          <t>GÁS</t>
        </is>
      </c>
      <c r="D1331" s="4" t="inlineStr">
        <is>
          <t>-</t>
        </is>
      </c>
      <c r="E1331" s="4" t="inlineStr">
        <is>
          <t>23º PAV. TIPO</t>
        </is>
      </c>
      <c r="F1331" s="119" t="n">
        <v>46594</v>
      </c>
      <c r="G1331" s="119" t="n">
        <v>46604</v>
      </c>
      <c r="H1331" s="119" t="n">
        <v>46293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IF(E1331="","",IF(ISNUMBER(SEARCH("SUBSOLO",E1331)),IFERROR(-VALUE(LEFT(E1331,FIND("º",SUBSTITUTE(E1331,"°","º"))-1)),-1),IF(LEFT(E1331,6)="TÉRREO",0,IFERROR(VALUE(LEFT(E1331,FIND("º",SUBSTITUTE(E1331,"°","º"))-1)),""))))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29601305</v>
      </c>
      <c r="C1332" s="4" t="inlineStr">
        <is>
          <t>TALISCAMENTO</t>
        </is>
      </c>
      <c r="D1332" s="4" t="inlineStr">
        <is>
          <t>-</t>
        </is>
      </c>
      <c r="E1332" s="4" t="inlineStr">
        <is>
          <t>23º PAV. TIPO</t>
        </is>
      </c>
      <c r="F1332" s="119" t="n">
        <v>46594</v>
      </c>
      <c r="G1332" s="119" t="n">
        <v>46604</v>
      </c>
      <c r="H1332" s="119" t="n">
        <v>46293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IF(E1332="","",IF(ISNUMBER(SEARCH("SUBSOLO",E1332)),IFERROR(-VALUE(LEFT(E1332,FIND("º",SUBSTITUTE(E1332,"°","º"))-1)),-1),IF(LEFT(E1332,6)="TÉRREO",0,IFERROR(VALUE(LEFT(E1332,FIND("º",SUBSTITUTE(E1332,"°","º"))-1)),""))))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25210124</v>
      </c>
      <c r="C1333" s="4" t="inlineStr">
        <is>
          <t>PRUMADA HIDROSSANITÁRIA</t>
        </is>
      </c>
      <c r="D1333" s="4" t="inlineStr">
        <is>
          <t>-</t>
        </is>
      </c>
      <c r="E1333" s="4" t="inlineStr">
        <is>
          <t>24º PAV. TIPO</t>
        </is>
      </c>
      <c r="F1333" s="119" t="n">
        <v>46594</v>
      </c>
      <c r="G1333" s="119" t="n">
        <v>46604</v>
      </c>
      <c r="H1333" s="119" t="n">
        <v>46293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IF(E1333="","",IF(ISNUMBER(SEARCH("SUBSOLO",E1333)),IFERROR(-VALUE(LEFT(E1333,FIND("º",SUBSTITUTE(E1333,"°","º"))-1)),-1),IF(LEFT(E1333,6)="TÉRREO",0,IFERROR(VALUE(LEFT(E1333,FIND("º",SUBSTITUTE(E1333,"°","º"))-1)),""))))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25210114</v>
      </c>
      <c r="C1334" s="4" t="inlineStr">
        <is>
          <t>PRUMADA DE INCÊNDIO</t>
        </is>
      </c>
      <c r="D1334" s="4" t="inlineStr">
        <is>
          <t>-</t>
        </is>
      </c>
      <c r="E1334" s="4" t="inlineStr">
        <is>
          <t>24º PAV. TIPO</t>
        </is>
      </c>
      <c r="F1334" s="119" t="n">
        <v>46594</v>
      </c>
      <c r="G1334" s="119" t="n">
        <v>46604</v>
      </c>
      <c r="H1334" s="119" t="n">
        <v>46293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IF(E1334="","",IF(ISNUMBER(SEARCH("SUBSOLO",E1334)),IFERROR(-VALUE(LEFT(E1334,FIND("º",SUBSTITUTE(E1334,"°","º"))-1)),-1),IF(LEFT(E1334,6)="TÉRREO",0,IFERROR(VALUE(LEFT(E1334,FIND("º",SUBSTITUTE(E1334,"°","º"))-1)),""))))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25210008</v>
      </c>
      <c r="C1335" s="4" t="inlineStr">
        <is>
          <t>ALVENARIA</t>
        </is>
      </c>
      <c r="D1335" s="4" t="inlineStr">
        <is>
          <t>-</t>
        </is>
      </c>
      <c r="E1335" s="4" t="inlineStr">
        <is>
          <t>27º PAV. -  DUPLEX SUPERIOR</t>
        </is>
      </c>
      <c r="F1335" s="119" t="n">
        <v>46595</v>
      </c>
      <c r="G1335" s="119" t="n">
        <v>46615</v>
      </c>
      <c r="H1335" s="119" t="n">
        <v>46293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IF(E1335="","",IF(ISNUMBER(SEARCH("SUBSOLO",E1335)),IFERROR(-VALUE(LEFT(E1335,FIND("º",SUBSTITUTE(E1335,"°","º"))-1)),-1),IF(LEFT(E1335,6)="TÉRREO",0,IFERROR(VALUE(LEFT(E1335,FIND("º",SUBSTITUTE(E1335,"°","º"))-1)),""))))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25752898</v>
      </c>
      <c r="C1336" s="4" t="inlineStr">
        <is>
          <t>POLIMENTO PISO</t>
        </is>
      </c>
      <c r="D1336" s="4" t="inlineStr">
        <is>
          <t>-</t>
        </is>
      </c>
      <c r="E1336" s="4" t="inlineStr">
        <is>
          <t>2º PAV. GARAGEM.</t>
        </is>
      </c>
      <c r="F1336" s="119" t="n">
        <v>46596</v>
      </c>
      <c r="G1336" s="119" t="n">
        <v>46632</v>
      </c>
      <c r="H1336" s="119" t="n">
        <v>46293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IF(E1336="","",IF(ISNUMBER(SEARCH("SUBSOLO",E1336)),IFERROR(-VALUE(LEFT(E1336,FIND("º",SUBSTITUTE(E1336,"°","º"))-1)),-1),IF(LEFT(E1336,6)="TÉRREO",0,IFERROR(VALUE(LEFT(E1336,FIND("º",SUBSTITUTE(E1336,"°","º"))-1)),""))))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25210810</v>
      </c>
      <c r="C1337" s="4" t="inlineStr">
        <is>
          <t>FIAÇÃO ELÉTRICA</t>
        </is>
      </c>
      <c r="D1337" s="4" t="inlineStr">
        <is>
          <t>-</t>
        </is>
      </c>
      <c r="E1337" s="4" t="inlineStr">
        <is>
          <t>4° PAV. APTO GARDEN</t>
        </is>
      </c>
      <c r="F1337" s="119" t="n">
        <v>46596</v>
      </c>
      <c r="G1337" s="119" t="n">
        <v>46616</v>
      </c>
      <c r="H1337" s="119" t="n">
        <v>46293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IF(E1337="","",IF(ISNUMBER(SEARCH("SUBSOLO",E1337)),IFERROR(-VALUE(LEFT(E1337,FIND("º",SUBSTITUTE(E1337,"°","º"))-1)),-1),IF(LEFT(E1337,6)="TÉRREO",0,IFERROR(VALUE(LEFT(E1337,FIND("º",SUBSTITUTE(E1337,"°","º"))-1)),""))))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25210841</v>
      </c>
      <c r="C1338" s="4" t="inlineStr">
        <is>
          <t>VENTILAÇÃO / EXAUSTÃO</t>
        </is>
      </c>
      <c r="D1338" s="4" t="inlineStr">
        <is>
          <t>-</t>
        </is>
      </c>
      <c r="E1338" s="4" t="inlineStr">
        <is>
          <t>4° PAV. APTO GARDEN</t>
        </is>
      </c>
      <c r="F1338" s="119" t="n">
        <v>46596</v>
      </c>
      <c r="G1338" s="119" t="n">
        <v>46602</v>
      </c>
      <c r="H1338" s="119" t="n">
        <v>46293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IF(E1338="","",IF(ISNUMBER(SEARCH("SUBSOLO",E1338)),IFERROR(-VALUE(LEFT(E1338,FIND("º",SUBSTITUTE(E1338,"°","º"))-1)),-1),IF(LEFT(E1338,6)="TÉRREO",0,IFERROR(VALUE(LEFT(E1338,FIND("º",SUBSTITUTE(E1338,"°","º"))-1)),""))))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25210676</v>
      </c>
      <c r="C1339" s="4" t="inlineStr">
        <is>
          <t>REVESTIMENTO PAREDE</t>
        </is>
      </c>
      <c r="D1339" s="4" t="inlineStr">
        <is>
          <t>-</t>
        </is>
      </c>
      <c r="E1339" s="4" t="inlineStr">
        <is>
          <t>8º PAV. TIPO</t>
        </is>
      </c>
      <c r="F1339" s="119" t="n">
        <v>46596</v>
      </c>
      <c r="G1339" s="119" t="n">
        <v>46609</v>
      </c>
      <c r="H1339" s="119" t="n">
        <v>46293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IF(E1339="","",IF(ISNUMBER(SEARCH("SUBSOLO",E1339)),IFERROR(-VALUE(LEFT(E1339,FIND("º",SUBSTITUTE(E1339,"°","º"))-1)),-1),IF(LEFT(E1339,6)="TÉRREO",0,IFERROR(VALUE(LEFT(E1339,FIND("º",SUBSTITUTE(E1339,"°","º"))-1)),""))))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25210726</v>
      </c>
      <c r="C1340" s="4" t="inlineStr">
        <is>
          <t>ESQUADRIA MADEIRA</t>
        </is>
      </c>
      <c r="D1340" s="4" t="inlineStr">
        <is>
          <t>-</t>
        </is>
      </c>
      <c r="E1340" s="4" t="inlineStr">
        <is>
          <t>7º PAV. TIPO</t>
        </is>
      </c>
      <c r="F1340" s="119" t="n">
        <v>46597</v>
      </c>
      <c r="G1340" s="119" t="n">
        <v>46610</v>
      </c>
      <c r="H1340" s="119" t="n">
        <v>46293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IF(E1340="","",IF(ISNUMBER(SEARCH("SUBSOLO",E1340)),IFERROR(-VALUE(LEFT(E1340,FIND("º",SUBSTITUTE(E1340,"°","º"))-1)),-1),IF(LEFT(E1340,6)="TÉRREO",0,IFERROR(VALUE(LEFT(E1340,FIND("º",SUBSTITUTE(E1340,"°","º"))-1)),""))))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25210386</v>
      </c>
      <c r="C1341" s="4" t="inlineStr">
        <is>
          <t>VENTILAÇÃO / EXAUSTÃO</t>
        </is>
      </c>
      <c r="D1341" s="4" t="inlineStr">
        <is>
          <t>-</t>
        </is>
      </c>
      <c r="E1341" s="4" t="inlineStr">
        <is>
          <t>17º PAV. TIPO</t>
        </is>
      </c>
      <c r="F1341" s="119" t="n">
        <v>46597</v>
      </c>
      <c r="G1341" s="119" t="n">
        <v>46603</v>
      </c>
      <c r="H1341" s="119" t="n">
        <v>46293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IF(E1341="","",IF(ISNUMBER(SEARCH("SUBSOLO",E1341)),IFERROR(-VALUE(LEFT(E1341,FIND("º",SUBSTITUTE(E1341,"°","º"))-1)),-1),IF(LEFT(E1341,6)="TÉRREO",0,IFERROR(VALUE(LEFT(E1341,FIND("º",SUBSTITUTE(E1341,"°","º"))-1)),""))))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25210319</v>
      </c>
      <c r="C1342" s="4" t="inlineStr">
        <is>
          <t>BANCADAS</t>
        </is>
      </c>
      <c r="D1342" s="4" t="inlineStr">
        <is>
          <t>-</t>
        </is>
      </c>
      <c r="E1342" s="4" t="inlineStr">
        <is>
          <t>18º PAV. TIPO</t>
        </is>
      </c>
      <c r="F1342" s="119" t="n">
        <v>46597</v>
      </c>
      <c r="G1342" s="119" t="n">
        <v>46610</v>
      </c>
      <c r="H1342" s="119" t="n">
        <v>46293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IF(E1342="","",IF(ISNUMBER(SEARCH("SUBSOLO",E1342)),IFERROR(-VALUE(LEFT(E1342,FIND("º",SUBSTITUTE(E1342,"°","º"))-1)),-1),IF(LEFT(E1342,6)="TÉRREO",0,IFERROR(VALUE(LEFT(E1342,FIND("º",SUBSTITUTE(E1342,"°","º"))-1)),""))))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25210291</v>
      </c>
      <c r="C1343" s="4" t="inlineStr">
        <is>
          <t>REVESTIMENTO PAREDE</t>
        </is>
      </c>
      <c r="D1343" s="4" t="inlineStr">
        <is>
          <t>-</t>
        </is>
      </c>
      <c r="E1343" s="4" t="inlineStr">
        <is>
          <t>19º PAV. TIPO</t>
        </is>
      </c>
      <c r="F1343" s="119" t="n">
        <v>46597</v>
      </c>
      <c r="G1343" s="119" t="n">
        <v>46610</v>
      </c>
      <c r="H1343" s="119" t="n">
        <v>46293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IF(E1343="","",IF(ISNUMBER(SEARCH("SUBSOLO",E1343)),IFERROR(-VALUE(LEFT(E1343,FIND("º",SUBSTITUTE(E1343,"°","º"))-1)),-1),IF(LEFT(E1343,6)="TÉRREO",0,IFERROR(VALUE(LEFT(E1343,FIND("º",SUBSTITUTE(E1343,"°","º"))-1)),""))))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25210266</v>
      </c>
      <c r="C1344" s="4" t="inlineStr">
        <is>
          <t>CONTRAPISO</t>
        </is>
      </c>
      <c r="D1344" s="4" t="inlineStr">
        <is>
          <t>-</t>
        </is>
      </c>
      <c r="E1344" s="4" t="inlineStr">
        <is>
          <t>20º PAV. TIPO</t>
        </is>
      </c>
      <c r="F1344" s="119" t="n">
        <v>46598</v>
      </c>
      <c r="G1344" s="119" t="n">
        <v>46611</v>
      </c>
      <c r="H1344" s="119" t="n">
        <v>46293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IF(E1344="","",IF(ISNUMBER(SEARCH("SUBSOLO",E1344)),IFERROR(-VALUE(LEFT(E1344,FIND("º",SUBSTITUTE(E1344,"°","º"))-1)),-1),IF(LEFT(E1344,6)="TÉRREO",0,IFERROR(VALUE(LEFT(E1344,FIND("º",SUBSTITUTE(E1344,"°","º"))-1)),""))))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27765764</v>
      </c>
      <c r="C1345" s="4" t="inlineStr">
        <is>
          <t>DRENO + ATERRO JARDINEIRAS</t>
        </is>
      </c>
      <c r="D1345" s="4" t="inlineStr">
        <is>
          <t>-</t>
        </is>
      </c>
      <c r="E1345" s="4" t="inlineStr">
        <is>
          <t>20º PAV. TIPO</t>
        </is>
      </c>
      <c r="F1345" s="119" t="n">
        <v>46598</v>
      </c>
      <c r="G1345" s="119" t="n">
        <v>46610</v>
      </c>
      <c r="H1345" s="119" t="n">
        <v>46293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IF(E1345="","",IF(ISNUMBER(SEARCH("SUBSOLO",E1345)),IFERROR(-VALUE(LEFT(E1345,FIND("º",SUBSTITUTE(E1345,"°","º"))-1)),-1),IF(LEFT(E1345,6)="TÉRREO",0,IFERROR(VALUE(LEFT(E1345,FIND("º",SUBSTITUTE(E1345,"°","º"))-1)),""))))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25807707</v>
      </c>
      <c r="C1346" s="4" t="inlineStr">
        <is>
          <t>DECK</t>
        </is>
      </c>
      <c r="D1346" s="4" t="inlineStr">
        <is>
          <t>-</t>
        </is>
      </c>
      <c r="E1346" s="4" t="inlineStr">
        <is>
          <t>3º PAV. ESPAÇO THERMAS, PISCINA COBERTA, SAUNAS E VESTIÁRIOS</t>
        </is>
      </c>
      <c r="F1346" s="119" t="n">
        <v>46601</v>
      </c>
      <c r="G1346" s="119" t="n">
        <v>46626</v>
      </c>
      <c r="H1346" s="119" t="n">
        <v>46293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IF(E1346="","",IF(ISNUMBER(SEARCH("SUBSOLO",E1346)),IFERROR(-VALUE(LEFT(E1346,FIND("º",SUBSTITUTE(E1346,"°","º"))-1)),-1),IF(LEFT(E1346,6)="TÉRREO",0,IFERROR(VALUE(LEFT(E1346,FIND("º",SUBSTITUTE(E1346,"°","º"))-1)),""))))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25807556</v>
      </c>
      <c r="C1347" s="4" t="inlineStr">
        <is>
          <t>PISO VINÍLICO / LAMINADO</t>
        </is>
      </c>
      <c r="D1347" s="4" t="inlineStr">
        <is>
          <t>-</t>
        </is>
      </c>
      <c r="E1347" s="4" t="inlineStr">
        <is>
          <t>3º PAV. ESPAÇO THERMAS, PISCINA COBERTA, SAUNAS E VESTIÁRIOS</t>
        </is>
      </c>
      <c r="F1347" s="119" t="n">
        <v>46601</v>
      </c>
      <c r="G1347" s="119" t="n">
        <v>46612</v>
      </c>
      <c r="H1347" s="119" t="n">
        <v>46293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IF(E1347="","",IF(ISNUMBER(SEARCH("SUBSOLO",E1347)),IFERROR(-VALUE(LEFT(E1347,FIND("º",SUBSTITUTE(E1347,"°","º"))-1)),-1),IF(LEFT(E1347,6)="TÉRREO",0,IFERROR(VALUE(LEFT(E1347,FIND("º",SUBSTITUTE(E1347,"°","º"))-1)),""))))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25210764</v>
      </c>
      <c r="C1348" s="4" t="inlineStr">
        <is>
          <t>DISJUNTORES / MIOLOS</t>
        </is>
      </c>
      <c r="D1348" s="4" t="inlineStr">
        <is>
          <t>-</t>
        </is>
      </c>
      <c r="E1348" s="4" t="inlineStr">
        <is>
          <t>6º PAV. TIPO</t>
        </is>
      </c>
      <c r="F1348" s="119" t="n">
        <v>46601</v>
      </c>
      <c r="G1348" s="119" t="n">
        <v>46612</v>
      </c>
      <c r="H1348" s="119" t="n">
        <v>46293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IF(E1348="","",IF(ISNUMBER(SEARCH("SUBSOLO",E1348)),IFERROR(-VALUE(LEFT(E1348,FIND("º",SUBSTITUTE(E1348,"°","º"))-1)),-1),IF(LEFT(E1348,6)="TÉRREO",0,IFERROR(VALUE(LEFT(E1348,FIND("º",SUBSTITUTE(E1348,"°","º"))-1)),""))))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25210742</v>
      </c>
      <c r="C1349" s="4" t="inlineStr">
        <is>
          <t>CFTV</t>
        </is>
      </c>
      <c r="D1349" s="4" t="inlineStr">
        <is>
          <t>-</t>
        </is>
      </c>
      <c r="E1349" s="4" t="inlineStr">
        <is>
          <t>6º PAV. TIPO</t>
        </is>
      </c>
      <c r="F1349" s="119" t="n">
        <v>46601</v>
      </c>
      <c r="G1349" s="119" t="n">
        <v>46612</v>
      </c>
      <c r="H1349" s="119" t="n">
        <v>46293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IF(E1349="","",IF(ISNUMBER(SEARCH("SUBSOLO",E1349)),IFERROR(-VALUE(LEFT(E1349,FIND("º",SUBSTITUTE(E1349,"°","º"))-1)),-1),IF(LEFT(E1349,6)="TÉRREO",0,IFERROR(VALUE(LEFT(E1349,FIND("º",SUBSTITUTE(E1349,"°","º"))-1)),""))))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33275993</v>
      </c>
      <c r="C1350" s="4" t="inlineStr">
        <is>
          <t>FORRO DE MADEIRA</t>
        </is>
      </c>
      <c r="D1350" s="4" t="inlineStr">
        <is>
          <t>-</t>
        </is>
      </c>
      <c r="E1350" s="4" t="inlineStr">
        <is>
          <t>7º PAV. TIPO</t>
        </is>
      </c>
      <c r="F1350" s="119" t="n">
        <v>46601</v>
      </c>
      <c r="G1350" s="119" t="n">
        <v>46619</v>
      </c>
      <c r="H1350" s="119" t="n">
        <v>46293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IF(E1350="","",IF(ISNUMBER(SEARCH("SUBSOLO",E1350)),IFERROR(-VALUE(LEFT(E1350,FIND("º",SUBSTITUTE(E1350,"°","º"))-1)),-1),IF(LEFT(E1350,6)="TÉRREO",0,IFERROR(VALUE(LEFT(E1350,FIND("º",SUBSTITUTE(E1350,"°","º"))-1)),""))))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25210502</v>
      </c>
      <c r="C1351" s="4" t="inlineStr">
        <is>
          <t>CONTRAMARCO</t>
        </is>
      </c>
      <c r="D1351" s="4" t="inlineStr">
        <is>
          <t>-</t>
        </is>
      </c>
      <c r="E1351" s="4" t="inlineStr">
        <is>
          <t>13º PAV. TIPO</t>
        </is>
      </c>
      <c r="F1351" s="119" t="n">
        <v>46602</v>
      </c>
      <c r="G1351" s="119" t="n">
        <v>46612</v>
      </c>
      <c r="H1351" s="119" t="n">
        <v>46293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IF(E1351="","",IF(ISNUMBER(SEARCH("SUBSOLO",E1351)),IFERROR(-VALUE(LEFT(E1351,FIND("º",SUBSTITUTE(E1351,"°","º"))-1)),-1),IF(LEFT(E1351,6)="TÉRREO",0,IFERROR(VALUE(LEFT(E1351,FIND("º",SUBSTITUTE(E1351,"°","º"))-1)),""))))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29601276</v>
      </c>
      <c r="C1352" s="4" t="inlineStr">
        <is>
          <t>ENCUNHAMENTO</t>
        </is>
      </c>
      <c r="D1352" s="4" t="inlineStr">
        <is>
          <t>-</t>
        </is>
      </c>
      <c r="E1352" s="4" t="inlineStr">
        <is>
          <t>13º PAV. TIPO</t>
        </is>
      </c>
      <c r="F1352" s="119" t="n">
        <v>46602</v>
      </c>
      <c r="G1352" s="119" t="n">
        <v>46612</v>
      </c>
      <c r="H1352" s="119" t="n">
        <v>46293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IF(E1352="","",IF(ISNUMBER(SEARCH("SUBSOLO",E1352)),IFERROR(-VALUE(LEFT(E1352,FIND("º",SUBSTITUTE(E1352,"°","º"))-1)),-1),IF(LEFT(E1352,6)="TÉRREO",0,IFERROR(VALUE(LEFT(E1352,FIND("º",SUBSTITUTE(E1352,"°","º"))-1)),""))))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27769248</v>
      </c>
      <c r="C1353" s="4" t="inlineStr">
        <is>
          <t>PRUMADA ELÉTRICA INFRA</t>
        </is>
      </c>
      <c r="D1353" s="4" t="inlineStr">
        <is>
          <t>-</t>
        </is>
      </c>
      <c r="E1353" s="4" t="inlineStr">
        <is>
          <t>24º PAV. TIPO</t>
        </is>
      </c>
      <c r="F1353" s="119" t="n">
        <v>46602</v>
      </c>
      <c r="G1353" s="119" t="n">
        <v>46612</v>
      </c>
      <c r="H1353" s="119" t="n">
        <v>46293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IF(E1353="","",IF(ISNUMBER(SEARCH("SUBSOLO",E1353)),IFERROR(-VALUE(LEFT(E1353,FIND("º",SUBSTITUTE(E1353,"°","º"))-1)),-1),IF(LEFT(E1353,6)="TÉRREO",0,IFERROR(VALUE(LEFT(E1353,FIND("º",SUBSTITUTE(E1353,"°","º"))-1)),""))))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25210774</v>
      </c>
      <c r="C1354" s="4" t="inlineStr">
        <is>
          <t>BANCADAS</t>
        </is>
      </c>
      <c r="D1354" s="4" t="inlineStr">
        <is>
          <t>-</t>
        </is>
      </c>
      <c r="E1354" s="4" t="inlineStr">
        <is>
          <t>5º PAV. TIPO</t>
        </is>
      </c>
      <c r="F1354" s="119" t="n">
        <v>46603</v>
      </c>
      <c r="G1354" s="119" t="n">
        <v>46616</v>
      </c>
      <c r="H1354" s="119" t="n">
        <v>46293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IF(E1354="","",IF(ISNUMBER(SEARCH("SUBSOLO",E1354)),IFERROR(-VALUE(LEFT(E1354,FIND("º",SUBSTITUTE(E1354,"°","º"))-1)),-1),IF(LEFT(E1354,6)="TÉRREO",0,IFERROR(VALUE(LEFT(E1354,FIND("º",SUBSTITUTE(E1354,"°","º"))-1)),""))))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25210546</v>
      </c>
      <c r="C1355" s="4" t="inlineStr">
        <is>
          <t>CONTRAPISO</t>
        </is>
      </c>
      <c r="D1355" s="4" t="inlineStr">
        <is>
          <t>-</t>
        </is>
      </c>
      <c r="E1355" s="4" t="inlineStr">
        <is>
          <t>12º PAV. TIPO</t>
        </is>
      </c>
      <c r="F1355" s="119" t="n">
        <v>46603</v>
      </c>
      <c r="G1355" s="119" t="n">
        <v>46616</v>
      </c>
      <c r="H1355" s="119" t="n">
        <v>46293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IF(E1355="","",IF(ISNUMBER(SEARCH("SUBSOLO",E1355)),IFERROR(-VALUE(LEFT(E1355,FIND("º",SUBSTITUTE(E1355,"°","º"))-1)),-1),IF(LEFT(E1355,6)="TÉRREO",0,IFERROR(VALUE(LEFT(E1355,FIND("º",SUBSTITUTE(E1355,"°","º"))-1)),""))))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27765756</v>
      </c>
      <c r="C1356" s="4" t="inlineStr">
        <is>
          <t>DRENO + ATERRO JARDINEIRAS</t>
        </is>
      </c>
      <c r="D1356" s="4" t="inlineStr">
        <is>
          <t>-</t>
        </is>
      </c>
      <c r="E1356" s="4" t="inlineStr">
        <is>
          <t>12º PAV. TIPO</t>
        </is>
      </c>
      <c r="F1356" s="119" t="n">
        <v>46603</v>
      </c>
      <c r="G1356" s="119" t="n">
        <v>46615</v>
      </c>
      <c r="H1356" s="119" t="n">
        <v>46293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IF(E1356="","",IF(ISNUMBER(SEARCH("SUBSOLO",E1356)),IFERROR(-VALUE(LEFT(E1356,FIND("º",SUBSTITUTE(E1356,"°","º"))-1)),-1),IF(LEFT(E1356,6)="TÉRREO",0,IFERROR(VALUE(LEFT(E1356,FIND("º",SUBSTITUTE(E1356,"°","º"))-1)),""))))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25210654</v>
      </c>
      <c r="C1357" s="4" t="inlineStr">
        <is>
          <t>ESQUADRIA</t>
        </is>
      </c>
      <c r="D1357" s="4" t="inlineStr">
        <is>
          <t>-</t>
        </is>
      </c>
      <c r="E1357" s="4" t="inlineStr">
        <is>
          <t>9º PAV. TIPO</t>
        </is>
      </c>
      <c r="F1357" s="119" t="n">
        <v>46604</v>
      </c>
      <c r="G1357" s="119" t="n">
        <v>46624</v>
      </c>
      <c r="H1357" s="119" t="n">
        <v>46293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IF(E1357="","",IF(ISNUMBER(SEARCH("SUBSOLO",E1357)),IFERROR(-VALUE(LEFT(E1357,FIND("º",SUBSTITUTE(E1357,"°","º"))-1)),-1),IF(LEFT(E1357,6)="TÉRREO",0,IFERROR(VALUE(LEFT(E1357,FIND("º",SUBSTITUTE(E1357,"°","º"))-1)),""))))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33276109</v>
      </c>
      <c r="C1358" s="4" t="inlineStr">
        <is>
          <t>INFRAESTRUTURA - AR CONDICIONADO</t>
        </is>
      </c>
      <c r="D1358" s="4" t="inlineStr">
        <is>
          <t>-</t>
        </is>
      </c>
      <c r="E1358" s="4" t="inlineStr">
        <is>
          <t>9º PAV. TIPO</t>
        </is>
      </c>
      <c r="F1358" s="119" t="n">
        <v>46604</v>
      </c>
      <c r="G1358" s="119" t="n">
        <v>46617</v>
      </c>
      <c r="H1358" s="119" t="n">
        <v>46293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IF(E1358="","",IF(ISNUMBER(SEARCH("SUBSOLO",E1358)),IFERROR(-VALUE(LEFT(E1358,FIND("º",SUBSTITUTE(E1358,"°","º"))-1)),-1),IF(LEFT(E1358,6)="TÉRREO",0,IFERROR(VALUE(LEFT(E1358,FIND("º",SUBSTITUTE(E1358,"°","º"))-1)),""))))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33278916</v>
      </c>
      <c r="C1359" s="4" t="inlineStr">
        <is>
          <t>INFRAESTRUTURA ELÉTRICA - PAREDES</t>
        </is>
      </c>
      <c r="D1359" s="4" t="inlineStr">
        <is>
          <t>-</t>
        </is>
      </c>
      <c r="E1359" s="4" t="inlineStr">
        <is>
          <t>9º PAV. TIPO</t>
        </is>
      </c>
      <c r="F1359" s="119" t="n">
        <v>46604</v>
      </c>
      <c r="G1359" s="119" t="n">
        <v>46616</v>
      </c>
      <c r="H1359" s="119" t="n">
        <v>46293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IF(E1359="","",IF(ISNUMBER(SEARCH("SUBSOLO",E1359)),IFERROR(-VALUE(LEFT(E1359,FIND("º",SUBSTITUTE(E1359,"°","º"))-1)),-1),IF(LEFT(E1359,6)="TÉRREO",0,IFERROR(VALUE(LEFT(E1359,FIND("º",SUBSTITUTE(E1359,"°","º"))-1)),""))))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25210408</v>
      </c>
      <c r="C1360" s="4" t="inlineStr">
        <is>
          <t>FORRO</t>
        </is>
      </c>
      <c r="D1360" s="4" t="inlineStr">
        <is>
          <t>-</t>
        </is>
      </c>
      <c r="E1360" s="4" t="inlineStr">
        <is>
          <t>16º PAV. TIPO</t>
        </is>
      </c>
      <c r="F1360" s="119" t="n">
        <v>46604</v>
      </c>
      <c r="G1360" s="119" t="n">
        <v>46624</v>
      </c>
      <c r="H1360" s="119" t="n">
        <v>46293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IF(E1360="","",IF(ISNUMBER(SEARCH("SUBSOLO",E1360)),IFERROR(-VALUE(LEFT(E1360,FIND("º",SUBSTITUTE(E1360,"°","º"))-1)),-1),IF(LEFT(E1360,6)="TÉRREO",0,IFERROR(VALUE(LEFT(E1360,FIND("º",SUBSTITUTE(E1360,"°","º"))-1)),""))))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25210355</v>
      </c>
      <c r="C1361" s="4" t="inlineStr">
        <is>
          <t>FIAÇÃO ELÉTRICA</t>
        </is>
      </c>
      <c r="D1361" s="4" t="inlineStr">
        <is>
          <t>-</t>
        </is>
      </c>
      <c r="E1361" s="4" t="inlineStr">
        <is>
          <t>17º PAV. TIPO</t>
        </is>
      </c>
      <c r="F1361" s="119" t="n">
        <v>46604</v>
      </c>
      <c r="G1361" s="119" t="n">
        <v>46624</v>
      </c>
      <c r="H1361" s="119" t="n">
        <v>46293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IF(E1361="","",IF(ISNUMBER(SEARCH("SUBSOLO",E1361)),IFERROR(-VALUE(LEFT(E1361,FIND("º",SUBSTITUTE(E1361,"°","º"))-1)),-1),IF(LEFT(E1361,6)="TÉRREO",0,IFERROR(VALUE(LEFT(E1361,FIND("º",SUBSTITUTE(E1361,"°","º"))-1)),""))))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25210477</v>
      </c>
      <c r="C1362" s="4" t="inlineStr">
        <is>
          <t>IMPERMEABILIZAÇÃO INTERNA</t>
        </is>
      </c>
      <c r="D1362" s="4" t="inlineStr">
        <is>
          <t>-</t>
        </is>
      </c>
      <c r="E1362" s="4" t="inlineStr">
        <is>
          <t>14º PAV. TIPO</t>
        </is>
      </c>
      <c r="F1362" s="119" t="n">
        <v>46605</v>
      </c>
      <c r="G1362" s="119" t="n">
        <v>46617</v>
      </c>
      <c r="H1362" s="119" t="n">
        <v>46293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IF(E1362="","",IF(ISNUMBER(SEARCH("SUBSOLO",E1362)),IFERROR(-VALUE(LEFT(E1362,FIND("º",SUBSTITUTE(E1362,"°","º"))-1)),-1),IF(LEFT(E1362,6)="TÉRREO",0,IFERROR(VALUE(LEFT(E1362,FIND("º",SUBSTITUTE(E1362,"°","º"))-1)),""))))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25210228</v>
      </c>
      <c r="C1363" s="4" t="inlineStr">
        <is>
          <t>REBOCO INTERNO</t>
        </is>
      </c>
      <c r="D1363" s="4" t="inlineStr">
        <is>
          <t>-</t>
        </is>
      </c>
      <c r="E1363" s="4" t="inlineStr">
        <is>
          <t>21º PAV. TIPO</t>
        </is>
      </c>
      <c r="F1363" s="119" t="n">
        <v>46605</v>
      </c>
      <c r="G1363" s="119" t="n">
        <v>46625</v>
      </c>
      <c r="H1363" s="119" t="n">
        <v>46293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IF(E1363="","",IF(ISNUMBER(SEARCH("SUBSOLO",E1363)),IFERROR(-VALUE(LEFT(E1363,FIND("º",SUBSTITUTE(E1363,"°","º"))-1)),-1),IF(LEFT(E1363,6)="TÉRREO",0,IFERROR(VALUE(LEFT(E1363,FIND("º",SUBSTITUTE(E1363,"°","º"))-1)),""))))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25210224</v>
      </c>
      <c r="C1364" s="4" t="inlineStr">
        <is>
          <t>ESPALA ESQUADRIA DE ALUMINIO</t>
        </is>
      </c>
      <c r="D1364" s="4" t="inlineStr">
        <is>
          <t>-</t>
        </is>
      </c>
      <c r="E1364" s="4" t="inlineStr">
        <is>
          <t>21º PAV. TIPO</t>
        </is>
      </c>
      <c r="F1364" s="119" t="n">
        <v>46605</v>
      </c>
      <c r="G1364" s="119" t="n">
        <v>46611</v>
      </c>
      <c r="H1364" s="119" t="n">
        <v>46293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IF(E1364="","",IF(ISNUMBER(SEARCH("SUBSOLO",E1364)),IFERROR(-VALUE(LEFT(E1364,FIND("º",SUBSTITUTE(E1364,"°","º"))-1)),-1),IF(LEFT(E1364,6)="TÉRREO",0,IFERROR(VALUE(LEFT(E1364,FIND("º",SUBSTITUTE(E1364,"°","º"))-1)),""))))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25210187</v>
      </c>
      <c r="C1365" s="4" t="inlineStr">
        <is>
          <t>CONTRAMARCO</t>
        </is>
      </c>
      <c r="D1365" s="4" t="inlineStr">
        <is>
          <t>-</t>
        </is>
      </c>
      <c r="E1365" s="4" t="inlineStr">
        <is>
          <t>22º PAV. TIPO</t>
        </is>
      </c>
      <c r="F1365" s="119" t="n">
        <v>46605</v>
      </c>
      <c r="G1365" s="119" t="n">
        <v>46617</v>
      </c>
      <c r="H1365" s="119" t="n">
        <v>46293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IF(E1365="","",IF(ISNUMBER(SEARCH("SUBSOLO",E1365)),IFERROR(-VALUE(LEFT(E1365,FIND("º",SUBSTITUTE(E1365,"°","º"))-1)),-1),IF(LEFT(E1365,6)="TÉRREO",0,IFERROR(VALUE(LEFT(E1365,FIND("º",SUBSTITUTE(E1365,"°","º"))-1)),""))))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29601286</v>
      </c>
      <c r="C1366" s="4" t="inlineStr">
        <is>
          <t>ENCUNHAMENTO</t>
        </is>
      </c>
      <c r="D1366" s="4" t="inlineStr">
        <is>
          <t>-</t>
        </is>
      </c>
      <c r="E1366" s="4" t="inlineStr">
        <is>
          <t>22º PAV. TIPO</t>
        </is>
      </c>
      <c r="F1366" s="119" t="n">
        <v>46605</v>
      </c>
      <c r="G1366" s="119" t="n">
        <v>46617</v>
      </c>
      <c r="H1366" s="119" t="n">
        <v>46293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IF(E1366="","",IF(ISNUMBER(SEARCH("SUBSOLO",E1366)),IFERROR(-VALUE(LEFT(E1366,FIND("º",SUBSTITUTE(E1366,"°","º"))-1)),-1),IF(LEFT(E1366,6)="TÉRREO",0,IFERROR(VALUE(LEFT(E1366,FIND("º",SUBSTITUTE(E1366,"°","º"))-1)),""))))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25210156</v>
      </c>
      <c r="C1367" s="4" t="inlineStr">
        <is>
          <t>DISTRIBUIÇÃO HIDROSSANITÁRIA</t>
        </is>
      </c>
      <c r="D1367" s="4" t="inlineStr">
        <is>
          <t>-</t>
        </is>
      </c>
      <c r="E1367" s="4" t="inlineStr">
        <is>
          <t>23º PAV. TIPO</t>
        </is>
      </c>
      <c r="F1367" s="119" t="n">
        <v>46605</v>
      </c>
      <c r="G1367" s="119" t="n">
        <v>46617</v>
      </c>
      <c r="H1367" s="119" t="n">
        <v>46293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IF(E1367="","",IF(ISNUMBER(SEARCH("SUBSOLO",E1367)),IFERROR(-VALUE(LEFT(E1367,FIND("º",SUBSTITUTE(E1367,"°","º"))-1)),-1),IF(LEFT(E1367,6)="TÉRREO",0,IFERROR(VALUE(LEFT(E1367,FIND("º",SUBSTITUTE(E1367,"°","º"))-1)),""))))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25210155</v>
      </c>
      <c r="C1368" s="4" t="inlineStr">
        <is>
          <t>DISTRIBUIÇÃO ELÉTRICA / QUADRO - SETOR B</t>
        </is>
      </c>
      <c r="D1368" s="4" t="inlineStr">
        <is>
          <t>-</t>
        </is>
      </c>
      <c r="E1368" s="4" t="inlineStr">
        <is>
          <t>23º PAV. TIPO</t>
        </is>
      </c>
      <c r="F1368" s="119" t="n">
        <v>46605</v>
      </c>
      <c r="G1368" s="119" t="n">
        <v>46617</v>
      </c>
      <c r="H1368" s="119" t="n">
        <v>46293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IF(E1368="","",IF(ISNUMBER(SEARCH("SUBSOLO",E1368)),IFERROR(-VALUE(LEFT(E1368,FIND("º",SUBSTITUTE(E1368,"°","º"))-1)),-1),IF(LEFT(E1368,6)="TÉRREO",0,IFERROR(VALUE(LEFT(E1368,FIND("º",SUBSTITUTE(E1368,"°","º"))-1)),""))))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33276749</v>
      </c>
      <c r="C1369" s="4" t="inlineStr">
        <is>
          <t>INFRAESTRUTURA ELÉTRICA - TETO</t>
        </is>
      </c>
      <c r="D1369" s="4" t="inlineStr">
        <is>
          <t>-</t>
        </is>
      </c>
      <c r="E1369" s="4" t="inlineStr">
        <is>
          <t>23º PAV. TIPO</t>
        </is>
      </c>
      <c r="F1369" s="119" t="n">
        <v>46605</v>
      </c>
      <c r="G1369" s="119" t="n">
        <v>46617</v>
      </c>
      <c r="H1369" s="119" t="n">
        <v>46293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IF(E1369="","",IF(ISNUMBER(SEARCH("SUBSOLO",E1369)),IFERROR(-VALUE(LEFT(E1369,FIND("º",SUBSTITUTE(E1369,"°","º"))-1)),-1),IF(LEFT(E1369,6)="TÉRREO",0,IFERROR(VALUE(LEFT(E1369,FIND("º",SUBSTITUTE(E1369,"°","º"))-1)),""))))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25210122</v>
      </c>
      <c r="C1370" s="4" t="inlineStr">
        <is>
          <t>GÁS</t>
        </is>
      </c>
      <c r="D1370" s="4" t="inlineStr">
        <is>
          <t>-</t>
        </is>
      </c>
      <c r="E1370" s="4" t="inlineStr">
        <is>
          <t>24º PAV. TIPO</t>
        </is>
      </c>
      <c r="F1370" s="119" t="n">
        <v>46605</v>
      </c>
      <c r="G1370" s="119" t="n">
        <v>46617</v>
      </c>
      <c r="H1370" s="119" t="n">
        <v>46293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IF(E1370="","",IF(ISNUMBER(SEARCH("SUBSOLO",E1370)),IFERROR(-VALUE(LEFT(E1370,FIND("º",SUBSTITUTE(E1370,"°","º"))-1)),-1),IF(LEFT(E1370,6)="TÉRREO",0,IFERROR(VALUE(LEFT(E1370,FIND("º",SUBSTITUTE(E1370,"°","º"))-1)),""))))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29601306</v>
      </c>
      <c r="C1371" s="4" t="inlineStr">
        <is>
          <t>TALISCAMENTO</t>
        </is>
      </c>
      <c r="D1371" s="4" t="inlineStr">
        <is>
          <t>-</t>
        </is>
      </c>
      <c r="E1371" s="4" t="inlineStr">
        <is>
          <t>24º PAV. TIPO</t>
        </is>
      </c>
      <c r="F1371" s="119" t="n">
        <v>46605</v>
      </c>
      <c r="G1371" s="119" t="n">
        <v>46617</v>
      </c>
      <c r="H1371" s="119" t="n">
        <v>46293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IF(E1371="","",IF(ISNUMBER(SEARCH("SUBSOLO",E1371)),IFERROR(-VALUE(LEFT(E1371,FIND("º",SUBSTITUTE(E1371,"°","º"))-1)),-1),IF(LEFT(E1371,6)="TÉRREO",0,IFERROR(VALUE(LEFT(E1371,FIND("º",SUBSTITUTE(E1371,"°","º"))-1)),""))))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25210089</v>
      </c>
      <c r="C1372" s="4" t="inlineStr">
        <is>
          <t>PRUMADA HIDROSSANITÁRIA</t>
        </is>
      </c>
      <c r="D1372" s="4" t="inlineStr">
        <is>
          <t>-</t>
        </is>
      </c>
      <c r="E1372" s="4" t="inlineStr">
        <is>
          <t>25º PAV. TIPO</t>
        </is>
      </c>
      <c r="F1372" s="119" t="n">
        <v>46605</v>
      </c>
      <c r="G1372" s="119" t="n">
        <v>46617</v>
      </c>
      <c r="H1372" s="119" t="n">
        <v>46293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IF(E1372="","",IF(ISNUMBER(SEARCH("SUBSOLO",E1372)),IFERROR(-VALUE(LEFT(E1372,FIND("º",SUBSTITUTE(E1372,"°","º"))-1)),-1),IF(LEFT(E1372,6)="TÉRREO",0,IFERROR(VALUE(LEFT(E1372,FIND("º",SUBSTITUTE(E1372,"°","º"))-1)),""))))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25210079</v>
      </c>
      <c r="C1373" s="4" t="inlineStr">
        <is>
          <t>PRUMADA DE INCÊNDIO</t>
        </is>
      </c>
      <c r="D1373" s="4" t="inlineStr">
        <is>
          <t>-</t>
        </is>
      </c>
      <c r="E1373" s="4" t="inlineStr">
        <is>
          <t>25º PAV. TIPO</t>
        </is>
      </c>
      <c r="F1373" s="119" t="n">
        <v>46605</v>
      </c>
      <c r="G1373" s="119" t="n">
        <v>46617</v>
      </c>
      <c r="H1373" s="119" t="n">
        <v>46293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IF(E1373="","",IF(ISNUMBER(SEARCH("SUBSOLO",E1373)),IFERROR(-VALUE(LEFT(E1373,FIND("º",SUBSTITUTE(E1373,"°","º"))-1)),-1),IF(LEFT(E1373,6)="TÉRREO",0,IFERROR(VALUE(LEFT(E1373,FIND("º",SUBSTITUTE(E1373,"°","º"))-1)),""))))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25210690</v>
      </c>
      <c r="C1374" s="4" t="inlineStr">
        <is>
          <t>REVESTIMENTOS PISO</t>
        </is>
      </c>
      <c r="D1374" s="4" t="inlineStr">
        <is>
          <t>-</t>
        </is>
      </c>
      <c r="E1374" s="4" t="inlineStr">
        <is>
          <t>8º PAV. TIPO</t>
        </is>
      </c>
      <c r="F1374" s="119" t="n">
        <v>46610</v>
      </c>
      <c r="G1374" s="119" t="n">
        <v>46623</v>
      </c>
      <c r="H1374" s="119" t="n">
        <v>46293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IF(E1374="","",IF(ISNUMBER(SEARCH("SUBSOLO",E1374)),IFERROR(-VALUE(LEFT(E1374,FIND("º",SUBSTITUTE(E1374,"°","º"))-1)),-1),IF(LEFT(E1374,6)="TÉRREO",0,IFERROR(VALUE(LEFT(E1374,FIND("º",SUBSTITUTE(E1374,"°","º"))-1)),""))))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25210706</v>
      </c>
      <c r="C1375" s="4" t="inlineStr">
        <is>
          <t>RODAPÉ MADEIRA / PVC</t>
        </is>
      </c>
      <c r="D1375" s="4" t="inlineStr">
        <is>
          <t>-</t>
        </is>
      </c>
      <c r="E1375" s="4" t="inlineStr">
        <is>
          <t>7º PAV. TIPO</t>
        </is>
      </c>
      <c r="F1375" s="119" t="n">
        <v>46611</v>
      </c>
      <c r="G1375" s="119" t="n">
        <v>46624</v>
      </c>
      <c r="H1375" s="119" t="n">
        <v>46293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IF(E1375="","",IF(ISNUMBER(SEARCH("SUBSOLO",E1375)),IFERROR(-VALUE(LEFT(E1375,FIND("º",SUBSTITUTE(E1375,"°","º"))-1)),-1),IF(LEFT(E1375,6)="TÉRREO",0,IFERROR(VALUE(LEFT(E1375,FIND("º",SUBSTITUTE(E1375,"°","º"))-1)),""))))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25210351</v>
      </c>
      <c r="C1376" s="4" t="inlineStr">
        <is>
          <t>VENTILAÇÃO / EXAUSTÃO</t>
        </is>
      </c>
      <c r="D1376" s="4" t="inlineStr">
        <is>
          <t>-</t>
        </is>
      </c>
      <c r="E1376" s="4" t="inlineStr">
        <is>
          <t>18º PAV. TIPO</t>
        </is>
      </c>
      <c r="F1376" s="119" t="n">
        <v>46611</v>
      </c>
      <c r="G1376" s="119" t="n">
        <v>46617</v>
      </c>
      <c r="H1376" s="119" t="n">
        <v>46293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IF(E1376="","",IF(ISNUMBER(SEARCH("SUBSOLO",E1376)),IFERROR(-VALUE(LEFT(E1376,FIND("º",SUBSTITUTE(E1376,"°","º"))-1)),-1),IF(LEFT(E1376,6)="TÉRREO",0,IFERROR(VALUE(LEFT(E1376,FIND("º",SUBSTITUTE(E1376,"°","º"))-1)),""))))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25210305</v>
      </c>
      <c r="C1377" s="4" t="inlineStr">
        <is>
          <t>REVESTIMENTOS PISO</t>
        </is>
      </c>
      <c r="D1377" s="4" t="inlineStr">
        <is>
          <t>-</t>
        </is>
      </c>
      <c r="E1377" s="4" t="inlineStr">
        <is>
          <t>19º PAV. TIPO</t>
        </is>
      </c>
      <c r="F1377" s="119" t="n">
        <v>46611</v>
      </c>
      <c r="G1377" s="119" t="n">
        <v>46624</v>
      </c>
      <c r="H1377" s="119" t="n">
        <v>46293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IF(E1377="","",IF(ISNUMBER(SEARCH("SUBSOLO",E1377)),IFERROR(-VALUE(LEFT(E1377,FIND("º",SUBSTITUTE(E1377,"°","º"))-1)),-1),IF(LEFT(E1377,6)="TÉRREO",0,IFERROR(VALUE(LEFT(E1377,FIND("º",SUBSTITUTE(E1377,"°","º"))-1)),""))))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27769296</v>
      </c>
      <c r="C1378" s="4" t="inlineStr">
        <is>
          <t>AR CONDICIONADO</t>
        </is>
      </c>
      <c r="D1378" s="4" t="inlineStr">
        <is>
          <t>-</t>
        </is>
      </c>
      <c r="E1378" s="4" t="inlineStr">
        <is>
          <t>3º PAV. - BAR PISCINA, VESTIÁRIOS, DEPOSITOS E LOUNGE QUADRAS</t>
        </is>
      </c>
      <c r="F1378" s="119" t="n">
        <v>46612</v>
      </c>
      <c r="G1378" s="119" t="n">
        <v>46625</v>
      </c>
      <c r="H1378" s="119" t="n">
        <v>46293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IF(E1378="","",IF(ISNUMBER(SEARCH("SUBSOLO",E1378)),IFERROR(-VALUE(LEFT(E1378,FIND("º",SUBSTITUTE(E1378,"°","º"))-1)),-1),IF(LEFT(E1378,6)="TÉRREO",0,IFERROR(VALUE(LEFT(E1378,FIND("º",SUBSTITUTE(E1378,"°","º"))-1)),""))))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33276120</v>
      </c>
      <c r="C1379" s="4" t="inlineStr">
        <is>
          <t>INFRAESTRUTURA - AR CONDICIONADO</t>
        </is>
      </c>
      <c r="D1379" s="4" t="inlineStr">
        <is>
          <t>-</t>
        </is>
      </c>
      <c r="E1379" s="4" t="inlineStr">
        <is>
          <t>20º PAV. TIPO</t>
        </is>
      </c>
      <c r="F1379" s="119" t="n">
        <v>46612</v>
      </c>
      <c r="G1379" s="119" t="n">
        <v>46625</v>
      </c>
      <c r="H1379" s="119" t="n">
        <v>46293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IF(E1379="","",IF(ISNUMBER(SEARCH("SUBSOLO",E1379)),IFERROR(-VALUE(LEFT(E1379,FIND("º",SUBSTITUTE(E1379,"°","º"))-1)),-1),IF(LEFT(E1379,6)="TÉRREO",0,IFERROR(VALUE(LEFT(E1379,FIND("º",SUBSTITUTE(E1379,"°","º"))-1)),""))))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33278927</v>
      </c>
      <c r="C1380" s="4" t="inlineStr">
        <is>
          <t>INFRAESTRUTURA ELÉTRICA - PAREDES</t>
        </is>
      </c>
      <c r="D1380" s="4" t="inlineStr">
        <is>
          <t>-</t>
        </is>
      </c>
      <c r="E1380" s="4" t="inlineStr">
        <is>
          <t>20º PAV. TIPO</t>
        </is>
      </c>
      <c r="F1380" s="119" t="n">
        <v>46612</v>
      </c>
      <c r="G1380" s="119" t="n">
        <v>46624</v>
      </c>
      <c r="H1380" s="119" t="n">
        <v>46293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IF(E1380="","",IF(ISNUMBER(SEARCH("SUBSOLO",E1380)),IFERROR(-VALUE(LEFT(E1380,FIND("º",SUBSTITUTE(E1380,"°","º"))-1)),-1),IF(LEFT(E1380,6)="TÉRREO",0,IFERROR(VALUE(LEFT(E1380,FIND("º",SUBSTITUTE(E1380,"°","º"))-1)),""))))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25807557</v>
      </c>
      <c r="C1381" s="4" t="inlineStr">
        <is>
          <t>ESQUADRIA MADEIRA</t>
        </is>
      </c>
      <c r="D1381" s="4" t="inlineStr">
        <is>
          <t>-</t>
        </is>
      </c>
      <c r="E1381" s="4" t="inlineStr">
        <is>
          <t>3º PAV. ESPAÇO THERMAS, PISCINA COBERTA, SAUNAS E VESTIÁRIOS</t>
        </is>
      </c>
      <c r="F1381" s="119" t="n">
        <v>46615</v>
      </c>
      <c r="G1381" s="119" t="n">
        <v>46626</v>
      </c>
      <c r="H1381" s="119" t="n">
        <v>46293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IF(E1381="","",IF(ISNUMBER(SEARCH("SUBSOLO",E1381)),IFERROR(-VALUE(LEFT(E1381,FIND("º",SUBSTITUTE(E1381,"°","º"))-1)),-1),IF(LEFT(E1381,6)="TÉRREO",0,IFERROR(VALUE(LEFT(E1381,FIND("º",SUBSTITUTE(E1381,"°","º"))-1)),""))))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25799968</v>
      </c>
      <c r="C1382" s="4" t="inlineStr">
        <is>
          <t>DECK</t>
        </is>
      </c>
      <c r="D1382" s="4" t="inlineStr">
        <is>
          <t>-</t>
        </is>
      </c>
      <c r="E1382" s="4" t="inlineStr">
        <is>
          <t>3º PAV. PISCINA DESCOBERTA E E ÁREA DESCOBERTA PISCINA</t>
        </is>
      </c>
      <c r="F1382" s="119" t="n">
        <v>46615</v>
      </c>
      <c r="G1382" s="119" t="n">
        <v>46645</v>
      </c>
      <c r="H1382" s="119" t="n">
        <v>46293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IF(E1382="","",IF(ISNUMBER(SEARCH("SUBSOLO",E1382)),IFERROR(-VALUE(LEFT(E1382,FIND("º",SUBSTITUTE(E1382,"°","º"))-1)),-1),IF(LEFT(E1382,6)="TÉRREO",0,IFERROR(VALUE(LEFT(E1382,FIND("º",SUBSTITUTE(E1382,"°","º"))-1)),""))))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33292460</v>
      </c>
      <c r="C1383" s="4" t="inlineStr">
        <is>
          <t>PAISAGISMO</t>
        </is>
      </c>
      <c r="D1383" s="4" t="inlineStr">
        <is>
          <t>-</t>
        </is>
      </c>
      <c r="E1383" s="4" t="inlineStr">
        <is>
          <t>6º PAV. TIPO</t>
        </is>
      </c>
      <c r="F1383" s="119" t="n">
        <v>46615</v>
      </c>
      <c r="G1383" s="119" t="n">
        <v>46626</v>
      </c>
      <c r="H1383" s="119" t="n">
        <v>46293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IF(E1383="","",IF(ISNUMBER(SEARCH("SUBSOLO",E1383)),IFERROR(-VALUE(LEFT(E1383,FIND("º",SUBSTITUTE(E1383,"°","º"))-1)),-1),IF(LEFT(E1383,6)="TÉRREO",0,IFERROR(VALUE(LEFT(E1383,FIND("º",SUBSTITUTE(E1383,"°","º"))-1)),""))))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25210508</v>
      </c>
      <c r="C1384" s="4" t="inlineStr">
        <is>
          <t>REBOCO INTERNO</t>
        </is>
      </c>
      <c r="D1384" s="4" t="inlineStr">
        <is>
          <t>-</t>
        </is>
      </c>
      <c r="E1384" s="4" t="inlineStr">
        <is>
          <t>13º PAV. TIPO</t>
        </is>
      </c>
      <c r="F1384" s="119" t="n">
        <v>46615</v>
      </c>
      <c r="G1384" s="119" t="n">
        <v>46633</v>
      </c>
      <c r="H1384" s="119" t="n">
        <v>46293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IF(E1384="","",IF(ISNUMBER(SEARCH("SUBSOLO",E1384)),IFERROR(-VALUE(LEFT(E1384,FIND("º",SUBSTITUTE(E1384,"°","º"))-1)),-1),IF(LEFT(E1384,6)="TÉRREO",0,IFERROR(VALUE(LEFT(E1384,FIND("º",SUBSTITUTE(E1384,"°","º"))-1)),""))))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25210504</v>
      </c>
      <c r="C1385" s="4" t="inlineStr">
        <is>
          <t>ESPALA ESQUADRIA DE ALUMINIO</t>
        </is>
      </c>
      <c r="D1385" s="4" t="inlineStr">
        <is>
          <t>-</t>
        </is>
      </c>
      <c r="E1385" s="4" t="inlineStr">
        <is>
          <t>13º PAV. TIPO</t>
        </is>
      </c>
      <c r="F1385" s="119" t="n">
        <v>46615</v>
      </c>
      <c r="G1385" s="119" t="n">
        <v>46619</v>
      </c>
      <c r="H1385" s="119" t="n">
        <v>46293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IF(E1385="","",IF(ISNUMBER(SEARCH("SUBSOLO",E1385)),IFERROR(-VALUE(LEFT(E1385,FIND("º",SUBSTITUTE(E1385,"°","º"))-1)),-1),IF(LEFT(E1385,6)="TÉRREO",0,IFERROR(VALUE(LEFT(E1385,FIND("º",SUBSTITUTE(E1385,"°","º"))-1)),""))))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25210433</v>
      </c>
      <c r="C1386" s="4" t="inlineStr">
        <is>
          <t>SHAFT INTERNO INST. HIDRAÚLICAS</t>
        </is>
      </c>
      <c r="D1386" s="4" t="inlineStr">
        <is>
          <t>-</t>
        </is>
      </c>
      <c r="E1386" s="4" t="inlineStr">
        <is>
          <t>15º PAV. TIPO</t>
        </is>
      </c>
      <c r="F1386" s="119" t="n">
        <v>46615</v>
      </c>
      <c r="G1386" s="119" t="n">
        <v>46625</v>
      </c>
      <c r="H1386" s="119" t="n">
        <v>46293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IF(E1386="","",IF(ISNUMBER(SEARCH("SUBSOLO",E1386)),IFERROR(-VALUE(LEFT(E1386,FIND("º",SUBSTITUTE(E1386,"°","º"))-1)),-1),IF(LEFT(E1386,6)="TÉRREO",0,IFERROR(VALUE(LEFT(E1386,FIND("º",SUBSTITUTE(E1386,"°","º"))-1)),""))))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27769249</v>
      </c>
      <c r="C1387" s="4" t="inlineStr">
        <is>
          <t>PRUMADA ELÉTRICA INFRA</t>
        </is>
      </c>
      <c r="D1387" s="4" t="inlineStr">
        <is>
          <t>-</t>
        </is>
      </c>
      <c r="E1387" s="4" t="inlineStr">
        <is>
          <t>25º PAV. TIPO</t>
        </is>
      </c>
      <c r="F1387" s="119" t="n">
        <v>46615</v>
      </c>
      <c r="G1387" s="119" t="n">
        <v>46625</v>
      </c>
      <c r="H1387" s="119" t="n">
        <v>46293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IF(E1387="","",IF(ISNUMBER(SEARCH("SUBSOLO",E1387)),IFERROR(-VALUE(LEFT(E1387,FIND("º",SUBSTITUTE(E1387,"°","º"))-1)),-1),IF(LEFT(E1387,6)="TÉRREO",0,IFERROR(VALUE(LEFT(E1387,FIND("º",SUBSTITUTE(E1387,"°","º"))-1)),""))))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25802596</v>
      </c>
      <c r="C1388" s="4" t="inlineStr">
        <is>
          <t>REVESTIMENTOS PISO</t>
        </is>
      </c>
      <c r="D1388" s="4" t="inlineStr">
        <is>
          <t>-</t>
        </is>
      </c>
      <c r="E1388" s="4" t="inlineStr">
        <is>
          <t>3º PAV. - JARDINS SOBRE LAJE / BOSQUE</t>
        </is>
      </c>
      <c r="F1388" s="119" t="n">
        <v>46616</v>
      </c>
      <c r="G1388" s="119" t="n">
        <v>46629</v>
      </c>
      <c r="H1388" s="119" t="n">
        <v>46293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IF(E1388="","",IF(ISNUMBER(SEARCH("SUBSOLO",E1388)),IFERROR(-VALUE(LEFT(E1388,FIND("º",SUBSTITUTE(E1388,"°","º"))-1)),-1),IF(LEFT(E1388,6)="TÉRREO",0,IFERROR(VALUE(LEFT(E1388,FIND("º",SUBSTITUTE(E1388,"°","º"))-1)),""))))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25210828</v>
      </c>
      <c r="C1389" s="4" t="inlineStr">
        <is>
          <t>FORRO</t>
        </is>
      </c>
      <c r="D1389" s="4" t="inlineStr">
        <is>
          <t>-</t>
        </is>
      </c>
      <c r="E1389" s="4" t="inlineStr">
        <is>
          <t>4° PAV. APTO GARDEN</t>
        </is>
      </c>
      <c r="F1389" s="119" t="n">
        <v>46617</v>
      </c>
      <c r="G1389" s="119" t="n">
        <v>46638</v>
      </c>
      <c r="H1389" s="119" t="n">
        <v>46293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IF(E1389="","",IF(ISNUMBER(SEARCH("SUBSOLO",E1389)),IFERROR(-VALUE(LEFT(E1389,FIND("º",SUBSTITUTE(E1389,"°","º"))-1)),-1),IF(LEFT(E1389,6)="TÉRREO",0,IFERROR(VALUE(LEFT(E1389,FIND("º",SUBSTITUTE(E1389,"°","º"))-1)),""))))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25210775</v>
      </c>
      <c r="C1390" s="4" t="inlineStr">
        <is>
          <t>FIAÇÃO ELÉTRICA</t>
        </is>
      </c>
      <c r="D1390" s="4" t="inlineStr">
        <is>
          <t>-</t>
        </is>
      </c>
      <c r="E1390" s="4" t="inlineStr">
        <is>
          <t>5º PAV. TIPO</t>
        </is>
      </c>
      <c r="F1390" s="119" t="n">
        <v>46617</v>
      </c>
      <c r="G1390" s="119" t="n">
        <v>46638</v>
      </c>
      <c r="H1390" s="119" t="n">
        <v>46293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IF(E1390="","",IF(ISNUMBER(SEARCH("SUBSOLO",E1390)),IFERROR(-VALUE(LEFT(E1390,FIND("º",SUBSTITUTE(E1390,"°","º"))-1)),-1),IF(LEFT(E1390,6)="TÉRREO",0,IFERROR(VALUE(LEFT(E1390,FIND("º",SUBSTITUTE(E1390,"°","º"))-1)),""))))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25210806</v>
      </c>
      <c r="C1391" s="4" t="inlineStr">
        <is>
          <t>VENTILAÇÃO / EXAUSTÃO</t>
        </is>
      </c>
      <c r="D1391" s="4" t="inlineStr">
        <is>
          <t>-</t>
        </is>
      </c>
      <c r="E1391" s="4" t="inlineStr">
        <is>
          <t>5º PAV. TIPO</t>
        </is>
      </c>
      <c r="F1391" s="119" t="n">
        <v>46617</v>
      </c>
      <c r="G1391" s="119" t="n">
        <v>46623</v>
      </c>
      <c r="H1391" s="119" t="n">
        <v>46293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IF(E1391="","",IF(ISNUMBER(SEARCH("SUBSOLO",E1391)),IFERROR(-VALUE(LEFT(E1391,FIND("º",SUBSTITUTE(E1391,"°","º"))-1)),-1),IF(LEFT(E1391,6)="TÉRREO",0,IFERROR(VALUE(LEFT(E1391,FIND("º",SUBSTITUTE(E1391,"°","º"))-1)),""))))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25210641</v>
      </c>
      <c r="C1392" s="4" t="inlineStr">
        <is>
          <t>REVESTIMENTO PAREDE</t>
        </is>
      </c>
      <c r="D1392" s="4" t="inlineStr">
        <is>
          <t>-</t>
        </is>
      </c>
      <c r="E1392" s="4" t="inlineStr">
        <is>
          <t>9º PAV. TIPO</t>
        </is>
      </c>
      <c r="F1392" s="119" t="n">
        <v>46617</v>
      </c>
      <c r="G1392" s="119" t="n">
        <v>46630</v>
      </c>
      <c r="H1392" s="119" t="n">
        <v>46293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IF(E1392="","",IF(ISNUMBER(SEARCH("SUBSOLO",E1392)),IFERROR(-VALUE(LEFT(E1392,FIND("º",SUBSTITUTE(E1392,"°","º"))-1)),-1),IF(LEFT(E1392,6)="TÉRREO",0,IFERROR(VALUE(LEFT(E1392,FIND("º",SUBSTITUTE(E1392,"°","º"))-1)),""))))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33276112</v>
      </c>
      <c r="C1393" s="4" t="inlineStr">
        <is>
          <t>INFRAESTRUTURA - AR CONDICIONADO</t>
        </is>
      </c>
      <c r="D1393" s="4" t="inlineStr">
        <is>
          <t>-</t>
        </is>
      </c>
      <c r="E1393" s="4" t="inlineStr">
        <is>
          <t>12º PAV. TIPO</t>
        </is>
      </c>
      <c r="F1393" s="119" t="n">
        <v>46617</v>
      </c>
      <c r="G1393" s="119" t="n">
        <v>46630</v>
      </c>
      <c r="H1393" s="119" t="n">
        <v>46293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IF(E1393="","",IF(ISNUMBER(SEARCH("SUBSOLO",E1393)),IFERROR(-VALUE(LEFT(E1393,FIND("º",SUBSTITUTE(E1393,"°","º"))-1)),-1),IF(LEFT(E1393,6)="TÉRREO",0,IFERROR(VALUE(LEFT(E1393,FIND("º",SUBSTITUTE(E1393,"°","º"))-1)),""))))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33278919</v>
      </c>
      <c r="C1394" s="4" t="inlineStr">
        <is>
          <t>INFRAESTRUTURA ELÉTRICA - PAREDES</t>
        </is>
      </c>
      <c r="D1394" s="4" t="inlineStr">
        <is>
          <t>-</t>
        </is>
      </c>
      <c r="E1394" s="4" t="inlineStr">
        <is>
          <t>12º PAV. TIPO</t>
        </is>
      </c>
      <c r="F1394" s="119" t="n">
        <v>46617</v>
      </c>
      <c r="G1394" s="119" t="n">
        <v>46629</v>
      </c>
      <c r="H1394" s="119" t="n">
        <v>46293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IF(E1394="","",IF(ISNUMBER(SEARCH("SUBSOLO",E1394)),IFERROR(-VALUE(LEFT(E1394,FIND("º",SUBSTITUTE(E1394,"°","º"))-1)),-1),IF(LEFT(E1394,6)="TÉRREO",0,IFERROR(VALUE(LEFT(E1394,FIND("º",SUBSTITUTE(E1394,"°","º"))-1)),""))))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27762197</v>
      </c>
      <c r="C1395" s="4" t="inlineStr">
        <is>
          <t>TRATAMENTO ACÚSTICO</t>
        </is>
      </c>
      <c r="D1395" s="4" t="inlineStr">
        <is>
          <t>-</t>
        </is>
      </c>
      <c r="E1395" s="4" t="inlineStr">
        <is>
          <t>14º PAV. TIPO</t>
        </is>
      </c>
      <c r="F1395" s="119" t="n">
        <v>46618</v>
      </c>
      <c r="G1395" s="119" t="n">
        <v>46618</v>
      </c>
      <c r="H1395" s="119" t="n">
        <v>46293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IF(E1395="","",IF(ISNUMBER(SEARCH("SUBSOLO",E1395)),IFERROR(-VALUE(LEFT(E1395,FIND("º",SUBSTITUTE(E1395,"°","º"))-1)),-1),IF(LEFT(E1395,6)="TÉRREO",0,IFERROR(VALUE(LEFT(E1395,FIND("º",SUBSTITUTE(E1395,"°","º"))-1)),""))))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25210189</v>
      </c>
      <c r="C1396" s="4" t="inlineStr">
        <is>
          <t>ESPALA ESQUADRIA DE ALUMINIO</t>
        </is>
      </c>
      <c r="D1396" s="4" t="inlineStr">
        <is>
          <t>-</t>
        </is>
      </c>
      <c r="E1396" s="4" t="inlineStr">
        <is>
          <t>22º PAV. TIPO</t>
        </is>
      </c>
      <c r="F1396" s="119" t="n">
        <v>46618</v>
      </c>
      <c r="G1396" s="119" t="n">
        <v>46624</v>
      </c>
      <c r="H1396" s="119" t="n">
        <v>46293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IF(E1396="","",IF(ISNUMBER(SEARCH("SUBSOLO",E1396)),IFERROR(-VALUE(LEFT(E1396,FIND("º",SUBSTITUTE(E1396,"°","º"))-1)),-1),IF(LEFT(E1396,6)="TÉRREO",0,IFERROR(VALUE(LEFT(E1396,FIND("º",SUBSTITUTE(E1396,"°","º"))-1)),""))))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25210152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23º PAV. TIPO</t>
        </is>
      </c>
      <c r="F1397" s="119" t="n">
        <v>46618</v>
      </c>
      <c r="G1397" s="119" t="n">
        <v>46630</v>
      </c>
      <c r="H1397" s="119" t="n">
        <v>46293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IF(E1397="","",IF(ISNUMBER(SEARCH("SUBSOLO",E1397)),IFERROR(-VALUE(LEFT(E1397,FIND("º",SUBSTITUTE(E1397,"°","º"))-1)),-1),IF(LEFT(E1397,6)="TÉRREO",0,IFERROR(VALUE(LEFT(E1397,FIND("º",SUBSTITUTE(E1397,"°","º"))-1)),""))))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29601285</v>
      </c>
      <c r="C1398" s="4" t="inlineStr">
        <is>
          <t>ENCUNHAMENTO</t>
        </is>
      </c>
      <c r="D1398" s="4" t="inlineStr">
        <is>
          <t>-</t>
        </is>
      </c>
      <c r="E1398" s="4" t="inlineStr">
        <is>
          <t>23º PAV. TIPO</t>
        </is>
      </c>
      <c r="F1398" s="119" t="n">
        <v>46618</v>
      </c>
      <c r="G1398" s="119" t="n">
        <v>46630</v>
      </c>
      <c r="H1398" s="119" t="n">
        <v>46293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IF(E1398="","",IF(ISNUMBER(SEARCH("SUBSOLO",E1398)),IFERROR(-VALUE(LEFT(E1398,FIND("º",SUBSTITUTE(E1398,"°","º"))-1)),-1),IF(LEFT(E1398,6)="TÉRREO",0,IFERROR(VALUE(LEFT(E1398,FIND("º",SUBSTITUTE(E1398,"°","º"))-1)),""))))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25210121</v>
      </c>
      <c r="C1399" s="4" t="inlineStr">
        <is>
          <t>DISTRIBUIÇÃO HIDROSSANITÁRIA</t>
        </is>
      </c>
      <c r="D1399" s="4" t="inlineStr">
        <is>
          <t>-</t>
        </is>
      </c>
      <c r="E1399" s="4" t="inlineStr">
        <is>
          <t>24º PAV. TIPO</t>
        </is>
      </c>
      <c r="F1399" s="119" t="n">
        <v>46618</v>
      </c>
      <c r="G1399" s="119" t="n">
        <v>46630</v>
      </c>
      <c r="H1399" s="119" t="n">
        <v>46293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IF(E1399="","",IF(ISNUMBER(SEARCH("SUBSOLO",E1399)),IFERROR(-VALUE(LEFT(E1399,FIND("º",SUBSTITUTE(E1399,"°","º"))-1)),-1),IF(LEFT(E1399,6)="TÉRREO",0,IFERROR(VALUE(LEFT(E1399,FIND("º",SUBSTITUTE(E1399,"°","º"))-1)),""))))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25210120</v>
      </c>
      <c r="C1400" s="4" t="inlineStr">
        <is>
          <t>DISTRIBUIÇÃO ELÉTRICA / QUADRO - SETOR B</t>
        </is>
      </c>
      <c r="D1400" s="4" t="inlineStr">
        <is>
          <t>-</t>
        </is>
      </c>
      <c r="E1400" s="4" t="inlineStr">
        <is>
          <t>24º PAV. TIPO</t>
        </is>
      </c>
      <c r="F1400" s="119" t="n">
        <v>46618</v>
      </c>
      <c r="G1400" s="119" t="n">
        <v>46630</v>
      </c>
      <c r="H1400" s="119" t="n">
        <v>46293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IF(E1400="","",IF(ISNUMBER(SEARCH("SUBSOLO",E1400)),IFERROR(-VALUE(LEFT(E1400,FIND("º",SUBSTITUTE(E1400,"°","º"))-1)),-1),IF(LEFT(E1400,6)="TÉRREO",0,IFERROR(VALUE(LEFT(E1400,FIND("º",SUBSTITUTE(E1400,"°","º"))-1)),""))))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33276750</v>
      </c>
      <c r="C1401" s="4" t="inlineStr">
        <is>
          <t>INFRAESTRUTURA ELÉTRICA - TETO</t>
        </is>
      </c>
      <c r="D1401" s="4" t="inlineStr">
        <is>
          <t>-</t>
        </is>
      </c>
      <c r="E1401" s="4" t="inlineStr">
        <is>
          <t>24º PAV. TIPO</t>
        </is>
      </c>
      <c r="F1401" s="119" t="n">
        <v>46618</v>
      </c>
      <c r="G1401" s="119" t="n">
        <v>46630</v>
      </c>
      <c r="H1401" s="119" t="n">
        <v>46293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IF(E1401="","",IF(ISNUMBER(SEARCH("SUBSOLO",E1401)),IFERROR(-VALUE(LEFT(E1401,FIND("º",SUBSTITUTE(E1401,"°","º"))-1)),-1),IF(LEFT(E1401,6)="TÉRREO",0,IFERROR(VALUE(LEFT(E1401,FIND("º",SUBSTITUTE(E1401,"°","º"))-1)),""))))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25210087</v>
      </c>
      <c r="C1402" s="4" t="inlineStr">
        <is>
          <t>GÁS</t>
        </is>
      </c>
      <c r="D1402" s="4" t="inlineStr">
        <is>
          <t>-</t>
        </is>
      </c>
      <c r="E1402" s="4" t="inlineStr">
        <is>
          <t>25º PAV. TIPO</t>
        </is>
      </c>
      <c r="F1402" s="119" t="n">
        <v>46618</v>
      </c>
      <c r="G1402" s="119" t="n">
        <v>46630</v>
      </c>
      <c r="H1402" s="119" t="n">
        <v>46293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IF(E1402="","",IF(ISNUMBER(SEARCH("SUBSOLO",E1402)),IFERROR(-VALUE(LEFT(E1402,FIND("º",SUBSTITUTE(E1402,"°","º"))-1)),-1),IF(LEFT(E1402,6)="TÉRREO",0,IFERROR(VALUE(LEFT(E1402,FIND("º",SUBSTITUTE(E1402,"°","º"))-1)),""))))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29601307</v>
      </c>
      <c r="C1403" s="4" t="inlineStr">
        <is>
          <t>TALISCAMENTO</t>
        </is>
      </c>
      <c r="D1403" s="4" t="inlineStr">
        <is>
          <t>-</t>
        </is>
      </c>
      <c r="E1403" s="4" t="inlineStr">
        <is>
          <t>25º PAV. TIPO</t>
        </is>
      </c>
      <c r="F1403" s="119" t="n">
        <v>46618</v>
      </c>
      <c r="G1403" s="119" t="n">
        <v>46630</v>
      </c>
      <c r="H1403" s="119" t="n">
        <v>46293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IF(E1403="","",IF(ISNUMBER(SEARCH("SUBSOLO",E1403)),IFERROR(-VALUE(LEFT(E1403,FIND("º",SUBSTITUTE(E1403,"°","º"))-1)),-1),IF(LEFT(E1403,6)="TÉRREO",0,IFERROR(VALUE(LEFT(E1403,FIND("º",SUBSTITUTE(E1403,"°","º"))-1)),""))))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25210054</v>
      </c>
      <c r="C1404" s="4" t="inlineStr">
        <is>
          <t>PRUMADA HIDROSSANITÁRIA</t>
        </is>
      </c>
      <c r="D1404" s="4" t="inlineStr">
        <is>
          <t>-</t>
        </is>
      </c>
      <c r="E1404" s="4" t="inlineStr">
        <is>
          <t>26º PAV. -  DUPLEX INFERIOR</t>
        </is>
      </c>
      <c r="F1404" s="119" t="n">
        <v>46618</v>
      </c>
      <c r="G1404" s="119" t="n">
        <v>46630</v>
      </c>
      <c r="H1404" s="119" t="n">
        <v>46293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IF(E1404="","",IF(ISNUMBER(SEARCH("SUBSOLO",E1404)),IFERROR(-VALUE(LEFT(E1404,FIND("º",SUBSTITUTE(E1404,"°","º"))-1)),-1),IF(LEFT(E1404,6)="TÉRREO",0,IFERROR(VALUE(LEFT(E1404,FIND("º",SUBSTITUTE(E1404,"°","º"))-1)),""))))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25210044</v>
      </c>
      <c r="C1405" s="4" t="inlineStr">
        <is>
          <t>PRUMADA DE INCÊNDIO</t>
        </is>
      </c>
      <c r="D1405" s="4" t="inlineStr">
        <is>
          <t>-</t>
        </is>
      </c>
      <c r="E1405" s="4" t="inlineStr">
        <is>
          <t>26º PAV. -  DUPLEX INFERIOR</t>
        </is>
      </c>
      <c r="F1405" s="119" t="n">
        <v>46618</v>
      </c>
      <c r="G1405" s="119" t="n">
        <v>46630</v>
      </c>
      <c r="H1405" s="119" t="n">
        <v>46293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IF(E1405="","",IF(ISNUMBER(SEARCH("SUBSOLO",E1405)),IFERROR(-VALUE(LEFT(E1405,FIND("º",SUBSTITUTE(E1405,"°","º"))-1)),-1),IF(LEFT(E1405,6)="TÉRREO",0,IFERROR(VALUE(LEFT(E1405,FIND("º",SUBSTITUTE(E1405,"°","º"))-1)),""))))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25210465</v>
      </c>
      <c r="C1406" s="4" t="inlineStr">
        <is>
          <t>IMPERMEABILIZAÇÃO VARANDA E JARDINEIRAS</t>
        </is>
      </c>
      <c r="D1406" s="4" t="inlineStr">
        <is>
          <t>-</t>
        </is>
      </c>
      <c r="E1406" s="4" t="inlineStr">
        <is>
          <t>14º PAV. TIPO</t>
        </is>
      </c>
      <c r="F1406" s="119" t="n">
        <v>46619</v>
      </c>
      <c r="G1406" s="119" t="n">
        <v>46631</v>
      </c>
      <c r="H1406" s="119" t="n">
        <v>46293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IF(E1406="","",IF(ISNUMBER(SEARCH("SUBSOLO",E1406)),IFERROR(-VALUE(LEFT(E1406,FIND("º",SUBSTITUTE(E1406,"°","º"))-1)),-1),IF(LEFT(E1406,6)="TÉRREO",0,IFERROR(VALUE(LEFT(E1406,FIND("º",SUBSTITUTE(E1406,"°","º"))-1)),""))))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25799984</v>
      </c>
      <c r="C1407" s="4" t="inlineStr">
        <is>
          <t>CONTRAPISO</t>
        </is>
      </c>
      <c r="D1407" s="4" t="inlineStr">
        <is>
          <t>-</t>
        </is>
      </c>
      <c r="E1407" s="4" t="inlineStr">
        <is>
          <t>3º PAV. - ESPAÇO KIDS E GOURMET, SALÃO DE FESTAS E APOIO, LOBBY PILOTIS</t>
        </is>
      </c>
      <c r="F1407" s="119" t="n">
        <v>46623</v>
      </c>
      <c r="G1407" s="119" t="n">
        <v>46636</v>
      </c>
      <c r="H1407" s="119" t="n">
        <v>46293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IF(E1407="","",IF(ISNUMBER(SEARCH("SUBSOLO",E1407)),IFERROR(-VALUE(LEFT(E1407,FIND("º",SUBSTITUTE(E1407,"°","º"))-1)),-1),IF(LEFT(E1407,6)="TÉRREO",0,IFERROR(VALUE(LEFT(E1407,FIND("º",SUBSTITUTE(E1407,"°","º"))-1)),""))))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25752735</v>
      </c>
      <c r="C1408" s="4" t="inlineStr">
        <is>
          <t>ELEVADOR 2</t>
        </is>
      </c>
      <c r="D1408" s="4" t="inlineStr">
        <is>
          <t>-</t>
        </is>
      </c>
      <c r="E1408" s="4" t="inlineStr">
        <is>
          <t>ELEVADORES</t>
        </is>
      </c>
      <c r="F1408" s="119" t="n">
        <v>46623</v>
      </c>
      <c r="G1408" s="119" t="n">
        <v>46680</v>
      </c>
      <c r="H1408" s="119" t="n">
        <v>46293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IF(E1408="","",IF(ISNUMBER(SEARCH("SUBSOLO",E1408)),IFERROR(-VALUE(LEFT(E1408,FIND("º",SUBSTITUTE(E1408,"°","º"))-1)),-1),IF(LEFT(E1408,6)="TÉRREO",0,IFERROR(VALUE(LEFT(E1408,FIND("º",SUBSTITUTE(E1408,"°","º"))-1)),""))))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25210669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8º PAV. TIPO</t>
        </is>
      </c>
      <c r="F1409" s="119" t="n">
        <v>46624</v>
      </c>
      <c r="G1409" s="119" t="n">
        <v>46638</v>
      </c>
      <c r="H1409" s="119" t="n">
        <v>46293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IF(E1409="","",IF(ISNUMBER(SEARCH("SUBSOLO",E1409)),IFERROR(-VALUE(LEFT(E1409,FIND("º",SUBSTITUTE(E1409,"°","º"))-1)),-1),IF(LEFT(E1409,6)="TÉRREO",0,IFERROR(VALUE(LEFT(E1409,FIND("º",SUBSTITUTE(E1409,"°","º"))-1)),""))))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25210729</v>
      </c>
      <c r="C1410" s="4" t="inlineStr">
        <is>
          <t>DISJUNTORES / MIOLOS</t>
        </is>
      </c>
      <c r="D1410" s="4" t="inlineStr">
        <is>
          <t>-</t>
        </is>
      </c>
      <c r="E1410" s="4" t="inlineStr">
        <is>
          <t>7º PAV. TIPO</t>
        </is>
      </c>
      <c r="F1410" s="119" t="n">
        <v>46625</v>
      </c>
      <c r="G1410" s="119" t="n">
        <v>46639</v>
      </c>
      <c r="H1410" s="119" t="n">
        <v>46293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IF(E1410="","",IF(ISNUMBER(SEARCH("SUBSOLO",E1410)),IFERROR(-VALUE(LEFT(E1410,FIND("º",SUBSTITUTE(E1410,"°","º"))-1)),-1),IF(LEFT(E1410,6)="TÉRREO",0,IFERROR(VALUE(LEFT(E1410,FIND("º",SUBSTITUTE(E1410,"°","º"))-1)),""))))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25210707</v>
      </c>
      <c r="C1411" s="4" t="inlineStr">
        <is>
          <t>CFTV</t>
        </is>
      </c>
      <c r="D1411" s="4" t="inlineStr">
        <is>
          <t>-</t>
        </is>
      </c>
      <c r="E1411" s="4" t="inlineStr">
        <is>
          <t>7º PAV. TIPO</t>
        </is>
      </c>
      <c r="F1411" s="119" t="n">
        <v>46625</v>
      </c>
      <c r="G1411" s="119" t="n">
        <v>46639</v>
      </c>
      <c r="H1411" s="119" t="n">
        <v>46293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IF(E1411="","",IF(ISNUMBER(SEARCH("SUBSOLO",E1411)),IFERROR(-VALUE(LEFT(E1411,FIND("º",SUBSTITUTE(E1411,"°","º"))-1)),-1),IF(LEFT(E1411,6)="TÉRREO",0,IFERROR(VALUE(LEFT(E1411,FIND("º",SUBSTITUTE(E1411,"°","º"))-1)),""))))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25210619</v>
      </c>
      <c r="C1412" s="4" t="inlineStr">
        <is>
          <t>ESQUADRIA</t>
        </is>
      </c>
      <c r="D1412" s="4" t="inlineStr">
        <is>
          <t>-</t>
        </is>
      </c>
      <c r="E1412" s="4" t="inlineStr">
        <is>
          <t>10º PAV. TIPO</t>
        </is>
      </c>
      <c r="F1412" s="119" t="n">
        <v>46625</v>
      </c>
      <c r="G1412" s="119" t="n">
        <v>46646</v>
      </c>
      <c r="H1412" s="119" t="n">
        <v>46293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IF(E1412="","",IF(ISNUMBER(SEARCH("SUBSOLO",E1412)),IFERROR(-VALUE(LEFT(E1412,FIND("º",SUBSTITUTE(E1412,"°","º"))-1)),-1),IF(LEFT(E1412,6)="TÉRREO",0,IFERROR(VALUE(LEFT(E1412,FIND("º",SUBSTITUTE(E1412,"°","º"))-1)),""))))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25210387</v>
      </c>
      <c r="C1413" s="4" t="inlineStr">
        <is>
          <t>MASSA CORRIDA</t>
        </is>
      </c>
      <c r="D1413" s="4" t="inlineStr">
        <is>
          <t>-</t>
        </is>
      </c>
      <c r="E1413" s="4" t="inlineStr">
        <is>
          <t>16º PAV. TIPO</t>
        </is>
      </c>
      <c r="F1413" s="119" t="n">
        <v>46625</v>
      </c>
      <c r="G1413" s="119" t="n">
        <v>46633</v>
      </c>
      <c r="H1413" s="119" t="n">
        <v>46293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IF(E1413="","",IF(ISNUMBER(SEARCH("SUBSOLO",E1413)),IFERROR(-VALUE(LEFT(E1413,FIND("º",SUBSTITUTE(E1413,"°","º"))-1)),-1),IF(LEFT(E1413,6)="TÉRREO",0,IFERROR(VALUE(LEFT(E1413,FIND("º",SUBSTITUTE(E1413,"°","º"))-1)),""))))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25210373</v>
      </c>
      <c r="C1414" s="4" t="inlineStr">
        <is>
          <t>FORRO</t>
        </is>
      </c>
      <c r="D1414" s="4" t="inlineStr">
        <is>
          <t>-</t>
        </is>
      </c>
      <c r="E1414" s="4" t="inlineStr">
        <is>
          <t>17º PAV. TIPO</t>
        </is>
      </c>
      <c r="F1414" s="119" t="n">
        <v>46625</v>
      </c>
      <c r="G1414" s="119" t="n">
        <v>46646</v>
      </c>
      <c r="H1414" s="119" t="n">
        <v>46293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IF(E1414="","",IF(ISNUMBER(SEARCH("SUBSOLO",E1414)),IFERROR(-VALUE(LEFT(E1414,FIND("º",SUBSTITUTE(E1414,"°","º"))-1)),-1),IF(LEFT(E1414,6)="TÉRREO",0,IFERROR(VALUE(LEFT(E1414,FIND("º",SUBSTITUTE(E1414,"°","º"))-1)),""))))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25210320</v>
      </c>
      <c r="C1415" s="4" t="inlineStr">
        <is>
          <t>FIAÇÃO ELÉTRICA</t>
        </is>
      </c>
      <c r="D1415" s="4" t="inlineStr">
        <is>
          <t>-</t>
        </is>
      </c>
      <c r="E1415" s="4" t="inlineStr">
        <is>
          <t>18º PAV. TIPO</t>
        </is>
      </c>
      <c r="F1415" s="119" t="n">
        <v>46625</v>
      </c>
      <c r="G1415" s="119" t="n">
        <v>46646</v>
      </c>
      <c r="H1415" s="119" t="n">
        <v>46293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IF(E1415="","",IF(ISNUMBER(SEARCH("SUBSOLO",E1415)),IFERROR(-VALUE(LEFT(E1415,FIND("º",SUBSTITUTE(E1415,"°","º"))-1)),-1),IF(LEFT(E1415,6)="TÉRREO",0,IFERROR(VALUE(LEFT(E1415,FIND("º",SUBSTITUTE(E1415,"°","º"))-1)),""))))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25210284</v>
      </c>
      <c r="C1416" s="4" t="inlineStr">
        <is>
          <t>BANCADAS</t>
        </is>
      </c>
      <c r="D1416" s="4" t="inlineStr">
        <is>
          <t>-</t>
        </is>
      </c>
      <c r="E1416" s="4" t="inlineStr">
        <is>
          <t>19º PAV. TIPO</t>
        </is>
      </c>
      <c r="F1416" s="119" t="n">
        <v>46625</v>
      </c>
      <c r="G1416" s="119" t="n">
        <v>46639</v>
      </c>
      <c r="H1416" s="119" t="n">
        <v>46293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IF(E1416="","",IF(ISNUMBER(SEARCH("SUBSOLO",E1416)),IFERROR(-VALUE(LEFT(E1416,FIND("º",SUBSTITUTE(E1416,"°","º"))-1)),-1),IF(LEFT(E1416,6)="TÉRREO",0,IFERROR(VALUE(LEFT(E1416,FIND("º",SUBSTITUTE(E1416,"°","º"))-1)),""))))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25210256</v>
      </c>
      <c r="C1417" s="4" t="inlineStr">
        <is>
          <t>REVESTIMENTO PAREDE</t>
        </is>
      </c>
      <c r="D1417" s="4" t="inlineStr">
        <is>
          <t>-</t>
        </is>
      </c>
      <c r="E1417" s="4" t="inlineStr">
        <is>
          <t>20º PAV. TIPO</t>
        </is>
      </c>
      <c r="F1417" s="119" t="n">
        <v>46625</v>
      </c>
      <c r="G1417" s="119" t="n">
        <v>46639</v>
      </c>
      <c r="H1417" s="119" t="n">
        <v>46293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IF(E1417="","",IF(ISNUMBER(SEARCH("SUBSOLO",E1417)),IFERROR(-VALUE(LEFT(E1417,FIND("º",SUBSTITUTE(E1417,"°","º"))-1)),-1),IF(LEFT(E1417,6)="TÉRREO",0,IFERROR(VALUE(LEFT(E1417,FIND("º",SUBSTITUTE(E1417,"°","º"))-1)),""))))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25799831</v>
      </c>
      <c r="C1418" s="4" t="inlineStr">
        <is>
          <t>FORRO</t>
        </is>
      </c>
      <c r="D1418" s="4" t="inlineStr">
        <is>
          <t>-</t>
        </is>
      </c>
      <c r="E1418" s="4" t="inlineStr">
        <is>
          <t>3º PAV. - BAR PISCINA, VESTIÁRIOS, DEPOSITOS E LOUNGE QUADRAS</t>
        </is>
      </c>
      <c r="F1418" s="119" t="n">
        <v>46626</v>
      </c>
      <c r="G1418" s="119" t="n">
        <v>46647</v>
      </c>
      <c r="H1418" s="119" t="n">
        <v>46293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IF(E1418="","",IF(ISNUMBER(SEARCH("SUBSOLO",E1418)),IFERROR(-VALUE(LEFT(E1418,FIND("º",SUBSTITUTE(E1418,"°","º"))-1)),-1),IF(LEFT(E1418,6)="TÉRREO",0,IFERROR(VALUE(LEFT(E1418,FIND("º",SUBSTITUTE(E1418,"°","º"))-1)),""))))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25799896</v>
      </c>
      <c r="C1419" s="4" t="inlineStr">
        <is>
          <t>ESQUADRIA</t>
        </is>
      </c>
      <c r="D1419" s="4" t="inlineStr">
        <is>
          <t>-</t>
        </is>
      </c>
      <c r="E1419" s="4" t="inlineStr">
        <is>
          <t>3º PAV. - ACADEMIA</t>
        </is>
      </c>
      <c r="F1419" s="119" t="n">
        <v>46626</v>
      </c>
      <c r="G1419" s="119" t="n">
        <v>46654</v>
      </c>
      <c r="H1419" s="119" t="n">
        <v>46293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IF(E1419="","",IF(ISNUMBER(SEARCH("SUBSOLO",E1419)),IFERROR(-VALUE(LEFT(E1419,FIND("º",SUBSTITUTE(E1419,"°","º"))-1)),-1),IF(LEFT(E1419,6)="TÉRREO",0,IFERROR(VALUE(LEFT(E1419,FIND("º",SUBSTITUTE(E1419,"°","º"))-1)),""))))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25210442</v>
      </c>
      <c r="C1420" s="4" t="inlineStr">
        <is>
          <t>IMPERMEABILIZAÇÃO INTERNA</t>
        </is>
      </c>
      <c r="D1420" s="4" t="inlineStr">
        <is>
          <t>-</t>
        </is>
      </c>
      <c r="E1420" s="4" t="inlineStr">
        <is>
          <t>15º PAV. TIPO</t>
        </is>
      </c>
      <c r="F1420" s="119" t="n">
        <v>46626</v>
      </c>
      <c r="G1420" s="119" t="n">
        <v>46639</v>
      </c>
      <c r="H1420" s="119" t="n">
        <v>46293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IF(E1420="","",IF(ISNUMBER(SEARCH("SUBSOLO",E1420)),IFERROR(-VALUE(LEFT(E1420,FIND("º",SUBSTITUTE(E1420,"°","º"))-1)),-1),IF(LEFT(E1420,6)="TÉRREO",0,IFERROR(VALUE(LEFT(E1420,FIND("º",SUBSTITUTE(E1420,"°","º"))-1)),""))))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25210223</v>
      </c>
      <c r="C1421" s="4" t="inlineStr">
        <is>
          <t>SHAFT INTERNO INST. HIDRAÚLICAS</t>
        </is>
      </c>
      <c r="D1421" s="4" t="inlineStr">
        <is>
          <t>-</t>
        </is>
      </c>
      <c r="E1421" s="4" t="inlineStr">
        <is>
          <t>21º PAV. TIPO</t>
        </is>
      </c>
      <c r="F1421" s="119" t="n">
        <v>46626</v>
      </c>
      <c r="G1421" s="119" t="n">
        <v>46639</v>
      </c>
      <c r="H1421" s="119" t="n">
        <v>46293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IF(E1421="","",IF(ISNUMBER(SEARCH("SUBSOLO",E1421)),IFERROR(-VALUE(LEFT(E1421,FIND("º",SUBSTITUTE(E1421,"°","º"))-1)),-1),IF(LEFT(E1421,6)="TÉRREO",0,IFERROR(VALUE(LEFT(E1421,FIND("º",SUBSTITUTE(E1421,"°","º"))-1)),""))))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25210193</v>
      </c>
      <c r="C1422" s="4" t="inlineStr">
        <is>
          <t>REBOCO INTERNO</t>
        </is>
      </c>
      <c r="D1422" s="4" t="inlineStr">
        <is>
          <t>-</t>
        </is>
      </c>
      <c r="E1422" s="4" t="inlineStr">
        <is>
          <t>22º PAV. TIPO</t>
        </is>
      </c>
      <c r="F1422" s="119" t="n">
        <v>46626</v>
      </c>
      <c r="G1422" s="119" t="n">
        <v>46647</v>
      </c>
      <c r="H1422" s="119" t="n">
        <v>46293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IF(E1422="","",IF(ISNUMBER(SEARCH("SUBSOLO",E1422)),IFERROR(-VALUE(LEFT(E1422,FIND("º",SUBSTITUTE(E1422,"°","º"))-1)),-1),IF(LEFT(E1422,6)="TÉRREO",0,IFERROR(VALUE(LEFT(E1422,FIND("º",SUBSTITUTE(E1422,"°","º"))-1)),""))))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27769250</v>
      </c>
      <c r="C1423" s="4" t="inlineStr">
        <is>
          <t>PRUMADA ELÉTRICA INFRA</t>
        </is>
      </c>
      <c r="D1423" s="4" t="inlineStr">
        <is>
          <t>-</t>
        </is>
      </c>
      <c r="E1423" s="4" t="inlineStr">
        <is>
          <t>26º PAV. -  DUPLEX INFERIOR</t>
        </is>
      </c>
      <c r="F1423" s="119" t="n">
        <v>46626</v>
      </c>
      <c r="G1423" s="119" t="n">
        <v>46639</v>
      </c>
      <c r="H1423" s="119" t="n">
        <v>46293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IF(E1423="","",IF(ISNUMBER(SEARCH("SUBSOLO",E1423)),IFERROR(-VALUE(LEFT(E1423,FIND("º",SUBSTITUTE(E1423,"°","º"))-1)),-1),IF(LEFT(E1423,6)="TÉRREO",0,IFERROR(VALUE(LEFT(E1423,FIND("º",SUBSTITUTE(E1423,"°","º"))-1)),""))))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25807558</v>
      </c>
      <c r="C1424" s="4" t="inlineStr">
        <is>
          <t>RODAPÉ MADEIRA / PVC</t>
        </is>
      </c>
      <c r="D1424" s="4" t="inlineStr">
        <is>
          <t>-</t>
        </is>
      </c>
      <c r="E1424" s="4" t="inlineStr">
        <is>
          <t>3º PAV. ESPAÇO THERMAS, PISCINA COBERTA, SAUNAS E VESTIÁRIOS</t>
        </is>
      </c>
      <c r="F1424" s="119" t="n">
        <v>46629</v>
      </c>
      <c r="G1424" s="119" t="n">
        <v>46643</v>
      </c>
      <c r="H1424" s="119" t="n">
        <v>46293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IF(E1424="","",IF(ISNUMBER(SEARCH("SUBSOLO",E1424)),IFERROR(-VALUE(LEFT(E1424,FIND("º",SUBSTITUTE(E1424,"°","º"))-1)),-1),IF(LEFT(E1424,6)="TÉRREO",0,IFERROR(VALUE(LEFT(E1424,FIND("º",SUBSTITUTE(E1424,"°","º"))-1)),""))))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33276130</v>
      </c>
      <c r="C1425" s="4" t="inlineStr">
        <is>
          <t>TRATAMENTO DE GRANITO/MÁRMORE</t>
        </is>
      </c>
      <c r="D1425" s="4" t="inlineStr">
        <is>
          <t>-</t>
        </is>
      </c>
      <c r="E1425" s="4" t="inlineStr">
        <is>
          <t>6º PAV. TIPO</t>
        </is>
      </c>
      <c r="F1425" s="119" t="n">
        <v>46629</v>
      </c>
      <c r="G1425" s="119" t="n">
        <v>46650</v>
      </c>
      <c r="H1425" s="119" t="n">
        <v>46293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IF(E1425="","",IF(ISNUMBER(SEARCH("SUBSOLO",E1425)),IFERROR(-VALUE(LEFT(E1425,FIND("º",SUBSTITUTE(E1425,"°","º"))-1)),-1),IF(LEFT(E1425,6)="TÉRREO",0,IFERROR(VALUE(LEFT(E1425,FIND("º",SUBSTITUTE(E1425,"°","º"))-1)),""))))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25210655</v>
      </c>
      <c r="C1426" s="4" t="inlineStr">
        <is>
          <t>REVESTIMENTOS PISO</t>
        </is>
      </c>
      <c r="D1426" s="4" t="inlineStr">
        <is>
          <t>-</t>
        </is>
      </c>
      <c r="E1426" s="4" t="inlineStr">
        <is>
          <t>9º PAV. TIPO</t>
        </is>
      </c>
      <c r="F1426" s="119" t="n">
        <v>46631</v>
      </c>
      <c r="G1426" s="119" t="n">
        <v>46645</v>
      </c>
      <c r="H1426" s="119" t="n">
        <v>46293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IF(E1426="","",IF(ISNUMBER(SEARCH("SUBSOLO",E1426)),IFERROR(-VALUE(LEFT(E1426,FIND("º",SUBSTITUTE(E1426,"°","º"))-1)),-1),IF(LEFT(E1426,6)="TÉRREO",0,IFERROR(VALUE(LEFT(E1426,FIND("º",SUBSTITUTE(E1426,"°","º"))-1)),""))))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25210536</v>
      </c>
      <c r="C1427" s="4" t="inlineStr">
        <is>
          <t>REVESTIMENTO PAREDE</t>
        </is>
      </c>
      <c r="D1427" s="4" t="inlineStr">
        <is>
          <t>-</t>
        </is>
      </c>
      <c r="E1427" s="4" t="inlineStr">
        <is>
          <t>12º PAV. TIPO</t>
        </is>
      </c>
      <c r="F1427" s="119" t="n">
        <v>46631</v>
      </c>
      <c r="G1427" s="119" t="n">
        <v>46645</v>
      </c>
      <c r="H1427" s="119" t="n">
        <v>46293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IF(E1427="","",IF(ISNUMBER(SEARCH("SUBSOLO",E1427)),IFERROR(-VALUE(LEFT(E1427,FIND("º",SUBSTITUTE(E1427,"°","º"))-1)),-1),IF(LEFT(E1427,6)="TÉRREO",0,IFERROR(VALUE(LEFT(E1427,FIND("º",SUBSTITUTE(E1427,"°","º"))-1)),""))))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25210154</v>
      </c>
      <c r="C1428" s="4" t="inlineStr">
        <is>
          <t>ESPALA ESQUADRIA DE ALUMINIO</t>
        </is>
      </c>
      <c r="D1428" s="4" t="inlineStr">
        <is>
          <t>-</t>
        </is>
      </c>
      <c r="E1428" s="4" t="inlineStr">
        <is>
          <t>23º PAV. TIPO</t>
        </is>
      </c>
      <c r="F1428" s="119" t="n">
        <v>46631</v>
      </c>
      <c r="G1428" s="119" t="n">
        <v>46638</v>
      </c>
      <c r="H1428" s="119" t="n">
        <v>46293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IF(E1428="","",IF(ISNUMBER(SEARCH("SUBSOLO",E1428)),IFERROR(-VALUE(LEFT(E1428,FIND("º",SUBSTITUTE(E1428,"°","º"))-1)),-1),IF(LEFT(E1428,6)="TÉRREO",0,IFERROR(VALUE(LEFT(E1428,FIND("º",SUBSTITUTE(E1428,"°","º"))-1)),""))))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25210117</v>
      </c>
      <c r="C1429" s="4" t="inlineStr">
        <is>
          <t>CONTRAMARCO</t>
        </is>
      </c>
      <c r="D1429" s="4" t="inlineStr">
        <is>
          <t>-</t>
        </is>
      </c>
      <c r="E1429" s="4" t="inlineStr">
        <is>
          <t>24º PAV. TIPO</t>
        </is>
      </c>
      <c r="F1429" s="119" t="n">
        <v>46631</v>
      </c>
      <c r="G1429" s="119" t="n">
        <v>46644</v>
      </c>
      <c r="H1429" s="119" t="n">
        <v>46293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IF(E1429="","",IF(ISNUMBER(SEARCH("SUBSOLO",E1429)),IFERROR(-VALUE(LEFT(E1429,FIND("º",SUBSTITUTE(E1429,"°","º"))-1)),-1),IF(LEFT(E1429,6)="TÉRREO",0,IFERROR(VALUE(LEFT(E1429,FIND("º",SUBSTITUTE(E1429,"°","º"))-1)),""))))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29601284</v>
      </c>
      <c r="C1430" s="4" t="inlineStr">
        <is>
          <t>ENCUNHAMENTO</t>
        </is>
      </c>
      <c r="D1430" s="4" t="inlineStr">
        <is>
          <t>-</t>
        </is>
      </c>
      <c r="E1430" s="4" t="inlineStr">
        <is>
          <t>24º PAV. TIPO</t>
        </is>
      </c>
      <c r="F1430" s="119" t="n">
        <v>46631</v>
      </c>
      <c r="G1430" s="119" t="n">
        <v>46644</v>
      </c>
      <c r="H1430" s="119" t="n">
        <v>46293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IF(E1430="","",IF(ISNUMBER(SEARCH("SUBSOLO",E1430)),IFERROR(-VALUE(LEFT(E1430,FIND("º",SUBSTITUTE(E1430,"°","º"))-1)),-1),IF(LEFT(E1430,6)="TÉRREO",0,IFERROR(VALUE(LEFT(E1430,FIND("º",SUBSTITUTE(E1430,"°","º"))-1)),""))))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25210086</v>
      </c>
      <c r="C1431" s="4" t="inlineStr">
        <is>
          <t>DISTRIBUIÇÃO HIDROSSANITÁRIA</t>
        </is>
      </c>
      <c r="D1431" s="4" t="inlineStr">
        <is>
          <t>-</t>
        </is>
      </c>
      <c r="E1431" s="4" t="inlineStr">
        <is>
          <t>25º PAV. TIPO</t>
        </is>
      </c>
      <c r="F1431" s="119" t="n">
        <v>46631</v>
      </c>
      <c r="G1431" s="119" t="n">
        <v>46644</v>
      </c>
      <c r="H1431" s="119" t="n">
        <v>46293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IF(E1431="","",IF(ISNUMBER(SEARCH("SUBSOLO",E1431)),IFERROR(-VALUE(LEFT(E1431,FIND("º",SUBSTITUTE(E1431,"°","º"))-1)),-1),IF(LEFT(E1431,6)="TÉRREO",0,IFERROR(VALUE(LEFT(E1431,FIND("º",SUBSTITUTE(E1431,"°","º"))-1)),""))))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25210085</v>
      </c>
      <c r="C1432" s="4" t="inlineStr">
        <is>
          <t>DISTRIBUIÇÃO ELÉTRICA / QUADRO - SETOR B</t>
        </is>
      </c>
      <c r="D1432" s="4" t="inlineStr">
        <is>
          <t>-</t>
        </is>
      </c>
      <c r="E1432" s="4" t="inlineStr">
        <is>
          <t>25º PAV. TIPO</t>
        </is>
      </c>
      <c r="F1432" s="119" t="n">
        <v>46631</v>
      </c>
      <c r="G1432" s="119" t="n">
        <v>46644</v>
      </c>
      <c r="H1432" s="119" t="n">
        <v>46293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IF(E1432="","",IF(ISNUMBER(SEARCH("SUBSOLO",E1432)),IFERROR(-VALUE(LEFT(E1432,FIND("º",SUBSTITUTE(E1432,"°","º"))-1)),-1),IF(LEFT(E1432,6)="TÉRREO",0,IFERROR(VALUE(LEFT(E1432,FIND("º",SUBSTITUTE(E1432,"°","º"))-1)),""))))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33276751</v>
      </c>
      <c r="C1433" s="4" t="inlineStr">
        <is>
          <t>INFRAESTRUTURA ELÉTRICA - TETO</t>
        </is>
      </c>
      <c r="D1433" s="4" t="inlineStr">
        <is>
          <t>-</t>
        </is>
      </c>
      <c r="E1433" s="4" t="inlineStr">
        <is>
          <t>25º PAV. TIPO</t>
        </is>
      </c>
      <c r="F1433" s="119" t="n">
        <v>46631</v>
      </c>
      <c r="G1433" s="119" t="n">
        <v>46644</v>
      </c>
      <c r="H1433" s="119" t="n">
        <v>46293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IF(E1433="","",IF(ISNUMBER(SEARCH("SUBSOLO",E1433)),IFERROR(-VALUE(LEFT(E1433,FIND("º",SUBSTITUTE(E1433,"°","º"))-1)),-1),IF(LEFT(E1433,6)="TÉRREO",0,IFERROR(VALUE(LEFT(E1433,FIND("º",SUBSTITUTE(E1433,"°","º"))-1)),""))))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29601308</v>
      </c>
      <c r="C1434" s="4" t="inlineStr">
        <is>
          <t>TALISCAMENTO</t>
        </is>
      </c>
      <c r="D1434" s="4" t="inlineStr">
        <is>
          <t>-</t>
        </is>
      </c>
      <c r="E1434" s="4" t="inlineStr">
        <is>
          <t>26º PAV. -  DUPLEX INFERIOR</t>
        </is>
      </c>
      <c r="F1434" s="119" t="n">
        <v>46631</v>
      </c>
      <c r="G1434" s="119" t="n">
        <v>46644</v>
      </c>
      <c r="H1434" s="119" t="n">
        <v>46293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IF(E1434="","",IF(ISNUMBER(SEARCH("SUBSOLO",E1434)),IFERROR(-VALUE(LEFT(E1434,FIND("º",SUBSTITUTE(E1434,"°","º"))-1)),-1),IF(LEFT(E1434,6)="TÉRREO",0,IFERROR(VALUE(LEFT(E1434,FIND("º",SUBSTITUTE(E1434,"°","º"))-1)),""))))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25210476</v>
      </c>
      <c r="C1435" s="4" t="inlineStr">
        <is>
          <t>CONTRAPISO</t>
        </is>
      </c>
      <c r="D1435" s="4" t="inlineStr">
        <is>
          <t>-</t>
        </is>
      </c>
      <c r="E1435" s="4" t="inlineStr">
        <is>
          <t>14º PAV. TIPO</t>
        </is>
      </c>
      <c r="F1435" s="119" t="n">
        <v>46632</v>
      </c>
      <c r="G1435" s="119" t="n">
        <v>46646</v>
      </c>
      <c r="H1435" s="119" t="n">
        <v>46293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IF(E1435="","",IF(ISNUMBER(SEARCH("SUBSOLO",E1435)),IFERROR(-VALUE(LEFT(E1435,FIND("º",SUBSTITUTE(E1435,"°","º"))-1)),-1),IF(LEFT(E1435,6)="TÉRREO",0,IFERROR(VALUE(LEFT(E1435,FIND("º",SUBSTITUTE(E1435,"°","º"))-1)),""))))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27765758</v>
      </c>
      <c r="C1436" s="4" t="inlineStr">
        <is>
          <t>DRENO + ATERRO JARDINEIRAS</t>
        </is>
      </c>
      <c r="D1436" s="4" t="inlineStr">
        <is>
          <t>-</t>
        </is>
      </c>
      <c r="E1436" s="4" t="inlineStr">
        <is>
          <t>14º PAV. TIPO</t>
        </is>
      </c>
      <c r="F1436" s="119" t="n">
        <v>46632</v>
      </c>
      <c r="G1436" s="119" t="n">
        <v>46645</v>
      </c>
      <c r="H1436" s="119" t="n">
        <v>46293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IF(E1436="","",IF(ISNUMBER(SEARCH("SUBSOLO",E1436)),IFERROR(-VALUE(LEFT(E1436,FIND("º",SUBSTITUTE(E1436,"°","º"))-1)),-1),IF(LEFT(E1436,6)="TÉRREO",0,IFERROR(VALUE(LEFT(E1436,FIND("º",SUBSTITUTE(E1436,"°","º"))-1)),""))))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25753025</v>
      </c>
      <c r="C1437" s="4" t="inlineStr">
        <is>
          <t>POLIMENTO PISO</t>
        </is>
      </c>
      <c r="D1437" s="4" t="inlineStr">
        <is>
          <t>-</t>
        </is>
      </c>
      <c r="E1437" s="4" t="inlineStr">
        <is>
          <t>TÉRREO - GARAGENS</t>
        </is>
      </c>
      <c r="F1437" s="119" t="n">
        <v>46633</v>
      </c>
      <c r="G1437" s="119" t="n">
        <v>46678</v>
      </c>
      <c r="H1437" s="119" t="n">
        <v>46293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IF(E1437="","",IF(ISNUMBER(SEARCH("SUBSOLO",E1437)),IFERROR(-VALUE(LEFT(E1437,FIND("º",SUBSTITUTE(E1437,"°","º"))-1)),-1),IF(LEFT(E1437,6)="TÉRREO",0,IFERROR(VALUE(LEFT(E1437,FIND("º",SUBSTITUTE(E1437,"°","º"))-1)),""))))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25752915</v>
      </c>
      <c r="C1438" s="4" t="inlineStr">
        <is>
          <t>FIAÇÃO ELÉTRICA</t>
        </is>
      </c>
      <c r="D1438" s="4" t="inlineStr">
        <is>
          <t>-</t>
        </is>
      </c>
      <c r="E1438" s="4" t="inlineStr">
        <is>
          <t>2º PAV. GARAGEM.</t>
        </is>
      </c>
      <c r="F1438" s="119" t="n">
        <v>46633</v>
      </c>
      <c r="G1438" s="119" t="n">
        <v>46647</v>
      </c>
      <c r="H1438" s="119" t="n">
        <v>46293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IF(E1438="","",IF(ISNUMBER(SEARCH("SUBSOLO",E1438)),IFERROR(-VALUE(LEFT(E1438,FIND("º",SUBSTITUTE(E1438,"°","º"))-1)),-1),IF(LEFT(E1438,6)="TÉRREO",0,IFERROR(VALUE(LEFT(E1438,FIND("º",SUBSTITUTE(E1438,"°","º"))-1)),""))))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25210503</v>
      </c>
      <c r="C1439" s="4" t="inlineStr">
        <is>
          <t>SHAFT INTERNO INST. HIDRAÚLICAS</t>
        </is>
      </c>
      <c r="D1439" s="4" t="inlineStr">
        <is>
          <t>-</t>
        </is>
      </c>
      <c r="E1439" s="4" t="inlineStr">
        <is>
          <t>13º PAV. TIPO</t>
        </is>
      </c>
      <c r="F1439" s="119" t="n">
        <v>46636</v>
      </c>
      <c r="G1439" s="119" t="n">
        <v>46647</v>
      </c>
      <c r="H1439" s="119" t="n">
        <v>46293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IF(E1439="","",IF(ISNUMBER(SEARCH("SUBSOLO",E1439)),IFERROR(-VALUE(LEFT(E1439,FIND("º",SUBSTITUTE(E1439,"°","º"))-1)),-1),IF(LEFT(E1439,6)="TÉRREO",0,IFERROR(VALUE(LEFT(E1439,FIND("º",SUBSTITUTE(E1439,"°","º"))-1)),""))))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25210388</v>
      </c>
      <c r="C1440" s="4" t="inlineStr">
        <is>
          <t>PINTURA 1º DEMÃO</t>
        </is>
      </c>
      <c r="D1440" s="4" t="inlineStr">
        <is>
          <t>-</t>
        </is>
      </c>
      <c r="E1440" s="4" t="inlineStr">
        <is>
          <t>16º PAV. TIPO</t>
        </is>
      </c>
      <c r="F1440" s="119" t="n">
        <v>46636</v>
      </c>
      <c r="G1440" s="119" t="n">
        <v>46646</v>
      </c>
      <c r="H1440" s="119" t="n">
        <v>46293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IF(E1440="","",IF(ISNUMBER(SEARCH("SUBSOLO",E1440)),IFERROR(-VALUE(LEFT(E1440,FIND("º",SUBSTITUTE(E1440,"°","º"))-1)),-1),IF(LEFT(E1440,6)="TÉRREO",0,IFERROR(VALUE(LEFT(E1440,FIND("º",SUBSTITUTE(E1440,"°","º"))-1)),""))))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25210019</v>
      </c>
      <c r="C1441" s="4" t="inlineStr">
        <is>
          <t>PRUMADA HIDROSSANITÁRIA</t>
        </is>
      </c>
      <c r="D1441" s="4" t="inlineStr">
        <is>
          <t>-</t>
        </is>
      </c>
      <c r="E1441" s="4" t="inlineStr">
        <is>
          <t>27º PAV. -  DUPLEX SUPERIOR</t>
        </is>
      </c>
      <c r="F1441" s="119" t="n">
        <v>46636</v>
      </c>
      <c r="G1441" s="119" t="n">
        <v>46647</v>
      </c>
      <c r="H1441" s="119" t="n">
        <v>46293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IF(E1441="","",IF(ISNUMBER(SEARCH("SUBSOLO",E1441)),IFERROR(-VALUE(LEFT(E1441,FIND("º",SUBSTITUTE(E1441,"°","º"))-1)),-1),IF(LEFT(E1441,6)="TÉRREO",0,IFERROR(VALUE(LEFT(E1441,FIND("º",SUBSTITUTE(E1441,"°","º"))-1)),""))))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25210009</v>
      </c>
      <c r="C1442" s="4" t="inlineStr">
        <is>
          <t>PRUMADA DE INCÊNDIO</t>
        </is>
      </c>
      <c r="D1442" s="4" t="inlineStr">
        <is>
          <t>-</t>
        </is>
      </c>
      <c r="E1442" s="4" t="inlineStr">
        <is>
          <t>27º PAV. -  DUPLEX SUPERIOR</t>
        </is>
      </c>
      <c r="F1442" s="119" t="n">
        <v>46636</v>
      </c>
      <c r="G1442" s="119" t="n">
        <v>46647</v>
      </c>
      <c r="H1442" s="119" t="n">
        <v>46293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IF(E1442="","",IF(ISNUMBER(SEARCH("SUBSOLO",E1442)),IFERROR(-VALUE(LEFT(E1442,FIND("º",SUBSTITUTE(E1442,"°","º"))-1)),-1),IF(LEFT(E1442,6)="TÉRREO",0,IFERROR(VALUE(LEFT(E1442,FIND("º",SUBSTITUTE(E1442,"°","º"))-1)),""))))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25800007</v>
      </c>
      <c r="C1443" s="4" t="inlineStr">
        <is>
          <t>REVESTIMENTO PAREDE</t>
        </is>
      </c>
      <c r="D1443" s="4" t="inlineStr">
        <is>
          <t>-</t>
        </is>
      </c>
      <c r="E1443" s="4" t="inlineStr">
        <is>
          <t>3º PAV. - ESPAÇO KIDS E GOURMET, SALÃO DE FESTAS E APOIO, LOBBY PILOTIS</t>
        </is>
      </c>
      <c r="F1443" s="119" t="n">
        <v>46638</v>
      </c>
      <c r="G1443" s="119" t="n">
        <v>46647</v>
      </c>
      <c r="H1443" s="119" t="n">
        <v>46293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IF(E1443="","",IF(ISNUMBER(SEARCH("SUBSOLO",E1443)),IFERROR(-VALUE(LEFT(E1443,FIND("º",SUBSTITUTE(E1443,"°","º"))-1)),-1),IF(LEFT(E1443,6)="TÉRREO",0,IFERROR(VALUE(LEFT(E1443,FIND("º",SUBSTITUTE(E1443,"°","º"))-1)),""))))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25210807</v>
      </c>
      <c r="C1444" s="4" t="inlineStr">
        <is>
          <t>MASSA CORRIDA</t>
        </is>
      </c>
      <c r="D1444" s="4" t="inlineStr">
        <is>
          <t>-</t>
        </is>
      </c>
      <c r="E1444" s="4" t="inlineStr">
        <is>
          <t>4° PAV. APTO GARDEN</t>
        </is>
      </c>
      <c r="F1444" s="119" t="n">
        <v>46639</v>
      </c>
      <c r="G1444" s="119" t="n">
        <v>46647</v>
      </c>
      <c r="H1444" s="119" t="n">
        <v>46293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IF(E1444="","",IF(ISNUMBER(SEARCH("SUBSOLO",E1444)),IFERROR(-VALUE(LEFT(E1444,FIND("º",SUBSTITUTE(E1444,"°","º"))-1)),-1),IF(LEFT(E1444,6)="TÉRREO",0,IFERROR(VALUE(LEFT(E1444,FIND("º",SUBSTITUTE(E1444,"°","º"))-1)),""))))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25210793</v>
      </c>
      <c r="C1445" s="4" t="inlineStr">
        <is>
          <t>FORRO</t>
        </is>
      </c>
      <c r="D1445" s="4" t="inlineStr">
        <is>
          <t>-</t>
        </is>
      </c>
      <c r="E1445" s="4" t="inlineStr">
        <is>
          <t>5º PAV. TIPO</t>
        </is>
      </c>
      <c r="F1445" s="119" t="n">
        <v>46639</v>
      </c>
      <c r="G1445" s="119" t="n">
        <v>46659</v>
      </c>
      <c r="H1445" s="119" t="n">
        <v>46293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IF(E1445="","",IF(ISNUMBER(SEARCH("SUBSOLO",E1445)),IFERROR(-VALUE(LEFT(E1445,FIND("º",SUBSTITUTE(E1445,"°","º"))-1)),-1),IF(LEFT(E1445,6)="TÉRREO",0,IFERROR(VALUE(LEFT(E1445,FIND("º",SUBSTITUTE(E1445,"°","º"))-1)),""))))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25210670</v>
      </c>
      <c r="C1446" s="4" t="inlineStr">
        <is>
          <t>FIAÇÃO ELÉTRICA</t>
        </is>
      </c>
      <c r="D1446" s="4" t="inlineStr">
        <is>
          <t>-</t>
        </is>
      </c>
      <c r="E1446" s="4" t="inlineStr">
        <is>
          <t>8º PAV. TIPO</t>
        </is>
      </c>
      <c r="F1446" s="119" t="n">
        <v>46639</v>
      </c>
      <c r="G1446" s="119" t="n">
        <v>46659</v>
      </c>
      <c r="H1446" s="119" t="n">
        <v>46293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IF(E1446="","",IF(ISNUMBER(SEARCH("SUBSOLO",E1446)),IFERROR(-VALUE(LEFT(E1446,FIND("º",SUBSTITUTE(E1446,"°","º"))-1)),-1),IF(LEFT(E1446,6)="TÉRREO",0,IFERROR(VALUE(LEFT(E1446,FIND("º",SUBSTITUTE(E1446,"°","º"))-1)),""))))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25210701</v>
      </c>
      <c r="C1447" s="4" t="inlineStr">
        <is>
          <t>VENTILAÇÃO / EXAUSTÃO</t>
        </is>
      </c>
      <c r="D1447" s="4" t="inlineStr">
        <is>
          <t>-</t>
        </is>
      </c>
      <c r="E1447" s="4" t="inlineStr">
        <is>
          <t>8º PAV. TIPO</t>
        </is>
      </c>
      <c r="F1447" s="119" t="n">
        <v>46639</v>
      </c>
      <c r="G1447" s="119" t="n">
        <v>46645</v>
      </c>
      <c r="H1447" s="119" t="n">
        <v>46293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IF(E1447="","",IF(ISNUMBER(SEARCH("SUBSOLO",E1447)),IFERROR(-VALUE(LEFT(E1447,FIND("º",SUBSTITUTE(E1447,"°","º"))-1)),-1),IF(LEFT(E1447,6)="TÉRREO",0,IFERROR(VALUE(LEFT(E1447,FIND("º",SUBSTITUTE(E1447,"°","º"))-1)),""))))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33292461</v>
      </c>
      <c r="C1448" s="4" t="inlineStr">
        <is>
          <t>PAISAGISMO</t>
        </is>
      </c>
      <c r="D1448" s="4" t="inlineStr">
        <is>
          <t>-</t>
        </is>
      </c>
      <c r="E1448" s="4" t="inlineStr">
        <is>
          <t>7º PAV. TIPO</t>
        </is>
      </c>
      <c r="F1448" s="119" t="n">
        <v>46640</v>
      </c>
      <c r="G1448" s="119" t="n">
        <v>46653</v>
      </c>
      <c r="H1448" s="119" t="n">
        <v>46293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IF(E1448="","",IF(ISNUMBER(SEARCH("SUBSOLO",E1448)),IFERROR(-VALUE(LEFT(E1448,FIND("º",SUBSTITUTE(E1448,"°","º"))-1)),-1),IF(LEFT(E1448,6)="TÉRREO",0,IFERROR(VALUE(LEFT(E1448,FIND("º",SUBSTITUTE(E1448,"°","º"))-1)),""))))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27762198</v>
      </c>
      <c r="C1449" s="4" t="inlineStr">
        <is>
          <t>TRATAMENTO ACÚSTICO</t>
        </is>
      </c>
      <c r="D1449" s="4" t="inlineStr">
        <is>
          <t>-</t>
        </is>
      </c>
      <c r="E1449" s="4" t="inlineStr">
        <is>
          <t>15º PAV. TIPO</t>
        </is>
      </c>
      <c r="F1449" s="119" t="n">
        <v>46640</v>
      </c>
      <c r="G1449" s="119" t="n">
        <v>46640</v>
      </c>
      <c r="H1449" s="119" t="n">
        <v>46293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IF(E1449="","",IF(ISNUMBER(SEARCH("SUBSOLO",E1449)),IFERROR(-VALUE(LEFT(E1449,FIND("º",SUBSTITUTE(E1449,"°","º"))-1)),-1),IF(LEFT(E1449,6)="TÉRREO",0,IFERROR(VALUE(LEFT(E1449,FIND("º",SUBSTITUTE(E1449,"°","º"))-1)),""))))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25210316</v>
      </c>
      <c r="C1450" s="4" t="inlineStr">
        <is>
          <t>VENTILAÇÃO / EXAUSTÃO</t>
        </is>
      </c>
      <c r="D1450" s="4" t="inlineStr">
        <is>
          <t>-</t>
        </is>
      </c>
      <c r="E1450" s="4" t="inlineStr">
        <is>
          <t>19º PAV. TIPO</t>
        </is>
      </c>
      <c r="F1450" s="119" t="n">
        <v>46640</v>
      </c>
      <c r="G1450" s="119" t="n">
        <v>46646</v>
      </c>
      <c r="H1450" s="119" t="n">
        <v>46293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IF(E1450="","",IF(ISNUMBER(SEARCH("SUBSOLO",E1450)),IFERROR(-VALUE(LEFT(E1450,FIND("º",SUBSTITUTE(E1450,"°","º"))-1)),-1),IF(LEFT(E1450,6)="TÉRREO",0,IFERROR(VALUE(LEFT(E1450,FIND("º",SUBSTITUTE(E1450,"°","º"))-1)),""))))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25210270</v>
      </c>
      <c r="C1451" s="4" t="inlineStr">
        <is>
          <t>REVESTIMENTOS PISO</t>
        </is>
      </c>
      <c r="D1451" s="4" t="inlineStr">
        <is>
          <t>-</t>
        </is>
      </c>
      <c r="E1451" s="4" t="inlineStr">
        <is>
          <t>20º PAV. TIPO</t>
        </is>
      </c>
      <c r="F1451" s="119" t="n">
        <v>46640</v>
      </c>
      <c r="G1451" s="119" t="n">
        <v>46653</v>
      </c>
      <c r="H1451" s="119" t="n">
        <v>46293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IF(E1451="","",IF(ISNUMBER(SEARCH("SUBSOLO",E1451)),IFERROR(-VALUE(LEFT(E1451,FIND("º",SUBSTITUTE(E1451,"°","º"))-1)),-1),IF(LEFT(E1451,6)="TÉRREO",0,IFERROR(VALUE(LEFT(E1451,FIND("º",SUBSTITUTE(E1451,"°","º"))-1)),""))))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25210232</v>
      </c>
      <c r="C1452" s="4" t="inlineStr">
        <is>
          <t>IMPERMEABILIZAÇÃO INTERNA</t>
        </is>
      </c>
      <c r="D1452" s="4" t="inlineStr">
        <is>
          <t>-</t>
        </is>
      </c>
      <c r="E1452" s="4" t="inlineStr">
        <is>
          <t>21º PAV. TIPO</t>
        </is>
      </c>
      <c r="F1452" s="119" t="n">
        <v>46640</v>
      </c>
      <c r="G1452" s="119" t="n">
        <v>46652</v>
      </c>
      <c r="H1452" s="119" t="n">
        <v>46293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IF(E1452="","",IF(ISNUMBER(SEARCH("SUBSOLO",E1452)),IFERROR(-VALUE(LEFT(E1452,FIND("º",SUBSTITUTE(E1452,"°","º"))-1)),-1),IF(LEFT(E1452,6)="TÉRREO",0,IFERROR(VALUE(LEFT(E1452,FIND("º",SUBSTITUTE(E1452,"°","º"))-1)),""))))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25210430</v>
      </c>
      <c r="C1453" s="4" t="inlineStr">
        <is>
          <t>IMPERMEABILIZAÇÃO VARANDA E JARDINEIRAS</t>
        </is>
      </c>
      <c r="D1453" s="4" t="inlineStr">
        <is>
          <t>-</t>
        </is>
      </c>
      <c r="E1453" s="4" t="inlineStr">
        <is>
          <t>15º PAV. TIPO</t>
        </is>
      </c>
      <c r="F1453" s="119" t="n">
        <v>46643</v>
      </c>
      <c r="G1453" s="119" t="n">
        <v>46653</v>
      </c>
      <c r="H1453" s="119" t="n">
        <v>46293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IF(E1453="","",IF(ISNUMBER(SEARCH("SUBSOLO",E1453)),IFERROR(-VALUE(LEFT(E1453,FIND("º",SUBSTITUTE(E1453,"°","º"))-1)),-1),IF(LEFT(E1453,6)="TÉRREO",0,IFERROR(VALUE(LEFT(E1453,FIND("º",SUBSTITUTE(E1453,"°","º"))-1)),""))))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25807559</v>
      </c>
      <c r="C1454" s="4" t="inlineStr">
        <is>
          <t>LOUÇAS</t>
        </is>
      </c>
      <c r="D1454" s="4" t="inlineStr">
        <is>
          <t>-</t>
        </is>
      </c>
      <c r="E1454" s="4" t="inlineStr">
        <is>
          <t>3º PAV. ESPAÇO THERMAS, PISCINA COBERTA, SAUNAS E VESTIÁRIOS</t>
        </is>
      </c>
      <c r="F1454" s="119" t="n">
        <v>46644</v>
      </c>
      <c r="G1454" s="119" t="n">
        <v>46657</v>
      </c>
      <c r="H1454" s="119" t="n">
        <v>46293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IF(E1454="","",IF(ISNUMBER(SEARCH("SUBSOLO",E1454)),IFERROR(-VALUE(LEFT(E1454,FIND("º",SUBSTITUTE(E1454,"°","º"))-1)),-1),IF(LEFT(E1454,6)="TÉRREO",0,IFERROR(VALUE(LEFT(E1454,FIND("º",SUBSTITUTE(E1454,"°","º"))-1)),""))))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25807561</v>
      </c>
      <c r="C1455" s="4" t="inlineStr">
        <is>
          <t>DISJUNTORES / MIOLOS</t>
        </is>
      </c>
      <c r="D1455" s="4" t="inlineStr">
        <is>
          <t>-</t>
        </is>
      </c>
      <c r="E1455" s="4" t="inlineStr">
        <is>
          <t>3º PAV. ESPAÇO THERMAS, PISCINA COBERTA, SAUNAS E VESTIÁRIOS</t>
        </is>
      </c>
      <c r="F1455" s="119" t="n">
        <v>46644</v>
      </c>
      <c r="G1455" s="119" t="n">
        <v>46657</v>
      </c>
      <c r="H1455" s="119" t="n">
        <v>46293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IF(E1455="","",IF(ISNUMBER(SEARCH("SUBSOLO",E1455)),IFERROR(-VALUE(LEFT(E1455,FIND("º",SUBSTITUTE(E1455,"°","º"))-1)),-1),IF(LEFT(E1455,6)="TÉRREO",0,IFERROR(VALUE(LEFT(E1455,FIND("º",SUBSTITUTE(E1455,"°","º"))-1)),""))))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25210119</v>
      </c>
      <c r="C1456" s="4" t="inlineStr">
        <is>
          <t>ESPALA ESQUADRIA DE ALUMINIO</t>
        </is>
      </c>
      <c r="D1456" s="4" t="inlineStr">
        <is>
          <t>-</t>
        </is>
      </c>
      <c r="E1456" s="4" t="inlineStr">
        <is>
          <t>24º PAV. TIPO</t>
        </is>
      </c>
      <c r="F1456" s="119" t="n">
        <v>46645</v>
      </c>
      <c r="G1456" s="119" t="n">
        <v>46651</v>
      </c>
      <c r="H1456" s="119" t="n">
        <v>46293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IF(E1456="","",IF(ISNUMBER(SEARCH("SUBSOLO",E1456)),IFERROR(-VALUE(LEFT(E1456,FIND("º",SUBSTITUTE(E1456,"°","º"))-1)),-1),IF(LEFT(E1456,6)="TÉRREO",0,IFERROR(VALUE(LEFT(E1456,FIND("º",SUBSTITUTE(E1456,"°","º"))-1)),""))))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25210082</v>
      </c>
      <c r="C1457" s="4" t="inlineStr">
        <is>
          <t>CONTRAMARCO</t>
        </is>
      </c>
      <c r="D1457" s="4" t="inlineStr">
        <is>
          <t>-</t>
        </is>
      </c>
      <c r="E1457" s="4" t="inlineStr">
        <is>
          <t>25º PAV. TIPO</t>
        </is>
      </c>
      <c r="F1457" s="119" t="n">
        <v>46645</v>
      </c>
      <c r="G1457" s="119" t="n">
        <v>46657</v>
      </c>
      <c r="H1457" s="119" t="n">
        <v>46293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IF(E1457="","",IF(ISNUMBER(SEARCH("SUBSOLO",E1457)),IFERROR(-VALUE(LEFT(E1457,FIND("º",SUBSTITUTE(E1457,"°","º"))-1)),-1),IF(LEFT(E1457,6)="TÉRREO",0,IFERROR(VALUE(LEFT(E1457,FIND("º",SUBSTITUTE(E1457,"°","º"))-1)),""))))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29601283</v>
      </c>
      <c r="C1458" s="4" t="inlineStr">
        <is>
          <t>ENCUNHAMENTO</t>
        </is>
      </c>
      <c r="D1458" s="4" t="inlineStr">
        <is>
          <t>-</t>
        </is>
      </c>
      <c r="E1458" s="4" t="inlineStr">
        <is>
          <t>25º PAV. TIPO</t>
        </is>
      </c>
      <c r="F1458" s="119" t="n">
        <v>46645</v>
      </c>
      <c r="G1458" s="119" t="n">
        <v>46657</v>
      </c>
      <c r="H1458" s="119" t="n">
        <v>46293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IF(E1458="","",IF(ISNUMBER(SEARCH("SUBSOLO",E1458)),IFERROR(-VALUE(LEFT(E1458,FIND("º",SUBSTITUTE(E1458,"°","º"))-1)),-1),IF(LEFT(E1458,6)="TÉRREO",0,IFERROR(VALUE(LEFT(E1458,FIND("º",SUBSTITUTE(E1458,"°","º"))-1)),""))))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25210050</v>
      </c>
      <c r="C1459" s="4" t="inlineStr">
        <is>
          <t>DISTRIBUIÇÃO ELÉTRICA / QUADRO - SETOR B</t>
        </is>
      </c>
      <c r="D1459" s="4" t="inlineStr">
        <is>
          <t>-</t>
        </is>
      </c>
      <c r="E1459" s="4" t="inlineStr">
        <is>
          <t>26º PAV. -  DUPLEX INFERIOR</t>
        </is>
      </c>
      <c r="F1459" s="119" t="n">
        <v>46645</v>
      </c>
      <c r="G1459" s="119" t="n">
        <v>46657</v>
      </c>
      <c r="H1459" s="119" t="n">
        <v>46293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IF(E1459="","",IF(ISNUMBER(SEARCH("SUBSOLO",E1459)),IFERROR(-VALUE(LEFT(E1459,FIND("º",SUBSTITUTE(E1459,"°","º"))-1)),-1),IF(LEFT(E1459,6)="TÉRREO",0,IFERROR(VALUE(LEFT(E1459,FIND("º",SUBSTITUTE(E1459,"°","º"))-1)),""))))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33276752</v>
      </c>
      <c r="C1460" s="4" t="inlineStr">
        <is>
          <t>INFRAESTRUTURA ELÉTRICA - TETO</t>
        </is>
      </c>
      <c r="D1460" s="4" t="inlineStr">
        <is>
          <t>-</t>
        </is>
      </c>
      <c r="E1460" s="4" t="inlineStr">
        <is>
          <t>26º PAV. -  DUPLEX INFERIOR</t>
        </is>
      </c>
      <c r="F1460" s="119" t="n">
        <v>46645</v>
      </c>
      <c r="G1460" s="119" t="n">
        <v>46657</v>
      </c>
      <c r="H1460" s="119" t="n">
        <v>46293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IF(E1460="","",IF(ISNUMBER(SEARCH("SUBSOLO",E1460)),IFERROR(-VALUE(LEFT(E1460,FIND("º",SUBSTITUTE(E1460,"°","º"))-1)),-1),IF(LEFT(E1460,6)="TÉRREO",0,IFERROR(VALUE(LEFT(E1460,FIND("º",SUBSTITUTE(E1460,"°","º"))-1)),""))))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27769251</v>
      </c>
      <c r="C1461" s="4" t="inlineStr">
        <is>
          <t>PRUMADA ELÉTRICA INFRA</t>
        </is>
      </c>
      <c r="D1461" s="4" t="inlineStr">
        <is>
          <t>-</t>
        </is>
      </c>
      <c r="E1461" s="4" t="inlineStr">
        <is>
          <t>27º PAV. -  DUPLEX SUPERIOR</t>
        </is>
      </c>
      <c r="F1461" s="119" t="n">
        <v>46645</v>
      </c>
      <c r="G1461" s="119" t="n">
        <v>46657</v>
      </c>
      <c r="H1461" s="119" t="n">
        <v>46293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IF(E1461="","",IF(ISNUMBER(SEARCH("SUBSOLO",E1461)),IFERROR(-VALUE(LEFT(E1461,FIND("º",SUBSTITUTE(E1461,"°","º"))-1)),-1),IF(LEFT(E1461,6)="TÉRREO",0,IFERROR(VALUE(LEFT(E1461,FIND("º",SUBSTITUTE(E1461,"°","º"))-1)),""))))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25799864</v>
      </c>
      <c r="C1462" s="4" t="inlineStr">
        <is>
          <t>ESQUADRIA</t>
        </is>
      </c>
      <c r="D1462" s="4" t="inlineStr">
        <is>
          <t>-</t>
        </is>
      </c>
      <c r="E1462" s="4" t="inlineStr">
        <is>
          <t>3º PAV. PISCINA DESCOBERTA E E ÁREA DESCOBERTA PISCINA</t>
        </is>
      </c>
      <c r="F1462" s="119" t="n">
        <v>46646</v>
      </c>
      <c r="G1462" s="119" t="n">
        <v>46666</v>
      </c>
      <c r="H1462" s="119" t="n">
        <v>46293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IF(E1462="","",IF(ISNUMBER(SEARCH("SUBSOLO",E1462)),IFERROR(-VALUE(LEFT(E1462,FIND("º",SUBSTITUTE(E1462,"°","º"))-1)),-1),IF(LEFT(E1462,6)="TÉRREO",0,IFERROR(VALUE(LEFT(E1462,FIND("º",SUBSTITUTE(E1462,"°","º"))-1)),""))))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25210634</v>
      </c>
      <c r="C1463" s="4" t="inlineStr">
        <is>
          <t>BANCADAS</t>
        </is>
      </c>
      <c r="D1463" s="4" t="inlineStr">
        <is>
          <t>-</t>
        </is>
      </c>
      <c r="E1463" s="4" t="inlineStr">
        <is>
          <t>9º PAV. TIPO</t>
        </is>
      </c>
      <c r="F1463" s="119" t="n">
        <v>46646</v>
      </c>
      <c r="G1463" s="119" t="n">
        <v>46659</v>
      </c>
      <c r="H1463" s="119" t="n">
        <v>46293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IF(E1463="","",IF(ISNUMBER(SEARCH("SUBSOLO",E1463)),IFERROR(-VALUE(LEFT(E1463,FIND("º",SUBSTITUTE(E1463,"°","º"))-1)),-1),IF(LEFT(E1463,6)="TÉRREO",0,IFERROR(VALUE(LEFT(E1463,FIND("º",SUBSTITUTE(E1463,"°","º"))-1)),""))))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25210550</v>
      </c>
      <c r="C1464" s="4" t="inlineStr">
        <is>
          <t>REVESTIMENTOS PISO</t>
        </is>
      </c>
      <c r="D1464" s="4" t="inlineStr">
        <is>
          <t>-</t>
        </is>
      </c>
      <c r="E1464" s="4" t="inlineStr">
        <is>
          <t>12º PAV. TIPO</t>
        </is>
      </c>
      <c r="F1464" s="119" t="n">
        <v>46646</v>
      </c>
      <c r="G1464" s="119" t="n">
        <v>46659</v>
      </c>
      <c r="H1464" s="119" t="n">
        <v>46293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IF(E1464="","",IF(ISNUMBER(SEARCH("SUBSOLO",E1464)),IFERROR(-VALUE(LEFT(E1464,FIND("º",SUBSTITUTE(E1464,"°","º"))-1)),-1),IF(LEFT(E1464,6)="TÉRREO",0,IFERROR(VALUE(LEFT(E1464,FIND("º",SUBSTITUTE(E1464,"°","º"))-1)),""))))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25210615</v>
      </c>
      <c r="C1465" s="4" t="inlineStr">
        <is>
          <t>PISO MADEIRA / LAMINADO</t>
        </is>
      </c>
      <c r="D1465" s="4" t="inlineStr">
        <is>
          <t>-</t>
        </is>
      </c>
      <c r="E1465" s="4" t="inlineStr">
        <is>
          <t>10º PAV. TIPO</t>
        </is>
      </c>
      <c r="F1465" s="119" t="n">
        <v>46647</v>
      </c>
      <c r="G1465" s="119" t="n">
        <v>46660</v>
      </c>
      <c r="H1465" s="119" t="n">
        <v>46293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IF(E1465="","",IF(ISNUMBER(SEARCH("SUBSOLO",E1465)),IFERROR(-VALUE(LEFT(E1465,FIND("º",SUBSTITUTE(E1465,"°","º"))-1)),-1),IF(LEFT(E1465,6)="TÉRREO",0,IFERROR(VALUE(LEFT(E1465,FIND("º",SUBSTITUTE(E1465,"°","º"))-1)),""))))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9054394</v>
      </c>
      <c r="C1466" s="4" t="inlineStr">
        <is>
          <t>PISO MADEIRA / LAMINADO</t>
        </is>
      </c>
      <c r="D1466" s="4" t="inlineStr">
        <is>
          <t>Regularização de Piso</t>
        </is>
      </c>
      <c r="E1466" s="4" t="inlineStr">
        <is>
          <t>10º PAV. TIPO</t>
        </is>
      </c>
      <c r="F1466" s="119" t="n">
        <v>46647</v>
      </c>
      <c r="G1466" s="119" t="n">
        <v>46653</v>
      </c>
      <c r="H1466" s="119" t="n">
        <v>46293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IF(E1466="","",IF(ISNUMBER(SEARCH("SUBSOLO",E1466)),IFERROR(-VALUE(LEFT(E1466,FIND("º",SUBSTITUTE(E1466,"°","º"))-1)),-1),IF(LEFT(E1466,6)="TÉRREO",0,IFERROR(VALUE(LEFT(E1466,FIND("º",SUBSTITUTE(E1466,"°","º"))-1)),""))))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9054395</v>
      </c>
      <c r="C1467" s="4" t="inlineStr">
        <is>
          <t>PISO MADEIRA / LAMINADO</t>
        </is>
      </c>
      <c r="D1467" s="4" t="inlineStr">
        <is>
          <t>Instalação Piso Madeira</t>
        </is>
      </c>
      <c r="E1467" s="4" t="inlineStr">
        <is>
          <t>10º PAV. TIPO</t>
        </is>
      </c>
      <c r="F1467" s="119" t="n">
        <v>46654</v>
      </c>
      <c r="G1467" s="119" t="n">
        <v>46660</v>
      </c>
      <c r="H1467" s="119" t="n">
        <v>46293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IF(E1467="","",IF(ISNUMBER(SEARCH("SUBSOLO",E1467)),IFERROR(-VALUE(LEFT(E1467,FIND("º",SUBSTITUTE(E1467,"°","º"))-1)),-1),IF(LEFT(E1467,6)="TÉRREO",0,IFERROR(VALUE(LEFT(E1467,FIND("º",SUBSTITUTE(E1467,"°","º"))-1)),""))))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25210584</v>
      </c>
      <c r="C1468" s="4" t="inlineStr">
        <is>
          <t>ESQUADRIA</t>
        </is>
      </c>
      <c r="D1468" s="4" t="inlineStr">
        <is>
          <t>-</t>
        </is>
      </c>
      <c r="E1468" s="4" t="inlineStr">
        <is>
          <t>11º PAV. TIPO</t>
        </is>
      </c>
      <c r="F1468" s="119" t="n">
        <v>46647</v>
      </c>
      <c r="G1468" s="119" t="n">
        <v>46667</v>
      </c>
      <c r="H1468" s="119" t="n">
        <v>46293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IF(E1468="","",IF(ISNUMBER(SEARCH("SUBSOLO",E1468)),IFERROR(-VALUE(LEFT(E1468,FIND("º",SUBSTITUTE(E1468,"°","º"))-1)),-1),IF(LEFT(E1468,6)="TÉRREO",0,IFERROR(VALUE(LEFT(E1468,FIND("º",SUBSTITUTE(E1468,"°","º"))-1)),""))))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33276114</v>
      </c>
      <c r="C1469" s="4" t="inlineStr">
        <is>
          <t>INFRAESTRUTURA - AR CONDICIONADO</t>
        </is>
      </c>
      <c r="D1469" s="4" t="inlineStr">
        <is>
          <t>-</t>
        </is>
      </c>
      <c r="E1469" s="4" t="inlineStr">
        <is>
          <t>14º PAV. TIPO</t>
        </is>
      </c>
      <c r="F1469" s="119" t="n">
        <v>46647</v>
      </c>
      <c r="G1469" s="119" t="n">
        <v>46660</v>
      </c>
      <c r="H1469" s="119" t="n">
        <v>46293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IF(E1469="","",IF(ISNUMBER(SEARCH("SUBSOLO",E1469)),IFERROR(-VALUE(LEFT(E1469,FIND("º",SUBSTITUTE(E1469,"°","º"))-1)),-1),IF(LEFT(E1469,6)="TÉRREO",0,IFERROR(VALUE(LEFT(E1469,FIND("º",SUBSTITUTE(E1469,"°","º"))-1)),""))))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33278921</v>
      </c>
      <c r="C1470" s="4" t="inlineStr">
        <is>
          <t>INFRAESTRUTURA ELÉTRICA - PAREDES</t>
        </is>
      </c>
      <c r="D1470" s="4" t="inlineStr">
        <is>
          <t>-</t>
        </is>
      </c>
      <c r="E1470" s="4" t="inlineStr">
        <is>
          <t>14º PAV. TIPO</t>
        </is>
      </c>
      <c r="F1470" s="119" t="n">
        <v>46647</v>
      </c>
      <c r="G1470" s="119" t="n">
        <v>46659</v>
      </c>
      <c r="H1470" s="119" t="n">
        <v>46293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IF(E1470="","",IF(ISNUMBER(SEARCH("SUBSOLO",E1470)),IFERROR(-VALUE(LEFT(E1470,FIND("º",SUBSTITUTE(E1470,"°","º"))-1)),-1),IF(LEFT(E1470,6)="TÉRREO",0,IFERROR(VALUE(LEFT(E1470,FIND("º",SUBSTITUTE(E1470,"°","º"))-1)),""))))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25210352</v>
      </c>
      <c r="C1471" s="4" t="inlineStr">
        <is>
          <t>MASSA CORRIDA</t>
        </is>
      </c>
      <c r="D1471" s="4" t="inlineStr">
        <is>
          <t>-</t>
        </is>
      </c>
      <c r="E1471" s="4" t="inlineStr">
        <is>
          <t>17º PAV. TIPO</t>
        </is>
      </c>
      <c r="F1471" s="119" t="n">
        <v>46647</v>
      </c>
      <c r="G1471" s="119" t="n">
        <v>46657</v>
      </c>
      <c r="H1471" s="119" t="n">
        <v>46293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IF(E1471="","",IF(ISNUMBER(SEARCH("SUBSOLO",E1471)),IFERROR(-VALUE(LEFT(E1471,FIND("º",SUBSTITUTE(E1471,"°","º"))-1)),-1),IF(LEFT(E1471,6)="TÉRREO",0,IFERROR(VALUE(LEFT(E1471,FIND("º",SUBSTITUTE(E1471,"°","º"))-1)),""))))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25210338</v>
      </c>
      <c r="C1472" s="4" t="inlineStr">
        <is>
          <t>FORRO</t>
        </is>
      </c>
      <c r="D1472" s="4" t="inlineStr">
        <is>
          <t>-</t>
        </is>
      </c>
      <c r="E1472" s="4" t="inlineStr">
        <is>
          <t>18º PAV. TIPO</t>
        </is>
      </c>
      <c r="F1472" s="119" t="n">
        <v>46647</v>
      </c>
      <c r="G1472" s="119" t="n">
        <v>46667</v>
      </c>
      <c r="H1472" s="119" t="n">
        <v>46293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IF(E1472="","",IF(ISNUMBER(SEARCH("SUBSOLO",E1472)),IFERROR(-VALUE(LEFT(E1472,FIND("º",SUBSTITUTE(E1472,"°","º"))-1)),-1),IF(LEFT(E1472,6)="TÉRREO",0,IFERROR(VALUE(LEFT(E1472,FIND("º",SUBSTITUTE(E1472,"°","º"))-1)),""))))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25210285</v>
      </c>
      <c r="C1473" s="4" t="inlineStr">
        <is>
          <t>FIAÇÃO ELÉTRICA</t>
        </is>
      </c>
      <c r="D1473" s="4" t="inlineStr">
        <is>
          <t>-</t>
        </is>
      </c>
      <c r="E1473" s="4" t="inlineStr">
        <is>
          <t>19º PAV. TIPO</t>
        </is>
      </c>
      <c r="F1473" s="119" t="n">
        <v>46647</v>
      </c>
      <c r="G1473" s="119" t="n">
        <v>46667</v>
      </c>
      <c r="H1473" s="119" t="n">
        <v>46293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IF(E1473="","",IF(ISNUMBER(SEARCH("SUBSOLO",E1473)),IFERROR(-VALUE(LEFT(E1473,FIND("º",SUBSTITUTE(E1473,"°","º"))-1)),-1),IF(LEFT(E1473,6)="TÉRREO",0,IFERROR(VALUE(LEFT(E1473,FIND("º",SUBSTITUTE(E1473,"°","º"))-1)),""))))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25731723</v>
      </c>
      <c r="C1474" s="4" t="inlineStr">
        <is>
          <t>FACHADA BALTAZAR - F2 (D)</t>
        </is>
      </c>
      <c r="D1474" s="4" t="inlineStr">
        <is>
          <t>-</t>
        </is>
      </c>
      <c r="E1474" s="4" t="inlineStr">
        <is>
          <t>FACHADA</t>
        </is>
      </c>
      <c r="F1474" s="119" t="n">
        <v>46647</v>
      </c>
      <c r="G1474" s="119" t="n">
        <v>46667</v>
      </c>
      <c r="H1474" s="119" t="n">
        <v>46293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IF(E1474="","",IF(ISNUMBER(SEARCH("SUBSOLO",E1474)),IFERROR(-VALUE(LEFT(E1474,FIND("º",SUBSTITUTE(E1474,"°","º"))-1)),-1),IF(LEFT(E1474,6)="TÉRREO",0,IFERROR(VALUE(LEFT(E1474,FIND("º",SUBSTITUTE(E1474,"°","º"))-1)),""))))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25752922</v>
      </c>
      <c r="C1475" s="4" t="inlineStr">
        <is>
          <t>DISJUNTORES / MIOLOS</t>
        </is>
      </c>
      <c r="D1475" s="4" t="inlineStr">
        <is>
          <t>-</t>
        </is>
      </c>
      <c r="E1475" s="4" t="inlineStr">
        <is>
          <t>2º PAV. GARAGEM.</t>
        </is>
      </c>
      <c r="F1475" s="119" t="n">
        <v>46650</v>
      </c>
      <c r="G1475" s="119" t="n">
        <v>46654</v>
      </c>
      <c r="H1475" s="119" t="n">
        <v>46293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IF(E1475="","",IF(ISNUMBER(SEARCH("SUBSOLO",E1475)),IFERROR(-VALUE(LEFT(E1475,FIND("º",SUBSTITUTE(E1475,"°","º"))-1)),-1),IF(LEFT(E1475,6)="TÉRREO",0,IFERROR(VALUE(LEFT(E1475,FIND("º",SUBSTITUTE(E1475,"°","º"))-1)),""))))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25799832</v>
      </c>
      <c r="C1476" s="4" t="inlineStr">
        <is>
          <t>ESQUADRIA</t>
        </is>
      </c>
      <c r="D1476" s="4" t="inlineStr">
        <is>
          <t>-</t>
        </is>
      </c>
      <c r="E1476" s="4" t="inlineStr">
        <is>
          <t>3º PAV. - BAR PISCINA, VESTIÁRIOS, DEPOSITOS E LOUNGE QUADRAS</t>
        </is>
      </c>
      <c r="F1476" s="119" t="n">
        <v>46650</v>
      </c>
      <c r="G1476" s="119" t="n">
        <v>46668</v>
      </c>
      <c r="H1476" s="119" t="n">
        <v>46293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IF(E1476="","",IF(ISNUMBER(SEARCH("SUBSOLO",E1476)),IFERROR(-VALUE(LEFT(E1476,FIND("º",SUBSTITUTE(E1476,"°","º"))-1)),-1),IF(LEFT(E1476,6)="TÉRREO",0,IFERROR(VALUE(LEFT(E1476,FIND("º",SUBSTITUTE(E1476,"°","º"))-1)),""))))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25800008</v>
      </c>
      <c r="C1477" s="4" t="inlineStr">
        <is>
          <t>REVESTIMENTOS PISO</t>
        </is>
      </c>
      <c r="D1477" s="4" t="inlineStr">
        <is>
          <t>-</t>
        </is>
      </c>
      <c r="E1477" s="4" t="inlineStr">
        <is>
          <t>3º PAV. - ESPAÇO KIDS E GOURMET, SALÃO DE FESTAS E APOIO, LOBBY PILOTIS</t>
        </is>
      </c>
      <c r="F1477" s="119" t="n">
        <v>46650</v>
      </c>
      <c r="G1477" s="119" t="n">
        <v>46659</v>
      </c>
      <c r="H1477" s="119" t="n">
        <v>46293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IF(E1477="","",IF(ISNUMBER(SEARCH("SUBSOLO",E1477)),IFERROR(-VALUE(LEFT(E1477,FIND("º",SUBSTITUTE(E1477,"°","º"))-1)),-1),IF(LEFT(E1477,6)="TÉRREO",0,IFERROR(VALUE(LEFT(E1477,FIND("º",SUBSTITUTE(E1477,"°","º"))-1)),""))))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25210808</v>
      </c>
      <c r="C1478" s="4" t="inlineStr">
        <is>
          <t>PINTURA 1º DEMÃO</t>
        </is>
      </c>
      <c r="D1478" s="4" t="inlineStr">
        <is>
          <t>-</t>
        </is>
      </c>
      <c r="E1478" s="4" t="inlineStr">
        <is>
          <t>4° PAV. APTO GARDEN</t>
        </is>
      </c>
      <c r="F1478" s="119" t="n">
        <v>46650</v>
      </c>
      <c r="G1478" s="119" t="n">
        <v>46659</v>
      </c>
      <c r="H1478" s="119" t="n">
        <v>46293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IF(E1478="","",IF(ISNUMBER(SEARCH("SUBSOLO",E1478)),IFERROR(-VALUE(LEFT(E1478,FIND("º",SUBSTITUTE(E1478,"°","º"))-1)),-1),IF(LEFT(E1478,6)="TÉRREO",0,IFERROR(VALUE(LEFT(E1478,FIND("º",SUBSTITUTE(E1478,"°","º"))-1)),""))))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25210512</v>
      </c>
      <c r="C1479" s="4" t="inlineStr">
        <is>
          <t>IMPERMEABILIZAÇÃO INTERNA</t>
        </is>
      </c>
      <c r="D1479" s="4" t="inlineStr">
        <is>
          <t>-</t>
        </is>
      </c>
      <c r="E1479" s="4" t="inlineStr">
        <is>
          <t>13º PAV. TIPO</t>
        </is>
      </c>
      <c r="F1479" s="119" t="n">
        <v>46650</v>
      </c>
      <c r="G1479" s="119" t="n">
        <v>46660</v>
      </c>
      <c r="H1479" s="119" t="n">
        <v>46293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IF(E1479="","",IF(ISNUMBER(SEARCH("SUBSOLO",E1479)),IFERROR(-VALUE(LEFT(E1479,FIND("º",SUBSTITUTE(E1479,"°","º"))-1)),-1),IF(LEFT(E1479,6)="TÉRREO",0,IFERROR(VALUE(LEFT(E1479,FIND("º",SUBSTITUTE(E1479,"°","º"))-1)),""))))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25210188</v>
      </c>
      <c r="C1480" s="4" t="inlineStr">
        <is>
          <t>SHAFT INTERNO INST. HIDRAÚLICAS</t>
        </is>
      </c>
      <c r="D1480" s="4" t="inlineStr">
        <is>
          <t>-</t>
        </is>
      </c>
      <c r="E1480" s="4" t="inlineStr">
        <is>
          <t>22º PAV. TIPO</t>
        </is>
      </c>
      <c r="F1480" s="119" t="n">
        <v>46650</v>
      </c>
      <c r="G1480" s="119" t="n">
        <v>46660</v>
      </c>
      <c r="H1480" s="119" t="n">
        <v>46293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IF(E1480="","",IF(ISNUMBER(SEARCH("SUBSOLO",E1480)),IFERROR(-VALUE(LEFT(E1480,FIND("º",SUBSTITUTE(E1480,"°","º"))-1)),-1),IF(LEFT(E1480,6)="TÉRREO",0,IFERROR(VALUE(LEFT(E1480,FIND("º",SUBSTITUTE(E1480,"°","º"))-1)),""))))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25210158</v>
      </c>
      <c r="C1481" s="4" t="inlineStr">
        <is>
          <t>REBOCO INTERNO</t>
        </is>
      </c>
      <c r="D1481" s="4" t="inlineStr">
        <is>
          <t>-</t>
        </is>
      </c>
      <c r="E1481" s="4" t="inlineStr">
        <is>
          <t>23º PAV. TIPO</t>
        </is>
      </c>
      <c r="F1481" s="119" t="n">
        <v>46650</v>
      </c>
      <c r="G1481" s="119" t="n">
        <v>46668</v>
      </c>
      <c r="H1481" s="119" t="n">
        <v>46293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IF(E1481="","",IF(ISNUMBER(SEARCH("SUBSOLO",E1481)),IFERROR(-VALUE(LEFT(E1481,FIND("º",SUBSTITUTE(E1481,"°","º"))-1)),-1),IF(LEFT(E1481,6)="TÉRREO",0,IFERROR(VALUE(LEFT(E1481,FIND("º",SUBSTITUTE(E1481,"°","º"))-1)),""))))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29601309</v>
      </c>
      <c r="C1482" s="4" t="inlineStr">
        <is>
          <t>TALISCAMENTO</t>
        </is>
      </c>
      <c r="D1482" s="4" t="inlineStr">
        <is>
          <t>-</t>
        </is>
      </c>
      <c r="E1482" s="4" t="inlineStr">
        <is>
          <t>27º PAV. -  DUPLEX SUPERIOR</t>
        </is>
      </c>
      <c r="F1482" s="119" t="n">
        <v>46650</v>
      </c>
      <c r="G1482" s="119" t="n">
        <v>46660</v>
      </c>
      <c r="H1482" s="119" t="n">
        <v>46293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IF(E1482="","",IF(ISNUMBER(SEARCH("SUBSOLO",E1482)),IFERROR(-VALUE(LEFT(E1482,FIND("º",SUBSTITUTE(E1482,"°","º"))-1)),-1),IF(LEFT(E1482,6)="TÉRREO",0,IFERROR(VALUE(LEFT(E1482,FIND("º",SUBSTITUTE(E1482,"°","º"))-1)),""))))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25210765</v>
      </c>
      <c r="C1483" s="4" t="inlineStr">
        <is>
          <t>LIMPEZA GROSSA</t>
        </is>
      </c>
      <c r="D1483" s="4" t="inlineStr">
        <is>
          <t>-</t>
        </is>
      </c>
      <c r="E1483" s="4" t="inlineStr">
        <is>
          <t>6º PAV. TIPO</t>
        </is>
      </c>
      <c r="F1483" s="119" t="n">
        <v>46651</v>
      </c>
      <c r="G1483" s="119" t="n">
        <v>46664</v>
      </c>
      <c r="H1483" s="119" t="n">
        <v>46293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IF(E1483="","",IF(ISNUMBER(SEARCH("SUBSOLO",E1483)),IFERROR(-VALUE(LEFT(E1483,FIND("º",SUBSTITUTE(E1483,"°","º"))-1)),-1),IF(LEFT(E1483,6)="TÉRREO",0,IFERROR(VALUE(LEFT(E1483,FIND("º",SUBSTITUTE(E1483,"°","º"))-1)),""))))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27762204</v>
      </c>
      <c r="C1484" s="4" t="inlineStr">
        <is>
          <t>TRATAMENTO ACÚSTICO</t>
        </is>
      </c>
      <c r="D1484" s="4" t="inlineStr">
        <is>
          <t>-</t>
        </is>
      </c>
      <c r="E1484" s="4" t="inlineStr">
        <is>
          <t>21º PAV. TIPO</t>
        </is>
      </c>
      <c r="F1484" s="119" t="n">
        <v>46653</v>
      </c>
      <c r="G1484" s="119" t="n">
        <v>46653</v>
      </c>
      <c r="H1484" s="119" t="n">
        <v>46293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IF(E1484="","",IF(ISNUMBER(SEARCH("SUBSOLO",E1484)),IFERROR(-VALUE(LEFT(E1484,FIND("º",SUBSTITUTE(E1484,"°","º"))-1)),-1),IF(LEFT(E1484,6)="TÉRREO",0,IFERROR(VALUE(LEFT(E1484,FIND("º",SUBSTITUTE(E1484,"°","º"))-1)),""))))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33276131</v>
      </c>
      <c r="C1485" s="4" t="inlineStr">
        <is>
          <t>TRATAMENTO DE GRANITO/MÁRMORE</t>
        </is>
      </c>
      <c r="D1485" s="4" t="inlineStr">
        <is>
          <t>-</t>
        </is>
      </c>
      <c r="E1485" s="4" t="inlineStr">
        <is>
          <t>7º PAV. TIPO</t>
        </is>
      </c>
      <c r="F1485" s="119" t="n">
        <v>46654</v>
      </c>
      <c r="G1485" s="119" t="n">
        <v>46675</v>
      </c>
      <c r="H1485" s="119" t="n">
        <v>46293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IF(E1485="","",IF(ISNUMBER(SEARCH("SUBSOLO",E1485)),IFERROR(-VALUE(LEFT(E1485,FIND("º",SUBSTITUTE(E1485,"°","º"))-1)),-1),IF(LEFT(E1485,6)="TÉRREO",0,IFERROR(VALUE(LEFT(E1485,FIND("º",SUBSTITUTE(E1485,"°","º"))-1)),""))))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25210441</v>
      </c>
      <c r="C1486" s="4" t="inlineStr">
        <is>
          <t>CONTRAPISO</t>
        </is>
      </c>
      <c r="D1486" s="4" t="inlineStr">
        <is>
          <t>-</t>
        </is>
      </c>
      <c r="E1486" s="4" t="inlineStr">
        <is>
          <t>15º PAV. TIPO</t>
        </is>
      </c>
      <c r="F1486" s="119" t="n">
        <v>46654</v>
      </c>
      <c r="G1486" s="119" t="n">
        <v>46667</v>
      </c>
      <c r="H1486" s="119" t="n">
        <v>46293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IF(E1486="","",IF(ISNUMBER(SEARCH("SUBSOLO",E1486)),IFERROR(-VALUE(LEFT(E1486,FIND("º",SUBSTITUTE(E1486,"°","º"))-1)),-1),IF(LEFT(E1486,6)="TÉRREO",0,IFERROR(VALUE(LEFT(E1486,FIND("º",SUBSTITUTE(E1486,"°","º"))-1)),""))))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27765759</v>
      </c>
      <c r="C1487" s="4" t="inlineStr">
        <is>
          <t>DRENO + ATERRO JARDINEIRAS</t>
        </is>
      </c>
      <c r="D1487" s="4" t="inlineStr">
        <is>
          <t>-</t>
        </is>
      </c>
      <c r="E1487" s="4" t="inlineStr">
        <is>
          <t>15º PAV. TIPO</t>
        </is>
      </c>
      <c r="F1487" s="119" t="n">
        <v>46654</v>
      </c>
      <c r="G1487" s="119" t="n">
        <v>46666</v>
      </c>
      <c r="H1487" s="119" t="n">
        <v>46293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IF(E1487="","",IF(ISNUMBER(SEARCH("SUBSOLO",E1487)),IFERROR(-VALUE(LEFT(E1487,FIND("º",SUBSTITUTE(E1487,"°","º"))-1)),-1),IF(LEFT(E1487,6)="TÉRREO",0,IFERROR(VALUE(LEFT(E1487,FIND("º",SUBSTITUTE(E1487,"°","º"))-1)),""))))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25210249</v>
      </c>
      <c r="C1488" s="4" t="inlineStr">
        <is>
          <t>BANCADAS</t>
        </is>
      </c>
      <c r="D1488" s="4" t="inlineStr">
        <is>
          <t>-</t>
        </is>
      </c>
      <c r="E1488" s="4" t="inlineStr">
        <is>
          <t>20º PAV. TIPO</t>
        </is>
      </c>
      <c r="F1488" s="119" t="n">
        <v>46654</v>
      </c>
      <c r="G1488" s="119" t="n">
        <v>46667</v>
      </c>
      <c r="H1488" s="119" t="n">
        <v>46293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IF(E1488="","",IF(ISNUMBER(SEARCH("SUBSOLO",E1488)),IFERROR(-VALUE(LEFT(E1488,FIND("º",SUBSTITUTE(E1488,"°","º"))-1)),-1),IF(LEFT(E1488,6)="TÉRREO",0,IFERROR(VALUE(LEFT(E1488,FIND("º",SUBSTITUTE(E1488,"°","º"))-1)),""))))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25210220</v>
      </c>
      <c r="C1489" s="4" t="inlineStr">
        <is>
          <t>IMPERMEABILIZAÇÃO VARANDA E JARDINEIRAS</t>
        </is>
      </c>
      <c r="D1489" s="4" t="inlineStr">
        <is>
          <t>-</t>
        </is>
      </c>
      <c r="E1489" s="4" t="inlineStr">
        <is>
          <t>21º PAV. TIPO</t>
        </is>
      </c>
      <c r="F1489" s="119" t="n">
        <v>46654</v>
      </c>
      <c r="G1489" s="119" t="n">
        <v>46666</v>
      </c>
      <c r="H1489" s="119" t="n">
        <v>46293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IF(E1489="","",IF(ISNUMBER(SEARCH("SUBSOLO",E1489)),IFERROR(-VALUE(LEFT(E1489,FIND("º",SUBSTITUTE(E1489,"°","º"))-1)),-1),IF(LEFT(E1489,6)="TÉRREO",0,IFERROR(VALUE(LEFT(E1489,FIND("º",SUBSTITUTE(E1489,"°","º"))-1)),""))))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27771112</v>
      </c>
      <c r="C1490" s="4" t="inlineStr">
        <is>
          <t>SPDA</t>
        </is>
      </c>
      <c r="D1490" s="4" t="inlineStr">
        <is>
          <t>-</t>
        </is>
      </c>
      <c r="E1490" s="4" t="inlineStr">
        <is>
          <t>29º PAV. -  BARRILETE</t>
        </is>
      </c>
      <c r="F1490" s="119" t="n">
        <v>46654</v>
      </c>
      <c r="G1490" s="119" t="n">
        <v>46682</v>
      </c>
      <c r="H1490" s="119" t="n">
        <v>46293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IF(E1490="","",IF(ISNUMBER(SEARCH("SUBSOLO",E1490)),IFERROR(-VALUE(LEFT(E1490,FIND("º",SUBSTITUTE(E1490,"°","º"))-1)),-1),IF(LEFT(E1490,6)="TÉRREO",0,IFERROR(VALUE(LEFT(E1490,FIND("º",SUBSTITUTE(E1490,"°","º"))-1)),""))))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25752797</v>
      </c>
      <c r="C1491" s="4" t="inlineStr">
        <is>
          <t>CONTRAPISO</t>
        </is>
      </c>
      <c r="D1491" s="4" t="inlineStr">
        <is>
          <t>-</t>
        </is>
      </c>
      <c r="E1491" s="4" t="inlineStr">
        <is>
          <t>TÉRREO - ÁREAS DE FUNCIONÁRIOS</t>
        </is>
      </c>
      <c r="F1491" s="119" t="n">
        <v>46657</v>
      </c>
      <c r="G1491" s="119" t="n">
        <v>46668</v>
      </c>
      <c r="H1491" s="119" t="n">
        <v>46293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IF(E1491="","",IF(ISNUMBER(SEARCH("SUBSOLO",E1491)),IFERROR(-VALUE(LEFT(E1491,FIND("º",SUBSTITUTE(E1491,"°","º"))-1)),-1),IF(LEFT(E1491,6)="TÉRREO",0,IFERROR(VALUE(LEFT(E1491,FIND("º",SUBSTITUTE(E1491,"°","º"))-1)),""))))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25752960</v>
      </c>
      <c r="C1492" s="4" t="inlineStr">
        <is>
          <t>COMUNICAÇÃO E ALARME</t>
        </is>
      </c>
      <c r="D1492" s="4" t="inlineStr">
        <is>
          <t>-</t>
        </is>
      </c>
      <c r="E1492" s="4" t="inlineStr">
        <is>
          <t>2º PAV. GARAGEM.</t>
        </is>
      </c>
      <c r="F1492" s="119" t="n">
        <v>46657</v>
      </c>
      <c r="G1492" s="119" t="n">
        <v>46668</v>
      </c>
      <c r="H1492" s="119" t="n">
        <v>46293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IF(E1492="","",IF(ISNUMBER(SEARCH("SUBSOLO",E1492)),IFERROR(-VALUE(LEFT(E1492,FIND("º",SUBSTITUTE(E1492,"°","º"))-1)),-1),IF(LEFT(E1492,6)="TÉRREO",0,IFERROR(VALUE(LEFT(E1492,FIND("º",SUBSTITUTE(E1492,"°","º"))-1)),""))))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25799897</v>
      </c>
      <c r="C1493" s="4" t="inlineStr">
        <is>
          <t>MASSA CORRIDA</t>
        </is>
      </c>
      <c r="D1493" s="4" t="inlineStr">
        <is>
          <t>-</t>
        </is>
      </c>
      <c r="E1493" s="4" t="inlineStr">
        <is>
          <t>3º PAV. - ACADEMIA</t>
        </is>
      </c>
      <c r="F1493" s="119" t="n">
        <v>46657</v>
      </c>
      <c r="G1493" s="119" t="n">
        <v>46668</v>
      </c>
      <c r="H1493" s="119" t="n">
        <v>46293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IF(E1493="","",IF(ISNUMBER(SEARCH("SUBSOLO",E1493)),IFERROR(-VALUE(LEFT(E1493,FIND("º",SUBSTITUTE(E1493,"°","º"))-1)),-1),IF(LEFT(E1493,6)="TÉRREO",0,IFERROR(VALUE(LEFT(E1493,FIND("º",SUBSTITUTE(E1493,"°","º"))-1)),""))))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25807562</v>
      </c>
      <c r="C1494" s="4" t="inlineStr">
        <is>
          <t>LIMPEZA GROSSA</t>
        </is>
      </c>
      <c r="D1494" s="4" t="inlineStr">
        <is>
          <t>-</t>
        </is>
      </c>
      <c r="E1494" s="4" t="inlineStr">
        <is>
          <t>3º PAV. ESPAÇO THERMAS, PISCINA COBERTA, SAUNAS E VESTIÁRIOS</t>
        </is>
      </c>
      <c r="F1494" s="119" t="n">
        <v>46658</v>
      </c>
      <c r="G1494" s="119" t="n">
        <v>46671</v>
      </c>
      <c r="H1494" s="119" t="n">
        <v>46293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IF(E1494="","",IF(ISNUMBER(SEARCH("SUBSOLO",E1494)),IFERROR(-VALUE(LEFT(E1494,FIND("º",SUBSTITUTE(E1494,"°","º"))-1)),-1),IF(LEFT(E1494,6)="TÉRREO",0,IFERROR(VALUE(LEFT(E1494,FIND("º",SUBSTITUTE(E1494,"°","º"))-1)),""))))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25210353</v>
      </c>
      <c r="C1495" s="4" t="inlineStr">
        <is>
          <t>PINTURA 1º DEMÃO</t>
        </is>
      </c>
      <c r="D1495" s="4" t="inlineStr">
        <is>
          <t>-</t>
        </is>
      </c>
      <c r="E1495" s="4" t="inlineStr">
        <is>
          <t>17º PAV. TIPO</t>
        </is>
      </c>
      <c r="F1495" s="119" t="n">
        <v>46658</v>
      </c>
      <c r="G1495" s="119" t="n">
        <v>46667</v>
      </c>
      <c r="H1495" s="119" t="n">
        <v>46293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IF(E1495="","",IF(ISNUMBER(SEARCH("SUBSOLO",E1495)),IFERROR(-VALUE(LEFT(E1495,FIND("º",SUBSTITUTE(E1495,"°","º"))-1)),-1),IF(LEFT(E1495,6)="TÉRREO",0,IFERROR(VALUE(LEFT(E1495,FIND("º",SUBSTITUTE(E1495,"°","º"))-1)),""))))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25210084</v>
      </c>
      <c r="C1496" s="4" t="inlineStr">
        <is>
          <t>ESPALA ESQUADRIA DE ALUMINIO</t>
        </is>
      </c>
      <c r="D1496" s="4" t="inlineStr">
        <is>
          <t>-</t>
        </is>
      </c>
      <c r="E1496" s="4" t="inlineStr">
        <is>
          <t>25º PAV. TIPO</t>
        </is>
      </c>
      <c r="F1496" s="119" t="n">
        <v>46658</v>
      </c>
      <c r="G1496" s="119" t="n">
        <v>46664</v>
      </c>
      <c r="H1496" s="119" t="n">
        <v>46293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IF(E1496="","",IF(ISNUMBER(SEARCH("SUBSOLO",E1496)),IFERROR(-VALUE(LEFT(E1496,FIND("º",SUBSTITUTE(E1496,"°","º"))-1)),-1),IF(LEFT(E1496,6)="TÉRREO",0,IFERROR(VALUE(LEFT(E1496,FIND("º",SUBSTITUTE(E1496,"°","º"))-1)),""))))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25210047</v>
      </c>
      <c r="C1497" s="4" t="inlineStr">
        <is>
          <t>CONTRAMARCO</t>
        </is>
      </c>
      <c r="D1497" s="4" t="inlineStr">
        <is>
          <t>-</t>
        </is>
      </c>
      <c r="E1497" s="4" t="inlineStr">
        <is>
          <t>26º PAV. -  DUPLEX INFERIOR</t>
        </is>
      </c>
      <c r="F1497" s="119" t="n">
        <v>46658</v>
      </c>
      <c r="G1497" s="119" t="n">
        <v>46668</v>
      </c>
      <c r="H1497" s="119" t="n">
        <v>46293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IF(E1497="","",IF(ISNUMBER(SEARCH("SUBSOLO",E1497)),IFERROR(-VALUE(LEFT(E1497,FIND("º",SUBSTITUTE(E1497,"°","º"))-1)),-1),IF(LEFT(E1497,6)="TÉRREO",0,IFERROR(VALUE(LEFT(E1497,FIND("º",SUBSTITUTE(E1497,"°","º"))-1)),""))))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25210052</v>
      </c>
      <c r="C1498" s="4" t="inlineStr">
        <is>
          <t>GÁS</t>
        </is>
      </c>
      <c r="D1498" s="4" t="inlineStr">
        <is>
          <t>-</t>
        </is>
      </c>
      <c r="E1498" s="4" t="inlineStr">
        <is>
          <t>26º PAV. -  DUPLEX INFERIOR</t>
        </is>
      </c>
      <c r="F1498" s="119" t="n">
        <v>46658</v>
      </c>
      <c r="G1498" s="119" t="n">
        <v>46668</v>
      </c>
      <c r="H1498" s="119" t="n">
        <v>46293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IF(E1498="","",IF(ISNUMBER(SEARCH("SUBSOLO",E1498)),IFERROR(-VALUE(LEFT(E1498,FIND("º",SUBSTITUTE(E1498,"°","º"))-1)),-1),IF(LEFT(E1498,6)="TÉRREO",0,IFERROR(VALUE(LEFT(E1498,FIND("º",SUBSTITUTE(E1498,"°","º"))-1)),""))))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29601282</v>
      </c>
      <c r="C1499" s="4" t="inlineStr">
        <is>
          <t>ENCUNHAMENTO</t>
        </is>
      </c>
      <c r="D1499" s="4" t="inlineStr">
        <is>
          <t>-</t>
        </is>
      </c>
      <c r="E1499" s="4" t="inlineStr">
        <is>
          <t>26º PAV. -  DUPLEX INFERIOR</t>
        </is>
      </c>
      <c r="F1499" s="119" t="n">
        <v>46658</v>
      </c>
      <c r="G1499" s="119" t="n">
        <v>46668</v>
      </c>
      <c r="H1499" s="119" t="n">
        <v>46293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IF(E1499="","",IF(ISNUMBER(SEARCH("SUBSOLO",E1499)),IFERROR(-VALUE(LEFT(E1499,FIND("º",SUBSTITUTE(E1499,"°","º"))-1)),-1),IF(LEFT(E1499,6)="TÉRREO",0,IFERROR(VALUE(LEFT(E1499,FIND("º",SUBSTITUTE(E1499,"°","º"))-1)),""))))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25799988</v>
      </c>
      <c r="C1500" s="4" t="inlineStr">
        <is>
          <t>BANCADAS</t>
        </is>
      </c>
      <c r="D1500" s="4" t="inlineStr">
        <is>
          <t>-</t>
        </is>
      </c>
      <c r="E1500" s="4" t="inlineStr">
        <is>
          <t>3º PAV. - ESPAÇO KIDS E GOURMET, SALÃO DE FESTAS E APOIO, LOBBY PILOTIS</t>
        </is>
      </c>
      <c r="F1500" s="119" t="n">
        <v>46660</v>
      </c>
      <c r="G1500" s="119" t="n">
        <v>46667</v>
      </c>
      <c r="H1500" s="119" t="n">
        <v>46293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IF(E1500="","",IF(ISNUMBER(SEARCH("SUBSOLO",E1500)),IFERROR(-VALUE(LEFT(E1500,FIND("º",SUBSTITUTE(E1500,"°","º"))-1)),-1),IF(LEFT(E1500,6)="TÉRREO",0,IFERROR(VALUE(LEFT(E1500,FIND("º",SUBSTITUTE(E1500,"°","º"))-1)),""))))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25210825</v>
      </c>
      <c r="C1501" s="4" t="inlineStr">
        <is>
          <t>PISO MADEIRA / LAMINADO</t>
        </is>
      </c>
      <c r="D1501" s="4" t="inlineStr">
        <is>
          <t>-</t>
        </is>
      </c>
      <c r="E1501" s="4" t="inlineStr">
        <is>
          <t>4° PAV. APTO GARDEN</t>
        </is>
      </c>
      <c r="F1501" s="119" t="n">
        <v>46660</v>
      </c>
      <c r="G1501" s="119" t="n">
        <v>46674</v>
      </c>
      <c r="H1501" s="119" t="n">
        <v>46293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IF(E1501="","",IF(ISNUMBER(SEARCH("SUBSOLO",E1501)),IFERROR(-VALUE(LEFT(E1501,FIND("º",SUBSTITUTE(E1501,"°","º"))-1)),-1),IF(LEFT(E1501,6)="TÉRREO",0,IFERROR(VALUE(LEFT(E1501,FIND("º",SUBSTITUTE(E1501,"°","º"))-1)),""))))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9054406</v>
      </c>
      <c r="C1502" s="4" t="inlineStr">
        <is>
          <t>PISO MADEIRA / LAMINADO</t>
        </is>
      </c>
      <c r="D1502" s="4" t="inlineStr">
        <is>
          <t>Regularização de Piso</t>
        </is>
      </c>
      <c r="E1502" s="4" t="inlineStr">
        <is>
          <t>4° PAV. APTO GARDEN</t>
        </is>
      </c>
      <c r="F1502" s="119" t="n">
        <v>46660</v>
      </c>
      <c r="G1502" s="119" t="n">
        <v>46666</v>
      </c>
      <c r="H1502" s="119" t="n">
        <v>46293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IF(E1502="","",IF(ISNUMBER(SEARCH("SUBSOLO",E1502)),IFERROR(-VALUE(LEFT(E1502,FIND("º",SUBSTITUTE(E1502,"°","º"))-1)),-1),IF(LEFT(E1502,6)="TÉRREO",0,IFERROR(VALUE(LEFT(E1502,FIND("º",SUBSTITUTE(E1502,"°","º"))-1)),""))))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9054407</v>
      </c>
      <c r="C1503" s="4" t="inlineStr">
        <is>
          <t>PISO MADEIRA / LAMINADO</t>
        </is>
      </c>
      <c r="D1503" s="4" t="inlineStr">
        <is>
          <t>Instalação Piso Madeira</t>
        </is>
      </c>
      <c r="E1503" s="4" t="inlineStr">
        <is>
          <t>4° PAV. APTO GARDEN</t>
        </is>
      </c>
      <c r="F1503" s="119" t="n">
        <v>46667</v>
      </c>
      <c r="G1503" s="119" t="n">
        <v>46674</v>
      </c>
      <c r="H1503" s="119" t="n">
        <v>46293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IF(E1503="","",IF(ISNUMBER(SEARCH("SUBSOLO",E1503)),IFERROR(-VALUE(LEFT(E1503,FIND("º",SUBSTITUTE(E1503,"°","º"))-1)),-1),IF(LEFT(E1503,6)="TÉRREO",0,IFERROR(VALUE(LEFT(E1503,FIND("º",SUBSTITUTE(E1503,"°","º"))-1)),""))))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25210772</v>
      </c>
      <c r="C1504" s="4" t="inlineStr">
        <is>
          <t>MASSA CORRIDA</t>
        </is>
      </c>
      <c r="D1504" s="4" t="inlineStr">
        <is>
          <t>-</t>
        </is>
      </c>
      <c r="E1504" s="4" t="inlineStr">
        <is>
          <t>5º PAV. TIPO</t>
        </is>
      </c>
      <c r="F1504" s="119" t="n">
        <v>46660</v>
      </c>
      <c r="G1504" s="119" t="n">
        <v>46668</v>
      </c>
      <c r="H1504" s="119" t="n">
        <v>46293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IF(E1504="","",IF(ISNUMBER(SEARCH("SUBSOLO",E1504)),IFERROR(-VALUE(LEFT(E1504,FIND("º",SUBSTITUTE(E1504,"°","º"))-1)),-1),IF(LEFT(E1504,6)="TÉRREO",0,IFERROR(VALUE(LEFT(E1504,FIND("º",SUBSTITUTE(E1504,"°","º"))-1)),""))))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25210688</v>
      </c>
      <c r="C1505" s="4" t="inlineStr">
        <is>
          <t>FORRO</t>
        </is>
      </c>
      <c r="D1505" s="4" t="inlineStr">
        <is>
          <t>-</t>
        </is>
      </c>
      <c r="E1505" s="4" t="inlineStr">
        <is>
          <t>8º PAV. TIPO</t>
        </is>
      </c>
      <c r="F1505" s="119" t="n">
        <v>46660</v>
      </c>
      <c r="G1505" s="119" t="n">
        <v>46681</v>
      </c>
      <c r="H1505" s="119" t="n">
        <v>46293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IF(E1505="","",IF(ISNUMBER(SEARCH("SUBSOLO",E1505)),IFERROR(-VALUE(LEFT(E1505,FIND("º",SUBSTITUTE(E1505,"°","º"))-1)),-1),IF(LEFT(E1505,6)="TÉRREO",0,IFERROR(VALUE(LEFT(E1505,FIND("º",SUBSTITUTE(E1505,"°","º"))-1)),""))))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25210635</v>
      </c>
      <c r="C1506" s="4" t="inlineStr">
        <is>
          <t>FIAÇÃO ELÉTRICA</t>
        </is>
      </c>
      <c r="D1506" s="4" t="inlineStr">
        <is>
          <t>-</t>
        </is>
      </c>
      <c r="E1506" s="4" t="inlineStr">
        <is>
          <t>9º PAV. TIPO</t>
        </is>
      </c>
      <c r="F1506" s="119" t="n">
        <v>46660</v>
      </c>
      <c r="G1506" s="119" t="n">
        <v>46681</v>
      </c>
      <c r="H1506" s="119" t="n">
        <v>46293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IF(E1506="","",IF(ISNUMBER(SEARCH("SUBSOLO",E1506)),IFERROR(-VALUE(LEFT(E1506,FIND("º",SUBSTITUTE(E1506,"°","º"))-1)),-1),IF(LEFT(E1506,6)="TÉRREO",0,IFERROR(VALUE(LEFT(E1506,FIND("º",SUBSTITUTE(E1506,"°","º"))-1)),""))))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25210666</v>
      </c>
      <c r="C1507" s="4" t="inlineStr">
        <is>
          <t>VENTILAÇÃO / EXAUSTÃO</t>
        </is>
      </c>
      <c r="D1507" s="4" t="inlineStr">
        <is>
          <t>-</t>
        </is>
      </c>
      <c r="E1507" s="4" t="inlineStr">
        <is>
          <t>9º PAV. TIPO</t>
        </is>
      </c>
      <c r="F1507" s="119" t="n">
        <v>46660</v>
      </c>
      <c r="G1507" s="119" t="n">
        <v>46666</v>
      </c>
      <c r="H1507" s="119" t="n">
        <v>46293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IF(E1507="","",IF(ISNUMBER(SEARCH("SUBSOLO",E1507)),IFERROR(-VALUE(LEFT(E1507,FIND("º",SUBSTITUTE(E1507,"°","º"))-1)),-1),IF(LEFT(E1507,6)="TÉRREO",0,IFERROR(VALUE(LEFT(E1507,FIND("º",SUBSTITUTE(E1507,"°","º"))-1)),""))))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25210529</v>
      </c>
      <c r="C1508" s="4" t="inlineStr">
        <is>
          <t>BANCADAS</t>
        </is>
      </c>
      <c r="D1508" s="4" t="inlineStr">
        <is>
          <t>-</t>
        </is>
      </c>
      <c r="E1508" s="4" t="inlineStr">
        <is>
          <t>12º PAV. TIPO</t>
        </is>
      </c>
      <c r="F1508" s="119" t="n">
        <v>46660</v>
      </c>
      <c r="G1508" s="119" t="n">
        <v>46674</v>
      </c>
      <c r="H1508" s="119" t="n">
        <v>46293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IF(E1508="","",IF(ISNUMBER(SEARCH("SUBSOLO",E1508)),IFERROR(-VALUE(LEFT(E1508,FIND("º",SUBSTITUTE(E1508,"°","º"))-1)),-1),IF(LEFT(E1508,6)="TÉRREO",0,IFERROR(VALUE(LEFT(E1508,FIND("º",SUBSTITUTE(E1508,"°","º"))-1)),""))))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25210466</v>
      </c>
      <c r="C1509" s="4" t="inlineStr">
        <is>
          <t>REVESTIMENTO PAREDE</t>
        </is>
      </c>
      <c r="D1509" s="4" t="inlineStr">
        <is>
          <t>-</t>
        </is>
      </c>
      <c r="E1509" s="4" t="inlineStr">
        <is>
          <t>14º PAV. TIPO</t>
        </is>
      </c>
      <c r="F1509" s="119" t="n">
        <v>46660</v>
      </c>
      <c r="G1509" s="119" t="n">
        <v>46674</v>
      </c>
      <c r="H1509" s="119" t="n">
        <v>46293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IF(E1509="","",IF(ISNUMBER(SEARCH("SUBSOLO",E1509)),IFERROR(-VALUE(LEFT(E1509,FIND("º",SUBSTITUTE(E1509,"°","º"))-1)),-1),IF(LEFT(E1509,6)="TÉRREO",0,IFERROR(VALUE(LEFT(E1509,FIND("º",SUBSTITUTE(E1509,"°","º"))-1)),""))))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25210621</v>
      </c>
      <c r="C1510" s="4" t="inlineStr">
        <is>
          <t>ESQUADRIA MADEIRA</t>
        </is>
      </c>
      <c r="D1510" s="4" t="inlineStr">
        <is>
          <t>-</t>
        </is>
      </c>
      <c r="E1510" s="4" t="inlineStr">
        <is>
          <t>10º PAV. TIPO</t>
        </is>
      </c>
      <c r="F1510" s="119" t="n">
        <v>46661</v>
      </c>
      <c r="G1510" s="119" t="n">
        <v>46675</v>
      </c>
      <c r="H1510" s="119" t="n">
        <v>46293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IF(E1510="","",IF(ISNUMBER(SEARCH("SUBSOLO",E1510)),IFERROR(-VALUE(LEFT(E1510,FIND("º",SUBSTITUTE(E1510,"°","º"))-1)),-1),IF(LEFT(E1510,6)="TÉRREO",0,IFERROR(VALUE(LEFT(E1510,FIND("º",SUBSTITUTE(E1510,"°","º"))-1)),""))))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27762196</v>
      </c>
      <c r="C1511" s="4" t="inlineStr">
        <is>
          <t>TRATAMENTO ACÚSTICO</t>
        </is>
      </c>
      <c r="D1511" s="4" t="inlineStr">
        <is>
          <t>-</t>
        </is>
      </c>
      <c r="E1511" s="4" t="inlineStr">
        <is>
          <t>13º PAV. TIPO</t>
        </is>
      </c>
      <c r="F1511" s="119" t="n">
        <v>46661</v>
      </c>
      <c r="G1511" s="119" t="n">
        <v>46661</v>
      </c>
      <c r="H1511" s="119" t="n">
        <v>46293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IF(E1511="","",IF(ISNUMBER(SEARCH("SUBSOLO",E1511)),IFERROR(-VALUE(LEFT(E1511,FIND("º",SUBSTITUTE(E1511,"°","º"))-1)),-1),IF(LEFT(E1511,6)="TÉRREO",0,IFERROR(VALUE(LEFT(E1511,FIND("º",SUBSTITUTE(E1511,"°","º"))-1)),""))))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25210197</v>
      </c>
      <c r="C1512" s="4" t="inlineStr">
        <is>
          <t>IMPERMEABILIZAÇÃO INTERNA</t>
        </is>
      </c>
      <c r="D1512" s="4" t="inlineStr">
        <is>
          <t>-</t>
        </is>
      </c>
      <c r="E1512" s="4" t="inlineStr">
        <is>
          <t>22º PAV. TIPO</t>
        </is>
      </c>
      <c r="F1512" s="119" t="n">
        <v>46661</v>
      </c>
      <c r="G1512" s="119" t="n">
        <v>46674</v>
      </c>
      <c r="H1512" s="119" t="n">
        <v>46293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IF(E1512="","",IF(ISNUMBER(SEARCH("SUBSOLO",E1512)),IFERROR(-VALUE(LEFT(E1512,FIND("º",SUBSTITUTE(E1512,"°","º"))-1)),-1),IF(LEFT(E1512,6)="TÉRREO",0,IFERROR(VALUE(LEFT(E1512,FIND("º",SUBSTITUTE(E1512,"°","º"))-1)),""))))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25210015</v>
      </c>
      <c r="C1513" s="4" t="inlineStr">
        <is>
          <t>DISTRIBUIÇÃO ELÉTRICA / QUADRO - SETOR B</t>
        </is>
      </c>
      <c r="D1513" s="4" t="inlineStr">
        <is>
          <t>-</t>
        </is>
      </c>
      <c r="E1513" s="4" t="inlineStr">
        <is>
          <t>27º PAV. -  DUPLEX SUPERIOR</t>
        </is>
      </c>
      <c r="F1513" s="119" t="n">
        <v>46661</v>
      </c>
      <c r="G1513" s="119" t="n">
        <v>46674</v>
      </c>
      <c r="H1513" s="119" t="n">
        <v>46293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IF(E1513="","",IF(ISNUMBER(SEARCH("SUBSOLO",E1513)),IFERROR(-VALUE(LEFT(E1513,FIND("º",SUBSTITUTE(E1513,"°","º"))-1)),-1),IF(LEFT(E1513,6)="TÉRREO",0,IFERROR(VALUE(LEFT(E1513,FIND("º",SUBSTITUTE(E1513,"°","º"))-1)),""))))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33276753</v>
      </c>
      <c r="C1514" s="4" t="inlineStr">
        <is>
          <t>INFRAESTRUTURA ELÉTRICA - TETO</t>
        </is>
      </c>
      <c r="D1514" s="4" t="inlineStr">
        <is>
          <t>-</t>
        </is>
      </c>
      <c r="E1514" s="4" t="inlineStr">
        <is>
          <t>27º PAV. -  DUPLEX SUPERIOR</t>
        </is>
      </c>
      <c r="F1514" s="119" t="n">
        <v>46661</v>
      </c>
      <c r="G1514" s="119" t="n">
        <v>46674</v>
      </c>
      <c r="H1514" s="119" t="n">
        <v>46293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IF(E1514="","",IF(ISNUMBER(SEARCH("SUBSOLO",E1514)),IFERROR(-VALUE(LEFT(E1514,FIND("º",SUBSTITUTE(E1514,"°","º"))-1)),-1),IF(LEFT(E1514,6)="TÉRREO",0,IFERROR(VALUE(LEFT(E1514,FIND("º",SUBSTITUTE(E1514,"°","º"))-1)),""))))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25210500</v>
      </c>
      <c r="C1515" s="4" t="inlineStr">
        <is>
          <t>IMPERMEABILIZAÇÃO VARANDA E JARDINEIRAS</t>
        </is>
      </c>
      <c r="D1515" s="4" t="inlineStr">
        <is>
          <t>-</t>
        </is>
      </c>
      <c r="E1515" s="4" t="inlineStr">
        <is>
          <t>13º PAV. TIPO</t>
        </is>
      </c>
      <c r="F1515" s="119" t="n">
        <v>46664</v>
      </c>
      <c r="G1515" s="119" t="n">
        <v>46675</v>
      </c>
      <c r="H1515" s="119" t="n">
        <v>46293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IF(E1515="","",IF(ISNUMBER(SEARCH("SUBSOLO",E1515)),IFERROR(-VALUE(LEFT(E1515,FIND("º",SUBSTITUTE(E1515,"°","º"))-1)),-1),IF(LEFT(E1515,6)="TÉRREO",0,IFERROR(VALUE(LEFT(E1515,FIND("º",SUBSTITUTE(E1515,"°","º"))-1)),""))))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25210762</v>
      </c>
      <c r="C1516" s="4" t="inlineStr">
        <is>
          <t>PINTURA 2º DEMÃO</t>
        </is>
      </c>
      <c r="D1516" s="4" t="inlineStr">
        <is>
          <t>-</t>
        </is>
      </c>
      <c r="E1516" s="4" t="inlineStr">
        <is>
          <t>6º PAV. TIPO</t>
        </is>
      </c>
      <c r="F1516" s="119" t="n">
        <v>46665</v>
      </c>
      <c r="G1516" s="119" t="n">
        <v>46679</v>
      </c>
      <c r="H1516" s="119" t="n">
        <v>46293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IF(E1516="","",IF(ISNUMBER(SEARCH("SUBSOLO",E1516)),IFERROR(-VALUE(LEFT(E1516,FIND("º",SUBSTITUTE(E1516,"°","º"))-1)),-1),IF(LEFT(E1516,6)="TÉRREO",0,IFERROR(VALUE(LEFT(E1516,FIND("º",SUBSTITUTE(E1516,"°","º"))-1)),""))))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25799876</v>
      </c>
      <c r="C1517" s="4" t="inlineStr">
        <is>
          <t>ACABAMENTOS ELÉTRICOS</t>
        </is>
      </c>
      <c r="D1517" s="4" t="inlineStr">
        <is>
          <t>-</t>
        </is>
      </c>
      <c r="E1517" s="4" t="inlineStr">
        <is>
          <t>3º PAV. PISCINA DESCOBERTA E E ÁREA DESCOBERTA PISCINA</t>
        </is>
      </c>
      <c r="F1517" s="119" t="n">
        <v>46667</v>
      </c>
      <c r="G1517" s="119" t="n">
        <v>46688</v>
      </c>
      <c r="H1517" s="119" t="n">
        <v>46293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IF(E1517="","",IF(ISNUMBER(SEARCH("SUBSOLO",E1517)),IFERROR(-VALUE(LEFT(E1517,FIND("º",SUBSTITUTE(E1517,"°","º"))-1)),-1),IF(LEFT(E1517,6)="TÉRREO",0,IFERROR(VALUE(LEFT(E1517,FIND("º",SUBSTITUTE(E1517,"°","º"))-1)),""))))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25210231</v>
      </c>
      <c r="C1518" s="4" t="inlineStr">
        <is>
          <t>CONTRAPISO</t>
        </is>
      </c>
      <c r="D1518" s="4" t="inlineStr">
        <is>
          <t>-</t>
        </is>
      </c>
      <c r="E1518" s="4" t="inlineStr">
        <is>
          <t>21º PAV. TIPO</t>
        </is>
      </c>
      <c r="F1518" s="119" t="n">
        <v>46667</v>
      </c>
      <c r="G1518" s="119" t="n">
        <v>46681</v>
      </c>
      <c r="H1518" s="119" t="n">
        <v>46293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IF(E1518="","",IF(ISNUMBER(SEARCH("SUBSOLO",E1518)),IFERROR(-VALUE(LEFT(E1518,FIND("º",SUBSTITUTE(E1518,"°","º"))-1)),-1),IF(LEFT(E1518,6)="TÉRREO",0,IFERROR(VALUE(LEFT(E1518,FIND("º",SUBSTITUTE(E1518,"°","º"))-1)),""))))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27765765</v>
      </c>
      <c r="C1519" s="4" t="inlineStr">
        <is>
          <t>DRENO + ATERRO JARDINEIRAS</t>
        </is>
      </c>
      <c r="D1519" s="4" t="inlineStr">
        <is>
          <t>-</t>
        </is>
      </c>
      <c r="E1519" s="4" t="inlineStr">
        <is>
          <t>21º PAV. TIPO</t>
        </is>
      </c>
      <c r="F1519" s="119" t="n">
        <v>46667</v>
      </c>
      <c r="G1519" s="119" t="n">
        <v>46680</v>
      </c>
      <c r="H1519" s="119" t="n">
        <v>46293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IF(E1519="","",IF(ISNUMBER(SEARCH("SUBSOLO",E1519)),IFERROR(-VALUE(LEFT(E1519,FIND("º",SUBSTITUTE(E1519,"°","º"))-1)),-1),IF(LEFT(E1519,6)="TÉRREO",0,IFERROR(VALUE(LEFT(E1519,FIND("º",SUBSTITUTE(E1519,"°","º"))-1)),""))))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25799989</v>
      </c>
      <c r="C1520" s="4" t="inlineStr">
        <is>
          <t>FIAÇÃO ELÉTRICA</t>
        </is>
      </c>
      <c r="D1520" s="4" t="inlineStr">
        <is>
          <t>-</t>
        </is>
      </c>
      <c r="E1520" s="4" t="inlineStr">
        <is>
          <t>3º PAV. - ESPAÇO KIDS E GOURMET, SALÃO DE FESTAS E APOIO, LOBBY PILOTIS</t>
        </is>
      </c>
      <c r="F1520" s="119" t="n">
        <v>46668</v>
      </c>
      <c r="G1520" s="119" t="n">
        <v>46675</v>
      </c>
      <c r="H1520" s="119" t="n">
        <v>46293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IF(E1520="","",IF(ISNUMBER(SEARCH("SUBSOLO",E1520)),IFERROR(-VALUE(LEFT(E1520,FIND("º",SUBSTITUTE(E1520,"°","º"))-1)),-1),IF(LEFT(E1520,6)="TÉRREO",0,IFERROR(VALUE(LEFT(E1520,FIND("º",SUBSTITUTE(E1520,"°","º"))-1)),""))))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33275996</v>
      </c>
      <c r="C1521" s="4" t="inlineStr">
        <is>
          <t>FORRO DE MADEIRA</t>
        </is>
      </c>
      <c r="D1521" s="4" t="inlineStr">
        <is>
          <t>-</t>
        </is>
      </c>
      <c r="E1521" s="4" t="inlineStr">
        <is>
          <t>10º PAV. TIPO</t>
        </is>
      </c>
      <c r="F1521" s="119" t="n">
        <v>46668</v>
      </c>
      <c r="G1521" s="119" t="n">
        <v>46689</v>
      </c>
      <c r="H1521" s="119" t="n">
        <v>46293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IF(E1521="","",IF(ISNUMBER(SEARCH("SUBSOLO",E1521)),IFERROR(-VALUE(LEFT(E1521,FIND("º",SUBSTITUTE(E1521,"°","º"))-1)),-1),IF(LEFT(E1521,6)="TÉRREO",0,IFERROR(VALUE(LEFT(E1521,FIND("º",SUBSTITUTE(E1521,"°","º"))-1)),""))))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25210580</v>
      </c>
      <c r="C1522" s="4" t="inlineStr">
        <is>
          <t>PISO MADEIRA / LAMINADO</t>
        </is>
      </c>
      <c r="D1522" s="4" t="inlineStr">
        <is>
          <t>-</t>
        </is>
      </c>
      <c r="E1522" s="4" t="inlineStr">
        <is>
          <t>11º PAV. TIPO</t>
        </is>
      </c>
      <c r="F1522" s="119" t="n">
        <v>46668</v>
      </c>
      <c r="G1522" s="119" t="n">
        <v>46682</v>
      </c>
      <c r="H1522" s="119" t="n">
        <v>46293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IF(E1522="","",IF(ISNUMBER(SEARCH("SUBSOLO",E1522)),IFERROR(-VALUE(LEFT(E1522,FIND("º",SUBSTITUTE(E1522,"°","º"))-1)),-1),IF(LEFT(E1522,6)="TÉRREO",0,IFERROR(VALUE(LEFT(E1522,FIND("º",SUBSTITUTE(E1522,"°","º"))-1)),""))))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9054392</v>
      </c>
      <c r="C1523" s="4" t="inlineStr">
        <is>
          <t>PISO MADEIRA / LAMINADO</t>
        </is>
      </c>
      <c r="D1523" s="4" t="inlineStr">
        <is>
          <t>Regularização de Piso</t>
        </is>
      </c>
      <c r="E1523" s="4" t="inlineStr">
        <is>
          <t>11º PAV. TIPO</t>
        </is>
      </c>
      <c r="F1523" s="119" t="n">
        <v>46668</v>
      </c>
      <c r="G1523" s="119" t="n">
        <v>46675</v>
      </c>
      <c r="H1523" s="119" t="n">
        <v>46293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IF(E1523="","",IF(ISNUMBER(SEARCH("SUBSOLO",E1523)),IFERROR(-VALUE(LEFT(E1523,FIND("º",SUBSTITUTE(E1523,"°","º"))-1)),-1),IF(LEFT(E1523,6)="TÉRREO",0,IFERROR(VALUE(LEFT(E1523,FIND("º",SUBSTITUTE(E1523,"°","º"))-1)),""))))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9054393</v>
      </c>
      <c r="C1524" s="4" t="inlineStr">
        <is>
          <t>PISO MADEIRA / LAMINADO</t>
        </is>
      </c>
      <c r="D1524" s="4" t="inlineStr">
        <is>
          <t>Instalação Piso Madeira</t>
        </is>
      </c>
      <c r="E1524" s="4" t="inlineStr">
        <is>
          <t>11º PAV. TIPO</t>
        </is>
      </c>
      <c r="F1524" s="119" t="n">
        <v>46678</v>
      </c>
      <c r="G1524" s="119" t="n">
        <v>46682</v>
      </c>
      <c r="H1524" s="119" t="n">
        <v>46293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IF(E1524="","",IF(ISNUMBER(SEARCH("SUBSOLO",E1524)),IFERROR(-VALUE(LEFT(E1524,FIND("º",SUBSTITUTE(E1524,"°","º"))-1)),-1),IF(LEFT(E1524,6)="TÉRREO",0,IFERROR(VALUE(LEFT(E1524,FIND("º",SUBSTITUTE(E1524,"°","º"))-1)),""))))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25210549</v>
      </c>
      <c r="C1525" s="4" t="inlineStr">
        <is>
          <t>ESQUADRIA</t>
        </is>
      </c>
      <c r="D1525" s="4" t="inlineStr">
        <is>
          <t>-</t>
        </is>
      </c>
      <c r="E1525" s="4" t="inlineStr">
        <is>
          <t>12º PAV. TIPO</t>
        </is>
      </c>
      <c r="F1525" s="119" t="n">
        <v>46668</v>
      </c>
      <c r="G1525" s="119" t="n">
        <v>46689</v>
      </c>
      <c r="H1525" s="119" t="n">
        <v>46293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IF(E1525="","",IF(ISNUMBER(SEARCH("SUBSOLO",E1525)),IFERROR(-VALUE(LEFT(E1525,FIND("º",SUBSTITUTE(E1525,"°","º"))-1)),-1),IF(LEFT(E1525,6)="TÉRREO",0,IFERROR(VALUE(LEFT(E1525,FIND("º",SUBSTITUTE(E1525,"°","º"))-1)),""))))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33276115</v>
      </c>
      <c r="C1526" s="4" t="inlineStr">
        <is>
          <t>INFRAESTRUTURA - AR CONDICIONADO</t>
        </is>
      </c>
      <c r="D1526" s="4" t="inlineStr">
        <is>
          <t>-</t>
        </is>
      </c>
      <c r="E1526" s="4" t="inlineStr">
        <is>
          <t>15º PAV. TIPO</t>
        </is>
      </c>
      <c r="F1526" s="119" t="n">
        <v>46668</v>
      </c>
      <c r="G1526" s="119" t="n">
        <v>46682</v>
      </c>
      <c r="H1526" s="119" t="n">
        <v>46293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IF(E1526="","",IF(ISNUMBER(SEARCH("SUBSOLO",E1526)),IFERROR(-VALUE(LEFT(E1526,FIND("º",SUBSTITUTE(E1526,"°","º"))-1)),-1),IF(LEFT(E1526,6)="TÉRREO",0,IFERROR(VALUE(LEFT(E1526,FIND("º",SUBSTITUTE(E1526,"°","º"))-1)),""))))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33278922</v>
      </c>
      <c r="C1527" s="4" t="inlineStr">
        <is>
          <t>INFRAESTRUTURA ELÉTRICA - PAREDES</t>
        </is>
      </c>
      <c r="D1527" s="4" t="inlineStr">
        <is>
          <t>-</t>
        </is>
      </c>
      <c r="E1527" s="4" t="inlineStr">
        <is>
          <t>15º PAV. TIPO</t>
        </is>
      </c>
      <c r="F1527" s="119" t="n">
        <v>46668</v>
      </c>
      <c r="G1527" s="119" t="n">
        <v>46681</v>
      </c>
      <c r="H1527" s="119" t="n">
        <v>46293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IF(E1527="","",IF(ISNUMBER(SEARCH("SUBSOLO",E1527)),IFERROR(-VALUE(LEFT(E1527,FIND("º",SUBSTITUTE(E1527,"°","º"))-1)),-1),IF(LEFT(E1527,6)="TÉRREO",0,IFERROR(VALUE(LEFT(E1527,FIND("º",SUBSTITUTE(E1527,"°","º"))-1)),""))))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25210317</v>
      </c>
      <c r="C1528" s="4" t="inlineStr">
        <is>
          <t>MASSA CORRIDA</t>
        </is>
      </c>
      <c r="D1528" s="4" t="inlineStr">
        <is>
          <t>-</t>
        </is>
      </c>
      <c r="E1528" s="4" t="inlineStr">
        <is>
          <t>18º PAV. TIPO</t>
        </is>
      </c>
      <c r="F1528" s="119" t="n">
        <v>46668</v>
      </c>
      <c r="G1528" s="119" t="n">
        <v>46679</v>
      </c>
      <c r="H1528" s="119" t="n">
        <v>46293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IF(E1528="","",IF(ISNUMBER(SEARCH("SUBSOLO",E1528)),IFERROR(-VALUE(LEFT(E1528,FIND("º",SUBSTITUTE(E1528,"°","º"))-1)),-1),IF(LEFT(E1528,6)="TÉRREO",0,IFERROR(VALUE(LEFT(E1528,FIND("º",SUBSTITUTE(E1528,"°","º"))-1)),""))))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25210303</v>
      </c>
      <c r="C1529" s="4" t="inlineStr">
        <is>
          <t>FORRO</t>
        </is>
      </c>
      <c r="D1529" s="4" t="inlineStr">
        <is>
          <t>-</t>
        </is>
      </c>
      <c r="E1529" s="4" t="inlineStr">
        <is>
          <t>19º PAV. TIPO</t>
        </is>
      </c>
      <c r="F1529" s="119" t="n">
        <v>46668</v>
      </c>
      <c r="G1529" s="119" t="n">
        <v>46689</v>
      </c>
      <c r="H1529" s="119" t="n">
        <v>46293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IF(E1529="","",IF(ISNUMBER(SEARCH("SUBSOLO",E1529)),IFERROR(-VALUE(LEFT(E1529,FIND("º",SUBSTITUTE(E1529,"°","º"))-1)),-1),IF(LEFT(E1529,6)="TÉRREO",0,IFERROR(VALUE(LEFT(E1529,FIND("º",SUBSTITUTE(E1529,"°","º"))-1)),""))))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25210250</v>
      </c>
      <c r="C1530" s="4" t="inlineStr">
        <is>
          <t>FIAÇÃO ELÉTRICA</t>
        </is>
      </c>
      <c r="D1530" s="4" t="inlineStr">
        <is>
          <t>-</t>
        </is>
      </c>
      <c r="E1530" s="4" t="inlineStr">
        <is>
          <t>20º PAV. TIPO</t>
        </is>
      </c>
      <c r="F1530" s="119" t="n">
        <v>46668</v>
      </c>
      <c r="G1530" s="119" t="n">
        <v>46689</v>
      </c>
      <c r="H1530" s="119" t="n">
        <v>46293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IF(E1530="","",IF(ISNUMBER(SEARCH("SUBSOLO",E1530)),IFERROR(-VALUE(LEFT(E1530,FIND("º",SUBSTITUTE(E1530,"°","º"))-1)),-1),IF(LEFT(E1530,6)="TÉRREO",0,IFERROR(VALUE(LEFT(E1530,FIND("º",SUBSTITUTE(E1530,"°","º"))-1)),""))))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25210281</v>
      </c>
      <c r="C1531" s="4" t="inlineStr">
        <is>
          <t>VENTILAÇÃO / EXAUSTÃO</t>
        </is>
      </c>
      <c r="D1531" s="4" t="inlineStr">
        <is>
          <t>-</t>
        </is>
      </c>
      <c r="E1531" s="4" t="inlineStr">
        <is>
          <t>20º PAV. TIPO</t>
        </is>
      </c>
      <c r="F1531" s="119" t="n">
        <v>46668</v>
      </c>
      <c r="G1531" s="119" t="n">
        <v>46675</v>
      </c>
      <c r="H1531" s="119" t="n">
        <v>46293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IF(E1531="","",IF(ISNUMBER(SEARCH("SUBSOLO",E1531)),IFERROR(-VALUE(LEFT(E1531,FIND("º",SUBSTITUTE(E1531,"°","º"))-1)),-1),IF(LEFT(E1531,6)="TÉRREO",0,IFERROR(VALUE(LEFT(E1531,FIND("º",SUBSTITUTE(E1531,"°","º"))-1)),""))))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25752798</v>
      </c>
      <c r="C1532" s="4" t="inlineStr">
        <is>
          <t>IMPERMEABILIZAÇÃO INTERNA</t>
        </is>
      </c>
      <c r="D1532" s="4" t="inlineStr">
        <is>
          <t>-</t>
        </is>
      </c>
      <c r="E1532" s="4" t="inlineStr">
        <is>
          <t>TÉRREO - ÁREAS DE FUNCIONÁRIOS</t>
        </is>
      </c>
      <c r="F1532" s="119" t="n">
        <v>46671</v>
      </c>
      <c r="G1532" s="119" t="n">
        <v>46678</v>
      </c>
      <c r="H1532" s="119" t="n">
        <v>46293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IF(E1532="","",IF(ISNUMBER(SEARCH("SUBSOLO",E1532)),IFERROR(-VALUE(LEFT(E1532,FIND("º",SUBSTITUTE(E1532,"°","º"))-1)),-1),IF(LEFT(E1532,6)="TÉRREO",0,IFERROR(VALUE(LEFT(E1532,FIND("º",SUBSTITUTE(E1532,"°","º"))-1)),""))))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25752931</v>
      </c>
      <c r="C1533" s="4" t="inlineStr">
        <is>
          <t>TEXTURA</t>
        </is>
      </c>
      <c r="D1533" s="4" t="inlineStr">
        <is>
          <t>-</t>
        </is>
      </c>
      <c r="E1533" s="4" t="inlineStr">
        <is>
          <t>2º PAV. GARAGEM.</t>
        </is>
      </c>
      <c r="F1533" s="119" t="n">
        <v>46671</v>
      </c>
      <c r="G1533" s="119" t="n">
        <v>46702</v>
      </c>
      <c r="H1533" s="119" t="n">
        <v>46293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IF(E1533="","",IF(ISNUMBER(SEARCH("SUBSOLO",E1533)),IFERROR(-VALUE(LEFT(E1533,FIND("º",SUBSTITUTE(E1533,"°","º"))-1)),-1),IF(LEFT(E1533,6)="TÉRREO",0,IFERROR(VALUE(LEFT(E1533,FIND("º",SUBSTITUTE(E1533,"°","º"))-1)),""))))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25799833</v>
      </c>
      <c r="C1534" s="4" t="inlineStr">
        <is>
          <t>MASSA CORRIDA</t>
        </is>
      </c>
      <c r="D1534" s="4" t="inlineStr">
        <is>
          <t>-</t>
        </is>
      </c>
      <c r="E1534" s="4" t="inlineStr">
        <is>
          <t>3º PAV. - BAR PISCINA, VESTIÁRIOS, DEPOSITOS E LOUNGE QUADRAS</t>
        </is>
      </c>
      <c r="F1534" s="119" t="n">
        <v>46671</v>
      </c>
      <c r="G1534" s="119" t="n">
        <v>46685</v>
      </c>
      <c r="H1534" s="119" t="n">
        <v>46293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IF(E1534="","",IF(ISNUMBER(SEARCH("SUBSOLO",E1534)),IFERROR(-VALUE(LEFT(E1534,FIND("º",SUBSTITUTE(E1534,"°","º"))-1)),-1),IF(LEFT(E1534,6)="TÉRREO",0,IFERROR(VALUE(LEFT(E1534,FIND("º",SUBSTITUTE(E1534,"°","º"))-1)),""))))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25799898</v>
      </c>
      <c r="C1535" s="4" t="inlineStr">
        <is>
          <t>PINTURA 1º DEMÃO</t>
        </is>
      </c>
      <c r="D1535" s="4" t="inlineStr">
        <is>
          <t>-</t>
        </is>
      </c>
      <c r="E1535" s="4" t="inlineStr">
        <is>
          <t>3º PAV. - ACADEMIA</t>
        </is>
      </c>
      <c r="F1535" s="119" t="n">
        <v>46671</v>
      </c>
      <c r="G1535" s="119" t="n">
        <v>46685</v>
      </c>
      <c r="H1535" s="119" t="n">
        <v>46293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IF(E1535="","",IF(ISNUMBER(SEARCH("SUBSOLO",E1535)),IFERROR(-VALUE(LEFT(E1535,FIND("º",SUBSTITUTE(E1535,"°","º"))-1)),-1),IF(LEFT(E1535,6)="TÉRREO",0,IFERROR(VALUE(LEFT(E1535,FIND("º",SUBSTITUTE(E1535,"°","º"))-1)),""))))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25210773</v>
      </c>
      <c r="C1536" s="4" t="inlineStr">
        <is>
          <t>PINTURA 1º DEMÃO</t>
        </is>
      </c>
      <c r="D1536" s="4" t="inlineStr">
        <is>
          <t>-</t>
        </is>
      </c>
      <c r="E1536" s="4" t="inlineStr">
        <is>
          <t>5º PAV. TIPO</t>
        </is>
      </c>
      <c r="F1536" s="119" t="n">
        <v>46671</v>
      </c>
      <c r="G1536" s="119" t="n">
        <v>46681</v>
      </c>
      <c r="H1536" s="119" t="n">
        <v>46293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IF(E1536="","",IF(ISNUMBER(SEARCH("SUBSOLO",E1536)),IFERROR(-VALUE(LEFT(E1536,FIND("º",SUBSTITUTE(E1536,"°","º"))-1)),-1),IF(LEFT(E1536,6)="TÉRREO",0,IFERROR(VALUE(LEFT(E1536,FIND("º",SUBSTITUTE(E1536,"°","º"))-1)),""))))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25210153</v>
      </c>
      <c r="C1537" s="4" t="inlineStr">
        <is>
          <t>SHAFT INTERNO INST. HIDRAÚLICAS</t>
        </is>
      </c>
      <c r="D1537" s="4" t="inlineStr">
        <is>
          <t>-</t>
        </is>
      </c>
      <c r="E1537" s="4" t="inlineStr">
        <is>
          <t>23º PAV. TIPO</t>
        </is>
      </c>
      <c r="F1537" s="119" t="n">
        <v>46671</v>
      </c>
      <c r="G1537" s="119" t="n">
        <v>46682</v>
      </c>
      <c r="H1537" s="119" t="n">
        <v>46293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IF(E1537="","",IF(ISNUMBER(SEARCH("SUBSOLO",E1537)),IFERROR(-VALUE(LEFT(E1537,FIND("º",SUBSTITUTE(E1537,"°","º"))-1)),-1),IF(LEFT(E1537,6)="TÉRREO",0,IFERROR(VALUE(LEFT(E1537,FIND("º",SUBSTITUTE(E1537,"°","º"))-1)),""))))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25210123</v>
      </c>
      <c r="C1538" s="4" t="inlineStr">
        <is>
          <t>REBOCO INTERNO</t>
        </is>
      </c>
      <c r="D1538" s="4" t="inlineStr">
        <is>
          <t>-</t>
        </is>
      </c>
      <c r="E1538" s="4" t="inlineStr">
        <is>
          <t>24º PAV. TIPO</t>
        </is>
      </c>
      <c r="F1538" s="119" t="n">
        <v>46671</v>
      </c>
      <c r="G1538" s="119" t="n">
        <v>46692</v>
      </c>
      <c r="H1538" s="119" t="n">
        <v>46293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IF(E1538="","",IF(ISNUMBER(SEARCH("SUBSOLO",E1538)),IFERROR(-VALUE(LEFT(E1538,FIND("º",SUBSTITUTE(E1538,"°","º"))-1)),-1),IF(LEFT(E1538,6)="TÉRREO",0,IFERROR(VALUE(LEFT(E1538,FIND("º",SUBSTITUTE(E1538,"°","º"))-1)),""))))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25210049</v>
      </c>
      <c r="C1539" s="4" t="inlineStr">
        <is>
          <t>ESPALA ESQUADRIA DE ALUMINIO</t>
        </is>
      </c>
      <c r="D1539" s="4" t="inlineStr">
        <is>
          <t>-</t>
        </is>
      </c>
      <c r="E1539" s="4" t="inlineStr">
        <is>
          <t>26º PAV. -  DUPLEX INFERIOR</t>
        </is>
      </c>
      <c r="F1539" s="119" t="n">
        <v>46671</v>
      </c>
      <c r="G1539" s="119" t="n">
        <v>46678</v>
      </c>
      <c r="H1539" s="119" t="n">
        <v>46293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IF(E1539="","",IF(ISNUMBER(SEARCH("SUBSOLO",E1539)),IFERROR(-VALUE(LEFT(E1539,FIND("º",SUBSTITUTE(E1539,"°","º"))-1)),-1),IF(LEFT(E1539,6)="TÉRREO",0,IFERROR(VALUE(LEFT(E1539,FIND("º",SUBSTITUTE(E1539,"°","º"))-1)),""))))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25807563</v>
      </c>
      <c r="C1540" s="4" t="inlineStr">
        <is>
          <t>PINTURA 2º DEMÃO</t>
        </is>
      </c>
      <c r="D1540" s="4" t="inlineStr">
        <is>
          <t>-</t>
        </is>
      </c>
      <c r="E1540" s="4" t="inlineStr">
        <is>
          <t>3º PAV. ESPAÇO THERMAS, PISCINA COBERTA, SAUNAS E VESTIÁRIOS</t>
        </is>
      </c>
      <c r="F1540" s="119" t="n">
        <v>46673</v>
      </c>
      <c r="G1540" s="119" t="n">
        <v>46686</v>
      </c>
      <c r="H1540" s="119" t="n">
        <v>46293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IF(E1540="","",IF(ISNUMBER(SEARCH("SUBSOLO",E1540)),IFERROR(-VALUE(LEFT(E1540,FIND("º",SUBSTITUTE(E1540,"°","º"))-1)),-1),IF(LEFT(E1540,6)="TÉRREO",0,IFERROR(VALUE(LEFT(E1540,FIND("º",SUBSTITUTE(E1540,"°","º"))-1)),""))))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25210831</v>
      </c>
      <c r="C1541" s="4" t="inlineStr">
        <is>
          <t>ESQUADRIA MADEIRA</t>
        </is>
      </c>
      <c r="D1541" s="4" t="inlineStr">
        <is>
          <t>-</t>
        </is>
      </c>
      <c r="E1541" s="4" t="inlineStr">
        <is>
          <t>4° PAV. APTO GARDEN</t>
        </is>
      </c>
      <c r="F1541" s="119" t="n">
        <v>46675</v>
      </c>
      <c r="G1541" s="119" t="n">
        <v>46688</v>
      </c>
      <c r="H1541" s="119" t="n">
        <v>46293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IF(E1541="","",IF(ISNUMBER(SEARCH("SUBSOLO",E1541)),IFERROR(-VALUE(LEFT(E1541,FIND("º",SUBSTITUTE(E1541,"°","º"))-1)),-1),IF(LEFT(E1541,6)="TÉRREO",0,IFERROR(VALUE(LEFT(E1541,FIND("º",SUBSTITUTE(E1541,"°","º"))-1)),""))))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33275990</v>
      </c>
      <c r="C1542" s="4" t="inlineStr">
        <is>
          <t>FORRO DE MADEIRA</t>
        </is>
      </c>
      <c r="D1542" s="4" t="inlineStr">
        <is>
          <t>-</t>
        </is>
      </c>
      <c r="E1542" s="4" t="inlineStr">
        <is>
          <t>4° PAV. APTO GARDEN</t>
        </is>
      </c>
      <c r="F1542" s="119" t="n">
        <v>46675</v>
      </c>
      <c r="G1542" s="119" t="n">
        <v>46696</v>
      </c>
      <c r="H1542" s="119" t="n">
        <v>46293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IF(E1542="","",IF(ISNUMBER(SEARCH("SUBSOLO",E1542)),IFERROR(-VALUE(LEFT(E1542,FIND("º",SUBSTITUTE(E1542,"°","º"))-1)),-1),IF(LEFT(E1542,6)="TÉRREO",0,IFERROR(VALUE(LEFT(E1542,FIND("º",SUBSTITUTE(E1542,"°","º"))-1)),""))))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25210530</v>
      </c>
      <c r="C1543" s="4" t="inlineStr">
        <is>
          <t>FIAÇÃO ELÉTRICA</t>
        </is>
      </c>
      <c r="D1543" s="4" t="inlineStr">
        <is>
          <t>-</t>
        </is>
      </c>
      <c r="E1543" s="4" t="inlineStr">
        <is>
          <t>12º PAV. TIPO</t>
        </is>
      </c>
      <c r="F1543" s="119" t="n">
        <v>46675</v>
      </c>
      <c r="G1543" s="119" t="n">
        <v>46696</v>
      </c>
      <c r="H1543" s="119" t="n">
        <v>46293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IF(E1543="","",IF(ISNUMBER(SEARCH("SUBSOLO",E1543)),IFERROR(-VALUE(LEFT(E1543,FIND("º",SUBSTITUTE(E1543,"°","º"))-1)),-1),IF(LEFT(E1543,6)="TÉRREO",0,IFERROR(VALUE(LEFT(E1543,FIND("º",SUBSTITUTE(E1543,"°","º"))-1)),""))))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25210561</v>
      </c>
      <c r="C1544" s="4" t="inlineStr">
        <is>
          <t>VENTILAÇÃO / EXAUSTÃO</t>
        </is>
      </c>
      <c r="D1544" s="4" t="inlineStr">
        <is>
          <t>-</t>
        </is>
      </c>
      <c r="E1544" s="4" t="inlineStr">
        <is>
          <t>12º PAV. TIPO</t>
        </is>
      </c>
      <c r="F1544" s="119" t="n">
        <v>46675</v>
      </c>
      <c r="G1544" s="119" t="n">
        <v>46681</v>
      </c>
      <c r="H1544" s="119" t="n">
        <v>46293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IF(E1544="","",IF(ISNUMBER(SEARCH("SUBSOLO",E1544)),IFERROR(-VALUE(LEFT(E1544,FIND("º",SUBSTITUTE(E1544,"°","º"))-1)),-1),IF(LEFT(E1544,6)="TÉRREO",0,IFERROR(VALUE(LEFT(E1544,FIND("º",SUBSTITUTE(E1544,"°","º"))-1)),""))))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25210480</v>
      </c>
      <c r="C1545" s="4" t="inlineStr">
        <is>
          <t>REVESTIMENTOS PISO</t>
        </is>
      </c>
      <c r="D1545" s="4" t="inlineStr">
        <is>
          <t>-</t>
        </is>
      </c>
      <c r="E1545" s="4" t="inlineStr">
        <is>
          <t>14º PAV. TIPO</t>
        </is>
      </c>
      <c r="F1545" s="119" t="n">
        <v>46675</v>
      </c>
      <c r="G1545" s="119" t="n">
        <v>46688</v>
      </c>
      <c r="H1545" s="119" t="n">
        <v>46293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IF(E1545="","",IF(ISNUMBER(SEARCH("SUBSOLO",E1545)),IFERROR(-VALUE(LEFT(E1545,FIND("º",SUBSTITUTE(E1545,"°","º"))-1)),-1),IF(LEFT(E1545,6)="TÉRREO",0,IFERROR(VALUE(LEFT(E1545,FIND("º",SUBSTITUTE(E1545,"°","º"))-1)),""))))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27762205</v>
      </c>
      <c r="C1546" s="4" t="inlineStr">
        <is>
          <t>TRATAMENTO ACÚSTICO</t>
        </is>
      </c>
      <c r="D1546" s="4" t="inlineStr">
        <is>
          <t>-</t>
        </is>
      </c>
      <c r="E1546" s="4" t="inlineStr">
        <is>
          <t>22º PAV. TIPO</t>
        </is>
      </c>
      <c r="F1546" s="119" t="n">
        <v>46675</v>
      </c>
      <c r="G1546" s="119" t="n">
        <v>46675</v>
      </c>
      <c r="H1546" s="119" t="n">
        <v>46293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IF(E1546="","",IF(ISNUMBER(SEARCH("SUBSOLO",E1546)),IFERROR(-VALUE(LEFT(E1546,FIND("º",SUBSTITUTE(E1546,"°","º"))-1)),-1),IF(LEFT(E1546,6)="TÉRREO",0,IFERROR(VALUE(LEFT(E1546,FIND("º",SUBSTITUTE(E1546,"°","º"))-1)),""))))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25210012</v>
      </c>
      <c r="C1547" s="4" t="inlineStr">
        <is>
          <t>CONTRAMARCO</t>
        </is>
      </c>
      <c r="D1547" s="4" t="inlineStr">
        <is>
          <t>-</t>
        </is>
      </c>
      <c r="E1547" s="4" t="inlineStr">
        <is>
          <t>27º PAV. -  DUPLEX SUPERIOR</t>
        </is>
      </c>
      <c r="F1547" s="119" t="n">
        <v>46675</v>
      </c>
      <c r="G1547" s="119" t="n">
        <v>46687</v>
      </c>
      <c r="H1547" s="119" t="n">
        <v>46293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IF(E1547="","",IF(ISNUMBER(SEARCH("SUBSOLO",E1547)),IFERROR(-VALUE(LEFT(E1547,FIND("º",SUBSTITUTE(E1547,"°","º"))-1)),-1),IF(LEFT(E1547,6)="TÉRREO",0,IFERROR(VALUE(LEFT(E1547,FIND("º",SUBSTITUTE(E1547,"°","º"))-1)),""))))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25210017</v>
      </c>
      <c r="C1548" s="4" t="inlineStr">
        <is>
          <t>GÁS</t>
        </is>
      </c>
      <c r="D1548" s="4" t="inlineStr">
        <is>
          <t>-</t>
        </is>
      </c>
      <c r="E1548" s="4" t="inlineStr">
        <is>
          <t>27º PAV. -  DUPLEX SUPERIOR</t>
        </is>
      </c>
      <c r="F1548" s="119" t="n">
        <v>46675</v>
      </c>
      <c r="G1548" s="119" t="n">
        <v>46687</v>
      </c>
      <c r="H1548" s="119" t="n">
        <v>46293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IF(E1548="","",IF(ISNUMBER(SEARCH("SUBSOLO",E1548)),IFERROR(-VALUE(LEFT(E1548,FIND("º",SUBSTITUTE(E1548,"°","º"))-1)),-1),IF(LEFT(E1548,6)="TÉRREO",0,IFERROR(VALUE(LEFT(E1548,FIND("º",SUBSTITUTE(E1548,"°","º"))-1)),""))))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29601281</v>
      </c>
      <c r="C1549" s="4" t="inlineStr">
        <is>
          <t>ENCUNHAMENTO</t>
        </is>
      </c>
      <c r="D1549" s="4" t="inlineStr">
        <is>
          <t>-</t>
        </is>
      </c>
      <c r="E1549" s="4" t="inlineStr">
        <is>
          <t>27º PAV. -  DUPLEX SUPERIOR</t>
        </is>
      </c>
      <c r="F1549" s="119" t="n">
        <v>46675</v>
      </c>
      <c r="G1549" s="119" t="n">
        <v>46687</v>
      </c>
      <c r="H1549" s="119" t="n">
        <v>46293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IF(E1549="","",IF(ISNUMBER(SEARCH("SUBSOLO",E1549)),IFERROR(-VALUE(LEFT(E1549,FIND("º",SUBSTITUTE(E1549,"°","º"))-1)),-1),IF(LEFT(E1549,6)="TÉRREO",0,IFERROR(VALUE(LEFT(E1549,FIND("º",SUBSTITUTE(E1549,"°","º"))-1)),""))))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27770302</v>
      </c>
      <c r="C1550" s="4" t="inlineStr">
        <is>
          <t>AR CONDICIONADO</t>
        </is>
      </c>
      <c r="D1550" s="4" t="inlineStr">
        <is>
          <t>-</t>
        </is>
      </c>
      <c r="E1550" s="4" t="inlineStr">
        <is>
          <t>3º PAV. - ESPAÇO KIDS E GOURMET, SALÃO DE FESTAS E APOIO, LOBBY PILOTIS</t>
        </is>
      </c>
      <c r="F1550" s="119" t="n">
        <v>46678</v>
      </c>
      <c r="G1550" s="119" t="n">
        <v>46682</v>
      </c>
      <c r="H1550" s="119" t="n">
        <v>46293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IF(E1550="","",IF(ISNUMBER(SEARCH("SUBSOLO",E1550)),IFERROR(-VALUE(LEFT(E1550,FIND("º",SUBSTITUTE(E1550,"°","º"))-1)),-1),IF(LEFT(E1550,6)="TÉRREO",0,IFERROR(VALUE(LEFT(E1550,FIND("º",SUBSTITUTE(E1550,"°","º"))-1)),""))))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25210730</v>
      </c>
      <c r="C1551" s="4" t="inlineStr">
        <is>
          <t>LIMPEZA GROSSA</t>
        </is>
      </c>
      <c r="D1551" s="4" t="inlineStr">
        <is>
          <t>-</t>
        </is>
      </c>
      <c r="E1551" s="4" t="inlineStr">
        <is>
          <t>7º PAV. TIPO</t>
        </is>
      </c>
      <c r="F1551" s="119" t="n">
        <v>46678</v>
      </c>
      <c r="G1551" s="119" t="n">
        <v>46689</v>
      </c>
      <c r="H1551" s="119" t="n">
        <v>46293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IF(E1551="","",IF(ISNUMBER(SEARCH("SUBSOLO",E1551)),IFERROR(-VALUE(LEFT(E1551,FIND("º",SUBSTITUTE(E1551,"°","º"))-1)),-1),IF(LEFT(E1551,6)="TÉRREO",0,IFERROR(VALUE(LEFT(E1551,FIND("º",SUBSTITUTE(E1551,"°","º"))-1)),""))))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25210601</v>
      </c>
      <c r="C1552" s="4" t="inlineStr">
        <is>
          <t>RODAPÉ MADEIRA / PVC</t>
        </is>
      </c>
      <c r="D1552" s="4" t="inlineStr">
        <is>
          <t>-</t>
        </is>
      </c>
      <c r="E1552" s="4" t="inlineStr">
        <is>
          <t>10º PAV. TIPO</t>
        </is>
      </c>
      <c r="F1552" s="119" t="n">
        <v>46678</v>
      </c>
      <c r="G1552" s="119" t="n">
        <v>46689</v>
      </c>
      <c r="H1552" s="119" t="n">
        <v>46293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IF(E1552="","",IF(ISNUMBER(SEARCH("SUBSOLO",E1552)),IFERROR(-VALUE(LEFT(E1552,FIND("º",SUBSTITUTE(E1552,"°","º"))-1)),-1),IF(LEFT(E1552,6)="TÉRREO",0,IFERROR(VALUE(LEFT(E1552,FIND("º",SUBSTITUTE(E1552,"°","º"))-1)),""))))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25210511</v>
      </c>
      <c r="C1553" s="4" t="inlineStr">
        <is>
          <t>CONTRAPISO</t>
        </is>
      </c>
      <c r="D1553" s="4" t="inlineStr">
        <is>
          <t>-</t>
        </is>
      </c>
      <c r="E1553" s="4" t="inlineStr">
        <is>
          <t>13º PAV. TIPO</t>
        </is>
      </c>
      <c r="F1553" s="119" t="n">
        <v>46678</v>
      </c>
      <c r="G1553" s="119" t="n">
        <v>46689</v>
      </c>
      <c r="H1553" s="119" t="n">
        <v>46293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IF(E1553="","",IF(ISNUMBER(SEARCH("SUBSOLO",E1553)),IFERROR(-VALUE(LEFT(E1553,FIND("º",SUBSTITUTE(E1553,"°","º"))-1)),-1),IF(LEFT(E1553,6)="TÉRREO",0,IFERROR(VALUE(LEFT(E1553,FIND("º",SUBSTITUTE(E1553,"°","º"))-1)),""))))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27765757</v>
      </c>
      <c r="C1554" s="4" t="inlineStr">
        <is>
          <t>DRENO + ATERRO JARDINEIRAS</t>
        </is>
      </c>
      <c r="D1554" s="4" t="inlineStr">
        <is>
          <t>-</t>
        </is>
      </c>
      <c r="E1554" s="4" t="inlineStr">
        <is>
          <t>13º PAV. TIPO</t>
        </is>
      </c>
      <c r="F1554" s="119" t="n">
        <v>46678</v>
      </c>
      <c r="G1554" s="119" t="n">
        <v>46688</v>
      </c>
      <c r="H1554" s="119" t="n">
        <v>46293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IF(E1554="","",IF(ISNUMBER(SEARCH("SUBSOLO",E1554)),IFERROR(-VALUE(LEFT(E1554,FIND("º",SUBSTITUTE(E1554,"°","º"))-1)),-1),IF(LEFT(E1554,6)="TÉRREO",0,IFERROR(VALUE(LEFT(E1554,FIND("º",SUBSTITUTE(E1554,"°","º"))-1)),""))))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25210185</v>
      </c>
      <c r="C1555" s="4" t="inlineStr">
        <is>
          <t>IMPERMEABILIZAÇÃO VARANDA E JARDINEIRAS</t>
        </is>
      </c>
      <c r="D1555" s="4" t="inlineStr">
        <is>
          <t>-</t>
        </is>
      </c>
      <c r="E1555" s="4" t="inlineStr">
        <is>
          <t>22º PAV. TIPO</t>
        </is>
      </c>
      <c r="F1555" s="119" t="n">
        <v>46678</v>
      </c>
      <c r="G1555" s="119" t="n">
        <v>46688</v>
      </c>
      <c r="H1555" s="119" t="n">
        <v>46293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IF(E1555="","",IF(ISNUMBER(SEARCH("SUBSOLO",E1555)),IFERROR(-VALUE(LEFT(E1555,FIND("º",SUBSTITUTE(E1555,"°","º"))-1)),-1),IF(LEFT(E1555,6)="TÉRREO",0,IFERROR(VALUE(LEFT(E1555,FIND("º",SUBSTITUTE(E1555,"°","º"))-1)),""))))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25753026</v>
      </c>
      <c r="C1556" s="4" t="inlineStr">
        <is>
          <t>FIAÇÃO ELÉTRICA</t>
        </is>
      </c>
      <c r="D1556" s="4" t="inlineStr">
        <is>
          <t>-</t>
        </is>
      </c>
      <c r="E1556" s="4" t="inlineStr">
        <is>
          <t>TÉRREO - GARAGENS</t>
        </is>
      </c>
      <c r="F1556" s="119" t="n">
        <v>46679</v>
      </c>
      <c r="G1556" s="119" t="n">
        <v>46700</v>
      </c>
      <c r="H1556" s="119" t="n">
        <v>46293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IF(E1556="","",IF(ISNUMBER(SEARCH("SUBSOLO",E1556)),IFERROR(-VALUE(LEFT(E1556,FIND("º",SUBSTITUTE(E1556,"°","º"))-1)),-1),IF(LEFT(E1556,6)="TÉRREO",0,IFERROR(VALUE(LEFT(E1556,FIND("º",SUBSTITUTE(E1556,"°","º"))-1)),""))))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25752799</v>
      </c>
      <c r="C1557" s="4" t="inlineStr">
        <is>
          <t>REVESTIMENTO PAREDE</t>
        </is>
      </c>
      <c r="D1557" s="4" t="inlineStr">
        <is>
          <t>-</t>
        </is>
      </c>
      <c r="E1557" s="4" t="inlineStr">
        <is>
          <t>TÉRREO - ÁREAS DE FUNCIONÁRIOS</t>
        </is>
      </c>
      <c r="F1557" s="119" t="n">
        <v>46679</v>
      </c>
      <c r="G1557" s="119" t="n">
        <v>46688</v>
      </c>
      <c r="H1557" s="119" t="n">
        <v>46293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IF(E1557="","",IF(ISNUMBER(SEARCH("SUBSOLO",E1557)),IFERROR(-VALUE(LEFT(E1557,FIND("º",SUBSTITUTE(E1557,"°","º"))-1)),-1),IF(LEFT(E1557,6)="TÉRREO",0,IFERROR(VALUE(LEFT(E1557,FIND("º",SUBSTITUTE(E1557,"°","º"))-1)),""))))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27770709</v>
      </c>
      <c r="C1558" s="4" t="inlineStr">
        <is>
          <t>SERRALHERIA</t>
        </is>
      </c>
      <c r="D1558" s="4" t="inlineStr">
        <is>
          <t>-</t>
        </is>
      </c>
      <c r="E1558" s="4" t="inlineStr">
        <is>
          <t>6º PAV. TIPO</t>
        </is>
      </c>
      <c r="F1558" s="119" t="n">
        <v>46680</v>
      </c>
      <c r="G1558" s="119" t="n">
        <v>46692</v>
      </c>
      <c r="H1558" s="119" t="n">
        <v>46293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IF(E1558="","",IF(ISNUMBER(SEARCH("SUBSOLO",E1558)),IFERROR(-VALUE(LEFT(E1558,FIND("º",SUBSTITUTE(E1558,"°","º"))-1)),-1),IF(LEFT(E1558,6)="TÉRREO",0,IFERROR(VALUE(LEFT(E1558,FIND("º",SUBSTITUTE(E1558,"°","º"))-1)),""))))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25210763</v>
      </c>
      <c r="C1559" s="4" t="inlineStr">
        <is>
          <t>LOUÇAS</t>
        </is>
      </c>
      <c r="D1559" s="4" t="inlineStr">
        <is>
          <t>-</t>
        </is>
      </c>
      <c r="E1559" s="4" t="inlineStr">
        <is>
          <t>6º PAV. TIPO</t>
        </is>
      </c>
      <c r="F1559" s="119" t="n">
        <v>46680</v>
      </c>
      <c r="G1559" s="119" t="n">
        <v>46694</v>
      </c>
      <c r="H1559" s="119" t="n">
        <v>46293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IF(E1559="","",IF(ISNUMBER(SEARCH("SUBSOLO",E1559)),IFERROR(-VALUE(LEFT(E1559,FIND("º",SUBSTITUTE(E1559,"°","º"))-1)),-1),IF(LEFT(E1559,6)="TÉRREO",0,IFERROR(VALUE(LEFT(E1559,FIND("º",SUBSTITUTE(E1559,"°","º"))-1)),""))))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25210766</v>
      </c>
      <c r="C1560" s="4" t="inlineStr">
        <is>
          <t>METAIS</t>
        </is>
      </c>
      <c r="D1560" s="4" t="inlineStr">
        <is>
          <t>-</t>
        </is>
      </c>
      <c r="E1560" s="4" t="inlineStr">
        <is>
          <t>6º PAV. TIPO</t>
        </is>
      </c>
      <c r="F1560" s="119" t="n">
        <v>46680</v>
      </c>
      <c r="G1560" s="119" t="n">
        <v>46694</v>
      </c>
      <c r="H1560" s="119" t="n">
        <v>46293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IF(E1560="","",IF(ISNUMBER(SEARCH("SUBSOLO",E1560)),IFERROR(-VALUE(LEFT(E1560,FIND("º",SUBSTITUTE(E1560,"°","º"))-1)),-1),IF(LEFT(E1560,6)="TÉRREO",0,IFERROR(VALUE(LEFT(E1560,FIND("º",SUBSTITUTE(E1560,"°","º"))-1)),""))))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25210768</v>
      </c>
      <c r="C1561" s="4" t="inlineStr">
        <is>
          <t>ACABAMENTOS ELÉTRICOS</t>
        </is>
      </c>
      <c r="D1561" s="4" t="inlineStr">
        <is>
          <t>-</t>
        </is>
      </c>
      <c r="E1561" s="4" t="inlineStr">
        <is>
          <t>6º PAV. TIPO</t>
        </is>
      </c>
      <c r="F1561" s="119" t="n">
        <v>46680</v>
      </c>
      <c r="G1561" s="119" t="n">
        <v>46694</v>
      </c>
      <c r="H1561" s="119" t="n">
        <v>46293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IF(E1561="","",IF(ISNUMBER(SEARCH("SUBSOLO",E1561)),IFERROR(-VALUE(LEFT(E1561,FIND("º",SUBSTITUTE(E1561,"°","º"))-1)),-1),IF(LEFT(E1561,6)="TÉRREO",0,IFERROR(VALUE(LEFT(E1561,FIND("º",SUBSTITUTE(E1561,"°","º"))-1)),""))))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27766413</v>
      </c>
      <c r="C1562" s="4" t="inlineStr">
        <is>
          <t>ACABAMENTOS INCÊNDIO</t>
        </is>
      </c>
      <c r="D1562" s="4" t="inlineStr">
        <is>
          <t>-</t>
        </is>
      </c>
      <c r="E1562" s="4" t="inlineStr">
        <is>
          <t>6º PAV. TIPO</t>
        </is>
      </c>
      <c r="F1562" s="119" t="n">
        <v>46680</v>
      </c>
      <c r="G1562" s="119" t="n">
        <v>46694</v>
      </c>
      <c r="H1562" s="119" t="n">
        <v>46293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IF(E1562="","",IF(ISNUMBER(SEARCH("SUBSOLO",E1562)),IFERROR(-VALUE(LEFT(E1562,FIND("º",SUBSTITUTE(E1562,"°","º"))-1)),-1),IF(LEFT(E1562,6)="TÉRREO",0,IFERROR(VALUE(LEFT(E1562,FIND("º",SUBSTITUTE(E1562,"°","º"))-1)),""))))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25210318</v>
      </c>
      <c r="C1563" s="4" t="inlineStr">
        <is>
          <t>PINTURA 1º DEMÃO</t>
        </is>
      </c>
      <c r="D1563" s="4" t="inlineStr">
        <is>
          <t>-</t>
        </is>
      </c>
      <c r="E1563" s="4" t="inlineStr">
        <is>
          <t>18º PAV. TIPO</t>
        </is>
      </c>
      <c r="F1563" s="119" t="n">
        <v>46680</v>
      </c>
      <c r="G1563" s="119" t="n">
        <v>46689</v>
      </c>
      <c r="H1563" s="119" t="n">
        <v>46293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IF(E1563="","",IF(ISNUMBER(SEARCH("SUBSOLO",E1563)),IFERROR(-VALUE(LEFT(E1563,FIND("º",SUBSTITUTE(E1563,"°","º"))-1)),-1),IF(LEFT(E1563,6)="TÉRREO",0,IFERROR(VALUE(LEFT(E1563,FIND("º",SUBSTITUTE(E1563,"°","º"))-1)),""))))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25731727</v>
      </c>
      <c r="C1564" s="4" t="inlineStr">
        <is>
          <t>FACHADA CREMALHEIRA</t>
        </is>
      </c>
      <c r="D1564" s="4" t="inlineStr">
        <is>
          <t>-</t>
        </is>
      </c>
      <c r="E1564" s="4" t="inlineStr">
        <is>
          <t>FACHADA</t>
        </is>
      </c>
      <c r="F1564" s="119" t="n">
        <v>46680</v>
      </c>
      <c r="G1564" s="119" t="n">
        <v>46829</v>
      </c>
      <c r="H1564" s="119" t="n">
        <v>46293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25752736</v>
      </c>
      <c r="C1565" s="4" t="inlineStr">
        <is>
          <t>ELEVADOR 3</t>
        </is>
      </c>
      <c r="D1565" s="4" t="inlineStr">
        <is>
          <t>-</t>
        </is>
      </c>
      <c r="E1565" s="4" t="inlineStr">
        <is>
          <t>ELEVADORES</t>
        </is>
      </c>
      <c r="F1565" s="119" t="n">
        <v>46681</v>
      </c>
      <c r="G1565" s="119" t="n">
        <v>46758</v>
      </c>
      <c r="H1565" s="119" t="n">
        <v>46293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25210790</v>
      </c>
      <c r="C1566" s="4" t="inlineStr">
        <is>
          <t>PISO MADEIRA / LAMINADO</t>
        </is>
      </c>
      <c r="D1566" s="4" t="inlineStr">
        <is>
          <t>-</t>
        </is>
      </c>
      <c r="E1566" s="4" t="inlineStr">
        <is>
          <t>5º PAV. TIPO</t>
        </is>
      </c>
      <c r="F1566" s="119" t="n">
        <v>46682</v>
      </c>
      <c r="G1566" s="119" t="n">
        <v>46696</v>
      </c>
      <c r="H1566" s="119" t="n">
        <v>46293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IF(E1566="","",IF(ISNUMBER(SEARCH("SUBSOLO",E1566)),IFERROR(-VALUE(LEFT(E1566,FIND("º",SUBSTITUTE(E1566,"°","º"))-1)),-1),IF(LEFT(E1566,6)="TÉRREO",0,IFERROR(VALUE(LEFT(E1566,FIND("º",SUBSTITUTE(E1566,"°","º"))-1)),""))))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9054404</v>
      </c>
      <c r="C1567" s="4" t="inlineStr">
        <is>
          <t>PISO MADEIRA / LAMINADO</t>
        </is>
      </c>
      <c r="D1567" s="4" t="inlineStr">
        <is>
          <t>Regularização de Piso</t>
        </is>
      </c>
      <c r="E1567" s="4" t="inlineStr">
        <is>
          <t>5º PAV. TIPO</t>
        </is>
      </c>
      <c r="F1567" s="119" t="n">
        <v>46682</v>
      </c>
      <c r="G1567" s="119" t="n">
        <v>46688</v>
      </c>
      <c r="H1567" s="119" t="n">
        <v>46293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IF(E1567="","",IF(ISNUMBER(SEARCH("SUBSOLO",E1567)),IFERROR(-VALUE(LEFT(E1567,FIND("º",SUBSTITUTE(E1567,"°","º"))-1)),-1),IF(LEFT(E1567,6)="TÉRREO",0,IFERROR(VALUE(LEFT(E1567,FIND("º",SUBSTITUTE(E1567,"°","º"))-1)),""))))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9054405</v>
      </c>
      <c r="C1568" s="4" t="inlineStr">
        <is>
          <t>PISO MADEIRA / LAMINADO</t>
        </is>
      </c>
      <c r="D1568" s="4" t="inlineStr">
        <is>
          <t>Instalação Piso Madeira</t>
        </is>
      </c>
      <c r="E1568" s="4" t="inlineStr">
        <is>
          <t>5º PAV. TIPO</t>
        </is>
      </c>
      <c r="F1568" s="119" t="n">
        <v>46689</v>
      </c>
      <c r="G1568" s="119" t="n">
        <v>46696</v>
      </c>
      <c r="H1568" s="119" t="n">
        <v>46293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IF(E1568="","",IF(ISNUMBER(SEARCH("SUBSOLO",E1568)),IFERROR(-VALUE(LEFT(E1568,FIND("º",SUBSTITUTE(E1568,"°","º"))-1)),-1),IF(LEFT(E1568,6)="TÉRREO",0,IFERROR(VALUE(LEFT(E1568,FIND("º",SUBSTITUTE(E1568,"°","º"))-1)),""))))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25210667</v>
      </c>
      <c r="C1569" s="4" t="inlineStr">
        <is>
          <t>MASSA CORRIDA</t>
        </is>
      </c>
      <c r="D1569" s="4" t="inlineStr">
        <is>
          <t>-</t>
        </is>
      </c>
      <c r="E1569" s="4" t="inlineStr">
        <is>
          <t>8º PAV. TIPO</t>
        </is>
      </c>
      <c r="F1569" s="119" t="n">
        <v>46682</v>
      </c>
      <c r="G1569" s="119" t="n">
        <v>46692</v>
      </c>
      <c r="H1569" s="119" t="n">
        <v>46293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IF(E1569="","",IF(ISNUMBER(SEARCH("SUBSOLO",E1569)),IFERROR(-VALUE(LEFT(E1569,FIND("º",SUBSTITUTE(E1569,"°","º"))-1)),-1),IF(LEFT(E1569,6)="TÉRREO",0,IFERROR(VALUE(LEFT(E1569,FIND("º",SUBSTITUTE(E1569,"°","º"))-1)),""))))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25210653</v>
      </c>
      <c r="C1570" s="4" t="inlineStr">
        <is>
          <t>FORRO</t>
        </is>
      </c>
      <c r="D1570" s="4" t="inlineStr">
        <is>
          <t>-</t>
        </is>
      </c>
      <c r="E1570" s="4" t="inlineStr">
        <is>
          <t>9º PAV. TIPO</t>
        </is>
      </c>
      <c r="F1570" s="119" t="n">
        <v>46682</v>
      </c>
      <c r="G1570" s="119" t="n">
        <v>46703</v>
      </c>
      <c r="H1570" s="119" t="n">
        <v>46293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IF(E1570="","",IF(ISNUMBER(SEARCH("SUBSOLO",E1570)),IFERROR(-VALUE(LEFT(E1570,FIND("º",SUBSTITUTE(E1570,"°","º"))-1)),-1),IF(LEFT(E1570,6)="TÉRREO",0,IFERROR(VALUE(LEFT(E1570,FIND("º",SUBSTITUTE(E1570,"°","º"))-1)),""))))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25210431</v>
      </c>
      <c r="C1571" s="4" t="inlineStr">
        <is>
          <t>REVESTIMENTO PAREDE</t>
        </is>
      </c>
      <c r="D1571" s="4" t="inlineStr">
        <is>
          <t>-</t>
        </is>
      </c>
      <c r="E1571" s="4" t="inlineStr">
        <is>
          <t>15º PAV. TIPO</t>
        </is>
      </c>
      <c r="F1571" s="119" t="n">
        <v>46682</v>
      </c>
      <c r="G1571" s="119" t="n">
        <v>46696</v>
      </c>
      <c r="H1571" s="119" t="n">
        <v>46293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IF(E1571="","",IF(ISNUMBER(SEARCH("SUBSOLO",E1571)),IFERROR(-VALUE(LEFT(E1571,FIND("º",SUBSTITUTE(E1571,"°","º"))-1)),-1),IF(LEFT(E1571,6)="TÉRREO",0,IFERROR(VALUE(LEFT(E1571,FIND("º",SUBSTITUTE(E1571,"°","º"))-1)),""))))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33276121</v>
      </c>
      <c r="C1572" s="4" t="inlineStr">
        <is>
          <t>INFRAESTRUTURA - AR CONDICIONADO</t>
        </is>
      </c>
      <c r="D1572" s="4" t="inlineStr">
        <is>
          <t>-</t>
        </is>
      </c>
      <c r="E1572" s="4" t="inlineStr">
        <is>
          <t>21º PAV. TIPO</t>
        </is>
      </c>
      <c r="F1572" s="119" t="n">
        <v>46682</v>
      </c>
      <c r="G1572" s="119" t="n">
        <v>46696</v>
      </c>
      <c r="H1572" s="119" t="n">
        <v>46293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IF(E1572="","",IF(ISNUMBER(SEARCH("SUBSOLO",E1572)),IFERROR(-VALUE(LEFT(E1572,FIND("º",SUBSTITUTE(E1572,"°","º"))-1)),-1),IF(LEFT(E1572,6)="TÉRREO",0,IFERROR(VALUE(LEFT(E1572,FIND("º",SUBSTITUTE(E1572,"°","º"))-1)),""))))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33278928</v>
      </c>
      <c r="C1573" s="4" t="inlineStr">
        <is>
          <t>INFRAESTRUTURA ELÉTRICA - PAREDES</t>
        </is>
      </c>
      <c r="D1573" s="4" t="inlineStr">
        <is>
          <t>-</t>
        </is>
      </c>
      <c r="E1573" s="4" t="inlineStr">
        <is>
          <t>21º PAV. TIPO</t>
        </is>
      </c>
      <c r="F1573" s="119" t="n">
        <v>46682</v>
      </c>
      <c r="G1573" s="119" t="n">
        <v>46695</v>
      </c>
      <c r="H1573" s="119" t="n">
        <v>46293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IF(E1573="","",IF(ISNUMBER(SEARCH("SUBSOLO",E1573)),IFERROR(-VALUE(LEFT(E1573,FIND("º",SUBSTITUTE(E1573,"°","º"))-1)),-1),IF(LEFT(E1573,6)="TÉRREO",0,IFERROR(VALUE(LEFT(E1573,FIND("º",SUBSTITUTE(E1573,"°","º"))-1)),""))))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25799991</v>
      </c>
      <c r="C1574" s="4" t="inlineStr">
        <is>
          <t>FORRO</t>
        </is>
      </c>
      <c r="D1574" s="4" t="inlineStr">
        <is>
          <t>-</t>
        </is>
      </c>
      <c r="E1574" s="4" t="inlineStr">
        <is>
          <t>3º PAV. - ESPAÇO KIDS E GOURMET, SALÃO DE FESTAS E APOIO, LOBBY PILOTIS</t>
        </is>
      </c>
      <c r="F1574" s="119" t="n">
        <v>46685</v>
      </c>
      <c r="G1574" s="119" t="n">
        <v>46699</v>
      </c>
      <c r="H1574" s="119" t="n">
        <v>46293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IF(E1574="","",IF(ISNUMBER(SEARCH("SUBSOLO",E1574)),IFERROR(-VALUE(LEFT(E1574,FIND("º",SUBSTITUTE(E1574,"°","º"))-1)),-1),IF(LEFT(E1574,6)="TÉRREO",0,IFERROR(VALUE(LEFT(E1574,FIND("º",SUBSTITUTE(E1574,"°","º"))-1)),""))))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25210586</v>
      </c>
      <c r="C1575" s="4" t="inlineStr">
        <is>
          <t>ESQUADRIA MADEIRA</t>
        </is>
      </c>
      <c r="D1575" s="4" t="inlineStr">
        <is>
          <t>-</t>
        </is>
      </c>
      <c r="E1575" s="4" t="inlineStr">
        <is>
          <t>11º PAV. TIPO</t>
        </is>
      </c>
      <c r="F1575" s="119" t="n">
        <v>46685</v>
      </c>
      <c r="G1575" s="119" t="n">
        <v>46699</v>
      </c>
      <c r="H1575" s="119" t="n">
        <v>46293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IF(E1575="","",IF(ISNUMBER(SEARCH("SUBSOLO",E1575)),IFERROR(-VALUE(LEFT(E1575,FIND("º",SUBSTITUTE(E1575,"°","º"))-1)),-1),IF(LEFT(E1575,6)="TÉRREO",0,IFERROR(VALUE(LEFT(E1575,FIND("º",SUBSTITUTE(E1575,"°","º"))-1)),""))))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25210162</v>
      </c>
      <c r="C1576" s="4" t="inlineStr">
        <is>
          <t>IMPERMEABILIZAÇÃO INTERNA</t>
        </is>
      </c>
      <c r="D1576" s="4" t="inlineStr">
        <is>
          <t>-</t>
        </is>
      </c>
      <c r="E1576" s="4" t="inlineStr">
        <is>
          <t>23º PAV. TIPO</t>
        </is>
      </c>
      <c r="F1576" s="119" t="n">
        <v>46685</v>
      </c>
      <c r="G1576" s="119" t="n">
        <v>46696</v>
      </c>
      <c r="H1576" s="119" t="n">
        <v>46293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IF(E1576="","",IF(ISNUMBER(SEARCH("SUBSOLO",E1576)),IFERROR(-VALUE(LEFT(E1576,FIND("º",SUBSTITUTE(E1576,"°","º"))-1)),-1),IF(LEFT(E1576,6)="TÉRREO",0,IFERROR(VALUE(LEFT(E1576,FIND("º",SUBSTITUTE(E1576,"°","º"))-1)),""))))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25799834</v>
      </c>
      <c r="C1577" s="4" t="inlineStr">
        <is>
          <t>PINTURA 1º DEMÃO</t>
        </is>
      </c>
      <c r="D1577" s="4" t="inlineStr">
        <is>
          <t>-</t>
        </is>
      </c>
      <c r="E1577" s="4" t="inlineStr">
        <is>
          <t>3º PAV. - BAR PISCINA, VESTIÁRIOS, DEPOSITOS E LOUNGE QUADRAS</t>
        </is>
      </c>
      <c r="F1577" s="119" t="n">
        <v>46686</v>
      </c>
      <c r="G1577" s="119" t="n">
        <v>46700</v>
      </c>
      <c r="H1577" s="119" t="n">
        <v>46293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IF(E1577="","",IF(ISNUMBER(SEARCH("SUBSOLO",E1577)),IFERROR(-VALUE(LEFT(E1577,FIND("º",SUBSTITUTE(E1577,"°","º"))-1)),-1),IF(LEFT(E1577,6)="TÉRREO",0,IFERROR(VALUE(LEFT(E1577,FIND("º",SUBSTITUTE(E1577,"°","º"))-1)),""))))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25799974</v>
      </c>
      <c r="C1578" s="4" t="inlineStr">
        <is>
          <t>REVESTIMENTOS PISO</t>
        </is>
      </c>
      <c r="D1578" s="4" t="inlineStr">
        <is>
          <t>-</t>
        </is>
      </c>
      <c r="E1578" s="4" t="inlineStr">
        <is>
          <t>3º PAV. - ACADEMIA</t>
        </is>
      </c>
      <c r="F1578" s="119" t="n">
        <v>46686</v>
      </c>
      <c r="G1578" s="119" t="n">
        <v>46700</v>
      </c>
      <c r="H1578" s="119" t="n">
        <v>46293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IF(E1578="","",IF(ISNUMBER(SEARCH("SUBSOLO",E1578)),IFERROR(-VALUE(LEFT(E1578,FIND("º",SUBSTITUTE(E1578,"°","º"))-1)),-1),IF(LEFT(E1578,6)="TÉRREO",0,IFERROR(VALUE(LEFT(E1578,FIND("º",SUBSTITUTE(E1578,"°","º"))-1)),""))))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25754129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TÉRREO - CUL DE SAC / ENTRADA EMPREENDIMENTO</t>
        </is>
      </c>
      <c r="F1579" s="119" t="n">
        <v>46687</v>
      </c>
      <c r="G1579" s="119" t="n">
        <v>46716</v>
      </c>
      <c r="H1579" s="119" t="n">
        <v>46293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IF(E1579="","",IF(ISNUMBER(SEARCH("SUBSOLO",E1579)),IFERROR(-VALUE(LEFT(E1579,FIND("º",SUBSTITUTE(E1579,"°","º"))-1)),-1),IF(LEFT(E1579,6)="TÉRREO",0,IFERROR(VALUE(LEFT(E1579,FIND("º",SUBSTITUTE(E1579,"°","º"))-1)),""))))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25807564</v>
      </c>
      <c r="C1580" s="4" t="inlineStr">
        <is>
          <t>METAIS</t>
        </is>
      </c>
      <c r="D1580" s="4" t="inlineStr">
        <is>
          <t>-</t>
        </is>
      </c>
      <c r="E1580" s="4" t="inlineStr">
        <is>
          <t>3º PAV. ESPAÇO THERMAS, PISCINA COBERTA, SAUNAS E VESTIÁRIOS</t>
        </is>
      </c>
      <c r="F1580" s="119" t="n">
        <v>46687</v>
      </c>
      <c r="G1580" s="119" t="n">
        <v>46701</v>
      </c>
      <c r="H1580" s="119" t="n">
        <v>46293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IF(E1580="","",IF(ISNUMBER(SEARCH("SUBSOLO",E1580)),IFERROR(-VALUE(LEFT(E1580,FIND("º",SUBSTITUTE(E1580,"°","º"))-1)),-1),IF(LEFT(E1580,6)="TÉRREO",0,IFERROR(VALUE(LEFT(E1580,FIND("º",SUBSTITUTE(E1580,"°","º"))-1)),""))))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25807566</v>
      </c>
      <c r="C1581" s="4" t="inlineStr">
        <is>
          <t>ACABAMENTOS ELÉTRICOS</t>
        </is>
      </c>
      <c r="D1581" s="4" t="inlineStr">
        <is>
          <t>-</t>
        </is>
      </c>
      <c r="E1581" s="4" t="inlineStr">
        <is>
          <t>3º PAV. ESPAÇO THERMAS, PISCINA COBERTA, SAUNAS E VESTIÁRIOS</t>
        </is>
      </c>
      <c r="F1581" s="119" t="n">
        <v>46687</v>
      </c>
      <c r="G1581" s="119" t="n">
        <v>46701</v>
      </c>
      <c r="H1581" s="119" t="n">
        <v>46293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IF(E1581="","",IF(ISNUMBER(SEARCH("SUBSOLO",E1581)),IFERROR(-VALUE(LEFT(E1581,FIND("º",SUBSTITUTE(E1581,"°","º"))-1)),-1),IF(LEFT(E1581,6)="TÉRREO",0,IFERROR(VALUE(LEFT(E1581,FIND("º",SUBSTITUTE(E1581,"°","º"))-1)),""))))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27766404</v>
      </c>
      <c r="C1582" s="4" t="inlineStr">
        <is>
          <t>ACABAMENTOS INCÊNDIO</t>
        </is>
      </c>
      <c r="D1582" s="4" t="inlineStr">
        <is>
          <t>-</t>
        </is>
      </c>
      <c r="E1582" s="4" t="inlineStr">
        <is>
          <t>3º PAV. ESPAÇO THERMAS, PISCINA COBERTA, SAUNAS E VESTIÁRIOS</t>
        </is>
      </c>
      <c r="F1582" s="119" t="n">
        <v>46687</v>
      </c>
      <c r="G1582" s="119" t="n">
        <v>46701</v>
      </c>
      <c r="H1582" s="119" t="n">
        <v>46293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IF(E1582="","",IF(ISNUMBER(SEARCH("SUBSOLO",E1582)),IFERROR(-VALUE(LEFT(E1582,FIND("º",SUBSTITUTE(E1582,"°","º"))-1)),-1),IF(LEFT(E1582,6)="TÉRREO",0,IFERROR(VALUE(LEFT(E1582,FIND("º",SUBSTITUTE(E1582,"°","º"))-1)),""))))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25752800</v>
      </c>
      <c r="C1583" s="4" t="inlineStr">
        <is>
          <t>REVESTIMENTOS PISO</t>
        </is>
      </c>
      <c r="D1583" s="4" t="inlineStr">
        <is>
          <t>-</t>
        </is>
      </c>
      <c r="E1583" s="4" t="inlineStr">
        <is>
          <t>TÉRREO - ÁREAS DE FUNCIONÁRIOS</t>
        </is>
      </c>
      <c r="F1583" s="119" t="n">
        <v>46689</v>
      </c>
      <c r="G1583" s="119" t="n">
        <v>46701</v>
      </c>
      <c r="H1583" s="119" t="n">
        <v>46293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IF(E1583="","",IF(ISNUMBER(SEARCH("SUBSOLO",E1583)),IFERROR(-VALUE(LEFT(E1583,FIND("º",SUBSTITUTE(E1583,"°","º"))-1)),-1),IF(LEFT(E1583,6)="TÉRREO",0,IFERROR(VALUE(LEFT(E1583,FIND("º",SUBSTITUTE(E1583,"°","º"))-1)),""))))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25210811</v>
      </c>
      <c r="C1584" s="4" t="inlineStr">
        <is>
          <t>RODAPÉ MADEIRA / PVC</t>
        </is>
      </c>
      <c r="D1584" s="4" t="inlineStr">
        <is>
          <t>-</t>
        </is>
      </c>
      <c r="E1584" s="4" t="inlineStr">
        <is>
          <t>4° PAV. APTO GARDEN</t>
        </is>
      </c>
      <c r="F1584" s="119" t="n">
        <v>46689</v>
      </c>
      <c r="G1584" s="119" t="n">
        <v>46703</v>
      </c>
      <c r="H1584" s="119" t="n">
        <v>46293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IF(E1584="","",IF(ISNUMBER(SEARCH("SUBSOLO",E1584)),IFERROR(-VALUE(LEFT(E1584,FIND("º",SUBSTITUTE(E1584,"°","º"))-1)),-1),IF(LEFT(E1584,6)="TÉRREO",0,IFERROR(VALUE(LEFT(E1584,FIND("º",SUBSTITUTE(E1584,"°","º"))-1)),""))))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25210459</v>
      </c>
      <c r="C1585" s="4" t="inlineStr">
        <is>
          <t>BANCADAS</t>
        </is>
      </c>
      <c r="D1585" s="4" t="inlineStr">
        <is>
          <t>-</t>
        </is>
      </c>
      <c r="E1585" s="4" t="inlineStr">
        <is>
          <t>14º PAV. TIPO</t>
        </is>
      </c>
      <c r="F1585" s="119" t="n">
        <v>46689</v>
      </c>
      <c r="G1585" s="119" t="n">
        <v>46703</v>
      </c>
      <c r="H1585" s="119" t="n">
        <v>46293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IF(E1585="","",IF(ISNUMBER(SEARCH("SUBSOLO",E1585)),IFERROR(-VALUE(LEFT(E1585,FIND("º",SUBSTITUTE(E1585,"°","º"))-1)),-1),IF(LEFT(E1585,6)="TÉRREO",0,IFERROR(VALUE(LEFT(E1585,FIND("º",SUBSTITUTE(E1585,"°","º"))-1)),""))))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25210196</v>
      </c>
      <c r="C1586" s="4" t="inlineStr">
        <is>
          <t>CONTRAPISO</t>
        </is>
      </c>
      <c r="D1586" s="4" t="inlineStr">
        <is>
          <t>-</t>
        </is>
      </c>
      <c r="E1586" s="4" t="inlineStr">
        <is>
          <t>22º PAV. TIPO</t>
        </is>
      </c>
      <c r="F1586" s="119" t="n">
        <v>46689</v>
      </c>
      <c r="G1586" s="119" t="n">
        <v>46703</v>
      </c>
      <c r="H1586" s="119" t="n">
        <v>46293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IF(E1586="","",IF(ISNUMBER(SEARCH("SUBSOLO",E1586)),IFERROR(-VALUE(LEFT(E1586,FIND("º",SUBSTITUTE(E1586,"°","º"))-1)),-1),IF(LEFT(E1586,6)="TÉRREO",0,IFERROR(VALUE(LEFT(E1586,FIND("º",SUBSTITUTE(E1586,"°","º"))-1)),""))))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27765766</v>
      </c>
      <c r="C1587" s="4" t="inlineStr">
        <is>
          <t>DRENO + ATERRO JARDINEIRAS</t>
        </is>
      </c>
      <c r="D1587" s="4" t="inlineStr">
        <is>
          <t>-</t>
        </is>
      </c>
      <c r="E1587" s="4" t="inlineStr">
        <is>
          <t>22º PAV. TIPO</t>
        </is>
      </c>
      <c r="F1587" s="119" t="n">
        <v>46689</v>
      </c>
      <c r="G1587" s="119" t="n">
        <v>46702</v>
      </c>
      <c r="H1587" s="119" t="n">
        <v>46293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IF(E1587="","",IF(ISNUMBER(SEARCH("SUBSOLO",E1587)),IFERROR(-VALUE(LEFT(E1587,FIND("º",SUBSTITUTE(E1587,"°","º"))-1)),-1),IF(LEFT(E1587,6)="TÉRREO",0,IFERROR(VALUE(LEFT(E1587,FIND("º",SUBSTITUTE(E1587,"°","º"))-1)),""))))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25210727</v>
      </c>
      <c r="C1588" s="4" t="inlineStr">
        <is>
          <t>PINTURA 2º DEMÃO</t>
        </is>
      </c>
      <c r="D1588" s="4" t="inlineStr">
        <is>
          <t>-</t>
        </is>
      </c>
      <c r="E1588" s="4" t="inlineStr">
        <is>
          <t>7º PAV. TIPO</t>
        </is>
      </c>
      <c r="F1588" s="119" t="n">
        <v>46692</v>
      </c>
      <c r="G1588" s="119" t="n">
        <v>46707</v>
      </c>
      <c r="H1588" s="119" t="n">
        <v>46293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IF(E1588="","",IF(ISNUMBER(SEARCH("SUBSOLO",E1588)),IFERROR(-VALUE(LEFT(E1588,FIND("º",SUBSTITUTE(E1588,"°","º"))-1)),-1),IF(LEFT(E1588,6)="TÉRREO",0,IFERROR(VALUE(LEFT(E1588,FIND("º",SUBSTITUTE(E1588,"°","º"))-1)),""))))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25210624</v>
      </c>
      <c r="C1589" s="4" t="inlineStr">
        <is>
          <t>DISJUNTORES / MIOLOS</t>
        </is>
      </c>
      <c r="D1589" s="4" t="inlineStr">
        <is>
          <t>-</t>
        </is>
      </c>
      <c r="E1589" s="4" t="inlineStr">
        <is>
          <t>10º PAV. TIPO</t>
        </is>
      </c>
      <c r="F1589" s="119" t="n">
        <v>46692</v>
      </c>
      <c r="G1589" s="119" t="n">
        <v>46707</v>
      </c>
      <c r="H1589" s="119" t="n">
        <v>46293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IF(E1589="","",IF(ISNUMBER(SEARCH("SUBSOLO",E1589)),IFERROR(-VALUE(LEFT(E1589,FIND("º",SUBSTITUTE(E1589,"°","º"))-1)),-1),IF(LEFT(E1589,6)="TÉRREO",0,IFERROR(VALUE(LEFT(E1589,FIND("º",SUBSTITUTE(E1589,"°","º"))-1)),""))))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25210602</v>
      </c>
      <c r="C1590" s="4" t="inlineStr">
        <is>
          <t>CFTV</t>
        </is>
      </c>
      <c r="D1590" s="4" t="inlineStr">
        <is>
          <t>-</t>
        </is>
      </c>
      <c r="E1590" s="4" t="inlineStr">
        <is>
          <t>10º PAV. TIPO</t>
        </is>
      </c>
      <c r="F1590" s="119" t="n">
        <v>46692</v>
      </c>
      <c r="G1590" s="119" t="n">
        <v>46707</v>
      </c>
      <c r="H1590" s="119" t="n">
        <v>46293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IF(E1590="","",IF(ISNUMBER(SEARCH("SUBSOLO",E1590)),IFERROR(-VALUE(LEFT(E1590,FIND("º",SUBSTITUTE(E1590,"°","º"))-1)),-1),IF(LEFT(E1590,6)="TÉRREO",0,IFERROR(VALUE(LEFT(E1590,FIND("º",SUBSTITUTE(E1590,"°","º"))-1)),""))))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33275997</v>
      </c>
      <c r="C1591" s="4" t="inlineStr">
        <is>
          <t>FORRO DE MADEIRA</t>
        </is>
      </c>
      <c r="D1591" s="4" t="inlineStr">
        <is>
          <t>-</t>
        </is>
      </c>
      <c r="E1591" s="4" t="inlineStr">
        <is>
          <t>11º PAV. TIPO</t>
        </is>
      </c>
      <c r="F1591" s="119" t="n">
        <v>46692</v>
      </c>
      <c r="G1591" s="119" t="n">
        <v>46714</v>
      </c>
      <c r="H1591" s="119" t="n">
        <v>46293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IF(E1591="","",IF(ISNUMBER(SEARCH("SUBSOLO",E1591)),IFERROR(-VALUE(LEFT(E1591,FIND("º",SUBSTITUTE(E1591,"°","º"))-1)),-1),IF(LEFT(E1591,6)="TÉRREO",0,IFERROR(VALUE(LEFT(E1591,FIND("º",SUBSTITUTE(E1591,"°","º"))-1)),""))))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25210514</v>
      </c>
      <c r="C1592" s="4" t="inlineStr">
        <is>
          <t>ESQUADRIA</t>
        </is>
      </c>
      <c r="D1592" s="4" t="inlineStr">
        <is>
          <t>-</t>
        </is>
      </c>
      <c r="E1592" s="4" t="inlineStr">
        <is>
          <t>13º PAV. TIPO</t>
        </is>
      </c>
      <c r="F1592" s="119" t="n">
        <v>46692</v>
      </c>
      <c r="G1592" s="119" t="n">
        <v>46714</v>
      </c>
      <c r="H1592" s="119" t="n">
        <v>46293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IF(E1592="","",IF(ISNUMBER(SEARCH("SUBSOLO",E1592)),IFERROR(-VALUE(LEFT(E1592,FIND("º",SUBSTITUTE(E1592,"°","º"))-1)),-1),IF(LEFT(E1592,6)="TÉRREO",0,IFERROR(VALUE(LEFT(E1592,FIND("º",SUBSTITUTE(E1592,"°","º"))-1)),""))))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33276113</v>
      </c>
      <c r="C1593" s="4" t="inlineStr">
        <is>
          <t>INFRAESTRUTURA - AR CONDICIONADO</t>
        </is>
      </c>
      <c r="D1593" s="4" t="inlineStr">
        <is>
          <t>-</t>
        </is>
      </c>
      <c r="E1593" s="4" t="inlineStr">
        <is>
          <t>13º PAV. TIPO</t>
        </is>
      </c>
      <c r="F1593" s="119" t="n">
        <v>46692</v>
      </c>
      <c r="G1593" s="119" t="n">
        <v>46707</v>
      </c>
      <c r="H1593" s="119" t="n">
        <v>46293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IF(E1593="","",IF(ISNUMBER(SEARCH("SUBSOLO",E1593)),IFERROR(-VALUE(LEFT(E1593,FIND("º",SUBSTITUTE(E1593,"°","º"))-1)),-1),IF(LEFT(E1593,6)="TÉRREO",0,IFERROR(VALUE(LEFT(E1593,FIND("º",SUBSTITUTE(E1593,"°","º"))-1)),""))))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33278920</v>
      </c>
      <c r="C1594" s="4" t="inlineStr">
        <is>
          <t>INFRAESTRUTURA ELÉTRICA - PAREDES</t>
        </is>
      </c>
      <c r="D1594" s="4" t="inlineStr">
        <is>
          <t>-</t>
        </is>
      </c>
      <c r="E1594" s="4" t="inlineStr">
        <is>
          <t>13º PAV. TIPO</t>
        </is>
      </c>
      <c r="F1594" s="119" t="n">
        <v>46692</v>
      </c>
      <c r="G1594" s="119" t="n">
        <v>46703</v>
      </c>
      <c r="H1594" s="119" t="n">
        <v>46293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IF(E1594="","",IF(ISNUMBER(SEARCH("SUBSOLO",E1594)),IFERROR(-VALUE(LEFT(E1594,FIND("º",SUBSTITUTE(E1594,"°","º"))-1)),-1),IF(LEFT(E1594,6)="TÉRREO",0,IFERROR(VALUE(LEFT(E1594,FIND("º",SUBSTITUTE(E1594,"°","º"))-1)),""))))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25210282</v>
      </c>
      <c r="C1595" s="4" t="inlineStr">
        <is>
          <t>MASSA CORRIDA</t>
        </is>
      </c>
      <c r="D1595" s="4" t="inlineStr">
        <is>
          <t>-</t>
        </is>
      </c>
      <c r="E1595" s="4" t="inlineStr">
        <is>
          <t>19º PAV. TIPO</t>
        </is>
      </c>
      <c r="F1595" s="119" t="n">
        <v>46692</v>
      </c>
      <c r="G1595" s="119" t="n">
        <v>46701</v>
      </c>
      <c r="H1595" s="119" t="n">
        <v>46293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IF(E1595="","",IF(ISNUMBER(SEARCH("SUBSOLO",E1595)),IFERROR(-VALUE(LEFT(E1595,FIND("º",SUBSTITUTE(E1595,"°","º"))-1)),-1),IF(LEFT(E1595,6)="TÉRREO",0,IFERROR(VALUE(LEFT(E1595,FIND("º",SUBSTITUTE(E1595,"°","º"))-1)),""))))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25210268</v>
      </c>
      <c r="C1596" s="4" t="inlineStr">
        <is>
          <t>FORRO</t>
        </is>
      </c>
      <c r="D1596" s="4" t="inlineStr">
        <is>
          <t>-</t>
        </is>
      </c>
      <c r="E1596" s="4" t="inlineStr">
        <is>
          <t>20º PAV. TIPO</t>
        </is>
      </c>
      <c r="F1596" s="119" t="n">
        <v>46692</v>
      </c>
      <c r="G1596" s="119" t="n">
        <v>46714</v>
      </c>
      <c r="H1596" s="119" t="n">
        <v>46293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IF(E1596="","",IF(ISNUMBER(SEARCH("SUBSOLO",E1596)),IFERROR(-VALUE(LEFT(E1596,FIND("º",SUBSTITUTE(E1596,"°","º"))-1)),-1),IF(LEFT(E1596,6)="TÉRREO",0,IFERROR(VALUE(LEFT(E1596,FIND("º",SUBSTITUTE(E1596,"°","º"))-1)),""))))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25210668</v>
      </c>
      <c r="C1597" s="4" t="inlineStr">
        <is>
          <t>PINTURA 1º DEMÃO</t>
        </is>
      </c>
      <c r="D1597" s="4" t="inlineStr">
        <is>
          <t>-</t>
        </is>
      </c>
      <c r="E1597" s="4" t="inlineStr">
        <is>
          <t>8º PAV. TIPO</t>
        </is>
      </c>
      <c r="F1597" s="119" t="n">
        <v>46694</v>
      </c>
      <c r="G1597" s="119" t="n">
        <v>46703</v>
      </c>
      <c r="H1597" s="119" t="n">
        <v>46293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IF(E1597="","",IF(ISNUMBER(SEARCH("SUBSOLO",E1597)),IFERROR(-VALUE(LEFT(E1597,FIND("º",SUBSTITUTE(E1597,"°","º"))-1)),-1),IF(LEFT(E1597,6)="TÉRREO",0,IFERROR(VALUE(LEFT(E1597,FIND("º",SUBSTITUTE(E1597,"°","º"))-1)),""))))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25210118</v>
      </c>
      <c r="C1598" s="4" t="inlineStr">
        <is>
          <t>SHAFT INTERNO INST. HIDRAÚLICAS</t>
        </is>
      </c>
      <c r="D1598" s="4" t="inlineStr">
        <is>
          <t>-</t>
        </is>
      </c>
      <c r="E1598" s="4" t="inlineStr">
        <is>
          <t>24º PAV. TIPO</t>
        </is>
      </c>
      <c r="F1598" s="119" t="n">
        <v>46694</v>
      </c>
      <c r="G1598" s="119" t="n">
        <v>46707</v>
      </c>
      <c r="H1598" s="119" t="n">
        <v>46293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IF(E1598="","",IF(ISNUMBER(SEARCH("SUBSOLO",E1598)),IFERROR(-VALUE(LEFT(E1598,FIND("º",SUBSTITUTE(E1598,"°","º"))-1)),-1),IF(LEFT(E1598,6)="TÉRREO",0,IFERROR(VALUE(LEFT(E1598,FIND("º",SUBSTITUTE(E1598,"°","º"))-1)),""))))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25210088</v>
      </c>
      <c r="C1599" s="4" t="inlineStr">
        <is>
          <t>REBOCO INTERNO</t>
        </is>
      </c>
      <c r="D1599" s="4" t="inlineStr">
        <is>
          <t>-</t>
        </is>
      </c>
      <c r="E1599" s="4" t="inlineStr">
        <is>
          <t>25º PAV. TIPO</t>
        </is>
      </c>
      <c r="F1599" s="119" t="n">
        <v>46694</v>
      </c>
      <c r="G1599" s="119" t="n">
        <v>46715</v>
      </c>
      <c r="H1599" s="119" t="n">
        <v>46293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IF(E1599="","",IF(ISNUMBER(SEARCH("SUBSOLO",E1599)),IFERROR(-VALUE(LEFT(E1599,FIND("º",SUBSTITUTE(E1599,"°","º"))-1)),-1),IF(LEFT(E1599,6)="TÉRREO",0,IFERROR(VALUE(LEFT(E1599,FIND("º",SUBSTITUTE(E1599,"°","º"))-1)),""))))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25210767</v>
      </c>
      <c r="C1600" s="4" t="inlineStr">
        <is>
          <t>PINTURA 3º DEMÃO</t>
        </is>
      </c>
      <c r="D1600" s="4" t="inlineStr">
        <is>
          <t>-</t>
        </is>
      </c>
      <c r="E1600" s="4" t="inlineStr">
        <is>
          <t>6º PAV. TIPO</t>
        </is>
      </c>
      <c r="F1600" s="119" t="n">
        <v>46695</v>
      </c>
      <c r="G1600" s="119" t="n">
        <v>46709</v>
      </c>
      <c r="H1600" s="119" t="n">
        <v>46293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IF(E1600="","",IF(ISNUMBER(SEARCH("SUBSOLO",E1600)),IFERROR(-VALUE(LEFT(E1600,FIND("º",SUBSTITUTE(E1600,"°","º"))-1)),-1),IF(LEFT(E1600,6)="TÉRREO",0,IFERROR(VALUE(LEFT(E1600,FIND("º",SUBSTITUTE(E1600,"°","º"))-1)),""))))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25210221</v>
      </c>
      <c r="C1601" s="4" t="inlineStr">
        <is>
          <t>REVESTIMENTO PAREDE</t>
        </is>
      </c>
      <c r="D1601" s="4" t="inlineStr">
        <is>
          <t>-</t>
        </is>
      </c>
      <c r="E1601" s="4" t="inlineStr">
        <is>
          <t>21º PAV. TIPO</t>
        </is>
      </c>
      <c r="F1601" s="119" t="n">
        <v>46696</v>
      </c>
      <c r="G1601" s="119" t="n">
        <v>46710</v>
      </c>
      <c r="H1601" s="119" t="n">
        <v>46293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IF(E1601="","",IF(ISNUMBER(SEARCH("SUBSOLO",E1601)),IFERROR(-VALUE(LEFT(E1601,FIND("º",SUBSTITUTE(E1601,"°","º"))-1)),-1),IF(LEFT(E1601,6)="TÉRREO",0,IFERROR(VALUE(LEFT(E1601,FIND("º",SUBSTITUTE(E1601,"°","º"))-1)),""))))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25752761</v>
      </c>
      <c r="C1602" s="4" t="inlineStr">
        <is>
          <t>PINTURA 1º DEMÃO</t>
        </is>
      </c>
      <c r="D1602" s="4" t="inlineStr">
        <is>
          <t>-</t>
        </is>
      </c>
      <c r="E1602" s="4" t="inlineStr">
        <is>
          <t>2º PAV. - ÁREAS TÉCNICAS</t>
        </is>
      </c>
      <c r="F1602" s="119" t="n">
        <v>46699</v>
      </c>
      <c r="G1602" s="119" t="n">
        <v>46713</v>
      </c>
      <c r="H1602" s="119" t="n">
        <v>46293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IF(E1602="","",IF(ISNUMBER(SEARCH("SUBSOLO",E1602)),IFERROR(-VALUE(LEFT(E1602,FIND("º",SUBSTITUTE(E1602,"°","º"))-1)),-1),IF(LEFT(E1602,6)="TÉRREO",0,IFERROR(VALUE(LEFT(E1602,FIND("º",SUBSTITUTE(E1602,"°","º"))-1)),""))))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25210796</v>
      </c>
      <c r="C1603" s="4" t="inlineStr">
        <is>
          <t>ESQUADRIA MADEIRA</t>
        </is>
      </c>
      <c r="D1603" s="4" t="inlineStr">
        <is>
          <t>-</t>
        </is>
      </c>
      <c r="E1603" s="4" t="inlineStr">
        <is>
          <t>5º PAV. TIPO</t>
        </is>
      </c>
      <c r="F1603" s="119" t="n">
        <v>46699</v>
      </c>
      <c r="G1603" s="119" t="n">
        <v>46713</v>
      </c>
      <c r="H1603" s="119" t="n">
        <v>46293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IF(E1603="","",IF(ISNUMBER(SEARCH("SUBSOLO",E1603)),IFERROR(-VALUE(LEFT(E1603,FIND("º",SUBSTITUTE(E1603,"°","º"))-1)),-1),IF(LEFT(E1603,6)="TÉRREO",0,IFERROR(VALUE(LEFT(E1603,FIND("º",SUBSTITUTE(E1603,"°","º"))-1)),""))))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33275991</v>
      </c>
      <c r="C1604" s="4" t="inlineStr">
        <is>
          <t>FORRO DE MADEIRA</t>
        </is>
      </c>
      <c r="D1604" s="4" t="inlineStr">
        <is>
          <t>-</t>
        </is>
      </c>
      <c r="E1604" s="4" t="inlineStr">
        <is>
          <t>5º PAV. TIPO</t>
        </is>
      </c>
      <c r="F1604" s="119" t="n">
        <v>46699</v>
      </c>
      <c r="G1604" s="119" t="n">
        <v>46720</v>
      </c>
      <c r="H1604" s="119" t="n">
        <v>46293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IF(E1604="","",IF(ISNUMBER(SEARCH("SUBSOLO",E1604)),IFERROR(-VALUE(LEFT(E1604,FIND("º",SUBSTITUTE(E1604,"°","º"))-1)),-1),IF(LEFT(E1604,6)="TÉRREO",0,IFERROR(VALUE(LEFT(E1604,FIND("º",SUBSTITUTE(E1604,"°","º"))-1)),""))))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25210548</v>
      </c>
      <c r="C1605" s="4" t="inlineStr">
        <is>
          <t>FORRO</t>
        </is>
      </c>
      <c r="D1605" s="4" t="inlineStr">
        <is>
          <t>-</t>
        </is>
      </c>
      <c r="E1605" s="4" t="inlineStr">
        <is>
          <t>12º PAV. TIPO</t>
        </is>
      </c>
      <c r="F1605" s="119" t="n">
        <v>46699</v>
      </c>
      <c r="G1605" s="119" t="n">
        <v>46720</v>
      </c>
      <c r="H1605" s="119" t="n">
        <v>46293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IF(E1605="","",IF(ISNUMBER(SEARCH("SUBSOLO",E1605)),IFERROR(-VALUE(LEFT(E1605,FIND("º",SUBSTITUTE(E1605,"°","º"))-1)),-1),IF(LEFT(E1605,6)="TÉRREO",0,IFERROR(VALUE(LEFT(E1605,FIND("º",SUBSTITUTE(E1605,"°","º"))-1)),""))))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25210445</v>
      </c>
      <c r="C1606" s="4" t="inlineStr">
        <is>
          <t>REVESTIMENTOS PISO</t>
        </is>
      </c>
      <c r="D1606" s="4" t="inlineStr">
        <is>
          <t>-</t>
        </is>
      </c>
      <c r="E1606" s="4" t="inlineStr">
        <is>
          <t>15º PAV. TIPO</t>
        </is>
      </c>
      <c r="F1606" s="119" t="n">
        <v>46699</v>
      </c>
      <c r="G1606" s="119" t="n">
        <v>46713</v>
      </c>
      <c r="H1606" s="119" t="n">
        <v>46293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IF(E1606="","",IF(ISNUMBER(SEARCH("SUBSOLO",E1606)),IFERROR(-VALUE(LEFT(E1606,FIND("º",SUBSTITUTE(E1606,"°","º"))-1)),-1),IF(LEFT(E1606,6)="TÉRREO",0,IFERROR(VALUE(LEFT(E1606,FIND("º",SUBSTITUTE(E1606,"°","º"))-1)),""))))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27762206</v>
      </c>
      <c r="C1607" s="4" t="inlineStr">
        <is>
          <t>TRATAMENTO ACÚSTICO</t>
        </is>
      </c>
      <c r="D1607" s="4" t="inlineStr">
        <is>
          <t>-</t>
        </is>
      </c>
      <c r="E1607" s="4" t="inlineStr">
        <is>
          <t>23º PAV. TIPO</t>
        </is>
      </c>
      <c r="F1607" s="119" t="n">
        <v>46699</v>
      </c>
      <c r="G1607" s="119" t="n">
        <v>46699</v>
      </c>
      <c r="H1607" s="119" t="n">
        <v>46293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IF(E1607="","",IF(ISNUMBER(SEARCH("SUBSOLO",E1607)),IFERROR(-VALUE(LEFT(E1607,FIND("º",SUBSTITUTE(E1607,"°","º"))-1)),-1),IF(LEFT(E1607,6)="TÉRREO",0,IFERROR(VALUE(LEFT(E1607,FIND("º",SUBSTITUTE(E1607,"°","º"))-1)),""))))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25799992</v>
      </c>
      <c r="C1608" s="4" t="inlineStr">
        <is>
          <t>ESQUADRIA</t>
        </is>
      </c>
      <c r="D1608" s="4" t="inlineStr">
        <is>
          <t>-</t>
        </is>
      </c>
      <c r="E1608" s="4" t="inlineStr">
        <is>
          <t>3º PAV. - ESPAÇO KIDS E GOURMET, SALÃO DE FESTAS E APOIO, LOBBY PILOTIS</t>
        </is>
      </c>
      <c r="F1608" s="119" t="n">
        <v>46700</v>
      </c>
      <c r="G1608" s="119" t="n">
        <v>46735</v>
      </c>
      <c r="H1608" s="119" t="n">
        <v>46293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IF(E1608="","",IF(ISNUMBER(SEARCH("SUBSOLO",E1608)),IFERROR(-VALUE(LEFT(E1608,FIND("º",SUBSTITUTE(E1608,"°","º"))-1)),-1),IF(LEFT(E1608,6)="TÉRREO",0,IFERROR(VALUE(LEFT(E1608,FIND("º",SUBSTITUTE(E1608,"°","º"))-1)),""))))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25799993</v>
      </c>
      <c r="C1609" s="4" t="inlineStr">
        <is>
          <t>MASSA CORRIDA</t>
        </is>
      </c>
      <c r="D1609" s="4" t="inlineStr">
        <is>
          <t>-</t>
        </is>
      </c>
      <c r="E1609" s="4" t="inlineStr">
        <is>
          <t>3º PAV. - ESPAÇO KIDS E GOURMET, SALÃO DE FESTAS E APOIO, LOBBY PILOTIS</t>
        </is>
      </c>
      <c r="F1609" s="119" t="n">
        <v>46700</v>
      </c>
      <c r="G1609" s="119" t="n">
        <v>46714</v>
      </c>
      <c r="H1609" s="119" t="n">
        <v>46293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IF(E1609="","",IF(ISNUMBER(SEARCH("SUBSOLO",E1609)),IFERROR(-VALUE(LEFT(E1609,FIND("º",SUBSTITUTE(E1609,"°","º"))-1)),-1),IF(LEFT(E1609,6)="TÉRREO",0,IFERROR(VALUE(LEFT(E1609,FIND("º",SUBSTITUTE(E1609,"°","º"))-1)),""))))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25210566</v>
      </c>
      <c r="C1610" s="4" t="inlineStr">
        <is>
          <t>RODAPÉ MADEIRA / PVC</t>
        </is>
      </c>
      <c r="D1610" s="4" t="inlineStr">
        <is>
          <t>-</t>
        </is>
      </c>
      <c r="E1610" s="4" t="inlineStr">
        <is>
          <t>11º PAV. TIPO</t>
        </is>
      </c>
      <c r="F1610" s="119" t="n">
        <v>46700</v>
      </c>
      <c r="G1610" s="119" t="n">
        <v>46714</v>
      </c>
      <c r="H1610" s="119" t="n">
        <v>46293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IF(E1610="","",IF(ISNUMBER(SEARCH("SUBSOLO",E1610)),IFERROR(-VALUE(LEFT(E1610,FIND("º",SUBSTITUTE(E1610,"°","º"))-1)),-1),IF(LEFT(E1610,6)="TÉRREO",0,IFERROR(VALUE(LEFT(E1610,FIND("º",SUBSTITUTE(E1610,"°","º"))-1)),""))))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25210150</v>
      </c>
      <c r="C1611" s="4" t="inlineStr">
        <is>
          <t>IMPERMEABILIZAÇÃO VARANDA E JARDINEIRAS</t>
        </is>
      </c>
      <c r="D1611" s="4" t="inlineStr">
        <is>
          <t>-</t>
        </is>
      </c>
      <c r="E1611" s="4" t="inlineStr">
        <is>
          <t>23º PAV. TIPO</t>
        </is>
      </c>
      <c r="F1611" s="119" t="n">
        <v>46700</v>
      </c>
      <c r="G1611" s="119" t="n">
        <v>46713</v>
      </c>
      <c r="H1611" s="119" t="n">
        <v>46293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IF(E1611="","",IF(ISNUMBER(SEARCH("SUBSOLO",E1611)),IFERROR(-VALUE(LEFT(E1611,FIND("º",SUBSTITUTE(E1611,"°","º"))-1)),-1),IF(LEFT(E1611,6)="TÉRREO",0,IFERROR(VALUE(LEFT(E1611,FIND("º",SUBSTITUTE(E1611,"°","º"))-1)),""))))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25753031</v>
      </c>
      <c r="C1612" s="4" t="inlineStr">
        <is>
          <t>DISJUNTORES / MIOLOS</t>
        </is>
      </c>
      <c r="D1612" s="4" t="inlineStr">
        <is>
          <t>-</t>
        </is>
      </c>
      <c r="E1612" s="4" t="inlineStr">
        <is>
          <t>TÉRREO - GARAGENS</t>
        </is>
      </c>
      <c r="F1612" s="119" t="n">
        <v>46701</v>
      </c>
      <c r="G1612" s="119" t="n">
        <v>46715</v>
      </c>
      <c r="H1612" s="119" t="n">
        <v>46293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IF(E1612="","",IF(ISNUMBER(SEARCH("SUBSOLO",E1612)),IFERROR(-VALUE(LEFT(E1612,FIND("º",SUBSTITUTE(E1612,"°","º"))-1)),-1),IF(LEFT(E1612,6)="TÉRREO",0,IFERROR(VALUE(LEFT(E1612,FIND("º",SUBSTITUTE(E1612,"°","º"))-1)),""))))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25799969</v>
      </c>
      <c r="C1613" s="4" t="inlineStr">
        <is>
          <t>PISO MADEIRA / LAMINADO</t>
        </is>
      </c>
      <c r="D1613" s="4" t="inlineStr">
        <is>
          <t>-</t>
        </is>
      </c>
      <c r="E1613" s="4" t="inlineStr">
        <is>
          <t>3º PAV. - BAR PISCINA, VESTIÁRIOS, DEPOSITOS E LOUNGE QUADRAS</t>
        </is>
      </c>
      <c r="F1613" s="119" t="n">
        <v>46701</v>
      </c>
      <c r="G1613" s="119" t="n">
        <v>46715</v>
      </c>
      <c r="H1613" s="119" t="n">
        <v>46293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IF(E1613="","",IF(ISNUMBER(SEARCH("SUBSOLO",E1613)),IFERROR(-VALUE(LEFT(E1613,FIND("º",SUBSTITUTE(E1613,"°","º"))-1)),-1),IF(LEFT(E1613,6)="TÉRREO",0,IFERROR(VALUE(LEFT(E1613,FIND("º",SUBSTITUTE(E1613,"°","º"))-1)),""))))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25799840</v>
      </c>
      <c r="C1614" s="4" t="inlineStr">
        <is>
          <t>DISJUNTORES / MIOLOS</t>
        </is>
      </c>
      <c r="D1614" s="4" t="inlineStr">
        <is>
          <t>-</t>
        </is>
      </c>
      <c r="E1614" s="4" t="inlineStr">
        <is>
          <t>3º PAV. - BAR PISCINA, VESTIÁRIOS, DEPOSITOS E LOUNGE QUADRAS</t>
        </is>
      </c>
      <c r="F1614" s="119" t="n">
        <v>46701</v>
      </c>
      <c r="G1614" s="119" t="n">
        <v>46715</v>
      </c>
      <c r="H1614" s="119" t="n">
        <v>46293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IF(E1614="","",IF(ISNUMBER(SEARCH("SUBSOLO",E1614)),IFERROR(-VALUE(LEFT(E1614,FIND("º",SUBSTITUTE(E1614,"°","º"))-1)),-1),IF(LEFT(E1614,6)="TÉRREO",0,IFERROR(VALUE(LEFT(E1614,FIND("º",SUBSTITUTE(E1614,"°","º"))-1)),""))))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25799904</v>
      </c>
      <c r="C1615" s="4" t="inlineStr">
        <is>
          <t>DISJUNTORES / MIOLOS</t>
        </is>
      </c>
      <c r="D1615" s="4" t="inlineStr">
        <is>
          <t>-</t>
        </is>
      </c>
      <c r="E1615" s="4" t="inlineStr">
        <is>
          <t>3º PAV. - ACADEMIA</t>
        </is>
      </c>
      <c r="F1615" s="119" t="n">
        <v>46701</v>
      </c>
      <c r="G1615" s="119" t="n">
        <v>46708</v>
      </c>
      <c r="H1615" s="119" t="n">
        <v>46293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IF(E1615="","",IF(ISNUMBER(SEARCH("SUBSOLO",E1615)),IFERROR(-VALUE(LEFT(E1615,FIND("º",SUBSTITUTE(E1615,"°","º"))-1)),-1),IF(LEFT(E1615,6)="TÉRREO",0,IFERROR(VALUE(LEFT(E1615,FIND("º",SUBSTITUTE(E1615,"°","º"))-1)),""))))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25752801</v>
      </c>
      <c r="C1616" s="4" t="inlineStr">
        <is>
          <t>BANCADAS</t>
        </is>
      </c>
      <c r="D1616" s="4" t="inlineStr">
        <is>
          <t>-</t>
        </is>
      </c>
      <c r="E1616" s="4" t="inlineStr">
        <is>
          <t>TÉRREO - ÁREAS DE FUNCIONÁRIOS</t>
        </is>
      </c>
      <c r="F1616" s="119" t="n">
        <v>46702</v>
      </c>
      <c r="G1616" s="119" t="n">
        <v>46709</v>
      </c>
      <c r="H1616" s="119" t="n">
        <v>46293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IF(E1616="","",IF(ISNUMBER(SEARCH("SUBSOLO",E1616)),IFERROR(-VALUE(LEFT(E1616,FIND("º",SUBSTITUTE(E1616,"°","º"))-1)),-1),IF(LEFT(E1616,6)="TÉRREO",0,IFERROR(VALUE(LEFT(E1616,FIND("º",SUBSTITUTE(E1616,"°","º"))-1)),""))))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25807565</v>
      </c>
      <c r="C1617" s="4" t="inlineStr">
        <is>
          <t>PINTURA 3º DEMÃO</t>
        </is>
      </c>
      <c r="D1617" s="4" t="inlineStr">
        <is>
          <t>-</t>
        </is>
      </c>
      <c r="E1617" s="4" t="inlineStr">
        <is>
          <t>3º PAV. ESPAÇO THERMAS, PISCINA COBERTA, SAUNAS E VESTIÁRIOS</t>
        </is>
      </c>
      <c r="F1617" s="119" t="n">
        <v>46702</v>
      </c>
      <c r="G1617" s="119" t="n">
        <v>46716</v>
      </c>
      <c r="H1617" s="119" t="n">
        <v>46293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IF(E1617="","",IF(ISNUMBER(SEARCH("SUBSOLO",E1617)),IFERROR(-VALUE(LEFT(E1617,FIND("º",SUBSTITUTE(E1617,"°","º"))-1)),-1),IF(LEFT(E1617,6)="TÉRREO",0,IFERROR(VALUE(LEFT(E1617,FIND("º",SUBSTITUTE(E1617,"°","º"))-1)),""))))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27766405</v>
      </c>
      <c r="C1618" s="4" t="inlineStr">
        <is>
          <t>ACABAMENTOS INCÊNDIO</t>
        </is>
      </c>
      <c r="D1618" s="4" t="inlineStr">
        <is>
          <t>-</t>
        </is>
      </c>
      <c r="E1618" s="4" t="inlineStr">
        <is>
          <t>3º PAV. PISCINA DESCOBERTA E E ÁREA DESCOBERTA PISCINA</t>
        </is>
      </c>
      <c r="F1618" s="119" t="n">
        <v>46702</v>
      </c>
      <c r="G1618" s="119" t="n">
        <v>46715</v>
      </c>
      <c r="H1618" s="119" t="n">
        <v>46293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IF(E1618="","",IF(ISNUMBER(SEARCH("SUBSOLO",E1618)),IFERROR(-VALUE(LEFT(E1618,FIND("º",SUBSTITUTE(E1618,"°","º"))-1)),-1),IF(LEFT(E1618,6)="TÉRREO",0,IFERROR(VALUE(LEFT(E1618,FIND("º",SUBSTITUTE(E1618,"°","º"))-1)),""))))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25210283</v>
      </c>
      <c r="C1619" s="4" t="inlineStr">
        <is>
          <t>PINTURA 1º DEMÃO</t>
        </is>
      </c>
      <c r="D1619" s="4" t="inlineStr">
        <is>
          <t>-</t>
        </is>
      </c>
      <c r="E1619" s="4" t="inlineStr">
        <is>
          <t>19º PAV. TIPO</t>
        </is>
      </c>
      <c r="F1619" s="119" t="n">
        <v>46702</v>
      </c>
      <c r="G1619" s="119" t="n">
        <v>46714</v>
      </c>
      <c r="H1619" s="119" t="n">
        <v>46293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IF(E1619="","",IF(ISNUMBER(SEARCH("SUBSOLO",E1619)),IFERROR(-VALUE(LEFT(E1619,FIND("º",SUBSTITUTE(E1619,"°","º"))-1)),-1),IF(LEFT(E1619,6)="TÉRREO",0,IFERROR(VALUE(LEFT(E1619,FIND("º",SUBSTITUTE(E1619,"°","º"))-1)),""))))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25752945</v>
      </c>
      <c r="C1620" s="4" t="inlineStr">
        <is>
          <t>PINTURA VAGAS</t>
        </is>
      </c>
      <c r="D1620" s="4" t="inlineStr">
        <is>
          <t>-</t>
        </is>
      </c>
      <c r="E1620" s="4" t="inlineStr">
        <is>
          <t>2º PAV. GARAGEM.</t>
        </is>
      </c>
      <c r="F1620" s="119" t="n">
        <v>46703</v>
      </c>
      <c r="G1620" s="119" t="n">
        <v>46724</v>
      </c>
      <c r="H1620" s="119" t="n">
        <v>46293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IF(E1620="","",IF(ISNUMBER(SEARCH("SUBSOLO",E1620)),IFERROR(-VALUE(LEFT(E1620,FIND("º",SUBSTITUTE(E1620,"°","º"))-1)),-1),IF(LEFT(E1620,6)="TÉRREO",0,IFERROR(VALUE(LEFT(E1620,FIND("º",SUBSTITUTE(E1620,"°","º"))-1)),""))))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25210834</v>
      </c>
      <c r="C1621" s="4" t="inlineStr">
        <is>
          <t>DISJUNTORES / MIOLOS</t>
        </is>
      </c>
      <c r="D1621" s="4" t="inlineStr">
        <is>
          <t>-</t>
        </is>
      </c>
      <c r="E1621" s="4" t="inlineStr">
        <is>
          <t>4° PAV. APTO GARDEN</t>
        </is>
      </c>
      <c r="F1621" s="119" t="n">
        <v>46707</v>
      </c>
      <c r="G1621" s="119" t="n">
        <v>46720</v>
      </c>
      <c r="H1621" s="119" t="n">
        <v>46293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IF(E1621="","",IF(ISNUMBER(SEARCH("SUBSOLO",E1621)),IFERROR(-VALUE(LEFT(E1621,FIND("º",SUBSTITUTE(E1621,"°","º"))-1)),-1),IF(LEFT(E1621,6)="TÉRREO",0,IFERROR(VALUE(LEFT(E1621,FIND("º",SUBSTITUTE(E1621,"°","º"))-1)),""))))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25210812</v>
      </c>
      <c r="C1622" s="4" t="inlineStr">
        <is>
          <t>CFTV</t>
        </is>
      </c>
      <c r="D1622" s="4" t="inlineStr">
        <is>
          <t>-</t>
        </is>
      </c>
      <c r="E1622" s="4" t="inlineStr">
        <is>
          <t>4° PAV. APTO GARDEN</t>
        </is>
      </c>
      <c r="F1622" s="119" t="n">
        <v>46707</v>
      </c>
      <c r="G1622" s="119" t="n">
        <v>46720</v>
      </c>
      <c r="H1622" s="119" t="n">
        <v>46293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IF(E1622="","",IF(ISNUMBER(SEARCH("SUBSOLO",E1622)),IFERROR(-VALUE(LEFT(E1622,FIND("º",SUBSTITUTE(E1622,"°","º"))-1)),-1),IF(LEFT(E1622,6)="TÉRREO",0,IFERROR(VALUE(LEFT(E1622,FIND("º",SUBSTITUTE(E1622,"°","º"))-1)),""))))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25210685</v>
      </c>
      <c r="C1623" s="4" t="inlineStr">
        <is>
          <t>PISO MADEIRA / LAMINADO</t>
        </is>
      </c>
      <c r="D1623" s="4" t="inlineStr">
        <is>
          <t>-</t>
        </is>
      </c>
      <c r="E1623" s="4" t="inlineStr">
        <is>
          <t>8º PAV. TIPO</t>
        </is>
      </c>
      <c r="F1623" s="119" t="n">
        <v>46707</v>
      </c>
      <c r="G1623" s="119" t="n">
        <v>46720</v>
      </c>
      <c r="H1623" s="119" t="n">
        <v>46293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IF(E1623="","",IF(ISNUMBER(SEARCH("SUBSOLO",E1623)),IFERROR(-VALUE(LEFT(E1623,FIND("º",SUBSTITUTE(E1623,"°","º"))-1)),-1),IF(LEFT(E1623,6)="TÉRREO",0,IFERROR(VALUE(LEFT(E1623,FIND("º",SUBSTITUTE(E1623,"°","º"))-1)),""))))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9054398</v>
      </c>
      <c r="C1624" s="4" t="inlineStr">
        <is>
          <t>PISO MADEIRA / LAMINADO</t>
        </is>
      </c>
      <c r="D1624" s="4" t="inlineStr">
        <is>
          <t>Regularização de Piso</t>
        </is>
      </c>
      <c r="E1624" s="4" t="inlineStr">
        <is>
          <t>8º PAV. TIPO</t>
        </is>
      </c>
      <c r="F1624" s="119" t="n">
        <v>46707</v>
      </c>
      <c r="G1624" s="119" t="n">
        <v>46713</v>
      </c>
      <c r="H1624" s="119" t="n">
        <v>46293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IF(E1624="","",IF(ISNUMBER(SEARCH("SUBSOLO",E1624)),IFERROR(-VALUE(LEFT(E1624,FIND("º",SUBSTITUTE(E1624,"°","º"))-1)),-1),IF(LEFT(E1624,6)="TÉRREO",0,IFERROR(VALUE(LEFT(E1624,FIND("º",SUBSTITUTE(E1624,"°","º"))-1)),""))))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9054399</v>
      </c>
      <c r="C1625" s="4" t="inlineStr">
        <is>
          <t>PISO MADEIRA / LAMINADO</t>
        </is>
      </c>
      <c r="D1625" s="4" t="inlineStr">
        <is>
          <t>Instalação Piso Madeira</t>
        </is>
      </c>
      <c r="E1625" s="4" t="inlineStr">
        <is>
          <t>8º PAV. TIPO</t>
        </is>
      </c>
      <c r="F1625" s="119" t="n">
        <v>46714</v>
      </c>
      <c r="G1625" s="119" t="n">
        <v>46720</v>
      </c>
      <c r="H1625" s="119" t="n">
        <v>46293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IF(E1625="","",IF(ISNUMBER(SEARCH("SUBSOLO",E1625)),IFERROR(-VALUE(LEFT(E1625,FIND("º",SUBSTITUTE(E1625,"°","º"))-1)),-1),IF(LEFT(E1625,6)="TÉRREO",0,IFERROR(VALUE(LEFT(E1625,FIND("º",SUBSTITUTE(E1625,"°","º"))-1)),""))))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25210632</v>
      </c>
      <c r="C1626" s="4" t="inlineStr">
        <is>
          <t>MASSA CORRIDA</t>
        </is>
      </c>
      <c r="D1626" s="4" t="inlineStr">
        <is>
          <t>-</t>
        </is>
      </c>
      <c r="E1626" s="4" t="inlineStr">
        <is>
          <t>9º PAV. TIPO</t>
        </is>
      </c>
      <c r="F1626" s="119" t="n">
        <v>46707</v>
      </c>
      <c r="G1626" s="119" t="n">
        <v>46715</v>
      </c>
      <c r="H1626" s="119" t="n">
        <v>46293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IF(E1626="","",IF(ISNUMBER(SEARCH("SUBSOLO",E1626)),IFERROR(-VALUE(LEFT(E1626,FIND("º",SUBSTITUTE(E1626,"°","º"))-1)),-1),IF(LEFT(E1626,6)="TÉRREO",0,IFERROR(VALUE(LEFT(E1626,FIND("º",SUBSTITUTE(E1626,"°","º"))-1)),""))))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25210501</v>
      </c>
      <c r="C1627" s="4" t="inlineStr">
        <is>
          <t>REVESTIMENTO PAREDE</t>
        </is>
      </c>
      <c r="D1627" s="4" t="inlineStr">
        <is>
          <t>-</t>
        </is>
      </c>
      <c r="E1627" s="4" t="inlineStr">
        <is>
          <t>13º PAV. TIPO</t>
        </is>
      </c>
      <c r="F1627" s="119" t="n">
        <v>46707</v>
      </c>
      <c r="G1627" s="119" t="n">
        <v>46720</v>
      </c>
      <c r="H1627" s="119" t="n">
        <v>46293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IF(E1627="","",IF(ISNUMBER(SEARCH("SUBSOLO",E1627)),IFERROR(-VALUE(LEFT(E1627,FIND("º",SUBSTITUTE(E1627,"°","º"))-1)),-1),IF(LEFT(E1627,6)="TÉRREO",0,IFERROR(VALUE(LEFT(E1627,FIND("º",SUBSTITUTE(E1627,"°","º"))-1)),""))))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25210460</v>
      </c>
      <c r="C1628" s="4" t="inlineStr">
        <is>
          <t>FIAÇÃO ELÉTRICA</t>
        </is>
      </c>
      <c r="D1628" s="4" t="inlineStr">
        <is>
          <t>-</t>
        </is>
      </c>
      <c r="E1628" s="4" t="inlineStr">
        <is>
          <t>14º PAV. TIPO</t>
        </is>
      </c>
      <c r="F1628" s="119" t="n">
        <v>46707</v>
      </c>
      <c r="G1628" s="119" t="n">
        <v>46727</v>
      </c>
      <c r="H1628" s="119" t="n">
        <v>46293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IF(E1628="","",IF(ISNUMBER(SEARCH("SUBSOLO",E1628)),IFERROR(-VALUE(LEFT(E1628,FIND("º",SUBSTITUTE(E1628,"°","º"))-1)),-1),IF(LEFT(E1628,6)="TÉRREO",0,IFERROR(VALUE(LEFT(E1628,FIND("º",SUBSTITUTE(E1628,"°","º"))-1)),""))))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25210491</v>
      </c>
      <c r="C1629" s="4" t="inlineStr">
        <is>
          <t>VENTILAÇÃO / EXAUSTÃO</t>
        </is>
      </c>
      <c r="D1629" s="4" t="inlineStr">
        <is>
          <t>-</t>
        </is>
      </c>
      <c r="E1629" s="4" t="inlineStr">
        <is>
          <t>14º PAV. TIPO</t>
        </is>
      </c>
      <c r="F1629" s="119" t="n">
        <v>46707</v>
      </c>
      <c r="G1629" s="119" t="n">
        <v>46713</v>
      </c>
      <c r="H1629" s="119" t="n">
        <v>46293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IF(E1629="","",IF(ISNUMBER(SEARCH("SUBSOLO",E1629)),IFERROR(-VALUE(LEFT(E1629,FIND("º",SUBSTITUTE(E1629,"°","º"))-1)),-1),IF(LEFT(E1629,6)="TÉRREO",0,IFERROR(VALUE(LEFT(E1629,FIND("º",SUBSTITUTE(E1629,"°","º"))-1)),""))))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33276122</v>
      </c>
      <c r="C1630" s="4" t="inlineStr">
        <is>
          <t>INFRAESTRUTURA - AR CONDICIONADO</t>
        </is>
      </c>
      <c r="D1630" s="4" t="inlineStr">
        <is>
          <t>-</t>
        </is>
      </c>
      <c r="E1630" s="4" t="inlineStr">
        <is>
          <t>22º PAV. TIPO</t>
        </is>
      </c>
      <c r="F1630" s="119" t="n">
        <v>46707</v>
      </c>
      <c r="G1630" s="119" t="n">
        <v>46720</v>
      </c>
      <c r="H1630" s="119" t="n">
        <v>46293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IF(E1630="","",IF(ISNUMBER(SEARCH("SUBSOLO",E1630)),IFERROR(-VALUE(LEFT(E1630,FIND("º",SUBSTITUTE(E1630,"°","º"))-1)),-1),IF(LEFT(E1630,6)="TÉRREO",0,IFERROR(VALUE(LEFT(E1630,FIND("º",SUBSTITUTE(E1630,"°","º"))-1)),""))))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33278929</v>
      </c>
      <c r="C1631" s="4" t="inlineStr">
        <is>
          <t>INFRAESTRUTURA ELÉTRICA - PAREDES</t>
        </is>
      </c>
      <c r="D1631" s="4" t="inlineStr">
        <is>
          <t>-</t>
        </is>
      </c>
      <c r="E1631" s="4" t="inlineStr">
        <is>
          <t>22º PAV. TIPO</t>
        </is>
      </c>
      <c r="F1631" s="119" t="n">
        <v>46707</v>
      </c>
      <c r="G1631" s="119" t="n">
        <v>46717</v>
      </c>
      <c r="H1631" s="119" t="n">
        <v>46293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IF(E1631="","",IF(ISNUMBER(SEARCH("SUBSOLO",E1631)),IFERROR(-VALUE(LEFT(E1631,FIND("º",SUBSTITUTE(E1631,"°","º"))-1)),-1),IF(LEFT(E1631,6)="TÉRREO",0,IFERROR(VALUE(LEFT(E1631,FIND("º",SUBSTITUTE(E1631,"°","º"))-1)),""))))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27770710</v>
      </c>
      <c r="C1632" s="4" t="inlineStr">
        <is>
          <t>SERRALHERIA</t>
        </is>
      </c>
      <c r="D1632" s="4" t="inlineStr">
        <is>
          <t>-</t>
        </is>
      </c>
      <c r="E1632" s="4" t="inlineStr">
        <is>
          <t>7º PAV. TIPO</t>
        </is>
      </c>
      <c r="F1632" s="119" t="n">
        <v>46708</v>
      </c>
      <c r="G1632" s="119" t="n">
        <v>46720</v>
      </c>
      <c r="H1632" s="119" t="n">
        <v>46293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IF(E1632="","",IF(ISNUMBER(SEARCH("SUBSOLO",E1632)),IFERROR(-VALUE(LEFT(E1632,FIND("º",SUBSTITUTE(E1632,"°","º"))-1)),-1),IF(LEFT(E1632,6)="TÉRREO",0,IFERROR(VALUE(LEFT(E1632,FIND("º",SUBSTITUTE(E1632,"°","º"))-1)),""))))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25210728</v>
      </c>
      <c r="C1633" s="4" t="inlineStr">
        <is>
          <t>LOUÇAS</t>
        </is>
      </c>
      <c r="D1633" s="4" t="inlineStr">
        <is>
          <t>-</t>
        </is>
      </c>
      <c r="E1633" s="4" t="inlineStr">
        <is>
          <t>7º PAV. TIPO</t>
        </is>
      </c>
      <c r="F1633" s="119" t="n">
        <v>46708</v>
      </c>
      <c r="G1633" s="119" t="n">
        <v>46721</v>
      </c>
      <c r="H1633" s="119" t="n">
        <v>46293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IF(E1633="","",IF(ISNUMBER(SEARCH("SUBSOLO",E1633)),IFERROR(-VALUE(LEFT(E1633,FIND("º",SUBSTITUTE(E1633,"°","º"))-1)),-1),IF(LEFT(E1633,6)="TÉRREO",0,IFERROR(VALUE(LEFT(E1633,FIND("º",SUBSTITUTE(E1633,"°","º"))-1)),""))))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25210731</v>
      </c>
      <c r="C1634" s="4" t="inlineStr">
        <is>
          <t>METAIS</t>
        </is>
      </c>
      <c r="D1634" s="4" t="inlineStr">
        <is>
          <t>-</t>
        </is>
      </c>
      <c r="E1634" s="4" t="inlineStr">
        <is>
          <t>7º PAV. TIPO</t>
        </is>
      </c>
      <c r="F1634" s="119" t="n">
        <v>46708</v>
      </c>
      <c r="G1634" s="119" t="n">
        <v>46721</v>
      </c>
      <c r="H1634" s="119" t="n">
        <v>46293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IF(E1634="","",IF(ISNUMBER(SEARCH("SUBSOLO",E1634)),IFERROR(-VALUE(LEFT(E1634,FIND("º",SUBSTITUTE(E1634,"°","º"))-1)),-1),IF(LEFT(E1634,6)="TÉRREO",0,IFERROR(VALUE(LEFT(E1634,FIND("º",SUBSTITUTE(E1634,"°","º"))-1)),""))))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25210733</v>
      </c>
      <c r="C1635" s="4" t="inlineStr">
        <is>
          <t>ACABAMENTOS ELÉTRICOS</t>
        </is>
      </c>
      <c r="D1635" s="4" t="inlineStr">
        <is>
          <t>-</t>
        </is>
      </c>
      <c r="E1635" s="4" t="inlineStr">
        <is>
          <t>7º PAV. TIPO</t>
        </is>
      </c>
      <c r="F1635" s="119" t="n">
        <v>46708</v>
      </c>
      <c r="G1635" s="119" t="n">
        <v>46721</v>
      </c>
      <c r="H1635" s="119" t="n">
        <v>46293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IF(E1635="","",IF(ISNUMBER(SEARCH("SUBSOLO",E1635)),IFERROR(-VALUE(LEFT(E1635,FIND("º",SUBSTITUTE(E1635,"°","º"))-1)),-1),IF(LEFT(E1635,6)="TÉRREO",0,IFERROR(VALUE(LEFT(E1635,FIND("º",SUBSTITUTE(E1635,"°","º"))-1)),""))))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27766414</v>
      </c>
      <c r="C1636" s="4" t="inlineStr">
        <is>
          <t>ACABAMENTOS INCÊNDIO</t>
        </is>
      </c>
      <c r="D1636" s="4" t="inlineStr">
        <is>
          <t>-</t>
        </is>
      </c>
      <c r="E1636" s="4" t="inlineStr">
        <is>
          <t>7º PAV. TIPO</t>
        </is>
      </c>
      <c r="F1636" s="119" t="n">
        <v>46708</v>
      </c>
      <c r="G1636" s="119" t="n">
        <v>46721</v>
      </c>
      <c r="H1636" s="119" t="n">
        <v>46293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IF(E1636="","",IF(ISNUMBER(SEARCH("SUBSOLO",E1636)),IFERROR(-VALUE(LEFT(E1636,FIND("º",SUBSTITUTE(E1636,"°","º"))-1)),-1),IF(LEFT(E1636,6)="TÉRREO",0,IFERROR(VALUE(LEFT(E1636,FIND("º",SUBSTITUTE(E1636,"°","º"))-1)),""))))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33292464</v>
      </c>
      <c r="C1637" s="4" t="inlineStr">
        <is>
          <t>PAISAGISMO</t>
        </is>
      </c>
      <c r="D1637" s="4" t="inlineStr">
        <is>
          <t>-</t>
        </is>
      </c>
      <c r="E1637" s="4" t="inlineStr">
        <is>
          <t>10º PAV. TIPO</t>
        </is>
      </c>
      <c r="F1637" s="119" t="n">
        <v>46708</v>
      </c>
      <c r="G1637" s="119" t="n">
        <v>46721</v>
      </c>
      <c r="H1637" s="119" t="n">
        <v>46293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IF(E1637="","",IF(ISNUMBER(SEARCH("SUBSOLO",E1637)),IFERROR(-VALUE(LEFT(E1637,FIND("º",SUBSTITUTE(E1637,"°","º"))-1)),-1),IF(LEFT(E1637,6)="TÉRREO",0,IFERROR(VALUE(LEFT(E1637,FIND("º",SUBSTITUTE(E1637,"°","º"))-1)),""))))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25210127</v>
      </c>
      <c r="C1638" s="4" t="inlineStr">
        <is>
          <t>IMPERMEABILIZAÇÃO INTERNA</t>
        </is>
      </c>
      <c r="D1638" s="4" t="inlineStr">
        <is>
          <t>-</t>
        </is>
      </c>
      <c r="E1638" s="4" t="inlineStr">
        <is>
          <t>24º PAV. TIPO</t>
        </is>
      </c>
      <c r="F1638" s="119" t="n">
        <v>46708</v>
      </c>
      <c r="G1638" s="119" t="n">
        <v>46720</v>
      </c>
      <c r="H1638" s="119" t="n">
        <v>46293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IF(E1638="","",IF(ISNUMBER(SEARCH("SUBSOLO",E1638)),IFERROR(-VALUE(LEFT(E1638,FIND("º",SUBSTITUTE(E1638,"°","º"))-1)),-1),IF(LEFT(E1638,6)="TÉRREO",0,IFERROR(VALUE(LEFT(E1638,FIND("º",SUBSTITUTE(E1638,"°","º"))-1)),""))))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25799905</v>
      </c>
      <c r="C1639" s="4" t="inlineStr">
        <is>
          <t>LIMPEZA GROSSA</t>
        </is>
      </c>
      <c r="D1639" s="4" t="inlineStr">
        <is>
          <t>-</t>
        </is>
      </c>
      <c r="E1639" s="4" t="inlineStr">
        <is>
          <t>3º PAV. - ACADEMIA</t>
        </is>
      </c>
      <c r="F1639" s="119" t="n">
        <v>46709</v>
      </c>
      <c r="G1639" s="119" t="n">
        <v>46715</v>
      </c>
      <c r="H1639" s="119" t="n">
        <v>46293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IF(E1639="","",IF(ISNUMBER(SEARCH("SUBSOLO",E1639)),IFERROR(-VALUE(LEFT(E1639,FIND("º",SUBSTITUTE(E1639,"°","º"))-1)),-1),IF(LEFT(E1639,6)="TÉRREO",0,IFERROR(VALUE(LEFT(E1639,FIND("º",SUBSTITUTE(E1639,"°","º"))-1)),""))))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25752802</v>
      </c>
      <c r="C1640" s="4" t="inlineStr">
        <is>
          <t>FORRO</t>
        </is>
      </c>
      <c r="D1640" s="4" t="inlineStr">
        <is>
          <t>-</t>
        </is>
      </c>
      <c r="E1640" s="4" t="inlineStr">
        <is>
          <t>TÉRREO - ÁREAS DE FUNCIONÁRIOS</t>
        </is>
      </c>
      <c r="F1640" s="119" t="n">
        <v>46710</v>
      </c>
      <c r="G1640" s="119" t="n">
        <v>46716</v>
      </c>
      <c r="H1640" s="119" t="n">
        <v>46293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IF(E1640="","",IF(ISNUMBER(SEARCH("SUBSOLO",E1640)),IFERROR(-VALUE(LEFT(E1640,FIND("º",SUBSTITUTE(E1640,"°","º"))-1)),-1),IF(LEFT(E1640,6)="TÉRREO",0,IFERROR(VALUE(LEFT(E1640,FIND("º",SUBSTITUTE(E1640,"°","º"))-1)),""))))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25210769</v>
      </c>
      <c r="C1641" s="4" t="inlineStr">
        <is>
          <t>LIMPEZA FINA</t>
        </is>
      </c>
      <c r="D1641" s="4" t="inlineStr">
        <is>
          <t>-</t>
        </is>
      </c>
      <c r="E1641" s="4" t="inlineStr">
        <is>
          <t>6º PAV. TIPO</t>
        </is>
      </c>
      <c r="F1641" s="119" t="n">
        <v>46710</v>
      </c>
      <c r="G1641" s="119" t="n">
        <v>46723</v>
      </c>
      <c r="H1641" s="119" t="n">
        <v>46293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IF(E1641="","",IF(ISNUMBER(SEARCH("SUBSOLO",E1641)),IFERROR(-VALUE(LEFT(E1641,FIND("º",SUBSTITUTE(E1641,"°","º"))-1)),-1),IF(LEFT(E1641,6)="TÉRREO",0,IFERROR(VALUE(LEFT(E1641,FIND("º",SUBSTITUTE(E1641,"°","º"))-1)),""))))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27766497</v>
      </c>
      <c r="C1642" s="4" t="inlineStr">
        <is>
          <t>COMUNICAÇÃO VISUAL</t>
        </is>
      </c>
      <c r="D1642" s="4" t="inlineStr">
        <is>
          <t>-</t>
        </is>
      </c>
      <c r="E1642" s="4" t="inlineStr">
        <is>
          <t>6º PAV. TIPO</t>
        </is>
      </c>
      <c r="F1642" s="119" t="n">
        <v>46713</v>
      </c>
      <c r="G1642" s="119" t="n">
        <v>46717</v>
      </c>
      <c r="H1642" s="119" t="n">
        <v>46293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IF(E1642="","",IF(ISNUMBER(SEARCH("SUBSOLO",E1642)),IFERROR(-VALUE(LEFT(E1642,FIND("º",SUBSTITUTE(E1642,"°","º"))-1)),-1),IF(LEFT(E1642,6)="TÉRREO",0,IFERROR(VALUE(LEFT(E1642,FIND("º",SUBSTITUTE(E1642,"°","º"))-1)),""))))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25210235</v>
      </c>
      <c r="C1643" s="4" t="inlineStr">
        <is>
          <t>REVESTIMENTOS PISO</t>
        </is>
      </c>
      <c r="D1643" s="4" t="inlineStr">
        <is>
          <t>-</t>
        </is>
      </c>
      <c r="E1643" s="4" t="inlineStr">
        <is>
          <t>21º PAV. TIPO</t>
        </is>
      </c>
      <c r="F1643" s="119" t="n">
        <v>46713</v>
      </c>
      <c r="G1643" s="119" t="n">
        <v>46724</v>
      </c>
      <c r="H1643" s="119" t="n">
        <v>46293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IF(E1643="","",IF(ISNUMBER(SEARCH("SUBSOLO",E1643)),IFERROR(-VALUE(LEFT(E1643,FIND("º",SUBSTITUTE(E1643,"°","º"))-1)),-1),IF(LEFT(E1643,6)="TÉRREO",0,IFERROR(VALUE(LEFT(E1643,FIND("º",SUBSTITUTE(E1643,"°","º"))-1)),""))))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25752764</v>
      </c>
      <c r="C1644" s="4" t="inlineStr">
        <is>
          <t>LIMPEZA GROSSA</t>
        </is>
      </c>
      <c r="D1644" s="4" t="inlineStr">
        <is>
          <t>-</t>
        </is>
      </c>
      <c r="E1644" s="4" t="inlineStr">
        <is>
          <t>2º PAV. - ÁREAS TÉCNICAS</t>
        </is>
      </c>
      <c r="F1644" s="119" t="n">
        <v>46714</v>
      </c>
      <c r="G1644" s="119" t="n">
        <v>46720</v>
      </c>
      <c r="H1644" s="119" t="n">
        <v>46293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IF(E1644="","",IF(ISNUMBER(SEARCH("SUBSOLO",E1644)),IFERROR(-VALUE(LEFT(E1644,FIND("º",SUBSTITUTE(E1644,"°","º"))-1)),-1),IF(LEFT(E1644,6)="TÉRREO",0,IFERROR(VALUE(LEFT(E1644,FIND("º",SUBSTITUTE(E1644,"°","º"))-1)),""))))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25210776</v>
      </c>
      <c r="C1645" s="4" t="inlineStr">
        <is>
          <t>RODAPÉ MADEIRA / PVC</t>
        </is>
      </c>
      <c r="D1645" s="4" t="inlineStr">
        <is>
          <t>-</t>
        </is>
      </c>
      <c r="E1645" s="4" t="inlineStr">
        <is>
          <t>5º PAV. TIPO</t>
        </is>
      </c>
      <c r="F1645" s="119" t="n">
        <v>46714</v>
      </c>
      <c r="G1645" s="119" t="n">
        <v>46727</v>
      </c>
      <c r="H1645" s="119" t="n">
        <v>46293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IF(E1645="","",IF(ISNUMBER(SEARCH("SUBSOLO",E1645)),IFERROR(-VALUE(LEFT(E1645,FIND("º",SUBSTITUTE(E1645,"°","º"))-1)),-1),IF(LEFT(E1645,6)="TÉRREO",0,IFERROR(VALUE(LEFT(E1645,FIND("º",SUBSTITUTE(E1645,"°","º"))-1)),""))))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25210424</v>
      </c>
      <c r="C1646" s="4" t="inlineStr">
        <is>
          <t>BANCADAS</t>
        </is>
      </c>
      <c r="D1646" s="4" t="inlineStr">
        <is>
          <t>-</t>
        </is>
      </c>
      <c r="E1646" s="4" t="inlineStr">
        <is>
          <t>15º PAV. TIPO</t>
        </is>
      </c>
      <c r="F1646" s="119" t="n">
        <v>46714</v>
      </c>
      <c r="G1646" s="119" t="n">
        <v>46727</v>
      </c>
      <c r="H1646" s="119" t="n">
        <v>46293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IF(E1646="","",IF(ISNUMBER(SEARCH("SUBSOLO",E1646)),IFERROR(-VALUE(LEFT(E1646,FIND("º",SUBSTITUTE(E1646,"°","º"))-1)),-1),IF(LEFT(E1646,6)="TÉRREO",0,IFERROR(VALUE(LEFT(E1646,FIND("º",SUBSTITUTE(E1646,"°","º"))-1)),""))))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25210161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23º PAV. TIPO</t>
        </is>
      </c>
      <c r="F1647" s="119" t="n">
        <v>46714</v>
      </c>
      <c r="G1647" s="119" t="n">
        <v>46727</v>
      </c>
      <c r="H1647" s="119" t="n">
        <v>46293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IF(E1647="","",IF(ISNUMBER(SEARCH("SUBSOLO",E1647)),IFERROR(-VALUE(LEFT(E1647,FIND("º",SUBSTITUTE(E1647,"°","º"))-1)),-1),IF(LEFT(E1647,6)="TÉRREO",0,IFERROR(VALUE(LEFT(E1647,FIND("º",SUBSTITUTE(E1647,"°","º"))-1)),""))))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27765767</v>
      </c>
      <c r="C1648" s="4" t="inlineStr">
        <is>
          <t>DRENO + ATERRO JARDINEIRAS</t>
        </is>
      </c>
      <c r="D1648" s="4" t="inlineStr">
        <is>
          <t>-</t>
        </is>
      </c>
      <c r="E1648" s="4" t="inlineStr">
        <is>
          <t>23º PAV. TIPO</t>
        </is>
      </c>
      <c r="F1648" s="119" t="n">
        <v>46714</v>
      </c>
      <c r="G1648" s="119" t="n">
        <v>46724</v>
      </c>
      <c r="H1648" s="119" t="n">
        <v>46293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IF(E1648="","",IF(ISNUMBER(SEARCH("SUBSOLO",E1648)),IFERROR(-VALUE(LEFT(E1648,FIND("º",SUBSTITUTE(E1648,"°","º"))-1)),-1),IF(LEFT(E1648,6)="TÉRREO",0,IFERROR(VALUE(LEFT(E1648,FIND("º",SUBSTITUTE(E1648,"°","º"))-1)),""))))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27768974</v>
      </c>
      <c r="C1649" s="4" t="inlineStr">
        <is>
          <t>PISO ELEVADO / EXTERNO</t>
        </is>
      </c>
      <c r="D1649" s="4" t="inlineStr">
        <is>
          <t>-</t>
        </is>
      </c>
      <c r="E1649" s="4" t="inlineStr">
        <is>
          <t>3º PAV. - PILOTIS</t>
        </is>
      </c>
      <c r="F1649" s="119" t="n">
        <v>46715</v>
      </c>
      <c r="G1649" s="119" t="n">
        <v>46801</v>
      </c>
      <c r="H1649" s="119" t="n">
        <v>46293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IF(E1649="","",IF(ISNUMBER(SEARCH("SUBSOLO",E1649)),IFERROR(-VALUE(LEFT(E1649,FIND("º",SUBSTITUTE(E1649,"°","º"))-1)),-1),IF(LEFT(E1649,6)="TÉRREO",0,IFERROR(VALUE(LEFT(E1649,FIND("º",SUBSTITUTE(E1649,"°","º"))-1)),""))))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25799994</v>
      </c>
      <c r="C1650" s="4" t="inlineStr">
        <is>
          <t>PINTURA 1º DEMÃO</t>
        </is>
      </c>
      <c r="D1650" s="4" t="inlineStr">
        <is>
          <t>-</t>
        </is>
      </c>
      <c r="E1650" s="4" t="inlineStr">
        <is>
          <t>3º PAV. - ESPAÇO KIDS E GOURMET, SALÃO DE FESTAS E APOIO, LOBBY PILOTIS</t>
        </is>
      </c>
      <c r="F1650" s="119" t="n">
        <v>46715</v>
      </c>
      <c r="G1650" s="119" t="n">
        <v>46728</v>
      </c>
      <c r="H1650" s="119" t="n">
        <v>46293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IF(E1650="","",IF(ISNUMBER(SEARCH("SUBSOLO",E1650)),IFERROR(-VALUE(LEFT(E1650,FIND("º",SUBSTITUTE(E1650,"°","º"))-1)),-1),IF(LEFT(E1650,6)="TÉRREO",0,IFERROR(VALUE(LEFT(E1650,FIND("º",SUBSTITUTE(E1650,"°","º"))-1)),""))))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25210589</v>
      </c>
      <c r="C1651" s="4" t="inlineStr">
        <is>
          <t>DISJUNTORES / MIOLOS</t>
        </is>
      </c>
      <c r="D1651" s="4" t="inlineStr">
        <is>
          <t>-</t>
        </is>
      </c>
      <c r="E1651" s="4" t="inlineStr">
        <is>
          <t>11º PAV. TIPO</t>
        </is>
      </c>
      <c r="F1651" s="119" t="n">
        <v>46715</v>
      </c>
      <c r="G1651" s="119" t="n">
        <v>46728</v>
      </c>
      <c r="H1651" s="119" t="n">
        <v>46293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IF(E1651="","",IF(ISNUMBER(SEARCH("SUBSOLO",E1651)),IFERROR(-VALUE(LEFT(E1651,FIND("º",SUBSTITUTE(E1651,"°","º"))-1)),-1),IF(LEFT(E1651,6)="TÉRREO",0,IFERROR(VALUE(LEFT(E1651,FIND("º",SUBSTITUTE(E1651,"°","º"))-1)),""))))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25210567</v>
      </c>
      <c r="C1652" s="4" t="inlineStr">
        <is>
          <t>CFTV</t>
        </is>
      </c>
      <c r="D1652" s="4" t="inlineStr">
        <is>
          <t>-</t>
        </is>
      </c>
      <c r="E1652" s="4" t="inlineStr">
        <is>
          <t>11º PAV. TIPO</t>
        </is>
      </c>
      <c r="F1652" s="119" t="n">
        <v>46715</v>
      </c>
      <c r="G1652" s="119" t="n">
        <v>46728</v>
      </c>
      <c r="H1652" s="119" t="n">
        <v>46293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IF(E1652="","",IF(ISNUMBER(SEARCH("SUBSOLO",E1652)),IFERROR(-VALUE(LEFT(E1652,FIND("º",SUBSTITUTE(E1652,"°","º"))-1)),-1),IF(LEFT(E1652,6)="TÉRREO",0,IFERROR(VALUE(LEFT(E1652,FIND("º",SUBSTITUTE(E1652,"°","º"))-1)),""))))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25210479</v>
      </c>
      <c r="C1653" s="4" t="inlineStr">
        <is>
          <t>ESQUADRIA</t>
        </is>
      </c>
      <c r="D1653" s="4" t="inlineStr">
        <is>
          <t>-</t>
        </is>
      </c>
      <c r="E1653" s="4" t="inlineStr">
        <is>
          <t>14º PAV. TIPO</t>
        </is>
      </c>
      <c r="F1653" s="119" t="n">
        <v>46715</v>
      </c>
      <c r="G1653" s="119" t="n">
        <v>46735</v>
      </c>
      <c r="H1653" s="119" t="n">
        <v>46293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IF(E1653="","",IF(ISNUMBER(SEARCH("SUBSOLO",E1653)),IFERROR(-VALUE(LEFT(E1653,FIND("º",SUBSTITUTE(E1653,"°","º"))-1)),-1),IF(LEFT(E1653,6)="TÉRREO",0,IFERROR(VALUE(LEFT(E1653,FIND("º",SUBSTITUTE(E1653,"°","º"))-1)),""))))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25210247</v>
      </c>
      <c r="C1654" s="4" t="inlineStr">
        <is>
          <t>MASSA CORRIDA</t>
        </is>
      </c>
      <c r="D1654" s="4" t="inlineStr">
        <is>
          <t>-</t>
        </is>
      </c>
      <c r="E1654" s="4" t="inlineStr">
        <is>
          <t>20º PAV. TIPO</t>
        </is>
      </c>
      <c r="F1654" s="119" t="n">
        <v>46715</v>
      </c>
      <c r="G1654" s="119" t="n">
        <v>46723</v>
      </c>
      <c r="H1654" s="119" t="n">
        <v>46293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IF(E1654="","",IF(ISNUMBER(SEARCH("SUBSOLO",E1654)),IFERROR(-VALUE(LEFT(E1654,FIND("º",SUBSTITUTE(E1654,"°","º"))-1)),-1),IF(LEFT(E1654,6)="TÉRREO",0,IFERROR(VALUE(LEFT(E1654,FIND("º",SUBSTITUTE(E1654,"°","º"))-1)),""))))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25753082</v>
      </c>
      <c r="C1655" s="4" t="inlineStr">
        <is>
          <t>COMUNICAÇÃO E ALARME</t>
        </is>
      </c>
      <c r="D1655" s="4" t="inlineStr">
        <is>
          <t>-</t>
        </is>
      </c>
      <c r="E1655" s="4" t="inlineStr">
        <is>
          <t>TÉRREO - GARAGENS</t>
        </is>
      </c>
      <c r="F1655" s="119" t="n">
        <v>46716</v>
      </c>
      <c r="G1655" s="119" t="n">
        <v>46729</v>
      </c>
      <c r="H1655" s="119" t="n">
        <v>46293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IF(E1655="","",IF(ISNUMBER(SEARCH("SUBSOLO",E1655)),IFERROR(-VALUE(LEFT(E1655,FIND("º",SUBSTITUTE(E1655,"°","º"))-1)),-1),IF(LEFT(E1655,6)="TÉRREO",0,IFERROR(VALUE(LEFT(E1655,FIND("º",SUBSTITUTE(E1655,"°","º"))-1)),""))))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27766486</v>
      </c>
      <c r="C1656" s="4" t="inlineStr">
        <is>
          <t>COMUNICAÇÃO VISUAL</t>
        </is>
      </c>
      <c r="D1656" s="4" t="inlineStr">
        <is>
          <t>-</t>
        </is>
      </c>
      <c r="E1656" s="4" t="inlineStr">
        <is>
          <t>2º PAV. - ÁREAS TÉCNICAS</t>
        </is>
      </c>
      <c r="F1656" s="119" t="n">
        <v>46716</v>
      </c>
      <c r="G1656" s="119" t="n">
        <v>46722</v>
      </c>
      <c r="H1656" s="119" t="n">
        <v>46293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IF(E1656="","",IF(ISNUMBER(SEARCH("SUBSOLO",E1656)),IFERROR(-VALUE(LEFT(E1656,FIND("º",SUBSTITUTE(E1656,"°","º"))-1)),-1),IF(LEFT(E1656,6)="TÉRREO",0,IFERROR(VALUE(LEFT(E1656,FIND("º",SUBSTITUTE(E1656,"°","º"))-1)),""))))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25799841</v>
      </c>
      <c r="C1657" s="4" t="inlineStr">
        <is>
          <t>LIMPEZA GROSSA</t>
        </is>
      </c>
      <c r="D1657" s="4" t="inlineStr">
        <is>
          <t>-</t>
        </is>
      </c>
      <c r="E1657" s="4" t="inlineStr">
        <is>
          <t>3º PAV. - BAR PISCINA, VESTIÁRIOS, DEPOSITOS E LOUNGE QUADRAS</t>
        </is>
      </c>
      <c r="F1657" s="119" t="n">
        <v>46716</v>
      </c>
      <c r="G1657" s="119" t="n">
        <v>46729</v>
      </c>
      <c r="H1657" s="119" t="n">
        <v>46293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IF(E1657="","",IF(ISNUMBER(SEARCH("SUBSOLO",E1657)),IFERROR(-VALUE(LEFT(E1657,FIND("º",SUBSTITUTE(E1657,"°","º"))-1)),-1),IF(LEFT(E1657,6)="TÉRREO",0,IFERROR(VALUE(LEFT(E1657,FIND("º",SUBSTITUTE(E1657,"°","º"))-1)),""))))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25799901</v>
      </c>
      <c r="C1658" s="4" t="inlineStr">
        <is>
          <t>PINTURA 2º DEMÃO</t>
        </is>
      </c>
      <c r="D1658" s="4" t="inlineStr">
        <is>
          <t>-</t>
        </is>
      </c>
      <c r="E1658" s="4" t="inlineStr">
        <is>
          <t>3º PAV. - ACADEMIA</t>
        </is>
      </c>
      <c r="F1658" s="119" t="n">
        <v>46716</v>
      </c>
      <c r="G1658" s="119" t="n">
        <v>46722</v>
      </c>
      <c r="H1658" s="119" t="n">
        <v>46293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IF(E1658="","",IF(ISNUMBER(SEARCH("SUBSOLO",E1658)),IFERROR(-VALUE(LEFT(E1658,FIND("º",SUBSTITUTE(E1658,"°","º"))-1)),-1),IF(LEFT(E1658,6)="TÉRREO",0,IFERROR(VALUE(LEFT(E1658,FIND("º",SUBSTITUTE(E1658,"°","º"))-1)),""))))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25210633</v>
      </c>
      <c r="C1659" s="4" t="inlineStr">
        <is>
          <t>PINTURA 1º DEMÃO</t>
        </is>
      </c>
      <c r="D1659" s="4" t="inlineStr">
        <is>
          <t>-</t>
        </is>
      </c>
      <c r="E1659" s="4" t="inlineStr">
        <is>
          <t>9º PAV. TIPO</t>
        </is>
      </c>
      <c r="F1659" s="119" t="n">
        <v>46716</v>
      </c>
      <c r="G1659" s="119" t="n">
        <v>46727</v>
      </c>
      <c r="H1659" s="119" t="n">
        <v>46293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IF(E1659="","",IF(ISNUMBER(SEARCH("SUBSOLO",E1659)),IFERROR(-VALUE(LEFT(E1659,FIND("º",SUBSTITUTE(E1659,"°","º"))-1)),-1),IF(LEFT(E1659,6)="TÉRREO",0,IFERROR(VALUE(LEFT(E1659,FIND("º",SUBSTITUTE(E1659,"°","º"))-1)),""))))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25210083</v>
      </c>
      <c r="C1660" s="4" t="inlineStr">
        <is>
          <t>SHAFT INTERNO INST. HIDRAÚLICAS</t>
        </is>
      </c>
      <c r="D1660" s="4" t="inlineStr">
        <is>
          <t>-</t>
        </is>
      </c>
      <c r="E1660" s="4" t="inlineStr">
        <is>
          <t>25º PAV. TIPO</t>
        </is>
      </c>
      <c r="F1660" s="119" t="n">
        <v>46716</v>
      </c>
      <c r="G1660" s="119" t="n">
        <v>46728</v>
      </c>
      <c r="H1660" s="119" t="n">
        <v>46293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IF(E1660="","",IF(ISNUMBER(SEARCH("SUBSOLO",E1660)),IFERROR(-VALUE(LEFT(E1660,FIND("º",SUBSTITUTE(E1660,"°","º"))-1)),-1),IF(LEFT(E1660,6)="TÉRREO",0,IFERROR(VALUE(LEFT(E1660,FIND("º",SUBSTITUTE(E1660,"°","º"))-1)),""))))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25210053</v>
      </c>
      <c r="C1661" s="4" t="inlineStr">
        <is>
          <t>REBOCO INTERNO</t>
        </is>
      </c>
      <c r="D1661" s="4" t="inlineStr">
        <is>
          <t>-</t>
        </is>
      </c>
      <c r="E1661" s="4" t="inlineStr">
        <is>
          <t>26º PAV. -  DUPLEX INFERIOR</t>
        </is>
      </c>
      <c r="F1661" s="119" t="n">
        <v>46716</v>
      </c>
      <c r="G1661" s="119" t="n">
        <v>46736</v>
      </c>
      <c r="H1661" s="119" t="n">
        <v>46293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IF(E1661="","",IF(ISNUMBER(SEARCH("SUBSOLO",E1661)),IFERROR(-VALUE(LEFT(E1661,FIND("º",SUBSTITUTE(E1661,"°","º"))-1)),-1),IF(LEFT(E1661,6)="TÉRREO",0,IFERROR(VALUE(LEFT(E1661,FIND("º",SUBSTITUTE(E1661,"°","º"))-1)),""))))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25752803</v>
      </c>
      <c r="C1662" s="4" t="inlineStr">
        <is>
          <t>ESQUADRIA</t>
        </is>
      </c>
      <c r="D1662" s="4" t="inlineStr">
        <is>
          <t>-</t>
        </is>
      </c>
      <c r="E1662" s="4" t="inlineStr">
        <is>
          <t>TÉRREO - ÁREAS DE FUNCIONÁRIOS</t>
        </is>
      </c>
      <c r="F1662" s="119" t="n">
        <v>46717</v>
      </c>
      <c r="G1662" s="119" t="n">
        <v>46723</v>
      </c>
      <c r="H1662" s="119" t="n">
        <v>46293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IF(E1662="","",IF(ISNUMBER(SEARCH("SUBSOLO",E1662)),IFERROR(-VALUE(LEFT(E1662,FIND("º",SUBSTITUTE(E1662,"°","º"))-1)),-1),IF(LEFT(E1662,6)="TÉRREO",0,IFERROR(VALUE(LEFT(E1662,FIND("º",SUBSTITUTE(E1662,"°","º"))-1)),""))))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25807567</v>
      </c>
      <c r="C1663" s="4" t="inlineStr">
        <is>
          <t>LIMPEZA FINA</t>
        </is>
      </c>
      <c r="D1663" s="4" t="inlineStr">
        <is>
          <t>-</t>
        </is>
      </c>
      <c r="E1663" s="4" t="inlineStr">
        <is>
          <t>3º PAV. ESPAÇO THERMAS, PISCINA COBERTA, SAUNAS E VESTIÁRIOS</t>
        </is>
      </c>
      <c r="F1663" s="119" t="n">
        <v>46717</v>
      </c>
      <c r="G1663" s="119" t="n">
        <v>46730</v>
      </c>
      <c r="H1663" s="119" t="n">
        <v>46293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IF(E1663="","",IF(ISNUMBER(SEARCH("SUBSOLO",E1663)),IFERROR(-VALUE(LEFT(E1663,FIND("º",SUBSTITUTE(E1663,"°","º"))-1)),-1),IF(LEFT(E1663,6)="TÉRREO",0,IFERROR(VALUE(LEFT(E1663,FIND("º",SUBSTITUTE(E1663,"°","º"))-1)),""))))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25210186</v>
      </c>
      <c r="C1664" s="4" t="inlineStr">
        <is>
          <t>REVESTIMENTO PAREDE</t>
        </is>
      </c>
      <c r="D1664" s="4" t="inlineStr">
        <is>
          <t>-</t>
        </is>
      </c>
      <c r="E1664" s="4" t="inlineStr">
        <is>
          <t>22º PAV. TIPO</t>
        </is>
      </c>
      <c r="F1664" s="119" t="n">
        <v>46720</v>
      </c>
      <c r="G1664" s="119" t="n">
        <v>46731</v>
      </c>
      <c r="H1664" s="119" t="n">
        <v>46293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IF(E1664="","",IF(ISNUMBER(SEARCH("SUBSOLO",E1664)),IFERROR(-VALUE(LEFT(E1664,FIND("º",SUBSTITUTE(E1664,"°","º"))-1)),-1),IF(LEFT(E1664,6)="TÉRREO",0,IFERROR(VALUE(LEFT(E1664,FIND("º",SUBSTITUTE(E1664,"°","º"))-1)),""))))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25754289</v>
      </c>
      <c r="C1665" s="4" t="inlineStr">
        <is>
          <t>INSTALAÇÕES HIDRÁULICAS</t>
        </is>
      </c>
      <c r="D1665" s="4" t="inlineStr">
        <is>
          <t>-</t>
        </is>
      </c>
      <c r="E1665" s="4" t="inlineStr">
        <is>
          <t>TÉRREO - CUL DE SAC / ENTRADA EMPREENDIMENTO</t>
        </is>
      </c>
      <c r="F1665" s="119" t="n">
        <v>46721</v>
      </c>
      <c r="G1665" s="119" t="n">
        <v>46764</v>
      </c>
      <c r="H1665" s="119" t="n">
        <v>46293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IF(E1665="","",IF(ISNUMBER(SEARCH("SUBSOLO",E1665)),IFERROR(-VALUE(LEFT(E1665,FIND("º",SUBSTITUTE(E1665,"°","º"))-1)),-1),IF(LEFT(E1665,6)="TÉRREO",0,IFERROR(VALUE(LEFT(E1665,FIND("º",SUBSTITUTE(E1665,"°","º"))-1)),""))))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25802662</v>
      </c>
      <c r="C1666" s="4" t="inlineStr">
        <is>
          <t>EQUIPAMENTOS</t>
        </is>
      </c>
      <c r="D1666" s="4" t="inlineStr">
        <is>
          <t>-</t>
        </is>
      </c>
      <c r="E1666" s="4" t="inlineStr">
        <is>
          <t>2º PAV. - ÁREAS TÉCNICAS</t>
        </is>
      </c>
      <c r="F1666" s="119" t="n">
        <v>46721</v>
      </c>
      <c r="G1666" s="119" t="n">
        <v>46734</v>
      </c>
      <c r="H1666" s="119" t="n">
        <v>46293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IF(E1666="","",IF(ISNUMBER(SEARCH("SUBSOLO",E1666)),IFERROR(-VALUE(LEFT(E1666,FIND("º",SUBSTITUTE(E1666,"°","º"))-1)),-1),IF(LEFT(E1666,6)="TÉRREO",0,IFERROR(VALUE(LEFT(E1666,FIND("º",SUBSTITUTE(E1666,"°","º"))-1)),""))))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33292458</v>
      </c>
      <c r="C1667" s="4" t="inlineStr">
        <is>
          <t>PAISAGISMO</t>
        </is>
      </c>
      <c r="D1667" s="4" t="inlineStr">
        <is>
          <t>-</t>
        </is>
      </c>
      <c r="E1667" s="4" t="inlineStr">
        <is>
          <t>4° PAV. APTO GARDEN</t>
        </is>
      </c>
      <c r="F1667" s="119" t="n">
        <v>46721</v>
      </c>
      <c r="G1667" s="119" t="n">
        <v>46734</v>
      </c>
      <c r="H1667" s="119" t="n">
        <v>46293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IF(E1667="","",IF(ISNUMBER(SEARCH("SUBSOLO",E1667)),IFERROR(-VALUE(LEFT(E1667,FIND("º",SUBSTITUTE(E1667,"°","º"))-1)),-1),IF(LEFT(E1667,6)="TÉRREO",0,IFERROR(VALUE(LEFT(E1667,FIND("º",SUBSTITUTE(E1667,"°","º"))-1)),""))))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25210691</v>
      </c>
      <c r="C1668" s="4" t="inlineStr">
        <is>
          <t>ESQUADRIA MADEIRA</t>
        </is>
      </c>
      <c r="D1668" s="4" t="inlineStr">
        <is>
          <t>-</t>
        </is>
      </c>
      <c r="E1668" s="4" t="inlineStr">
        <is>
          <t>8º PAV. TIPO</t>
        </is>
      </c>
      <c r="F1668" s="119" t="n">
        <v>46721</v>
      </c>
      <c r="G1668" s="119" t="n">
        <v>46734</v>
      </c>
      <c r="H1668" s="119" t="n">
        <v>46293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IF(E1668="","",IF(ISNUMBER(SEARCH("SUBSOLO",E1668)),IFERROR(-VALUE(LEFT(E1668,FIND("º",SUBSTITUTE(E1668,"°","º"))-1)),-1),IF(LEFT(E1668,6)="TÉRREO",0,IFERROR(VALUE(LEFT(E1668,FIND("º",SUBSTITUTE(E1668,"°","º"))-1)),""))))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33275994</v>
      </c>
      <c r="C1669" s="4" t="inlineStr">
        <is>
          <t>FORRO DE MADEIRA</t>
        </is>
      </c>
      <c r="D1669" s="4" t="inlineStr">
        <is>
          <t>-</t>
        </is>
      </c>
      <c r="E1669" s="4" t="inlineStr">
        <is>
          <t>8º PAV. TIPO</t>
        </is>
      </c>
      <c r="F1669" s="119" t="n">
        <v>46721</v>
      </c>
      <c r="G1669" s="119" t="n">
        <v>46755</v>
      </c>
      <c r="H1669" s="119" t="n">
        <v>46293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IF(E1669="","",IF(ISNUMBER(SEARCH("SUBSOLO",E1669)),IFERROR(-VALUE(LEFT(E1669,FIND("º",SUBSTITUTE(E1669,"°","º"))-1)),-1),IF(LEFT(E1669,6)="TÉRREO",0,IFERROR(VALUE(LEFT(E1669,FIND("º",SUBSTITUTE(E1669,"°","º"))-1)),""))))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25210527</v>
      </c>
      <c r="C1670" s="4" t="inlineStr">
        <is>
          <t>MASSA CORRIDA</t>
        </is>
      </c>
      <c r="D1670" s="4" t="inlineStr">
        <is>
          <t>-</t>
        </is>
      </c>
      <c r="E1670" s="4" t="inlineStr">
        <is>
          <t>12º PAV. TIPO</t>
        </is>
      </c>
      <c r="F1670" s="119" t="n">
        <v>46721</v>
      </c>
      <c r="G1670" s="119" t="n">
        <v>46729</v>
      </c>
      <c r="H1670" s="119" t="n">
        <v>46293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IF(E1670="","",IF(ISNUMBER(SEARCH("SUBSOLO",E1670)),IFERROR(-VALUE(LEFT(E1670,FIND("º",SUBSTITUTE(E1670,"°","º"))-1)),-1),IF(LEFT(E1670,6)="TÉRREO",0,IFERROR(VALUE(LEFT(E1670,FIND("º",SUBSTITUTE(E1670,"°","º"))-1)),""))))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25210515</v>
      </c>
      <c r="C1671" s="4" t="inlineStr">
        <is>
          <t>REVESTIMENTOS PISO</t>
        </is>
      </c>
      <c r="D1671" s="4" t="inlineStr">
        <is>
          <t>-</t>
        </is>
      </c>
      <c r="E1671" s="4" t="inlineStr">
        <is>
          <t>13º PAV. TIPO</t>
        </is>
      </c>
      <c r="F1671" s="119" t="n">
        <v>46721</v>
      </c>
      <c r="G1671" s="119" t="n">
        <v>46734</v>
      </c>
      <c r="H1671" s="119" t="n">
        <v>46293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IF(E1671="","",IF(ISNUMBER(SEARCH("SUBSOLO",E1671)),IFERROR(-VALUE(LEFT(E1671,FIND("º",SUBSTITUTE(E1671,"°","º"))-1)),-1),IF(LEFT(E1671,6)="TÉRREO",0,IFERROR(VALUE(LEFT(E1671,FIND("º",SUBSTITUTE(E1671,"°","º"))-1)),""))))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27762207</v>
      </c>
      <c r="C1672" s="4" t="inlineStr">
        <is>
          <t>TRATAMENTO ACÚSTICO</t>
        </is>
      </c>
      <c r="D1672" s="4" t="inlineStr">
        <is>
          <t>-</t>
        </is>
      </c>
      <c r="E1672" s="4" t="inlineStr">
        <is>
          <t>24º PAV. TIPO</t>
        </is>
      </c>
      <c r="F1672" s="119" t="n">
        <v>46721</v>
      </c>
      <c r="G1672" s="119" t="n">
        <v>46721</v>
      </c>
      <c r="H1672" s="119" t="n">
        <v>46293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IF(E1672="","",IF(ISNUMBER(SEARCH("SUBSOLO",E1672)),IFERROR(-VALUE(LEFT(E1672,FIND("º",SUBSTITUTE(E1672,"°","º"))-1)),-1),IF(LEFT(E1672,6)="TÉRREO",0,IFERROR(VALUE(LEFT(E1672,FIND("º",SUBSTITUTE(E1672,"°","º"))-1)),""))))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27766488</v>
      </c>
      <c r="C1673" s="4" t="inlineStr">
        <is>
          <t>COMUNICAÇÃO VISUAL</t>
        </is>
      </c>
      <c r="D1673" s="4" t="inlineStr">
        <is>
          <t>-</t>
        </is>
      </c>
      <c r="E1673" s="4" t="inlineStr">
        <is>
          <t>3º PAV. ESPAÇO THERMAS, PISCINA COBERTA, SAUNAS E VESTIÁRIOS</t>
        </is>
      </c>
      <c r="F1673" s="119" t="n">
        <v>46722</v>
      </c>
      <c r="G1673" s="119" t="n">
        <v>46728</v>
      </c>
      <c r="H1673" s="119" t="n">
        <v>46293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IF(E1673="","",IF(ISNUMBER(SEARCH("SUBSOLO",E1673)),IFERROR(-VALUE(LEFT(E1673,FIND("º",SUBSTITUTE(E1673,"°","º"))-1)),-1),IF(LEFT(E1673,6)="TÉRREO",0,IFERROR(VALUE(LEFT(E1673,FIND("º",SUBSTITUTE(E1673,"°","º"))-1)),""))))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25210732</v>
      </c>
      <c r="C1674" s="4" t="inlineStr">
        <is>
          <t>PINTURA 3º DEMÃO</t>
        </is>
      </c>
      <c r="D1674" s="4" t="inlineStr">
        <is>
          <t>-</t>
        </is>
      </c>
      <c r="E1674" s="4" t="inlineStr">
        <is>
          <t>7º PAV. TIPO</t>
        </is>
      </c>
      <c r="F1674" s="119" t="n">
        <v>46722</v>
      </c>
      <c r="G1674" s="119" t="n">
        <v>46735</v>
      </c>
      <c r="H1674" s="119" t="n">
        <v>46293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IF(E1674="","",IF(ISNUMBER(SEARCH("SUBSOLO",E1674)),IFERROR(-VALUE(LEFT(E1674,FIND("º",SUBSTITUTE(E1674,"°","º"))-1)),-1),IF(LEFT(E1674,6)="TÉRREO",0,IFERROR(VALUE(LEFT(E1674,FIND("º",SUBSTITUTE(E1674,"°","º"))-1)),""))))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33276134</v>
      </c>
      <c r="C1675" s="4" t="inlineStr">
        <is>
          <t>TRATAMENTO DE GRANITO/MÁRMORE</t>
        </is>
      </c>
      <c r="D1675" s="4" t="inlineStr">
        <is>
          <t>-</t>
        </is>
      </c>
      <c r="E1675" s="4" t="inlineStr">
        <is>
          <t>10º PAV. TIPO</t>
        </is>
      </c>
      <c r="F1675" s="119" t="n">
        <v>46722</v>
      </c>
      <c r="G1675" s="119" t="n">
        <v>46756</v>
      </c>
      <c r="H1675" s="119" t="n">
        <v>46293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IF(E1675="","",IF(ISNUMBER(SEARCH("SUBSOLO",E1675)),IFERROR(-VALUE(LEFT(E1675,FIND("º",SUBSTITUTE(E1675,"°","º"))-1)),-1),IF(LEFT(E1675,6)="TÉRREO",0,IFERROR(VALUE(LEFT(E1675,FIND("º",SUBSTITUTE(E1675,"°","º"))-1)),""))))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25210115</v>
      </c>
      <c r="C1676" s="4" t="inlineStr">
        <is>
          <t>IMPERMEABILIZAÇÃO VARANDA E JARDINEIRAS</t>
        </is>
      </c>
      <c r="D1676" s="4" t="inlineStr">
        <is>
          <t>-</t>
        </is>
      </c>
      <c r="E1676" s="4" t="inlineStr">
        <is>
          <t>24º PAV. TIPO</t>
        </is>
      </c>
      <c r="F1676" s="119" t="n">
        <v>46722</v>
      </c>
      <c r="G1676" s="119" t="n">
        <v>46734</v>
      </c>
      <c r="H1676" s="119" t="n">
        <v>46293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IF(E1676="","",IF(ISNUMBER(SEARCH("SUBSOLO",E1676)),IFERROR(-VALUE(LEFT(E1676,FIND("º",SUBSTITUTE(E1676,"°","º"))-1)),-1),IF(LEFT(E1676,6)="TÉRREO",0,IFERROR(VALUE(LEFT(E1676,FIND("º",SUBSTITUTE(E1676,"°","º"))-1)),""))))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25799908</v>
      </c>
      <c r="C1677" s="4" t="inlineStr">
        <is>
          <t>ACABAMENTOS ELÉTRICOS</t>
        </is>
      </c>
      <c r="D1677" s="4" t="inlineStr">
        <is>
          <t>-</t>
        </is>
      </c>
      <c r="E1677" s="4" t="inlineStr">
        <is>
          <t>3º PAV. - ACADEMIA</t>
        </is>
      </c>
      <c r="F1677" s="119" t="n">
        <v>46723</v>
      </c>
      <c r="G1677" s="119" t="n">
        <v>46729</v>
      </c>
      <c r="H1677" s="119" t="n">
        <v>46293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IF(E1677="","",IF(ISNUMBER(SEARCH("SUBSOLO",E1677)),IFERROR(-VALUE(LEFT(E1677,FIND("º",SUBSTITUTE(E1677,"°","º"))-1)),-1),IF(LEFT(E1677,6)="TÉRREO",0,IFERROR(VALUE(LEFT(E1677,FIND("º",SUBSTITUTE(E1677,"°","º"))-1)),""))))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27766407</v>
      </c>
      <c r="C1678" s="4" t="inlineStr">
        <is>
          <t>ACABAMENTOS INCÊNDIO</t>
        </is>
      </c>
      <c r="D1678" s="4" t="inlineStr">
        <is>
          <t>-</t>
        </is>
      </c>
      <c r="E1678" s="4" t="inlineStr">
        <is>
          <t>3º PAV. - ACADEMIA</t>
        </is>
      </c>
      <c r="F1678" s="119" t="n">
        <v>46723</v>
      </c>
      <c r="G1678" s="119" t="n">
        <v>46729</v>
      </c>
      <c r="H1678" s="119" t="n">
        <v>46293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IF(E1678="","",IF(ISNUMBER(SEARCH("SUBSOLO",E1678)),IFERROR(-VALUE(LEFT(E1678,FIND("º",SUBSTITUTE(E1678,"°","º"))-1)),-1),IF(LEFT(E1678,6)="TÉRREO",0,IFERROR(VALUE(LEFT(E1678,FIND("º",SUBSTITUTE(E1678,"°","º"))-1)),""))))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25752804</v>
      </c>
      <c r="C1679" s="4" t="inlineStr">
        <is>
          <t>PINTURA 1º DEMÃO</t>
        </is>
      </c>
      <c r="D1679" s="4" t="inlineStr">
        <is>
          <t>-</t>
        </is>
      </c>
      <c r="E1679" s="4" t="inlineStr">
        <is>
          <t>TÉRREO - ÁREAS DE FUNCIONÁRIOS</t>
        </is>
      </c>
      <c r="F1679" s="119" t="n">
        <v>46724</v>
      </c>
      <c r="G1679" s="119" t="n">
        <v>46730</v>
      </c>
      <c r="H1679" s="119" t="n">
        <v>46293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IF(E1679="","",IF(ISNUMBER(SEARCH("SUBSOLO",E1679)),IFERROR(-VALUE(LEFT(E1679,FIND("º",SUBSTITUTE(E1679,"°","º"))-1)),-1),IF(LEFT(E1679,6)="TÉRREO",0,IFERROR(VALUE(LEFT(E1679,FIND("º",SUBSTITUTE(E1679,"°","º"))-1)),""))))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25210770</v>
      </c>
      <c r="C1680" s="4" t="inlineStr">
        <is>
          <t>CHECKLIST</t>
        </is>
      </c>
      <c r="D1680" s="4" t="inlineStr">
        <is>
          <t>-</t>
        </is>
      </c>
      <c r="E1680" s="4" t="inlineStr">
        <is>
          <t>6º PAV. TIPO</t>
        </is>
      </c>
      <c r="F1680" s="119" t="n">
        <v>46724</v>
      </c>
      <c r="G1680" s="119" t="n">
        <v>46734</v>
      </c>
      <c r="H1680" s="119" t="n">
        <v>46293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IF(E1680="","",IF(ISNUMBER(SEARCH("SUBSOLO",E1680)),IFERROR(-VALUE(LEFT(E1680,FIND("º",SUBSTITUTE(E1680,"°","º"))-1)),-1),IF(LEFT(E1680,6)="TÉRREO",0,IFERROR(VALUE(LEFT(E1680,FIND("º",SUBSTITUTE(E1680,"°","º"))-1)),""))))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25210248</v>
      </c>
      <c r="C1681" s="4" t="inlineStr">
        <is>
          <t>PINTURA 1º DEMÃO</t>
        </is>
      </c>
      <c r="D1681" s="4" t="inlineStr">
        <is>
          <t>-</t>
        </is>
      </c>
      <c r="E1681" s="4" t="inlineStr">
        <is>
          <t>20º PAV. TIPO</t>
        </is>
      </c>
      <c r="F1681" s="119" t="n">
        <v>46724</v>
      </c>
      <c r="G1681" s="119" t="n">
        <v>46735</v>
      </c>
      <c r="H1681" s="119" t="n">
        <v>46293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IF(E1681="","",IF(ISNUMBER(SEARCH("SUBSOLO",E1681)),IFERROR(-VALUE(LEFT(E1681,FIND("º",SUBSTITUTE(E1681,"°","º"))-1)),-1),IF(LEFT(E1681,6)="TÉRREO",0,IFERROR(VALUE(LEFT(E1681,FIND("º",SUBSTITUTE(E1681,"°","º"))-1)),""))))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25752951</v>
      </c>
      <c r="C1682" s="4" t="inlineStr">
        <is>
          <t>CARREGADOR VEICULAR / PORTA BOX</t>
        </is>
      </c>
      <c r="D1682" s="4" t="inlineStr">
        <is>
          <t>-</t>
        </is>
      </c>
      <c r="E1682" s="4" t="inlineStr">
        <is>
          <t>2º PAV. GARAGEM.</t>
        </is>
      </c>
      <c r="F1682" s="119" t="n">
        <v>46727</v>
      </c>
      <c r="G1682" s="119" t="n">
        <v>46738</v>
      </c>
      <c r="H1682" s="119" t="n">
        <v>46293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IF(E1682="","",IF(ISNUMBER(SEARCH("SUBSOLO",E1682)),IFERROR(-VALUE(LEFT(E1682,FIND("º",SUBSTITUTE(E1682,"°","º"))-1)),-1),IF(LEFT(E1682,6)="TÉRREO",0,IFERROR(VALUE(LEFT(E1682,FIND("º",SUBSTITUTE(E1682,"°","º"))-1)),""))))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25210214</v>
      </c>
      <c r="C1683" s="4" t="inlineStr">
        <is>
          <t>BANCADAS</t>
        </is>
      </c>
      <c r="D1683" s="4" t="inlineStr">
        <is>
          <t>-</t>
        </is>
      </c>
      <c r="E1683" s="4" t="inlineStr">
        <is>
          <t>21º PAV. TIPO</t>
        </is>
      </c>
      <c r="F1683" s="119" t="n">
        <v>46727</v>
      </c>
      <c r="G1683" s="119" t="n">
        <v>46738</v>
      </c>
      <c r="H1683" s="119" t="n">
        <v>46293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IF(E1683="","",IF(ISNUMBER(SEARCH("SUBSOLO",E1683)),IFERROR(-VALUE(LEFT(E1683,FIND("º",SUBSTITUTE(E1683,"°","º"))-1)),-1),IF(LEFT(E1683,6)="TÉRREO",0,IFERROR(VALUE(LEFT(E1683,FIND("º",SUBSTITUTE(E1683,"°","º"))-1)),""))))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33805970</v>
      </c>
      <c r="C1684" s="4" t="inlineStr">
        <is>
          <t>ENXOVAL</t>
        </is>
      </c>
      <c r="D1684" s="4" t="inlineStr">
        <is>
          <t>-</t>
        </is>
      </c>
      <c r="E1684" s="4" t="inlineStr">
        <is>
          <t>GERAL</t>
        </is>
      </c>
      <c r="F1684" s="119" t="n">
        <v>46728</v>
      </c>
      <c r="G1684" s="119" t="n">
        <v>46867</v>
      </c>
      <c r="H1684" s="119" t="n">
        <v>46293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IF(E1684="","",IF(ISNUMBER(SEARCH("SUBSOLO",E1684)),IFERROR(-VALUE(LEFT(E1684,FIND("º",SUBSTITUTE(E1684,"°","º"))-1)),-1),IF(LEFT(E1684,6)="TÉRREO",0,IFERROR(VALUE(LEFT(E1684,FIND("º",SUBSTITUTE(E1684,"°","º"))-1)),""))))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25210799</v>
      </c>
      <c r="C1685" s="4" t="inlineStr">
        <is>
          <t>DISJUNTORES / MIOLOS</t>
        </is>
      </c>
      <c r="D1685" s="4" t="inlineStr">
        <is>
          <t>-</t>
        </is>
      </c>
      <c r="E1685" s="4" t="inlineStr">
        <is>
          <t>5º PAV. TIPO</t>
        </is>
      </c>
      <c r="F1685" s="119" t="n">
        <v>46728</v>
      </c>
      <c r="G1685" s="119" t="n">
        <v>46755</v>
      </c>
      <c r="H1685" s="119" t="n">
        <v>46293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IF(E1685="","",IF(ISNUMBER(SEARCH("SUBSOLO",E1685)),IFERROR(-VALUE(LEFT(E1685,FIND("º",SUBSTITUTE(E1685,"°","º"))-1)),-1),IF(LEFT(E1685,6)="TÉRREO",0,IFERROR(VALUE(LEFT(E1685,FIND("º",SUBSTITUTE(E1685,"°","º"))-1)),""))))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25210777</v>
      </c>
      <c r="C1686" s="4" t="inlineStr">
        <is>
          <t>CFTV</t>
        </is>
      </c>
      <c r="D1686" s="4" t="inlineStr">
        <is>
          <t>-</t>
        </is>
      </c>
      <c r="E1686" s="4" t="inlineStr">
        <is>
          <t>5º PAV. TIPO</t>
        </is>
      </c>
      <c r="F1686" s="119" t="n">
        <v>46728</v>
      </c>
      <c r="G1686" s="119" t="n">
        <v>46755</v>
      </c>
      <c r="H1686" s="119" t="n">
        <v>46293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IF(E1686="","",IF(ISNUMBER(SEARCH("SUBSOLO",E1686)),IFERROR(-VALUE(LEFT(E1686,FIND("º",SUBSTITUTE(E1686,"°","º"))-1)),-1),IF(LEFT(E1686,6)="TÉRREO",0,IFERROR(VALUE(LEFT(E1686,FIND("º",SUBSTITUTE(E1686,"°","º"))-1)),""))))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25210650</v>
      </c>
      <c r="C1687" s="4" t="inlineStr">
        <is>
          <t>PISO MADEIRA / LAMINADO</t>
        </is>
      </c>
      <c r="D1687" s="4" t="inlineStr">
        <is>
          <t>-</t>
        </is>
      </c>
      <c r="E1687" s="4" t="inlineStr">
        <is>
          <t>9º PAV. TIPO</t>
        </is>
      </c>
      <c r="F1687" s="119" t="n">
        <v>46728</v>
      </c>
      <c r="G1687" s="119" t="n">
        <v>46755</v>
      </c>
      <c r="H1687" s="119" t="n">
        <v>46293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IF(E1687="","",IF(ISNUMBER(SEARCH("SUBSOLO",E1687)),IFERROR(-VALUE(LEFT(E1687,FIND("º",SUBSTITUTE(E1687,"°","º"))-1)),-1),IF(LEFT(E1687,6)="TÉRREO",0,IFERROR(VALUE(LEFT(E1687,FIND("º",SUBSTITUTE(E1687,"°","º"))-1)),""))))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9054396</v>
      </c>
      <c r="C1688" s="4" t="inlineStr">
        <is>
          <t>PISO MADEIRA / LAMINADO</t>
        </is>
      </c>
      <c r="D1688" s="4" t="inlineStr">
        <is>
          <t>Regularização de Piso</t>
        </is>
      </c>
      <c r="E1688" s="4" t="inlineStr">
        <is>
          <t>9º PAV. TIPO</t>
        </is>
      </c>
      <c r="F1688" s="119" t="n">
        <v>46728</v>
      </c>
      <c r="G1688" s="119" t="n">
        <v>46734</v>
      </c>
      <c r="H1688" s="119" t="n">
        <v>46293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IF(E1688="","",IF(ISNUMBER(SEARCH("SUBSOLO",E1688)),IFERROR(-VALUE(LEFT(E1688,FIND("º",SUBSTITUTE(E1688,"°","º"))-1)),-1),IF(LEFT(E1688,6)="TÉRREO",0,IFERROR(VALUE(LEFT(E1688,FIND("º",SUBSTITUTE(E1688,"°","º"))-1)),""))))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9054397</v>
      </c>
      <c r="C1689" s="4" t="inlineStr">
        <is>
          <t>PISO MADEIRA / LAMINADO</t>
        </is>
      </c>
      <c r="D1689" s="4" t="inlineStr">
        <is>
          <t>Instalação Piso Madeira</t>
        </is>
      </c>
      <c r="E1689" s="4" t="inlineStr">
        <is>
          <t>9º PAV. TIPO</t>
        </is>
      </c>
      <c r="F1689" s="119" t="n">
        <v>46735</v>
      </c>
      <c r="G1689" s="119" t="n">
        <v>46755</v>
      </c>
      <c r="H1689" s="119" t="n">
        <v>46293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IF(E1689="","",IF(ISNUMBER(SEARCH("SUBSOLO",E1689)),IFERROR(-VALUE(LEFT(E1689,FIND("º",SUBSTITUTE(E1689,"°","º"))-1)),-1),IF(LEFT(E1689,6)="TÉRREO",0,IFERROR(VALUE(LEFT(E1689,FIND("º",SUBSTITUTE(E1689,"°","º"))-1)),""))))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25210478</v>
      </c>
      <c r="C1690" s="4" t="inlineStr">
        <is>
          <t>FORRO</t>
        </is>
      </c>
      <c r="D1690" s="4" t="inlineStr">
        <is>
          <t>-</t>
        </is>
      </c>
      <c r="E1690" s="4" t="inlineStr">
        <is>
          <t>14º PAV. TIPO</t>
        </is>
      </c>
      <c r="F1690" s="119" t="n">
        <v>46728</v>
      </c>
      <c r="G1690" s="119" t="n">
        <v>46762</v>
      </c>
      <c r="H1690" s="119" t="n">
        <v>46293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IF(E1690="","",IF(ISNUMBER(SEARCH("SUBSOLO",E1690)),IFERROR(-VALUE(LEFT(E1690,FIND("º",SUBSTITUTE(E1690,"°","º"))-1)),-1),IF(LEFT(E1690,6)="TÉRREO",0,IFERROR(VALUE(LEFT(E1690,FIND("º",SUBSTITUTE(E1690,"°","º"))-1)),""))))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25210425</v>
      </c>
      <c r="C1691" s="4" t="inlineStr">
        <is>
          <t>FIAÇÃO ELÉTRICA</t>
        </is>
      </c>
      <c r="D1691" s="4" t="inlineStr">
        <is>
          <t>-</t>
        </is>
      </c>
      <c r="E1691" s="4" t="inlineStr">
        <is>
          <t>15º PAV. TIPO</t>
        </is>
      </c>
      <c r="F1691" s="119" t="n">
        <v>46728</v>
      </c>
      <c r="G1691" s="119" t="n">
        <v>46762</v>
      </c>
      <c r="H1691" s="119" t="n">
        <v>46293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IF(E1691="","",IF(ISNUMBER(SEARCH("SUBSOLO",E1691)),IFERROR(-VALUE(LEFT(E1691,FIND("º",SUBSTITUTE(E1691,"°","º"))-1)),-1),IF(LEFT(E1691,6)="TÉRREO",0,IFERROR(VALUE(LEFT(E1691,FIND("º",SUBSTITUTE(E1691,"°","º"))-1)),""))))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25210456</v>
      </c>
      <c r="C1692" s="4" t="inlineStr">
        <is>
          <t>VENTILAÇÃO / EXAUSTÃO</t>
        </is>
      </c>
      <c r="D1692" s="4" t="inlineStr">
        <is>
          <t>-</t>
        </is>
      </c>
      <c r="E1692" s="4" t="inlineStr">
        <is>
          <t>15º PAV. TIPO</t>
        </is>
      </c>
      <c r="F1692" s="119" t="n">
        <v>46728</v>
      </c>
      <c r="G1692" s="119" t="n">
        <v>46734</v>
      </c>
      <c r="H1692" s="119" t="n">
        <v>46293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IF(E1692="","",IF(ISNUMBER(SEARCH("SUBSOLO",E1692)),IFERROR(-VALUE(LEFT(E1692,FIND("º",SUBSTITUTE(E1692,"°","º"))-1)),-1),IF(LEFT(E1692,6)="TÉRREO",0,IFERROR(VALUE(LEFT(E1692,FIND("º",SUBSTITUTE(E1692,"°","º"))-1)),""))))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33276123</v>
      </c>
      <c r="C1693" s="4" t="inlineStr">
        <is>
          <t>INFRAESTRUTURA - AR CONDICIONADO</t>
        </is>
      </c>
      <c r="D1693" s="4" t="inlineStr">
        <is>
          <t>-</t>
        </is>
      </c>
      <c r="E1693" s="4" t="inlineStr">
        <is>
          <t>23º PAV. TIPO</t>
        </is>
      </c>
      <c r="F1693" s="119" t="n">
        <v>46728</v>
      </c>
      <c r="G1693" s="119" t="n">
        <v>46755</v>
      </c>
      <c r="H1693" s="119" t="n">
        <v>46293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IF(E1693="","",IF(ISNUMBER(SEARCH("SUBSOLO",E1693)),IFERROR(-VALUE(LEFT(E1693,FIND("º",SUBSTITUTE(E1693,"°","º"))-1)),-1),IF(LEFT(E1693,6)="TÉRREO",0,IFERROR(VALUE(LEFT(E1693,FIND("º",SUBSTITUTE(E1693,"°","º"))-1)),""))))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33278930</v>
      </c>
      <c r="C1694" s="4" t="inlineStr">
        <is>
          <t>INFRAESTRUTURA ELÉTRICA - PAREDES</t>
        </is>
      </c>
      <c r="D1694" s="4" t="inlineStr">
        <is>
          <t>-</t>
        </is>
      </c>
      <c r="E1694" s="4" t="inlineStr">
        <is>
          <t>23º PAV. TIPO</t>
        </is>
      </c>
      <c r="F1694" s="119" t="n">
        <v>46728</v>
      </c>
      <c r="G1694" s="119" t="n">
        <v>46738</v>
      </c>
      <c r="H1694" s="119" t="n">
        <v>46293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IF(E1694="","",IF(ISNUMBER(SEARCH("SUBSOLO",E1694)),IFERROR(-VALUE(LEFT(E1694,FIND("º",SUBSTITUTE(E1694,"°","º"))-1)),-1),IF(LEFT(E1694,6)="TÉRREO",0,IFERROR(VALUE(LEFT(E1694,FIND("º",SUBSTITUTE(E1694,"°","º"))-1)),""))))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25799995</v>
      </c>
      <c r="C1695" s="4" t="inlineStr">
        <is>
          <t>ESQUADRIA MADEIRA</t>
        </is>
      </c>
      <c r="D1695" s="4" t="inlineStr">
        <is>
          <t>-</t>
        </is>
      </c>
      <c r="E1695" s="4" t="inlineStr">
        <is>
          <t>3º PAV. - ESPAÇO KIDS E GOURMET, SALÃO DE FESTAS E APOIO, LOBBY PILOTIS</t>
        </is>
      </c>
      <c r="F1695" s="119" t="n">
        <v>46729</v>
      </c>
      <c r="G1695" s="119" t="n">
        <v>46735</v>
      </c>
      <c r="H1695" s="119" t="n">
        <v>46293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IF(E1695="","",IF(ISNUMBER(SEARCH("SUBSOLO",E1695)),IFERROR(-VALUE(LEFT(E1695,FIND("º",SUBSTITUTE(E1695,"°","º"))-1)),-1),IF(LEFT(E1695,6)="TÉRREO",0,IFERROR(VALUE(LEFT(E1695,FIND("º",SUBSTITUTE(E1695,"°","º"))-1)),""))))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33292465</v>
      </c>
      <c r="C1696" s="4" t="inlineStr">
        <is>
          <t>PAISAGISMO</t>
        </is>
      </c>
      <c r="D1696" s="4" t="inlineStr">
        <is>
          <t>-</t>
        </is>
      </c>
      <c r="E1696" s="4" t="inlineStr">
        <is>
          <t>11º PAV. TIPO</t>
        </is>
      </c>
      <c r="F1696" s="119" t="n">
        <v>46729</v>
      </c>
      <c r="G1696" s="119" t="n">
        <v>46756</v>
      </c>
      <c r="H1696" s="119" t="n">
        <v>46293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IF(E1696="","",IF(ISNUMBER(SEARCH("SUBSOLO",E1696)),IFERROR(-VALUE(LEFT(E1696,FIND("º",SUBSTITUTE(E1696,"°","º"))-1)),-1),IF(LEFT(E1696,6)="TÉRREO",0,IFERROR(VALUE(LEFT(E1696,FIND("º",SUBSTITUTE(E1696,"°","º"))-1)),""))))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25210092</v>
      </c>
      <c r="C1697" s="4" t="inlineStr">
        <is>
          <t>IMPERMEABILIZAÇÃO INTERNA</t>
        </is>
      </c>
      <c r="D1697" s="4" t="inlineStr">
        <is>
          <t>-</t>
        </is>
      </c>
      <c r="E1697" s="4" t="inlineStr">
        <is>
          <t>25º PAV. TIPO</t>
        </is>
      </c>
      <c r="F1697" s="119" t="n">
        <v>46729</v>
      </c>
      <c r="G1697" s="119" t="n">
        <v>46755</v>
      </c>
      <c r="H1697" s="119" t="n">
        <v>46293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IF(E1697="","",IF(ISNUMBER(SEARCH("SUBSOLO",E1697)),IFERROR(-VALUE(LEFT(E1697,FIND("º",SUBSTITUTE(E1697,"°","º"))-1)),-1),IF(LEFT(E1697,6)="TÉRREO",0,IFERROR(VALUE(LEFT(E1697,FIND("º",SUBSTITUTE(E1697,"°","º"))-1)),""))))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25753083</v>
      </c>
      <c r="C1698" s="4" t="inlineStr">
        <is>
          <t>TEXTURA</t>
        </is>
      </c>
      <c r="D1698" s="4" t="inlineStr">
        <is>
          <t>-</t>
        </is>
      </c>
      <c r="E1698" s="4" t="inlineStr">
        <is>
          <t>TÉRREO - GARAGENS</t>
        </is>
      </c>
      <c r="F1698" s="119" t="n">
        <v>46730</v>
      </c>
      <c r="G1698" s="119" t="n">
        <v>46785</v>
      </c>
      <c r="H1698" s="119" t="n">
        <v>46293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IF(E1698="","",IF(ISNUMBER(SEARCH("SUBSOLO",E1698)),IFERROR(-VALUE(LEFT(E1698,FIND("º",SUBSTITUTE(E1698,"°","º"))-1)),-1),IF(LEFT(E1698,6)="TÉRREO",0,IFERROR(VALUE(LEFT(E1698,FIND("º",SUBSTITUTE(E1698,"°","º"))-1)),""))))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25799837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3º PAV. - BAR PISCINA, VESTIÁRIOS, DEPOSITOS E LOUNGE QUADRAS</t>
        </is>
      </c>
      <c r="F1699" s="119" t="n">
        <v>46730</v>
      </c>
      <c r="G1699" s="119" t="n">
        <v>46757</v>
      </c>
      <c r="H1699" s="119" t="n">
        <v>46293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IF(E1699="","",IF(ISNUMBER(SEARCH("SUBSOLO",E1699)),IFERROR(-VALUE(LEFT(E1699,FIND("º",SUBSTITUTE(E1699,"°","º"))-1)),-1),IF(LEFT(E1699,6)="TÉRREO",0,IFERROR(VALUE(LEFT(E1699,FIND("º",SUBSTITUTE(E1699,"°","º"))-1)),""))))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25799907</v>
      </c>
      <c r="C1700" s="4" t="inlineStr">
        <is>
          <t>PINTURA 3º DEMÃO</t>
        </is>
      </c>
      <c r="D1700" s="4" t="inlineStr">
        <is>
          <t>-</t>
        </is>
      </c>
      <c r="E1700" s="4" t="inlineStr">
        <is>
          <t>3º PAV. - ACADEMIA</t>
        </is>
      </c>
      <c r="F1700" s="119" t="n">
        <v>46730</v>
      </c>
      <c r="G1700" s="119" t="n">
        <v>46736</v>
      </c>
      <c r="H1700" s="119" t="n">
        <v>46293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IF(E1700="","",IF(ISNUMBER(SEARCH("SUBSOLO",E1700)),IFERROR(-VALUE(LEFT(E1700,FIND("º",SUBSTITUTE(E1700,"°","º"))-1)),-1),IF(LEFT(E1700,6)="TÉRREO",0,IFERROR(VALUE(LEFT(E1700,FIND("º",SUBSTITUTE(E1700,"°","º"))-1)),""))))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25210528</v>
      </c>
      <c r="C1701" s="4" t="inlineStr">
        <is>
          <t>PINTURA 1º DEMÃO</t>
        </is>
      </c>
      <c r="D1701" s="4" t="inlineStr">
        <is>
          <t>-</t>
        </is>
      </c>
      <c r="E1701" s="4" t="inlineStr">
        <is>
          <t>12º PAV. TIPO</t>
        </is>
      </c>
      <c r="F1701" s="119" t="n">
        <v>46730</v>
      </c>
      <c r="G1701" s="119" t="n">
        <v>46755</v>
      </c>
      <c r="H1701" s="119" t="n">
        <v>46293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IF(E1701="","",IF(ISNUMBER(SEARCH("SUBSOLO",E1701)),IFERROR(-VALUE(LEFT(E1701,FIND("º",SUBSTITUTE(E1701,"°","º"))-1)),-1),IF(LEFT(E1701,6)="TÉRREO",0,IFERROR(VALUE(LEFT(E1701,FIND("º",SUBSTITUTE(E1701,"°","º"))-1)),""))))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25752805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TÉRREO - ÁREAS DE FUNCIONÁRIOS</t>
        </is>
      </c>
      <c r="F1702" s="119" t="n">
        <v>46731</v>
      </c>
      <c r="G1702" s="119" t="n">
        <v>46737</v>
      </c>
      <c r="H1702" s="119" t="n">
        <v>46293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IF(E1702="","",IF(ISNUMBER(SEARCH("SUBSOLO",E1702)),IFERROR(-VALUE(LEFT(E1702,FIND("º",SUBSTITUTE(E1702,"°","º"))-1)),-1),IF(LEFT(E1702,6)="TÉRREO",0,IFERROR(VALUE(LEFT(E1702,FIND("º",SUBSTITUTE(E1702,"°","º"))-1)),""))))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25807568</v>
      </c>
      <c r="C1703" s="4" t="inlineStr">
        <is>
          <t>CHECKLIST</t>
        </is>
      </c>
      <c r="D1703" s="4" t="inlineStr">
        <is>
          <t>-</t>
        </is>
      </c>
      <c r="E1703" s="4" t="inlineStr">
        <is>
          <t>3º PAV. ESPAÇO THERMAS, PISCINA COBERTA, SAUNAS E VESTIÁRIOS</t>
        </is>
      </c>
      <c r="F1703" s="119" t="n">
        <v>46731</v>
      </c>
      <c r="G1703" s="119" t="n">
        <v>46758</v>
      </c>
      <c r="H1703" s="119" t="n">
        <v>46293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IF(E1703="","",IF(ISNUMBER(SEARCH("SUBSOLO",E1703)),IFERROR(-VALUE(LEFT(E1703,FIND("º",SUBSTITUTE(E1703,"°","º"))-1)),-1),IF(LEFT(E1703,6)="TÉRREO",0,IFERROR(VALUE(LEFT(E1703,FIND("º",SUBSTITUTE(E1703,"°","º"))-1)),""))))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25210200</v>
      </c>
      <c r="C1704" s="4" t="inlineStr">
        <is>
          <t>REVESTIMENTOS PISO</t>
        </is>
      </c>
      <c r="D1704" s="4" t="inlineStr">
        <is>
          <t>-</t>
        </is>
      </c>
      <c r="E1704" s="4" t="inlineStr">
        <is>
          <t>22º PAV. TIPO</t>
        </is>
      </c>
      <c r="F1704" s="119" t="n">
        <v>46734</v>
      </c>
      <c r="G1704" s="119" t="n">
        <v>46759</v>
      </c>
      <c r="H1704" s="119" t="n">
        <v>46293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IF(E1704="","",IF(ISNUMBER(SEARCH("SUBSOLO",E1704)),IFERROR(-VALUE(LEFT(E1704,FIND("º",SUBSTITUTE(E1704,"°","º"))-1)),-1),IF(LEFT(E1704,6)="TÉRREO",0,IFERROR(VALUE(LEFT(E1704,FIND("º",SUBSTITUTE(E1704,"°","º"))-1)),""))))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25802663</v>
      </c>
      <c r="C1705" s="4" t="inlineStr">
        <is>
          <t>EQUIPAMENTOS</t>
        </is>
      </c>
      <c r="D1705" s="4" t="inlineStr">
        <is>
          <t>-</t>
        </is>
      </c>
      <c r="E1705" s="4" t="inlineStr">
        <is>
          <t>TÉRREO - GARAGENS</t>
        </is>
      </c>
      <c r="F1705" s="119" t="n">
        <v>46735</v>
      </c>
      <c r="G1705" s="119" t="n">
        <v>46762</v>
      </c>
      <c r="H1705" s="119" t="n">
        <v>46293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IF(E1705="","",IF(ISNUMBER(SEARCH("SUBSOLO",E1705)),IFERROR(-VALUE(LEFT(E1705,FIND("º",SUBSTITUTE(E1705,"°","º"))-1)),-1),IF(LEFT(E1705,6)="TÉRREO",0,IFERROR(VALUE(LEFT(E1705,FIND("º",SUBSTITUTE(E1705,"°","º"))-1)),""))))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25754290</v>
      </c>
      <c r="C1706" s="4" t="inlineStr">
        <is>
          <t>INSTALAÇÕES ELÉTRICAS</t>
        </is>
      </c>
      <c r="D1706" s="4" t="inlineStr">
        <is>
          <t>-</t>
        </is>
      </c>
      <c r="E1706" s="4" t="inlineStr">
        <is>
          <t>TÉRREO - CUL DE SAC / ENTRADA EMPREENDIMENTO</t>
        </is>
      </c>
      <c r="F1706" s="119" t="n">
        <v>46735</v>
      </c>
      <c r="G1706" s="119" t="n">
        <v>46778</v>
      </c>
      <c r="H1706" s="119" t="n">
        <v>46293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IF(E1706="","",IF(ISNUMBER(SEARCH("SUBSOLO",E1706)),IFERROR(-VALUE(LEFT(E1706,FIND("º",SUBSTITUTE(E1706,"°","º"))-1)),-1),IF(LEFT(E1706,6)="TÉRREO",0,IFERROR(VALUE(LEFT(E1706,FIND("º",SUBSTITUTE(E1706,"°","º"))-1)),""))))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33276128</v>
      </c>
      <c r="C1707" s="4" t="inlineStr">
        <is>
          <t>TRATAMENTO DE GRANITO/MÁRMORE</t>
        </is>
      </c>
      <c r="D1707" s="4" t="inlineStr">
        <is>
          <t>-</t>
        </is>
      </c>
      <c r="E1707" s="4" t="inlineStr">
        <is>
          <t>4° PAV. APTO GARDEN</t>
        </is>
      </c>
      <c r="F1707" s="119" t="n">
        <v>46735</v>
      </c>
      <c r="G1707" s="119" t="n">
        <v>46769</v>
      </c>
      <c r="H1707" s="119" t="n">
        <v>46293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IF(E1707="","",IF(ISNUMBER(SEARCH("SUBSOLO",E1707)),IFERROR(-VALUE(LEFT(E1707,FIND("º",SUBSTITUTE(E1707,"°","º"))-1)),-1),IF(LEFT(E1707,6)="TÉRREO",0,IFERROR(VALUE(LEFT(E1707,FIND("º",SUBSTITUTE(E1707,"°","º"))-1)),""))))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25210671</v>
      </c>
      <c r="C1708" s="4" t="inlineStr">
        <is>
          <t>RODAPÉ MADEIRA / PVC</t>
        </is>
      </c>
      <c r="D1708" s="4" t="inlineStr">
        <is>
          <t>-</t>
        </is>
      </c>
      <c r="E1708" s="4" t="inlineStr">
        <is>
          <t>8º PAV. TIPO</t>
        </is>
      </c>
      <c r="F1708" s="119" t="n">
        <v>46735</v>
      </c>
      <c r="G1708" s="119" t="n">
        <v>46762</v>
      </c>
      <c r="H1708" s="119" t="n">
        <v>46293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IF(E1708="","",IF(ISNUMBER(SEARCH("SUBSOLO",E1708)),IFERROR(-VALUE(LEFT(E1708,FIND("º",SUBSTITUTE(E1708,"°","º"))-1)),-1),IF(LEFT(E1708,6)="TÉRREO",0,IFERROR(VALUE(LEFT(E1708,FIND("º",SUBSTITUTE(E1708,"°","º"))-1)),""))))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25210494</v>
      </c>
      <c r="C1709" s="4" t="inlineStr">
        <is>
          <t>BANCADAS</t>
        </is>
      </c>
      <c r="D1709" s="4" t="inlineStr">
        <is>
          <t>-</t>
        </is>
      </c>
      <c r="E1709" s="4" t="inlineStr">
        <is>
          <t>13º PAV. TIPO</t>
        </is>
      </c>
      <c r="F1709" s="119" t="n">
        <v>46735</v>
      </c>
      <c r="G1709" s="119" t="n">
        <v>46762</v>
      </c>
      <c r="H1709" s="119" t="n">
        <v>46293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IF(E1709="","",IF(ISNUMBER(SEARCH("SUBSOLO",E1709)),IFERROR(-VALUE(LEFT(E1709,FIND("º",SUBSTITUTE(E1709,"°","º"))-1)),-1),IF(LEFT(E1709,6)="TÉRREO",0,IFERROR(VALUE(LEFT(E1709,FIND("º",SUBSTITUTE(E1709,"°","º"))-1)),""))))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25210126</v>
      </c>
      <c r="C1710" s="4" t="inlineStr">
        <is>
          <t>CONTRAPISO</t>
        </is>
      </c>
      <c r="D1710" s="4" t="inlineStr">
        <is>
          <t>-</t>
        </is>
      </c>
      <c r="E1710" s="4" t="inlineStr">
        <is>
          <t>24º PAV. TIPO</t>
        </is>
      </c>
      <c r="F1710" s="119" t="n">
        <v>46735</v>
      </c>
      <c r="G1710" s="119" t="n">
        <v>46762</v>
      </c>
      <c r="H1710" s="119" t="n">
        <v>46293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IF(E1710="","",IF(ISNUMBER(SEARCH("SUBSOLO",E1710)),IFERROR(-VALUE(LEFT(E1710,FIND("º",SUBSTITUTE(E1710,"°","º"))-1)),-1),IF(LEFT(E1710,6)="TÉRREO",0,IFERROR(VALUE(LEFT(E1710,FIND("º",SUBSTITUTE(E1710,"°","º"))-1)),""))))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27765768</v>
      </c>
      <c r="C1711" s="4" t="inlineStr">
        <is>
          <t>DRENO + ATERRO JARDINEIRAS</t>
        </is>
      </c>
      <c r="D1711" s="4" t="inlineStr">
        <is>
          <t>-</t>
        </is>
      </c>
      <c r="E1711" s="4" t="inlineStr">
        <is>
          <t>24º PAV. TIPO</t>
        </is>
      </c>
      <c r="F1711" s="119" t="n">
        <v>46735</v>
      </c>
      <c r="G1711" s="119" t="n">
        <v>46759</v>
      </c>
      <c r="H1711" s="119" t="n">
        <v>46293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IF(E1711="","",IF(ISNUMBER(SEARCH("SUBSOLO",E1711)),IFERROR(-VALUE(LEFT(E1711,FIND("º",SUBSTITUTE(E1711,"°","º"))-1)),-1),IF(LEFT(E1711,6)="TÉRREO",0,IFERROR(VALUE(LEFT(E1711,FIND("º",SUBSTITUTE(E1711,"°","º"))-1)),""))))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25799996</v>
      </c>
      <c r="C1712" s="4" t="inlineStr">
        <is>
          <t>RODAPÉ MADEIRA / PVC</t>
        </is>
      </c>
      <c r="D1712" s="4" t="inlineStr">
        <is>
          <t>-</t>
        </is>
      </c>
      <c r="E1712" s="4" t="inlineStr">
        <is>
          <t>3º PAV. - ESPAÇO KIDS E GOURMET, SALÃO DE FESTAS E APOIO, LOBBY PILOTIS</t>
        </is>
      </c>
      <c r="F1712" s="119" t="n">
        <v>46736</v>
      </c>
      <c r="G1712" s="119" t="n">
        <v>46756</v>
      </c>
      <c r="H1712" s="119" t="n">
        <v>46293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IF(E1712="","",IF(ISNUMBER(SEARCH("SUBSOLO",E1712)),IFERROR(-VALUE(LEFT(E1712,FIND("º",SUBSTITUTE(E1712,"°","º"))-1)),-1),IF(LEFT(E1712,6)="TÉRREO",0,IFERROR(VALUE(LEFT(E1712,FIND("º",SUBSTITUTE(E1712,"°","º"))-1)),""))))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25210734</v>
      </c>
      <c r="C1713" s="4" t="inlineStr">
        <is>
          <t>LIMPEZA FINA</t>
        </is>
      </c>
      <c r="D1713" s="4" t="inlineStr">
        <is>
          <t>-</t>
        </is>
      </c>
      <c r="E1713" s="4" t="inlineStr">
        <is>
          <t>7º PAV. TIPO</t>
        </is>
      </c>
      <c r="F1713" s="119" t="n">
        <v>46736</v>
      </c>
      <c r="G1713" s="119" t="n">
        <v>46763</v>
      </c>
      <c r="H1713" s="119" t="n">
        <v>46293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IF(E1713="","",IF(ISNUMBER(SEARCH("SUBSOLO",E1713)),IFERROR(-VALUE(LEFT(E1713,FIND("º",SUBSTITUTE(E1713,"°","º"))-1)),-1),IF(LEFT(E1713,6)="TÉRREO",0,IFERROR(VALUE(LEFT(E1713,FIND("º",SUBSTITUTE(E1713,"°","º"))-1)),""))))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25210444</v>
      </c>
      <c r="C1714" s="4" t="inlineStr">
        <is>
          <t>ESQUADRIA</t>
        </is>
      </c>
      <c r="D1714" s="4" t="inlineStr">
        <is>
          <t>-</t>
        </is>
      </c>
      <c r="E1714" s="4" t="inlineStr">
        <is>
          <t>15º PAV. TIPO</t>
        </is>
      </c>
      <c r="F1714" s="119" t="n">
        <v>46736</v>
      </c>
      <c r="G1714" s="119" t="n">
        <v>46770</v>
      </c>
      <c r="H1714" s="119" t="n">
        <v>46293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IF(E1714="","",IF(ISNUMBER(SEARCH("SUBSOLO",E1714)),IFERROR(-VALUE(LEFT(E1714,FIND("º",SUBSTITUTE(E1714,"°","º"))-1)),-1),IF(LEFT(E1714,6)="TÉRREO",0,IFERROR(VALUE(LEFT(E1714,FIND("º",SUBSTITUTE(E1714,"°","º"))-1)),""))))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25799909</v>
      </c>
      <c r="C1715" s="4" t="inlineStr">
        <is>
          <t>LIMPEZA FINA</t>
        </is>
      </c>
      <c r="D1715" s="4" t="inlineStr">
        <is>
          <t>-</t>
        </is>
      </c>
      <c r="E1715" s="4" t="inlineStr">
        <is>
          <t>3º PAV. - ACADEMIA</t>
        </is>
      </c>
      <c r="F1715" s="119" t="n">
        <v>46737</v>
      </c>
      <c r="G1715" s="119" t="n">
        <v>46764</v>
      </c>
      <c r="H1715" s="119" t="n">
        <v>46293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IF(E1715="","",IF(ISNUMBER(SEARCH("SUBSOLO",E1715)),IFERROR(-VALUE(LEFT(E1715,FIND("º",SUBSTITUTE(E1715,"°","º"))-1)),-1),IF(LEFT(E1715,6)="TÉRREO",0,IFERROR(VALUE(LEFT(E1715,FIND("º",SUBSTITUTE(E1715,"°","º"))-1)),""))))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27766498</v>
      </c>
      <c r="C1716" s="4" t="inlineStr">
        <is>
          <t>COMUNICAÇÃO VISUAL</t>
        </is>
      </c>
      <c r="D1716" s="4" t="inlineStr">
        <is>
          <t>-</t>
        </is>
      </c>
      <c r="E1716" s="4" t="inlineStr">
        <is>
          <t>7º PAV. TIPO</t>
        </is>
      </c>
      <c r="F1716" s="119" t="n">
        <v>46737</v>
      </c>
      <c r="G1716" s="119" t="n">
        <v>46757</v>
      </c>
      <c r="H1716" s="119" t="n">
        <v>46293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IF(E1716="","",IF(ISNUMBER(SEARCH("SUBSOLO",E1716)),IFERROR(-VALUE(LEFT(E1716,FIND("º",SUBSTITUTE(E1716,"°","º"))-1)),-1),IF(LEFT(E1716,6)="TÉRREO",0,IFERROR(VALUE(LEFT(E1716,FIND("º",SUBSTITUTE(E1716,"°","º"))-1)),""))))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25210048</v>
      </c>
      <c r="C1717" s="4" t="inlineStr">
        <is>
          <t>SHAFT INTERNO INST. HIDRAÚLICAS</t>
        </is>
      </c>
      <c r="D1717" s="4" t="inlineStr">
        <is>
          <t>-</t>
        </is>
      </c>
      <c r="E1717" s="4" t="inlineStr">
        <is>
          <t>26º PAV. -  DUPLEX INFERIOR</t>
        </is>
      </c>
      <c r="F1717" s="119" t="n">
        <v>46737</v>
      </c>
      <c r="G1717" s="119" t="n">
        <v>46763</v>
      </c>
      <c r="H1717" s="119" t="n">
        <v>46293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IF(E1717="","",IF(ISNUMBER(SEARCH("SUBSOLO",E1717)),IFERROR(-VALUE(LEFT(E1717,FIND("º",SUBSTITUTE(E1717,"°","º"))-1)),-1),IF(LEFT(E1717,6)="TÉRREO",0,IFERROR(VALUE(LEFT(E1717,FIND("º",SUBSTITUTE(E1717,"°","º"))-1)),""))))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25210018</v>
      </c>
      <c r="C1718" s="4" t="inlineStr">
        <is>
          <t>REBOCO INTERNO</t>
        </is>
      </c>
      <c r="D1718" s="4" t="inlineStr">
        <is>
          <t>-</t>
        </is>
      </c>
      <c r="E1718" s="4" t="inlineStr">
        <is>
          <t>27º PAV. -  DUPLEX SUPERIOR</t>
        </is>
      </c>
      <c r="F1718" s="119" t="n">
        <v>46737</v>
      </c>
      <c r="G1718" s="119" t="n">
        <v>46771</v>
      </c>
      <c r="H1718" s="119" t="n">
        <v>46293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IF(E1718="","",IF(ISNUMBER(SEARCH("SUBSOLO",E1718)),IFERROR(-VALUE(LEFT(E1718,FIND("º",SUBSTITUTE(E1718,"°","º"))-1)),-1),IF(LEFT(E1718,6)="TÉRREO",0,IFERROR(VALUE(LEFT(E1718,FIND("º",SUBSTITUTE(E1718,"°","º"))-1)),""))))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25752806</v>
      </c>
      <c r="C1719" s="4" t="inlineStr">
        <is>
          <t>METAIS</t>
        </is>
      </c>
      <c r="D1719" s="4" t="inlineStr">
        <is>
          <t>-</t>
        </is>
      </c>
      <c r="E1719" s="4" t="inlineStr">
        <is>
          <t>TÉRREO - ÁREAS DE FUNCIONÁRIOS</t>
        </is>
      </c>
      <c r="F1719" s="119" t="n">
        <v>46738</v>
      </c>
      <c r="G1719" s="119" t="n">
        <v>46758</v>
      </c>
      <c r="H1719" s="119" t="n">
        <v>46293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IF(E1719="","",IF(ISNUMBER(SEARCH("SUBSOLO",E1719)),IFERROR(-VALUE(LEFT(E1719,FIND("º",SUBSTITUTE(E1719,"°","º"))-1)),-1),IF(LEFT(E1719,6)="TÉRREO",0,IFERROR(VALUE(LEFT(E1719,FIND("º",SUBSTITUTE(E1719,"°","º"))-1)),""))))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27766485</v>
      </c>
      <c r="C1720" s="4" t="inlineStr">
        <is>
          <t>COMUNICAÇÃO VISUAL</t>
        </is>
      </c>
      <c r="D1720" s="4" t="inlineStr">
        <is>
          <t>-</t>
        </is>
      </c>
      <c r="E1720" s="4" t="inlineStr">
        <is>
          <t>2º PAV. GARAGEM.</t>
        </is>
      </c>
      <c r="F1720" s="119" t="n">
        <v>46755</v>
      </c>
      <c r="G1720" s="119" t="n">
        <v>46759</v>
      </c>
      <c r="H1720" s="119" t="n">
        <v>46293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IF(E1720="","",IF(ISNUMBER(SEARCH("SUBSOLO",E1720)),IFERROR(-VALUE(LEFT(E1720,FIND("º",SUBSTITUTE(E1720,"°","º"))-1)),-1),IF(LEFT(E1720,6)="TÉRREO",0,IFERROR(VALUE(LEFT(E1720,FIND("º",SUBSTITUTE(E1720,"°","º"))-1)),""))))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25210215</v>
      </c>
      <c r="C1721" s="4" t="inlineStr">
        <is>
          <t>FIAÇÃO ELÉTRICA</t>
        </is>
      </c>
      <c r="D1721" s="4" t="inlineStr">
        <is>
          <t>-</t>
        </is>
      </c>
      <c r="E1721" s="4" t="inlineStr">
        <is>
          <t>21º PAV. TIPO</t>
        </is>
      </c>
      <c r="F1721" s="119" t="n">
        <v>46755</v>
      </c>
      <c r="G1721" s="119" t="n">
        <v>46773</v>
      </c>
      <c r="H1721" s="119" t="n">
        <v>46293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IF(E1721="","",IF(ISNUMBER(SEARCH("SUBSOLO",E1721)),IFERROR(-VALUE(LEFT(E1721,FIND("º",SUBSTITUTE(E1721,"°","º"))-1)),-1),IF(LEFT(E1721,6)="TÉRREO",0,IFERROR(VALUE(LEFT(E1721,FIND("º",SUBSTITUTE(E1721,"°","º"))-1)),""))))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25210246</v>
      </c>
      <c r="C1722" s="4" t="inlineStr">
        <is>
          <t>VENTILAÇÃO / EXAUSTÃO</t>
        </is>
      </c>
      <c r="D1722" s="4" t="inlineStr">
        <is>
          <t>-</t>
        </is>
      </c>
      <c r="E1722" s="4" t="inlineStr">
        <is>
          <t>21º PAV. TIPO</t>
        </is>
      </c>
      <c r="F1722" s="119" t="n">
        <v>46755</v>
      </c>
      <c r="G1722" s="119" t="n">
        <v>46759</v>
      </c>
      <c r="H1722" s="119" t="n">
        <v>46293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IF(E1722="","",IF(ISNUMBER(SEARCH("SUBSOLO",E1722)),IFERROR(-VALUE(LEFT(E1722,FIND("º",SUBSTITUTE(E1722,"°","º"))-1)),-1),IF(LEFT(E1722,6)="TÉRREO",0,IFERROR(VALUE(LEFT(E1722,FIND("º",SUBSTITUTE(E1722,"°","º"))-1)),""))))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25210151</v>
      </c>
      <c r="C1723" s="4" t="inlineStr">
        <is>
          <t>REVESTIMENTO PAREDE</t>
        </is>
      </c>
      <c r="D1723" s="4" t="inlineStr">
        <is>
          <t>-</t>
        </is>
      </c>
      <c r="E1723" s="4" t="inlineStr">
        <is>
          <t>23º PAV. TIPO</t>
        </is>
      </c>
      <c r="F1723" s="119" t="n">
        <v>46755</v>
      </c>
      <c r="G1723" s="119" t="n">
        <v>46766</v>
      </c>
      <c r="H1723" s="119" t="n">
        <v>46293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IF(E1723="","",IF(ISNUMBER(SEARCH("SUBSOLO",E1723)),IFERROR(-VALUE(LEFT(E1723,FIND("º",SUBSTITUTE(E1723,"°","º"))-1)),-1),IF(LEFT(E1723,6)="TÉRREO",0,IFERROR(VALUE(LEFT(E1723,FIND("º",SUBSTITUTE(E1723,"°","º"))-1)),""))))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27766491</v>
      </c>
      <c r="C1724" s="4" t="inlineStr">
        <is>
          <t>COMUNICAÇÃO VISUAL</t>
        </is>
      </c>
      <c r="D1724" s="4" t="inlineStr">
        <is>
          <t>-</t>
        </is>
      </c>
      <c r="E1724" s="4" t="inlineStr">
        <is>
          <t>3º PAV. - ACADEMIA</t>
        </is>
      </c>
      <c r="F1724" s="119" t="n">
        <v>46756</v>
      </c>
      <c r="G1724" s="119" t="n">
        <v>46762</v>
      </c>
      <c r="H1724" s="119" t="n">
        <v>46293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IF(E1724="","",IF(ISNUMBER(SEARCH("SUBSOLO",E1724)),IFERROR(-VALUE(LEFT(E1724,FIND("º",SUBSTITUTE(E1724,"°","º"))-1)),-1),IF(LEFT(E1724,6)="TÉRREO",0,IFERROR(VALUE(LEFT(E1724,FIND("º",SUBSTITUTE(E1724,"°","º"))-1)),""))))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33292459</v>
      </c>
      <c r="C1725" s="4" t="inlineStr">
        <is>
          <t>PAISAGISMO</t>
        </is>
      </c>
      <c r="D1725" s="4" t="inlineStr">
        <is>
          <t>-</t>
        </is>
      </c>
      <c r="E1725" s="4" t="inlineStr">
        <is>
          <t>5º PAV. TIPO</t>
        </is>
      </c>
      <c r="F1725" s="119" t="n">
        <v>46756</v>
      </c>
      <c r="G1725" s="119" t="n">
        <v>46769</v>
      </c>
      <c r="H1725" s="119" t="n">
        <v>46293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IF(E1725="","",IF(ISNUMBER(SEARCH("SUBSOLO",E1725)),IFERROR(-VALUE(LEFT(E1725,FIND("º",SUBSTITUTE(E1725,"°","º"))-1)),-1),IF(LEFT(E1725,6)="TÉRREO",0,IFERROR(VALUE(LEFT(E1725,FIND("º",SUBSTITUTE(E1725,"°","º"))-1)),""))))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25210656</v>
      </c>
      <c r="C1726" s="4" t="inlineStr">
        <is>
          <t>ESQUADRIA MADEIRA</t>
        </is>
      </c>
      <c r="D1726" s="4" t="inlineStr">
        <is>
          <t>-</t>
        </is>
      </c>
      <c r="E1726" s="4" t="inlineStr">
        <is>
          <t>9º PAV. TIPO</t>
        </is>
      </c>
      <c r="F1726" s="119" t="n">
        <v>46756</v>
      </c>
      <c r="G1726" s="119" t="n">
        <v>46769</v>
      </c>
      <c r="H1726" s="119" t="n">
        <v>46293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IF(E1726="","",IF(ISNUMBER(SEARCH("SUBSOLO",E1726)),IFERROR(-VALUE(LEFT(E1726,FIND("º",SUBSTITUTE(E1726,"°","º"))-1)),-1),IF(LEFT(E1726,6)="TÉRREO",0,IFERROR(VALUE(LEFT(E1726,FIND("º",SUBSTITUTE(E1726,"°","º"))-1)),""))))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33275995</v>
      </c>
      <c r="C1727" s="4" t="inlineStr">
        <is>
          <t>FORRO DE MADEIRA</t>
        </is>
      </c>
      <c r="D1727" s="4" t="inlineStr">
        <is>
          <t>-</t>
        </is>
      </c>
      <c r="E1727" s="4" t="inlineStr">
        <is>
          <t>9º PAV. TIPO</t>
        </is>
      </c>
      <c r="F1727" s="119" t="n">
        <v>46756</v>
      </c>
      <c r="G1727" s="119" t="n">
        <v>46776</v>
      </c>
      <c r="H1727" s="119" t="n">
        <v>46293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IF(E1727="","",IF(ISNUMBER(SEARCH("SUBSOLO",E1727)),IFERROR(-VALUE(LEFT(E1727,FIND("º",SUBSTITUTE(E1727,"°","º"))-1)),-1),IF(LEFT(E1727,6)="TÉRREO",0,IFERROR(VALUE(LEFT(E1727,FIND("º",SUBSTITUTE(E1727,"°","º"))-1)),""))))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25210545</v>
      </c>
      <c r="C1728" s="4" t="inlineStr">
        <is>
          <t>PISO MADEIRA / LAMINADO</t>
        </is>
      </c>
      <c r="D1728" s="4" t="inlineStr">
        <is>
          <t>-</t>
        </is>
      </c>
      <c r="E1728" s="4" t="inlineStr">
        <is>
          <t>12º PAV. TIPO</t>
        </is>
      </c>
      <c r="F1728" s="119" t="n">
        <v>46756</v>
      </c>
      <c r="G1728" s="119" t="n">
        <v>46769</v>
      </c>
      <c r="H1728" s="119" t="n">
        <v>46293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IF(E1728="","",IF(ISNUMBER(SEARCH("SUBSOLO",E1728)),IFERROR(-VALUE(LEFT(E1728,FIND("º",SUBSTITUTE(E1728,"°","º"))-1)),-1),IF(LEFT(E1728,6)="TÉRREO",0,IFERROR(VALUE(LEFT(E1728,FIND("º",SUBSTITUTE(E1728,"°","º"))-1)),""))))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9054390</v>
      </c>
      <c r="C1729" s="4" t="inlineStr">
        <is>
          <t>PISO MADEIRA / LAMINADO</t>
        </is>
      </c>
      <c r="D1729" s="4" t="inlineStr">
        <is>
          <t>Regularização de Piso</t>
        </is>
      </c>
      <c r="E1729" s="4" t="inlineStr">
        <is>
          <t>12º PAV. TIPO</t>
        </is>
      </c>
      <c r="F1729" s="119" t="n">
        <v>46756</v>
      </c>
      <c r="G1729" s="119" t="n">
        <v>46762</v>
      </c>
      <c r="H1729" s="119" t="n">
        <v>46293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IF(E1729="","",IF(ISNUMBER(SEARCH("SUBSOLO",E1729)),IFERROR(-VALUE(LEFT(E1729,FIND("º",SUBSTITUTE(E1729,"°","º"))-1)),-1),IF(LEFT(E1729,6)="TÉRREO",0,IFERROR(VALUE(LEFT(E1729,FIND("º",SUBSTITUTE(E1729,"°","º"))-1)),""))))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9054391</v>
      </c>
      <c r="C1730" s="4" t="inlineStr">
        <is>
          <t>PISO MADEIRA / LAMINADO</t>
        </is>
      </c>
      <c r="D1730" s="4" t="inlineStr">
        <is>
          <t>Instalação Piso Madeira</t>
        </is>
      </c>
      <c r="E1730" s="4" t="inlineStr">
        <is>
          <t>12º PAV. TIPO</t>
        </is>
      </c>
      <c r="F1730" s="119" t="n">
        <v>46763</v>
      </c>
      <c r="G1730" s="119" t="n">
        <v>46769</v>
      </c>
      <c r="H1730" s="119" t="n">
        <v>46293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IF(E1730="","",IF(ISNUMBER(SEARCH("SUBSOLO",E1730)),IFERROR(-VALUE(LEFT(E1730,FIND("º",SUBSTITUTE(E1730,"°","º"))-1)),-1),IF(LEFT(E1730,6)="TÉRREO",0,IFERROR(VALUE(LEFT(E1730,FIND("º",SUBSTITUTE(E1730,"°","º"))-1)),""))))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27762208</v>
      </c>
      <c r="C1731" s="4" t="inlineStr">
        <is>
          <t>TRATAMENTO ACÚSTICO</t>
        </is>
      </c>
      <c r="D1731" s="4" t="inlineStr">
        <is>
          <t>-</t>
        </is>
      </c>
      <c r="E1731" s="4" t="inlineStr">
        <is>
          <t>25º PAV. TIPO</t>
        </is>
      </c>
      <c r="F1731" s="119" t="n">
        <v>46756</v>
      </c>
      <c r="G1731" s="119" t="n">
        <v>46756</v>
      </c>
      <c r="H1731" s="119" t="n">
        <v>46293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IF(E1731="","",IF(ISNUMBER(SEARCH("SUBSOLO",E1731)),IFERROR(-VALUE(LEFT(E1731,FIND("º",SUBSTITUTE(E1731,"°","º"))-1)),-1),IF(LEFT(E1731,6)="TÉRREO",0,IFERROR(VALUE(LEFT(E1731,FIND("º",SUBSTITUTE(E1731,"°","º"))-1)),""))))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32202465</v>
      </c>
      <c r="C1732" s="4" t="inlineStr">
        <is>
          <t>MANUAL DE USO E OPERAÇÃO</t>
        </is>
      </c>
      <c r="D1732" s="4" t="inlineStr">
        <is>
          <t>-</t>
        </is>
      </c>
      <c r="E1732" s="4" t="inlineStr">
        <is>
          <t>GERAL</t>
        </is>
      </c>
      <c r="F1732" s="119" t="n">
        <v>46757</v>
      </c>
      <c r="G1732" s="119" t="n">
        <v>46786</v>
      </c>
      <c r="H1732" s="119" t="n">
        <v>46293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IF(E1732="","",IF(ISNUMBER(SEARCH("SUBSOLO",E1732)),IFERROR(-VALUE(LEFT(E1732,FIND("º",SUBSTITUTE(E1732,"°","º"))-1)),-1),IF(LEFT(E1732,6)="TÉRREO",0,IFERROR(VALUE(LEFT(E1732,FIND("º",SUBSTITUTE(E1732,"°","º"))-1)),""))))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25754365</v>
      </c>
      <c r="C1733" s="4" t="inlineStr">
        <is>
          <t>REBOCO EXTERNO</t>
        </is>
      </c>
      <c r="D1733" s="4" t="inlineStr">
        <is>
          <t>-</t>
        </is>
      </c>
      <c r="E1733" s="4" t="inlineStr">
        <is>
          <t>TÉRREO - CUL DE SAC / ENTRADA EMPREENDIMENTO</t>
        </is>
      </c>
      <c r="F1733" s="119" t="n">
        <v>46757</v>
      </c>
      <c r="G1733" s="119" t="n">
        <v>46784</v>
      </c>
      <c r="H1733" s="119" t="n">
        <v>46293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IF(E1733="","",IF(ISNUMBER(SEARCH("SUBSOLO",E1733)),IFERROR(-VALUE(LEFT(E1733,FIND("º",SUBSTITUTE(E1733,"°","º"))-1)),-1),IF(LEFT(E1733,6)="TÉRREO",0,IFERROR(VALUE(LEFT(E1733,FIND("º",SUBSTITUTE(E1733,"°","º"))-1)),""))))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25800000</v>
      </c>
      <c r="C1734" s="4" t="inlineStr">
        <is>
          <t>DISJUNTORES / MIOLOS</t>
        </is>
      </c>
      <c r="D1734" s="4" t="inlineStr">
        <is>
          <t>-</t>
        </is>
      </c>
      <c r="E1734" s="4" t="inlineStr">
        <is>
          <t>3º PAV. - ESPAÇO KIDS E GOURMET, SALÃO DE FESTAS E APOIO, LOBBY PILOTIS</t>
        </is>
      </c>
      <c r="F1734" s="119" t="n">
        <v>46757</v>
      </c>
      <c r="G1734" s="119" t="n">
        <v>46763</v>
      </c>
      <c r="H1734" s="119" t="n">
        <v>46293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IF(E1734="","",IF(ISNUMBER(SEARCH("SUBSOLO",E1734)),IFERROR(-VALUE(LEFT(E1734,FIND("º",SUBSTITUTE(E1734,"°","º"))-1)),-1),IF(LEFT(E1734,6)="TÉRREO",0,IFERROR(VALUE(LEFT(E1734,FIND("º",SUBSTITUTE(E1734,"°","º"))-1)),""))))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25799999</v>
      </c>
      <c r="C1735" s="4" t="inlineStr">
        <is>
          <t>COMUNICAÇÃO E ALARME</t>
        </is>
      </c>
      <c r="D1735" s="4" t="inlineStr">
        <is>
          <t>-</t>
        </is>
      </c>
      <c r="E1735" s="4" t="inlineStr">
        <is>
          <t>3º PAV. - ESPAÇO KIDS E GOURMET, SALÃO DE FESTAS E APOIO, LOBBY PILOTIS</t>
        </is>
      </c>
      <c r="F1735" s="119" t="n">
        <v>46757</v>
      </c>
      <c r="G1735" s="119" t="n">
        <v>46763</v>
      </c>
      <c r="H1735" s="119" t="n">
        <v>46293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IF(E1735="","",IF(ISNUMBER(SEARCH("SUBSOLO",E1735)),IFERROR(-VALUE(LEFT(E1735,FIND("º",SUBSTITUTE(E1735,"°","º"))-1)),-1),IF(LEFT(E1735,6)="TÉRREO",0,IFERROR(VALUE(LEFT(E1735,FIND("º",SUBSTITUTE(E1735,"°","º"))-1)),""))))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25210625</v>
      </c>
      <c r="C1736" s="4" t="inlineStr">
        <is>
          <t>LIMPEZA GROSSA</t>
        </is>
      </c>
      <c r="D1736" s="4" t="inlineStr">
        <is>
          <t>-</t>
        </is>
      </c>
      <c r="E1736" s="4" t="inlineStr">
        <is>
          <t>10º PAV. TIPO</t>
        </is>
      </c>
      <c r="F1736" s="119" t="n">
        <v>46757</v>
      </c>
      <c r="G1736" s="119" t="n">
        <v>46770</v>
      </c>
      <c r="H1736" s="119" t="n">
        <v>46293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IF(E1736="","",IF(ISNUMBER(SEARCH("SUBSOLO",E1736)),IFERROR(-VALUE(LEFT(E1736,FIND("º",SUBSTITUTE(E1736,"°","º"))-1)),-1),IF(LEFT(E1736,6)="TÉRREO",0,IFERROR(VALUE(LEFT(E1736,FIND("º",SUBSTITUTE(E1736,"°","º"))-1)),""))))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33276135</v>
      </c>
      <c r="C1737" s="4" t="inlineStr">
        <is>
          <t>TRATAMENTO DE GRANITO/MÁRMORE</t>
        </is>
      </c>
      <c r="D1737" s="4" t="inlineStr">
        <is>
          <t>-</t>
        </is>
      </c>
      <c r="E1737" s="4" t="inlineStr">
        <is>
          <t>11º PAV. TIPO</t>
        </is>
      </c>
      <c r="F1737" s="119" t="n">
        <v>46757</v>
      </c>
      <c r="G1737" s="119" t="n">
        <v>46777</v>
      </c>
      <c r="H1737" s="119" t="n">
        <v>46293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IF(E1737="","",IF(ISNUMBER(SEARCH("SUBSOLO",E1737)),IFERROR(-VALUE(LEFT(E1737,FIND("º",SUBSTITUTE(E1737,"°","º"))-1)),-1),IF(LEFT(E1737,6)="TÉRREO",0,IFERROR(VALUE(LEFT(E1737,FIND("º",SUBSTITUTE(E1737,"°","º"))-1)),""))))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25210080</v>
      </c>
      <c r="C1738" s="4" t="inlineStr">
        <is>
          <t>IMPERMEABILIZAÇÃO VARANDA E JARDINEIRAS</t>
        </is>
      </c>
      <c r="D1738" s="4" t="inlineStr">
        <is>
          <t>-</t>
        </is>
      </c>
      <c r="E1738" s="4" t="inlineStr">
        <is>
          <t>25º PAV. TIPO</t>
        </is>
      </c>
      <c r="F1738" s="119" t="n">
        <v>46757</v>
      </c>
      <c r="G1738" s="119" t="n">
        <v>46769</v>
      </c>
      <c r="H1738" s="119" t="n">
        <v>46293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IF(E1738="","",IF(ISNUMBER(SEARCH("SUBSOLO",E1738)),IFERROR(-VALUE(LEFT(E1738,FIND("º",SUBSTITUTE(E1738,"°","º"))-1)),-1),IF(LEFT(E1738,6)="TÉRREO",0,IFERROR(VALUE(LEFT(E1738,FIND("º",SUBSTITUTE(E1738,"°","º"))-1)),""))))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25799838</v>
      </c>
      <c r="C1739" s="4" t="inlineStr">
        <is>
          <t>LOUÇAS</t>
        </is>
      </c>
      <c r="D1739" s="4" t="inlineStr">
        <is>
          <t>-</t>
        </is>
      </c>
      <c r="E1739" s="4" t="inlineStr">
        <is>
          <t>3º PAV. - BAR PISCINA, VESTIÁRIOS, DEPOSITOS E LOUNGE QUADRAS</t>
        </is>
      </c>
      <c r="F1739" s="119" t="n">
        <v>46758</v>
      </c>
      <c r="G1739" s="119" t="n">
        <v>46771</v>
      </c>
      <c r="H1739" s="119" t="n">
        <v>46293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IF(E1739="","",IF(ISNUMBER(SEARCH("SUBSOLO",E1739)),IFERROR(-VALUE(LEFT(E1739,FIND("º",SUBSTITUTE(E1739,"°","º"))-1)),-1),IF(LEFT(E1739,6)="TÉRREO",0,IFERROR(VALUE(LEFT(E1739,FIND("º",SUBSTITUTE(E1739,"°","º"))-1)),""))))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25799842</v>
      </c>
      <c r="C1740" s="4" t="inlineStr">
        <is>
          <t>METAIS</t>
        </is>
      </c>
      <c r="D1740" s="4" t="inlineStr">
        <is>
          <t>-</t>
        </is>
      </c>
      <c r="E1740" s="4" t="inlineStr">
        <is>
          <t>3º PAV. - BAR PISCINA, VESTIÁRIOS, DEPOSITOS E LOUNGE QUADRAS</t>
        </is>
      </c>
      <c r="F1740" s="119" t="n">
        <v>46758</v>
      </c>
      <c r="G1740" s="119" t="n">
        <v>46771</v>
      </c>
      <c r="H1740" s="119" t="n">
        <v>46293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IF(E1740="","",IF(ISNUMBER(SEARCH("SUBSOLO",E1740)),IFERROR(-VALUE(LEFT(E1740,FIND("º",SUBSTITUTE(E1740,"°","º"))-1)),-1),IF(LEFT(E1740,6)="TÉRREO",0,IFERROR(VALUE(LEFT(E1740,FIND("º",SUBSTITUTE(E1740,"°","º"))-1)),""))))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25799844</v>
      </c>
      <c r="C1741" s="4" t="inlineStr">
        <is>
          <t>ACABAMENTOS ELÉTRICOS</t>
        </is>
      </c>
      <c r="D1741" s="4" t="inlineStr">
        <is>
          <t>-</t>
        </is>
      </c>
      <c r="E1741" s="4" t="inlineStr">
        <is>
          <t>3º PAV. - BAR PISCINA, VESTIÁRIOS, DEPOSITOS E LOUNGE QUADRAS</t>
        </is>
      </c>
      <c r="F1741" s="119" t="n">
        <v>46758</v>
      </c>
      <c r="G1741" s="119" t="n">
        <v>46771</v>
      </c>
      <c r="H1741" s="119" t="n">
        <v>46293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IF(E1741="","",IF(ISNUMBER(SEARCH("SUBSOLO",E1741)),IFERROR(-VALUE(LEFT(E1741,FIND("º",SUBSTITUTE(E1741,"°","º"))-1)),-1),IF(LEFT(E1741,6)="TÉRREO",0,IFERROR(VALUE(LEFT(E1741,FIND("º",SUBSTITUTE(E1741,"°","º"))-1)),""))))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27766406</v>
      </c>
      <c r="C1742" s="4" t="inlineStr">
        <is>
          <t>ACABAMENTOS INCÊNDIO</t>
        </is>
      </c>
      <c r="D1742" s="4" t="inlineStr">
        <is>
          <t>-</t>
        </is>
      </c>
      <c r="E1742" s="4" t="inlineStr">
        <is>
          <t>3º PAV. - BAR PISCINA, VESTIÁRIOS, DEPOSITOS E LOUNGE QUADRAS</t>
        </is>
      </c>
      <c r="F1742" s="119" t="n">
        <v>46758</v>
      </c>
      <c r="G1742" s="119" t="n">
        <v>46771</v>
      </c>
      <c r="H1742" s="119" t="n">
        <v>46293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IF(E1742="","",IF(ISNUMBER(SEARCH("SUBSOLO",E1742)),IFERROR(-VALUE(LEFT(E1742,FIND("º",SUBSTITUTE(E1742,"°","º"))-1)),-1),IF(LEFT(E1742,6)="TÉRREO",0,IFERROR(VALUE(LEFT(E1742,FIND("º",SUBSTITUTE(E1742,"°","º"))-1)),""))))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27771326</v>
      </c>
      <c r="C1743" s="4" t="inlineStr">
        <is>
          <t>PRUMADA ELÉTRICA CABOS</t>
        </is>
      </c>
      <c r="D1743" s="4" t="inlineStr">
        <is>
          <t>-</t>
        </is>
      </c>
      <c r="E1743" s="4" t="inlineStr">
        <is>
          <t>GERAL</t>
        </is>
      </c>
      <c r="F1743" s="119" t="n">
        <v>46759</v>
      </c>
      <c r="G1743" s="119" t="n">
        <v>46850</v>
      </c>
      <c r="H1743" s="119" t="n">
        <v>46293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25752807</v>
      </c>
      <c r="C1744" s="4" t="inlineStr">
        <is>
          <t>ACABAMENTOS ELÉTRICOS</t>
        </is>
      </c>
      <c r="D1744" s="4" t="inlineStr">
        <is>
          <t>-</t>
        </is>
      </c>
      <c r="E1744" s="4" t="inlineStr">
        <is>
          <t>TÉRREO - ÁREAS DE FUNCIONÁRIOS</t>
        </is>
      </c>
      <c r="F1744" s="119" t="n">
        <v>46759</v>
      </c>
      <c r="G1744" s="119" t="n">
        <v>46765</v>
      </c>
      <c r="H1744" s="119" t="n">
        <v>46293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IF(E1744="","",IF(ISNUMBER(SEARCH("SUBSOLO",E1744)),IFERROR(-VALUE(LEFT(E1744,FIND("º",SUBSTITUTE(E1744,"°","º"))-1)),-1),IF(LEFT(E1744,6)="TÉRREO",0,IFERROR(VALUE(LEFT(E1744,FIND("º",SUBSTITUTE(E1744,"°","º"))-1)),""))))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27766398</v>
      </c>
      <c r="C1745" s="4" t="inlineStr">
        <is>
          <t>ACABAMENTOS INCÊNDIO</t>
        </is>
      </c>
      <c r="D1745" s="4" t="inlineStr">
        <is>
          <t>-</t>
        </is>
      </c>
      <c r="E1745" s="4" t="inlineStr">
        <is>
          <t>TÉRREO - ÁREAS DE FUNCIONÁRIOS</t>
        </is>
      </c>
      <c r="F1745" s="119" t="n">
        <v>46759</v>
      </c>
      <c r="G1745" s="119" t="n">
        <v>46765</v>
      </c>
      <c r="H1745" s="119" t="n">
        <v>46293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IF(E1745="","",IF(ISNUMBER(SEARCH("SUBSOLO",E1745)),IFERROR(-VALUE(LEFT(E1745,FIND("º",SUBSTITUTE(E1745,"°","º"))-1)),-1),IF(LEFT(E1745,6)="TÉRREO",0,IFERROR(VALUE(LEFT(E1745,FIND("º",SUBSTITUTE(E1745,"°","º"))-1)),""))))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27766401</v>
      </c>
      <c r="C1746" s="4" t="inlineStr">
        <is>
          <t>ACABAMENTOS INCÊNDIO</t>
        </is>
      </c>
      <c r="D1746" s="4" t="inlineStr">
        <is>
          <t>-</t>
        </is>
      </c>
      <c r="E1746" s="4" t="inlineStr">
        <is>
          <t>2º PAV. GARAGEM.</t>
        </is>
      </c>
      <c r="F1746" s="119" t="n">
        <v>46762</v>
      </c>
      <c r="G1746" s="119" t="n">
        <v>46766</v>
      </c>
      <c r="H1746" s="119" t="n">
        <v>46293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IF(E1746="","",IF(ISNUMBER(SEARCH("SUBSOLO",E1746)),IFERROR(-VALUE(LEFT(E1746,FIND("º",SUBSTITUTE(E1746,"°","º"))-1)),-1),IF(LEFT(E1746,6)="TÉRREO",0,IFERROR(VALUE(LEFT(E1746,FIND("º",SUBSTITUTE(E1746,"°","º"))-1)),""))))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25210179</v>
      </c>
      <c r="C1747" s="4" t="inlineStr">
        <is>
          <t>BANCADAS</t>
        </is>
      </c>
      <c r="D1747" s="4" t="inlineStr">
        <is>
          <t>-</t>
        </is>
      </c>
      <c r="E1747" s="4" t="inlineStr">
        <is>
          <t>22º PAV. TIPO</t>
        </is>
      </c>
      <c r="F1747" s="119" t="n">
        <v>46762</v>
      </c>
      <c r="G1747" s="119" t="n">
        <v>46773</v>
      </c>
      <c r="H1747" s="119" t="n">
        <v>46293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IF(E1747="","",IF(ISNUMBER(SEARCH("SUBSOLO",E1747)),IFERROR(-VALUE(LEFT(E1747,FIND("º",SUBSTITUTE(E1747,"°","º"))-1)),-1),IF(LEFT(E1747,6)="TÉRREO",0,IFERROR(VALUE(LEFT(E1747,FIND("º",SUBSTITUTE(E1747,"°","º"))-1)),""))))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25802669</v>
      </c>
      <c r="C1748" s="4" t="inlineStr">
        <is>
          <t>GERADOR</t>
        </is>
      </c>
      <c r="D1748" s="4" t="inlineStr">
        <is>
          <t>-</t>
        </is>
      </c>
      <c r="E1748" s="4" t="inlineStr">
        <is>
          <t>TÉRREO - GARAGENS</t>
        </is>
      </c>
      <c r="F1748" s="119" t="n">
        <v>46763</v>
      </c>
      <c r="G1748" s="119" t="n">
        <v>46769</v>
      </c>
      <c r="H1748" s="119" t="n">
        <v>46293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IF(E1748="","",IF(ISNUMBER(SEARCH("SUBSOLO",E1748)),IFERROR(-VALUE(LEFT(E1748,FIND("º",SUBSTITUTE(E1748,"°","º"))-1)),-1),IF(LEFT(E1748,6)="TÉRREO",0,IFERROR(VALUE(LEFT(E1748,FIND("º",SUBSTITUTE(E1748,"°","º"))-1)),""))))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25210694</v>
      </c>
      <c r="C1749" s="4" t="inlineStr">
        <is>
          <t>DISJUNTORES / MIOLOS</t>
        </is>
      </c>
      <c r="D1749" s="4" t="inlineStr">
        <is>
          <t>-</t>
        </is>
      </c>
      <c r="E1749" s="4" t="inlineStr">
        <is>
          <t>8º PAV. TIPO</t>
        </is>
      </c>
      <c r="F1749" s="119" t="n">
        <v>46763</v>
      </c>
      <c r="G1749" s="119" t="n">
        <v>46776</v>
      </c>
      <c r="H1749" s="119" t="n">
        <v>46293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IF(E1749="","",IF(ISNUMBER(SEARCH("SUBSOLO",E1749)),IFERROR(-VALUE(LEFT(E1749,FIND("º",SUBSTITUTE(E1749,"°","º"))-1)),-1),IF(LEFT(E1749,6)="TÉRREO",0,IFERROR(VALUE(LEFT(E1749,FIND("º",SUBSTITUTE(E1749,"°","º"))-1)),""))))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25210672</v>
      </c>
      <c r="C1750" s="4" t="inlineStr">
        <is>
          <t>CFTV</t>
        </is>
      </c>
      <c r="D1750" s="4" t="inlineStr">
        <is>
          <t>-</t>
        </is>
      </c>
      <c r="E1750" s="4" t="inlineStr">
        <is>
          <t>8º PAV. TIPO</t>
        </is>
      </c>
      <c r="F1750" s="119" t="n">
        <v>46763</v>
      </c>
      <c r="G1750" s="119" t="n">
        <v>46776</v>
      </c>
      <c r="H1750" s="119" t="n">
        <v>46293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IF(E1750="","",IF(ISNUMBER(SEARCH("SUBSOLO",E1750)),IFERROR(-VALUE(LEFT(E1750,FIND("º",SUBSTITUTE(E1750,"°","º"))-1)),-1),IF(LEFT(E1750,6)="TÉRREO",0,IFERROR(VALUE(LEFT(E1750,FIND("º",SUBSTITUTE(E1750,"°","º"))-1)),""))))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25210495</v>
      </c>
      <c r="C1751" s="4" t="inlineStr">
        <is>
          <t>FIAÇÃO ELÉTRICA</t>
        </is>
      </c>
      <c r="D1751" s="4" t="inlineStr">
        <is>
          <t>-</t>
        </is>
      </c>
      <c r="E1751" s="4" t="inlineStr">
        <is>
          <t>13º PAV. TIPO</t>
        </is>
      </c>
      <c r="F1751" s="119" t="n">
        <v>46763</v>
      </c>
      <c r="G1751" s="119" t="n">
        <v>46783</v>
      </c>
      <c r="H1751" s="119" t="n">
        <v>46293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IF(E1751="","",IF(ISNUMBER(SEARCH("SUBSOLO",E1751)),IFERROR(-VALUE(LEFT(E1751,FIND("º",SUBSTITUTE(E1751,"°","º"))-1)),-1),IF(LEFT(E1751,6)="TÉRREO",0,IFERROR(VALUE(LEFT(E1751,FIND("º",SUBSTITUTE(E1751,"°","º"))-1)),""))))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25210526</v>
      </c>
      <c r="C1752" s="4" t="inlineStr">
        <is>
          <t>VENTILAÇÃO / EXAUSTÃO</t>
        </is>
      </c>
      <c r="D1752" s="4" t="inlineStr">
        <is>
          <t>-</t>
        </is>
      </c>
      <c r="E1752" s="4" t="inlineStr">
        <is>
          <t>13º PAV. TIPO</t>
        </is>
      </c>
      <c r="F1752" s="119" t="n">
        <v>46763</v>
      </c>
      <c r="G1752" s="119" t="n">
        <v>46769</v>
      </c>
      <c r="H1752" s="119" t="n">
        <v>46293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IF(E1752="","",IF(ISNUMBER(SEARCH("SUBSOLO",E1752)),IFERROR(-VALUE(LEFT(E1752,FIND("º",SUBSTITUTE(E1752,"°","º"))-1)),-1),IF(LEFT(E1752,6)="TÉRREO",0,IFERROR(VALUE(LEFT(E1752,FIND("º",SUBSTITUTE(E1752,"°","º"))-1)),""))))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25210457</v>
      </c>
      <c r="C1753" s="4" t="inlineStr">
        <is>
          <t>MASSA CORRIDA</t>
        </is>
      </c>
      <c r="D1753" s="4" t="inlineStr">
        <is>
          <t>-</t>
        </is>
      </c>
      <c r="E1753" s="4" t="inlineStr">
        <is>
          <t>14º PAV. TIPO</t>
        </is>
      </c>
      <c r="F1753" s="119" t="n">
        <v>46763</v>
      </c>
      <c r="G1753" s="119" t="n">
        <v>46771</v>
      </c>
      <c r="H1753" s="119" t="n">
        <v>46293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IF(E1753="","",IF(ISNUMBER(SEARCH("SUBSOLO",E1753)),IFERROR(-VALUE(LEFT(E1753,FIND("º",SUBSTITUTE(E1753,"°","º"))-1)),-1),IF(LEFT(E1753,6)="TÉRREO",0,IFERROR(VALUE(LEFT(E1753,FIND("º",SUBSTITUTE(E1753,"°","º"))-1)),""))))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25210443</v>
      </c>
      <c r="C1754" s="4" t="inlineStr">
        <is>
          <t>FORRO</t>
        </is>
      </c>
      <c r="D1754" s="4" t="inlineStr">
        <is>
          <t>-</t>
        </is>
      </c>
      <c r="E1754" s="4" t="inlineStr">
        <is>
          <t>15º PAV. TIPO</t>
        </is>
      </c>
      <c r="F1754" s="119" t="n">
        <v>46763</v>
      </c>
      <c r="G1754" s="119" t="n">
        <v>46783</v>
      </c>
      <c r="H1754" s="119" t="n">
        <v>46293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IF(E1754="","",IF(ISNUMBER(SEARCH("SUBSOLO",E1754)),IFERROR(-VALUE(LEFT(E1754,FIND("º",SUBSTITUTE(E1754,"°","º"))-1)),-1),IF(LEFT(E1754,6)="TÉRREO",0,IFERROR(VALUE(LEFT(E1754,FIND("º",SUBSTITUTE(E1754,"°","º"))-1)),""))))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33276124</v>
      </c>
      <c r="C1755" s="4" t="inlineStr">
        <is>
          <t>INFRAESTRUTURA - AR CONDICIONADO</t>
        </is>
      </c>
      <c r="D1755" s="4" t="inlineStr">
        <is>
          <t>-</t>
        </is>
      </c>
      <c r="E1755" s="4" t="inlineStr">
        <is>
          <t>24º PAV. TIPO</t>
        </is>
      </c>
      <c r="F1755" s="119" t="n">
        <v>46763</v>
      </c>
      <c r="G1755" s="119" t="n">
        <v>46776</v>
      </c>
      <c r="H1755" s="119" t="n">
        <v>46293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IF(E1755="","",IF(ISNUMBER(SEARCH("SUBSOLO",E1755)),IFERROR(-VALUE(LEFT(E1755,FIND("º",SUBSTITUTE(E1755,"°","º"))-1)),-1),IF(LEFT(E1755,6)="TÉRREO",0,IFERROR(VALUE(LEFT(E1755,FIND("º",SUBSTITUTE(E1755,"°","º"))-1)),""))))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33278931</v>
      </c>
      <c r="C1756" s="4" t="inlineStr">
        <is>
          <t>INFRAESTRUTURA ELÉTRICA - PAREDES</t>
        </is>
      </c>
      <c r="D1756" s="4" t="inlineStr">
        <is>
          <t>-</t>
        </is>
      </c>
      <c r="E1756" s="4" t="inlineStr">
        <is>
          <t>24º PAV. TIPO</t>
        </is>
      </c>
      <c r="F1756" s="119" t="n">
        <v>46763</v>
      </c>
      <c r="G1756" s="119" t="n">
        <v>46773</v>
      </c>
      <c r="H1756" s="119" t="n">
        <v>46293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IF(E1756="","",IF(ISNUMBER(SEARCH("SUBSOLO",E1756)),IFERROR(-VALUE(LEFT(E1756,FIND("º",SUBSTITUTE(E1756,"°","º"))-1)),-1),IF(LEFT(E1756,6)="TÉRREO",0,IFERROR(VALUE(LEFT(E1756,FIND("º",SUBSTITUTE(E1756,"°","º"))-1)),""))))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25800001</v>
      </c>
      <c r="C1757" s="4" t="inlineStr">
        <is>
          <t>LIMPEZA GROSSA</t>
        </is>
      </c>
      <c r="D1757" s="4" t="inlineStr">
        <is>
          <t>-</t>
        </is>
      </c>
      <c r="E1757" s="4" t="inlineStr">
        <is>
          <t>3º PAV. - ESPAÇO KIDS E GOURMET, SALÃO DE FESTAS E APOIO, LOBBY PILOTIS</t>
        </is>
      </c>
      <c r="F1757" s="119" t="n">
        <v>46764</v>
      </c>
      <c r="G1757" s="119" t="n">
        <v>46770</v>
      </c>
      <c r="H1757" s="119" t="n">
        <v>46293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IF(E1757="","",IF(ISNUMBER(SEARCH("SUBSOLO",E1757)),IFERROR(-VALUE(LEFT(E1757,FIND("º",SUBSTITUTE(E1757,"°","º"))-1)),-1),IF(LEFT(E1757,6)="TÉRREO",0,IFERROR(VALUE(LEFT(E1757,FIND("º",SUBSTITUTE(E1757,"°","º"))-1)),""))))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25210735</v>
      </c>
      <c r="C1758" s="4" t="inlineStr">
        <is>
          <t>CHECKLIST</t>
        </is>
      </c>
      <c r="D1758" s="4" t="inlineStr">
        <is>
          <t>-</t>
        </is>
      </c>
      <c r="E1758" s="4" t="inlineStr">
        <is>
          <t>7º PAV. TIPO</t>
        </is>
      </c>
      <c r="F1758" s="119" t="n">
        <v>46764</v>
      </c>
      <c r="G1758" s="119" t="n">
        <v>46772</v>
      </c>
      <c r="H1758" s="119" t="n">
        <v>46293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IF(E1758="","",IF(ISNUMBER(SEARCH("SUBSOLO",E1758)),IFERROR(-VALUE(LEFT(E1758,FIND("º",SUBSTITUTE(E1758,"°","º"))-1)),-1),IF(LEFT(E1758,6)="TÉRREO",0,IFERROR(VALUE(LEFT(E1758,FIND("º",SUBSTITUTE(E1758,"°","º"))-1)),""))))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25210057</v>
      </c>
      <c r="C1759" s="4" t="inlineStr">
        <is>
          <t>IMPERMEABILIZAÇÃO INTERNA</t>
        </is>
      </c>
      <c r="D1759" s="4" t="inlineStr">
        <is>
          <t>-</t>
        </is>
      </c>
      <c r="E1759" s="4" t="inlineStr">
        <is>
          <t>26º PAV. -  DUPLEX INFERIOR</t>
        </is>
      </c>
      <c r="F1759" s="119" t="n">
        <v>46764</v>
      </c>
      <c r="G1759" s="119" t="n">
        <v>46776</v>
      </c>
      <c r="H1759" s="119" t="n">
        <v>46293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IF(E1759="","",IF(ISNUMBER(SEARCH("SUBSOLO",E1759)),IFERROR(-VALUE(LEFT(E1759,FIND("º",SUBSTITUTE(E1759,"°","º"))-1)),-1),IF(LEFT(E1759,6)="TÉRREO",0,IFERROR(VALUE(LEFT(E1759,FIND("º",SUBSTITUTE(E1759,"°","º"))-1)),""))))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25799877</v>
      </c>
      <c r="C1760" s="4" t="inlineStr">
        <is>
          <t>LIMPEZA FINA</t>
        </is>
      </c>
      <c r="D1760" s="4" t="inlineStr">
        <is>
          <t>-</t>
        </is>
      </c>
      <c r="E1760" s="4" t="inlineStr">
        <is>
          <t>3º PAV. PISCINA DESCOBERTA E E ÁREA DESCOBERTA PISCINA</t>
        </is>
      </c>
      <c r="F1760" s="119" t="n">
        <v>46765</v>
      </c>
      <c r="G1760" s="119" t="n">
        <v>46778</v>
      </c>
      <c r="H1760" s="119" t="n">
        <v>46293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IF(E1760="","",IF(ISNUMBER(SEARCH("SUBSOLO",E1760)),IFERROR(-VALUE(LEFT(E1760,FIND("º",SUBSTITUTE(E1760,"°","º"))-1)),-1),IF(LEFT(E1760,6)="TÉRREO",0,IFERROR(VALUE(LEFT(E1760,FIND("º",SUBSTITUTE(E1760,"°","º"))-1)),""))))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25799910</v>
      </c>
      <c r="C1761" s="4" t="inlineStr">
        <is>
          <t>CHECKLIST</t>
        </is>
      </c>
      <c r="D1761" s="4" t="inlineStr">
        <is>
          <t>-</t>
        </is>
      </c>
      <c r="E1761" s="4" t="inlineStr">
        <is>
          <t>3º PAV. - ACADEMIA</t>
        </is>
      </c>
      <c r="F1761" s="119" t="n">
        <v>46765</v>
      </c>
      <c r="G1761" s="119" t="n">
        <v>46778</v>
      </c>
      <c r="H1761" s="119" t="n">
        <v>46293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IF(E1761="","",IF(ISNUMBER(SEARCH("SUBSOLO",E1761)),IFERROR(-VALUE(LEFT(E1761,FIND("º",SUBSTITUTE(E1761,"°","º"))-1)),-1),IF(LEFT(E1761,6)="TÉRREO",0,IFERROR(VALUE(LEFT(E1761,FIND("º",SUBSTITUTE(E1761,"°","º"))-1)),""))))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25752808</v>
      </c>
      <c r="C1762" s="4" t="inlineStr">
        <is>
          <t>LIMPEZA GROSSA</t>
        </is>
      </c>
      <c r="D1762" s="4" t="inlineStr">
        <is>
          <t>-</t>
        </is>
      </c>
      <c r="E1762" s="4" t="inlineStr">
        <is>
          <t>TÉRREO - ÁREAS DE FUNCIONÁRIOS</t>
        </is>
      </c>
      <c r="F1762" s="119" t="n">
        <v>46766</v>
      </c>
      <c r="G1762" s="119" t="n">
        <v>46772</v>
      </c>
      <c r="H1762" s="119" t="n">
        <v>46293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IF(E1762="","",IF(ISNUMBER(SEARCH("SUBSOLO",E1762)),IFERROR(-VALUE(LEFT(E1762,FIND("º",SUBSTITUTE(E1762,"°","º"))-1)),-1),IF(LEFT(E1762,6)="TÉRREO",0,IFERROR(VALUE(LEFT(E1762,FIND("º",SUBSTITUTE(E1762,"°","º"))-1)),""))))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25752771</v>
      </c>
      <c r="C1763" s="4" t="inlineStr">
        <is>
          <t>FORRO</t>
        </is>
      </c>
      <c r="D1763" s="4" t="inlineStr">
        <is>
          <t>-</t>
        </is>
      </c>
      <c r="E1763" s="4" t="inlineStr">
        <is>
          <t>2º PAV. GARAGEM.</t>
        </is>
      </c>
      <c r="F1763" s="119" t="n">
        <v>46769</v>
      </c>
      <c r="G1763" s="119" t="n">
        <v>46780</v>
      </c>
      <c r="H1763" s="119" t="n">
        <v>46293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IF(E1763="","",IF(ISNUMBER(SEARCH("SUBSOLO",E1763)),IFERROR(-VALUE(LEFT(E1763,FIND("º",SUBSTITUTE(E1763,"°","º"))-1)),-1),IF(LEFT(E1763,6)="TÉRREO",0,IFERROR(VALUE(LEFT(E1763,FIND("º",SUBSTITUTE(E1763,"°","º"))-1)),""))))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25210165</v>
      </c>
      <c r="C1764" s="4" t="inlineStr">
        <is>
          <t>REVESTIMENTOS PISO</t>
        </is>
      </c>
      <c r="D1764" s="4" t="inlineStr">
        <is>
          <t>-</t>
        </is>
      </c>
      <c r="E1764" s="4" t="inlineStr">
        <is>
          <t>23º PAV. TIPO</t>
        </is>
      </c>
      <c r="F1764" s="119" t="n">
        <v>46769</v>
      </c>
      <c r="G1764" s="119" t="n">
        <v>46780</v>
      </c>
      <c r="H1764" s="119" t="n">
        <v>46293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IF(E1764="","",IF(ISNUMBER(SEARCH("SUBSOLO",E1764)),IFERROR(-VALUE(LEFT(E1764,FIND("º",SUBSTITUTE(E1764,"°","º"))-1)),-1),IF(LEFT(E1764,6)="TÉRREO",0,IFERROR(VALUE(LEFT(E1764,FIND("º",SUBSTITUTE(E1764,"°","º"))-1)),""))))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27766489</v>
      </c>
      <c r="C1765" s="4" t="inlineStr">
        <is>
          <t>COMUNICAÇÃO VISUAL</t>
        </is>
      </c>
      <c r="D1765" s="4" t="inlineStr">
        <is>
          <t>-</t>
        </is>
      </c>
      <c r="E1765" s="4" t="inlineStr">
        <is>
          <t>3º PAV. PISCINA DESCOBERTA E E ÁREA DESCOBERTA PISCINA</t>
        </is>
      </c>
      <c r="F1765" s="119" t="n">
        <v>46770</v>
      </c>
      <c r="G1765" s="119" t="n">
        <v>46776</v>
      </c>
      <c r="H1765" s="119" t="n">
        <v>46293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IF(E1765="","",IF(ISNUMBER(SEARCH("SUBSOLO",E1765)),IFERROR(-VALUE(LEFT(E1765,FIND("º",SUBSTITUTE(E1765,"°","º"))-1)),-1),IF(LEFT(E1765,6)="TÉRREO",0,IFERROR(VALUE(LEFT(E1765,FIND("º",SUBSTITUTE(E1765,"°","º"))-1)),""))))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25210835</v>
      </c>
      <c r="C1766" s="4" t="inlineStr">
        <is>
          <t>LIMPEZA GROSSA</t>
        </is>
      </c>
      <c r="D1766" s="4" t="inlineStr">
        <is>
          <t>-</t>
        </is>
      </c>
      <c r="E1766" s="4" t="inlineStr">
        <is>
          <t>4° PAV. APTO GARDEN</t>
        </is>
      </c>
      <c r="F1766" s="119" t="n">
        <v>46770</v>
      </c>
      <c r="G1766" s="119" t="n">
        <v>46783</v>
      </c>
      <c r="H1766" s="119" t="n">
        <v>46293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IF(E1766="","",IF(ISNUMBER(SEARCH("SUBSOLO",E1766)),IFERROR(-VALUE(LEFT(E1766,FIND("º",SUBSTITUTE(E1766,"°","º"))-1)),-1),IF(LEFT(E1766,6)="TÉRREO",0,IFERROR(VALUE(LEFT(E1766,FIND("º",SUBSTITUTE(E1766,"°","º"))-1)),""))))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33276129</v>
      </c>
      <c r="C1767" s="4" t="inlineStr">
        <is>
          <t>TRATAMENTO DE GRANITO/MÁRMORE</t>
        </is>
      </c>
      <c r="D1767" s="4" t="inlineStr">
        <is>
          <t>-</t>
        </is>
      </c>
      <c r="E1767" s="4" t="inlineStr">
        <is>
          <t>5º PAV. TIPO</t>
        </is>
      </c>
      <c r="F1767" s="119" t="n">
        <v>46770</v>
      </c>
      <c r="G1767" s="119" t="n">
        <v>46790</v>
      </c>
      <c r="H1767" s="119" t="n">
        <v>46293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IF(E1767="","",IF(ISNUMBER(SEARCH("SUBSOLO",E1767)),IFERROR(-VALUE(LEFT(E1767,FIND("º",SUBSTITUTE(E1767,"°","º"))-1)),-1),IF(LEFT(E1767,6)="TÉRREO",0,IFERROR(VALUE(LEFT(E1767,FIND("º",SUBSTITUTE(E1767,"°","º"))-1)),""))))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25210636</v>
      </c>
      <c r="C1768" s="4" t="inlineStr">
        <is>
          <t>RODAPÉ MADEIRA / PVC</t>
        </is>
      </c>
      <c r="D1768" s="4" t="inlineStr">
        <is>
          <t>-</t>
        </is>
      </c>
      <c r="E1768" s="4" t="inlineStr">
        <is>
          <t>9º PAV. TIPO</t>
        </is>
      </c>
      <c r="F1768" s="119" t="n">
        <v>46770</v>
      </c>
      <c r="G1768" s="119" t="n">
        <v>46783</v>
      </c>
      <c r="H1768" s="119" t="n">
        <v>46293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IF(E1768="","",IF(ISNUMBER(SEARCH("SUBSOLO",E1768)),IFERROR(-VALUE(LEFT(E1768,FIND("º",SUBSTITUTE(E1768,"°","º"))-1)),-1),IF(LEFT(E1768,6)="TÉRREO",0,IFERROR(VALUE(LEFT(E1768,FIND("º",SUBSTITUTE(E1768,"°","º"))-1)),""))))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25210551</v>
      </c>
      <c r="C1769" s="4" t="inlineStr">
        <is>
          <t>ESQUADRIA MADEIRA</t>
        </is>
      </c>
      <c r="D1769" s="4" t="inlineStr">
        <is>
          <t>-</t>
        </is>
      </c>
      <c r="E1769" s="4" t="inlineStr">
        <is>
          <t>12º PAV. TIPO</t>
        </is>
      </c>
      <c r="F1769" s="119" t="n">
        <v>46770</v>
      </c>
      <c r="G1769" s="119" t="n">
        <v>46783</v>
      </c>
      <c r="H1769" s="119" t="n">
        <v>46293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IF(E1769="","",IF(ISNUMBER(SEARCH("SUBSOLO",E1769)),IFERROR(-VALUE(LEFT(E1769,FIND("º",SUBSTITUTE(E1769,"°","º"))-1)),-1),IF(LEFT(E1769,6)="TÉRREO",0,IFERROR(VALUE(LEFT(E1769,FIND("º",SUBSTITUTE(E1769,"°","º"))-1)),""))))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33275998</v>
      </c>
      <c r="C1770" s="4" t="inlineStr">
        <is>
          <t>FORRO DE MADEIRA</t>
        </is>
      </c>
      <c r="D1770" s="4" t="inlineStr">
        <is>
          <t>-</t>
        </is>
      </c>
      <c r="E1770" s="4" t="inlineStr">
        <is>
          <t>12º PAV. TIPO</t>
        </is>
      </c>
      <c r="F1770" s="119" t="n">
        <v>46770</v>
      </c>
      <c r="G1770" s="119" t="n">
        <v>46790</v>
      </c>
      <c r="H1770" s="119" t="n">
        <v>46293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IF(E1770="","",IF(ISNUMBER(SEARCH("SUBSOLO",E1770)),IFERROR(-VALUE(LEFT(E1770,FIND("º",SUBSTITUTE(E1770,"°","º"))-1)),-1),IF(LEFT(E1770,6)="TÉRREO",0,IFERROR(VALUE(LEFT(E1770,FIND("º",SUBSTITUTE(E1770,"°","º"))-1)),""))))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25210091</v>
      </c>
      <c r="C1771" s="4" t="inlineStr">
        <is>
          <t>CONTRAPISO</t>
        </is>
      </c>
      <c r="D1771" s="4" t="inlineStr">
        <is>
          <t>-</t>
        </is>
      </c>
      <c r="E1771" s="4" t="inlineStr">
        <is>
          <t>25º PAV. TIPO</t>
        </is>
      </c>
      <c r="F1771" s="119" t="n">
        <v>46770</v>
      </c>
      <c r="G1771" s="119" t="n">
        <v>46783</v>
      </c>
      <c r="H1771" s="119" t="n">
        <v>46293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IF(E1771="","",IF(ISNUMBER(SEARCH("SUBSOLO",E1771)),IFERROR(-VALUE(LEFT(E1771,FIND("º",SUBSTITUTE(E1771,"°","º"))-1)),-1),IF(LEFT(E1771,6)="TÉRREO",0,IFERROR(VALUE(LEFT(E1771,FIND("º",SUBSTITUTE(E1771,"°","º"))-1)),""))))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27765769</v>
      </c>
      <c r="C1772" s="4" t="inlineStr">
        <is>
          <t>DRENO + ATERRO JARDINEIRAS</t>
        </is>
      </c>
      <c r="D1772" s="4" t="inlineStr">
        <is>
          <t>-</t>
        </is>
      </c>
      <c r="E1772" s="4" t="inlineStr">
        <is>
          <t>25º PAV. TIPO</t>
        </is>
      </c>
      <c r="F1772" s="119" t="n">
        <v>46770</v>
      </c>
      <c r="G1772" s="119" t="n">
        <v>46780</v>
      </c>
      <c r="H1772" s="119" t="n">
        <v>46293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IF(E1772="","",IF(ISNUMBER(SEARCH("SUBSOLO",E1772)),IFERROR(-VALUE(LEFT(E1772,FIND("º",SUBSTITUTE(E1772,"°","º"))-1)),-1),IF(LEFT(E1772,6)="TÉRREO",0,IFERROR(VALUE(LEFT(E1772,FIND("º",SUBSTITUTE(E1772,"°","º"))-1)),""))))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25799997</v>
      </c>
      <c r="C1773" s="4" t="inlineStr">
        <is>
          <t>PINTURA 2º DEMÃO</t>
        </is>
      </c>
      <c r="D1773" s="4" t="inlineStr">
        <is>
          <t>-</t>
        </is>
      </c>
      <c r="E1773" s="4" t="inlineStr">
        <is>
          <t>3º PAV. - ESPAÇO KIDS E GOURMET, SALÃO DE FESTAS E APOIO, LOBBY PILOTIS</t>
        </is>
      </c>
      <c r="F1773" s="119" t="n">
        <v>46771</v>
      </c>
      <c r="G1773" s="119" t="n">
        <v>46784</v>
      </c>
      <c r="H1773" s="119" t="n">
        <v>46293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IF(E1773="","",IF(ISNUMBER(SEARCH("SUBSOLO",E1773)),IFERROR(-VALUE(LEFT(E1773,FIND("º",SUBSTITUTE(E1773,"°","º"))-1)),-1),IF(LEFT(E1773,6)="TÉRREO",0,IFERROR(VALUE(LEFT(E1773,FIND("º",SUBSTITUTE(E1773,"°","º"))-1)),""))))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25210622</v>
      </c>
      <c r="C1774" s="4" t="inlineStr">
        <is>
          <t>PINTURA 2º DEMÃO</t>
        </is>
      </c>
      <c r="D1774" s="4" t="inlineStr">
        <is>
          <t>-</t>
        </is>
      </c>
      <c r="E1774" s="4" t="inlineStr">
        <is>
          <t>10º PAV. TIPO</t>
        </is>
      </c>
      <c r="F1774" s="119" t="n">
        <v>46771</v>
      </c>
      <c r="G1774" s="119" t="n">
        <v>46784</v>
      </c>
      <c r="H1774" s="119" t="n">
        <v>46293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IF(E1774="","",IF(ISNUMBER(SEARCH("SUBSOLO",E1774)),IFERROR(-VALUE(LEFT(E1774,FIND("º",SUBSTITUTE(E1774,"°","º"))-1)),-1),IF(LEFT(E1774,6)="TÉRREO",0,IFERROR(VALUE(LEFT(E1774,FIND("º",SUBSTITUTE(E1774,"°","º"))-1)),""))))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25210409</v>
      </c>
      <c r="C1775" s="4" t="inlineStr">
        <is>
          <t>ESQUADRIA</t>
        </is>
      </c>
      <c r="D1775" s="4" t="inlineStr">
        <is>
          <t>-</t>
        </is>
      </c>
      <c r="E1775" s="4" t="inlineStr">
        <is>
          <t>16º PAV. TIPO</t>
        </is>
      </c>
      <c r="F1775" s="119" t="n">
        <v>46771</v>
      </c>
      <c r="G1775" s="119" t="n">
        <v>46791</v>
      </c>
      <c r="H1775" s="119" t="n">
        <v>46293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IF(E1775="","",IF(ISNUMBER(SEARCH("SUBSOLO",E1775)),IFERROR(-VALUE(LEFT(E1775,FIND("º",SUBSTITUTE(E1775,"°","º"))-1)),-1),IF(LEFT(E1775,6)="TÉRREO",0,IFERROR(VALUE(LEFT(E1775,FIND("º",SUBSTITUTE(E1775,"°","º"))-1)),""))))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25799843</v>
      </c>
      <c r="C1776" s="4" t="inlineStr">
        <is>
          <t>PINTURA 3º DEMÃO</t>
        </is>
      </c>
      <c r="D1776" s="4" t="inlineStr">
        <is>
          <t>-</t>
        </is>
      </c>
      <c r="E1776" s="4" t="inlineStr">
        <is>
          <t>3º PAV. - BAR PISCINA, VESTIÁRIOS, DEPOSITOS E LOUNGE QUADRAS</t>
        </is>
      </c>
      <c r="F1776" s="119" t="n">
        <v>46772</v>
      </c>
      <c r="G1776" s="119" t="n">
        <v>46785</v>
      </c>
      <c r="H1776" s="119" t="n">
        <v>46293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IF(E1776="","",IF(ISNUMBER(SEARCH("SUBSOLO",E1776)),IFERROR(-VALUE(LEFT(E1776,FIND("º",SUBSTITUTE(E1776,"°","º"))-1)),-1),IF(LEFT(E1776,6)="TÉRREO",0,IFERROR(VALUE(LEFT(E1776,FIND("º",SUBSTITUTE(E1776,"°","º"))-1)),""))))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25210458</v>
      </c>
      <c r="C1777" s="4" t="inlineStr">
        <is>
          <t>PINTURA 1º DEMÃO</t>
        </is>
      </c>
      <c r="D1777" s="4" t="inlineStr">
        <is>
          <t>-</t>
        </is>
      </c>
      <c r="E1777" s="4" t="inlineStr">
        <is>
          <t>14º PAV. TIPO</t>
        </is>
      </c>
      <c r="F1777" s="119" t="n">
        <v>46772</v>
      </c>
      <c r="G1777" s="119" t="n">
        <v>46783</v>
      </c>
      <c r="H1777" s="119" t="n">
        <v>46293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IF(E1777="","",IF(ISNUMBER(SEARCH("SUBSOLO",E1777)),IFERROR(-VALUE(LEFT(E1777,FIND("º",SUBSTITUTE(E1777,"°","º"))-1)),-1),IF(LEFT(E1777,6)="TÉRREO",0,IFERROR(VALUE(LEFT(E1777,FIND("º",SUBSTITUTE(E1777,"°","º"))-1)),""))))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25752809</v>
      </c>
      <c r="C1778" s="4" t="inlineStr">
        <is>
          <t>PINTURA 2º DEMÃO</t>
        </is>
      </c>
      <c r="D1778" s="4" t="inlineStr">
        <is>
          <t>-</t>
        </is>
      </c>
      <c r="E1778" s="4" t="inlineStr">
        <is>
          <t>TÉRREO - ÁREAS DE FUNCIONÁRIOS</t>
        </is>
      </c>
      <c r="F1778" s="119" t="n">
        <v>46773</v>
      </c>
      <c r="G1778" s="119" t="n">
        <v>46779</v>
      </c>
      <c r="H1778" s="119" t="n">
        <v>46293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IF(E1778="","",IF(ISNUMBER(SEARCH("SUBSOLO",E1778)),IFERROR(-VALUE(LEFT(E1778,FIND("º",SUBSTITUTE(E1778,"°","º"))-1)),-1),IF(LEFT(E1778,6)="TÉRREO",0,IFERROR(VALUE(LEFT(E1778,FIND("º",SUBSTITUTE(E1778,"°","º"))-1)),""))))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27770906</v>
      </c>
      <c r="C1779" s="4" t="inlineStr">
        <is>
          <t>SERRALHERIA</t>
        </is>
      </c>
      <c r="D1779" s="4" t="inlineStr">
        <is>
          <t>-</t>
        </is>
      </c>
      <c r="E1779" s="4" t="inlineStr">
        <is>
          <t>3º PAV. - PILOTIS</t>
        </is>
      </c>
      <c r="F1779" s="119" t="n">
        <v>46776</v>
      </c>
      <c r="G1779" s="119" t="n">
        <v>46787</v>
      </c>
      <c r="H1779" s="119" t="n">
        <v>46293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IF(E1779="","",IF(ISNUMBER(SEARCH("SUBSOLO",E1779)),IFERROR(-VALUE(LEFT(E1779,FIND("º",SUBSTITUTE(E1779,"°","º"))-1)),-1),IF(LEFT(E1779,6)="TÉRREO",0,IFERROR(VALUE(LEFT(E1779,FIND("º",SUBSTITUTE(E1779,"°","º"))-1)),""))))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25210233</v>
      </c>
      <c r="C1780" s="4" t="inlineStr">
        <is>
          <t>FORRO</t>
        </is>
      </c>
      <c r="D1780" s="4" t="inlineStr">
        <is>
          <t>-</t>
        </is>
      </c>
      <c r="E1780" s="4" t="inlineStr">
        <is>
          <t>21º PAV. TIPO</t>
        </is>
      </c>
      <c r="F1780" s="119" t="n">
        <v>46776</v>
      </c>
      <c r="G1780" s="119" t="n">
        <v>46794</v>
      </c>
      <c r="H1780" s="119" t="n">
        <v>46293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IF(E1780="","",IF(ISNUMBER(SEARCH("SUBSOLO",E1780)),IFERROR(-VALUE(LEFT(E1780,FIND("º",SUBSTITUTE(E1780,"°","º"))-1)),-1),IF(LEFT(E1780,6)="TÉRREO",0,IFERROR(VALUE(LEFT(E1780,FIND("º",SUBSTITUTE(E1780,"°","º"))-1)),""))))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25210180</v>
      </c>
      <c r="C1781" s="4" t="inlineStr">
        <is>
          <t>FIAÇÃO ELÉTRICA</t>
        </is>
      </c>
      <c r="D1781" s="4" t="inlineStr">
        <is>
          <t>-</t>
        </is>
      </c>
      <c r="E1781" s="4" t="inlineStr">
        <is>
          <t>22º PAV. TIPO</t>
        </is>
      </c>
      <c r="F1781" s="119" t="n">
        <v>46776</v>
      </c>
      <c r="G1781" s="119" t="n">
        <v>46794</v>
      </c>
      <c r="H1781" s="119" t="n">
        <v>46293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IF(E1781="","",IF(ISNUMBER(SEARCH("SUBSOLO",E1781)),IFERROR(-VALUE(LEFT(E1781,FIND("º",SUBSTITUTE(E1781,"°","º"))-1)),-1),IF(LEFT(E1781,6)="TÉRREO",0,IFERROR(VALUE(LEFT(E1781,FIND("º",SUBSTITUTE(E1781,"°","º"))-1)),""))))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25210211</v>
      </c>
      <c r="C1782" s="4" t="inlineStr">
        <is>
          <t>VENTILAÇÃO / EXAUSTÃO</t>
        </is>
      </c>
      <c r="D1782" s="4" t="inlineStr">
        <is>
          <t>-</t>
        </is>
      </c>
      <c r="E1782" s="4" t="inlineStr">
        <is>
          <t>22º PAV. TIPO</t>
        </is>
      </c>
      <c r="F1782" s="119" t="n">
        <v>46776</v>
      </c>
      <c r="G1782" s="119" t="n">
        <v>46780</v>
      </c>
      <c r="H1782" s="119" t="n">
        <v>46293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IF(E1782="","",IF(ISNUMBER(SEARCH("SUBSOLO",E1782)),IFERROR(-VALUE(LEFT(E1782,FIND("º",SUBSTITUTE(E1782,"°","º"))-1)),-1),IF(LEFT(E1782,6)="TÉRREO",0,IFERROR(VALUE(LEFT(E1782,FIND("º",SUBSTITUTE(E1782,"°","º"))-1)),""))))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25210116</v>
      </c>
      <c r="C1783" s="4" t="inlineStr">
        <is>
          <t>REVESTIMENTO PAREDE</t>
        </is>
      </c>
      <c r="D1783" s="4" t="inlineStr">
        <is>
          <t>-</t>
        </is>
      </c>
      <c r="E1783" s="4" t="inlineStr">
        <is>
          <t>24º PAV. TIPO</t>
        </is>
      </c>
      <c r="F1783" s="119" t="n">
        <v>46776</v>
      </c>
      <c r="G1783" s="119" t="n">
        <v>46787</v>
      </c>
      <c r="H1783" s="119" t="n">
        <v>46293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IF(E1783="","",IF(ISNUMBER(SEARCH("SUBSOLO",E1783)),IFERROR(-VALUE(LEFT(E1783,FIND("º",SUBSTITUTE(E1783,"°","º"))-1)),-1),IF(LEFT(E1783,6)="TÉRREO",0,IFERROR(VALUE(LEFT(E1783,FIND("º",SUBSTITUTE(E1783,"°","º"))-1)),""))))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33292462</v>
      </c>
      <c r="C1784" s="4" t="inlineStr">
        <is>
          <t>PAISAGISMO</t>
        </is>
      </c>
      <c r="D1784" s="4" t="inlineStr">
        <is>
          <t>-</t>
        </is>
      </c>
      <c r="E1784" s="4" t="inlineStr">
        <is>
          <t>8º PAV. TIPO</t>
        </is>
      </c>
      <c r="F1784" s="119" t="n">
        <v>46777</v>
      </c>
      <c r="G1784" s="119" t="n">
        <v>46790</v>
      </c>
      <c r="H1784" s="119" t="n">
        <v>46293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IF(E1784="","",IF(ISNUMBER(SEARCH("SUBSOLO",E1784)),IFERROR(-VALUE(LEFT(E1784,FIND("º",SUBSTITUTE(E1784,"°","º"))-1)),-1),IF(LEFT(E1784,6)="TÉRREO",0,IFERROR(VALUE(LEFT(E1784,FIND("º",SUBSTITUTE(E1784,"°","º"))-1)),""))))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27762209</v>
      </c>
      <c r="C1785" s="4" t="inlineStr">
        <is>
          <t>TRATAMENTO ACÚSTICO</t>
        </is>
      </c>
      <c r="D1785" s="4" t="inlineStr">
        <is>
          <t>-</t>
        </is>
      </c>
      <c r="E1785" s="4" t="inlineStr">
        <is>
          <t>26º PAV. -  DUPLEX INFERIOR</t>
        </is>
      </c>
      <c r="F1785" s="119" t="n">
        <v>46777</v>
      </c>
      <c r="G1785" s="119" t="n">
        <v>46777</v>
      </c>
      <c r="H1785" s="119" t="n">
        <v>46293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IF(E1785="","",IF(ISNUMBER(SEARCH("SUBSOLO",E1785)),IFERROR(-VALUE(LEFT(E1785,FIND("º",SUBSTITUTE(E1785,"°","º"))-1)),-1),IF(LEFT(E1785,6)="TÉRREO",0,IFERROR(VALUE(LEFT(E1785,FIND("º",SUBSTITUTE(E1785,"°","º"))-1)),""))))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25210590</v>
      </c>
      <c r="C1786" s="4" t="inlineStr">
        <is>
          <t>LIMPEZA GROSSA</t>
        </is>
      </c>
      <c r="D1786" s="4" t="inlineStr">
        <is>
          <t>-</t>
        </is>
      </c>
      <c r="E1786" s="4" t="inlineStr">
        <is>
          <t>11º PAV. TIPO</t>
        </is>
      </c>
      <c r="F1786" s="119" t="n">
        <v>46778</v>
      </c>
      <c r="G1786" s="119" t="n">
        <v>46791</v>
      </c>
      <c r="H1786" s="119" t="n">
        <v>46293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IF(E1786="","",IF(ISNUMBER(SEARCH("SUBSOLO",E1786)),IFERROR(-VALUE(LEFT(E1786,FIND("º",SUBSTITUTE(E1786,"°","º"))-1)),-1),IF(LEFT(E1786,6)="TÉRREO",0,IFERROR(VALUE(LEFT(E1786,FIND("º",SUBSTITUTE(E1786,"°","º"))-1)),""))))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25210045</v>
      </c>
      <c r="C1787" s="4" t="inlineStr">
        <is>
          <t>IMPERMEABILIZAÇÃO VARANDA E JARDINEIRAS</t>
        </is>
      </c>
      <c r="D1787" s="4" t="inlineStr">
        <is>
          <t>-</t>
        </is>
      </c>
      <c r="E1787" s="4" t="inlineStr">
        <is>
          <t>26º PAV. -  DUPLEX INFERIOR</t>
        </is>
      </c>
      <c r="F1787" s="119" t="n">
        <v>46778</v>
      </c>
      <c r="G1787" s="119" t="n">
        <v>46790</v>
      </c>
      <c r="H1787" s="119" t="n">
        <v>46293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IF(E1787="","",IF(ISNUMBER(SEARCH("SUBSOLO",E1787)),IFERROR(-VALUE(LEFT(E1787,FIND("º",SUBSTITUTE(E1787,"°","º"))-1)),-1),IF(LEFT(E1787,6)="TÉRREO",0,IFERROR(VALUE(LEFT(E1787,FIND("º",SUBSTITUTE(E1787,"°","º"))-1)),""))))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27762210</v>
      </c>
      <c r="C1788" s="4" t="inlineStr">
        <is>
          <t>TRATAMENTO ACÚSTICO</t>
        </is>
      </c>
      <c r="D1788" s="4" t="inlineStr">
        <is>
          <t>-</t>
        </is>
      </c>
      <c r="E1788" s="4" t="inlineStr">
        <is>
          <t>27º PAV. -  DUPLEX SUPERIOR</t>
        </is>
      </c>
      <c r="F1788" s="119" t="n">
        <v>46778</v>
      </c>
      <c r="G1788" s="119" t="n">
        <v>46778</v>
      </c>
      <c r="H1788" s="119" t="n">
        <v>46293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IF(E1788="","",IF(ISNUMBER(SEARCH("SUBSOLO",E1788)),IFERROR(-VALUE(LEFT(E1788,FIND("º",SUBSTITUTE(E1788,"°","º"))-1)),-1),IF(LEFT(E1788,6)="TÉRREO",0,IFERROR(VALUE(LEFT(E1788,FIND("º",SUBSTITUTE(E1788,"°","º"))-1)),""))))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25752810</v>
      </c>
      <c r="C1789" s="4" t="inlineStr">
        <is>
          <t>LIMPEZA FINA</t>
        </is>
      </c>
      <c r="D1789" s="4" t="inlineStr">
        <is>
          <t>-</t>
        </is>
      </c>
      <c r="E1789" s="4" t="inlineStr">
        <is>
          <t>TÉRREO - ÁREAS DE FUNCIONÁRIOS</t>
        </is>
      </c>
      <c r="F1789" s="119" t="n">
        <v>46780</v>
      </c>
      <c r="G1789" s="119" t="n">
        <v>46786</v>
      </c>
      <c r="H1789" s="119" t="n">
        <v>46293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IF(E1789="","",IF(ISNUMBER(SEARCH("SUBSOLO",E1789)),IFERROR(-VALUE(LEFT(E1789,FIND("º",SUBSTITUTE(E1789,"°","º"))-1)),-1),IF(LEFT(E1789,6)="TÉRREO",0,IFERROR(VALUE(LEFT(E1789,FIND("º",SUBSTITUTE(E1789,"°","º"))-1)),""))))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25752772</v>
      </c>
      <c r="C1790" s="4" t="inlineStr">
        <is>
          <t>PINTURA 1º DEMÃO</t>
        </is>
      </c>
      <c r="D1790" s="4" t="inlineStr">
        <is>
          <t>-</t>
        </is>
      </c>
      <c r="E1790" s="4" t="inlineStr">
        <is>
          <t>2º PAV. GARAGEM.</t>
        </is>
      </c>
      <c r="F1790" s="119" t="n">
        <v>46783</v>
      </c>
      <c r="G1790" s="119" t="n">
        <v>46794</v>
      </c>
      <c r="H1790" s="119" t="n">
        <v>46293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IF(E1790="","",IF(ISNUMBER(SEARCH("SUBSOLO",E1790)),IFERROR(-VALUE(LEFT(E1790,FIND("º",SUBSTITUTE(E1790,"°","º"))-1)),-1),IF(LEFT(E1790,6)="TÉRREO",0,IFERROR(VALUE(LEFT(E1790,FIND("º",SUBSTITUTE(E1790,"°","º"))-1)),""))))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25210144</v>
      </c>
      <c r="C1791" s="4" t="inlineStr">
        <is>
          <t>BANCADAS</t>
        </is>
      </c>
      <c r="D1791" s="4" t="inlineStr">
        <is>
          <t>-</t>
        </is>
      </c>
      <c r="E1791" s="4" t="inlineStr">
        <is>
          <t>23º PAV. TIPO</t>
        </is>
      </c>
      <c r="F1791" s="119" t="n">
        <v>46783</v>
      </c>
      <c r="G1791" s="119" t="n">
        <v>46794</v>
      </c>
      <c r="H1791" s="119" t="n">
        <v>46293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IF(E1791="","",IF(ISNUMBER(SEARCH("SUBSOLO",E1791)),IFERROR(-VALUE(LEFT(E1791,FIND("º",SUBSTITUTE(E1791,"°","º"))-1)),-1),IF(LEFT(E1791,6)="TÉRREO",0,IFERROR(VALUE(LEFT(E1791,FIND("º",SUBSTITUTE(E1791,"°","º"))-1)),""))))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25210832</v>
      </c>
      <c r="C1792" s="4" t="inlineStr">
        <is>
          <t>PINTURA 2º DEMÃO</t>
        </is>
      </c>
      <c r="D1792" s="4" t="inlineStr">
        <is>
          <t>-</t>
        </is>
      </c>
      <c r="E1792" s="4" t="inlineStr">
        <is>
          <t>4° PAV. APTO GARDEN</t>
        </is>
      </c>
      <c r="F1792" s="119" t="n">
        <v>46784</v>
      </c>
      <c r="G1792" s="119" t="n">
        <v>46797</v>
      </c>
      <c r="H1792" s="119" t="n">
        <v>46293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IF(E1792="","",IF(ISNUMBER(SEARCH("SUBSOLO",E1792)),IFERROR(-VALUE(LEFT(E1792,FIND("º",SUBSTITUTE(E1792,"°","º"))-1)),-1),IF(LEFT(E1792,6)="TÉRREO",0,IFERROR(VALUE(LEFT(E1792,FIND("º",SUBSTITUTE(E1792,"°","º"))-1)),""))))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25210659</v>
      </c>
      <c r="C1793" s="4" t="inlineStr">
        <is>
          <t>DISJUNTORES / MIOLOS</t>
        </is>
      </c>
      <c r="D1793" s="4" t="inlineStr">
        <is>
          <t>-</t>
        </is>
      </c>
      <c r="E1793" s="4" t="inlineStr">
        <is>
          <t>9º PAV. TIPO</t>
        </is>
      </c>
      <c r="F1793" s="119" t="n">
        <v>46784</v>
      </c>
      <c r="G1793" s="119" t="n">
        <v>46797</v>
      </c>
      <c r="H1793" s="119" t="n">
        <v>46293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IF(E1793="","",IF(ISNUMBER(SEARCH("SUBSOLO",E1793)),IFERROR(-VALUE(LEFT(E1793,FIND("º",SUBSTITUTE(E1793,"°","º"))-1)),-1),IF(LEFT(E1793,6)="TÉRREO",0,IFERROR(VALUE(LEFT(E1793,FIND("º",SUBSTITUTE(E1793,"°","º"))-1)),""))))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25210637</v>
      </c>
      <c r="C1794" s="4" t="inlineStr">
        <is>
          <t>CFTV</t>
        </is>
      </c>
      <c r="D1794" s="4" t="inlineStr">
        <is>
          <t>-</t>
        </is>
      </c>
      <c r="E1794" s="4" t="inlineStr">
        <is>
          <t>9º PAV. TIPO</t>
        </is>
      </c>
      <c r="F1794" s="119" t="n">
        <v>46784</v>
      </c>
      <c r="G1794" s="119" t="n">
        <v>46797</v>
      </c>
      <c r="H1794" s="119" t="n">
        <v>46293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IF(E1794="","",IF(ISNUMBER(SEARCH("SUBSOLO",E1794)),IFERROR(-VALUE(LEFT(E1794,FIND("º",SUBSTITUTE(E1794,"°","º"))-1)),-1),IF(LEFT(E1794,6)="TÉRREO",0,IFERROR(VALUE(LEFT(E1794,FIND("º",SUBSTITUTE(E1794,"°","º"))-1)),""))))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25210531</v>
      </c>
      <c r="C1795" s="4" t="inlineStr">
        <is>
          <t>RODAPÉ MADEIRA / PVC</t>
        </is>
      </c>
      <c r="D1795" s="4" t="inlineStr">
        <is>
          <t>-</t>
        </is>
      </c>
      <c r="E1795" s="4" t="inlineStr">
        <is>
          <t>12º PAV. TIPO</t>
        </is>
      </c>
      <c r="F1795" s="119" t="n">
        <v>46784</v>
      </c>
      <c r="G1795" s="119" t="n">
        <v>46797</v>
      </c>
      <c r="H1795" s="119" t="n">
        <v>46293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IF(E1795="","",IF(ISNUMBER(SEARCH("SUBSOLO",E1795)),IFERROR(-VALUE(LEFT(E1795,FIND("º",SUBSTITUTE(E1795,"°","º"))-1)),-1),IF(LEFT(E1795,6)="TÉRREO",0,IFERROR(VALUE(LEFT(E1795,FIND("º",SUBSTITUTE(E1795,"°","º"))-1)),""))))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25210513</v>
      </c>
      <c r="C1796" s="4" t="inlineStr">
        <is>
          <t>FORRO</t>
        </is>
      </c>
      <c r="D1796" s="4" t="inlineStr">
        <is>
          <t>-</t>
        </is>
      </c>
      <c r="E1796" s="4" t="inlineStr">
        <is>
          <t>13º PAV. TIPO</t>
        </is>
      </c>
      <c r="F1796" s="119" t="n">
        <v>46784</v>
      </c>
      <c r="G1796" s="119" t="n">
        <v>46804</v>
      </c>
      <c r="H1796" s="119" t="n">
        <v>46293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IF(E1796="","",IF(ISNUMBER(SEARCH("SUBSOLO",E1796)),IFERROR(-VALUE(LEFT(E1796,FIND("º",SUBSTITUTE(E1796,"°","º"))-1)),-1),IF(LEFT(E1796,6)="TÉRREO",0,IFERROR(VALUE(LEFT(E1796,FIND("º",SUBSTITUTE(E1796,"°","º"))-1)),""))))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25210475</v>
      </c>
      <c r="C1797" s="4" t="inlineStr">
        <is>
          <t>PISO MADEIRA / LAMINADO</t>
        </is>
      </c>
      <c r="D1797" s="4" t="inlineStr">
        <is>
          <t>-</t>
        </is>
      </c>
      <c r="E1797" s="4" t="inlineStr">
        <is>
          <t>14º PAV. TIPO</t>
        </is>
      </c>
      <c r="F1797" s="119" t="n">
        <v>46784</v>
      </c>
      <c r="G1797" s="119" t="n">
        <v>46797</v>
      </c>
      <c r="H1797" s="119" t="n">
        <v>46293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IF(E1797="","",IF(ISNUMBER(SEARCH("SUBSOLO",E1797)),IFERROR(-VALUE(LEFT(E1797,FIND("º",SUBSTITUTE(E1797,"°","º"))-1)),-1),IF(LEFT(E1797,6)="TÉRREO",0,IFERROR(VALUE(LEFT(E1797,FIND("º",SUBSTITUTE(E1797,"°","º"))-1)),""))))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9054386</v>
      </c>
      <c r="C1798" s="4" t="inlineStr">
        <is>
          <t>PISO MADEIRA / LAMINADO</t>
        </is>
      </c>
      <c r="D1798" s="4" t="inlineStr">
        <is>
          <t>Regularização de Piso</t>
        </is>
      </c>
      <c r="E1798" s="4" t="inlineStr">
        <is>
          <t>14º PAV. TIPO</t>
        </is>
      </c>
      <c r="F1798" s="119" t="n">
        <v>46784</v>
      </c>
      <c r="G1798" s="119" t="n">
        <v>46790</v>
      </c>
      <c r="H1798" s="119" t="n">
        <v>46293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IF(E1798="","",IF(ISNUMBER(SEARCH("SUBSOLO",E1798)),IFERROR(-VALUE(LEFT(E1798,FIND("º",SUBSTITUTE(E1798,"°","º"))-1)),-1),IF(LEFT(E1798,6)="TÉRREO",0,IFERROR(VALUE(LEFT(E1798,FIND("º",SUBSTITUTE(E1798,"°","º"))-1)),""))))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9054387</v>
      </c>
      <c r="C1799" s="4" t="inlineStr">
        <is>
          <t>PISO MADEIRA / LAMINADO</t>
        </is>
      </c>
      <c r="D1799" s="4" t="inlineStr">
        <is>
          <t>Instalação Piso Madeira</t>
        </is>
      </c>
      <c r="E1799" s="4" t="inlineStr">
        <is>
          <t>14º PAV. TIPO</t>
        </is>
      </c>
      <c r="F1799" s="119" t="n">
        <v>46791</v>
      </c>
      <c r="G1799" s="119" t="n">
        <v>46797</v>
      </c>
      <c r="H1799" s="119" t="n">
        <v>46293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IF(E1799="","",IF(ISNUMBER(SEARCH("SUBSOLO",E1799)),IFERROR(-VALUE(LEFT(E1799,FIND("º",SUBSTITUTE(E1799,"°","º"))-1)),-1),IF(LEFT(E1799,6)="TÉRREO",0,IFERROR(VALUE(LEFT(E1799,FIND("º",SUBSTITUTE(E1799,"°","º"))-1)),""))))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25210422</v>
      </c>
      <c r="C1800" s="4" t="inlineStr">
        <is>
          <t>MASSA CORRIDA</t>
        </is>
      </c>
      <c r="D1800" s="4" t="inlineStr">
        <is>
          <t>-</t>
        </is>
      </c>
      <c r="E1800" s="4" t="inlineStr">
        <is>
          <t>15º PAV. TIPO</t>
        </is>
      </c>
      <c r="F1800" s="119" t="n">
        <v>46784</v>
      </c>
      <c r="G1800" s="119" t="n">
        <v>46792</v>
      </c>
      <c r="H1800" s="119" t="n">
        <v>46293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IF(E1800="","",IF(ISNUMBER(SEARCH("SUBSOLO",E1800)),IFERROR(-VALUE(LEFT(E1800,FIND("º",SUBSTITUTE(E1800,"°","º"))-1)),-1),IF(LEFT(E1800,6)="TÉRREO",0,IFERROR(VALUE(LEFT(E1800,FIND("º",SUBSTITUTE(E1800,"°","º"))-1)),""))))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33276125</v>
      </c>
      <c r="C1801" s="4" t="inlineStr">
        <is>
          <t>INFRAESTRUTURA - AR CONDICIONADO</t>
        </is>
      </c>
      <c r="D1801" s="4" t="inlineStr">
        <is>
          <t>-</t>
        </is>
      </c>
      <c r="E1801" s="4" t="inlineStr">
        <is>
          <t>25º PAV. TIPO</t>
        </is>
      </c>
      <c r="F1801" s="119" t="n">
        <v>46784</v>
      </c>
      <c r="G1801" s="119" t="n">
        <v>46797</v>
      </c>
      <c r="H1801" s="119" t="n">
        <v>46293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IF(E1801="","",IF(ISNUMBER(SEARCH("SUBSOLO",E1801)),IFERROR(-VALUE(LEFT(E1801,FIND("º",SUBSTITUTE(E1801,"°","º"))-1)),-1),IF(LEFT(E1801,6)="TÉRREO",0,IFERROR(VALUE(LEFT(E1801,FIND("º",SUBSTITUTE(E1801,"°","º"))-1)),""))))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33278932</v>
      </c>
      <c r="C1802" s="4" t="inlineStr">
        <is>
          <t>INFRAESTRUTURA ELÉTRICA - PAREDES</t>
        </is>
      </c>
      <c r="D1802" s="4" t="inlineStr">
        <is>
          <t>-</t>
        </is>
      </c>
      <c r="E1802" s="4" t="inlineStr">
        <is>
          <t>25º PAV. TIPO</t>
        </is>
      </c>
      <c r="F1802" s="119" t="n">
        <v>46784</v>
      </c>
      <c r="G1802" s="119" t="n">
        <v>46794</v>
      </c>
      <c r="H1802" s="119" t="n">
        <v>46293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IF(E1802="","",IF(ISNUMBER(SEARCH("SUBSOLO",E1802)),IFERROR(-VALUE(LEFT(E1802,FIND("º",SUBSTITUTE(E1802,"°","º"))-1)),-1),IF(LEFT(E1802,6)="TÉRREO",0,IFERROR(VALUE(LEFT(E1802,FIND("º",SUBSTITUTE(E1802,"°","º"))-1)),""))))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27766482</v>
      </c>
      <c r="C1803" s="4" t="inlineStr">
        <is>
          <t>COMUNICAÇÃO VISUAL</t>
        </is>
      </c>
      <c r="D1803" s="4" t="inlineStr">
        <is>
          <t>-</t>
        </is>
      </c>
      <c r="E1803" s="4" t="inlineStr">
        <is>
          <t>TÉRREO - ÁREAS DE FUNCIONÁRIOS</t>
        </is>
      </c>
      <c r="F1803" s="119" t="n">
        <v>46785</v>
      </c>
      <c r="G1803" s="119" t="n">
        <v>46791</v>
      </c>
      <c r="H1803" s="119" t="n">
        <v>46293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IF(E1803="","",IF(ISNUMBER(SEARCH("SUBSOLO",E1803)),IFERROR(-VALUE(LEFT(E1803,FIND("º",SUBSTITUTE(E1803,"°","º"))-1)),-1),IF(LEFT(E1803,6)="TÉRREO",0,IFERROR(VALUE(LEFT(E1803,FIND("º",SUBSTITUTE(E1803,"°","º"))-1)),""))))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25754370</v>
      </c>
      <c r="C1804" s="4" t="inlineStr">
        <is>
          <t>REVESTIMENTOS PISO</t>
        </is>
      </c>
      <c r="D1804" s="4" t="inlineStr">
        <is>
          <t>-</t>
        </is>
      </c>
      <c r="E1804" s="4" t="inlineStr">
        <is>
          <t>TÉRREO - CUL DE SAC / ENTRADA EMPREENDIMENTO</t>
        </is>
      </c>
      <c r="F1804" s="119" t="n">
        <v>46785</v>
      </c>
      <c r="G1804" s="119" t="n">
        <v>46814</v>
      </c>
      <c r="H1804" s="119" t="n">
        <v>46293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IF(E1804="","",IF(ISNUMBER(SEARCH("SUBSOLO",E1804)),IFERROR(-VALUE(LEFT(E1804,FIND("º",SUBSTITUTE(E1804,"°","º"))-1)),-1),IF(LEFT(E1804,6)="TÉRREO",0,IFERROR(VALUE(LEFT(E1804,FIND("º",SUBSTITUTE(E1804,"°","º"))-1)),""))))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25799998</v>
      </c>
      <c r="C1805" s="4" t="inlineStr">
        <is>
          <t>LOUÇAS</t>
        </is>
      </c>
      <c r="D1805" s="4" t="inlineStr">
        <is>
          <t>-</t>
        </is>
      </c>
      <c r="E1805" s="4" t="inlineStr">
        <is>
          <t>3º PAV. - ESPAÇO KIDS E GOURMET, SALÃO DE FESTAS E APOIO, LOBBY PILOTIS</t>
        </is>
      </c>
      <c r="F1805" s="119" t="n">
        <v>46785</v>
      </c>
      <c r="G1805" s="119" t="n">
        <v>46791</v>
      </c>
      <c r="H1805" s="119" t="n">
        <v>46293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IF(E1805="","",IF(ISNUMBER(SEARCH("SUBSOLO",E1805)),IFERROR(-VALUE(LEFT(E1805,FIND("º",SUBSTITUTE(E1805,"°","º"))-1)),-1),IF(LEFT(E1805,6)="TÉRREO",0,IFERROR(VALUE(LEFT(E1805,FIND("º",SUBSTITUTE(E1805,"°","º"))-1)),""))))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25800002</v>
      </c>
      <c r="C1806" s="4" t="inlineStr">
        <is>
          <t>METAIS</t>
        </is>
      </c>
      <c r="D1806" s="4" t="inlineStr">
        <is>
          <t>-</t>
        </is>
      </c>
      <c r="E1806" s="4" t="inlineStr">
        <is>
          <t>3º PAV. - ESPAÇO KIDS E GOURMET, SALÃO DE FESTAS E APOIO, LOBBY PILOTIS</t>
        </is>
      </c>
      <c r="F1806" s="119" t="n">
        <v>46785</v>
      </c>
      <c r="G1806" s="119" t="n">
        <v>46791</v>
      </c>
      <c r="H1806" s="119" t="n">
        <v>46293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IF(E1806="","",IF(ISNUMBER(SEARCH("SUBSOLO",E1806)),IFERROR(-VALUE(LEFT(E1806,FIND("º",SUBSTITUTE(E1806,"°","º"))-1)),-1),IF(LEFT(E1806,6)="TÉRREO",0,IFERROR(VALUE(LEFT(E1806,FIND("º",SUBSTITUTE(E1806,"°","º"))-1)),""))))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25800004</v>
      </c>
      <c r="C1807" s="4" t="inlineStr">
        <is>
          <t>ACABAMENTOS ELÉTRICOS</t>
        </is>
      </c>
      <c r="D1807" s="4" t="inlineStr">
        <is>
          <t>-</t>
        </is>
      </c>
      <c r="E1807" s="4" t="inlineStr">
        <is>
          <t>3º PAV. - ESPAÇO KIDS E GOURMET, SALÃO DE FESTAS E APOIO, LOBBY PILOTIS</t>
        </is>
      </c>
      <c r="F1807" s="119" t="n">
        <v>46785</v>
      </c>
      <c r="G1807" s="119" t="n">
        <v>46791</v>
      </c>
      <c r="H1807" s="119" t="n">
        <v>46293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IF(E1807="","",IF(ISNUMBER(SEARCH("SUBSOLO",E1807)),IFERROR(-VALUE(LEFT(E1807,FIND("º",SUBSTITUTE(E1807,"°","º"))-1)),-1),IF(LEFT(E1807,6)="TÉRREO",0,IFERROR(VALUE(LEFT(E1807,FIND("º",SUBSTITUTE(E1807,"°","º"))-1)),""))))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27766410</v>
      </c>
      <c r="C1808" s="4" t="inlineStr">
        <is>
          <t>ACABAMENTOS INCÊNDIO</t>
        </is>
      </c>
      <c r="D1808" s="4" t="inlineStr">
        <is>
          <t>-</t>
        </is>
      </c>
      <c r="E1808" s="4" t="inlineStr">
        <is>
          <t>3º PAV. - ESPAÇO KIDS E GOURMET, SALÃO DE FESTAS E APOIO, LOBBY PILOTIS</t>
        </is>
      </c>
      <c r="F1808" s="119" t="n">
        <v>46785</v>
      </c>
      <c r="G1808" s="119" t="n">
        <v>46791</v>
      </c>
      <c r="H1808" s="119" t="n">
        <v>46293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IF(E1808="","",IF(ISNUMBER(SEARCH("SUBSOLO",E1808)),IFERROR(-VALUE(LEFT(E1808,FIND("º",SUBSTITUTE(E1808,"°","º"))-1)),-1),IF(LEFT(E1808,6)="TÉRREO",0,IFERROR(VALUE(LEFT(E1808,FIND("º",SUBSTITUTE(E1808,"°","º"))-1)),""))))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27770713</v>
      </c>
      <c r="C1809" s="4" t="inlineStr">
        <is>
          <t>SERRALHERIA</t>
        </is>
      </c>
      <c r="D1809" s="4" t="inlineStr">
        <is>
          <t>-</t>
        </is>
      </c>
      <c r="E1809" s="4" t="inlineStr">
        <is>
          <t>10º PAV. TIPO</t>
        </is>
      </c>
      <c r="F1809" s="119" t="n">
        <v>46785</v>
      </c>
      <c r="G1809" s="119" t="n">
        <v>46797</v>
      </c>
      <c r="H1809" s="119" t="n">
        <v>46293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IF(E1809="","",IF(ISNUMBER(SEARCH("SUBSOLO",E1809)),IFERROR(-VALUE(LEFT(E1809,FIND("º",SUBSTITUTE(E1809,"°","º"))-1)),-1),IF(LEFT(E1809,6)="TÉRREO",0,IFERROR(VALUE(LEFT(E1809,FIND("º",SUBSTITUTE(E1809,"°","º"))-1)),""))))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25210623</v>
      </c>
      <c r="C1810" s="4" t="inlineStr">
        <is>
          <t>LOUÇAS</t>
        </is>
      </c>
      <c r="D1810" s="4" t="inlineStr">
        <is>
          <t>-</t>
        </is>
      </c>
      <c r="E1810" s="4" t="inlineStr">
        <is>
          <t>10º PAV. TIPO</t>
        </is>
      </c>
      <c r="F1810" s="119" t="n">
        <v>46785</v>
      </c>
      <c r="G1810" s="119" t="n">
        <v>46798</v>
      </c>
      <c r="H1810" s="119" t="n">
        <v>46293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IF(E1810="","",IF(ISNUMBER(SEARCH("SUBSOLO",E1810)),IFERROR(-VALUE(LEFT(E1810,FIND("º",SUBSTITUTE(E1810,"°","º"))-1)),-1),IF(LEFT(E1810,6)="TÉRREO",0,IFERROR(VALUE(LEFT(E1810,FIND("º",SUBSTITUTE(E1810,"°","º"))-1)),""))))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25210626</v>
      </c>
      <c r="C1811" s="4" t="inlineStr">
        <is>
          <t>METAIS</t>
        </is>
      </c>
      <c r="D1811" s="4" t="inlineStr">
        <is>
          <t>-</t>
        </is>
      </c>
      <c r="E1811" s="4" t="inlineStr">
        <is>
          <t>10º PAV. TIPO</t>
        </is>
      </c>
      <c r="F1811" s="119" t="n">
        <v>46785</v>
      </c>
      <c r="G1811" s="119" t="n">
        <v>46798</v>
      </c>
      <c r="H1811" s="119" t="n">
        <v>46293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IF(E1811="","",IF(ISNUMBER(SEARCH("SUBSOLO",E1811)),IFERROR(-VALUE(LEFT(E1811,FIND("º",SUBSTITUTE(E1811,"°","º"))-1)),-1),IF(LEFT(E1811,6)="TÉRREO",0,IFERROR(VALUE(LEFT(E1811,FIND("º",SUBSTITUTE(E1811,"°","º"))-1)),""))))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25210628</v>
      </c>
      <c r="C1812" s="4" t="inlineStr">
        <is>
          <t>ACABAMENTOS ELÉTRICOS</t>
        </is>
      </c>
      <c r="D1812" s="4" t="inlineStr">
        <is>
          <t>-</t>
        </is>
      </c>
      <c r="E1812" s="4" t="inlineStr">
        <is>
          <t>10º PAV. TIPO</t>
        </is>
      </c>
      <c r="F1812" s="119" t="n">
        <v>46785</v>
      </c>
      <c r="G1812" s="119" t="n">
        <v>46798</v>
      </c>
      <c r="H1812" s="119" t="n">
        <v>46293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IF(E1812="","",IF(ISNUMBER(SEARCH("SUBSOLO",E1812)),IFERROR(-VALUE(LEFT(E1812,FIND("º",SUBSTITUTE(E1812,"°","º"))-1)),-1),IF(LEFT(E1812,6)="TÉRREO",0,IFERROR(VALUE(LEFT(E1812,FIND("º",SUBSTITUTE(E1812,"°","º"))-1)),""))))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27766417</v>
      </c>
      <c r="C1813" s="4" t="inlineStr">
        <is>
          <t>ACABAMENTOS INCÊNDIO</t>
        </is>
      </c>
      <c r="D1813" s="4" t="inlineStr">
        <is>
          <t>-</t>
        </is>
      </c>
      <c r="E1813" s="4" t="inlineStr">
        <is>
          <t>10º PAV. TIPO</t>
        </is>
      </c>
      <c r="F1813" s="119" t="n">
        <v>46785</v>
      </c>
      <c r="G1813" s="119" t="n">
        <v>46798</v>
      </c>
      <c r="H1813" s="119" t="n">
        <v>46293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IF(E1813="","",IF(ISNUMBER(SEARCH("SUBSOLO",E1813)),IFERROR(-VALUE(LEFT(E1813,FIND("º",SUBSTITUTE(E1813,"°","º"))-1)),-1),IF(LEFT(E1813,6)="TÉRREO",0,IFERROR(VALUE(LEFT(E1813,FIND("º",SUBSTITUTE(E1813,"°","º"))-1)),""))))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25753092</v>
      </c>
      <c r="C1814" s="4" t="inlineStr">
        <is>
          <t>PINTURA VAGAS</t>
        </is>
      </c>
      <c r="D1814" s="4" t="inlineStr">
        <is>
          <t>-</t>
        </is>
      </c>
      <c r="E1814" s="4" t="inlineStr">
        <is>
          <t>TÉRREO - GARAGENS</t>
        </is>
      </c>
      <c r="F1814" s="119" t="n">
        <v>46786</v>
      </c>
      <c r="G1814" s="119" t="n">
        <v>46815</v>
      </c>
      <c r="H1814" s="119" t="n">
        <v>46293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IF(E1814="","",IF(ISNUMBER(SEARCH("SUBSOLO",E1814)),IFERROR(-VALUE(LEFT(E1814,FIND("º",SUBSTITUTE(E1814,"°","º"))-1)),-1),IF(LEFT(E1814,6)="TÉRREO",0,IFERROR(VALUE(LEFT(E1814,FIND("º",SUBSTITUTE(E1814,"°","º"))-1)),""))))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25799845</v>
      </c>
      <c r="C1815" s="4" t="inlineStr">
        <is>
          <t>LIMPEZA FINA</t>
        </is>
      </c>
      <c r="D1815" s="4" t="inlineStr">
        <is>
          <t>-</t>
        </is>
      </c>
      <c r="E1815" s="4" t="inlineStr">
        <is>
          <t>3º PAV. - BAR PISCINA, VESTIÁRIOS, DEPOSITOS E LOUNGE QUADRAS</t>
        </is>
      </c>
      <c r="F1815" s="119" t="n">
        <v>46786</v>
      </c>
      <c r="G1815" s="119" t="n">
        <v>46799</v>
      </c>
      <c r="H1815" s="119" t="n">
        <v>46293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IF(E1815="","",IF(ISNUMBER(SEARCH("SUBSOLO",E1815)),IFERROR(-VALUE(LEFT(E1815,FIND("º",SUBSTITUTE(E1815,"°","º"))-1)),-1),IF(LEFT(E1815,6)="TÉRREO",0,IFERROR(VALUE(LEFT(E1815,FIND("º",SUBSTITUTE(E1815,"°","º"))-1)),""))))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25210130</v>
      </c>
      <c r="C1816" s="4" t="inlineStr">
        <is>
          <t>REVESTIMENTOS PISO</t>
        </is>
      </c>
      <c r="D1816" s="4" t="inlineStr">
        <is>
          <t>-</t>
        </is>
      </c>
      <c r="E1816" s="4" t="inlineStr">
        <is>
          <t>24º PAV. TIPO</t>
        </is>
      </c>
      <c r="F1816" s="119" t="n">
        <v>46790</v>
      </c>
      <c r="G1816" s="119" t="n">
        <v>46801</v>
      </c>
      <c r="H1816" s="119" t="n">
        <v>46293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IF(E1816="","",IF(ISNUMBER(SEARCH("SUBSOLO",E1816)),IFERROR(-VALUE(LEFT(E1816,FIND("º",SUBSTITUTE(E1816,"°","º"))-1)),-1),IF(LEFT(E1816,6)="TÉRREO",0,IFERROR(VALUE(LEFT(E1816,FIND("º",SUBSTITUTE(E1816,"°","º"))-1)),""))))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27766490</v>
      </c>
      <c r="C1817" s="4" t="inlineStr">
        <is>
          <t>COMUNICAÇÃO VISUAL</t>
        </is>
      </c>
      <c r="D1817" s="4" t="inlineStr">
        <is>
          <t>-</t>
        </is>
      </c>
      <c r="E1817" s="4" t="inlineStr">
        <is>
          <t>3º PAV. - BAR PISCINA, VESTIÁRIOS, DEPOSITOS E LOUNGE QUADRAS</t>
        </is>
      </c>
      <c r="F1817" s="119" t="n">
        <v>46791</v>
      </c>
      <c r="G1817" s="119" t="n">
        <v>46797</v>
      </c>
      <c r="H1817" s="119" t="n">
        <v>46293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IF(E1817="","",IF(ISNUMBER(SEARCH("SUBSOLO",E1817)),IFERROR(-VALUE(LEFT(E1817,FIND("º",SUBSTITUTE(E1817,"°","º"))-1)),-1),IF(LEFT(E1817,6)="TÉRREO",0,IFERROR(VALUE(LEFT(E1817,FIND("º",SUBSTITUTE(E1817,"°","º"))-1)),""))))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25210800</v>
      </c>
      <c r="C1818" s="4" t="inlineStr">
        <is>
          <t>LIMPEZA GROSSA</t>
        </is>
      </c>
      <c r="D1818" s="4" t="inlineStr">
        <is>
          <t>-</t>
        </is>
      </c>
      <c r="E1818" s="4" t="inlineStr">
        <is>
          <t>5º PAV. TIPO</t>
        </is>
      </c>
      <c r="F1818" s="119" t="n">
        <v>46791</v>
      </c>
      <c r="G1818" s="119" t="n">
        <v>46804</v>
      </c>
      <c r="H1818" s="119" t="n">
        <v>46293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IF(E1818="","",IF(ISNUMBER(SEARCH("SUBSOLO",E1818)),IFERROR(-VALUE(LEFT(E1818,FIND("º",SUBSTITUTE(E1818,"°","º"))-1)),-1),IF(LEFT(E1818,6)="TÉRREO",0,IFERROR(VALUE(LEFT(E1818,FIND("º",SUBSTITUTE(E1818,"°","º"))-1)),""))))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33276132</v>
      </c>
      <c r="C1819" s="4" t="inlineStr">
        <is>
          <t>TRATAMENTO DE GRANITO/MÁRMORE</t>
        </is>
      </c>
      <c r="D1819" s="4" t="inlineStr">
        <is>
          <t>-</t>
        </is>
      </c>
      <c r="E1819" s="4" t="inlineStr">
        <is>
          <t>8º PAV. TIPO</t>
        </is>
      </c>
      <c r="F1819" s="119" t="n">
        <v>46791</v>
      </c>
      <c r="G1819" s="119" t="n">
        <v>46811</v>
      </c>
      <c r="H1819" s="119" t="n">
        <v>46293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IF(E1819="","",IF(ISNUMBER(SEARCH("SUBSOLO",E1819)),IFERROR(-VALUE(LEFT(E1819,FIND("º",SUBSTITUTE(E1819,"°","º"))-1)),-1),IF(LEFT(E1819,6)="TÉRREO",0,IFERROR(VALUE(LEFT(E1819,FIND("º",SUBSTITUTE(E1819,"°","º"))-1)),""))))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25210056</v>
      </c>
      <c r="C1820" s="4" t="inlineStr">
        <is>
          <t>CONTRAPISO</t>
        </is>
      </c>
      <c r="D1820" s="4" t="inlineStr">
        <is>
          <t>-</t>
        </is>
      </c>
      <c r="E1820" s="4" t="inlineStr">
        <is>
          <t>26º PAV. -  DUPLEX INFERIOR</t>
        </is>
      </c>
      <c r="F1820" s="119" t="n">
        <v>46791</v>
      </c>
      <c r="G1820" s="119" t="n">
        <v>46804</v>
      </c>
      <c r="H1820" s="119" t="n">
        <v>46293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IF(E1820="","",IF(ISNUMBER(SEARCH("SUBSOLO",E1820)),IFERROR(-VALUE(LEFT(E1820,FIND("º",SUBSTITUTE(E1820,"°","º"))-1)),-1),IF(LEFT(E1820,6)="TÉRREO",0,IFERROR(VALUE(LEFT(E1820,FIND("º",SUBSTITUTE(E1820,"°","º"))-1)),""))))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27765770</v>
      </c>
      <c r="C1821" s="4" t="inlineStr">
        <is>
          <t>DRENO + ATERRO JARDINEIRAS</t>
        </is>
      </c>
      <c r="D1821" s="4" t="inlineStr">
        <is>
          <t>-</t>
        </is>
      </c>
      <c r="E1821" s="4" t="inlineStr">
        <is>
          <t>26º PAV. -  DUPLEX INFERIOR</t>
        </is>
      </c>
      <c r="F1821" s="119" t="n">
        <v>46791</v>
      </c>
      <c r="G1821" s="119" t="n">
        <v>46801</v>
      </c>
      <c r="H1821" s="119" t="n">
        <v>46293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IF(E1821="","",IF(ISNUMBER(SEARCH("SUBSOLO",E1821)),IFERROR(-VALUE(LEFT(E1821,FIND("º",SUBSTITUTE(E1821,"°","º"))-1)),-1),IF(LEFT(E1821,6)="TÉRREO",0,IFERROR(VALUE(LEFT(E1821,FIND("º",SUBSTITUTE(E1821,"°","º"))-1)),""))))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25800003</v>
      </c>
      <c r="C1822" s="4" t="inlineStr">
        <is>
          <t>PINTURA 3º DEMÃO</t>
        </is>
      </c>
      <c r="D1822" s="4" t="inlineStr">
        <is>
          <t>-</t>
        </is>
      </c>
      <c r="E1822" s="4" t="inlineStr">
        <is>
          <t>3º PAV. - ESPAÇO KIDS E GOURMET, SALÃO DE FESTAS E APOIO, LOBBY PILOTIS</t>
        </is>
      </c>
      <c r="F1822" s="119" t="n">
        <v>46792</v>
      </c>
      <c r="G1822" s="119" t="n">
        <v>46798</v>
      </c>
      <c r="H1822" s="119" t="n">
        <v>46293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IF(E1822="","",IF(ISNUMBER(SEARCH("SUBSOLO",E1822)),IFERROR(-VALUE(LEFT(E1822,FIND("º",SUBSTITUTE(E1822,"°","º"))-1)),-1),IF(LEFT(E1822,6)="TÉRREO",0,IFERROR(VALUE(LEFT(E1822,FIND("º",SUBSTITUTE(E1822,"°","º"))-1)),""))))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25210587</v>
      </c>
      <c r="C1823" s="4" t="inlineStr">
        <is>
          <t>PINTURA 2º DEMÃO</t>
        </is>
      </c>
      <c r="D1823" s="4" t="inlineStr">
        <is>
          <t>-</t>
        </is>
      </c>
      <c r="E1823" s="4" t="inlineStr">
        <is>
          <t>11º PAV. TIPO</t>
        </is>
      </c>
      <c r="F1823" s="119" t="n">
        <v>46792</v>
      </c>
      <c r="G1823" s="119" t="n">
        <v>46805</v>
      </c>
      <c r="H1823" s="119" t="n">
        <v>46293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IF(E1823="","",IF(ISNUMBER(SEARCH("SUBSOLO",E1823)),IFERROR(-VALUE(LEFT(E1823,FIND("º",SUBSTITUTE(E1823,"°","º"))-1)),-1),IF(LEFT(E1823,6)="TÉRREO",0,IFERROR(VALUE(LEFT(E1823,FIND("º",SUBSTITUTE(E1823,"°","º"))-1)),""))))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25210405</v>
      </c>
      <c r="C1824" s="4" t="inlineStr">
        <is>
          <t>PISO MADEIRA / LAMINADO</t>
        </is>
      </c>
      <c r="D1824" s="4" t="inlineStr">
        <is>
          <t>-</t>
        </is>
      </c>
      <c r="E1824" s="4" t="inlineStr">
        <is>
          <t>16º PAV. TIPO</t>
        </is>
      </c>
      <c r="F1824" s="119" t="n">
        <v>46792</v>
      </c>
      <c r="G1824" s="119" t="n">
        <v>46805</v>
      </c>
      <c r="H1824" s="119" t="n">
        <v>46293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IF(E1824="","",IF(ISNUMBER(SEARCH("SUBSOLO",E1824)),IFERROR(-VALUE(LEFT(E1824,FIND("º",SUBSTITUTE(E1824,"°","º"))-1)),-1),IF(LEFT(E1824,6)="TÉRREO",0,IFERROR(VALUE(LEFT(E1824,FIND("º",SUBSTITUTE(E1824,"°","º"))-1)),""))))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9054382</v>
      </c>
      <c r="C1825" s="4" t="inlineStr">
        <is>
          <t>PISO MADEIRA / LAMINADO</t>
        </is>
      </c>
      <c r="D1825" s="4" t="inlineStr">
        <is>
          <t>Regularização de Piso</t>
        </is>
      </c>
      <c r="E1825" s="4" t="inlineStr">
        <is>
          <t>16º PAV. TIPO</t>
        </is>
      </c>
      <c r="F1825" s="119" t="n">
        <v>46792</v>
      </c>
      <c r="G1825" s="119" t="n">
        <v>46798</v>
      </c>
      <c r="H1825" s="119" t="n">
        <v>46293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IF(E1825="","",IF(ISNUMBER(SEARCH("SUBSOLO",E1825)),IFERROR(-VALUE(LEFT(E1825,FIND("º",SUBSTITUTE(E1825,"°","º"))-1)),-1),IF(LEFT(E1825,6)="TÉRREO",0,IFERROR(VALUE(LEFT(E1825,FIND("º",SUBSTITUTE(E1825,"°","º"))-1)),""))))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9054383</v>
      </c>
      <c r="C1826" s="4" t="inlineStr">
        <is>
          <t>PISO MADEIRA / LAMINADO</t>
        </is>
      </c>
      <c r="D1826" s="4" t="inlineStr">
        <is>
          <t>Instalação Piso Madeira</t>
        </is>
      </c>
      <c r="E1826" s="4" t="inlineStr">
        <is>
          <t>16º PAV. TIPO</t>
        </is>
      </c>
      <c r="F1826" s="119" t="n">
        <v>46799</v>
      </c>
      <c r="G1826" s="119" t="n">
        <v>46805</v>
      </c>
      <c r="H1826" s="119" t="n">
        <v>46293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IF(E1826="","",IF(ISNUMBER(SEARCH("SUBSOLO",E1826)),IFERROR(-VALUE(LEFT(E1826,FIND("º",SUBSTITUTE(E1826,"°","º"))-1)),-1),IF(LEFT(E1826,6)="TÉRREO",0,IFERROR(VALUE(LEFT(E1826,FIND("º",SUBSTITUTE(E1826,"°","º"))-1)),""))))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25210374</v>
      </c>
      <c r="C1827" s="4" t="inlineStr">
        <is>
          <t>ESQUADRIA</t>
        </is>
      </c>
      <c r="D1827" s="4" t="inlineStr">
        <is>
          <t>-</t>
        </is>
      </c>
      <c r="E1827" s="4" t="inlineStr">
        <is>
          <t>17º PAV. TIPO</t>
        </is>
      </c>
      <c r="F1827" s="119" t="n">
        <v>46792</v>
      </c>
      <c r="G1827" s="119" t="n">
        <v>46812</v>
      </c>
      <c r="H1827" s="119" t="n">
        <v>46293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IF(E1827="","",IF(ISNUMBER(SEARCH("SUBSOLO",E1827)),IFERROR(-VALUE(LEFT(E1827,FIND("º",SUBSTITUTE(E1827,"°","º"))-1)),-1),IF(LEFT(E1827,6)="TÉRREO",0,IFERROR(VALUE(LEFT(E1827,FIND("º",SUBSTITUTE(E1827,"°","º"))-1)),""))))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25754372</v>
      </c>
      <c r="C1828" s="4" t="inlineStr">
        <is>
          <t>PASSEIO</t>
        </is>
      </c>
      <c r="D1828" s="4" t="inlineStr">
        <is>
          <t>-</t>
        </is>
      </c>
      <c r="E1828" s="4" t="inlineStr">
        <is>
          <t>TÉRREO - CUL DE SAC / ENTRADA EMPREENDIMENTO</t>
        </is>
      </c>
      <c r="F1828" s="119" t="n">
        <v>46793</v>
      </c>
      <c r="G1828" s="119" t="n">
        <v>46818</v>
      </c>
      <c r="H1828" s="119" t="n">
        <v>46293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IF(E1828="","",IF(ISNUMBER(SEARCH("SUBSOLO",E1828)),IFERROR(-VALUE(LEFT(E1828,FIND("º",SUBSTITUTE(E1828,"°","º"))-1)),-1),IF(LEFT(E1828,6)="TÉRREO",0,IFERROR(VALUE(LEFT(E1828,FIND("º",SUBSTITUTE(E1828,"°","º"))-1)),""))))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25210423</v>
      </c>
      <c r="C1829" s="4" t="inlineStr">
        <is>
          <t>PINTURA 1º DEMÃO</t>
        </is>
      </c>
      <c r="D1829" s="4" t="inlineStr">
        <is>
          <t>-</t>
        </is>
      </c>
      <c r="E1829" s="4" t="inlineStr">
        <is>
          <t>15º PAV. TIPO</t>
        </is>
      </c>
      <c r="F1829" s="119" t="n">
        <v>46793</v>
      </c>
      <c r="G1829" s="119" t="n">
        <v>46804</v>
      </c>
      <c r="H1829" s="119" t="n">
        <v>46293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IF(E1829="","",IF(ISNUMBER(SEARCH("SUBSOLO",E1829)),IFERROR(-VALUE(LEFT(E1829,FIND("º",SUBSTITUTE(E1829,"°","º"))-1)),-1),IF(LEFT(E1829,6)="TÉRREO",0,IFERROR(VALUE(LEFT(E1829,FIND("º",SUBSTITUTE(E1829,"°","º"))-1)),""))))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25752774</v>
      </c>
      <c r="C1830" s="4" t="inlineStr">
        <is>
          <t>ESQUADRIA</t>
        </is>
      </c>
      <c r="D1830" s="4" t="inlineStr">
        <is>
          <t>-</t>
        </is>
      </c>
      <c r="E1830" s="4" t="inlineStr">
        <is>
          <t>2º PAV. GARAGEM.</t>
        </is>
      </c>
      <c r="F1830" s="119" t="n">
        <v>46797</v>
      </c>
      <c r="G1830" s="119" t="n">
        <v>46808</v>
      </c>
      <c r="H1830" s="119" t="n">
        <v>46293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IF(E1830="","",IF(ISNUMBER(SEARCH("SUBSOLO",E1830)),IFERROR(-VALUE(LEFT(E1830,FIND("º",SUBSTITUTE(E1830,"°","º"))-1)),-1),IF(LEFT(E1830,6)="TÉRREO",0,IFERROR(VALUE(LEFT(E1830,FIND("º",SUBSTITUTE(E1830,"°","º"))-1)),""))))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25210212</v>
      </c>
      <c r="C1831" s="4" t="inlineStr">
        <is>
          <t>MASSA CORRIDA</t>
        </is>
      </c>
      <c r="D1831" s="4" t="inlineStr">
        <is>
          <t>-</t>
        </is>
      </c>
      <c r="E1831" s="4" t="inlineStr">
        <is>
          <t>21º PAV. TIPO</t>
        </is>
      </c>
      <c r="F1831" s="119" t="n">
        <v>46797</v>
      </c>
      <c r="G1831" s="119" t="n">
        <v>46805</v>
      </c>
      <c r="H1831" s="119" t="n">
        <v>46293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IF(E1831="","",IF(ISNUMBER(SEARCH("SUBSOLO",E1831)),IFERROR(-VALUE(LEFT(E1831,FIND("º",SUBSTITUTE(E1831,"°","º"))-1)),-1),IF(LEFT(E1831,6)="TÉRREO",0,IFERROR(VALUE(LEFT(E1831,FIND("º",SUBSTITUTE(E1831,"°","º"))-1)),""))))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25210198</v>
      </c>
      <c r="C1832" s="4" t="inlineStr">
        <is>
          <t>FORRO</t>
        </is>
      </c>
      <c r="D1832" s="4" t="inlineStr">
        <is>
          <t>-</t>
        </is>
      </c>
      <c r="E1832" s="4" t="inlineStr">
        <is>
          <t>22º PAV. TIPO</t>
        </is>
      </c>
      <c r="F1832" s="119" t="n">
        <v>46797</v>
      </c>
      <c r="G1832" s="119" t="n">
        <v>46815</v>
      </c>
      <c r="H1832" s="119" t="n">
        <v>46293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IF(E1832="","",IF(ISNUMBER(SEARCH("SUBSOLO",E1832)),IFERROR(-VALUE(LEFT(E1832,FIND("º",SUBSTITUTE(E1832,"°","º"))-1)),-1),IF(LEFT(E1832,6)="TÉRREO",0,IFERROR(VALUE(LEFT(E1832,FIND("º",SUBSTITUTE(E1832,"°","º"))-1)),""))))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25210145</v>
      </c>
      <c r="C1833" s="4" t="inlineStr">
        <is>
          <t>FIAÇÃO ELÉTRICA</t>
        </is>
      </c>
      <c r="D1833" s="4" t="inlineStr">
        <is>
          <t>-</t>
        </is>
      </c>
      <c r="E1833" s="4" t="inlineStr">
        <is>
          <t>23º PAV. TIPO</t>
        </is>
      </c>
      <c r="F1833" s="119" t="n">
        <v>46797</v>
      </c>
      <c r="G1833" s="119" t="n">
        <v>46815</v>
      </c>
      <c r="H1833" s="119" t="n">
        <v>46293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IF(E1833="","",IF(ISNUMBER(SEARCH("SUBSOLO",E1833)),IFERROR(-VALUE(LEFT(E1833,FIND("º",SUBSTITUTE(E1833,"°","º"))-1)),-1),IF(LEFT(E1833,6)="TÉRREO",0,IFERROR(VALUE(LEFT(E1833,FIND("º",SUBSTITUTE(E1833,"°","º"))-1)),""))))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25210176</v>
      </c>
      <c r="C1834" s="4" t="inlineStr">
        <is>
          <t>VENTILAÇÃO / EXAUSTÃO</t>
        </is>
      </c>
      <c r="D1834" s="4" t="inlineStr">
        <is>
          <t>-</t>
        </is>
      </c>
      <c r="E1834" s="4" t="inlineStr">
        <is>
          <t>23º PAV. TIPO</t>
        </is>
      </c>
      <c r="F1834" s="119" t="n">
        <v>46797</v>
      </c>
      <c r="G1834" s="119" t="n">
        <v>46801</v>
      </c>
      <c r="H1834" s="119" t="n">
        <v>46293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IF(E1834="","",IF(ISNUMBER(SEARCH("SUBSOLO",E1834)),IFERROR(-VALUE(LEFT(E1834,FIND("º",SUBSTITUTE(E1834,"°","º"))-1)),-1),IF(LEFT(E1834,6)="TÉRREO",0,IFERROR(VALUE(LEFT(E1834,FIND("º",SUBSTITUTE(E1834,"°","º"))-1)),""))))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25210081</v>
      </c>
      <c r="C1835" s="4" t="inlineStr">
        <is>
          <t>REVESTIMENTO PAREDE</t>
        </is>
      </c>
      <c r="D1835" s="4" t="inlineStr">
        <is>
          <t>-</t>
        </is>
      </c>
      <c r="E1835" s="4" t="inlineStr">
        <is>
          <t>25º PAV. TIPO</t>
        </is>
      </c>
      <c r="F1835" s="119" t="n">
        <v>46797</v>
      </c>
      <c r="G1835" s="119" t="n">
        <v>46808</v>
      </c>
      <c r="H1835" s="119" t="n">
        <v>46293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IF(E1835="","",IF(ISNUMBER(SEARCH("SUBSOLO",E1835)),IFERROR(-VALUE(LEFT(E1835,FIND("º",SUBSTITUTE(E1835,"°","º"))-1)),-1),IF(LEFT(E1835,6)="TÉRREO",0,IFERROR(VALUE(LEFT(E1835,FIND("º",SUBSTITUTE(E1835,"°","º"))-1)),""))))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27770707</v>
      </c>
      <c r="C1836" s="4" t="inlineStr">
        <is>
          <t>SERRALHERIA</t>
        </is>
      </c>
      <c r="D1836" s="4" t="inlineStr">
        <is>
          <t>-</t>
        </is>
      </c>
      <c r="E1836" s="4" t="inlineStr">
        <is>
          <t>4° PAV. APTO GARDEN</t>
        </is>
      </c>
      <c r="F1836" s="119" t="n">
        <v>46798</v>
      </c>
      <c r="G1836" s="119" t="n">
        <v>46808</v>
      </c>
      <c r="H1836" s="119" t="n">
        <v>46293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IF(E1836="","",IF(ISNUMBER(SEARCH("SUBSOLO",E1836)),IFERROR(-VALUE(LEFT(E1836,FIND("º",SUBSTITUTE(E1836,"°","º"))-1)),-1),IF(LEFT(E1836,6)="TÉRREO",0,IFERROR(VALUE(LEFT(E1836,FIND("º",SUBSTITUTE(E1836,"°","º"))-1)),""))))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25210833</v>
      </c>
      <c r="C1837" s="4" t="inlineStr">
        <is>
          <t>LOUÇAS</t>
        </is>
      </c>
      <c r="D1837" s="4" t="inlineStr">
        <is>
          <t>-</t>
        </is>
      </c>
      <c r="E1837" s="4" t="inlineStr">
        <is>
          <t>4° PAV. APTO GARDEN</t>
        </is>
      </c>
      <c r="F1837" s="119" t="n">
        <v>46798</v>
      </c>
      <c r="G1837" s="119" t="n">
        <v>46811</v>
      </c>
      <c r="H1837" s="119" t="n">
        <v>46293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IF(E1837="","",IF(ISNUMBER(SEARCH("SUBSOLO",E1837)),IFERROR(-VALUE(LEFT(E1837,FIND("º",SUBSTITUTE(E1837,"°","º"))-1)),-1),IF(LEFT(E1837,6)="TÉRREO",0,IFERROR(VALUE(LEFT(E1837,FIND("º",SUBSTITUTE(E1837,"°","º"))-1)),""))))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25210836</v>
      </c>
      <c r="C1838" s="4" t="inlineStr">
        <is>
          <t>METAIS</t>
        </is>
      </c>
      <c r="D1838" s="4" t="inlineStr">
        <is>
          <t>-</t>
        </is>
      </c>
      <c r="E1838" s="4" t="inlineStr">
        <is>
          <t>4° PAV. APTO GARDEN</t>
        </is>
      </c>
      <c r="F1838" s="119" t="n">
        <v>46798</v>
      </c>
      <c r="G1838" s="119" t="n">
        <v>46811</v>
      </c>
      <c r="H1838" s="119" t="n">
        <v>46293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IF(E1838="","",IF(ISNUMBER(SEARCH("SUBSOLO",E1838)),IFERROR(-VALUE(LEFT(E1838,FIND("º",SUBSTITUTE(E1838,"°","º"))-1)),-1),IF(LEFT(E1838,6)="TÉRREO",0,IFERROR(VALUE(LEFT(E1838,FIND("º",SUBSTITUTE(E1838,"°","º"))-1)),""))))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25210838</v>
      </c>
      <c r="C1839" s="4" t="inlineStr">
        <is>
          <t>ACABAMENTOS ELÉTRICOS</t>
        </is>
      </c>
      <c r="D1839" s="4" t="inlineStr">
        <is>
          <t>-</t>
        </is>
      </c>
      <c r="E1839" s="4" t="inlineStr">
        <is>
          <t>4° PAV. APTO GARDEN</t>
        </is>
      </c>
      <c r="F1839" s="119" t="n">
        <v>46798</v>
      </c>
      <c r="G1839" s="119" t="n">
        <v>46811</v>
      </c>
      <c r="H1839" s="119" t="n">
        <v>46293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IF(E1839="","",IF(ISNUMBER(SEARCH("SUBSOLO",E1839)),IFERROR(-VALUE(LEFT(E1839,FIND("º",SUBSTITUTE(E1839,"°","º"))-1)),-1),IF(LEFT(E1839,6)="TÉRREO",0,IFERROR(VALUE(LEFT(E1839,FIND("º",SUBSTITUTE(E1839,"°","º"))-1)),""))))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27766411</v>
      </c>
      <c r="C1840" s="4" t="inlineStr">
        <is>
          <t>ACABAMENTOS INCÊNDIO</t>
        </is>
      </c>
      <c r="D1840" s="4" t="inlineStr">
        <is>
          <t>-</t>
        </is>
      </c>
      <c r="E1840" s="4" t="inlineStr">
        <is>
          <t>4° PAV. APTO GARDEN</t>
        </is>
      </c>
      <c r="F1840" s="119" t="n">
        <v>46798</v>
      </c>
      <c r="G1840" s="119" t="n">
        <v>46811</v>
      </c>
      <c r="H1840" s="119" t="n">
        <v>46293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IF(E1840="","",IF(ISNUMBER(SEARCH("SUBSOLO",E1840)),IFERROR(-VALUE(LEFT(E1840,FIND("º",SUBSTITUTE(E1840,"°","º"))-1)),-1),IF(LEFT(E1840,6)="TÉRREO",0,IFERROR(VALUE(LEFT(E1840,FIND("º",SUBSTITUTE(E1840,"°","º"))-1)),""))))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33292463</v>
      </c>
      <c r="C1841" s="4" t="inlineStr">
        <is>
          <t>PAISAGISMO</t>
        </is>
      </c>
      <c r="D1841" s="4" t="inlineStr">
        <is>
          <t>-</t>
        </is>
      </c>
      <c r="E1841" s="4" t="inlineStr">
        <is>
          <t>9º PAV. TIPO</t>
        </is>
      </c>
      <c r="F1841" s="119" t="n">
        <v>46798</v>
      </c>
      <c r="G1841" s="119" t="n">
        <v>46811</v>
      </c>
      <c r="H1841" s="119" t="n">
        <v>46293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IF(E1841="","",IF(ISNUMBER(SEARCH("SUBSOLO",E1841)),IFERROR(-VALUE(LEFT(E1841,FIND("º",SUBSTITUTE(E1841,"°","º"))-1)),-1),IF(LEFT(E1841,6)="TÉRREO",0,IFERROR(VALUE(LEFT(E1841,FIND("º",SUBSTITUTE(E1841,"°","º"))-1)),""))))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25210554</v>
      </c>
      <c r="C1842" s="4" t="inlineStr">
        <is>
          <t>DISJUNTORES / MIOLOS</t>
        </is>
      </c>
      <c r="D1842" s="4" t="inlineStr">
        <is>
          <t>-</t>
        </is>
      </c>
      <c r="E1842" s="4" t="inlineStr">
        <is>
          <t>12º PAV. TIPO</t>
        </is>
      </c>
      <c r="F1842" s="119" t="n">
        <v>46798</v>
      </c>
      <c r="G1842" s="119" t="n">
        <v>46811</v>
      </c>
      <c r="H1842" s="119" t="n">
        <v>46293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IF(E1842="","",IF(ISNUMBER(SEARCH("SUBSOLO",E1842)),IFERROR(-VALUE(LEFT(E1842,FIND("º",SUBSTITUTE(E1842,"°","º"))-1)),-1),IF(LEFT(E1842,6)="TÉRREO",0,IFERROR(VALUE(LEFT(E1842,FIND("º",SUBSTITUTE(E1842,"°","º"))-1)),""))))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25210532</v>
      </c>
      <c r="C1843" s="4" t="inlineStr">
        <is>
          <t>CFTV</t>
        </is>
      </c>
      <c r="D1843" s="4" t="inlineStr">
        <is>
          <t>-</t>
        </is>
      </c>
      <c r="E1843" s="4" t="inlineStr">
        <is>
          <t>12º PAV. TIPO</t>
        </is>
      </c>
      <c r="F1843" s="119" t="n">
        <v>46798</v>
      </c>
      <c r="G1843" s="119" t="n">
        <v>46811</v>
      </c>
      <c r="H1843" s="119" t="n">
        <v>46293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IF(E1843="","",IF(ISNUMBER(SEARCH("SUBSOLO",E1843)),IFERROR(-VALUE(LEFT(E1843,FIND("º",SUBSTITUTE(E1843,"°","º"))-1)),-1),IF(LEFT(E1843,6)="TÉRREO",0,IFERROR(VALUE(LEFT(E1843,FIND("º",SUBSTITUTE(E1843,"°","º"))-1)),""))))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25210481</v>
      </c>
      <c r="C1844" s="4" t="inlineStr">
        <is>
          <t>ESQUADRIA MADEIRA</t>
        </is>
      </c>
      <c r="D1844" s="4" t="inlineStr">
        <is>
          <t>-</t>
        </is>
      </c>
      <c r="E1844" s="4" t="inlineStr">
        <is>
          <t>14º PAV. TIPO</t>
        </is>
      </c>
      <c r="F1844" s="119" t="n">
        <v>46798</v>
      </c>
      <c r="G1844" s="119" t="n">
        <v>46811</v>
      </c>
      <c r="H1844" s="119" t="n">
        <v>46293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IF(E1844="","",IF(ISNUMBER(SEARCH("SUBSOLO",E1844)),IFERROR(-VALUE(LEFT(E1844,FIND("º",SUBSTITUTE(E1844,"°","º"))-1)),-1),IF(LEFT(E1844,6)="TÉRREO",0,IFERROR(VALUE(LEFT(E1844,FIND("º",SUBSTITUTE(E1844,"°","º"))-1)),""))))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33276000</v>
      </c>
      <c r="C1845" s="4" t="inlineStr">
        <is>
          <t>FORRO DE MADEIRA</t>
        </is>
      </c>
      <c r="D1845" s="4" t="inlineStr">
        <is>
          <t>-</t>
        </is>
      </c>
      <c r="E1845" s="4" t="inlineStr">
        <is>
          <t>14º PAV. TIPO</t>
        </is>
      </c>
      <c r="F1845" s="119" t="n">
        <v>46798</v>
      </c>
      <c r="G1845" s="119" t="n">
        <v>46818</v>
      </c>
      <c r="H1845" s="119" t="n">
        <v>46293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IF(E1845="","",IF(ISNUMBER(SEARCH("SUBSOLO",E1845)),IFERROR(-VALUE(LEFT(E1845,FIND("º",SUBSTITUTE(E1845,"°","º"))-1)),-1),IF(LEFT(E1845,6)="TÉRREO",0,IFERROR(VALUE(LEFT(E1845,FIND("º",SUBSTITUTE(E1845,"°","º"))-1)),""))))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25800005</v>
      </c>
      <c r="C1846" s="4" t="inlineStr">
        <is>
          <t>LIMPEZA FINA</t>
        </is>
      </c>
      <c r="D1846" s="4" t="inlineStr">
        <is>
          <t>-</t>
        </is>
      </c>
      <c r="E1846" s="4" t="inlineStr">
        <is>
          <t>3º PAV. - ESPAÇO KIDS E GOURMET, SALÃO DE FESTAS E APOIO, LOBBY PILOTIS</t>
        </is>
      </c>
      <c r="F1846" s="119" t="n">
        <v>46799</v>
      </c>
      <c r="G1846" s="119" t="n">
        <v>46805</v>
      </c>
      <c r="H1846" s="119" t="n">
        <v>46293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IF(E1846="","",IF(ISNUMBER(SEARCH("SUBSOLO",E1846)),IFERROR(-VALUE(LEFT(E1846,FIND("º",SUBSTITUTE(E1846,"°","º"))-1)),-1),IF(LEFT(E1846,6)="TÉRREO",0,IFERROR(VALUE(LEFT(E1846,FIND("º",SUBSTITUTE(E1846,"°","º"))-1)),""))))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25210627</v>
      </c>
      <c r="C1847" s="4" t="inlineStr">
        <is>
          <t>PINTURA 3º DEMÃO</t>
        </is>
      </c>
      <c r="D1847" s="4" t="inlineStr">
        <is>
          <t>-</t>
        </is>
      </c>
      <c r="E1847" s="4" t="inlineStr">
        <is>
          <t>10º PAV. TIPO</t>
        </is>
      </c>
      <c r="F1847" s="119" t="n">
        <v>46799</v>
      </c>
      <c r="G1847" s="119" t="n">
        <v>46812</v>
      </c>
      <c r="H1847" s="119" t="n">
        <v>46293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IF(E1847="","",IF(ISNUMBER(SEARCH("SUBSOLO",E1847)),IFERROR(-VALUE(LEFT(E1847,FIND("º",SUBSTITUTE(E1847,"°","º"))-1)),-1),IF(LEFT(E1847,6)="TÉRREO",0,IFERROR(VALUE(LEFT(E1847,FIND("º",SUBSTITUTE(E1847,"°","º"))-1)),""))))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25799846</v>
      </c>
      <c r="C1848" s="4" t="inlineStr">
        <is>
          <t>CHECKLIST</t>
        </is>
      </c>
      <c r="D1848" s="4" t="inlineStr">
        <is>
          <t>-</t>
        </is>
      </c>
      <c r="E1848" s="4" t="inlineStr">
        <is>
          <t>3º PAV. - BAR PISCINA, VESTIÁRIOS, DEPOSITOS E LOUNGE QUADRAS</t>
        </is>
      </c>
      <c r="F1848" s="119" t="n">
        <v>46800</v>
      </c>
      <c r="G1848" s="119" t="n">
        <v>46813</v>
      </c>
      <c r="H1848" s="119" t="n">
        <v>46293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IF(E1848="","",IF(ISNUMBER(SEARCH("SUBSOLO",E1848)),IFERROR(-VALUE(LEFT(E1848,FIND("º",SUBSTITUTE(E1848,"°","º"))-1)),-1),IF(LEFT(E1848,6)="TÉRREO",0,IFERROR(VALUE(LEFT(E1848,FIND("º",SUBSTITUTE(E1848,"°","º"))-1)),""))))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27766494</v>
      </c>
      <c r="C1849" s="4" t="inlineStr">
        <is>
          <t>COMUNICAÇÃO VISUAL</t>
        </is>
      </c>
      <c r="D1849" s="4" t="inlineStr">
        <is>
          <t>-</t>
        </is>
      </c>
      <c r="E1849" s="4" t="inlineStr">
        <is>
          <t>3º PAV. - ESPAÇO KIDS E GOURMET, SALÃO DE FESTAS E APOIO, LOBBY PILOTIS</t>
        </is>
      </c>
      <c r="F1849" s="119" t="n">
        <v>46804</v>
      </c>
      <c r="G1849" s="119" t="n">
        <v>46808</v>
      </c>
      <c r="H1849" s="119" t="n">
        <v>46293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IF(E1849="","",IF(ISNUMBER(SEARCH("SUBSOLO",E1849)),IFERROR(-VALUE(LEFT(E1849,FIND("º",SUBSTITUTE(E1849,"°","º"))-1)),-1),IF(LEFT(E1849,6)="TÉRREO",0,IFERROR(VALUE(LEFT(E1849,FIND("º",SUBSTITUTE(E1849,"°","º"))-1)),""))))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25210109</v>
      </c>
      <c r="C1850" s="4" t="inlineStr">
        <is>
          <t>BANCADAS</t>
        </is>
      </c>
      <c r="D1850" s="4" t="inlineStr">
        <is>
          <t>-</t>
        </is>
      </c>
      <c r="E1850" s="4" t="inlineStr">
        <is>
          <t>24º PAV. TIPO</t>
        </is>
      </c>
      <c r="F1850" s="119" t="n">
        <v>46804</v>
      </c>
      <c r="G1850" s="119" t="n">
        <v>46815</v>
      </c>
      <c r="H1850" s="119" t="n">
        <v>46293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IF(E1850="","",IF(ISNUMBER(SEARCH("SUBSOLO",E1850)),IFERROR(-VALUE(LEFT(E1850,FIND("º",SUBSTITUTE(E1850,"°","º"))-1)),-1),IF(LEFT(E1850,6)="TÉRREO",0,IFERROR(VALUE(LEFT(E1850,FIND("º",SUBSTITUTE(E1850,"°","º"))-1)),""))))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27765771</v>
      </c>
      <c r="C1851" s="4" t="inlineStr">
        <is>
          <t>DRENO + ATERRO JARDINEIRAS</t>
        </is>
      </c>
      <c r="D1851" s="4" t="inlineStr">
        <is>
          <t>-</t>
        </is>
      </c>
      <c r="E1851" s="4" t="inlineStr">
        <is>
          <t>27º PAV. -  DUPLEX SUPERIOR</t>
        </is>
      </c>
      <c r="F1851" s="119" t="n">
        <v>46804</v>
      </c>
      <c r="G1851" s="119" t="n">
        <v>46814</v>
      </c>
      <c r="H1851" s="119" t="n">
        <v>46293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IF(E1851="","",IF(ISNUMBER(SEARCH("SUBSOLO",E1851)),IFERROR(-VALUE(LEFT(E1851,FIND("º",SUBSTITUTE(E1851,"°","º"))-1)),-1),IF(LEFT(E1851,6)="TÉRREO",0,IFERROR(VALUE(LEFT(E1851,FIND("º",SUBSTITUTE(E1851,"°","º"))-1)),""))))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25210797</v>
      </c>
      <c r="C1852" s="4" t="inlineStr">
        <is>
          <t>PINTURA 2º DEMÃO</t>
        </is>
      </c>
      <c r="D1852" s="4" t="inlineStr">
        <is>
          <t>-</t>
        </is>
      </c>
      <c r="E1852" s="4" t="inlineStr">
        <is>
          <t>5º PAV. TIPO</t>
        </is>
      </c>
      <c r="F1852" s="119" t="n">
        <v>46805</v>
      </c>
      <c r="G1852" s="119" t="n">
        <v>46818</v>
      </c>
      <c r="H1852" s="119" t="n">
        <v>46293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IF(E1852="","",IF(ISNUMBER(SEARCH("SUBSOLO",E1852)),IFERROR(-VALUE(LEFT(E1852,FIND("º",SUBSTITUTE(E1852,"°","º"))-1)),-1),IF(LEFT(E1852,6)="TÉRREO",0,IFERROR(VALUE(LEFT(E1852,FIND("º",SUBSTITUTE(E1852,"°","º"))-1)),""))))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25210492</v>
      </c>
      <c r="C1853" s="4" t="inlineStr">
        <is>
          <t>MASSA CORRIDA</t>
        </is>
      </c>
      <c r="D1853" s="4" t="inlineStr">
        <is>
          <t>-</t>
        </is>
      </c>
      <c r="E1853" s="4" t="inlineStr">
        <is>
          <t>13º PAV. TIPO</t>
        </is>
      </c>
      <c r="F1853" s="119" t="n">
        <v>46805</v>
      </c>
      <c r="G1853" s="119" t="n">
        <v>46813</v>
      </c>
      <c r="H1853" s="119" t="n">
        <v>46293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IF(E1853="","",IF(ISNUMBER(SEARCH("SUBSOLO",E1853)),IFERROR(-VALUE(LEFT(E1853,FIND("º",SUBSTITUTE(E1853,"°","º"))-1)),-1),IF(LEFT(E1853,6)="TÉRREO",0,IFERROR(VALUE(LEFT(E1853,FIND("º",SUBSTITUTE(E1853,"°","º"))-1)),""))))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25210440</v>
      </c>
      <c r="C1854" s="4" t="inlineStr">
        <is>
          <t>PISO MADEIRA / LAMINADO</t>
        </is>
      </c>
      <c r="D1854" s="4" t="inlineStr">
        <is>
          <t>-</t>
        </is>
      </c>
      <c r="E1854" s="4" t="inlineStr">
        <is>
          <t>15º PAV. TIPO</t>
        </is>
      </c>
      <c r="F1854" s="119" t="n">
        <v>46805</v>
      </c>
      <c r="G1854" s="119" t="n">
        <v>46818</v>
      </c>
      <c r="H1854" s="119" t="n">
        <v>46293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IF(E1854="","",IF(ISNUMBER(SEARCH("SUBSOLO",E1854)),IFERROR(-VALUE(LEFT(E1854,FIND("º",SUBSTITUTE(E1854,"°","º"))-1)),-1),IF(LEFT(E1854,6)="TÉRREO",0,IFERROR(VALUE(LEFT(E1854,FIND("º",SUBSTITUTE(E1854,"°","º"))-1)),""))))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9054384</v>
      </c>
      <c r="C1855" s="4" t="inlineStr">
        <is>
          <t>PISO MADEIRA / LAMINADO</t>
        </is>
      </c>
      <c r="D1855" s="4" t="inlineStr">
        <is>
          <t>Regularização de Piso</t>
        </is>
      </c>
      <c r="E1855" s="4" t="inlineStr">
        <is>
          <t>15º PAV. TIPO</t>
        </is>
      </c>
      <c r="F1855" s="119" t="n">
        <v>46805</v>
      </c>
      <c r="G1855" s="119" t="n">
        <v>46811</v>
      </c>
      <c r="H1855" s="119" t="n">
        <v>46293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IF(E1855="","",IF(ISNUMBER(SEARCH("SUBSOLO",E1855)),IFERROR(-VALUE(LEFT(E1855,FIND("º",SUBSTITUTE(E1855,"°","º"))-1)),-1),IF(LEFT(E1855,6)="TÉRREO",0,IFERROR(VALUE(LEFT(E1855,FIND("º",SUBSTITUTE(E1855,"°","º"))-1)),""))))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9054385</v>
      </c>
      <c r="C1856" s="4" t="inlineStr">
        <is>
          <t>PISO MADEIRA / LAMINADO</t>
        </is>
      </c>
      <c r="D1856" s="4" t="inlineStr">
        <is>
          <t>Instalação Piso Madeira</t>
        </is>
      </c>
      <c r="E1856" s="4" t="inlineStr">
        <is>
          <t>15º PAV. TIPO</t>
        </is>
      </c>
      <c r="F1856" s="119" t="n">
        <v>46812</v>
      </c>
      <c r="G1856" s="119" t="n">
        <v>46818</v>
      </c>
      <c r="H1856" s="119" t="n">
        <v>46293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IF(E1856="","",IF(ISNUMBER(SEARCH("SUBSOLO",E1856)),IFERROR(-VALUE(LEFT(E1856,FIND("º",SUBSTITUTE(E1856,"°","º"))-1)),-1),IF(LEFT(E1856,6)="TÉRREO",0,IFERROR(VALUE(LEFT(E1856,FIND("º",SUBSTITUTE(E1856,"°","º"))-1)),""))))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33276126</v>
      </c>
      <c r="C1857" s="4" t="inlineStr">
        <is>
          <t>INFRAESTRUTURA - AR CONDICIONADO</t>
        </is>
      </c>
      <c r="D1857" s="4" t="inlineStr">
        <is>
          <t>-</t>
        </is>
      </c>
      <c r="E1857" s="4" t="inlineStr">
        <is>
          <t>26º PAV. -  DUPLEX INFERIOR</t>
        </is>
      </c>
      <c r="F1857" s="119" t="n">
        <v>46805</v>
      </c>
      <c r="G1857" s="119" t="n">
        <v>46818</v>
      </c>
      <c r="H1857" s="119" t="n">
        <v>46293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IF(E1857="","",IF(ISNUMBER(SEARCH("SUBSOLO",E1857)),IFERROR(-VALUE(LEFT(E1857,FIND("º",SUBSTITUTE(E1857,"°","º"))-1)),-1),IF(LEFT(E1857,6)="TÉRREO",0,IFERROR(VALUE(LEFT(E1857,FIND("º",SUBSTITUTE(E1857,"°","º"))-1)),""))))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33278933</v>
      </c>
      <c r="C1858" s="4" t="inlineStr">
        <is>
          <t>INFRAESTRUTURA ELÉTRICA - PAREDES</t>
        </is>
      </c>
      <c r="D1858" s="4" t="inlineStr">
        <is>
          <t>-</t>
        </is>
      </c>
      <c r="E1858" s="4" t="inlineStr">
        <is>
          <t>26º PAV. -  DUPLEX INFERIOR</t>
        </is>
      </c>
      <c r="F1858" s="119" t="n">
        <v>46805</v>
      </c>
      <c r="G1858" s="119" t="n">
        <v>46815</v>
      </c>
      <c r="H1858" s="119" t="n">
        <v>46293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IF(E1858="","",IF(ISNUMBER(SEARCH("SUBSOLO",E1858)),IFERROR(-VALUE(LEFT(E1858,FIND("º",SUBSTITUTE(E1858,"°","º"))-1)),-1),IF(LEFT(E1858,6)="TÉRREO",0,IFERROR(VALUE(LEFT(E1858,FIND("º",SUBSTITUTE(E1858,"°","º"))-1)),""))))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25800006</v>
      </c>
      <c r="C1859" s="4" t="inlineStr">
        <is>
          <t>CHECKLIST</t>
        </is>
      </c>
      <c r="D1859" s="4" t="inlineStr">
        <is>
          <t>-</t>
        </is>
      </c>
      <c r="E1859" s="4" t="inlineStr">
        <is>
          <t>3º PAV. - ESPAÇO KIDS E GOURMET, SALÃO DE FESTAS E APOIO, LOBBY PILOTIS</t>
        </is>
      </c>
      <c r="F1859" s="119" t="n">
        <v>46806</v>
      </c>
      <c r="G1859" s="119" t="n">
        <v>46812</v>
      </c>
      <c r="H1859" s="119" t="n">
        <v>46293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IF(E1859="","",IF(ISNUMBER(SEARCH("SUBSOLO",E1859)),IFERROR(-VALUE(LEFT(E1859,FIND("º",SUBSTITUTE(E1859,"°","º"))-1)),-1),IF(LEFT(E1859,6)="TÉRREO",0,IFERROR(VALUE(LEFT(E1859,FIND("º",SUBSTITUTE(E1859,"°","º"))-1)),""))))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27770714</v>
      </c>
      <c r="C1860" s="4" t="inlineStr">
        <is>
          <t>SERRALHERIA</t>
        </is>
      </c>
      <c r="D1860" s="4" t="inlineStr">
        <is>
          <t>-</t>
        </is>
      </c>
      <c r="E1860" s="4" t="inlineStr">
        <is>
          <t>11º PAV. TIPO</t>
        </is>
      </c>
      <c r="F1860" s="119" t="n">
        <v>46806</v>
      </c>
      <c r="G1860" s="119" t="n">
        <v>46818</v>
      </c>
      <c r="H1860" s="119" t="n">
        <v>46293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IF(E1860="","",IF(ISNUMBER(SEARCH("SUBSOLO",E1860)),IFERROR(-VALUE(LEFT(E1860,FIND("º",SUBSTITUTE(E1860,"°","º"))-1)),-1),IF(LEFT(E1860,6)="TÉRREO",0,IFERROR(VALUE(LEFT(E1860,FIND("º",SUBSTITUTE(E1860,"°","º"))-1)),""))))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25210588</v>
      </c>
      <c r="C1861" s="4" t="inlineStr">
        <is>
          <t>LOUÇAS</t>
        </is>
      </c>
      <c r="D1861" s="4" t="inlineStr">
        <is>
          <t>-</t>
        </is>
      </c>
      <c r="E1861" s="4" t="inlineStr">
        <is>
          <t>11º PAV. TIPO</t>
        </is>
      </c>
      <c r="F1861" s="119" t="n">
        <v>46806</v>
      </c>
      <c r="G1861" s="119" t="n">
        <v>46819</v>
      </c>
      <c r="H1861" s="119" t="n">
        <v>46293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IF(E1861="","",IF(ISNUMBER(SEARCH("SUBSOLO",E1861)),IFERROR(-VALUE(LEFT(E1861,FIND("º",SUBSTITUTE(E1861,"°","º"))-1)),-1),IF(LEFT(E1861,6)="TÉRREO",0,IFERROR(VALUE(LEFT(E1861,FIND("º",SUBSTITUTE(E1861,"°","º"))-1)),""))))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25210591</v>
      </c>
      <c r="C1862" s="4" t="inlineStr">
        <is>
          <t>METAIS</t>
        </is>
      </c>
      <c r="D1862" s="4" t="inlineStr">
        <is>
          <t>-</t>
        </is>
      </c>
      <c r="E1862" s="4" t="inlineStr">
        <is>
          <t>11º PAV. TIPO</t>
        </is>
      </c>
      <c r="F1862" s="119" t="n">
        <v>46806</v>
      </c>
      <c r="G1862" s="119" t="n">
        <v>46819</v>
      </c>
      <c r="H1862" s="119" t="n">
        <v>46293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IF(E1862="","",IF(ISNUMBER(SEARCH("SUBSOLO",E1862)),IFERROR(-VALUE(LEFT(E1862,FIND("º",SUBSTITUTE(E1862,"°","º"))-1)),-1),IF(LEFT(E1862,6)="TÉRREO",0,IFERROR(VALUE(LEFT(E1862,FIND("º",SUBSTITUTE(E1862,"°","º"))-1)),""))))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25210593</v>
      </c>
      <c r="C1863" s="4" t="inlineStr">
        <is>
          <t>ACABAMENTOS ELÉTRICOS</t>
        </is>
      </c>
      <c r="D1863" s="4" t="inlineStr">
        <is>
          <t>-</t>
        </is>
      </c>
      <c r="E1863" s="4" t="inlineStr">
        <is>
          <t>11º PAV. TIPO</t>
        </is>
      </c>
      <c r="F1863" s="119" t="n">
        <v>46806</v>
      </c>
      <c r="G1863" s="119" t="n">
        <v>46819</v>
      </c>
      <c r="H1863" s="119" t="n">
        <v>46293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IF(E1863="","",IF(ISNUMBER(SEARCH("SUBSOLO",E1863)),IFERROR(-VALUE(LEFT(E1863,FIND("º",SUBSTITUTE(E1863,"°","º"))-1)),-1),IF(LEFT(E1863,6)="TÉRREO",0,IFERROR(VALUE(LEFT(E1863,FIND("º",SUBSTITUTE(E1863,"°","º"))-1)),""))))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27766418</v>
      </c>
      <c r="C1864" s="4" t="inlineStr">
        <is>
          <t>ACABAMENTOS INCÊNDIO</t>
        </is>
      </c>
      <c r="D1864" s="4" t="inlineStr">
        <is>
          <t>-</t>
        </is>
      </c>
      <c r="E1864" s="4" t="inlineStr">
        <is>
          <t>11º PAV. TIPO</t>
        </is>
      </c>
      <c r="F1864" s="119" t="n">
        <v>46806</v>
      </c>
      <c r="G1864" s="119" t="n">
        <v>46819</v>
      </c>
      <c r="H1864" s="119" t="n">
        <v>46293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IF(E1864="","",IF(ISNUMBER(SEARCH("SUBSOLO",E1864)),IFERROR(-VALUE(LEFT(E1864,FIND("º",SUBSTITUTE(E1864,"°","º"))-1)),-1),IF(LEFT(E1864,6)="TÉRREO",0,IFERROR(VALUE(LEFT(E1864,FIND("º",SUBSTITUTE(E1864,"°","º"))-1)),""))))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25210411</v>
      </c>
      <c r="C1865" s="4" t="inlineStr">
        <is>
          <t>ESQUADRIA MADEIRA</t>
        </is>
      </c>
      <c r="D1865" s="4" t="inlineStr">
        <is>
          <t>-</t>
        </is>
      </c>
      <c r="E1865" s="4" t="inlineStr">
        <is>
          <t>16º PAV. TIPO</t>
        </is>
      </c>
      <c r="F1865" s="119" t="n">
        <v>46806</v>
      </c>
      <c r="G1865" s="119" t="n">
        <v>46819</v>
      </c>
      <c r="H1865" s="119" t="n">
        <v>46293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IF(E1865="","",IF(ISNUMBER(SEARCH("SUBSOLO",E1865)),IFERROR(-VALUE(LEFT(E1865,FIND("º",SUBSTITUTE(E1865,"°","º"))-1)),-1),IF(LEFT(E1865,6)="TÉRREO",0,IFERROR(VALUE(LEFT(E1865,FIND("º",SUBSTITUTE(E1865,"°","º"))-1)),""))))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33276002</v>
      </c>
      <c r="C1866" s="4" t="inlineStr">
        <is>
          <t>FORRO DE MADEIRA</t>
        </is>
      </c>
      <c r="D1866" s="4" t="inlineStr">
        <is>
          <t>-</t>
        </is>
      </c>
      <c r="E1866" s="4" t="inlineStr">
        <is>
          <t>16º PAV. TIPO</t>
        </is>
      </c>
      <c r="F1866" s="119" t="n">
        <v>46806</v>
      </c>
      <c r="G1866" s="119" t="n">
        <v>46826</v>
      </c>
      <c r="H1866" s="119" t="n">
        <v>46293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IF(E1866="","",IF(ISNUMBER(SEARCH("SUBSOLO",E1866)),IFERROR(-VALUE(LEFT(E1866,FIND("º",SUBSTITUTE(E1866,"°","º"))-1)),-1),IF(LEFT(E1866,6)="TÉRREO",0,IFERROR(VALUE(LEFT(E1866,FIND("º",SUBSTITUTE(E1866,"°","º"))-1)),""))))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25210213</v>
      </c>
      <c r="C1867" s="4" t="inlineStr">
        <is>
          <t>PINTURA 1º DEMÃO</t>
        </is>
      </c>
      <c r="D1867" s="4" t="inlineStr">
        <is>
          <t>-</t>
        </is>
      </c>
      <c r="E1867" s="4" t="inlineStr">
        <is>
          <t>21º PAV. TIPO</t>
        </is>
      </c>
      <c r="F1867" s="119" t="n">
        <v>46806</v>
      </c>
      <c r="G1867" s="119" t="n">
        <v>46815</v>
      </c>
      <c r="H1867" s="119" t="n">
        <v>46293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IF(E1867="","",IF(ISNUMBER(SEARCH("SUBSOLO",E1867)),IFERROR(-VALUE(LEFT(E1867,FIND("º",SUBSTITUTE(E1867,"°","º"))-1)),-1),IF(LEFT(E1867,6)="TÉRREO",0,IFERROR(VALUE(LEFT(E1867,FIND("º",SUBSTITUTE(E1867,"°","º"))-1)),""))))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25752811</v>
      </c>
      <c r="C1868" s="4" t="inlineStr">
        <is>
          <t>ALVENARIA</t>
        </is>
      </c>
      <c r="D1868" s="4" t="inlineStr">
        <is>
          <t>-</t>
        </is>
      </c>
      <c r="E1868" s="4" t="inlineStr">
        <is>
          <t>TÉRREO - ÁREAS SOCIAIS INTERNAS</t>
        </is>
      </c>
      <c r="F1868" s="119" t="n">
        <v>46808</v>
      </c>
      <c r="G1868" s="119" t="n">
        <v>46814</v>
      </c>
      <c r="H1868" s="119" t="n">
        <v>46293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IF(E1868="","",IF(ISNUMBER(SEARCH("SUBSOLO",E1868)),IFERROR(-VALUE(LEFT(E1868,FIND("º",SUBSTITUTE(E1868,"°","º"))-1)),-1),IF(LEFT(E1868,6)="TÉRREO",0,IFERROR(VALUE(LEFT(E1868,FIND("º",SUBSTITUTE(E1868,"°","º"))-1)),""))))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27770815</v>
      </c>
      <c r="C1869" s="4" t="inlineStr">
        <is>
          <t>SERRALHERIA</t>
        </is>
      </c>
      <c r="D1869" s="4" t="inlineStr">
        <is>
          <t>-</t>
        </is>
      </c>
      <c r="E1869" s="4" t="inlineStr">
        <is>
          <t>2º PAV. GARAGEM.</t>
        </is>
      </c>
      <c r="F1869" s="119" t="n">
        <v>46811</v>
      </c>
      <c r="G1869" s="119" t="n">
        <v>46822</v>
      </c>
      <c r="H1869" s="119" t="n">
        <v>46293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IF(E1869="","",IF(ISNUMBER(SEARCH("SUBSOLO",E1869)),IFERROR(-VALUE(LEFT(E1869,FIND("º",SUBSTITUTE(E1869,"°","º"))-1)),-1),IF(LEFT(E1869,6)="TÉRREO",0,IFERROR(VALUE(LEFT(E1869,FIND("º",SUBSTITUTE(E1869,"°","º"))-1)),""))))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25752775</v>
      </c>
      <c r="C1870" s="4" t="inlineStr">
        <is>
          <t>LIMPEZA GROSSA</t>
        </is>
      </c>
      <c r="D1870" s="4" t="inlineStr">
        <is>
          <t>-</t>
        </is>
      </c>
      <c r="E1870" s="4" t="inlineStr">
        <is>
          <t>2º PAV. GARAGEM.</t>
        </is>
      </c>
      <c r="F1870" s="119" t="n">
        <v>46811</v>
      </c>
      <c r="G1870" s="119" t="n">
        <v>46822</v>
      </c>
      <c r="H1870" s="119" t="n">
        <v>46293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IF(E1870="","",IF(ISNUMBER(SEARCH("SUBSOLO",E1870)),IFERROR(-VALUE(LEFT(E1870,FIND("º",SUBSTITUTE(E1870,"°","º"))-1)),-1),IF(LEFT(E1870,6)="TÉRREO",0,IFERROR(VALUE(LEFT(E1870,FIND("º",SUBSTITUTE(E1870,"°","º"))-1)),""))))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25210095</v>
      </c>
      <c r="C1871" s="4" t="inlineStr">
        <is>
          <t>REVESTIMENTOS PISO</t>
        </is>
      </c>
      <c r="D1871" s="4" t="inlineStr">
        <is>
          <t>-</t>
        </is>
      </c>
      <c r="E1871" s="4" t="inlineStr">
        <is>
          <t>25º PAV. TIPO</t>
        </is>
      </c>
      <c r="F1871" s="119" t="n">
        <v>46811</v>
      </c>
      <c r="G1871" s="119" t="n">
        <v>46822</v>
      </c>
      <c r="H1871" s="119" t="n">
        <v>46293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IF(E1871="","",IF(ISNUMBER(SEARCH("SUBSOLO",E1871)),IFERROR(-VALUE(LEFT(E1871,FIND("º",SUBSTITUTE(E1871,"°","º"))-1)),-1),IF(LEFT(E1871,6)="TÉRREO",0,IFERROR(VALUE(LEFT(E1871,FIND("º",SUBSTITUTE(E1871,"°","º"))-1)),""))))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25210837</v>
      </c>
      <c r="C1872" s="4" t="inlineStr">
        <is>
          <t>PINTURA 3º DEMÃO</t>
        </is>
      </c>
      <c r="D1872" s="4" t="inlineStr">
        <is>
          <t>-</t>
        </is>
      </c>
      <c r="E1872" s="4" t="inlineStr">
        <is>
          <t>4° PAV. APTO GARDEN</t>
        </is>
      </c>
      <c r="F1872" s="119" t="n">
        <v>46812</v>
      </c>
      <c r="G1872" s="119" t="n">
        <v>46825</v>
      </c>
      <c r="H1872" s="119" t="n">
        <v>46293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IF(E1872="","",IF(ISNUMBER(SEARCH("SUBSOLO",E1872)),IFERROR(-VALUE(LEFT(E1872,FIND("º",SUBSTITUTE(E1872,"°","º"))-1)),-1),IF(LEFT(E1872,6)="TÉRREO",0,IFERROR(VALUE(LEFT(E1872,FIND("º",SUBSTITUTE(E1872,"°","º"))-1)),""))))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25210695</v>
      </c>
      <c r="C1873" s="4" t="inlineStr">
        <is>
          <t>LIMPEZA GROSSA</t>
        </is>
      </c>
      <c r="D1873" s="4" t="inlineStr">
        <is>
          <t>-</t>
        </is>
      </c>
      <c r="E1873" s="4" t="inlineStr">
        <is>
          <t>8º PAV. TIPO</t>
        </is>
      </c>
      <c r="F1873" s="119" t="n">
        <v>46812</v>
      </c>
      <c r="G1873" s="119" t="n">
        <v>46825</v>
      </c>
      <c r="H1873" s="119" t="n">
        <v>46293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IF(E1873="","",IF(ISNUMBER(SEARCH("SUBSOLO",E1873)),IFERROR(-VALUE(LEFT(E1873,FIND("º",SUBSTITUTE(E1873,"°","º"))-1)),-1),IF(LEFT(E1873,6)="TÉRREO",0,IFERROR(VALUE(LEFT(E1873,FIND("º",SUBSTITUTE(E1873,"°","º"))-1)),""))))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33276133</v>
      </c>
      <c r="C1874" s="4" t="inlineStr">
        <is>
          <t>TRATAMENTO DE GRANITO/MÁRMORE</t>
        </is>
      </c>
      <c r="D1874" s="4" t="inlineStr">
        <is>
          <t>-</t>
        </is>
      </c>
      <c r="E1874" s="4" t="inlineStr">
        <is>
          <t>9º PAV. TIPO</t>
        </is>
      </c>
      <c r="F1874" s="119" t="n">
        <v>46812</v>
      </c>
      <c r="G1874" s="119" t="n">
        <v>46832</v>
      </c>
      <c r="H1874" s="119" t="n">
        <v>46293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IF(E1874="","",IF(ISNUMBER(SEARCH("SUBSOLO",E1874)),IFERROR(-VALUE(LEFT(E1874,FIND("º",SUBSTITUTE(E1874,"°","º"))-1)),-1),IF(LEFT(E1874,6)="TÉRREO",0,IFERROR(VALUE(LEFT(E1874,FIND("º",SUBSTITUTE(E1874,"°","º"))-1)),""))))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33292466</v>
      </c>
      <c r="C1875" s="4" t="inlineStr">
        <is>
          <t>PAISAGISMO</t>
        </is>
      </c>
      <c r="D1875" s="4" t="inlineStr">
        <is>
          <t>-</t>
        </is>
      </c>
      <c r="E1875" s="4" t="inlineStr">
        <is>
          <t>12º PAV. TIPO</t>
        </is>
      </c>
      <c r="F1875" s="119" t="n">
        <v>46812</v>
      </c>
      <c r="G1875" s="119" t="n">
        <v>46825</v>
      </c>
      <c r="H1875" s="119" t="n">
        <v>46293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IF(E1875="","",IF(ISNUMBER(SEARCH("SUBSOLO",E1875)),IFERROR(-VALUE(LEFT(E1875,FIND("º",SUBSTITUTE(E1875,"°","º"))-1)),-1),IF(LEFT(E1875,6)="TÉRREO",0,IFERROR(VALUE(LEFT(E1875,FIND("º",SUBSTITUTE(E1875,"°","º"))-1)),""))))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25210461</v>
      </c>
      <c r="C1876" s="4" t="inlineStr">
        <is>
          <t>RODAPÉ MADEIRA / PVC</t>
        </is>
      </c>
      <c r="D1876" s="4" t="inlineStr">
        <is>
          <t>-</t>
        </is>
      </c>
      <c r="E1876" s="4" t="inlineStr">
        <is>
          <t>14º PAV. TIPO</t>
        </is>
      </c>
      <c r="F1876" s="119" t="n">
        <v>46812</v>
      </c>
      <c r="G1876" s="119" t="n">
        <v>46825</v>
      </c>
      <c r="H1876" s="119" t="n">
        <v>46293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IF(E1876="","",IF(ISNUMBER(SEARCH("SUBSOLO",E1876)),IFERROR(-VALUE(LEFT(E1876,FIND("º",SUBSTITUTE(E1876,"°","º"))-1)),-1),IF(LEFT(E1876,6)="TÉRREO",0,IFERROR(VALUE(LEFT(E1876,FIND("º",SUBSTITUTE(E1876,"°","º"))-1)),""))))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25210629</v>
      </c>
      <c r="C1877" s="4" t="inlineStr">
        <is>
          <t>LIMPEZA FINA</t>
        </is>
      </c>
      <c r="D1877" s="4" t="inlineStr">
        <is>
          <t>-</t>
        </is>
      </c>
      <c r="E1877" s="4" t="inlineStr">
        <is>
          <t>10º PAV. TIPO</t>
        </is>
      </c>
      <c r="F1877" s="119" t="n">
        <v>46813</v>
      </c>
      <c r="G1877" s="119" t="n">
        <v>46826</v>
      </c>
      <c r="H1877" s="119" t="n">
        <v>46293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IF(E1877="","",IF(ISNUMBER(SEARCH("SUBSOLO",E1877)),IFERROR(-VALUE(LEFT(E1877,FIND("º",SUBSTITUTE(E1877,"°","º"))-1)),-1),IF(LEFT(E1877,6)="TÉRREO",0,IFERROR(VALUE(LEFT(E1877,FIND("º",SUBSTITUTE(E1877,"°","º"))-1)),""))))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25210370</v>
      </c>
      <c r="C1878" s="4" t="inlineStr">
        <is>
          <t>PISO MADEIRA / LAMINADO</t>
        </is>
      </c>
      <c r="D1878" s="4" t="inlineStr">
        <is>
          <t>-</t>
        </is>
      </c>
      <c r="E1878" s="4" t="inlineStr">
        <is>
          <t>17º PAV. TIPO</t>
        </is>
      </c>
      <c r="F1878" s="119" t="n">
        <v>46813</v>
      </c>
      <c r="G1878" s="119" t="n">
        <v>46826</v>
      </c>
      <c r="H1878" s="119" t="n">
        <v>46293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IF(E1878="","",IF(ISNUMBER(SEARCH("SUBSOLO",E1878)),IFERROR(-VALUE(LEFT(E1878,FIND("º",SUBSTITUTE(E1878,"°","º"))-1)),-1),IF(LEFT(E1878,6)="TÉRREO",0,IFERROR(VALUE(LEFT(E1878,FIND("º",SUBSTITUTE(E1878,"°","º"))-1)),""))))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9054380</v>
      </c>
      <c r="C1879" s="4" t="inlineStr">
        <is>
          <t>PISO MADEIRA / LAMINADO</t>
        </is>
      </c>
      <c r="D1879" s="4" t="inlineStr">
        <is>
          <t>Regularização de Piso</t>
        </is>
      </c>
      <c r="E1879" s="4" t="inlineStr">
        <is>
          <t>17º PAV. TIPO</t>
        </is>
      </c>
      <c r="F1879" s="119" t="n">
        <v>46813</v>
      </c>
      <c r="G1879" s="119" t="n">
        <v>46819</v>
      </c>
      <c r="H1879" s="119" t="n">
        <v>46293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IF(E1879="","",IF(ISNUMBER(SEARCH("SUBSOLO",E1879)),IFERROR(-VALUE(LEFT(E1879,FIND("º",SUBSTITUTE(E1879,"°","º"))-1)),-1),IF(LEFT(E1879,6)="TÉRREO",0,IFERROR(VALUE(LEFT(E1879,FIND("º",SUBSTITUTE(E1879,"°","º"))-1)),""))))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9054381</v>
      </c>
      <c r="C1880" s="4" t="inlineStr">
        <is>
          <t>PISO MADEIRA / LAMINADO</t>
        </is>
      </c>
      <c r="D1880" s="4" t="inlineStr">
        <is>
          <t>Instalação Piso Madeira</t>
        </is>
      </c>
      <c r="E1880" s="4" t="inlineStr">
        <is>
          <t>17º PAV. TIPO</t>
        </is>
      </c>
      <c r="F1880" s="119" t="n">
        <v>46820</v>
      </c>
      <c r="G1880" s="119" t="n">
        <v>46826</v>
      </c>
      <c r="H1880" s="119" t="n">
        <v>46293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IF(E1880="","",IF(ISNUMBER(SEARCH("SUBSOLO",E1880)),IFERROR(-VALUE(LEFT(E1880,FIND("º",SUBSTITUTE(E1880,"°","º"))-1)),-1),IF(LEFT(E1880,6)="TÉRREO",0,IFERROR(VALUE(LEFT(E1880,FIND("º",SUBSTITUTE(E1880,"°","º"))-1)),""))))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25210339</v>
      </c>
      <c r="C1881" s="4" t="inlineStr">
        <is>
          <t>ESQUADRIA</t>
        </is>
      </c>
      <c r="D1881" s="4" t="inlineStr">
        <is>
          <t>-</t>
        </is>
      </c>
      <c r="E1881" s="4" t="inlineStr">
        <is>
          <t>18º PAV. TIPO</t>
        </is>
      </c>
      <c r="F1881" s="119" t="n">
        <v>46813</v>
      </c>
      <c r="G1881" s="119" t="n">
        <v>46833</v>
      </c>
      <c r="H1881" s="119" t="n">
        <v>46293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IF(E1881="","",IF(ISNUMBER(SEARCH("SUBSOLO",E1881)),IFERROR(-VALUE(LEFT(E1881,FIND("º",SUBSTITUTE(E1881,"°","º"))-1)),-1),IF(LEFT(E1881,6)="TÉRREO",0,IFERROR(VALUE(LEFT(E1881,FIND("º",SUBSTITUTE(E1881,"°","º"))-1)),""))))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27766501</v>
      </c>
      <c r="C1882" s="4" t="inlineStr">
        <is>
          <t>COMUNICAÇÃO VISUAL</t>
        </is>
      </c>
      <c r="D1882" s="4" t="inlineStr">
        <is>
          <t>-</t>
        </is>
      </c>
      <c r="E1882" s="4" t="inlineStr">
        <is>
          <t>10º PAV. TIPO</t>
        </is>
      </c>
      <c r="F1882" s="119" t="n">
        <v>46814</v>
      </c>
      <c r="G1882" s="119" t="n">
        <v>46820</v>
      </c>
      <c r="H1882" s="119" t="n">
        <v>46293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IF(E1882="","",IF(ISNUMBER(SEARCH("SUBSOLO",E1882)),IFERROR(-VALUE(LEFT(E1882,FIND("º",SUBSTITUTE(E1882,"°","º"))-1)),-1),IF(LEFT(E1882,6)="TÉRREO",0,IFERROR(VALUE(LEFT(E1882,FIND("º",SUBSTITUTE(E1882,"°","º"))-1)),""))))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25210493</v>
      </c>
      <c r="C1883" s="4" t="inlineStr">
        <is>
          <t>PINTURA 1º DEMÃO</t>
        </is>
      </c>
      <c r="D1883" s="4" t="inlineStr">
        <is>
          <t>-</t>
        </is>
      </c>
      <c r="E1883" s="4" t="inlineStr">
        <is>
          <t>13º PAV. TIPO</t>
        </is>
      </c>
      <c r="F1883" s="119" t="n">
        <v>46814</v>
      </c>
      <c r="G1883" s="119" t="n">
        <v>46825</v>
      </c>
      <c r="H1883" s="119" t="n">
        <v>46293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IF(E1883="","",IF(ISNUMBER(SEARCH("SUBSOLO",E1883)),IFERROR(-VALUE(LEFT(E1883,FIND("º",SUBSTITUTE(E1883,"°","º"))-1)),-1),IF(LEFT(E1883,6)="TÉRREO",0,IFERROR(VALUE(LEFT(E1883,FIND("º",SUBSTITUTE(E1883,"°","º"))-1)),""))))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25752812</v>
      </c>
      <c r="C1884" s="4" t="inlineStr">
        <is>
          <t>INSTALAÇÕES ELÉTRICAS</t>
        </is>
      </c>
      <c r="D1884" s="4" t="inlineStr">
        <is>
          <t>-</t>
        </is>
      </c>
      <c r="E1884" s="4" t="inlineStr">
        <is>
          <t>TÉRREO - ÁREAS SOCIAIS INTERNAS</t>
        </is>
      </c>
      <c r="F1884" s="119" t="n">
        <v>46815</v>
      </c>
      <c r="G1884" s="119" t="n">
        <v>46828</v>
      </c>
      <c r="H1884" s="119" t="n">
        <v>46293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IF(E1884="","",IF(ISNUMBER(SEARCH("SUBSOLO",E1884)),IFERROR(-VALUE(LEFT(E1884,FIND("º",SUBSTITUTE(E1884,"°","º"))-1)),-1),IF(LEFT(E1884,6)="TÉRREO",0,IFERROR(VALUE(LEFT(E1884,FIND("º",SUBSTITUTE(E1884,"°","º"))-1)),""))))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25752813</v>
      </c>
      <c r="C1885" s="4" t="inlineStr">
        <is>
          <t>INSTALAÇÕES HIDRÁULICAS</t>
        </is>
      </c>
      <c r="D1885" s="4" t="inlineStr">
        <is>
          <t>-</t>
        </is>
      </c>
      <c r="E1885" s="4" t="inlineStr">
        <is>
          <t>TÉRREO - ÁREAS SOCIAIS INTERNAS</t>
        </is>
      </c>
      <c r="F1885" s="119" t="n">
        <v>46815</v>
      </c>
      <c r="G1885" s="119" t="n">
        <v>46828</v>
      </c>
      <c r="H1885" s="119" t="n">
        <v>46293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IF(E1885="","",IF(ISNUMBER(SEARCH("SUBSOLO",E1885)),IFERROR(-VALUE(LEFT(E1885,FIND("º",SUBSTITUTE(E1885,"°","º"))-1)),-1),IF(LEFT(E1885,6)="TÉRREO",0,IFERROR(VALUE(LEFT(E1885,FIND("º",SUBSTITUTE(E1885,"°","º"))-1)),""))))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25755051</v>
      </c>
      <c r="C1886" s="4" t="inlineStr">
        <is>
          <t>ACABAMENTOS ELÉTRICOS</t>
        </is>
      </c>
      <c r="D1886" s="4" t="inlineStr">
        <is>
          <t>-</t>
        </is>
      </c>
      <c r="E1886" s="4" t="inlineStr">
        <is>
          <t>TÉRREO - CUL DE SAC / ENTRADA EMPREENDIMENTO</t>
        </is>
      </c>
      <c r="F1886" s="119" t="n">
        <v>46815</v>
      </c>
      <c r="G1886" s="119" t="n">
        <v>46846</v>
      </c>
      <c r="H1886" s="119" t="n">
        <v>46293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IF(E1886="","",IF(ISNUMBER(SEARCH("SUBSOLO",E1886)),IFERROR(-VALUE(LEFT(E1886,FIND("º",SUBSTITUTE(E1886,"°","º"))-1)),-1),IF(LEFT(E1886,6)="TÉRREO",0,IFERROR(VALUE(LEFT(E1886,FIND("º",SUBSTITUTE(E1886,"°","º"))-1)),""))))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27766400</v>
      </c>
      <c r="C1887" s="4" t="inlineStr">
        <is>
          <t>ACABAMENTOS INCÊNDIO</t>
        </is>
      </c>
      <c r="D1887" s="4" t="inlineStr">
        <is>
          <t>-</t>
        </is>
      </c>
      <c r="E1887" s="4" t="inlineStr">
        <is>
          <t>TÉRREO - CUL DE SAC / ENTRADA EMPREENDIMENTO</t>
        </is>
      </c>
      <c r="F1887" s="119" t="n">
        <v>46815</v>
      </c>
      <c r="G1887" s="119" t="n">
        <v>46827</v>
      </c>
      <c r="H1887" s="119" t="n">
        <v>46293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IF(E1887="","",IF(ISNUMBER(SEARCH("SUBSOLO",E1887)),IFERROR(-VALUE(LEFT(E1887,FIND("º",SUBSTITUTE(E1887,"°","º"))-1)),-1),IF(LEFT(E1887,6)="TÉRREO",0,IFERROR(VALUE(LEFT(E1887,FIND("º",SUBSTITUTE(E1887,"°","º"))-1)),""))))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25753174</v>
      </c>
      <c r="C1888" s="4" t="inlineStr">
        <is>
          <t>CARREGADOR VEICULAR / PORTA BOX</t>
        </is>
      </c>
      <c r="D1888" s="4" t="inlineStr">
        <is>
          <t>-</t>
        </is>
      </c>
      <c r="E1888" s="4" t="inlineStr">
        <is>
          <t>TÉRREO - GARAGENS</t>
        </is>
      </c>
      <c r="F1888" s="119" t="n">
        <v>46818</v>
      </c>
      <c r="G1888" s="119" t="n">
        <v>46829</v>
      </c>
      <c r="H1888" s="119" t="n">
        <v>46293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IF(E1888="","",IF(ISNUMBER(SEARCH("SUBSOLO",E1888)),IFERROR(-VALUE(LEFT(E1888,FIND("º",SUBSTITUTE(E1888,"°","º"))-1)),-1),IF(LEFT(E1888,6)="TÉRREO",0,IFERROR(VALUE(LEFT(E1888,FIND("º",SUBSTITUTE(E1888,"°","º"))-1)),""))))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25210177</v>
      </c>
      <c r="C1889" s="4" t="inlineStr">
        <is>
          <t>MASSA CORRIDA</t>
        </is>
      </c>
      <c r="D1889" s="4" t="inlineStr">
        <is>
          <t>-</t>
        </is>
      </c>
      <c r="E1889" s="4" t="inlineStr">
        <is>
          <t>22º PAV. TIPO</t>
        </is>
      </c>
      <c r="F1889" s="119" t="n">
        <v>46818</v>
      </c>
      <c r="G1889" s="119" t="n">
        <v>46826</v>
      </c>
      <c r="H1889" s="119" t="n">
        <v>46293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IF(E1889="","",IF(ISNUMBER(SEARCH("SUBSOLO",E1889)),IFERROR(-VALUE(LEFT(E1889,FIND("º",SUBSTITUTE(E1889,"°","º"))-1)),-1),IF(LEFT(E1889,6)="TÉRREO",0,IFERROR(VALUE(LEFT(E1889,FIND("º",SUBSTITUTE(E1889,"°","º"))-1)),""))))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25210163</v>
      </c>
      <c r="C1890" s="4" t="inlineStr">
        <is>
          <t>FORRO</t>
        </is>
      </c>
      <c r="D1890" s="4" t="inlineStr">
        <is>
          <t>-</t>
        </is>
      </c>
      <c r="E1890" s="4" t="inlineStr">
        <is>
          <t>23º PAV. TIPO</t>
        </is>
      </c>
      <c r="F1890" s="119" t="n">
        <v>46818</v>
      </c>
      <c r="G1890" s="119" t="n">
        <v>46836</v>
      </c>
      <c r="H1890" s="119" t="n">
        <v>46293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IF(E1890="","",IF(ISNUMBER(SEARCH("SUBSOLO",E1890)),IFERROR(-VALUE(LEFT(E1890,FIND("º",SUBSTITUTE(E1890,"°","º"))-1)),-1),IF(LEFT(E1890,6)="TÉRREO",0,IFERROR(VALUE(LEFT(E1890,FIND("º",SUBSTITUTE(E1890,"°","º"))-1)),""))))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25210110</v>
      </c>
      <c r="C1891" s="4" t="inlineStr">
        <is>
          <t>FIAÇÃO ELÉTRICA</t>
        </is>
      </c>
      <c r="D1891" s="4" t="inlineStr">
        <is>
          <t>-</t>
        </is>
      </c>
      <c r="E1891" s="4" t="inlineStr">
        <is>
          <t>24º PAV. TIPO</t>
        </is>
      </c>
      <c r="F1891" s="119" t="n">
        <v>46818</v>
      </c>
      <c r="G1891" s="119" t="n">
        <v>46836</v>
      </c>
      <c r="H1891" s="119" t="n">
        <v>46293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IF(E1891="","",IF(ISNUMBER(SEARCH("SUBSOLO",E1891)),IFERROR(-VALUE(LEFT(E1891,FIND("º",SUBSTITUTE(E1891,"°","º"))-1)),-1),IF(LEFT(E1891,6)="TÉRREO",0,IFERROR(VALUE(LEFT(E1891,FIND("º",SUBSTITUTE(E1891,"°","º"))-1)),""))))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25210141</v>
      </c>
      <c r="C1892" s="4" t="inlineStr">
        <is>
          <t>VENTILAÇÃO / EXAUSTÃO</t>
        </is>
      </c>
      <c r="D1892" s="4" t="inlineStr">
        <is>
          <t>-</t>
        </is>
      </c>
      <c r="E1892" s="4" t="inlineStr">
        <is>
          <t>24º PAV. TIPO</t>
        </is>
      </c>
      <c r="F1892" s="119" t="n">
        <v>46818</v>
      </c>
      <c r="G1892" s="119" t="n">
        <v>46822</v>
      </c>
      <c r="H1892" s="119" t="n">
        <v>46293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IF(E1892="","",IF(ISNUMBER(SEARCH("SUBSOLO",E1892)),IFERROR(-VALUE(LEFT(E1892,FIND("º",SUBSTITUTE(E1892,"°","º"))-1)),-1),IF(LEFT(E1892,6)="TÉRREO",0,IFERROR(VALUE(LEFT(E1892,FIND("º",SUBSTITUTE(E1892,"°","º"))-1)),""))))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25210046</v>
      </c>
      <c r="C1893" s="4" t="inlineStr">
        <is>
          <t>REVESTIMENTO PAREDE</t>
        </is>
      </c>
      <c r="D1893" s="4" t="inlineStr">
        <is>
          <t>-</t>
        </is>
      </c>
      <c r="E1893" s="4" t="inlineStr">
        <is>
          <t>26º PAV. -  DUPLEX INFERIOR</t>
        </is>
      </c>
      <c r="F1893" s="119" t="n">
        <v>46818</v>
      </c>
      <c r="G1893" s="119" t="n">
        <v>46829</v>
      </c>
      <c r="H1893" s="119" t="n">
        <v>46293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IF(E1893="","",IF(ISNUMBER(SEARCH("SUBSOLO",E1893)),IFERROR(-VALUE(LEFT(E1893,FIND("º",SUBSTITUTE(E1893,"°","º"))-1)),-1),IF(LEFT(E1893,6)="TÉRREO",0,IFERROR(VALUE(LEFT(E1893,FIND("º",SUBSTITUTE(E1893,"°","º"))-1)),""))))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33278934</v>
      </c>
      <c r="C1894" s="4" t="inlineStr">
        <is>
          <t>INFRAESTRUTURA ELÉTRICA - PAREDES</t>
        </is>
      </c>
      <c r="D1894" s="4" t="inlineStr">
        <is>
          <t>-</t>
        </is>
      </c>
      <c r="E1894" s="4" t="inlineStr">
        <is>
          <t>27º PAV. -  DUPLEX SUPERIOR</t>
        </is>
      </c>
      <c r="F1894" s="119" t="n">
        <v>46818</v>
      </c>
      <c r="G1894" s="119" t="n">
        <v>46828</v>
      </c>
      <c r="H1894" s="119" t="n">
        <v>46293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IF(E1894="","",IF(ISNUMBER(SEARCH("SUBSOLO",E1894)),IFERROR(-VALUE(LEFT(E1894,FIND("º",SUBSTITUTE(E1894,"°","º"))-1)),-1),IF(LEFT(E1894,6)="TÉRREO",0,IFERROR(VALUE(LEFT(E1894,FIND("º",SUBSTITUTE(E1894,"°","º"))-1)),""))))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25802131</v>
      </c>
      <c r="C1895" s="4" t="inlineStr">
        <is>
          <t>HABITE-SE</t>
        </is>
      </c>
      <c r="D1895" s="4" t="inlineStr">
        <is>
          <t>-</t>
        </is>
      </c>
      <c r="E1895" s="4" t="inlineStr">
        <is>
          <t>GERAL</t>
        </is>
      </c>
      <c r="F1895" s="119" t="n">
        <v>46819</v>
      </c>
      <c r="G1895" s="119" t="n">
        <v>46867</v>
      </c>
      <c r="H1895" s="119" t="n">
        <v>46293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27770708</v>
      </c>
      <c r="C1896" s="4" t="inlineStr">
        <is>
          <t>SERRALHERIA</t>
        </is>
      </c>
      <c r="D1896" s="4" t="inlineStr">
        <is>
          <t>-</t>
        </is>
      </c>
      <c r="E1896" s="4" t="inlineStr">
        <is>
          <t>5º PAV. TIPO</t>
        </is>
      </c>
      <c r="F1896" s="119" t="n">
        <v>46819</v>
      </c>
      <c r="G1896" s="119" t="n">
        <v>46829</v>
      </c>
      <c r="H1896" s="119" t="n">
        <v>46293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IF(E1896="","",IF(ISNUMBER(SEARCH("SUBSOLO",E1896)),IFERROR(-VALUE(LEFT(E1896,FIND("º",SUBSTITUTE(E1896,"°","º"))-1)),-1),IF(LEFT(E1896,6)="TÉRREO",0,IFERROR(VALUE(LEFT(E1896,FIND("º",SUBSTITUTE(E1896,"°","º"))-1)),""))))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25210798</v>
      </c>
      <c r="C1897" s="4" t="inlineStr">
        <is>
          <t>LOUÇAS</t>
        </is>
      </c>
      <c r="D1897" s="4" t="inlineStr">
        <is>
          <t>-</t>
        </is>
      </c>
      <c r="E1897" s="4" t="inlineStr">
        <is>
          <t>5º PAV. TIPO</t>
        </is>
      </c>
      <c r="F1897" s="119" t="n">
        <v>46819</v>
      </c>
      <c r="G1897" s="119" t="n">
        <v>46832</v>
      </c>
      <c r="H1897" s="119" t="n">
        <v>46293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IF(E1897="","",IF(ISNUMBER(SEARCH("SUBSOLO",E1897)),IFERROR(-VALUE(LEFT(E1897,FIND("º",SUBSTITUTE(E1897,"°","º"))-1)),-1),IF(LEFT(E1897,6)="TÉRREO",0,IFERROR(VALUE(LEFT(E1897,FIND("º",SUBSTITUTE(E1897,"°","º"))-1)),""))))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25210801</v>
      </c>
      <c r="C1898" s="4" t="inlineStr">
        <is>
          <t>METAIS</t>
        </is>
      </c>
      <c r="D1898" s="4" t="inlineStr">
        <is>
          <t>-</t>
        </is>
      </c>
      <c r="E1898" s="4" t="inlineStr">
        <is>
          <t>5º PAV. TIPO</t>
        </is>
      </c>
      <c r="F1898" s="119" t="n">
        <v>46819</v>
      </c>
      <c r="G1898" s="119" t="n">
        <v>46832</v>
      </c>
      <c r="H1898" s="119" t="n">
        <v>46293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IF(E1898="","",IF(ISNUMBER(SEARCH("SUBSOLO",E1898)),IFERROR(-VALUE(LEFT(E1898,FIND("º",SUBSTITUTE(E1898,"°","º"))-1)),-1),IF(LEFT(E1898,6)="TÉRREO",0,IFERROR(VALUE(LEFT(E1898,FIND("º",SUBSTITUTE(E1898,"°","º"))-1)),""))))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25210803</v>
      </c>
      <c r="C1899" s="4" t="inlineStr">
        <is>
          <t>ACABAMENTOS ELÉTRICOS</t>
        </is>
      </c>
      <c r="D1899" s="4" t="inlineStr">
        <is>
          <t>-</t>
        </is>
      </c>
      <c r="E1899" s="4" t="inlineStr">
        <is>
          <t>5º PAV. TIPO</t>
        </is>
      </c>
      <c r="F1899" s="119" t="n">
        <v>46819</v>
      </c>
      <c r="G1899" s="119" t="n">
        <v>46832</v>
      </c>
      <c r="H1899" s="119" t="n">
        <v>46293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IF(E1899="","",IF(ISNUMBER(SEARCH("SUBSOLO",E1899)),IFERROR(-VALUE(LEFT(E1899,FIND("º",SUBSTITUTE(E1899,"°","º"))-1)),-1),IF(LEFT(E1899,6)="TÉRREO",0,IFERROR(VALUE(LEFT(E1899,FIND("º",SUBSTITUTE(E1899,"°","º"))-1)),""))))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27766412</v>
      </c>
      <c r="C1900" s="4" t="inlineStr">
        <is>
          <t>ACABAMENTOS INCÊNDIO</t>
        </is>
      </c>
      <c r="D1900" s="4" t="inlineStr">
        <is>
          <t>-</t>
        </is>
      </c>
      <c r="E1900" s="4" t="inlineStr">
        <is>
          <t>5º PAV. TIPO</t>
        </is>
      </c>
      <c r="F1900" s="119" t="n">
        <v>46819</v>
      </c>
      <c r="G1900" s="119" t="n">
        <v>46832</v>
      </c>
      <c r="H1900" s="119" t="n">
        <v>46293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IF(E1900="","",IF(ISNUMBER(SEARCH("SUBSOLO",E1900)),IFERROR(-VALUE(LEFT(E1900,FIND("º",SUBSTITUTE(E1900,"°","º"))-1)),-1),IF(LEFT(E1900,6)="TÉRREO",0,IFERROR(VALUE(LEFT(E1900,FIND("º",SUBSTITUTE(E1900,"°","º"))-1)),""))))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25210446</v>
      </c>
      <c r="C1901" s="4" t="inlineStr">
        <is>
          <t>ESQUADRIA MADEIRA</t>
        </is>
      </c>
      <c r="D1901" s="4" t="inlineStr">
        <is>
          <t>-</t>
        </is>
      </c>
      <c r="E1901" s="4" t="inlineStr">
        <is>
          <t>15º PAV. TIPO</t>
        </is>
      </c>
      <c r="F1901" s="119" t="n">
        <v>46819</v>
      </c>
      <c r="G1901" s="119" t="n">
        <v>46832</v>
      </c>
      <c r="H1901" s="119" t="n">
        <v>46293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IF(E1901="","",IF(ISNUMBER(SEARCH("SUBSOLO",E1901)),IFERROR(-VALUE(LEFT(E1901,FIND("º",SUBSTITUTE(E1901,"°","º"))-1)),-1),IF(LEFT(E1901,6)="TÉRREO",0,IFERROR(VALUE(LEFT(E1901,FIND("º",SUBSTITUTE(E1901,"°","º"))-1)),""))))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33276001</v>
      </c>
      <c r="C1902" s="4" t="inlineStr">
        <is>
          <t>FORRO DE MADEIRA</t>
        </is>
      </c>
      <c r="D1902" s="4" t="inlineStr">
        <is>
          <t>-</t>
        </is>
      </c>
      <c r="E1902" s="4" t="inlineStr">
        <is>
          <t>15º PAV. TIPO</t>
        </is>
      </c>
      <c r="F1902" s="119" t="n">
        <v>46819</v>
      </c>
      <c r="G1902" s="119" t="n">
        <v>46839</v>
      </c>
      <c r="H1902" s="119" t="n">
        <v>46293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IF(E1902="","",IF(ISNUMBER(SEARCH("SUBSOLO",E1902)),IFERROR(-VALUE(LEFT(E1902,FIND("º",SUBSTITUTE(E1902,"°","º"))-1)),-1),IF(LEFT(E1902,6)="TÉRREO",0,IFERROR(VALUE(LEFT(E1902,FIND("º",SUBSTITUTE(E1902,"°","º"))-1)),""))))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33276127</v>
      </c>
      <c r="C1903" s="4" t="inlineStr">
        <is>
          <t>INFRAESTRUTURA - AR CONDICIONADO</t>
        </is>
      </c>
      <c r="D1903" s="4" t="inlineStr">
        <is>
          <t>-</t>
        </is>
      </c>
      <c r="E1903" s="4" t="inlineStr">
        <is>
          <t>27º PAV. -  DUPLEX SUPERIOR</t>
        </is>
      </c>
      <c r="F1903" s="119" t="n">
        <v>46819</v>
      </c>
      <c r="G1903" s="119" t="n">
        <v>46832</v>
      </c>
      <c r="H1903" s="119" t="n">
        <v>46293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IF(E1903="","",IF(ISNUMBER(SEARCH("SUBSOLO",E1903)),IFERROR(-VALUE(LEFT(E1903,FIND("º",SUBSTITUTE(E1903,"°","º"))-1)),-1),IF(LEFT(E1903,6)="TÉRREO",0,IFERROR(VALUE(LEFT(E1903,FIND("º",SUBSTITUTE(E1903,"°","º"))-1)),""))))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25210592</v>
      </c>
      <c r="C1904" s="4" t="inlineStr">
        <is>
          <t>PINTURA 3º DEMÃO</t>
        </is>
      </c>
      <c r="D1904" s="4" t="inlineStr">
        <is>
          <t>-</t>
        </is>
      </c>
      <c r="E1904" s="4" t="inlineStr">
        <is>
          <t>11º PAV. TIPO</t>
        </is>
      </c>
      <c r="F1904" s="119" t="n">
        <v>46820</v>
      </c>
      <c r="G1904" s="119" t="n">
        <v>46833</v>
      </c>
      <c r="H1904" s="119" t="n">
        <v>46293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IF(E1904="","",IF(ISNUMBER(SEARCH("SUBSOLO",E1904)),IFERROR(-VALUE(LEFT(E1904,FIND("º",SUBSTITUTE(E1904,"°","º"))-1)),-1),IF(LEFT(E1904,6)="TÉRREO",0,IFERROR(VALUE(LEFT(E1904,FIND("º",SUBSTITUTE(E1904,"°","º"))-1)),""))))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25210391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16º PAV. TIPO</t>
        </is>
      </c>
      <c r="F1905" s="119" t="n">
        <v>46820</v>
      </c>
      <c r="G1905" s="119" t="n">
        <v>46833</v>
      </c>
      <c r="H1905" s="119" t="n">
        <v>46293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IF(E1905="","",IF(ISNUMBER(SEARCH("SUBSOLO",E1905)),IFERROR(-VALUE(LEFT(E1905,FIND("º",SUBSTITUTE(E1905,"°","º"))-1)),-1),IF(LEFT(E1905,6)="TÉRREO",0,IFERROR(VALUE(LEFT(E1905,FIND("º",SUBSTITUTE(E1905,"°","º"))-1)),""))))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27770958</v>
      </c>
      <c r="C1906" s="4" t="inlineStr">
        <is>
          <t>SERRALHERIA</t>
        </is>
      </c>
      <c r="D1906" s="4" t="inlineStr">
        <is>
          <t>-</t>
        </is>
      </c>
      <c r="E1906" s="4" t="inlineStr">
        <is>
          <t>TÉRREO - GARAGENS</t>
        </is>
      </c>
      <c r="F1906" s="119" t="n">
        <v>46825</v>
      </c>
      <c r="G1906" s="119" t="n">
        <v>46836</v>
      </c>
      <c r="H1906" s="119" t="n">
        <v>46293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IF(E1906="","",IF(ISNUMBER(SEARCH("SUBSOLO",E1906)),IFERROR(-VALUE(LEFT(E1906,FIND("º",SUBSTITUTE(E1906,"°","º"))-1)),-1),IF(LEFT(E1906,6)="TÉRREO",0,IFERROR(VALUE(LEFT(E1906,FIND("º",SUBSTITUTE(E1906,"°","º"))-1)),""))))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25752776</v>
      </c>
      <c r="C1907" s="4" t="inlineStr">
        <is>
          <t>PINTURA 2º DEMÃO</t>
        </is>
      </c>
      <c r="D1907" s="4" t="inlineStr">
        <is>
          <t>-</t>
        </is>
      </c>
      <c r="E1907" s="4" t="inlineStr">
        <is>
          <t>2º PAV. GARAGEM.</t>
        </is>
      </c>
      <c r="F1907" s="119" t="n">
        <v>46825</v>
      </c>
      <c r="G1907" s="119" t="n">
        <v>46836</v>
      </c>
      <c r="H1907" s="119" t="n">
        <v>46293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IF(E1907="","",IF(ISNUMBER(SEARCH("SUBSOLO",E1907)),IFERROR(-VALUE(LEFT(E1907,FIND("º",SUBSTITUTE(E1907,"°","º"))-1)),-1),IF(LEFT(E1907,6)="TÉRREO",0,IFERROR(VALUE(LEFT(E1907,FIND("º",SUBSTITUTE(E1907,"°","º"))-1)),""))))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25210074</v>
      </c>
      <c r="C1908" s="4" t="inlineStr">
        <is>
          <t>BANCADAS</t>
        </is>
      </c>
      <c r="D1908" s="4" t="inlineStr">
        <is>
          <t>-</t>
        </is>
      </c>
      <c r="E1908" s="4" t="inlineStr">
        <is>
          <t>25º PAV. TIPO</t>
        </is>
      </c>
      <c r="F1908" s="119" t="n">
        <v>46825</v>
      </c>
      <c r="G1908" s="119" t="n">
        <v>46836</v>
      </c>
      <c r="H1908" s="119" t="n">
        <v>46293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IF(E1908="","",IF(ISNUMBER(SEARCH("SUBSOLO",E1908)),IFERROR(-VALUE(LEFT(E1908,FIND("º",SUBSTITUTE(E1908,"°","º"))-1)),-1),IF(LEFT(E1908,6)="TÉRREO",0,IFERROR(VALUE(LEFT(E1908,FIND("º",SUBSTITUTE(E1908,"°","º"))-1)),""))))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25210839</v>
      </c>
      <c r="C1909" s="4" t="inlineStr">
        <is>
          <t>LIMPEZA FINA</t>
        </is>
      </c>
      <c r="D1909" s="4" t="inlineStr">
        <is>
          <t>-</t>
        </is>
      </c>
      <c r="E1909" s="4" t="inlineStr">
        <is>
          <t>4° PAV. APTO GARDEN</t>
        </is>
      </c>
      <c r="F1909" s="119" t="n">
        <v>46826</v>
      </c>
      <c r="G1909" s="119" t="n">
        <v>46839</v>
      </c>
      <c r="H1909" s="119" t="n">
        <v>46293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IF(E1909="","",IF(ISNUMBER(SEARCH("SUBSOLO",E1909)),IFERROR(-VALUE(LEFT(E1909,FIND("º",SUBSTITUTE(E1909,"°","º"))-1)),-1),IF(LEFT(E1909,6)="TÉRREO",0,IFERROR(VALUE(LEFT(E1909,FIND("º",SUBSTITUTE(E1909,"°","º"))-1)),""))))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25210692</v>
      </c>
      <c r="C1910" s="4" t="inlineStr">
        <is>
          <t>PINTURA 2º DEMÃO</t>
        </is>
      </c>
      <c r="D1910" s="4" t="inlineStr">
        <is>
          <t>-</t>
        </is>
      </c>
      <c r="E1910" s="4" t="inlineStr">
        <is>
          <t>8º PAV. TIPO</t>
        </is>
      </c>
      <c r="F1910" s="119" t="n">
        <v>46826</v>
      </c>
      <c r="G1910" s="119" t="n">
        <v>46839</v>
      </c>
      <c r="H1910" s="119" t="n">
        <v>46293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IF(E1910="","",IF(ISNUMBER(SEARCH("SUBSOLO",E1910)),IFERROR(-VALUE(LEFT(E1910,FIND("º",SUBSTITUTE(E1910,"°","º"))-1)),-1),IF(LEFT(E1910,6)="TÉRREO",0,IFERROR(VALUE(LEFT(E1910,FIND("º",SUBSTITUTE(E1910,"°","º"))-1)),""))))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33276136</v>
      </c>
      <c r="C1911" s="4" t="inlineStr">
        <is>
          <t>TRATAMENTO DE GRANITO/MÁRMORE</t>
        </is>
      </c>
      <c r="D1911" s="4" t="inlineStr">
        <is>
          <t>-</t>
        </is>
      </c>
      <c r="E1911" s="4" t="inlineStr">
        <is>
          <t>12º PAV. TIPO</t>
        </is>
      </c>
      <c r="F1911" s="119" t="n">
        <v>46826</v>
      </c>
      <c r="G1911" s="119" t="n">
        <v>46846</v>
      </c>
      <c r="H1911" s="119" t="n">
        <v>46293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IF(E1911="","",IF(ISNUMBER(SEARCH("SUBSOLO",E1911)),IFERROR(-VALUE(LEFT(E1911,FIND("º",SUBSTITUTE(E1911,"°","º"))-1)),-1),IF(LEFT(E1911,6)="TÉRREO",0,IFERROR(VALUE(LEFT(E1911,FIND("º",SUBSTITUTE(E1911,"°","º"))-1)),""))))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25210510</v>
      </c>
      <c r="C1912" s="4" t="inlineStr">
        <is>
          <t>PISO MADEIRA / LAMINADO</t>
        </is>
      </c>
      <c r="D1912" s="4" t="inlineStr">
        <is>
          <t>-</t>
        </is>
      </c>
      <c r="E1912" s="4" t="inlineStr">
        <is>
          <t>13º PAV. TIPO</t>
        </is>
      </c>
      <c r="F1912" s="119" t="n">
        <v>46826</v>
      </c>
      <c r="G1912" s="119" t="n">
        <v>46839</v>
      </c>
      <c r="H1912" s="119" t="n">
        <v>46293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IF(E1912="","",IF(ISNUMBER(SEARCH("SUBSOLO",E1912)),IFERROR(-VALUE(LEFT(E1912,FIND("º",SUBSTITUTE(E1912,"°","º"))-1)),-1),IF(LEFT(E1912,6)="TÉRREO",0,IFERROR(VALUE(LEFT(E1912,FIND("º",SUBSTITUTE(E1912,"°","º"))-1)),""))))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9054388</v>
      </c>
      <c r="C1913" s="4" t="inlineStr">
        <is>
          <t>PISO MADEIRA / LAMINADO</t>
        </is>
      </c>
      <c r="D1913" s="4" t="inlineStr">
        <is>
          <t>Regularização de Piso</t>
        </is>
      </c>
      <c r="E1913" s="4" t="inlineStr">
        <is>
          <t>13º PAV. TIPO</t>
        </is>
      </c>
      <c r="F1913" s="119" t="n">
        <v>46826</v>
      </c>
      <c r="G1913" s="119" t="n">
        <v>46832</v>
      </c>
      <c r="H1913" s="119" t="n">
        <v>46293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IF(E1913="","",IF(ISNUMBER(SEARCH("SUBSOLO",E1913)),IFERROR(-VALUE(LEFT(E1913,FIND("º",SUBSTITUTE(E1913,"°","º"))-1)),-1),IF(LEFT(E1913,6)="TÉRREO",0,IFERROR(VALUE(LEFT(E1913,FIND("º",SUBSTITUTE(E1913,"°","º"))-1)),""))))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9054389</v>
      </c>
      <c r="C1914" s="4" t="inlineStr">
        <is>
          <t>PISO MADEIRA / LAMINADO</t>
        </is>
      </c>
      <c r="D1914" s="4" t="inlineStr">
        <is>
          <t>Instalação Piso Madeira</t>
        </is>
      </c>
      <c r="E1914" s="4" t="inlineStr">
        <is>
          <t>13º PAV. TIPO</t>
        </is>
      </c>
      <c r="F1914" s="119" t="n">
        <v>46833</v>
      </c>
      <c r="G1914" s="119" t="n">
        <v>46839</v>
      </c>
      <c r="H1914" s="119" t="n">
        <v>46293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IF(E1914="","",IF(ISNUMBER(SEARCH("SUBSOLO",E1914)),IFERROR(-VALUE(LEFT(E1914,FIND("º",SUBSTITUTE(E1914,"°","º"))-1)),-1),IF(LEFT(E1914,6)="TÉRREO",0,IFERROR(VALUE(LEFT(E1914,FIND("º",SUBSTITUTE(E1914,"°","º"))-1)),""))))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25210484</v>
      </c>
      <c r="C1915" s="4" t="inlineStr">
        <is>
          <t>DISJUNTORES / MIOLOS</t>
        </is>
      </c>
      <c r="D1915" s="4" t="inlineStr">
        <is>
          <t>-</t>
        </is>
      </c>
      <c r="E1915" s="4" t="inlineStr">
        <is>
          <t>14º PAV. TIPO</t>
        </is>
      </c>
      <c r="F1915" s="119" t="n">
        <v>46826</v>
      </c>
      <c r="G1915" s="119" t="n">
        <v>46839</v>
      </c>
      <c r="H1915" s="119" t="n">
        <v>46293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IF(E1915="","",IF(ISNUMBER(SEARCH("SUBSOLO",E1915)),IFERROR(-VALUE(LEFT(E1915,FIND("º",SUBSTITUTE(E1915,"°","º"))-1)),-1),IF(LEFT(E1915,6)="TÉRREO",0,IFERROR(VALUE(LEFT(E1915,FIND("º",SUBSTITUTE(E1915,"°","º"))-1)),""))))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25210462</v>
      </c>
      <c r="C1916" s="4" t="inlineStr">
        <is>
          <t>CFTV</t>
        </is>
      </c>
      <c r="D1916" s="4" t="inlineStr">
        <is>
          <t>-</t>
        </is>
      </c>
      <c r="E1916" s="4" t="inlineStr">
        <is>
          <t>14º PAV. TIPO</t>
        </is>
      </c>
      <c r="F1916" s="119" t="n">
        <v>46826</v>
      </c>
      <c r="G1916" s="119" t="n">
        <v>46839</v>
      </c>
      <c r="H1916" s="119" t="n">
        <v>46293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IF(E1916="","",IF(ISNUMBER(SEARCH("SUBSOLO",E1916)),IFERROR(-VALUE(LEFT(E1916,FIND("º",SUBSTITUTE(E1916,"°","º"))-1)),-1),IF(LEFT(E1916,6)="TÉRREO",0,IFERROR(VALUE(LEFT(E1916,FIND("º",SUBSTITUTE(E1916,"°","º"))-1)),""))))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27766495</v>
      </c>
      <c r="C1917" s="4" t="inlineStr">
        <is>
          <t>COMUNICAÇÃO VISUAL</t>
        </is>
      </c>
      <c r="D1917" s="4" t="inlineStr">
        <is>
          <t>-</t>
        </is>
      </c>
      <c r="E1917" s="4" t="inlineStr">
        <is>
          <t>4° PAV. APTO GARDEN</t>
        </is>
      </c>
      <c r="F1917" s="119" t="n">
        <v>46827</v>
      </c>
      <c r="G1917" s="119" t="n">
        <v>46833</v>
      </c>
      <c r="H1917" s="119" t="n">
        <v>46293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IF(E1917="","",IF(ISNUMBER(SEARCH("SUBSOLO",E1917)),IFERROR(-VALUE(LEFT(E1917,FIND("º",SUBSTITUTE(E1917,"°","º"))-1)),-1),IF(LEFT(E1917,6)="TÉRREO",0,IFERROR(VALUE(LEFT(E1917,FIND("º",SUBSTITUTE(E1917,"°","º"))-1)),""))))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25210630</v>
      </c>
      <c r="C1918" s="4" t="inlineStr">
        <is>
          <t>CHECKLIST</t>
        </is>
      </c>
      <c r="D1918" s="4" t="inlineStr">
        <is>
          <t>-</t>
        </is>
      </c>
      <c r="E1918" s="4" t="inlineStr">
        <is>
          <t>10º PAV. TIPO</t>
        </is>
      </c>
      <c r="F1918" s="119" t="n">
        <v>46827</v>
      </c>
      <c r="G1918" s="119" t="n">
        <v>46835</v>
      </c>
      <c r="H1918" s="119" t="n">
        <v>46293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IF(E1918="","",IF(ISNUMBER(SEARCH("SUBSOLO",E1918)),IFERROR(-VALUE(LEFT(E1918,FIND("º",SUBSTITUTE(E1918,"°","º"))-1)),-1),IF(LEFT(E1918,6)="TÉRREO",0,IFERROR(VALUE(LEFT(E1918,FIND("º",SUBSTITUTE(E1918,"°","º"))-1)),""))))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25210376</v>
      </c>
      <c r="C1919" s="4" t="inlineStr">
        <is>
          <t>ESQUADRIA MADEIRA</t>
        </is>
      </c>
      <c r="D1919" s="4" t="inlineStr">
        <is>
          <t>-</t>
        </is>
      </c>
      <c r="E1919" s="4" t="inlineStr">
        <is>
          <t>17º PAV. TIPO</t>
        </is>
      </c>
      <c r="F1919" s="119" t="n">
        <v>46827</v>
      </c>
      <c r="G1919" s="119" t="n">
        <v>46840</v>
      </c>
      <c r="H1919" s="119" t="n">
        <v>46293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IF(E1919="","",IF(ISNUMBER(SEARCH("SUBSOLO",E1919)),IFERROR(-VALUE(LEFT(E1919,FIND("º",SUBSTITUTE(E1919,"°","º"))-1)),-1),IF(LEFT(E1919,6)="TÉRREO",0,IFERROR(VALUE(LEFT(E1919,FIND("º",SUBSTITUTE(E1919,"°","º"))-1)),""))))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33276003</v>
      </c>
      <c r="C1920" s="4" t="inlineStr">
        <is>
          <t>FORRO DE MADEIRA</t>
        </is>
      </c>
      <c r="D1920" s="4" t="inlineStr">
        <is>
          <t>-</t>
        </is>
      </c>
      <c r="E1920" s="4" t="inlineStr">
        <is>
          <t>17º PAV. TIPO</t>
        </is>
      </c>
      <c r="F1920" s="119" t="n">
        <v>46827</v>
      </c>
      <c r="G1920" s="119" t="n">
        <v>46847</v>
      </c>
      <c r="H1920" s="119" t="n">
        <v>46293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IF(E1920="","",IF(ISNUMBER(SEARCH("SUBSOLO",E1920)),IFERROR(-VALUE(LEFT(E1920,FIND("º",SUBSTITUTE(E1920,"°","º"))-1)),-1),IF(LEFT(E1920,6)="TÉRREO",0,IFERROR(VALUE(LEFT(E1920,FIND("º",SUBSTITUTE(E1920,"°","º"))-1)),""))))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25210178</v>
      </c>
      <c r="C1921" s="4" t="inlineStr">
        <is>
          <t>PINTURA 1º DEMÃO</t>
        </is>
      </c>
      <c r="D1921" s="4" t="inlineStr">
        <is>
          <t>-</t>
        </is>
      </c>
      <c r="E1921" s="4" t="inlineStr">
        <is>
          <t>22º PAV. TIPO</t>
        </is>
      </c>
      <c r="F1921" s="119" t="n">
        <v>46827</v>
      </c>
      <c r="G1921" s="119" t="n">
        <v>46836</v>
      </c>
      <c r="H1921" s="119" t="n">
        <v>46293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IF(E1921="","",IF(ISNUMBER(SEARCH("SUBSOLO",E1921)),IFERROR(-VALUE(LEFT(E1921,FIND("º",SUBSTITUTE(E1921,"°","º"))-1)),-1),IF(LEFT(E1921,6)="TÉRREO",0,IFERROR(VALUE(LEFT(E1921,FIND("º",SUBSTITUTE(E1921,"°","º"))-1)),""))))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25806764</v>
      </c>
      <c r="C1922" s="4" t="inlineStr">
        <is>
          <t>AVCB</t>
        </is>
      </c>
      <c r="D1922" s="4" t="inlineStr">
        <is>
          <t>-</t>
        </is>
      </c>
      <c r="E1922" s="4" t="inlineStr">
        <is>
          <t>GERAL</t>
        </is>
      </c>
      <c r="F1922" s="119" t="n">
        <v>46829</v>
      </c>
      <c r="G1922" s="119" t="n">
        <v>46867</v>
      </c>
      <c r="H1922" s="119" t="n">
        <v>46293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IF(E1922="","",IF(ISNUMBER(SEARCH("SUBSOLO",E1922)),IFERROR(-VALUE(LEFT(E1922,FIND("º",SUBSTITUTE(E1922,"°","º"))-1)),-1),IF(LEFT(E1922,6)="TÉRREO",0,IFERROR(VALUE(LEFT(E1922,FIND("º",SUBSTITUTE(E1922,"°","º"))-1)),""))))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25752814</v>
      </c>
      <c r="C1923" s="4" t="inlineStr">
        <is>
          <t>REBOCO INTERNO</t>
        </is>
      </c>
      <c r="D1923" s="4" t="inlineStr">
        <is>
          <t>-</t>
        </is>
      </c>
      <c r="E1923" s="4" t="inlineStr">
        <is>
          <t>TÉRREO - ÁREAS SOCIAIS INTERNAS</t>
        </is>
      </c>
      <c r="F1923" s="119" t="n">
        <v>46829</v>
      </c>
      <c r="G1923" s="119" t="n">
        <v>46842</v>
      </c>
      <c r="H1923" s="119" t="n">
        <v>46293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IF(E1923="","",IF(ISNUMBER(SEARCH("SUBSOLO",E1923)),IFERROR(-VALUE(LEFT(E1923,FIND("º",SUBSTITUTE(E1923,"°","º"))-1)),-1),IF(LEFT(E1923,6)="TÉRREO",0,IFERROR(VALUE(LEFT(E1923,FIND("º",SUBSTITUTE(E1923,"°","º"))-1)),""))))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25799807</v>
      </c>
      <c r="C1924" s="4" t="inlineStr">
        <is>
          <t>LIMPEZA FACHADA</t>
        </is>
      </c>
      <c r="D1924" s="4" t="inlineStr">
        <is>
          <t>-</t>
        </is>
      </c>
      <c r="E1924" s="4" t="inlineStr">
        <is>
          <t>FACHADA</t>
        </is>
      </c>
      <c r="F1924" s="119" t="n">
        <v>46832</v>
      </c>
      <c r="G1924" s="119" t="n">
        <v>46896</v>
      </c>
      <c r="H1924" s="119" t="n">
        <v>46293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25210802</v>
      </c>
      <c r="C1925" s="4" t="inlineStr">
        <is>
          <t>PINTURA 3º DEMÃO</t>
        </is>
      </c>
      <c r="D1925" s="4" t="inlineStr">
        <is>
          <t>-</t>
        </is>
      </c>
      <c r="E1925" s="4" t="inlineStr">
        <is>
          <t>5º PAV. TIPO</t>
        </is>
      </c>
      <c r="F1925" s="119" t="n">
        <v>46833</v>
      </c>
      <c r="G1925" s="119" t="n">
        <v>46846</v>
      </c>
      <c r="H1925" s="119" t="n">
        <v>46293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IF(E1925="","",IF(ISNUMBER(SEARCH("SUBSOLO",E1925)),IFERROR(-VALUE(LEFT(E1925,FIND("º",SUBSTITUTE(E1925,"°","º"))-1)),-1),IF(LEFT(E1925,6)="TÉRREO",0,IFERROR(VALUE(LEFT(E1925,FIND("º",SUBSTITUTE(E1925,"°","º"))-1)),""))))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25210660</v>
      </c>
      <c r="C1926" s="4" t="inlineStr">
        <is>
          <t>LIMPEZA GROSSA</t>
        </is>
      </c>
      <c r="D1926" s="4" t="inlineStr">
        <is>
          <t>-</t>
        </is>
      </c>
      <c r="E1926" s="4" t="inlineStr">
        <is>
          <t>9º PAV. TIPO</t>
        </is>
      </c>
      <c r="F1926" s="119" t="n">
        <v>46833</v>
      </c>
      <c r="G1926" s="119" t="n">
        <v>46846</v>
      </c>
      <c r="H1926" s="119" t="n">
        <v>46293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IF(E1926="","",IF(ISNUMBER(SEARCH("SUBSOLO",E1926)),IFERROR(-VALUE(LEFT(E1926,FIND("º",SUBSTITUTE(E1926,"°","º"))-1)),-1),IF(LEFT(E1926,6)="TÉRREO",0,IFERROR(VALUE(LEFT(E1926,FIND("º",SUBSTITUTE(E1926,"°","º"))-1)),""))))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25210426</v>
      </c>
      <c r="C1927" s="4" t="inlineStr">
        <is>
          <t>RODAPÉ MADEIRA / PVC</t>
        </is>
      </c>
      <c r="D1927" s="4" t="inlineStr">
        <is>
          <t>-</t>
        </is>
      </c>
      <c r="E1927" s="4" t="inlineStr">
        <is>
          <t>15º PAV. TIPO</t>
        </is>
      </c>
      <c r="F1927" s="119" t="n">
        <v>46833</v>
      </c>
      <c r="G1927" s="119" t="n">
        <v>46846</v>
      </c>
      <c r="H1927" s="119" t="n">
        <v>46293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IF(E1927="","",IF(ISNUMBER(SEARCH("SUBSOLO",E1927)),IFERROR(-VALUE(LEFT(E1927,FIND("º",SUBSTITUTE(E1927,"°","º"))-1)),-1),IF(LEFT(E1927,6)="TÉRREO",0,IFERROR(VALUE(LEFT(E1927,FIND("º",SUBSTITUTE(E1927,"°","º"))-1)),""))))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25210594</v>
      </c>
      <c r="C1928" s="4" t="inlineStr">
        <is>
          <t>LIMPEZA FINA</t>
        </is>
      </c>
      <c r="D1928" s="4" t="inlineStr">
        <is>
          <t>-</t>
        </is>
      </c>
      <c r="E1928" s="4" t="inlineStr">
        <is>
          <t>11º PAV. TIPO</t>
        </is>
      </c>
      <c r="F1928" s="119" t="n">
        <v>46834</v>
      </c>
      <c r="G1928" s="119" t="n">
        <v>46847</v>
      </c>
      <c r="H1928" s="119" t="n">
        <v>46293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IF(E1928="","",IF(ISNUMBER(SEARCH("SUBSOLO",E1928)),IFERROR(-VALUE(LEFT(E1928,FIND("º",SUBSTITUTE(E1928,"°","º"))-1)),-1),IF(LEFT(E1928,6)="TÉRREO",0,IFERROR(VALUE(LEFT(E1928,FIND("º",SUBSTITUTE(E1928,"°","º"))-1)),""))))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25210414</v>
      </c>
      <c r="C1929" s="4" t="inlineStr">
        <is>
          <t>DISJUNTORES / MIOLOS</t>
        </is>
      </c>
      <c r="D1929" s="4" t="inlineStr">
        <is>
          <t>-</t>
        </is>
      </c>
      <c r="E1929" s="4" t="inlineStr">
        <is>
          <t>16º PAV. TIPO</t>
        </is>
      </c>
      <c r="F1929" s="119" t="n">
        <v>46834</v>
      </c>
      <c r="G1929" s="119" t="n">
        <v>46847</v>
      </c>
      <c r="H1929" s="119" t="n">
        <v>46293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IF(E1929="","",IF(ISNUMBER(SEARCH("SUBSOLO",E1929)),IFERROR(-VALUE(LEFT(E1929,FIND("º",SUBSTITUTE(E1929,"°","º"))-1)),-1),IF(LEFT(E1929,6)="TÉRREO",0,IFERROR(VALUE(LEFT(E1929,FIND("º",SUBSTITUTE(E1929,"°","º"))-1)),""))))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25210392</v>
      </c>
      <c r="C1930" s="4" t="inlineStr">
        <is>
          <t>CFTV</t>
        </is>
      </c>
      <c r="D1930" s="4" t="inlineStr">
        <is>
          <t>-</t>
        </is>
      </c>
      <c r="E1930" s="4" t="inlineStr">
        <is>
          <t>16º PAV. TIPO</t>
        </is>
      </c>
      <c r="F1930" s="119" t="n">
        <v>46834</v>
      </c>
      <c r="G1930" s="119" t="n">
        <v>46847</v>
      </c>
      <c r="H1930" s="119" t="n">
        <v>46293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IF(E1930="","",IF(ISNUMBER(SEARCH("SUBSOLO",E1930)),IFERROR(-VALUE(LEFT(E1930,FIND("º",SUBSTITUTE(E1930,"°","º"))-1)),-1),IF(LEFT(E1930,6)="TÉRREO",0,IFERROR(VALUE(LEFT(E1930,FIND("º",SUBSTITUTE(E1930,"°","º"))-1)),""))))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25210335</v>
      </c>
      <c r="C1931" s="4" t="inlineStr">
        <is>
          <t>PISO MADEIRA / LAMINADO</t>
        </is>
      </c>
      <c r="D1931" s="4" t="inlineStr">
        <is>
          <t>-</t>
        </is>
      </c>
      <c r="E1931" s="4" t="inlineStr">
        <is>
          <t>18º PAV. TIPO</t>
        </is>
      </c>
      <c r="F1931" s="119" t="n">
        <v>46834</v>
      </c>
      <c r="G1931" s="119" t="n">
        <v>46847</v>
      </c>
      <c r="H1931" s="119" t="n">
        <v>46293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IF(E1931="","",IF(ISNUMBER(SEARCH("SUBSOLO",E1931)),IFERROR(-VALUE(LEFT(E1931,FIND("º",SUBSTITUTE(E1931,"°","º"))-1)),-1),IF(LEFT(E1931,6)="TÉRREO",0,IFERROR(VALUE(LEFT(E1931,FIND("º",SUBSTITUTE(E1931,"°","º"))-1)),""))))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9054378</v>
      </c>
      <c r="C1932" s="4" t="inlineStr">
        <is>
          <t>PISO MADEIRA / LAMINADO</t>
        </is>
      </c>
      <c r="D1932" s="4" t="inlineStr">
        <is>
          <t>Regularização de Piso</t>
        </is>
      </c>
      <c r="E1932" s="4" t="inlineStr">
        <is>
          <t>18º PAV. TIPO</t>
        </is>
      </c>
      <c r="F1932" s="119" t="n">
        <v>46834</v>
      </c>
      <c r="G1932" s="119" t="n">
        <v>46840</v>
      </c>
      <c r="H1932" s="119" t="n">
        <v>46293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IF(E1932="","",IF(ISNUMBER(SEARCH("SUBSOLO",E1932)),IFERROR(-VALUE(LEFT(E1932,FIND("º",SUBSTITUTE(E1932,"°","º"))-1)),-1),IF(LEFT(E1932,6)="TÉRREO",0,IFERROR(VALUE(LEFT(E1932,FIND("º",SUBSTITUTE(E1932,"°","º"))-1)),""))))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9054379</v>
      </c>
      <c r="C1933" s="4" t="inlineStr">
        <is>
          <t>PISO MADEIRA / LAMINADO</t>
        </is>
      </c>
      <c r="D1933" s="4" t="inlineStr">
        <is>
          <t>Instalação Piso Madeira</t>
        </is>
      </c>
      <c r="E1933" s="4" t="inlineStr">
        <is>
          <t>18º PAV. TIPO</t>
        </is>
      </c>
      <c r="F1933" s="119" t="n">
        <v>46841</v>
      </c>
      <c r="G1933" s="119" t="n">
        <v>46847</v>
      </c>
      <c r="H1933" s="119" t="n">
        <v>46293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IF(E1933="","",IF(ISNUMBER(SEARCH("SUBSOLO",E1933)),IFERROR(-VALUE(LEFT(E1933,FIND("º",SUBSTITUTE(E1933,"°","º"))-1)),-1),IF(LEFT(E1933,6)="TÉRREO",0,IFERROR(VALUE(LEFT(E1933,FIND("º",SUBSTITUTE(E1933,"°","º"))-1)),""))))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25210304</v>
      </c>
      <c r="C1934" s="4" t="inlineStr">
        <is>
          <t>ESQUADRIA</t>
        </is>
      </c>
      <c r="D1934" s="4" t="inlineStr">
        <is>
          <t>-</t>
        </is>
      </c>
      <c r="E1934" s="4" t="inlineStr">
        <is>
          <t>19º PAV. TIPO</t>
        </is>
      </c>
      <c r="F1934" s="119" t="n">
        <v>46834</v>
      </c>
      <c r="G1934" s="119" t="n">
        <v>46854</v>
      </c>
      <c r="H1934" s="119" t="n">
        <v>46293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IF(E1934="","",IF(ISNUMBER(SEARCH("SUBSOLO",E1934)),IFERROR(-VALUE(LEFT(E1934,FIND("º",SUBSTITUTE(E1934,"°","º"))-1)),-1),IF(LEFT(E1934,6)="TÉRREO",0,IFERROR(VALUE(LEFT(E1934,FIND("º",SUBSTITUTE(E1934,"°","º"))-1)),""))))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27766502</v>
      </c>
      <c r="C1935" s="4" t="inlineStr">
        <is>
          <t>COMUNICAÇÃO VISUAL</t>
        </is>
      </c>
      <c r="D1935" s="4" t="inlineStr">
        <is>
          <t>-</t>
        </is>
      </c>
      <c r="E1935" s="4" t="inlineStr">
        <is>
          <t>11º PAV. TIPO</t>
        </is>
      </c>
      <c r="F1935" s="119" t="n">
        <v>46835</v>
      </c>
      <c r="G1935" s="119" t="n">
        <v>46841</v>
      </c>
      <c r="H1935" s="119" t="n">
        <v>46293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IF(E1935="","",IF(ISNUMBER(SEARCH("SUBSOLO",E1935)),IFERROR(-VALUE(LEFT(E1935,FIND("º",SUBSTITUTE(E1935,"°","º"))-1)),-1),IF(LEFT(E1935,6)="TÉRREO",0,IFERROR(VALUE(LEFT(E1935,FIND("º",SUBSTITUTE(E1935,"°","º"))-1)),""))))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25752777</v>
      </c>
      <c r="C1936" s="4" t="inlineStr">
        <is>
          <t>LIMPEZA FINA</t>
        </is>
      </c>
      <c r="D1936" s="4" t="inlineStr">
        <is>
          <t>-</t>
        </is>
      </c>
      <c r="E1936" s="4" t="inlineStr">
        <is>
          <t>2º PAV. GARAGEM.</t>
        </is>
      </c>
      <c r="F1936" s="119" t="n">
        <v>46839</v>
      </c>
      <c r="G1936" s="119" t="n">
        <v>46843</v>
      </c>
      <c r="H1936" s="119" t="n">
        <v>46293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IF(E1936="","",IF(ISNUMBER(SEARCH("SUBSOLO",E1936)),IFERROR(-VALUE(LEFT(E1936,FIND("º",SUBSTITUTE(E1936,"°","º"))-1)),-1),IF(LEFT(E1936,6)="TÉRREO",0,IFERROR(VALUE(LEFT(E1936,FIND("º",SUBSTITUTE(E1936,"°","º"))-1)),""))))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25210142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23º PAV. TIPO</t>
        </is>
      </c>
      <c r="F1937" s="119" t="n">
        <v>46839</v>
      </c>
      <c r="G1937" s="119" t="n">
        <v>46847</v>
      </c>
      <c r="H1937" s="119" t="n">
        <v>46293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IF(E1937="","",IF(ISNUMBER(SEARCH("SUBSOLO",E1937)),IFERROR(-VALUE(LEFT(E1937,FIND("º",SUBSTITUTE(E1937,"°","º"))-1)),-1),IF(LEFT(E1937,6)="TÉRREO",0,IFERROR(VALUE(LEFT(E1937,FIND("º",SUBSTITUTE(E1937,"°","º"))-1)),""))))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25210128</v>
      </c>
      <c r="C1938" s="4" t="inlineStr">
        <is>
          <t>FORRO</t>
        </is>
      </c>
      <c r="D1938" s="4" t="inlineStr">
        <is>
          <t>-</t>
        </is>
      </c>
      <c r="E1938" s="4" t="inlineStr">
        <is>
          <t>24º PAV. TIPO</t>
        </is>
      </c>
      <c r="F1938" s="119" t="n">
        <v>46839</v>
      </c>
      <c r="G1938" s="119" t="n">
        <v>46860</v>
      </c>
      <c r="H1938" s="119" t="n">
        <v>46293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IF(E1938="","",IF(ISNUMBER(SEARCH("SUBSOLO",E1938)),IFERROR(-VALUE(LEFT(E1938,FIND("º",SUBSTITUTE(E1938,"°","º"))-1)),-1),IF(LEFT(E1938,6)="TÉRREO",0,IFERROR(VALUE(LEFT(E1938,FIND("º",SUBSTITUTE(E1938,"°","º"))-1)),""))))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25210075</v>
      </c>
      <c r="C1939" s="4" t="inlineStr">
        <is>
          <t>FIAÇÃO ELÉTRICA</t>
        </is>
      </c>
      <c r="D1939" s="4" t="inlineStr">
        <is>
          <t>-</t>
        </is>
      </c>
      <c r="E1939" s="4" t="inlineStr">
        <is>
          <t>25º PAV. TIPO</t>
        </is>
      </c>
      <c r="F1939" s="119" t="n">
        <v>46839</v>
      </c>
      <c r="G1939" s="119" t="n">
        <v>46860</v>
      </c>
      <c r="H1939" s="119" t="n">
        <v>46293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IF(E1939="","",IF(ISNUMBER(SEARCH("SUBSOLO",E1939)),IFERROR(-VALUE(LEFT(E1939,FIND("º",SUBSTITUTE(E1939,"°","º"))-1)),-1),IF(LEFT(E1939,6)="TÉRREO",0,IFERROR(VALUE(LEFT(E1939,FIND("º",SUBSTITUTE(E1939,"°","º"))-1)),""))))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25210106</v>
      </c>
      <c r="C1940" s="4" t="inlineStr">
        <is>
          <t>VENTILAÇÃO / EXAUSTÃO</t>
        </is>
      </c>
      <c r="D1940" s="4" t="inlineStr">
        <is>
          <t>-</t>
        </is>
      </c>
      <c r="E1940" s="4" t="inlineStr">
        <is>
          <t>25º PAV. TIPO</t>
        </is>
      </c>
      <c r="F1940" s="119" t="n">
        <v>46839</v>
      </c>
      <c r="G1940" s="119" t="n">
        <v>46843</v>
      </c>
      <c r="H1940" s="119" t="n">
        <v>46293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IF(E1940="","",IF(ISNUMBER(SEARCH("SUBSOLO",E1940)),IFERROR(-VALUE(LEFT(E1940,FIND("º",SUBSTITUTE(E1940,"°","º"))-1)),-1),IF(LEFT(E1940,6)="TÉRREO",0,IFERROR(VALUE(LEFT(E1940,FIND("º",SUBSTITUTE(E1940,"°","º"))-1)),""))))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25210840</v>
      </c>
      <c r="C1941" s="4" t="inlineStr">
        <is>
          <t>CHECKLIST</t>
        </is>
      </c>
      <c r="D1941" s="4" t="inlineStr">
        <is>
          <t>-</t>
        </is>
      </c>
      <c r="E1941" s="4" t="inlineStr">
        <is>
          <t>4° PAV. APTO GARDEN</t>
        </is>
      </c>
      <c r="F1941" s="119" t="n">
        <v>46840</v>
      </c>
      <c r="G1941" s="119" t="n">
        <v>46848</v>
      </c>
      <c r="H1941" s="119" t="n">
        <v>46293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IF(E1941="","",IF(ISNUMBER(SEARCH("SUBSOLO",E1941)),IFERROR(-VALUE(LEFT(E1941,FIND("º",SUBSTITUTE(E1941,"°","º"))-1)),-1),IF(LEFT(E1941,6)="TÉRREO",0,IFERROR(VALUE(LEFT(E1941,FIND("º",SUBSTITUTE(E1941,"°","º"))-1)),""))))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27770711</v>
      </c>
      <c r="C1942" s="4" t="inlineStr">
        <is>
          <t>SERRALHERIA</t>
        </is>
      </c>
      <c r="D1942" s="4" t="inlineStr">
        <is>
          <t>-</t>
        </is>
      </c>
      <c r="E1942" s="4" t="inlineStr">
        <is>
          <t>8º PAV. TIPO</t>
        </is>
      </c>
      <c r="F1942" s="119" t="n">
        <v>46840</v>
      </c>
      <c r="G1942" s="119" t="n">
        <v>46850</v>
      </c>
      <c r="H1942" s="119" t="n">
        <v>46293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IF(E1942="","",IF(ISNUMBER(SEARCH("SUBSOLO",E1942)),IFERROR(-VALUE(LEFT(E1942,FIND("º",SUBSTITUTE(E1942,"°","º"))-1)),-1),IF(LEFT(E1942,6)="TÉRREO",0,IFERROR(VALUE(LEFT(E1942,FIND("º",SUBSTITUTE(E1942,"°","º"))-1)),""))))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25210693</v>
      </c>
      <c r="C1943" s="4" t="inlineStr">
        <is>
          <t>LOUÇAS</t>
        </is>
      </c>
      <c r="D1943" s="4" t="inlineStr">
        <is>
          <t>-</t>
        </is>
      </c>
      <c r="E1943" s="4" t="inlineStr">
        <is>
          <t>8º PAV. TIPO</t>
        </is>
      </c>
      <c r="F1943" s="119" t="n">
        <v>46840</v>
      </c>
      <c r="G1943" s="119" t="n">
        <v>46853</v>
      </c>
      <c r="H1943" s="119" t="n">
        <v>46293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IF(E1943="","",IF(ISNUMBER(SEARCH("SUBSOLO",E1943)),IFERROR(-VALUE(LEFT(E1943,FIND("º",SUBSTITUTE(E1943,"°","º"))-1)),-1),IF(LEFT(E1943,6)="TÉRREO",0,IFERROR(VALUE(LEFT(E1943,FIND("º",SUBSTITUTE(E1943,"°","º"))-1)),""))))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25210696</v>
      </c>
      <c r="C1944" s="4" t="inlineStr">
        <is>
          <t>METAIS</t>
        </is>
      </c>
      <c r="D1944" s="4" t="inlineStr">
        <is>
          <t>-</t>
        </is>
      </c>
      <c r="E1944" s="4" t="inlineStr">
        <is>
          <t>8º PAV. TIPO</t>
        </is>
      </c>
      <c r="F1944" s="119" t="n">
        <v>46840</v>
      </c>
      <c r="G1944" s="119" t="n">
        <v>46853</v>
      </c>
      <c r="H1944" s="119" t="n">
        <v>46293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IF(E1944="","",IF(ISNUMBER(SEARCH("SUBSOLO",E1944)),IFERROR(-VALUE(LEFT(E1944,FIND("º",SUBSTITUTE(E1944,"°","º"))-1)),-1),IF(LEFT(E1944,6)="TÉRREO",0,IFERROR(VALUE(LEFT(E1944,FIND("º",SUBSTITUTE(E1944,"°","º"))-1)),""))))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25210698</v>
      </c>
      <c r="C1945" s="4" t="inlineStr">
        <is>
          <t>ACABAMENTOS ELÉTRICOS</t>
        </is>
      </c>
      <c r="D1945" s="4" t="inlineStr">
        <is>
          <t>-</t>
        </is>
      </c>
      <c r="E1945" s="4" t="inlineStr">
        <is>
          <t>8º PAV. TIPO</t>
        </is>
      </c>
      <c r="F1945" s="119" t="n">
        <v>46840</v>
      </c>
      <c r="G1945" s="119" t="n">
        <v>46853</v>
      </c>
      <c r="H1945" s="119" t="n">
        <v>46293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IF(E1945="","",IF(ISNUMBER(SEARCH("SUBSOLO",E1945)),IFERROR(-VALUE(LEFT(E1945,FIND("º",SUBSTITUTE(E1945,"°","º"))-1)),-1),IF(LEFT(E1945,6)="TÉRREO",0,IFERROR(VALUE(LEFT(E1945,FIND("º",SUBSTITUTE(E1945,"°","º"))-1)),""))))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27766415</v>
      </c>
      <c r="C1946" s="4" t="inlineStr">
        <is>
          <t>ACABAMENTOS INCÊNDIO</t>
        </is>
      </c>
      <c r="D1946" s="4" t="inlineStr">
        <is>
          <t>-</t>
        </is>
      </c>
      <c r="E1946" s="4" t="inlineStr">
        <is>
          <t>8º PAV. TIPO</t>
        </is>
      </c>
      <c r="F1946" s="119" t="n">
        <v>46840</v>
      </c>
      <c r="G1946" s="119" t="n">
        <v>46853</v>
      </c>
      <c r="H1946" s="119" t="n">
        <v>46293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IF(E1946="","",IF(ISNUMBER(SEARCH("SUBSOLO",E1946)),IFERROR(-VALUE(LEFT(E1946,FIND("º",SUBSTITUTE(E1946,"°","º"))-1)),-1),IF(LEFT(E1946,6)="TÉRREO",0,IFERROR(VALUE(LEFT(E1946,FIND("º",SUBSTITUTE(E1946,"°","º"))-1)),""))))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25210516</v>
      </c>
      <c r="C1947" s="4" t="inlineStr">
        <is>
          <t>ESQUADRIA MADEIRA</t>
        </is>
      </c>
      <c r="D1947" s="4" t="inlineStr">
        <is>
          <t>-</t>
        </is>
      </c>
      <c r="E1947" s="4" t="inlineStr">
        <is>
          <t>13º PAV. TIPO</t>
        </is>
      </c>
      <c r="F1947" s="119" t="n">
        <v>46840</v>
      </c>
      <c r="G1947" s="119" t="n">
        <v>46853</v>
      </c>
      <c r="H1947" s="119" t="n">
        <v>46293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IF(E1947="","",IF(ISNUMBER(SEARCH("SUBSOLO",E1947)),IFERROR(-VALUE(LEFT(E1947,FIND("º",SUBSTITUTE(E1947,"°","º"))-1)),-1),IF(LEFT(E1947,6)="TÉRREO",0,IFERROR(VALUE(LEFT(E1947,FIND("º",SUBSTITUTE(E1947,"°","º"))-1)),""))))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33275999</v>
      </c>
      <c r="C1948" s="4" t="inlineStr">
        <is>
          <t>FORRO DE MADEIRA</t>
        </is>
      </c>
      <c r="D1948" s="4" t="inlineStr">
        <is>
          <t>-</t>
        </is>
      </c>
      <c r="E1948" s="4" t="inlineStr">
        <is>
          <t>13º PAV. TIPO</t>
        </is>
      </c>
      <c r="F1948" s="119" t="n">
        <v>46840</v>
      </c>
      <c r="G1948" s="119" t="n">
        <v>46861</v>
      </c>
      <c r="H1948" s="119" t="n">
        <v>46293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IF(E1948="","",IF(ISNUMBER(SEARCH("SUBSOLO",E1948)),IFERROR(-VALUE(LEFT(E1948,FIND("º",SUBSTITUTE(E1948,"°","º"))-1)),-1),IF(LEFT(E1948,6)="TÉRREO",0,IFERROR(VALUE(LEFT(E1948,FIND("º",SUBSTITUTE(E1948,"°","º"))-1)),""))))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33292468</v>
      </c>
      <c r="C1949" s="4" t="inlineStr">
        <is>
          <t>PAISAGISMO</t>
        </is>
      </c>
      <c r="D1949" s="4" t="inlineStr">
        <is>
          <t>-</t>
        </is>
      </c>
      <c r="E1949" s="4" t="inlineStr">
        <is>
          <t>14º PAV. TIPO</t>
        </is>
      </c>
      <c r="F1949" s="119" t="n">
        <v>46840</v>
      </c>
      <c r="G1949" s="119" t="n">
        <v>46853</v>
      </c>
      <c r="H1949" s="119" t="n">
        <v>46293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IF(E1949="","",IF(ISNUMBER(SEARCH("SUBSOLO",E1949)),IFERROR(-VALUE(LEFT(E1949,FIND("º",SUBSTITUTE(E1949,"°","º"))-1)),-1),IF(LEFT(E1949,6)="TÉRREO",0,IFERROR(VALUE(LEFT(E1949,FIND("º",SUBSTITUTE(E1949,"°","º"))-1)),""))))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25210356</v>
      </c>
      <c r="C1950" s="4" t="inlineStr">
        <is>
          <t>RODAPÉ MADEIRA / PVC</t>
        </is>
      </c>
      <c r="D1950" s="4" t="inlineStr">
        <is>
          <t>-</t>
        </is>
      </c>
      <c r="E1950" s="4" t="inlineStr">
        <is>
          <t>17º PAV. TIPO</t>
        </is>
      </c>
      <c r="F1950" s="119" t="n">
        <v>46841</v>
      </c>
      <c r="G1950" s="119" t="n">
        <v>46854</v>
      </c>
      <c r="H1950" s="119" t="n">
        <v>46293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IF(E1950="","",IF(ISNUMBER(SEARCH("SUBSOLO",E1950)),IFERROR(-VALUE(LEFT(E1950,FIND("º",SUBSTITUTE(E1950,"°","º"))-1)),-1),IF(LEFT(E1950,6)="TÉRREO",0,IFERROR(VALUE(LEFT(E1950,FIND("º",SUBSTITUTE(E1950,"°","º"))-1)),""))))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25752815</v>
      </c>
      <c r="C1951" s="4" t="inlineStr">
        <is>
          <t>CONTRAPISO</t>
        </is>
      </c>
      <c r="D1951" s="4" t="inlineStr">
        <is>
          <t>-</t>
        </is>
      </c>
      <c r="E1951" s="4" t="inlineStr">
        <is>
          <t>TÉRREO - ÁREAS SOCIAIS INTERNAS</t>
        </is>
      </c>
      <c r="F1951" s="119" t="n">
        <v>46843</v>
      </c>
      <c r="G1951" s="119" t="n">
        <v>46856</v>
      </c>
      <c r="H1951" s="119" t="n">
        <v>46293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IF(E1951="","",IF(ISNUMBER(SEARCH("SUBSOLO",E1951)),IFERROR(-VALUE(LEFT(E1951,FIND("º",SUBSTITUTE(E1951,"°","º"))-1)),-1),IF(LEFT(E1951,6)="TÉRREO",0,IFERROR(VALUE(LEFT(E1951,FIND("º",SUBSTITUTE(E1951,"°","º"))-1)),""))))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27766484</v>
      </c>
      <c r="C1952" s="4" t="inlineStr">
        <is>
          <t>COMUNICAÇÃO VISUAL</t>
        </is>
      </c>
      <c r="D1952" s="4" t="inlineStr">
        <is>
          <t>-</t>
        </is>
      </c>
      <c r="E1952" s="4" t="inlineStr">
        <is>
          <t>TÉRREO - CUL DE SAC / ENTRADA EMPREENDIMENTO</t>
        </is>
      </c>
      <c r="F1952" s="119" t="n">
        <v>46847</v>
      </c>
      <c r="G1952" s="119" t="n">
        <v>46853</v>
      </c>
      <c r="H1952" s="119" t="n">
        <v>46293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IF(E1952="","",IF(ISNUMBER(SEARCH("SUBSOLO",E1952)),IFERROR(-VALUE(LEFT(E1952,FIND("º",SUBSTITUTE(E1952,"°","º"))-1)),-1),IF(LEFT(E1952,6)="TÉRREO",0,IFERROR(VALUE(LEFT(E1952,FIND("º",SUBSTITUTE(E1952,"°","º"))-1)),""))))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25210804</v>
      </c>
      <c r="C1953" s="4" t="inlineStr">
        <is>
          <t>LIMPEZA FINA</t>
        </is>
      </c>
      <c r="D1953" s="4" t="inlineStr">
        <is>
          <t>-</t>
        </is>
      </c>
      <c r="E1953" s="4" t="inlineStr">
        <is>
          <t>5º PAV. TIPO</t>
        </is>
      </c>
      <c r="F1953" s="119" t="n">
        <v>46847</v>
      </c>
      <c r="G1953" s="119" t="n">
        <v>46861</v>
      </c>
      <c r="H1953" s="119" t="n">
        <v>46293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IF(E1953="","",IF(ISNUMBER(SEARCH("SUBSOLO",E1953)),IFERROR(-VALUE(LEFT(E1953,FIND("º",SUBSTITUTE(E1953,"°","º"))-1)),-1),IF(LEFT(E1953,6)="TÉRREO",0,IFERROR(VALUE(LEFT(E1953,FIND("º",SUBSTITUTE(E1953,"°","º"))-1)),""))))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25210657</v>
      </c>
      <c r="C1954" s="4" t="inlineStr">
        <is>
          <t>PINTURA 2º DEMÃO</t>
        </is>
      </c>
      <c r="D1954" s="4" t="inlineStr">
        <is>
          <t>-</t>
        </is>
      </c>
      <c r="E1954" s="4" t="inlineStr">
        <is>
          <t>9º PAV. TIPO</t>
        </is>
      </c>
      <c r="F1954" s="119" t="n">
        <v>46847</v>
      </c>
      <c r="G1954" s="119" t="n">
        <v>46861</v>
      </c>
      <c r="H1954" s="119" t="n">
        <v>46293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IF(E1954="","",IF(ISNUMBER(SEARCH("SUBSOLO",E1954)),IFERROR(-VALUE(LEFT(E1954,FIND("º",SUBSTITUTE(E1954,"°","º"))-1)),-1),IF(LEFT(E1954,6)="TÉRREO",0,IFERROR(VALUE(LEFT(E1954,FIND("º",SUBSTITUTE(E1954,"°","º"))-1)),""))))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25210555</v>
      </c>
      <c r="C1955" s="4" t="inlineStr">
        <is>
          <t>LIMPEZA GROSSA</t>
        </is>
      </c>
      <c r="D1955" s="4" t="inlineStr">
        <is>
          <t>-</t>
        </is>
      </c>
      <c r="E1955" s="4" t="inlineStr">
        <is>
          <t>12º PAV. TIPO</t>
        </is>
      </c>
      <c r="F1955" s="119" t="n">
        <v>46847</v>
      </c>
      <c r="G1955" s="119" t="n">
        <v>46861</v>
      </c>
      <c r="H1955" s="119" t="n">
        <v>46293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IF(E1955="","",IF(ISNUMBER(SEARCH("SUBSOLO",E1955)),IFERROR(-VALUE(LEFT(E1955,FIND("º",SUBSTITUTE(E1955,"°","º"))-1)),-1),IF(LEFT(E1955,6)="TÉRREO",0,IFERROR(VALUE(LEFT(E1955,FIND("º",SUBSTITUTE(E1955,"°","º"))-1)),""))))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25210449</v>
      </c>
      <c r="C1956" s="4" t="inlineStr">
        <is>
          <t>DISJUNTORES / MIOLOS</t>
        </is>
      </c>
      <c r="D1956" s="4" t="inlineStr">
        <is>
          <t>-</t>
        </is>
      </c>
      <c r="E1956" s="4" t="inlineStr">
        <is>
          <t>15º PAV. TIPO</t>
        </is>
      </c>
      <c r="F1956" s="119" t="n">
        <v>46847</v>
      </c>
      <c r="G1956" s="119" t="n">
        <v>46861</v>
      </c>
      <c r="H1956" s="119" t="n">
        <v>46293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IF(E1956="","",IF(ISNUMBER(SEARCH("SUBSOLO",E1956)),IFERROR(-VALUE(LEFT(E1956,FIND("º",SUBSTITUTE(E1956,"°","º"))-1)),-1),IF(LEFT(E1956,6)="TÉRREO",0,IFERROR(VALUE(LEFT(E1956,FIND("º",SUBSTITUTE(E1956,"°","º"))-1)),""))))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25210427</v>
      </c>
      <c r="C1957" s="4" t="inlineStr">
        <is>
          <t>CFTV</t>
        </is>
      </c>
      <c r="D1957" s="4" t="inlineStr">
        <is>
          <t>-</t>
        </is>
      </c>
      <c r="E1957" s="4" t="inlineStr">
        <is>
          <t>15º PAV. TIPO</t>
        </is>
      </c>
      <c r="F1957" s="119" t="n">
        <v>46847</v>
      </c>
      <c r="G1957" s="119" t="n">
        <v>46861</v>
      </c>
      <c r="H1957" s="119" t="n">
        <v>46293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IF(E1957="","",IF(ISNUMBER(SEARCH("SUBSOLO",E1957)),IFERROR(-VALUE(LEFT(E1957,FIND("º",SUBSTITUTE(E1957,"°","º"))-1)),-1),IF(LEFT(E1957,6)="TÉRREO",0,IFERROR(VALUE(LEFT(E1957,FIND("º",SUBSTITUTE(E1957,"°","º"))-1)),""))))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27766496</v>
      </c>
      <c r="C1958" s="4" t="inlineStr">
        <is>
          <t>COMUNICAÇÃO VISUAL</t>
        </is>
      </c>
      <c r="D1958" s="4" t="inlineStr">
        <is>
          <t>-</t>
        </is>
      </c>
      <c r="E1958" s="4" t="inlineStr">
        <is>
          <t>5º PAV. TIPO</t>
        </is>
      </c>
      <c r="F1958" s="119" t="n">
        <v>46848</v>
      </c>
      <c r="G1958" s="119" t="n">
        <v>46854</v>
      </c>
      <c r="H1958" s="119" t="n">
        <v>46293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IF(E1958="","",IF(ISNUMBER(SEARCH("SUBSOLO",E1958)),IFERROR(-VALUE(LEFT(E1958,FIND("º",SUBSTITUTE(E1958,"°","º"))-1)),-1),IF(LEFT(E1958,6)="TÉRREO",0,IFERROR(VALUE(LEFT(E1958,FIND("º",SUBSTITUTE(E1958,"°","º"))-1)),""))))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25210595</v>
      </c>
      <c r="C1959" s="4" t="inlineStr">
        <is>
          <t>CHECKLIST</t>
        </is>
      </c>
      <c r="D1959" s="4" t="inlineStr">
        <is>
          <t>-</t>
        </is>
      </c>
      <c r="E1959" s="4" t="inlineStr">
        <is>
          <t>11º PAV. TIPO</t>
        </is>
      </c>
      <c r="F1959" s="119" t="n">
        <v>46848</v>
      </c>
      <c r="G1959" s="119" t="n">
        <v>46856</v>
      </c>
      <c r="H1959" s="119" t="n">
        <v>46293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IF(E1959="","",IF(ISNUMBER(SEARCH("SUBSOLO",E1959)),IFERROR(-VALUE(LEFT(E1959,FIND("º",SUBSTITUTE(E1959,"°","º"))-1)),-1),IF(LEFT(E1959,6)="TÉRREO",0,IFERROR(VALUE(LEFT(E1959,FIND("º",SUBSTITUTE(E1959,"°","º"))-1)),""))))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33292470</v>
      </c>
      <c r="C1960" s="4" t="inlineStr">
        <is>
          <t>PAISAGISMO</t>
        </is>
      </c>
      <c r="D1960" s="4" t="inlineStr">
        <is>
          <t>-</t>
        </is>
      </c>
      <c r="E1960" s="4" t="inlineStr">
        <is>
          <t>16º PAV. TIPO</t>
        </is>
      </c>
      <c r="F1960" s="119" t="n">
        <v>46848</v>
      </c>
      <c r="G1960" s="119" t="n">
        <v>46862</v>
      </c>
      <c r="H1960" s="119" t="n">
        <v>46293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IF(E1960="","",IF(ISNUMBER(SEARCH("SUBSOLO",E1960)),IFERROR(-VALUE(LEFT(E1960,FIND("º",SUBSTITUTE(E1960,"°","º"))-1)),-1),IF(LEFT(E1960,6)="TÉRREO",0,IFERROR(VALUE(LEFT(E1960,FIND("º",SUBSTITUTE(E1960,"°","º"))-1)),""))))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25210341</v>
      </c>
      <c r="C1961" s="4" t="inlineStr">
        <is>
          <t>ESQUADRIA MADEIRA</t>
        </is>
      </c>
      <c r="D1961" s="4" t="inlineStr">
        <is>
          <t>-</t>
        </is>
      </c>
      <c r="E1961" s="4" t="inlineStr">
        <is>
          <t>18º PAV. TIPO</t>
        </is>
      </c>
      <c r="F1961" s="119" t="n">
        <v>46848</v>
      </c>
      <c r="G1961" s="119" t="n">
        <v>46862</v>
      </c>
      <c r="H1961" s="119" t="n">
        <v>46293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IF(E1961="","",IF(ISNUMBER(SEARCH("SUBSOLO",E1961)),IFERROR(-VALUE(LEFT(E1961,FIND("º",SUBSTITUTE(E1961,"°","º"))-1)),-1),IF(LEFT(E1961,6)="TÉRREO",0,IFERROR(VALUE(LEFT(E1961,FIND("º",SUBSTITUTE(E1961,"°","º"))-1)),""))))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33276004</v>
      </c>
      <c r="C1962" s="4" t="inlineStr">
        <is>
          <t>FORRO DE MADEIRA</t>
        </is>
      </c>
      <c r="D1962" s="4" t="inlineStr">
        <is>
          <t>-</t>
        </is>
      </c>
      <c r="E1962" s="4" t="inlineStr">
        <is>
          <t>18º PAV. TIPO</t>
        </is>
      </c>
      <c r="F1962" s="119" t="n">
        <v>46848</v>
      </c>
      <c r="G1962" s="119" t="n">
        <v>46870</v>
      </c>
      <c r="H1962" s="119" t="n">
        <v>46293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IF(E1962="","",IF(ISNUMBER(SEARCH("SUBSOLO",E1962)),IFERROR(-VALUE(LEFT(E1962,FIND("º",SUBSTITUTE(E1962,"°","º"))-1)),-1),IF(LEFT(E1962,6)="TÉRREO",0,IFERROR(VALUE(LEFT(E1962,FIND("º",SUBSTITUTE(E1962,"°","º"))-1)),""))))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25210143</v>
      </c>
      <c r="C1963" s="4" t="inlineStr">
        <is>
          <t>PINTURA 1º DEMÃO</t>
        </is>
      </c>
      <c r="D1963" s="4" t="inlineStr">
        <is>
          <t>-</t>
        </is>
      </c>
      <c r="E1963" s="4" t="inlineStr">
        <is>
          <t>23º PAV. TIPO</t>
        </is>
      </c>
      <c r="F1963" s="119" t="n">
        <v>46848</v>
      </c>
      <c r="G1963" s="119" t="n">
        <v>46860</v>
      </c>
      <c r="H1963" s="119" t="n">
        <v>46293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IF(E1963="","",IF(ISNUMBER(SEARCH("SUBSOLO",E1963)),IFERROR(-VALUE(LEFT(E1963,FIND("º",SUBSTITUTE(E1963,"°","º"))-1)),-1),IF(LEFT(E1963,6)="TÉRREO",0,IFERROR(VALUE(LEFT(E1963,FIND("º",SUBSTITUTE(E1963,"°","º"))-1)),""))))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25752768</v>
      </c>
      <c r="C1964" s="4" t="inlineStr">
        <is>
          <t>REVESTIMENTOS PISO</t>
        </is>
      </c>
      <c r="D1964" s="4" t="inlineStr">
        <is>
          <t>-</t>
        </is>
      </c>
      <c r="E1964" s="4" t="inlineStr">
        <is>
          <t>2º PAV. GARAGEM.</t>
        </is>
      </c>
      <c r="F1964" s="119" t="n">
        <v>46850</v>
      </c>
      <c r="G1964" s="119" t="n">
        <v>46854</v>
      </c>
      <c r="H1964" s="119" t="n">
        <v>46293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IF(E1964="","",IF(ISNUMBER(SEARCH("SUBSOLO",E1964)),IFERROR(-VALUE(LEFT(E1964,FIND("º",SUBSTITUTE(E1964,"°","º"))-1)),-1),IF(LEFT(E1964,6)="TÉRREO",0,IFERROR(VALUE(LEFT(E1964,FIND("º",SUBSTITUTE(E1964,"°","º"))-1)),""))))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25210697</v>
      </c>
      <c r="C1965" s="4" t="inlineStr">
        <is>
          <t>PINTURA 3º DEMÃO</t>
        </is>
      </c>
      <c r="D1965" s="4" t="inlineStr">
        <is>
          <t>-</t>
        </is>
      </c>
      <c r="E1965" s="4" t="inlineStr">
        <is>
          <t>8º PAV. TIPO</t>
        </is>
      </c>
      <c r="F1965" s="119" t="n">
        <v>46854</v>
      </c>
      <c r="G1965" s="119" t="n">
        <v>46869</v>
      </c>
      <c r="H1965" s="119" t="n">
        <v>46293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IF(E1965="","",IF(ISNUMBER(SEARCH("SUBSOLO",E1965)),IFERROR(-VALUE(LEFT(E1965,FIND("º",SUBSTITUTE(E1965,"°","º"))-1)),-1),IF(LEFT(E1965,6)="TÉRREO",0,IFERROR(VALUE(LEFT(E1965,FIND("º",SUBSTITUTE(E1965,"°","º"))-1)),""))))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25210496</v>
      </c>
      <c r="C1966" s="4" t="inlineStr">
        <is>
          <t>RODAPÉ MADEIRA / PVC</t>
        </is>
      </c>
      <c r="D1966" s="4" t="inlineStr">
        <is>
          <t>-</t>
        </is>
      </c>
      <c r="E1966" s="4" t="inlineStr">
        <is>
          <t>13º PAV. TIPO</t>
        </is>
      </c>
      <c r="F1966" s="119" t="n">
        <v>46854</v>
      </c>
      <c r="G1966" s="119" t="n">
        <v>46869</v>
      </c>
      <c r="H1966" s="119" t="n">
        <v>46293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IF(E1966="","",IF(ISNUMBER(SEARCH("SUBSOLO",E1966)),IFERROR(-VALUE(LEFT(E1966,FIND("º",SUBSTITUTE(E1966,"°","º"))-1)),-1),IF(LEFT(E1966,6)="TÉRREO",0,IFERROR(VALUE(LEFT(E1966,FIND("º",SUBSTITUTE(E1966,"°","º"))-1)),""))))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33276138</v>
      </c>
      <c r="C1967" s="4" t="inlineStr">
        <is>
          <t>TRATAMENTO DE GRANITO/MÁRMORE</t>
        </is>
      </c>
      <c r="D1967" s="4" t="inlineStr">
        <is>
          <t>-</t>
        </is>
      </c>
      <c r="E1967" s="4" t="inlineStr">
        <is>
          <t>14º PAV. TIPO</t>
        </is>
      </c>
      <c r="F1967" s="119" t="n">
        <v>46854</v>
      </c>
      <c r="G1967" s="119" t="n">
        <v>46877</v>
      </c>
      <c r="H1967" s="119" t="n">
        <v>46293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IF(E1967="","",IF(ISNUMBER(SEARCH("SUBSOLO",E1967)),IFERROR(-VALUE(LEFT(E1967,FIND("º",SUBSTITUTE(E1967,"°","º"))-1)),-1),IF(LEFT(E1967,6)="TÉRREO",0,IFERROR(VALUE(LEFT(E1967,FIND("º",SUBSTITUTE(E1967,"°","º"))-1)),""))))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25752770</v>
      </c>
      <c r="C1968" s="4" t="inlineStr">
        <is>
          <t>REVESTIMENTO PAREDE</t>
        </is>
      </c>
      <c r="D1968" s="4" t="inlineStr">
        <is>
          <t>-</t>
        </is>
      </c>
      <c r="E1968" s="4" t="inlineStr">
        <is>
          <t>2º PAV. GARAGEM.</t>
        </is>
      </c>
      <c r="F1968" s="119" t="n">
        <v>46855</v>
      </c>
      <c r="G1968" s="119" t="n">
        <v>46856</v>
      </c>
      <c r="H1968" s="119" t="n">
        <v>46293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IF(E1968="","",IF(ISNUMBER(SEARCH("SUBSOLO",E1968)),IFERROR(-VALUE(LEFT(E1968,FIND("º",SUBSTITUTE(E1968,"°","º"))-1)),-1),IF(LEFT(E1968,6)="TÉRREO",0,IFERROR(VALUE(LEFT(E1968,FIND("º",SUBSTITUTE(E1968,"°","º"))-1)),""))))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25210379</v>
      </c>
      <c r="C1969" s="4" t="inlineStr">
        <is>
          <t>DISJUNTORES / MIOLOS</t>
        </is>
      </c>
      <c r="D1969" s="4" t="inlineStr">
        <is>
          <t>-</t>
        </is>
      </c>
      <c r="E1969" s="4" t="inlineStr">
        <is>
          <t>17º PAV. TIPO</t>
        </is>
      </c>
      <c r="F1969" s="119" t="n">
        <v>46855</v>
      </c>
      <c r="G1969" s="119" t="n">
        <v>46870</v>
      </c>
      <c r="H1969" s="119" t="n">
        <v>46293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IF(E1969="","",IF(ISNUMBER(SEARCH("SUBSOLO",E1969)),IFERROR(-VALUE(LEFT(E1969,FIND("º",SUBSTITUTE(E1969,"°","º"))-1)),-1),IF(LEFT(E1969,6)="TÉRREO",0,IFERROR(VALUE(LEFT(E1969,FIND("º",SUBSTITUTE(E1969,"°","º"))-1)),""))))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25210357</v>
      </c>
      <c r="C1970" s="4" t="inlineStr">
        <is>
          <t>CFTV</t>
        </is>
      </c>
      <c r="D1970" s="4" t="inlineStr">
        <is>
          <t>-</t>
        </is>
      </c>
      <c r="E1970" s="4" t="inlineStr">
        <is>
          <t>17º PAV. TIPO</t>
        </is>
      </c>
      <c r="F1970" s="119" t="n">
        <v>46855</v>
      </c>
      <c r="G1970" s="119" t="n">
        <v>46870</v>
      </c>
      <c r="H1970" s="119" t="n">
        <v>46293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IF(E1970="","",IF(ISNUMBER(SEARCH("SUBSOLO",E1970)),IFERROR(-VALUE(LEFT(E1970,FIND("º",SUBSTITUTE(E1970,"°","º"))-1)),-1),IF(LEFT(E1970,6)="TÉRREO",0,IFERROR(VALUE(LEFT(E1970,FIND("º",SUBSTITUTE(E1970,"°","º"))-1)),""))))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25210300</v>
      </c>
      <c r="C1971" s="4" t="inlineStr">
        <is>
          <t>PISO MADEIRA / LAMINADO</t>
        </is>
      </c>
      <c r="D1971" s="4" t="inlineStr">
        <is>
          <t>-</t>
        </is>
      </c>
      <c r="E1971" s="4" t="inlineStr">
        <is>
          <t>19º PAV. TIPO</t>
        </is>
      </c>
      <c r="F1971" s="119" t="n">
        <v>46855</v>
      </c>
      <c r="G1971" s="119" t="n">
        <v>46870</v>
      </c>
      <c r="H1971" s="119" t="n">
        <v>46293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IF(E1971="","",IF(ISNUMBER(SEARCH("SUBSOLO",E1971)),IFERROR(-VALUE(LEFT(E1971,FIND("º",SUBSTITUTE(E1971,"°","º"))-1)),-1),IF(LEFT(E1971,6)="TÉRREO",0,IFERROR(VALUE(LEFT(E1971,FIND("º",SUBSTITUTE(E1971,"°","º"))-1)),""))))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9054376</v>
      </c>
      <c r="C1972" s="4" t="inlineStr">
        <is>
          <t>PISO MADEIRA / LAMINADO</t>
        </is>
      </c>
      <c r="D1972" s="4" t="inlineStr">
        <is>
          <t>Regularização de Piso</t>
        </is>
      </c>
      <c r="E1972" s="4" t="inlineStr">
        <is>
          <t>19º PAV. TIPO</t>
        </is>
      </c>
      <c r="F1972" s="119" t="n">
        <v>46855</v>
      </c>
      <c r="G1972" s="119" t="n">
        <v>46862</v>
      </c>
      <c r="H1972" s="119" t="n">
        <v>46293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IF(E1972="","",IF(ISNUMBER(SEARCH("SUBSOLO",E1972)),IFERROR(-VALUE(LEFT(E1972,FIND("º",SUBSTITUTE(E1972,"°","º"))-1)),-1),IF(LEFT(E1972,6)="TÉRREO",0,IFERROR(VALUE(LEFT(E1972,FIND("º",SUBSTITUTE(E1972,"°","º"))-1)),""))))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9054377</v>
      </c>
      <c r="C1973" s="4" t="inlineStr">
        <is>
          <t>PISO MADEIRA / LAMINADO</t>
        </is>
      </c>
      <c r="D1973" s="4" t="inlineStr">
        <is>
          <t>Instalação Piso Madeira</t>
        </is>
      </c>
      <c r="E1973" s="4" t="inlineStr">
        <is>
          <t>19º PAV. TIPO</t>
        </is>
      </c>
      <c r="F1973" s="119" t="n">
        <v>46863</v>
      </c>
      <c r="G1973" s="119" t="n">
        <v>46870</v>
      </c>
      <c r="H1973" s="119" t="n">
        <v>46293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IF(E1973="","",IF(ISNUMBER(SEARCH("SUBSOLO",E1973)),IFERROR(-VALUE(LEFT(E1973,FIND("º",SUBSTITUTE(E1973,"°","º"))-1)),-1),IF(LEFT(E1973,6)="TÉRREO",0,IFERROR(VALUE(LEFT(E1973,FIND("º",SUBSTITUTE(E1973,"°","º"))-1)),""))))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25210269</v>
      </c>
      <c r="C1974" s="4" t="inlineStr">
        <is>
          <t>ESQUADRIA</t>
        </is>
      </c>
      <c r="D1974" s="4" t="inlineStr">
        <is>
          <t>-</t>
        </is>
      </c>
      <c r="E1974" s="4" t="inlineStr">
        <is>
          <t>20º PAV. TIPO</t>
        </is>
      </c>
      <c r="F1974" s="119" t="n">
        <v>46855</v>
      </c>
      <c r="G1974" s="119" t="n">
        <v>46878</v>
      </c>
      <c r="H1974" s="119" t="n">
        <v>46293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IF(E1974="","",IF(ISNUMBER(SEARCH("SUBSOLO",E1974)),IFERROR(-VALUE(LEFT(E1974,FIND("º",SUBSTITUTE(E1974,"°","º"))-1)),-1),IF(LEFT(E1974,6)="TÉRREO",0,IFERROR(VALUE(LEFT(E1974,FIND("º",SUBSTITUTE(E1974,"°","º"))-1)),""))))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25752816</v>
      </c>
      <c r="C1975" s="4" t="inlineStr">
        <is>
          <t>REVESTIMENTO PAREDE</t>
        </is>
      </c>
      <c r="D1975" s="4" t="inlineStr">
        <is>
          <t>-</t>
        </is>
      </c>
      <c r="E1975" s="4" t="inlineStr">
        <is>
          <t>TÉRREO - ÁREAS SOCIAIS INTERNAS</t>
        </is>
      </c>
      <c r="F1975" s="119" t="n">
        <v>46860</v>
      </c>
      <c r="G1975" s="119" t="n">
        <v>46867</v>
      </c>
      <c r="H1975" s="119" t="n">
        <v>46293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IF(E1975="","",IF(ISNUMBER(SEARCH("SUBSOLO",E1975)),IFERROR(-VALUE(LEFT(E1975,FIND("º",SUBSTITUTE(E1975,"°","º"))-1)),-1),IF(LEFT(E1975,6)="TÉRREO",0,IFERROR(VALUE(LEFT(E1975,FIND("º",SUBSTITUTE(E1975,"°","º"))-1)),""))))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25210107</v>
      </c>
      <c r="C1976" s="4" t="inlineStr">
        <is>
          <t>MASSA CORRIDA</t>
        </is>
      </c>
      <c r="D1976" s="4" t="inlineStr">
        <is>
          <t>-</t>
        </is>
      </c>
      <c r="E1976" s="4" t="inlineStr">
        <is>
          <t>24º PAV. TIPO</t>
        </is>
      </c>
      <c r="F1976" s="119" t="n">
        <v>46861</v>
      </c>
      <c r="G1976" s="119" t="n">
        <v>46870</v>
      </c>
      <c r="H1976" s="119" t="n">
        <v>46293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IF(E1976="","",IF(ISNUMBER(SEARCH("SUBSOLO",E1976)),IFERROR(-VALUE(LEFT(E1976,FIND("º",SUBSTITUTE(E1976,"°","º"))-1)),-1),IF(LEFT(E1976,6)="TÉRREO",0,IFERROR(VALUE(LEFT(E1976,FIND("º",SUBSTITUTE(E1976,"°","º"))-1)),""))))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25210093</v>
      </c>
      <c r="C1977" s="4" t="inlineStr">
        <is>
          <t>FORRO</t>
        </is>
      </c>
      <c r="D1977" s="4" t="inlineStr">
        <is>
          <t>-</t>
        </is>
      </c>
      <c r="E1977" s="4" t="inlineStr">
        <is>
          <t>25º PAV. TIPO</t>
        </is>
      </c>
      <c r="F1977" s="119" t="n">
        <v>46861</v>
      </c>
      <c r="G1977" s="119" t="n">
        <v>46883</v>
      </c>
      <c r="H1977" s="119" t="n">
        <v>46293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IF(E1977="","",IF(ISNUMBER(SEARCH("SUBSOLO",E1977)),IFERROR(-VALUE(LEFT(E1977,FIND("º",SUBSTITUTE(E1977,"°","º"))-1)),-1),IF(LEFT(E1977,6)="TÉRREO",0,IFERROR(VALUE(LEFT(E1977,FIND("º",SUBSTITUTE(E1977,"°","º"))-1)),""))))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25210805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5º PAV. TIPO</t>
        </is>
      </c>
      <c r="F1978" s="119" t="n">
        <v>46862</v>
      </c>
      <c r="G1978" s="119" t="n">
        <v>46871</v>
      </c>
      <c r="H1978" s="119" t="n">
        <v>46293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IF(E1978="","",IF(ISNUMBER(SEARCH("SUBSOLO",E1978)),IFERROR(-VALUE(LEFT(E1978,FIND("º",SUBSTITUTE(E1978,"°","º"))-1)),-1),IF(LEFT(E1978,6)="TÉRREO",0,IFERROR(VALUE(LEFT(E1978,FIND("º",SUBSTITUTE(E1978,"°","º"))-1)),""))))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27770712</v>
      </c>
      <c r="C1979" s="4" t="inlineStr">
        <is>
          <t>SERRALHERIA</t>
        </is>
      </c>
      <c r="D1979" s="4" t="inlineStr">
        <is>
          <t>-</t>
        </is>
      </c>
      <c r="E1979" s="4" t="inlineStr">
        <is>
          <t>9º PAV. TIPO</t>
        </is>
      </c>
      <c r="F1979" s="119" t="n">
        <v>46862</v>
      </c>
      <c r="G1979" s="119" t="n">
        <v>46876</v>
      </c>
      <c r="H1979" s="119" t="n">
        <v>46293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IF(E1979="","",IF(ISNUMBER(SEARCH("SUBSOLO",E1979)),IFERROR(-VALUE(LEFT(E1979,FIND("º",SUBSTITUTE(E1979,"°","º"))-1)),-1),IF(LEFT(E1979,6)="TÉRREO",0,IFERROR(VALUE(LEFT(E1979,FIND("º",SUBSTITUTE(E1979,"°","º"))-1)),""))))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25210658</v>
      </c>
      <c r="C1980" s="4" t="inlineStr">
        <is>
          <t>LOUÇAS</t>
        </is>
      </c>
      <c r="D1980" s="4" t="inlineStr">
        <is>
          <t>-</t>
        </is>
      </c>
      <c r="E1980" s="4" t="inlineStr">
        <is>
          <t>9º PAV. TIPO</t>
        </is>
      </c>
      <c r="F1980" s="119" t="n">
        <v>46862</v>
      </c>
      <c r="G1980" s="119" t="n">
        <v>46877</v>
      </c>
      <c r="H1980" s="119" t="n">
        <v>46293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IF(E1980="","",IF(ISNUMBER(SEARCH("SUBSOLO",E1980)),IFERROR(-VALUE(LEFT(E1980,FIND("º",SUBSTITUTE(E1980,"°","º"))-1)),-1),IF(LEFT(E1980,6)="TÉRREO",0,IFERROR(VALUE(LEFT(E1980,FIND("º",SUBSTITUTE(E1980,"°","º"))-1)),""))))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25210661</v>
      </c>
      <c r="C1981" s="4" t="inlineStr">
        <is>
          <t>METAIS</t>
        </is>
      </c>
      <c r="D1981" s="4" t="inlineStr">
        <is>
          <t>-</t>
        </is>
      </c>
      <c r="E1981" s="4" t="inlineStr">
        <is>
          <t>9º PAV. TIPO</t>
        </is>
      </c>
      <c r="F1981" s="119" t="n">
        <v>46862</v>
      </c>
      <c r="G1981" s="119" t="n">
        <v>46877</v>
      </c>
      <c r="H1981" s="119" t="n">
        <v>46293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IF(E1981="","",IF(ISNUMBER(SEARCH("SUBSOLO",E1981)),IFERROR(-VALUE(LEFT(E1981,FIND("º",SUBSTITUTE(E1981,"°","º"))-1)),-1),IF(LEFT(E1981,6)="TÉRREO",0,IFERROR(VALUE(LEFT(E1981,FIND("º",SUBSTITUTE(E1981,"°","º"))-1)),""))))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25210663</v>
      </c>
      <c r="C1982" s="4" t="inlineStr">
        <is>
          <t>ACABAMENTOS ELÉTRICOS</t>
        </is>
      </c>
      <c r="D1982" s="4" t="inlineStr">
        <is>
          <t>-</t>
        </is>
      </c>
      <c r="E1982" s="4" t="inlineStr">
        <is>
          <t>9º PAV. TIPO</t>
        </is>
      </c>
      <c r="F1982" s="119" t="n">
        <v>46862</v>
      </c>
      <c r="G1982" s="119" t="n">
        <v>46877</v>
      </c>
      <c r="H1982" s="119" t="n">
        <v>46293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IF(E1982="","",IF(ISNUMBER(SEARCH("SUBSOLO",E1982)),IFERROR(-VALUE(LEFT(E1982,FIND("º",SUBSTITUTE(E1982,"°","º"))-1)),-1),IF(LEFT(E1982,6)="TÉRREO",0,IFERROR(VALUE(LEFT(E1982,FIND("º",SUBSTITUTE(E1982,"°","º"))-1)),""))))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27766416</v>
      </c>
      <c r="C1983" s="4" t="inlineStr">
        <is>
          <t>ACABAMENTOS INCÊNDIO</t>
        </is>
      </c>
      <c r="D1983" s="4" t="inlineStr">
        <is>
          <t>-</t>
        </is>
      </c>
      <c r="E1983" s="4" t="inlineStr">
        <is>
          <t>9º PAV. TIPO</t>
        </is>
      </c>
      <c r="F1983" s="119" t="n">
        <v>46862</v>
      </c>
      <c r="G1983" s="119" t="n">
        <v>46877</v>
      </c>
      <c r="H1983" s="119" t="n">
        <v>46293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IF(E1983="","",IF(ISNUMBER(SEARCH("SUBSOLO",E1983)),IFERROR(-VALUE(LEFT(E1983,FIND("º",SUBSTITUTE(E1983,"°","º"))-1)),-1),IF(LEFT(E1983,6)="TÉRREO",0,IFERROR(VALUE(LEFT(E1983,FIND("º",SUBSTITUTE(E1983,"°","º"))-1)),""))))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25210552</v>
      </c>
      <c r="C1984" s="4" t="inlineStr">
        <is>
          <t>PINTURA 2º DEMÃO</t>
        </is>
      </c>
      <c r="D1984" s="4" t="inlineStr">
        <is>
          <t>-</t>
        </is>
      </c>
      <c r="E1984" s="4" t="inlineStr">
        <is>
          <t>12º PAV. TIPO</t>
        </is>
      </c>
      <c r="F1984" s="119" t="n">
        <v>46862</v>
      </c>
      <c r="G1984" s="119" t="n">
        <v>46877</v>
      </c>
      <c r="H1984" s="119" t="n">
        <v>46293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IF(E1984="","",IF(ISNUMBER(SEARCH("SUBSOLO",E1984)),IFERROR(-VALUE(LEFT(E1984,FIND("º",SUBSTITUTE(E1984,"°","º"))-1)),-1),IF(LEFT(E1984,6)="TÉRREO",0,IFERROR(VALUE(LEFT(E1984,FIND("º",SUBSTITUTE(E1984,"°","º"))-1)),""))))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33292469</v>
      </c>
      <c r="C1985" s="4" t="inlineStr">
        <is>
          <t>PAISAGISMO</t>
        </is>
      </c>
      <c r="D1985" s="4" t="inlineStr">
        <is>
          <t>-</t>
        </is>
      </c>
      <c r="E1985" s="4" t="inlineStr">
        <is>
          <t>15º PAV. TIPO</t>
        </is>
      </c>
      <c r="F1985" s="119" t="n">
        <v>46862</v>
      </c>
      <c r="G1985" s="119" t="n">
        <v>46877</v>
      </c>
      <c r="H1985" s="119" t="n">
        <v>46293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IF(E1985="","",IF(ISNUMBER(SEARCH("SUBSOLO",E1985)),IFERROR(-VALUE(LEFT(E1985,FIND("º",SUBSTITUTE(E1985,"°","º"))-1)),-1),IF(LEFT(E1985,6)="TÉRREO",0,IFERROR(VALUE(LEFT(E1985,FIND("º",SUBSTITUTE(E1985,"°","º"))-1)),""))))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33276140</v>
      </c>
      <c r="C1986" s="4" t="inlineStr">
        <is>
          <t>TRATAMENTO DE GRANITO/MÁRMORE</t>
        </is>
      </c>
      <c r="D1986" s="4" t="inlineStr">
        <is>
          <t>-</t>
        </is>
      </c>
      <c r="E1986" s="4" t="inlineStr">
        <is>
          <t>16º PAV. TIPO</t>
        </is>
      </c>
      <c r="F1986" s="119" t="n">
        <v>46863</v>
      </c>
      <c r="G1986" s="119" t="n">
        <v>46885</v>
      </c>
      <c r="H1986" s="119" t="n">
        <v>46293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IF(E1986="","",IF(ISNUMBER(SEARCH("SUBSOLO",E1986)),IFERROR(-VALUE(LEFT(E1986,FIND("º",SUBSTITUTE(E1986,"°","º"))-1)),-1),IF(LEFT(E1986,6)="TÉRREO",0,IFERROR(VALUE(LEFT(E1986,FIND("º",SUBSTITUTE(E1986,"°","º"))-1)),""))))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25210321</v>
      </c>
      <c r="C1987" s="4" t="inlineStr">
        <is>
          <t>RODAPÉ MADEIRA / PVC</t>
        </is>
      </c>
      <c r="D1987" s="4" t="inlineStr">
        <is>
          <t>-</t>
        </is>
      </c>
      <c r="E1987" s="4" t="inlineStr">
        <is>
          <t>18º PAV. TIPO</t>
        </is>
      </c>
      <c r="F1987" s="119" t="n">
        <v>46863</v>
      </c>
      <c r="G1987" s="119" t="n">
        <v>46878</v>
      </c>
      <c r="H1987" s="119" t="n">
        <v>46293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IF(E1987="","",IF(ISNUMBER(SEARCH("SUBSOLO",E1987)),IFERROR(-VALUE(LEFT(E1987,FIND("º",SUBSTITUTE(E1987,"°","º"))-1)),-1),IF(LEFT(E1987,6)="TÉRREO",0,IFERROR(VALUE(LEFT(E1987,FIND("º",SUBSTITUTE(E1987,"°","º"))-1)),""))))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25802158</v>
      </c>
      <c r="C1988" s="4" t="inlineStr">
        <is>
          <t>ENTREGA OBRA / CONDOMÍNIO</t>
        </is>
      </c>
      <c r="D1988" s="4" t="inlineStr">
        <is>
          <t>-</t>
        </is>
      </c>
      <c r="E1988" s="4" t="inlineStr">
        <is>
          <t>GERAL</t>
        </is>
      </c>
      <c r="F1988" s="119" t="n">
        <v>46868</v>
      </c>
      <c r="G1988" s="119" t="n">
        <v>46892</v>
      </c>
      <c r="H1988" s="119" t="n">
        <v>46293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IF(E1988="","",IF(ISNUMBER(SEARCH("SUBSOLO",E1988)),IFERROR(-VALUE(LEFT(E1988,FIND("º",SUBSTITUTE(E1988,"°","º"))-1)),-1),IF(LEFT(E1988,6)="TÉRREO",0,IFERROR(VALUE(LEFT(E1988,FIND("º",SUBSTITUTE(E1988,"°","º"))-1)),""))))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25752817</v>
      </c>
      <c r="C1989" s="4" t="inlineStr">
        <is>
          <t>REVESTIMENTOS PISO</t>
        </is>
      </c>
      <c r="D1989" s="4" t="inlineStr">
        <is>
          <t>-</t>
        </is>
      </c>
      <c r="E1989" s="4" t="inlineStr">
        <is>
          <t>TÉRREO - ÁREAS SOCIAIS INTERNAS</t>
        </is>
      </c>
      <c r="F1989" s="119" t="n">
        <v>46868</v>
      </c>
      <c r="G1989" s="119" t="n">
        <v>46875</v>
      </c>
      <c r="H1989" s="119" t="n">
        <v>46293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IF(E1989="","",IF(ISNUMBER(SEARCH("SUBSOLO",E1989)),IFERROR(-VALUE(LEFT(E1989,FIND("º",SUBSTITUTE(E1989,"°","º"))-1)),-1),IF(LEFT(E1989,6)="TÉRREO",0,IFERROR(VALUE(LEFT(E1989,FIND("º",SUBSTITUTE(E1989,"°","º"))-1)),""))))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25802214</v>
      </c>
      <c r="C1990" s="4" t="inlineStr">
        <is>
          <t>COBERTURA</t>
        </is>
      </c>
      <c r="D1990" s="4" t="inlineStr">
        <is>
          <t>-</t>
        </is>
      </c>
      <c r="E1990" s="4" t="inlineStr">
        <is>
          <t>3º PAV. - QUADRA DE TÊNIS E POLIESPORTIVA</t>
        </is>
      </c>
      <c r="F1990" s="119" t="n">
        <v>46868</v>
      </c>
      <c r="G1990" s="119" t="n">
        <v>46925</v>
      </c>
      <c r="H1990" s="119" t="n">
        <v>46293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IF(E1990="","",IF(ISNUMBER(SEARCH("SUBSOLO",E1990)),IFERROR(-VALUE(LEFT(E1990,FIND("º",SUBSTITUTE(E1990,"°","º"))-1)),-1),IF(LEFT(E1990,6)="TÉRREO",0,IFERROR(VALUE(LEFT(E1990,FIND("º",SUBSTITUTE(E1990,"°","º"))-1)),""))))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25210699</v>
      </c>
      <c r="C1991" s="4" t="inlineStr">
        <is>
          <t>LIMPEZA FINA</t>
        </is>
      </c>
      <c r="D1991" s="4" t="inlineStr">
        <is>
          <t>-</t>
        </is>
      </c>
      <c r="E1991" s="4" t="inlineStr">
        <is>
          <t>8º PAV. TIPO</t>
        </is>
      </c>
      <c r="F1991" s="119" t="n">
        <v>46870</v>
      </c>
      <c r="G1991" s="119" t="n">
        <v>46884</v>
      </c>
      <c r="H1991" s="119" t="n">
        <v>46293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IF(E1991="","",IF(ISNUMBER(SEARCH("SUBSOLO",E1991)),IFERROR(-VALUE(LEFT(E1991,FIND("º",SUBSTITUTE(E1991,"°","º"))-1)),-1),IF(LEFT(E1991,6)="TÉRREO",0,IFERROR(VALUE(LEFT(E1991,FIND("º",SUBSTITUTE(E1991,"°","º"))-1)),""))))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25210519</v>
      </c>
      <c r="C1992" s="4" t="inlineStr">
        <is>
          <t>DISJUNTORES / MIOLOS</t>
        </is>
      </c>
      <c r="D1992" s="4" t="inlineStr">
        <is>
          <t>-</t>
        </is>
      </c>
      <c r="E1992" s="4" t="inlineStr">
        <is>
          <t>13º PAV. TIPO</t>
        </is>
      </c>
      <c r="F1992" s="119" t="n">
        <v>46870</v>
      </c>
      <c r="G1992" s="119" t="n">
        <v>46884</v>
      </c>
      <c r="H1992" s="119" t="n">
        <v>46293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IF(E1992="","",IF(ISNUMBER(SEARCH("SUBSOLO",E1992)),IFERROR(-VALUE(LEFT(E1992,FIND("º",SUBSTITUTE(E1992,"°","º"))-1)),-1),IF(LEFT(E1992,6)="TÉRREO",0,IFERROR(VALUE(LEFT(E1992,FIND("º",SUBSTITUTE(E1992,"°","º"))-1)),""))))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25210497</v>
      </c>
      <c r="C1993" s="4" t="inlineStr">
        <is>
          <t>CFTV</t>
        </is>
      </c>
      <c r="D1993" s="4" t="inlineStr">
        <is>
          <t>-</t>
        </is>
      </c>
      <c r="E1993" s="4" t="inlineStr">
        <is>
          <t>13º PAV. TIPO</t>
        </is>
      </c>
      <c r="F1993" s="119" t="n">
        <v>46870</v>
      </c>
      <c r="G1993" s="119" t="n">
        <v>46884</v>
      </c>
      <c r="H1993" s="119" t="n">
        <v>46293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IF(E1993="","",IF(ISNUMBER(SEARCH("SUBSOLO",E1993)),IFERROR(-VALUE(LEFT(E1993,FIND("º",SUBSTITUTE(E1993,"°","º"))-1)),-1),IF(LEFT(E1993,6)="TÉRREO",0,IFERROR(VALUE(LEFT(E1993,FIND("º",SUBSTITUTE(E1993,"°","º"))-1)),""))))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27766499</v>
      </c>
      <c r="C1994" s="4" t="inlineStr">
        <is>
          <t>COMUNICAÇÃO VISUAL</t>
        </is>
      </c>
      <c r="D1994" s="4" t="inlineStr">
        <is>
          <t>-</t>
        </is>
      </c>
      <c r="E1994" s="4" t="inlineStr">
        <is>
          <t>8º PAV. TIPO</t>
        </is>
      </c>
      <c r="F1994" s="119" t="n">
        <v>46871</v>
      </c>
      <c r="G1994" s="119" t="n">
        <v>46878</v>
      </c>
      <c r="H1994" s="119" t="n">
        <v>46293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IF(E1994="","",IF(ISNUMBER(SEARCH("SUBSOLO",E1994)),IFERROR(-VALUE(LEFT(E1994,FIND("º",SUBSTITUTE(E1994,"°","º"))-1)),-1),IF(LEFT(E1994,6)="TÉRREO",0,IFERROR(VALUE(LEFT(E1994,FIND("º",SUBSTITUTE(E1994,"°","º"))-1)),""))))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33292471</v>
      </c>
      <c r="C1995" s="4" t="inlineStr">
        <is>
          <t>PAISAGISMO</t>
        </is>
      </c>
      <c r="D1995" s="4" t="inlineStr">
        <is>
          <t>-</t>
        </is>
      </c>
      <c r="E1995" s="4" t="inlineStr">
        <is>
          <t>17º PAV. TIPO</t>
        </is>
      </c>
      <c r="F1995" s="119" t="n">
        <v>46871</v>
      </c>
      <c r="G1995" s="119" t="n">
        <v>46885</v>
      </c>
      <c r="H1995" s="119" t="n">
        <v>46293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IF(E1995="","",IF(ISNUMBER(SEARCH("SUBSOLO",E1995)),IFERROR(-VALUE(LEFT(E1995,FIND("º",SUBSTITUTE(E1995,"°","º"))-1)),-1),IF(LEFT(E1995,6)="TÉRREO",0,IFERROR(VALUE(LEFT(E1995,FIND("º",SUBSTITUTE(E1995,"°","º"))-1)),""))))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25210306</v>
      </c>
      <c r="C1996" s="4" t="inlineStr">
        <is>
          <t>ESQUADRIA MADEIRA</t>
        </is>
      </c>
      <c r="D1996" s="4" t="inlineStr">
        <is>
          <t>-</t>
        </is>
      </c>
      <c r="E1996" s="4" t="inlineStr">
        <is>
          <t>19º PAV. TIPO</t>
        </is>
      </c>
      <c r="F1996" s="119" t="n">
        <v>46871</v>
      </c>
      <c r="G1996" s="119" t="n">
        <v>46885</v>
      </c>
      <c r="H1996" s="119" t="n">
        <v>46293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IF(E1996="","",IF(ISNUMBER(SEARCH("SUBSOLO",E1996)),IFERROR(-VALUE(LEFT(E1996,FIND("º",SUBSTITUTE(E1996,"°","º"))-1)),-1),IF(LEFT(E1996,6)="TÉRREO",0,IFERROR(VALUE(LEFT(E1996,FIND("º",SUBSTITUTE(E1996,"°","º"))-1)),""))))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33276005</v>
      </c>
      <c r="C1997" s="4" t="inlineStr">
        <is>
          <t>FORRO DE MADEIRA</t>
        </is>
      </c>
      <c r="D1997" s="4" t="inlineStr">
        <is>
          <t>-</t>
        </is>
      </c>
      <c r="E1997" s="4" t="inlineStr">
        <is>
          <t>19º PAV. TIPO</t>
        </is>
      </c>
      <c r="F1997" s="119" t="n">
        <v>46871</v>
      </c>
      <c r="G1997" s="119" t="n">
        <v>46892</v>
      </c>
      <c r="H1997" s="119" t="n">
        <v>46293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IF(E1997="","",IF(ISNUMBER(SEARCH("SUBSOLO",E1997)),IFERROR(-VALUE(LEFT(E1997,FIND("º",SUBSTITUTE(E1997,"°","º"))-1)),-1),IF(LEFT(E1997,6)="TÉRREO",0,IFERROR(VALUE(LEFT(E1997,FIND("º",SUBSTITUTE(E1997,"°","º"))-1)),""))))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25210108</v>
      </c>
      <c r="C1998" s="4" t="inlineStr">
        <is>
          <t>PINTURA 1º DEMÃO</t>
        </is>
      </c>
      <c r="D1998" s="4" t="inlineStr">
        <is>
          <t>-</t>
        </is>
      </c>
      <c r="E1998" s="4" t="inlineStr">
        <is>
          <t>24º PAV. TIPO</t>
        </is>
      </c>
      <c r="F1998" s="119" t="n">
        <v>46871</v>
      </c>
      <c r="G1998" s="119" t="n">
        <v>46883</v>
      </c>
      <c r="H1998" s="119" t="n">
        <v>46293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IF(E1998="","",IF(ISNUMBER(SEARCH("SUBSOLO",E1998)),IFERROR(-VALUE(LEFT(E1998,FIND("º",SUBSTITUTE(E1998,"°","º"))-1)),-1),IF(LEFT(E1998,6)="TÉRREO",0,IFERROR(VALUE(LEFT(E1998,FIND("º",SUBSTITUTE(E1998,"°","º"))-1)),""))))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25752819</v>
      </c>
      <c r="C1999" s="4" t="inlineStr">
        <is>
          <t>FORRO</t>
        </is>
      </c>
      <c r="D1999" s="4" t="inlineStr">
        <is>
          <t>-</t>
        </is>
      </c>
      <c r="E1999" s="4" t="inlineStr">
        <is>
          <t>TÉRREO - ÁREAS SOCIAIS INTERNAS</t>
        </is>
      </c>
      <c r="F1999" s="119" t="n">
        <v>46876</v>
      </c>
      <c r="G1999" s="119" t="n">
        <v>46882</v>
      </c>
      <c r="H1999" s="119" t="n">
        <v>46293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IF(E1999="","",IF(ISNUMBER(SEARCH("SUBSOLO",E1999)),IFERROR(-VALUE(LEFT(E1999,FIND("º",SUBSTITUTE(E1999,"°","º"))-1)),-1),IF(LEFT(E1999,6)="TÉRREO",0,IFERROR(VALUE(LEFT(E1999,FIND("º",SUBSTITUTE(E1999,"°","º"))-1)),""))))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25752818</v>
      </c>
      <c r="C2000" s="4" t="inlineStr">
        <is>
          <t>ESQUADRIA</t>
        </is>
      </c>
      <c r="D2000" s="4" t="inlineStr">
        <is>
          <t>-</t>
        </is>
      </c>
      <c r="E2000" s="4" t="inlineStr">
        <is>
          <t>TÉRREO - ÁREAS SOCIAIS INTERNAS</t>
        </is>
      </c>
      <c r="F2000" s="119" t="n">
        <v>46876</v>
      </c>
      <c r="G2000" s="119" t="n">
        <v>46918</v>
      </c>
      <c r="H2000" s="119" t="n">
        <v>46293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IF(E2000="","",IF(ISNUMBER(SEARCH("SUBSOLO",E2000)),IFERROR(-VALUE(LEFT(E2000,FIND("º",SUBSTITUTE(E2000,"°","º"))-1)),-1),IF(LEFT(E2000,6)="TÉRREO",0,IFERROR(VALUE(LEFT(E2000,FIND("º",SUBSTITUTE(E2000,"°","º"))-1)),""))))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25210662</v>
      </c>
      <c r="C2001" s="4" t="inlineStr">
        <is>
          <t>PINTURA 3º DEMÃO</t>
        </is>
      </c>
      <c r="D2001" s="4" t="inlineStr">
        <is>
          <t>-</t>
        </is>
      </c>
      <c r="E2001" s="4" t="inlineStr">
        <is>
          <t>9º PAV. TIPO</t>
        </is>
      </c>
      <c r="F2001" s="119" t="n">
        <v>46878</v>
      </c>
      <c r="G2001" s="119" t="n">
        <v>46891</v>
      </c>
      <c r="H2001" s="119" t="n">
        <v>46293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IF(E2001="","",IF(ISNUMBER(SEARCH("SUBSOLO",E2001)),IFERROR(-VALUE(LEFT(E2001,FIND("º",SUBSTITUTE(E2001,"°","º"))-1)),-1),IF(LEFT(E2001,6)="TÉRREO",0,IFERROR(VALUE(LEFT(E2001,FIND("º",SUBSTITUTE(E2001,"°","º"))-1)),""))))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27770715</v>
      </c>
      <c r="C2002" s="4" t="inlineStr">
        <is>
          <t>SERRALHERIA</t>
        </is>
      </c>
      <c r="D2002" s="4" t="inlineStr">
        <is>
          <t>-</t>
        </is>
      </c>
      <c r="E2002" s="4" t="inlineStr">
        <is>
          <t>12º PAV. TIPO</t>
        </is>
      </c>
      <c r="F2002" s="119" t="n">
        <v>46878</v>
      </c>
      <c r="G2002" s="119" t="n">
        <v>46890</v>
      </c>
      <c r="H2002" s="119" t="n">
        <v>46293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IF(E2002="","",IF(ISNUMBER(SEARCH("SUBSOLO",E2002)),IFERROR(-VALUE(LEFT(E2002,FIND("º",SUBSTITUTE(E2002,"°","º"))-1)),-1),IF(LEFT(E2002,6)="TÉRREO",0,IFERROR(VALUE(LEFT(E2002,FIND("º",SUBSTITUTE(E2002,"°","º"))-1)),""))))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25210553</v>
      </c>
      <c r="C2003" s="4" t="inlineStr">
        <is>
          <t>LOUÇAS</t>
        </is>
      </c>
      <c r="D2003" s="4" t="inlineStr">
        <is>
          <t>-</t>
        </is>
      </c>
      <c r="E2003" s="4" t="inlineStr">
        <is>
          <t>12º PAV. TIPO</t>
        </is>
      </c>
      <c r="F2003" s="119" t="n">
        <v>46878</v>
      </c>
      <c r="G2003" s="119" t="n">
        <v>46891</v>
      </c>
      <c r="H2003" s="119" t="n">
        <v>46293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IF(E2003="","",IF(ISNUMBER(SEARCH("SUBSOLO",E2003)),IFERROR(-VALUE(LEFT(E2003,FIND("º",SUBSTITUTE(E2003,"°","º"))-1)),-1),IF(LEFT(E2003,6)="TÉRREO",0,IFERROR(VALUE(LEFT(E2003,FIND("º",SUBSTITUTE(E2003,"°","º"))-1)),""))))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25210556</v>
      </c>
      <c r="C2004" s="4" t="inlineStr">
        <is>
          <t>METAIS</t>
        </is>
      </c>
      <c r="D2004" s="4" t="inlineStr">
        <is>
          <t>-</t>
        </is>
      </c>
      <c r="E2004" s="4" t="inlineStr">
        <is>
          <t>12º PAV. TIPO</t>
        </is>
      </c>
      <c r="F2004" s="119" t="n">
        <v>46878</v>
      </c>
      <c r="G2004" s="119" t="n">
        <v>46891</v>
      </c>
      <c r="H2004" s="119" t="n">
        <v>46293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IF(E2004="","",IF(ISNUMBER(SEARCH("SUBSOLO",E2004)),IFERROR(-VALUE(LEFT(E2004,FIND("º",SUBSTITUTE(E2004,"°","º"))-1)),-1),IF(LEFT(E2004,6)="TÉRREO",0,IFERROR(VALUE(LEFT(E2004,FIND("º",SUBSTITUTE(E2004,"°","º"))-1)),""))))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25210558</v>
      </c>
      <c r="C2005" s="4" t="inlineStr">
        <is>
          <t>ACABAMENTOS ELÉTRICOS</t>
        </is>
      </c>
      <c r="D2005" s="4" t="inlineStr">
        <is>
          <t>-</t>
        </is>
      </c>
      <c r="E2005" s="4" t="inlineStr">
        <is>
          <t>12º PAV. TIPO</t>
        </is>
      </c>
      <c r="F2005" s="119" t="n">
        <v>46878</v>
      </c>
      <c r="G2005" s="119" t="n">
        <v>46891</v>
      </c>
      <c r="H2005" s="119" t="n">
        <v>46293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IF(E2005="","",IF(ISNUMBER(SEARCH("SUBSOLO",E2005)),IFERROR(-VALUE(LEFT(E2005,FIND("º",SUBSTITUTE(E2005,"°","º"))-1)),-1),IF(LEFT(E2005,6)="TÉRREO",0,IFERROR(VALUE(LEFT(E2005,FIND("º",SUBSTITUTE(E2005,"°","º"))-1)),""))))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27766419</v>
      </c>
      <c r="C2006" s="4" t="inlineStr">
        <is>
          <t>ACABAMENTOS INCÊNDIO</t>
        </is>
      </c>
      <c r="D2006" s="4" t="inlineStr">
        <is>
          <t>-</t>
        </is>
      </c>
      <c r="E2006" s="4" t="inlineStr">
        <is>
          <t>12º PAV. TIPO</t>
        </is>
      </c>
      <c r="F2006" s="119" t="n">
        <v>46878</v>
      </c>
      <c r="G2006" s="119" t="n">
        <v>46891</v>
      </c>
      <c r="H2006" s="119" t="n">
        <v>46293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IF(E2006="","",IF(ISNUMBER(SEARCH("SUBSOLO",E2006)),IFERROR(-VALUE(LEFT(E2006,FIND("º",SUBSTITUTE(E2006,"°","º"))-1)),-1),IF(LEFT(E2006,6)="TÉRREO",0,IFERROR(VALUE(LEFT(E2006,FIND("º",SUBSTITUTE(E2006,"°","º"))-1)),""))))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25210485</v>
      </c>
      <c r="C2007" s="4" t="inlineStr">
        <is>
          <t>LIMPEZA GROSSA</t>
        </is>
      </c>
      <c r="D2007" s="4" t="inlineStr">
        <is>
          <t>-</t>
        </is>
      </c>
      <c r="E2007" s="4" t="inlineStr">
        <is>
          <t>14º PAV. TIPO</t>
        </is>
      </c>
      <c r="F2007" s="119" t="n">
        <v>46878</v>
      </c>
      <c r="G2007" s="119" t="n">
        <v>46891</v>
      </c>
      <c r="H2007" s="119" t="n">
        <v>46293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IF(E2007="","",IF(ISNUMBER(SEARCH("SUBSOLO",E2007)),IFERROR(-VALUE(LEFT(E2007,FIND("º",SUBSTITUTE(E2007,"°","º"))-1)),-1),IF(LEFT(E2007,6)="TÉRREO",0,IFERROR(VALUE(LEFT(E2007,FIND("º",SUBSTITUTE(E2007,"°","º"))-1)),""))))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33276139</v>
      </c>
      <c r="C2008" s="4" t="inlineStr">
        <is>
          <t>TRATAMENTO DE GRANITO/MÁRMORE</t>
        </is>
      </c>
      <c r="D2008" s="4" t="inlineStr">
        <is>
          <t>-</t>
        </is>
      </c>
      <c r="E2008" s="4" t="inlineStr">
        <is>
          <t>15º PAV. TIPO</t>
        </is>
      </c>
      <c r="F2008" s="119" t="n">
        <v>46878</v>
      </c>
      <c r="G2008" s="119" t="n">
        <v>46898</v>
      </c>
      <c r="H2008" s="119" t="n">
        <v>46293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IF(E2008="","",IF(ISNUMBER(SEARCH("SUBSOLO",E2008)),IFERROR(-VALUE(LEFT(E2008,FIND("º",SUBSTITUTE(E2008,"°","º"))-1)),-1),IF(LEFT(E2008,6)="TÉRREO",0,IFERROR(VALUE(LEFT(E2008,FIND("º",SUBSTITUTE(E2008,"°","º"))-1)),""))))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25210344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18º PAV. TIPO</t>
        </is>
      </c>
      <c r="F2009" s="119" t="n">
        <v>46881</v>
      </c>
      <c r="G2009" s="119" t="n">
        <v>46892</v>
      </c>
      <c r="H2009" s="119" t="n">
        <v>46293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IF(E2009="","",IF(ISNUMBER(SEARCH("SUBSOLO",E2009)),IFERROR(-VALUE(LEFT(E2009,FIND("º",SUBSTITUTE(E2009,"°","º"))-1)),-1),IF(LEFT(E2009,6)="TÉRREO",0,IFERROR(VALUE(LEFT(E2009,FIND("º",SUBSTITUTE(E2009,"°","º"))-1)),""))))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25210322</v>
      </c>
      <c r="C2010" s="4" t="inlineStr">
        <is>
          <t>CFTV</t>
        </is>
      </c>
      <c r="D2010" s="4" t="inlineStr">
        <is>
          <t>-</t>
        </is>
      </c>
      <c r="E2010" s="4" t="inlineStr">
        <is>
          <t>18º PAV. TIPO</t>
        </is>
      </c>
      <c r="F2010" s="119" t="n">
        <v>46881</v>
      </c>
      <c r="G2010" s="119" t="n">
        <v>46892</v>
      </c>
      <c r="H2010" s="119" t="n">
        <v>46293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IF(E2010="","",IF(ISNUMBER(SEARCH("SUBSOLO",E2010)),IFERROR(-VALUE(LEFT(E2010,FIND("º",SUBSTITUTE(E2010,"°","º"))-1)),-1),IF(LEFT(E2010,6)="TÉRREO",0,IFERROR(VALUE(LEFT(E2010,FIND("º",SUBSTITUTE(E2010,"°","º"))-1)),""))))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25210265</v>
      </c>
      <c r="C2011" s="4" t="inlineStr">
        <is>
          <t>PISO MADEIRA / LAMINADO</t>
        </is>
      </c>
      <c r="D2011" s="4" t="inlineStr">
        <is>
          <t>-</t>
        </is>
      </c>
      <c r="E2011" s="4" t="inlineStr">
        <is>
          <t>20º PAV. TIPO</t>
        </is>
      </c>
      <c r="F2011" s="119" t="n">
        <v>46881</v>
      </c>
      <c r="G2011" s="119" t="n">
        <v>46892</v>
      </c>
      <c r="H2011" s="119" t="n">
        <v>46293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IF(E2011="","",IF(ISNUMBER(SEARCH("SUBSOLO",E2011)),IFERROR(-VALUE(LEFT(E2011,FIND("º",SUBSTITUTE(E2011,"°","º"))-1)),-1),IF(LEFT(E2011,6)="TÉRREO",0,IFERROR(VALUE(LEFT(E2011,FIND("º",SUBSTITUTE(E2011,"°","º"))-1)),""))))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9054374</v>
      </c>
      <c r="C2012" s="4" t="inlineStr">
        <is>
          <t>PISO MADEIRA / LAMINADO</t>
        </is>
      </c>
      <c r="D2012" s="4" t="inlineStr">
        <is>
          <t>Regularização de Piso</t>
        </is>
      </c>
      <c r="E2012" s="4" t="inlineStr">
        <is>
          <t>20º PAV. TIPO</t>
        </is>
      </c>
      <c r="F2012" s="119" t="n">
        <v>46881</v>
      </c>
      <c r="G2012" s="119" t="n">
        <v>46885</v>
      </c>
      <c r="H2012" s="119" t="n">
        <v>46293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IF(E2012="","",IF(ISNUMBER(SEARCH("SUBSOLO",E2012)),IFERROR(-VALUE(LEFT(E2012,FIND("º",SUBSTITUTE(E2012,"°","º"))-1)),-1),IF(LEFT(E2012,6)="TÉRREO",0,IFERROR(VALUE(LEFT(E2012,FIND("º",SUBSTITUTE(E2012,"°","º"))-1)),""))))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9054375</v>
      </c>
      <c r="C2013" s="4" t="inlineStr">
        <is>
          <t>PISO MADEIRA / LAMINADO</t>
        </is>
      </c>
      <c r="D2013" s="4" t="inlineStr">
        <is>
          <t>Instalação Piso Madeira</t>
        </is>
      </c>
      <c r="E2013" s="4" t="inlineStr">
        <is>
          <t>20º PAV. TIPO</t>
        </is>
      </c>
      <c r="F2013" s="119" t="n">
        <v>46888</v>
      </c>
      <c r="G2013" s="119" t="n">
        <v>46892</v>
      </c>
      <c r="H2013" s="119" t="n">
        <v>46293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IF(E2013="","",IF(ISNUMBER(SEARCH("SUBSOLO",E2013)),IFERROR(-VALUE(LEFT(E2013,FIND("º",SUBSTITUTE(E2013,"°","º"))-1)),-1),IF(LEFT(E2013,6)="TÉRREO",0,IFERROR(VALUE(LEFT(E2013,FIND("º",SUBSTITUTE(E2013,"°","º"))-1)),""))))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25210234</v>
      </c>
      <c r="C2014" s="4" t="inlineStr">
        <is>
          <t>ESQUADRIA</t>
        </is>
      </c>
      <c r="D2014" s="4" t="inlineStr">
        <is>
          <t>-</t>
        </is>
      </c>
      <c r="E2014" s="4" t="inlineStr">
        <is>
          <t>21º PAV. TIPO</t>
        </is>
      </c>
      <c r="F2014" s="119" t="n">
        <v>46881</v>
      </c>
      <c r="G2014" s="119" t="n">
        <v>46899</v>
      </c>
      <c r="H2014" s="119" t="n">
        <v>46293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IF(E2014="","",IF(ISNUMBER(SEARCH("SUBSOLO",E2014)),IFERROR(-VALUE(LEFT(E2014,FIND("º",SUBSTITUTE(E2014,"°","º"))-1)),-1),IF(LEFT(E2014,6)="TÉRREO",0,IFERROR(VALUE(LEFT(E2014,FIND("º",SUBSTITUTE(E2014,"°","º"))-1)),""))))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25752820</v>
      </c>
      <c r="C2015" s="4" t="inlineStr">
        <is>
          <t>PINTURA 1º DEMÃO</t>
        </is>
      </c>
      <c r="D2015" s="4" t="inlineStr">
        <is>
          <t>-</t>
        </is>
      </c>
      <c r="E2015" s="4" t="inlineStr">
        <is>
          <t>TÉRREO - ÁREAS SOCIAIS INTERNAS</t>
        </is>
      </c>
      <c r="F2015" s="119" t="n">
        <v>46883</v>
      </c>
      <c r="G2015" s="119" t="n">
        <v>46889</v>
      </c>
      <c r="H2015" s="119" t="n">
        <v>46293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IF(E2015="","",IF(ISNUMBER(SEARCH("SUBSOLO",E2015)),IFERROR(-VALUE(LEFT(E2015,FIND("º",SUBSTITUTE(E2015,"°","º"))-1)),-1),IF(LEFT(E2015,6)="TÉRREO",0,IFERROR(VALUE(LEFT(E2015,FIND("º",SUBSTITUTE(E2015,"°","º"))-1)),""))))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25210072</v>
      </c>
      <c r="C2016" s="4" t="inlineStr">
        <is>
          <t>MASSA CORRIDA</t>
        </is>
      </c>
      <c r="D2016" s="4" t="inlineStr">
        <is>
          <t>-</t>
        </is>
      </c>
      <c r="E2016" s="4" t="inlineStr">
        <is>
          <t>25º PAV. TIPO</t>
        </is>
      </c>
      <c r="F2016" s="119" t="n">
        <v>46884</v>
      </c>
      <c r="G2016" s="119" t="n">
        <v>46892</v>
      </c>
      <c r="H2016" s="119" t="n">
        <v>46293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IF(E2016="","",IF(ISNUMBER(SEARCH("SUBSOLO",E2016)),IFERROR(-VALUE(LEFT(E2016,FIND("º",SUBSTITUTE(E2016,"°","º"))-1)),-1),IF(LEFT(E2016,6)="TÉRREO",0,IFERROR(VALUE(LEFT(E2016,FIND("º",SUBSTITUTE(E2016,"°","º"))-1)),""))))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25210700</v>
      </c>
      <c r="C2017" s="4" t="inlineStr">
        <is>
          <t>CHECKLIST</t>
        </is>
      </c>
      <c r="D2017" s="4" t="inlineStr">
        <is>
          <t>-</t>
        </is>
      </c>
      <c r="E2017" s="4" t="inlineStr">
        <is>
          <t>8º PAV. TIPO</t>
        </is>
      </c>
      <c r="F2017" s="119" t="n">
        <v>46885</v>
      </c>
      <c r="G2017" s="119" t="n">
        <v>46895</v>
      </c>
      <c r="H2017" s="119" t="n">
        <v>46293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IF(E2017="","",IF(ISNUMBER(SEARCH("SUBSOLO",E2017)),IFERROR(-VALUE(LEFT(E2017,FIND("º",SUBSTITUTE(E2017,"°","º"))-1)),-1),IF(LEFT(E2017,6)="TÉRREO",0,IFERROR(VALUE(LEFT(E2017,FIND("º",SUBSTITUTE(E2017,"°","º"))-1)),""))))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33292467</v>
      </c>
      <c r="C2018" s="4" t="inlineStr">
        <is>
          <t>PAISAGISMO</t>
        </is>
      </c>
      <c r="D2018" s="4" t="inlineStr">
        <is>
          <t>-</t>
        </is>
      </c>
      <c r="E2018" s="4" t="inlineStr">
        <is>
          <t>13º PAV. TIPO</t>
        </is>
      </c>
      <c r="F2018" s="119" t="n">
        <v>46885</v>
      </c>
      <c r="G2018" s="119" t="n">
        <v>46898</v>
      </c>
      <c r="H2018" s="119" t="n">
        <v>46293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IF(E2018="","",IF(ISNUMBER(SEARCH("SUBSOLO",E2018)),IFERROR(-VALUE(LEFT(E2018,FIND("º",SUBSTITUTE(E2018,"°","º"))-1)),-1),IF(LEFT(E2018,6)="TÉRREO",0,IFERROR(VALUE(LEFT(E2018,FIND("º",SUBSTITUTE(E2018,"°","º"))-1)),""))))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25210415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16º PAV. TIPO</t>
        </is>
      </c>
      <c r="F2019" s="119" t="n">
        <v>46888</v>
      </c>
      <c r="G2019" s="119" t="n">
        <v>46899</v>
      </c>
      <c r="H2019" s="119" t="n">
        <v>46293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IF(E2019="","",IF(ISNUMBER(SEARCH("SUBSOLO",E2019)),IFERROR(-VALUE(LEFT(E2019,FIND("º",SUBSTITUTE(E2019,"°","º"))-1)),-1),IF(LEFT(E2019,6)="TÉRREO",0,IFERROR(VALUE(LEFT(E2019,FIND("º",SUBSTITUTE(E2019,"°","º"))-1)),""))))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33276141</v>
      </c>
      <c r="C2020" s="4" t="inlineStr">
        <is>
          <t>TRATAMENTO DE GRANITO/MÁRMORE</t>
        </is>
      </c>
      <c r="D2020" s="4" t="inlineStr">
        <is>
          <t>-</t>
        </is>
      </c>
      <c r="E2020" s="4" t="inlineStr">
        <is>
          <t>17º PAV. TIPO</t>
        </is>
      </c>
      <c r="F2020" s="119" t="n">
        <v>46888</v>
      </c>
      <c r="G2020" s="119" t="n">
        <v>46906</v>
      </c>
      <c r="H2020" s="119" t="n">
        <v>46293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IF(E2020="","",IF(ISNUMBER(SEARCH("SUBSOLO",E2020)),IFERROR(-VALUE(LEFT(E2020,FIND("º",SUBSTITUTE(E2020,"°","º"))-1)),-1),IF(LEFT(E2020,6)="TÉRREO",0,IFERROR(VALUE(LEFT(E2020,FIND("º",SUBSTITUTE(E2020,"°","º"))-1)),""))))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25210286</v>
      </c>
      <c r="C2021" s="4" t="inlineStr">
        <is>
          <t>RODAPÉ MADEIRA / PVC</t>
        </is>
      </c>
      <c r="D2021" s="4" t="inlineStr">
        <is>
          <t>-</t>
        </is>
      </c>
      <c r="E2021" s="4" t="inlineStr">
        <is>
          <t>19º PAV. TIPO</t>
        </is>
      </c>
      <c r="F2021" s="119" t="n">
        <v>46888</v>
      </c>
      <c r="G2021" s="119" t="n">
        <v>46899</v>
      </c>
      <c r="H2021" s="119" t="n">
        <v>46293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IF(E2021="","",IF(ISNUMBER(SEARCH("SUBSOLO",E2021)),IFERROR(-VALUE(LEFT(E2021,FIND("º",SUBSTITUTE(E2021,"°","º"))-1)),-1),IF(LEFT(E2021,6)="TÉRREO",0,IFERROR(VALUE(LEFT(E2021,FIND("º",SUBSTITUTE(E2021,"°","º"))-1)),""))))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25752821</v>
      </c>
      <c r="C2022" s="4" t="inlineStr">
        <is>
          <t>ESQUADRIA MADEIRA</t>
        </is>
      </c>
      <c r="D2022" s="4" t="inlineStr">
        <is>
          <t>-</t>
        </is>
      </c>
      <c r="E2022" s="4" t="inlineStr">
        <is>
          <t>TÉRREO - ÁREAS SOCIAIS INTERNAS</t>
        </is>
      </c>
      <c r="F2022" s="119" t="n">
        <v>46890</v>
      </c>
      <c r="G2022" s="119" t="n">
        <v>46896</v>
      </c>
      <c r="H2022" s="119" t="n">
        <v>46293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IF(E2022="","",IF(ISNUMBER(SEARCH("SUBSOLO",E2022)),IFERROR(-VALUE(LEFT(E2022,FIND("º",SUBSTITUTE(E2022,"°","º"))-1)),-1),IF(LEFT(E2022,6)="TÉRREO",0,IFERROR(VALUE(LEFT(E2022,FIND("º",SUBSTITUTE(E2022,"°","º"))-1)),""))))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25210664</v>
      </c>
      <c r="C2023" s="4" t="inlineStr">
        <is>
          <t>LIMPEZA FINA</t>
        </is>
      </c>
      <c r="D2023" s="4" t="inlineStr">
        <is>
          <t>-</t>
        </is>
      </c>
      <c r="E2023" s="4" t="inlineStr">
        <is>
          <t>9º PAV. TIPO</t>
        </is>
      </c>
      <c r="F2023" s="119" t="n">
        <v>46892</v>
      </c>
      <c r="G2023" s="119" t="n">
        <v>46905</v>
      </c>
      <c r="H2023" s="119" t="n">
        <v>46293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IF(E2023="","",IF(ISNUMBER(SEARCH("SUBSOLO",E2023)),IFERROR(-VALUE(LEFT(E2023,FIND("º",SUBSTITUTE(E2023,"°","º"))-1)),-1),IF(LEFT(E2023,6)="TÉRREO",0,IFERROR(VALUE(LEFT(E2023,FIND("º",SUBSTITUTE(E2023,"°","º"))-1)),""))))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25210557</v>
      </c>
      <c r="C2024" s="4" t="inlineStr">
        <is>
          <t>PINTURA 3º DEMÃO</t>
        </is>
      </c>
      <c r="D2024" s="4" t="inlineStr">
        <is>
          <t>-</t>
        </is>
      </c>
      <c r="E2024" s="4" t="inlineStr">
        <is>
          <t>12º PAV. TIPO</t>
        </is>
      </c>
      <c r="F2024" s="119" t="n">
        <v>46892</v>
      </c>
      <c r="G2024" s="119" t="n">
        <v>46905</v>
      </c>
      <c r="H2024" s="119" t="n">
        <v>46293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IF(E2024="","",IF(ISNUMBER(SEARCH("SUBSOLO",E2024)),IFERROR(-VALUE(LEFT(E2024,FIND("º",SUBSTITUTE(E2024,"°","º"))-1)),-1),IF(LEFT(E2024,6)="TÉRREO",0,IFERROR(VALUE(LEFT(E2024,FIND("º",SUBSTITUTE(E2024,"°","º"))-1)),""))))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25210482</v>
      </c>
      <c r="C2025" s="4" t="inlineStr">
        <is>
          <t>PINTURA 2º DEMÃO</t>
        </is>
      </c>
      <c r="D2025" s="4" t="inlineStr">
        <is>
          <t>-</t>
        </is>
      </c>
      <c r="E2025" s="4" t="inlineStr">
        <is>
          <t>14º PAV. TIPO</t>
        </is>
      </c>
      <c r="F2025" s="119" t="n">
        <v>46892</v>
      </c>
      <c r="G2025" s="119" t="n">
        <v>46905</v>
      </c>
      <c r="H2025" s="119" t="n">
        <v>46293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IF(E2025="","",IF(ISNUMBER(SEARCH("SUBSOLO",E2025)),IFERROR(-VALUE(LEFT(E2025,FIND("º",SUBSTITUTE(E2025,"°","º"))-1)),-1),IF(LEFT(E2025,6)="TÉRREO",0,IFERROR(VALUE(LEFT(E2025,FIND("º",SUBSTITUTE(E2025,"°","º"))-1)),""))))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27766500</v>
      </c>
      <c r="C2026" s="4" t="inlineStr">
        <is>
          <t>COMUNICAÇÃO VISUAL</t>
        </is>
      </c>
      <c r="D2026" s="4" t="inlineStr">
        <is>
          <t>-</t>
        </is>
      </c>
      <c r="E2026" s="4" t="inlineStr">
        <is>
          <t>9º PAV. TIPO</t>
        </is>
      </c>
      <c r="F2026" s="119" t="n">
        <v>46895</v>
      </c>
      <c r="G2026" s="119" t="n">
        <v>46899</v>
      </c>
      <c r="H2026" s="119" t="n">
        <v>46293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IF(E2026="","",IF(ISNUMBER(SEARCH("SUBSOLO",E2026)),IFERROR(-VALUE(LEFT(E2026,FIND("º",SUBSTITUTE(E2026,"°","º"))-1)),-1),IF(LEFT(E2026,6)="TÉRREO",0,IFERROR(VALUE(LEFT(E2026,FIND("º",SUBSTITUTE(E2026,"°","º"))-1)),""))))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33292472</v>
      </c>
      <c r="C2027" s="4" t="inlineStr">
        <is>
          <t>PAISAGISMO</t>
        </is>
      </c>
      <c r="D2027" s="4" t="inlineStr">
        <is>
          <t>-</t>
        </is>
      </c>
      <c r="E2027" s="4" t="inlineStr">
        <is>
          <t>18º PAV. TIPO</t>
        </is>
      </c>
      <c r="F2027" s="119" t="n">
        <v>46895</v>
      </c>
      <c r="G2027" s="119" t="n">
        <v>46906</v>
      </c>
      <c r="H2027" s="119" t="n">
        <v>46293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IF(E2027="","",IF(ISNUMBER(SEARCH("SUBSOLO",E2027)),IFERROR(-VALUE(LEFT(E2027,FIND("º",SUBSTITUTE(E2027,"°","º"))-1)),-1),IF(LEFT(E2027,6)="TÉRREO",0,IFERROR(VALUE(LEFT(E2027,FIND("º",SUBSTITUTE(E2027,"°","º"))-1)),""))))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25210271</v>
      </c>
      <c r="C2028" s="4" t="inlineStr">
        <is>
          <t>ESQUADRIA MADEIRA</t>
        </is>
      </c>
      <c r="D2028" s="4" t="inlineStr">
        <is>
          <t>-</t>
        </is>
      </c>
      <c r="E2028" s="4" t="inlineStr">
        <is>
          <t>20º PAV. TIPO</t>
        </is>
      </c>
      <c r="F2028" s="119" t="n">
        <v>46895</v>
      </c>
      <c r="G2028" s="119" t="n">
        <v>46906</v>
      </c>
      <c r="H2028" s="119" t="n">
        <v>46293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IF(E2028="","",IF(ISNUMBER(SEARCH("SUBSOLO",E2028)),IFERROR(-VALUE(LEFT(E2028,FIND("º",SUBSTITUTE(E2028,"°","º"))-1)),-1),IF(LEFT(E2028,6)="TÉRREO",0,IFERROR(VALUE(LEFT(E2028,FIND("º",SUBSTITUTE(E2028,"°","º"))-1)),""))))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33276006</v>
      </c>
      <c r="C2029" s="4" t="inlineStr">
        <is>
          <t>FORRO DE MADEIRA</t>
        </is>
      </c>
      <c r="D2029" s="4" t="inlineStr">
        <is>
          <t>-</t>
        </is>
      </c>
      <c r="E2029" s="4" t="inlineStr">
        <is>
          <t>20º PAV. TIPO</t>
        </is>
      </c>
      <c r="F2029" s="119" t="n">
        <v>46895</v>
      </c>
      <c r="G2029" s="119" t="n">
        <v>46913</v>
      </c>
      <c r="H2029" s="119" t="n">
        <v>46293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IF(E2029="","",IF(ISNUMBER(SEARCH("SUBSOLO",E2029)),IFERROR(-VALUE(LEFT(E2029,FIND("º",SUBSTITUTE(E2029,"°","º"))-1)),-1),IF(LEFT(E2029,6)="TÉRREO",0,IFERROR(VALUE(LEFT(E2029,FIND("º",SUBSTITUTE(E2029,"°","º"))-1)),""))))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25210073</v>
      </c>
      <c r="C2030" s="4" t="inlineStr">
        <is>
          <t>PINTURA 1º DEMÃO</t>
        </is>
      </c>
      <c r="D2030" s="4" t="inlineStr">
        <is>
          <t>-</t>
        </is>
      </c>
      <c r="E2030" s="4" t="inlineStr">
        <is>
          <t>25º PAV. TIPO</t>
        </is>
      </c>
      <c r="F2030" s="119" t="n">
        <v>46895</v>
      </c>
      <c r="G2030" s="119" t="n">
        <v>46904</v>
      </c>
      <c r="H2030" s="119" t="n">
        <v>46293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IF(E2030="","",IF(ISNUMBER(SEARCH("SUBSOLO",E2030)),IFERROR(-VALUE(LEFT(E2030,FIND("º",SUBSTITUTE(E2030,"°","º"))-1)),-1),IF(LEFT(E2030,6)="TÉRREO",0,IFERROR(VALUE(LEFT(E2030,FIND("º",SUBSTITUTE(E2030,"°","º"))-1)),""))))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25752822</v>
      </c>
      <c r="C2031" s="4" t="inlineStr">
        <is>
          <t>LIMPEZA GROSSA</t>
        </is>
      </c>
      <c r="D2031" s="4" t="inlineStr">
        <is>
          <t>-</t>
        </is>
      </c>
      <c r="E2031" s="4" t="inlineStr">
        <is>
          <t>TÉRREO - ÁREAS SOCIAIS INTERNAS</t>
        </is>
      </c>
      <c r="F2031" s="119" t="n">
        <v>46897</v>
      </c>
      <c r="G2031" s="119" t="n">
        <v>46903</v>
      </c>
      <c r="H2031" s="119" t="n">
        <v>46293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IF(E2031="","",IF(ISNUMBER(SEARCH("SUBSOLO",E2031)),IFERROR(-VALUE(LEFT(E2031,FIND("º",SUBSTITUTE(E2031,"°","º"))-1)),-1),IF(LEFT(E2031,6)="TÉRREO",0,IFERROR(VALUE(LEFT(E2031,FIND("º",SUBSTITUTE(E2031,"°","º"))-1)),""))))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33276137</v>
      </c>
      <c r="C2032" s="4" t="inlineStr">
        <is>
          <t>TRATAMENTO DE GRANITO/MÁRMORE</t>
        </is>
      </c>
      <c r="D2032" s="4" t="inlineStr">
        <is>
          <t>-</t>
        </is>
      </c>
      <c r="E2032" s="4" t="inlineStr">
        <is>
          <t>13º PAV. TIPO</t>
        </is>
      </c>
      <c r="F2032" s="119" t="n">
        <v>46899</v>
      </c>
      <c r="G2032" s="119" t="n">
        <v>46920</v>
      </c>
      <c r="H2032" s="119" t="n">
        <v>46293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IF(E2032="","",IF(ISNUMBER(SEARCH("SUBSOLO",E2032)),IFERROR(-VALUE(LEFT(E2032,FIND("º",SUBSTITUTE(E2032,"°","º"))-1)),-1),IF(LEFT(E2032,6)="TÉRREO",0,IFERROR(VALUE(LEFT(E2032,FIND("º",SUBSTITUTE(E2032,"°","º"))-1)),""))))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25210450</v>
      </c>
      <c r="C2033" s="4" t="inlineStr">
        <is>
          <t>LIMPEZA GROSSA</t>
        </is>
      </c>
      <c r="D2033" s="4" t="inlineStr">
        <is>
          <t>-</t>
        </is>
      </c>
      <c r="E2033" s="4" t="inlineStr">
        <is>
          <t>15º PAV. TIPO</t>
        </is>
      </c>
      <c r="F2033" s="119" t="n">
        <v>46899</v>
      </c>
      <c r="G2033" s="119" t="n">
        <v>46912</v>
      </c>
      <c r="H2033" s="119" t="n">
        <v>46293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IF(E2033="","",IF(ISNUMBER(SEARCH("SUBSOLO",E2033)),IFERROR(-VALUE(LEFT(E2033,FIND("º",SUBSTITUTE(E2033,"°","º"))-1)),-1),IF(LEFT(E2033,6)="TÉRREO",0,IFERROR(VALUE(LEFT(E2033,FIND("º",SUBSTITUTE(E2033,"°","º"))-1)),""))))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25210412</v>
      </c>
      <c r="C2034" s="4" t="inlineStr">
        <is>
          <t>PINTURA 2º DEMÃO</t>
        </is>
      </c>
      <c r="D2034" s="4" t="inlineStr">
        <is>
          <t>-</t>
        </is>
      </c>
      <c r="E2034" s="4" t="inlineStr">
        <is>
          <t>16º PAV. TIPO</t>
        </is>
      </c>
      <c r="F2034" s="119" t="n">
        <v>46902</v>
      </c>
      <c r="G2034" s="119" t="n">
        <v>46913</v>
      </c>
      <c r="H2034" s="119" t="n">
        <v>46293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IF(E2034="","",IF(ISNUMBER(SEARCH("SUBSOLO",E2034)),IFERROR(-VALUE(LEFT(E2034,FIND("º",SUBSTITUTE(E2034,"°","º"))-1)),-1),IF(LEFT(E2034,6)="TÉRREO",0,IFERROR(VALUE(LEFT(E2034,FIND("º",SUBSTITUTE(E2034,"°","º"))-1)),""))))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25210309</v>
      </c>
      <c r="C2035" s="4" t="inlineStr">
        <is>
          <t>DISJUNTORES / MIOLOS</t>
        </is>
      </c>
      <c r="D2035" s="4" t="inlineStr">
        <is>
          <t>-</t>
        </is>
      </c>
      <c r="E2035" s="4" t="inlineStr">
        <is>
          <t>19º PAV. TIPO</t>
        </is>
      </c>
      <c r="F2035" s="119" t="n">
        <v>46902</v>
      </c>
      <c r="G2035" s="119" t="n">
        <v>46913</v>
      </c>
      <c r="H2035" s="119" t="n">
        <v>46293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IF(E2035="","",IF(ISNUMBER(SEARCH("SUBSOLO",E2035)),IFERROR(-VALUE(LEFT(E2035,FIND("º",SUBSTITUTE(E2035,"°","º"))-1)),-1),IF(LEFT(E2035,6)="TÉRREO",0,IFERROR(VALUE(LEFT(E2035,FIND("º",SUBSTITUTE(E2035,"°","º"))-1)),""))))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25210287</v>
      </c>
      <c r="C2036" s="4" t="inlineStr">
        <is>
          <t>CFTV</t>
        </is>
      </c>
      <c r="D2036" s="4" t="inlineStr">
        <is>
          <t>-</t>
        </is>
      </c>
      <c r="E2036" s="4" t="inlineStr">
        <is>
          <t>19º PAV. TIPO</t>
        </is>
      </c>
      <c r="F2036" s="119" t="n">
        <v>46902</v>
      </c>
      <c r="G2036" s="119" t="n">
        <v>46913</v>
      </c>
      <c r="H2036" s="119" t="n">
        <v>46293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IF(E2036="","",IF(ISNUMBER(SEARCH("SUBSOLO",E2036)),IFERROR(-VALUE(LEFT(E2036,FIND("º",SUBSTITUTE(E2036,"°","º"))-1)),-1),IF(LEFT(E2036,6)="TÉRREO",0,IFERROR(VALUE(LEFT(E2036,FIND("º",SUBSTITUTE(E2036,"°","º"))-1)),""))))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25210230</v>
      </c>
      <c r="C2037" s="4" t="inlineStr">
        <is>
          <t>PISO MADEIRA / LAMINADO</t>
        </is>
      </c>
      <c r="D2037" s="4" t="inlineStr">
        <is>
          <t>-</t>
        </is>
      </c>
      <c r="E2037" s="4" t="inlineStr">
        <is>
          <t>21º PAV. TIPO</t>
        </is>
      </c>
      <c r="F2037" s="119" t="n">
        <v>46902</v>
      </c>
      <c r="G2037" s="119" t="n">
        <v>46913</v>
      </c>
      <c r="H2037" s="119" t="n">
        <v>46293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IF(E2037="","",IF(ISNUMBER(SEARCH("SUBSOLO",E2037)),IFERROR(-VALUE(LEFT(E2037,FIND("º",SUBSTITUTE(E2037,"°","º"))-1)),-1),IF(LEFT(E2037,6)="TÉRREO",0,IFERROR(VALUE(LEFT(E2037,FIND("º",SUBSTITUTE(E2037,"°","º"))-1)),""))))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9054372</v>
      </c>
      <c r="C2038" s="4" t="inlineStr">
        <is>
          <t>PISO MADEIRA / LAMINADO</t>
        </is>
      </c>
      <c r="D2038" s="4" t="inlineStr">
        <is>
          <t>Regularização de Piso</t>
        </is>
      </c>
      <c r="E2038" s="4" t="inlineStr">
        <is>
          <t>21º PAV. TIPO</t>
        </is>
      </c>
      <c r="F2038" s="119" t="n">
        <v>46902</v>
      </c>
      <c r="G2038" s="119" t="n">
        <v>46906</v>
      </c>
      <c r="H2038" s="119" t="n">
        <v>46293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IF(E2038="","",IF(ISNUMBER(SEARCH("SUBSOLO",E2038)),IFERROR(-VALUE(LEFT(E2038,FIND("º",SUBSTITUTE(E2038,"°","º"))-1)),-1),IF(LEFT(E2038,6)="TÉRREO",0,IFERROR(VALUE(LEFT(E2038,FIND("º",SUBSTITUTE(E2038,"°","º"))-1)),""))))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9054373</v>
      </c>
      <c r="C2039" s="4" t="inlineStr">
        <is>
          <t>PISO MADEIRA / LAMINADO</t>
        </is>
      </c>
      <c r="D2039" s="4" t="inlineStr">
        <is>
          <t>Instalação Piso Madeira</t>
        </is>
      </c>
      <c r="E2039" s="4" t="inlineStr">
        <is>
          <t>21º PAV. TIPO</t>
        </is>
      </c>
      <c r="F2039" s="119" t="n">
        <v>46909</v>
      </c>
      <c r="G2039" s="119" t="n">
        <v>46913</v>
      </c>
      <c r="H2039" s="119" t="n">
        <v>46293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IF(E2039="","",IF(ISNUMBER(SEARCH("SUBSOLO",E2039)),IFERROR(-VALUE(LEFT(E2039,FIND("º",SUBSTITUTE(E2039,"°","º"))-1)),-1),IF(LEFT(E2039,6)="TÉRREO",0,IFERROR(VALUE(LEFT(E2039,FIND("º",SUBSTITUTE(E2039,"°","º"))-1)),""))))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25210199</v>
      </c>
      <c r="C2040" s="4" t="inlineStr">
        <is>
          <t>ESQUADRIA</t>
        </is>
      </c>
      <c r="D2040" s="4" t="inlineStr">
        <is>
          <t>-</t>
        </is>
      </c>
      <c r="E2040" s="4" t="inlineStr">
        <is>
          <t>22º PAV. TIPO</t>
        </is>
      </c>
      <c r="F2040" s="119" t="n">
        <v>46902</v>
      </c>
      <c r="G2040" s="119" t="n">
        <v>46923</v>
      </c>
      <c r="H2040" s="119" t="n">
        <v>46293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IF(E2040="","",IF(ISNUMBER(SEARCH("SUBSOLO",E2040)),IFERROR(-VALUE(LEFT(E2040,FIND("º",SUBSTITUTE(E2040,"°","º"))-1)),-1),IF(LEFT(E2040,6)="TÉRREO",0,IFERROR(VALUE(LEFT(E2040,FIND("º",SUBSTITUTE(E2040,"°","º"))-1)),""))))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25752838</v>
      </c>
      <c r="C2041" s="4" t="inlineStr">
        <is>
          <t>PINTURA 2º DEMÃO</t>
        </is>
      </c>
      <c r="D2041" s="4" t="inlineStr">
        <is>
          <t>-</t>
        </is>
      </c>
      <c r="E2041" s="4" t="inlineStr">
        <is>
          <t>TÉRREO - ÁREAS SOCIAIS INTERNAS</t>
        </is>
      </c>
      <c r="F2041" s="119" t="n">
        <v>46904</v>
      </c>
      <c r="G2041" s="119" t="n">
        <v>46910</v>
      </c>
      <c r="H2041" s="119" t="n">
        <v>46293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IF(E2041="","",IF(ISNUMBER(SEARCH("SUBSOLO",E2041)),IFERROR(-VALUE(LEFT(E2041,FIND("º",SUBSTITUTE(E2041,"°","º"))-1)),-1),IF(LEFT(E2041,6)="TÉRREO",0,IFERROR(VALUE(LEFT(E2041,FIND("º",SUBSTITUTE(E2041,"°","º"))-1)),""))))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25210665</v>
      </c>
      <c r="C2042" s="4" t="inlineStr">
        <is>
          <t>CHECKLIST</t>
        </is>
      </c>
      <c r="D2042" s="4" t="inlineStr">
        <is>
          <t>-</t>
        </is>
      </c>
      <c r="E2042" s="4" t="inlineStr">
        <is>
          <t>9º PAV. TIPO</t>
        </is>
      </c>
      <c r="F2042" s="119" t="n">
        <v>46906</v>
      </c>
      <c r="G2042" s="119" t="n">
        <v>46916</v>
      </c>
      <c r="H2042" s="119" t="n">
        <v>46293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IF(E2042="","",IF(ISNUMBER(SEARCH("SUBSOLO",E2042)),IFERROR(-VALUE(LEFT(E2042,FIND("º",SUBSTITUTE(E2042,"°","º"))-1)),-1),IF(LEFT(E2042,6)="TÉRREO",0,IFERROR(VALUE(LEFT(E2042,FIND("º",SUBSTITUTE(E2042,"°","º"))-1)),""))))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25210559</v>
      </c>
      <c r="C2043" s="4" t="inlineStr">
        <is>
          <t>LIMPEZA FINA</t>
        </is>
      </c>
      <c r="D2043" s="4" t="inlineStr">
        <is>
          <t>-</t>
        </is>
      </c>
      <c r="E2043" s="4" t="inlineStr">
        <is>
          <t>12º PAV. TIPO</t>
        </is>
      </c>
      <c r="F2043" s="119" t="n">
        <v>46906</v>
      </c>
      <c r="G2043" s="119" t="n">
        <v>46920</v>
      </c>
      <c r="H2043" s="119" t="n">
        <v>46293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IF(E2043="","",IF(ISNUMBER(SEARCH("SUBSOLO",E2043)),IFERROR(-VALUE(LEFT(E2043,FIND("º",SUBSTITUTE(E2043,"°","º"))-1)),-1),IF(LEFT(E2043,6)="TÉRREO",0,IFERROR(VALUE(LEFT(E2043,FIND("º",SUBSTITUTE(E2043,"°","º"))-1)),""))))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27770717</v>
      </c>
      <c r="C2044" s="4" t="inlineStr">
        <is>
          <t>SERRALHERIA</t>
        </is>
      </c>
      <c r="D2044" s="4" t="inlineStr">
        <is>
          <t>-</t>
        </is>
      </c>
      <c r="E2044" s="4" t="inlineStr">
        <is>
          <t>14º PAV. TIPO</t>
        </is>
      </c>
      <c r="F2044" s="119" t="n">
        <v>46906</v>
      </c>
      <c r="G2044" s="119" t="n">
        <v>46918</v>
      </c>
      <c r="H2044" s="119" t="n">
        <v>46293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IF(E2044="","",IF(ISNUMBER(SEARCH("SUBSOLO",E2044)),IFERROR(-VALUE(LEFT(E2044,FIND("º",SUBSTITUTE(E2044,"°","º"))-1)),-1),IF(LEFT(E2044,6)="TÉRREO",0,IFERROR(VALUE(LEFT(E2044,FIND("º",SUBSTITUTE(E2044,"°","º"))-1)),""))))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25210483</v>
      </c>
      <c r="C2045" s="4" t="inlineStr">
        <is>
          <t>LOUÇAS</t>
        </is>
      </c>
      <c r="D2045" s="4" t="inlineStr">
        <is>
          <t>-</t>
        </is>
      </c>
      <c r="E2045" s="4" t="inlineStr">
        <is>
          <t>14º PAV. TIPO</t>
        </is>
      </c>
      <c r="F2045" s="119" t="n">
        <v>46906</v>
      </c>
      <c r="G2045" s="119" t="n">
        <v>46920</v>
      </c>
      <c r="H2045" s="119" t="n">
        <v>46293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IF(E2045="","",IF(ISNUMBER(SEARCH("SUBSOLO",E2045)),IFERROR(-VALUE(LEFT(E2045,FIND("º",SUBSTITUTE(E2045,"°","º"))-1)),-1),IF(LEFT(E2045,6)="TÉRREO",0,IFERROR(VALUE(LEFT(E2045,FIND("º",SUBSTITUTE(E2045,"°","º"))-1)),""))))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25210486</v>
      </c>
      <c r="C2046" s="4" t="inlineStr">
        <is>
          <t>METAIS</t>
        </is>
      </c>
      <c r="D2046" s="4" t="inlineStr">
        <is>
          <t>-</t>
        </is>
      </c>
      <c r="E2046" s="4" t="inlineStr">
        <is>
          <t>14º PAV. TIPO</t>
        </is>
      </c>
      <c r="F2046" s="119" t="n">
        <v>46906</v>
      </c>
      <c r="G2046" s="119" t="n">
        <v>46920</v>
      </c>
      <c r="H2046" s="119" t="n">
        <v>46293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IF(E2046="","",IF(ISNUMBER(SEARCH("SUBSOLO",E2046)),IFERROR(-VALUE(LEFT(E2046,FIND("º",SUBSTITUTE(E2046,"°","º"))-1)),-1),IF(LEFT(E2046,6)="TÉRREO",0,IFERROR(VALUE(LEFT(E2046,FIND("º",SUBSTITUTE(E2046,"°","º"))-1)),""))))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25210488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14º PAV. TIPO</t>
        </is>
      </c>
      <c r="F2047" s="119" t="n">
        <v>46906</v>
      </c>
      <c r="G2047" s="119" t="n">
        <v>46920</v>
      </c>
      <c r="H2047" s="119" t="n">
        <v>46293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IF(E2047="","",IF(ISNUMBER(SEARCH("SUBSOLO",E2047)),IFERROR(-VALUE(LEFT(E2047,FIND("º",SUBSTITUTE(E2047,"°","º"))-1)),-1),IF(LEFT(E2047,6)="TÉRREO",0,IFERROR(VALUE(LEFT(E2047,FIND("º",SUBSTITUTE(E2047,"°","º"))-1)),""))))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27766421</v>
      </c>
      <c r="C2048" s="4" t="inlineStr">
        <is>
          <t>ACABAMENTOS INCÊNDIO</t>
        </is>
      </c>
      <c r="D2048" s="4" t="inlineStr">
        <is>
          <t>-</t>
        </is>
      </c>
      <c r="E2048" s="4" t="inlineStr">
        <is>
          <t>14º PAV. TIPO</t>
        </is>
      </c>
      <c r="F2048" s="119" t="n">
        <v>46906</v>
      </c>
      <c r="G2048" s="119" t="n">
        <v>46920</v>
      </c>
      <c r="H2048" s="119" t="n">
        <v>46293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IF(E2048="","",IF(ISNUMBER(SEARCH("SUBSOLO",E2048)),IFERROR(-VALUE(LEFT(E2048,FIND("º",SUBSTITUTE(E2048,"°","º"))-1)),-1),IF(LEFT(E2048,6)="TÉRREO",0,IFERROR(VALUE(LEFT(E2048,FIND("º",SUBSTITUTE(E2048,"°","º"))-1)),""))))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27766503</v>
      </c>
      <c r="C2049" s="4" t="inlineStr">
        <is>
          <t>COMUNICAÇÃO VISUAL</t>
        </is>
      </c>
      <c r="D2049" s="4" t="inlineStr">
        <is>
          <t>-</t>
        </is>
      </c>
      <c r="E2049" s="4" t="inlineStr">
        <is>
          <t>12º PAV. TIPO</t>
        </is>
      </c>
      <c r="F2049" s="119" t="n">
        <v>46909</v>
      </c>
      <c r="G2049" s="119" t="n">
        <v>46913</v>
      </c>
      <c r="H2049" s="119" t="n">
        <v>46293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IF(E2049="","",IF(ISNUMBER(SEARCH("SUBSOLO",E2049)),IFERROR(-VALUE(LEFT(E2049,FIND("º",SUBSTITUTE(E2049,"°","º"))-1)),-1),IF(LEFT(E2049,6)="TÉRREO",0,IFERROR(VALUE(LEFT(E2049,FIND("º",SUBSTITUTE(E2049,"°","º"))-1)),""))))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25210380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17º PAV. TIPO</t>
        </is>
      </c>
      <c r="F2050" s="119" t="n">
        <v>46909</v>
      </c>
      <c r="G2050" s="119" t="n">
        <v>46923</v>
      </c>
      <c r="H2050" s="119" t="n">
        <v>46293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IF(E2050="","",IF(ISNUMBER(SEARCH("SUBSOLO",E2050)),IFERROR(-VALUE(LEFT(E2050,FIND("º",SUBSTITUTE(E2050,"°","º"))-1)),-1),IF(LEFT(E2050,6)="TÉRREO",0,IFERROR(VALUE(LEFT(E2050,FIND("º",SUBSTITUTE(E2050,"°","º"))-1)),""))))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33276142</v>
      </c>
      <c r="C2051" s="4" t="inlineStr">
        <is>
          <t>TRATAMENTO DE GRANITO/MÁRMORE</t>
        </is>
      </c>
      <c r="D2051" s="4" t="inlineStr">
        <is>
          <t>-</t>
        </is>
      </c>
      <c r="E2051" s="4" t="inlineStr">
        <is>
          <t>18º PAV. TIPO</t>
        </is>
      </c>
      <c r="F2051" s="119" t="n">
        <v>46909</v>
      </c>
      <c r="G2051" s="119" t="n">
        <v>46930</v>
      </c>
      <c r="H2051" s="119" t="n">
        <v>46293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IF(E2051="","",IF(ISNUMBER(SEARCH("SUBSOLO",E2051)),IFERROR(-VALUE(LEFT(E2051,FIND("º",SUBSTITUTE(E2051,"°","º"))-1)),-1),IF(LEFT(E2051,6)="TÉRREO",0,IFERROR(VALUE(LEFT(E2051,FIND("º",SUBSTITUTE(E2051,"°","º"))-1)),""))))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25210251</v>
      </c>
      <c r="C2052" s="4" t="inlineStr">
        <is>
          <t>RODAPÉ MADEIRA / PVC</t>
        </is>
      </c>
      <c r="D2052" s="4" t="inlineStr">
        <is>
          <t>-</t>
        </is>
      </c>
      <c r="E2052" s="4" t="inlineStr">
        <is>
          <t>20º PAV. TIPO</t>
        </is>
      </c>
      <c r="F2052" s="119" t="n">
        <v>46909</v>
      </c>
      <c r="G2052" s="119" t="n">
        <v>46923</v>
      </c>
      <c r="H2052" s="119" t="n">
        <v>46293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IF(E2052="","",IF(ISNUMBER(SEARCH("SUBSOLO",E2052)),IFERROR(-VALUE(LEFT(E2052,FIND("º",SUBSTITUTE(E2052,"°","º"))-1)),-1),IF(LEFT(E2052,6)="TÉRREO",0,IFERROR(VALUE(LEFT(E2052,FIND("º",SUBSTITUTE(E2052,"°","º"))-1)),""))))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25752840</v>
      </c>
      <c r="C2053" s="4" t="inlineStr">
        <is>
          <t>ACABAMENTOS ELÉTRICOS</t>
        </is>
      </c>
      <c r="D2053" s="4" t="inlineStr">
        <is>
          <t>-</t>
        </is>
      </c>
      <c r="E2053" s="4" t="inlineStr">
        <is>
          <t>TÉRREO - ÁREAS SOCIAIS INTERNAS</t>
        </is>
      </c>
      <c r="F2053" s="119" t="n">
        <v>46911</v>
      </c>
      <c r="G2053" s="119" t="n">
        <v>46916</v>
      </c>
      <c r="H2053" s="119" t="n">
        <v>46293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IF(E2053="","",IF(ISNUMBER(SEARCH("SUBSOLO",E2053)),IFERROR(-VALUE(LEFT(E2053,FIND("º",SUBSTITUTE(E2053,"°","º"))-1)),-1),IF(LEFT(E2053,6)="TÉRREO",0,IFERROR(VALUE(LEFT(E2053,FIND("º",SUBSTITUTE(E2053,"°","º"))-1)),""))))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27766399</v>
      </c>
      <c r="C2054" s="4" t="inlineStr">
        <is>
          <t>ACABAMENTOS INCÊNDIO</t>
        </is>
      </c>
      <c r="D2054" s="4" t="inlineStr">
        <is>
          <t>-</t>
        </is>
      </c>
      <c r="E2054" s="4" t="inlineStr">
        <is>
          <t>TÉRREO - ÁREAS SOCIAIS INTERNAS</t>
        </is>
      </c>
      <c r="F2054" s="119" t="n">
        <v>46911</v>
      </c>
      <c r="G2054" s="119" t="n">
        <v>46916</v>
      </c>
      <c r="H2054" s="119" t="n">
        <v>46293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IF(E2054="","",IF(ISNUMBER(SEARCH("SUBSOLO",E2054)),IFERROR(-VALUE(LEFT(E2054,FIND("º",SUBSTITUTE(E2054,"°","º"))-1)),-1),IF(LEFT(E2054,6)="TÉRREO",0,IFERROR(VALUE(LEFT(E2054,FIND("º",SUBSTITUTE(E2054,"°","º"))-1)),""))))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25210447</v>
      </c>
      <c r="C2055" s="4" t="inlineStr">
        <is>
          <t>PINTURA 2º DEMÃO</t>
        </is>
      </c>
      <c r="D2055" s="4" t="inlineStr">
        <is>
          <t>-</t>
        </is>
      </c>
      <c r="E2055" s="4" t="inlineStr">
        <is>
          <t>15º PAV. TIPO</t>
        </is>
      </c>
      <c r="F2055" s="119" t="n">
        <v>46913</v>
      </c>
      <c r="G2055" s="119" t="n">
        <v>46927</v>
      </c>
      <c r="H2055" s="119" t="n">
        <v>46293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IF(E2055="","",IF(ISNUMBER(SEARCH("SUBSOLO",E2055)),IFERROR(-VALUE(LEFT(E2055,FIND("º",SUBSTITUTE(E2055,"°","º"))-1)),-1),IF(LEFT(E2055,6)="TÉRREO",0,IFERROR(VALUE(LEFT(E2055,FIND("º",SUBSTITUTE(E2055,"°","º"))-1)),""))))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27770719</v>
      </c>
      <c r="C2056" s="4" t="inlineStr">
        <is>
          <t>SERRALHERIA</t>
        </is>
      </c>
      <c r="D2056" s="4" t="inlineStr">
        <is>
          <t>-</t>
        </is>
      </c>
      <c r="E2056" s="4" t="inlineStr">
        <is>
          <t>16º PAV. TIPO</t>
        </is>
      </c>
      <c r="F2056" s="119" t="n">
        <v>46916</v>
      </c>
      <c r="G2056" s="119" t="n">
        <v>46927</v>
      </c>
      <c r="H2056" s="119" t="n">
        <v>46293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IF(E2056="","",IF(ISNUMBER(SEARCH("SUBSOLO",E2056)),IFERROR(-VALUE(LEFT(E2056,FIND("º",SUBSTITUTE(E2056,"°","º"))-1)),-1),IF(LEFT(E2056,6)="TÉRREO",0,IFERROR(VALUE(LEFT(E2056,FIND("º",SUBSTITUTE(E2056,"°","º"))-1)),""))))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25210413</v>
      </c>
      <c r="C2057" s="4" t="inlineStr">
        <is>
          <t>LOUÇAS</t>
        </is>
      </c>
      <c r="D2057" s="4" t="inlineStr">
        <is>
          <t>-</t>
        </is>
      </c>
      <c r="E2057" s="4" t="inlineStr">
        <is>
          <t>16º PAV. TIPO</t>
        </is>
      </c>
      <c r="F2057" s="119" t="n">
        <v>46916</v>
      </c>
      <c r="G2057" s="119" t="n">
        <v>46930</v>
      </c>
      <c r="H2057" s="119" t="n">
        <v>46293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IF(E2057="","",IF(ISNUMBER(SEARCH("SUBSOLO",E2057)),IFERROR(-VALUE(LEFT(E2057,FIND("º",SUBSTITUTE(E2057,"°","º"))-1)),-1),IF(LEFT(E2057,6)="TÉRREO",0,IFERROR(VALUE(LEFT(E2057,FIND("º",SUBSTITUTE(E2057,"°","º"))-1)),""))))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25210416</v>
      </c>
      <c r="C2058" s="4" t="inlineStr">
        <is>
          <t>METAIS</t>
        </is>
      </c>
      <c r="D2058" s="4" t="inlineStr">
        <is>
          <t>-</t>
        </is>
      </c>
      <c r="E2058" s="4" t="inlineStr">
        <is>
          <t>16º PAV. TIPO</t>
        </is>
      </c>
      <c r="F2058" s="119" t="n">
        <v>46916</v>
      </c>
      <c r="G2058" s="119" t="n">
        <v>46930</v>
      </c>
      <c r="H2058" s="119" t="n">
        <v>46293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IF(E2058="","",IF(ISNUMBER(SEARCH("SUBSOLO",E2058)),IFERROR(-VALUE(LEFT(E2058,FIND("º",SUBSTITUTE(E2058,"°","º"))-1)),-1),IF(LEFT(E2058,6)="TÉRREO",0,IFERROR(VALUE(LEFT(E2058,FIND("º",SUBSTITUTE(E2058,"°","º"))-1)),""))))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25210418</v>
      </c>
      <c r="C2059" s="4" t="inlineStr">
        <is>
          <t>ACABAMENTOS ELÉTRICOS</t>
        </is>
      </c>
      <c r="D2059" s="4" t="inlineStr">
        <is>
          <t>-</t>
        </is>
      </c>
      <c r="E2059" s="4" t="inlineStr">
        <is>
          <t>16º PAV. TIPO</t>
        </is>
      </c>
      <c r="F2059" s="119" t="n">
        <v>46916</v>
      </c>
      <c r="G2059" s="119" t="n">
        <v>46930</v>
      </c>
      <c r="H2059" s="119" t="n">
        <v>46293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IF(E2059="","",IF(ISNUMBER(SEARCH("SUBSOLO",E2059)),IFERROR(-VALUE(LEFT(E2059,FIND("º",SUBSTITUTE(E2059,"°","º"))-1)),-1),IF(LEFT(E2059,6)="TÉRREO",0,IFERROR(VALUE(LEFT(E2059,FIND("º",SUBSTITUTE(E2059,"°","º"))-1)),""))))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27766423</v>
      </c>
      <c r="C2060" s="4" t="inlineStr">
        <is>
          <t>ACABAMENTOS INCÊNDIO</t>
        </is>
      </c>
      <c r="D2060" s="4" t="inlineStr">
        <is>
          <t>-</t>
        </is>
      </c>
      <c r="E2060" s="4" t="inlineStr">
        <is>
          <t>16º PAV. TIPO</t>
        </is>
      </c>
      <c r="F2060" s="119" t="n">
        <v>46916</v>
      </c>
      <c r="G2060" s="119" t="n">
        <v>46930</v>
      </c>
      <c r="H2060" s="119" t="n">
        <v>46293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IF(E2060="","",IF(ISNUMBER(SEARCH("SUBSOLO",E2060)),IFERROR(-VALUE(LEFT(E2060,FIND("º",SUBSTITUTE(E2060,"°","º"))-1)),-1),IF(LEFT(E2060,6)="TÉRREO",0,IFERROR(VALUE(LEFT(E2060,FIND("º",SUBSTITUTE(E2060,"°","º"))-1)),""))))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33292473</v>
      </c>
      <c r="C2061" s="4" t="inlineStr">
        <is>
          <t>PAISAGISMO</t>
        </is>
      </c>
      <c r="D2061" s="4" t="inlineStr">
        <is>
          <t>-</t>
        </is>
      </c>
      <c r="E2061" s="4" t="inlineStr">
        <is>
          <t>19º PAV. TIPO</t>
        </is>
      </c>
      <c r="F2061" s="119" t="n">
        <v>46916</v>
      </c>
      <c r="G2061" s="119" t="n">
        <v>46930</v>
      </c>
      <c r="H2061" s="119" t="n">
        <v>46293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IF(E2061="","",IF(ISNUMBER(SEARCH("SUBSOLO",E2061)),IFERROR(-VALUE(LEFT(E2061,FIND("º",SUBSTITUTE(E2061,"°","º"))-1)),-1),IF(LEFT(E2061,6)="TÉRREO",0,IFERROR(VALUE(LEFT(E2061,FIND("º",SUBSTITUTE(E2061,"°","º"))-1)),""))))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25210236</v>
      </c>
      <c r="C2062" s="4" t="inlineStr">
        <is>
          <t>ESQUADRIA MADEIRA</t>
        </is>
      </c>
      <c r="D2062" s="4" t="inlineStr">
        <is>
          <t>-</t>
        </is>
      </c>
      <c r="E2062" s="4" t="inlineStr">
        <is>
          <t>21º PAV. TIPO</t>
        </is>
      </c>
      <c r="F2062" s="119" t="n">
        <v>46916</v>
      </c>
      <c r="G2062" s="119" t="n">
        <v>46930</v>
      </c>
      <c r="H2062" s="119" t="n">
        <v>46293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IF(E2062="","",IF(ISNUMBER(SEARCH("SUBSOLO",E2062)),IFERROR(-VALUE(LEFT(E2062,FIND("º",SUBSTITUTE(E2062,"°","º"))-1)),-1),IF(LEFT(E2062,6)="TÉRREO",0,IFERROR(VALUE(LEFT(E2062,FIND("º",SUBSTITUTE(E2062,"°","º"))-1)),""))))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33276007</v>
      </c>
      <c r="C2063" s="4" t="inlineStr">
        <is>
          <t>FORRO DE MADEIRA</t>
        </is>
      </c>
      <c r="D2063" s="4" t="inlineStr">
        <is>
          <t>-</t>
        </is>
      </c>
      <c r="E2063" s="4" t="inlineStr">
        <is>
          <t>21º PAV. TIPO</t>
        </is>
      </c>
      <c r="F2063" s="119" t="n">
        <v>46916</v>
      </c>
      <c r="G2063" s="119" t="n">
        <v>46937</v>
      </c>
      <c r="H2063" s="119" t="n">
        <v>46293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IF(E2063="","",IF(ISNUMBER(SEARCH("SUBSOLO",E2063)),IFERROR(-VALUE(LEFT(E2063,FIND("º",SUBSTITUTE(E2063,"°","º"))-1)),-1),IF(LEFT(E2063,6)="TÉRREO",0,IFERROR(VALUE(LEFT(E2063,FIND("º",SUBSTITUTE(E2063,"°","º"))-1)),""))))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25752841</v>
      </c>
      <c r="C2064" s="4" t="inlineStr">
        <is>
          <t>LIMPEZA FINA</t>
        </is>
      </c>
      <c r="D2064" s="4" t="inlineStr">
        <is>
          <t>-</t>
        </is>
      </c>
      <c r="E2064" s="4" t="inlineStr">
        <is>
          <t>TÉRREO - ÁREAS SOCIAIS INTERNAS</t>
        </is>
      </c>
      <c r="F2064" s="119" t="n">
        <v>46917</v>
      </c>
      <c r="G2064" s="119" t="n">
        <v>46924</v>
      </c>
      <c r="H2064" s="119" t="n">
        <v>46293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IF(E2064="","",IF(ISNUMBER(SEARCH("SUBSOLO",E2064)),IFERROR(-VALUE(LEFT(E2064,FIND("º",SUBSTITUTE(E2064,"°","º"))-1)),-1),IF(LEFT(E2064,6)="TÉRREO",0,IFERROR(VALUE(LEFT(E2064,FIND("º",SUBSTITUTE(E2064,"°","º"))-1)),""))))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27766483</v>
      </c>
      <c r="C2065" s="4" t="inlineStr">
        <is>
          <t>COMUNICAÇÃO VISUAL</t>
        </is>
      </c>
      <c r="D2065" s="4" t="inlineStr">
        <is>
          <t>-</t>
        </is>
      </c>
      <c r="E2065" s="4" t="inlineStr">
        <is>
          <t>TÉRREO - ÁREAS SOCIAIS INTERNAS</t>
        </is>
      </c>
      <c r="F2065" s="119" t="n">
        <v>46917</v>
      </c>
      <c r="G2065" s="119" t="n">
        <v>46924</v>
      </c>
      <c r="H2065" s="119" t="n">
        <v>46293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IF(E2065="","",IF(ISNUMBER(SEARCH("SUBSOLO",E2065)),IFERROR(-VALUE(LEFT(E2065,FIND("º",SUBSTITUTE(E2065,"°","º"))-1)),-1),IF(LEFT(E2065,6)="TÉRREO",0,IFERROR(VALUE(LEFT(E2065,FIND("º",SUBSTITUTE(E2065,"°","º"))-1)),""))))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25210560</v>
      </c>
      <c r="C2066" s="4" t="inlineStr">
        <is>
          <t>CHECKLIST</t>
        </is>
      </c>
      <c r="D2066" s="4" t="inlineStr">
        <is>
          <t>-</t>
        </is>
      </c>
      <c r="E2066" s="4" t="inlineStr">
        <is>
          <t>12º PAV. TIPO</t>
        </is>
      </c>
      <c r="F2066" s="119" t="n">
        <v>46923</v>
      </c>
      <c r="G2066" s="119" t="n">
        <v>46931</v>
      </c>
      <c r="H2066" s="119" t="n">
        <v>46293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IF(E2066="","",IF(ISNUMBER(SEARCH("SUBSOLO",E2066)),IFERROR(-VALUE(LEFT(E2066,FIND("º",SUBSTITUTE(E2066,"°","º"))-1)),-1),IF(LEFT(E2066,6)="TÉRREO",0,IFERROR(VALUE(LEFT(E2066,FIND("º",SUBSTITUTE(E2066,"°","º"))-1)),""))))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25210520</v>
      </c>
      <c r="C2067" s="4" t="inlineStr">
        <is>
          <t>LIMPEZA GROSSA</t>
        </is>
      </c>
      <c r="D2067" s="4" t="inlineStr">
        <is>
          <t>-</t>
        </is>
      </c>
      <c r="E2067" s="4" t="inlineStr">
        <is>
          <t>13º PAV. TIPO</t>
        </is>
      </c>
      <c r="F2067" s="119" t="n">
        <v>46923</v>
      </c>
      <c r="G2067" s="119" t="n">
        <v>46934</v>
      </c>
      <c r="H2067" s="119" t="n">
        <v>46293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IF(E2067="","",IF(ISNUMBER(SEARCH("SUBSOLO",E2067)),IFERROR(-VALUE(LEFT(E2067,FIND("º",SUBSTITUTE(E2067,"°","º"))-1)),-1),IF(LEFT(E2067,6)="TÉRREO",0,IFERROR(VALUE(LEFT(E2067,FIND("º",SUBSTITUTE(E2067,"°","º"))-1)),""))))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25210487</v>
      </c>
      <c r="C2068" s="4" t="inlineStr">
        <is>
          <t>PINTURA 3º DEMÃO</t>
        </is>
      </c>
      <c r="D2068" s="4" t="inlineStr">
        <is>
          <t>-</t>
        </is>
      </c>
      <c r="E2068" s="4" t="inlineStr">
        <is>
          <t>14º PAV. TIPO</t>
        </is>
      </c>
      <c r="F2068" s="119" t="n">
        <v>46923</v>
      </c>
      <c r="G2068" s="119" t="n">
        <v>46934</v>
      </c>
      <c r="H2068" s="119" t="n">
        <v>46293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IF(E2068="","",IF(ISNUMBER(SEARCH("SUBSOLO",E2068)),IFERROR(-VALUE(LEFT(E2068,FIND("º",SUBSTITUTE(E2068,"°","º"))-1)),-1),IF(LEFT(E2068,6)="TÉRREO",0,IFERROR(VALUE(LEFT(E2068,FIND("º",SUBSTITUTE(E2068,"°","º"))-1)),""))))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25210377</v>
      </c>
      <c r="C2069" s="4" t="inlineStr">
        <is>
          <t>PINTURA 2º DEMÃO</t>
        </is>
      </c>
      <c r="D2069" s="4" t="inlineStr">
        <is>
          <t>-</t>
        </is>
      </c>
      <c r="E2069" s="4" t="inlineStr">
        <is>
          <t>17º PAV. TIPO</t>
        </is>
      </c>
      <c r="F2069" s="119" t="n">
        <v>46924</v>
      </c>
      <c r="G2069" s="119" t="n">
        <v>46937</v>
      </c>
      <c r="H2069" s="119" t="n">
        <v>46293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IF(E2069="","",IF(ISNUMBER(SEARCH("SUBSOLO",E2069)),IFERROR(-VALUE(LEFT(E2069,FIND("º",SUBSTITUTE(E2069,"°","º"))-1)),-1),IF(LEFT(E2069,6)="TÉRREO",0,IFERROR(VALUE(LEFT(E2069,FIND("º",SUBSTITUTE(E2069,"°","º"))-1)),""))))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25210274</v>
      </c>
      <c r="C2070" s="4" t="inlineStr">
        <is>
          <t>DISJUNTORES / MIOLOS</t>
        </is>
      </c>
      <c r="D2070" s="4" t="inlineStr">
        <is>
          <t>-</t>
        </is>
      </c>
      <c r="E2070" s="4" t="inlineStr">
        <is>
          <t>20º PAV. TIPO</t>
        </is>
      </c>
      <c r="F2070" s="119" t="n">
        <v>46924</v>
      </c>
      <c r="G2070" s="119" t="n">
        <v>46937</v>
      </c>
      <c r="H2070" s="119" t="n">
        <v>46293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IF(E2070="","",IF(ISNUMBER(SEARCH("SUBSOLO",E2070)),IFERROR(-VALUE(LEFT(E2070,FIND("º",SUBSTITUTE(E2070,"°","º"))-1)),-1),IF(LEFT(E2070,6)="TÉRREO",0,IFERROR(VALUE(LEFT(E2070,FIND("º",SUBSTITUTE(E2070,"°","º"))-1)),""))))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25210252</v>
      </c>
      <c r="C2071" s="4" t="inlineStr">
        <is>
          <t>CFTV</t>
        </is>
      </c>
      <c r="D2071" s="4" t="inlineStr">
        <is>
          <t>-</t>
        </is>
      </c>
      <c r="E2071" s="4" t="inlineStr">
        <is>
          <t>20º PAV. TIPO</t>
        </is>
      </c>
      <c r="F2071" s="119" t="n">
        <v>46924</v>
      </c>
      <c r="G2071" s="119" t="n">
        <v>46937</v>
      </c>
      <c r="H2071" s="119" t="n">
        <v>46293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IF(E2071="","",IF(ISNUMBER(SEARCH("SUBSOLO",E2071)),IFERROR(-VALUE(LEFT(E2071,FIND("º",SUBSTITUTE(E2071,"°","º"))-1)),-1),IF(LEFT(E2071,6)="TÉRREO",0,IFERROR(VALUE(LEFT(E2071,FIND("º",SUBSTITUTE(E2071,"°","º"))-1)),""))))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25210195</v>
      </c>
      <c r="C2072" s="4" t="inlineStr">
        <is>
          <t>PISO MADEIRA / LAMINADO</t>
        </is>
      </c>
      <c r="D2072" s="4" t="inlineStr">
        <is>
          <t>-</t>
        </is>
      </c>
      <c r="E2072" s="4" t="inlineStr">
        <is>
          <t>22º PAV. TIPO</t>
        </is>
      </c>
      <c r="F2072" s="119" t="n">
        <v>46924</v>
      </c>
      <c r="G2072" s="119" t="n">
        <v>46937</v>
      </c>
      <c r="H2072" s="119" t="n">
        <v>46293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IF(E2072="","",IF(ISNUMBER(SEARCH("SUBSOLO",E2072)),IFERROR(-VALUE(LEFT(E2072,FIND("º",SUBSTITUTE(E2072,"°","º"))-1)),-1),IF(LEFT(E2072,6)="TÉRREO",0,IFERROR(VALUE(LEFT(E2072,FIND("º",SUBSTITUTE(E2072,"°","º"))-1)),""))))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9054370</v>
      </c>
      <c r="C2073" s="4" t="inlineStr">
        <is>
          <t>PISO MADEIRA / LAMINADO</t>
        </is>
      </c>
      <c r="D2073" s="4" t="inlineStr">
        <is>
          <t>Regularização de Piso</t>
        </is>
      </c>
      <c r="E2073" s="4" t="inlineStr">
        <is>
          <t>22º PAV. TIPO</t>
        </is>
      </c>
      <c r="F2073" s="119" t="n">
        <v>46924</v>
      </c>
      <c r="G2073" s="119" t="n">
        <v>46930</v>
      </c>
      <c r="H2073" s="119" t="n">
        <v>46293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IF(E2073="","",IF(ISNUMBER(SEARCH("SUBSOLO",E2073)),IFERROR(-VALUE(LEFT(E2073,FIND("º",SUBSTITUTE(E2073,"°","º"))-1)),-1),IF(LEFT(E2073,6)="TÉRREO",0,IFERROR(VALUE(LEFT(E2073,FIND("º",SUBSTITUTE(E2073,"°","º"))-1)),""))))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9054371</v>
      </c>
      <c r="C2074" s="4" t="inlineStr">
        <is>
          <t>PISO MADEIRA / LAMINADO</t>
        </is>
      </c>
      <c r="D2074" s="4" t="inlineStr">
        <is>
          <t>Instalação Piso Madeira</t>
        </is>
      </c>
      <c r="E2074" s="4" t="inlineStr">
        <is>
          <t>22º PAV. TIPO</t>
        </is>
      </c>
      <c r="F2074" s="119" t="n">
        <v>46931</v>
      </c>
      <c r="G2074" s="119" t="n">
        <v>46937</v>
      </c>
      <c r="H2074" s="119" t="n">
        <v>46293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IF(E2074="","",IF(ISNUMBER(SEARCH("SUBSOLO",E2074)),IFERROR(-VALUE(LEFT(E2074,FIND("º",SUBSTITUTE(E2074,"°","º"))-1)),-1),IF(LEFT(E2074,6)="TÉRREO",0,IFERROR(VALUE(LEFT(E2074,FIND("º",SUBSTITUTE(E2074,"°","º"))-1)),""))))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25210164</v>
      </c>
      <c r="C2075" s="4" t="inlineStr">
        <is>
          <t>ESQUADRIA</t>
        </is>
      </c>
      <c r="D2075" s="4" t="inlineStr">
        <is>
          <t>-</t>
        </is>
      </c>
      <c r="E2075" s="4" t="inlineStr">
        <is>
          <t>23º PAV. TIPO</t>
        </is>
      </c>
      <c r="F2075" s="119" t="n">
        <v>46924</v>
      </c>
      <c r="G2075" s="119" t="n">
        <v>46944</v>
      </c>
      <c r="H2075" s="119" t="n">
        <v>46293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IF(E2075="","",IF(ISNUMBER(SEARCH("SUBSOLO",E2075)),IFERROR(-VALUE(LEFT(E2075,FIND("º",SUBSTITUTE(E2075,"°","º"))-1)),-1),IF(LEFT(E2075,6)="TÉRREO",0,IFERROR(VALUE(LEFT(E2075,FIND("º",SUBSTITUTE(E2075,"°","º"))-1)),""))))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27770718</v>
      </c>
      <c r="C2076" s="4" t="inlineStr">
        <is>
          <t>SERRALHERIA</t>
        </is>
      </c>
      <c r="D2076" s="4" t="inlineStr">
        <is>
          <t>-</t>
        </is>
      </c>
      <c r="E2076" s="4" t="inlineStr">
        <is>
          <t>15º PAV. TIPO</t>
        </is>
      </c>
      <c r="F2076" s="119" t="n">
        <v>46930</v>
      </c>
      <c r="G2076" s="119" t="n">
        <v>46940</v>
      </c>
      <c r="H2076" s="119" t="n">
        <v>46293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IF(E2076="","",IF(ISNUMBER(SEARCH("SUBSOLO",E2076)),IFERROR(-VALUE(LEFT(E2076,FIND("º",SUBSTITUTE(E2076,"°","º"))-1)),-1),IF(LEFT(E2076,6)="TÉRREO",0,IFERROR(VALUE(LEFT(E2076,FIND("º",SUBSTITUTE(E2076,"°","º"))-1)),""))))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25210448</v>
      </c>
      <c r="C2077" s="4" t="inlineStr">
        <is>
          <t>LOUÇAS</t>
        </is>
      </c>
      <c r="D2077" s="4" t="inlineStr">
        <is>
          <t>-</t>
        </is>
      </c>
      <c r="E2077" s="4" t="inlineStr">
        <is>
          <t>15º PAV. TIPO</t>
        </is>
      </c>
      <c r="F2077" s="119" t="n">
        <v>46930</v>
      </c>
      <c r="G2077" s="119" t="n">
        <v>46941</v>
      </c>
      <c r="H2077" s="119" t="n">
        <v>46293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IF(E2077="","",IF(ISNUMBER(SEARCH("SUBSOLO",E2077)),IFERROR(-VALUE(LEFT(E2077,FIND("º",SUBSTITUTE(E2077,"°","º"))-1)),-1),IF(LEFT(E2077,6)="TÉRREO",0,IFERROR(VALUE(LEFT(E2077,FIND("º",SUBSTITUTE(E2077,"°","º"))-1)),""))))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25210451</v>
      </c>
      <c r="C2078" s="4" t="inlineStr">
        <is>
          <t>METAIS</t>
        </is>
      </c>
      <c r="D2078" s="4" t="inlineStr">
        <is>
          <t>-</t>
        </is>
      </c>
      <c r="E2078" s="4" t="inlineStr">
        <is>
          <t>15º PAV. TIPO</t>
        </is>
      </c>
      <c r="F2078" s="119" t="n">
        <v>46930</v>
      </c>
      <c r="G2078" s="119" t="n">
        <v>46941</v>
      </c>
      <c r="H2078" s="119" t="n">
        <v>46293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IF(E2078="","",IF(ISNUMBER(SEARCH("SUBSOLO",E2078)),IFERROR(-VALUE(LEFT(E2078,FIND("º",SUBSTITUTE(E2078,"°","º"))-1)),-1),IF(LEFT(E2078,6)="TÉRREO",0,IFERROR(VALUE(LEFT(E2078,FIND("º",SUBSTITUTE(E2078,"°","º"))-1)),""))))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25210453</v>
      </c>
      <c r="C2079" s="4" t="inlineStr">
        <is>
          <t>ACABAMENTOS ELÉTRICOS</t>
        </is>
      </c>
      <c r="D2079" s="4" t="inlineStr">
        <is>
          <t>-</t>
        </is>
      </c>
      <c r="E2079" s="4" t="inlineStr">
        <is>
          <t>15º PAV. TIPO</t>
        </is>
      </c>
      <c r="F2079" s="119" t="n">
        <v>46930</v>
      </c>
      <c r="G2079" s="119" t="n">
        <v>46941</v>
      </c>
      <c r="H2079" s="119" t="n">
        <v>46293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IF(E2079="","",IF(ISNUMBER(SEARCH("SUBSOLO",E2079)),IFERROR(-VALUE(LEFT(E2079,FIND("º",SUBSTITUTE(E2079,"°","º"))-1)),-1),IF(LEFT(E2079,6)="TÉRREO",0,IFERROR(VALUE(LEFT(E2079,FIND("º",SUBSTITUTE(E2079,"°","º"))-1)),""))))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27766422</v>
      </c>
      <c r="C2080" s="4" t="inlineStr">
        <is>
          <t>ACABAMENTOS INCÊNDIO</t>
        </is>
      </c>
      <c r="D2080" s="4" t="inlineStr">
        <is>
          <t>-</t>
        </is>
      </c>
      <c r="E2080" s="4" t="inlineStr">
        <is>
          <t>15º PAV. TIPO</t>
        </is>
      </c>
      <c r="F2080" s="119" t="n">
        <v>46930</v>
      </c>
      <c r="G2080" s="119" t="n">
        <v>46941</v>
      </c>
      <c r="H2080" s="119" t="n">
        <v>46293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IF(E2080="","",IF(ISNUMBER(SEARCH("SUBSOLO",E2080)),IFERROR(-VALUE(LEFT(E2080,FIND("º",SUBSTITUTE(E2080,"°","º"))-1)),-1),IF(LEFT(E2080,6)="TÉRREO",0,IFERROR(VALUE(LEFT(E2080,FIND("º",SUBSTITUTE(E2080,"°","º"))-1)),""))))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25210417</v>
      </c>
      <c r="C2081" s="4" t="inlineStr">
        <is>
          <t>PINTURA 3º DEMÃO</t>
        </is>
      </c>
      <c r="D2081" s="4" t="inlineStr">
        <is>
          <t>-</t>
        </is>
      </c>
      <c r="E2081" s="4" t="inlineStr">
        <is>
          <t>16º PAV. TIPO</t>
        </is>
      </c>
      <c r="F2081" s="119" t="n">
        <v>46931</v>
      </c>
      <c r="G2081" s="119" t="n">
        <v>46944</v>
      </c>
      <c r="H2081" s="119" t="n">
        <v>46293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IF(E2081="","",IF(ISNUMBER(SEARCH("SUBSOLO",E2081)),IFERROR(-VALUE(LEFT(E2081,FIND("º",SUBSTITUTE(E2081,"°","º"))-1)),-1),IF(LEFT(E2081,6)="TÉRREO",0,IFERROR(VALUE(LEFT(E2081,FIND("º",SUBSTITUTE(E2081,"°","º"))-1)),""))))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25210345</v>
      </c>
      <c r="C2082" s="4" t="inlineStr">
        <is>
          <t>LIMPEZA GROSSA</t>
        </is>
      </c>
      <c r="D2082" s="4" t="inlineStr">
        <is>
          <t>-</t>
        </is>
      </c>
      <c r="E2082" s="4" t="inlineStr">
        <is>
          <t>18º PAV. TIPO</t>
        </is>
      </c>
      <c r="F2082" s="119" t="n">
        <v>46931</v>
      </c>
      <c r="G2082" s="119" t="n">
        <v>46944</v>
      </c>
      <c r="H2082" s="119" t="n">
        <v>46293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IF(E2082="","",IF(ISNUMBER(SEARCH("SUBSOLO",E2082)),IFERROR(-VALUE(LEFT(E2082,FIND("º",SUBSTITUTE(E2082,"°","º"))-1)),-1),IF(LEFT(E2082,6)="TÉRREO",0,IFERROR(VALUE(LEFT(E2082,FIND("º",SUBSTITUTE(E2082,"°","º"))-1)),""))))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33276143</v>
      </c>
      <c r="C2083" s="4" t="inlineStr">
        <is>
          <t>TRATAMENTO DE GRANITO/MÁRMORE</t>
        </is>
      </c>
      <c r="D2083" s="4" t="inlineStr">
        <is>
          <t>-</t>
        </is>
      </c>
      <c r="E2083" s="4" t="inlineStr">
        <is>
          <t>19º PAV. TIPO</t>
        </is>
      </c>
      <c r="F2083" s="119" t="n">
        <v>46931</v>
      </c>
      <c r="G2083" s="119" t="n">
        <v>46951</v>
      </c>
      <c r="H2083" s="119" t="n">
        <v>46293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IF(E2083="","",IF(ISNUMBER(SEARCH("SUBSOLO",E2083)),IFERROR(-VALUE(LEFT(E2083,FIND("º",SUBSTITUTE(E2083,"°","º"))-1)),-1),IF(LEFT(E2083,6)="TÉRREO",0,IFERROR(VALUE(LEFT(E2083,FIND("º",SUBSTITUTE(E2083,"°","º"))-1)),""))))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25210216</v>
      </c>
      <c r="C2084" s="4" t="inlineStr">
        <is>
          <t>RODAPÉ MADEIRA / PVC</t>
        </is>
      </c>
      <c r="D2084" s="4" t="inlineStr">
        <is>
          <t>-</t>
        </is>
      </c>
      <c r="E2084" s="4" t="inlineStr">
        <is>
          <t>21º PAV. TIPO</t>
        </is>
      </c>
      <c r="F2084" s="119" t="n">
        <v>46931</v>
      </c>
      <c r="G2084" s="119" t="n">
        <v>46944</v>
      </c>
      <c r="H2084" s="119" t="n">
        <v>46293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IF(E2084="","",IF(ISNUMBER(SEARCH("SUBSOLO",E2084)),IFERROR(-VALUE(LEFT(E2084,FIND("º",SUBSTITUTE(E2084,"°","º"))-1)),-1),IF(LEFT(E2084,6)="TÉRREO",0,IFERROR(VALUE(LEFT(E2084,FIND("º",SUBSTITUTE(E2084,"°","º"))-1)),""))))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25210517</v>
      </c>
      <c r="C2085" s="4" t="inlineStr">
        <is>
          <t>PINTURA 2º DEMÃO</t>
        </is>
      </c>
      <c r="D2085" s="4" t="inlineStr">
        <is>
          <t>-</t>
        </is>
      </c>
      <c r="E2085" s="4" t="inlineStr">
        <is>
          <t>13º PAV. TIPO</t>
        </is>
      </c>
      <c r="F2085" s="119" t="n">
        <v>46937</v>
      </c>
      <c r="G2085" s="119" t="n">
        <v>46948</v>
      </c>
      <c r="H2085" s="119" t="n">
        <v>46293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IF(E2085="","",IF(ISNUMBER(SEARCH("SUBSOLO",E2085)),IFERROR(-VALUE(LEFT(E2085,FIND("º",SUBSTITUTE(E2085,"°","º"))-1)),-1),IF(LEFT(E2085,6)="TÉRREO",0,IFERROR(VALUE(LEFT(E2085,FIND("º",SUBSTITUTE(E2085,"°","º"))-1)),""))))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25210489</v>
      </c>
      <c r="C2086" s="4" t="inlineStr">
        <is>
          <t>LIMPEZA FINA</t>
        </is>
      </c>
      <c r="D2086" s="4" t="inlineStr">
        <is>
          <t>-</t>
        </is>
      </c>
      <c r="E2086" s="4" t="inlineStr">
        <is>
          <t>14º PAV. TIPO</t>
        </is>
      </c>
      <c r="F2086" s="119" t="n">
        <v>46937</v>
      </c>
      <c r="G2086" s="119" t="n">
        <v>46948</v>
      </c>
      <c r="H2086" s="119" t="n">
        <v>46293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IF(E2086="","",IF(ISNUMBER(SEARCH("SUBSOLO",E2086)),IFERROR(-VALUE(LEFT(E2086,FIND("º",SUBSTITUTE(E2086,"°","º"))-1)),-1),IF(LEFT(E2086,6)="TÉRREO",0,IFERROR(VALUE(LEFT(E2086,FIND("º",SUBSTITUTE(E2086,"°","º"))-1)),""))))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27766505</v>
      </c>
      <c r="C2087" s="4" t="inlineStr">
        <is>
          <t>COMUNICAÇÃO VISUAL</t>
        </is>
      </c>
      <c r="D2087" s="4" t="inlineStr">
        <is>
          <t>-</t>
        </is>
      </c>
      <c r="E2087" s="4" t="inlineStr">
        <is>
          <t>14º PAV. TIPO</t>
        </is>
      </c>
      <c r="F2087" s="119" t="n">
        <v>46938</v>
      </c>
      <c r="G2087" s="119" t="n">
        <v>46944</v>
      </c>
      <c r="H2087" s="119" t="n">
        <v>46293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IF(E2087="","",IF(ISNUMBER(SEARCH("SUBSOLO",E2087)),IFERROR(-VALUE(LEFT(E2087,FIND("º",SUBSTITUTE(E2087,"°","º"))-1)),-1),IF(LEFT(E2087,6)="TÉRREO",0,IFERROR(VALUE(LEFT(E2087,FIND("º",SUBSTITUTE(E2087,"°","º"))-1)),""))))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27770720</v>
      </c>
      <c r="C2088" s="4" t="inlineStr">
        <is>
          <t>SERRALHERIA</t>
        </is>
      </c>
      <c r="D2088" s="4" t="inlineStr">
        <is>
          <t>-</t>
        </is>
      </c>
      <c r="E2088" s="4" t="inlineStr">
        <is>
          <t>17º PAV. TIPO</t>
        </is>
      </c>
      <c r="F2088" s="119" t="n">
        <v>46938</v>
      </c>
      <c r="G2088" s="119" t="n">
        <v>46948</v>
      </c>
      <c r="H2088" s="119" t="n">
        <v>46293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IF(E2088="","",IF(ISNUMBER(SEARCH("SUBSOLO",E2088)),IFERROR(-VALUE(LEFT(E2088,FIND("º",SUBSTITUTE(E2088,"°","º"))-1)),-1),IF(LEFT(E2088,6)="TÉRREO",0,IFERROR(VALUE(LEFT(E2088,FIND("º",SUBSTITUTE(E2088,"°","º"))-1)),""))))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25210378</v>
      </c>
      <c r="C2089" s="4" t="inlineStr">
        <is>
          <t>LOUÇAS</t>
        </is>
      </c>
      <c r="D2089" s="4" t="inlineStr">
        <is>
          <t>-</t>
        </is>
      </c>
      <c r="E2089" s="4" t="inlineStr">
        <is>
          <t>17º PAV. TIPO</t>
        </is>
      </c>
      <c r="F2089" s="119" t="n">
        <v>46938</v>
      </c>
      <c r="G2089" s="119" t="n">
        <v>46951</v>
      </c>
      <c r="H2089" s="119" t="n">
        <v>46293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IF(E2089="","",IF(ISNUMBER(SEARCH("SUBSOLO",E2089)),IFERROR(-VALUE(LEFT(E2089,FIND("º",SUBSTITUTE(E2089,"°","º"))-1)),-1),IF(LEFT(E2089,6)="TÉRREO",0,IFERROR(VALUE(LEFT(E2089,FIND("º",SUBSTITUTE(E2089,"°","º"))-1)),""))))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25210381</v>
      </c>
      <c r="C2090" s="4" t="inlineStr">
        <is>
          <t>METAIS</t>
        </is>
      </c>
      <c r="D2090" s="4" t="inlineStr">
        <is>
          <t>-</t>
        </is>
      </c>
      <c r="E2090" s="4" t="inlineStr">
        <is>
          <t>17º PAV. TIPO</t>
        </is>
      </c>
      <c r="F2090" s="119" t="n">
        <v>46938</v>
      </c>
      <c r="G2090" s="119" t="n">
        <v>46951</v>
      </c>
      <c r="H2090" s="119" t="n">
        <v>46293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IF(E2090="","",IF(ISNUMBER(SEARCH("SUBSOLO",E2090)),IFERROR(-VALUE(LEFT(E2090,FIND("º",SUBSTITUTE(E2090,"°","º"))-1)),-1),IF(LEFT(E2090,6)="TÉRREO",0,IFERROR(VALUE(LEFT(E2090,FIND("º",SUBSTITUTE(E2090,"°","º"))-1)),""))))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25210383</v>
      </c>
      <c r="C2091" s="4" t="inlineStr">
        <is>
          <t>ACABAMENTOS ELÉTRICOS</t>
        </is>
      </c>
      <c r="D2091" s="4" t="inlineStr">
        <is>
          <t>-</t>
        </is>
      </c>
      <c r="E2091" s="4" t="inlineStr">
        <is>
          <t>17º PAV. TIPO</t>
        </is>
      </c>
      <c r="F2091" s="119" t="n">
        <v>46938</v>
      </c>
      <c r="G2091" s="119" t="n">
        <v>46951</v>
      </c>
      <c r="H2091" s="119" t="n">
        <v>46293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IF(E2091="","",IF(ISNUMBER(SEARCH("SUBSOLO",E2091)),IFERROR(-VALUE(LEFT(E2091,FIND("º",SUBSTITUTE(E2091,"°","º"))-1)),-1),IF(LEFT(E2091,6)="TÉRREO",0,IFERROR(VALUE(LEFT(E2091,FIND("º",SUBSTITUTE(E2091,"°","º"))-1)),""))))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27766424</v>
      </c>
      <c r="C2092" s="4" t="inlineStr">
        <is>
          <t>ACABAMENTOS INCÊNDIO</t>
        </is>
      </c>
      <c r="D2092" s="4" t="inlineStr">
        <is>
          <t>-</t>
        </is>
      </c>
      <c r="E2092" s="4" t="inlineStr">
        <is>
          <t>17º PAV. TIPO</t>
        </is>
      </c>
      <c r="F2092" s="119" t="n">
        <v>46938</v>
      </c>
      <c r="G2092" s="119" t="n">
        <v>46951</v>
      </c>
      <c r="H2092" s="119" t="n">
        <v>46293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IF(E2092="","",IF(ISNUMBER(SEARCH("SUBSOLO",E2092)),IFERROR(-VALUE(LEFT(E2092,FIND("º",SUBSTITUTE(E2092,"°","º"))-1)),-1),IF(LEFT(E2092,6)="TÉRREO",0,IFERROR(VALUE(LEFT(E2092,FIND("º",SUBSTITUTE(E2092,"°","º"))-1)),""))))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33292474</v>
      </c>
      <c r="C2093" s="4" t="inlineStr">
        <is>
          <t>PAISAGISMO</t>
        </is>
      </c>
      <c r="D2093" s="4" t="inlineStr">
        <is>
          <t>-</t>
        </is>
      </c>
      <c r="E2093" s="4" t="inlineStr">
        <is>
          <t>20º PAV. TIPO</t>
        </is>
      </c>
      <c r="F2093" s="119" t="n">
        <v>46938</v>
      </c>
      <c r="G2093" s="119" t="n">
        <v>46951</v>
      </c>
      <c r="H2093" s="119" t="n">
        <v>46293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IF(E2093="","",IF(ISNUMBER(SEARCH("SUBSOLO",E2093)),IFERROR(-VALUE(LEFT(E2093,FIND("º",SUBSTITUTE(E2093,"°","º"))-1)),-1),IF(LEFT(E2093,6)="TÉRREO",0,IFERROR(VALUE(LEFT(E2093,FIND("º",SUBSTITUTE(E2093,"°","º"))-1)),""))))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25210201</v>
      </c>
      <c r="C2094" s="4" t="inlineStr">
        <is>
          <t>ESQUADRIA MADEIRA</t>
        </is>
      </c>
      <c r="D2094" s="4" t="inlineStr">
        <is>
          <t>-</t>
        </is>
      </c>
      <c r="E2094" s="4" t="inlineStr">
        <is>
          <t>22º PAV. TIPO</t>
        </is>
      </c>
      <c r="F2094" s="119" t="n">
        <v>46938</v>
      </c>
      <c r="G2094" s="119" t="n">
        <v>46951</v>
      </c>
      <c r="H2094" s="119" t="n">
        <v>46293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IF(E2094="","",IF(ISNUMBER(SEARCH("SUBSOLO",E2094)),IFERROR(-VALUE(LEFT(E2094,FIND("º",SUBSTITUTE(E2094,"°","º"))-1)),-1),IF(LEFT(E2094,6)="TÉRREO",0,IFERROR(VALUE(LEFT(E2094,FIND("º",SUBSTITUTE(E2094,"°","º"))-1)),""))))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33276008</v>
      </c>
      <c r="C2095" s="4" t="inlineStr">
        <is>
          <t>FORRO DE MADEIRA</t>
        </is>
      </c>
      <c r="D2095" s="4" t="inlineStr">
        <is>
          <t>-</t>
        </is>
      </c>
      <c r="E2095" s="4" t="inlineStr">
        <is>
          <t>22º PAV. TIPO</t>
        </is>
      </c>
      <c r="F2095" s="119" t="n">
        <v>46938</v>
      </c>
      <c r="G2095" s="119" t="n">
        <v>46958</v>
      </c>
      <c r="H2095" s="119" t="n">
        <v>46293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IF(E2095="","",IF(ISNUMBER(SEARCH("SUBSOLO",E2095)),IFERROR(-VALUE(LEFT(E2095,FIND("º",SUBSTITUTE(E2095,"°","º"))-1)),-1),IF(LEFT(E2095,6)="TÉRREO",0,IFERROR(VALUE(LEFT(E2095,FIND("º",SUBSTITUTE(E2095,"°","º"))-1)),""))))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25210452</v>
      </c>
      <c r="C2096" s="4" t="inlineStr">
        <is>
          <t>PINTURA 3º DEMÃO</t>
        </is>
      </c>
      <c r="D2096" s="4" t="inlineStr">
        <is>
          <t>-</t>
        </is>
      </c>
      <c r="E2096" s="4" t="inlineStr">
        <is>
          <t>15º PAV. TIPO</t>
        </is>
      </c>
      <c r="F2096" s="119" t="n">
        <v>46944</v>
      </c>
      <c r="G2096" s="119" t="n">
        <v>46955</v>
      </c>
      <c r="H2096" s="119" t="n">
        <v>46293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IF(E2096="","",IF(ISNUMBER(SEARCH("SUBSOLO",E2096)),IFERROR(-VALUE(LEFT(E2096,FIND("º",SUBSTITUTE(E2096,"°","º"))-1)),-1),IF(LEFT(E2096,6)="TÉRREO",0,IFERROR(VALUE(LEFT(E2096,FIND("º",SUBSTITUTE(E2096,"°","º"))-1)),""))))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25210419</v>
      </c>
      <c r="C2097" s="4" t="inlineStr">
        <is>
          <t>LIMPEZA FINA</t>
        </is>
      </c>
      <c r="D2097" s="4" t="inlineStr">
        <is>
          <t>-</t>
        </is>
      </c>
      <c r="E2097" s="4" t="inlineStr">
        <is>
          <t>16º PAV. TIPO</t>
        </is>
      </c>
      <c r="F2097" s="119" t="n">
        <v>46945</v>
      </c>
      <c r="G2097" s="119" t="n">
        <v>46958</v>
      </c>
      <c r="H2097" s="119" t="n">
        <v>46293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IF(E2097="","",IF(ISNUMBER(SEARCH("SUBSOLO",E2097)),IFERROR(-VALUE(LEFT(E2097,FIND("º",SUBSTITUTE(E2097,"°","º"))-1)),-1),IF(LEFT(E2097,6)="TÉRREO",0,IFERROR(VALUE(LEFT(E2097,FIND("º",SUBSTITUTE(E2097,"°","º"))-1)),""))))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25210342</v>
      </c>
      <c r="C2098" s="4" t="inlineStr">
        <is>
          <t>PINTURA 2º DEMÃO</t>
        </is>
      </c>
      <c r="D2098" s="4" t="inlineStr">
        <is>
          <t>-</t>
        </is>
      </c>
      <c r="E2098" s="4" t="inlineStr">
        <is>
          <t>18º PAV. TIPO</t>
        </is>
      </c>
      <c r="F2098" s="119" t="n">
        <v>46945</v>
      </c>
      <c r="G2098" s="119" t="n">
        <v>46958</v>
      </c>
      <c r="H2098" s="119" t="n">
        <v>46293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IF(E2098="","",IF(ISNUMBER(SEARCH("SUBSOLO",E2098)),IFERROR(-VALUE(LEFT(E2098,FIND("º",SUBSTITUTE(E2098,"°","º"))-1)),-1),IF(LEFT(E2098,6)="TÉRREO",0,IFERROR(VALUE(LEFT(E2098,FIND("º",SUBSTITUTE(E2098,"°","º"))-1)),""))))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25210239</v>
      </c>
      <c r="C2099" s="4" t="inlineStr">
        <is>
          <t>DISJUNTORES / MIOLOS</t>
        </is>
      </c>
      <c r="D2099" s="4" t="inlineStr">
        <is>
          <t>-</t>
        </is>
      </c>
      <c r="E2099" s="4" t="inlineStr">
        <is>
          <t>21º PAV. TIPO</t>
        </is>
      </c>
      <c r="F2099" s="119" t="n">
        <v>46945</v>
      </c>
      <c r="G2099" s="119" t="n">
        <v>46958</v>
      </c>
      <c r="H2099" s="119" t="n">
        <v>46293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IF(E2099="","",IF(ISNUMBER(SEARCH("SUBSOLO",E2099)),IFERROR(-VALUE(LEFT(E2099,FIND("º",SUBSTITUTE(E2099,"°","º"))-1)),-1),IF(LEFT(E2099,6)="TÉRREO",0,IFERROR(VALUE(LEFT(E2099,FIND("º",SUBSTITUTE(E2099,"°","º"))-1)),""))))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25210217</v>
      </c>
      <c r="C2100" s="4" t="inlineStr">
        <is>
          <t>CFTV</t>
        </is>
      </c>
      <c r="D2100" s="4" t="inlineStr">
        <is>
          <t>-</t>
        </is>
      </c>
      <c r="E2100" s="4" t="inlineStr">
        <is>
          <t>21º PAV. TIPO</t>
        </is>
      </c>
      <c r="F2100" s="119" t="n">
        <v>46945</v>
      </c>
      <c r="G2100" s="119" t="n">
        <v>46958</v>
      </c>
      <c r="H2100" s="119" t="n">
        <v>46293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IF(E2100="","",IF(ISNUMBER(SEARCH("SUBSOLO",E2100)),IFERROR(-VALUE(LEFT(E2100,FIND("º",SUBSTITUTE(E2100,"°","º"))-1)),-1),IF(LEFT(E2100,6)="TÉRREO",0,IFERROR(VALUE(LEFT(E2100,FIND("º",SUBSTITUTE(E2100,"°","º"))-1)),""))))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25210160</v>
      </c>
      <c r="C2101" s="4" t="inlineStr">
        <is>
          <t>PISO MADEIRA / LAMINADO</t>
        </is>
      </c>
      <c r="D2101" s="4" t="inlineStr">
        <is>
          <t>-</t>
        </is>
      </c>
      <c r="E2101" s="4" t="inlineStr">
        <is>
          <t>23º PAV. TIPO</t>
        </is>
      </c>
      <c r="F2101" s="119" t="n">
        <v>46945</v>
      </c>
      <c r="G2101" s="119" t="n">
        <v>46958</v>
      </c>
      <c r="H2101" s="119" t="n">
        <v>46293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IF(E2101="","",IF(ISNUMBER(SEARCH("SUBSOLO",E2101)),IFERROR(-VALUE(LEFT(E2101,FIND("º",SUBSTITUTE(E2101,"°","º"))-1)),-1),IF(LEFT(E2101,6)="TÉRREO",0,IFERROR(VALUE(LEFT(E2101,FIND("º",SUBSTITUTE(E2101,"°","º"))-1)),""))))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9054368</v>
      </c>
      <c r="C2102" s="4" t="inlineStr">
        <is>
          <t>PISO MADEIRA / LAMINADO</t>
        </is>
      </c>
      <c r="D2102" s="4" t="inlineStr">
        <is>
          <t>Regularização de Piso</t>
        </is>
      </c>
      <c r="E2102" s="4" t="inlineStr">
        <is>
          <t>23º PAV. TIPO</t>
        </is>
      </c>
      <c r="F2102" s="119" t="n">
        <v>46945</v>
      </c>
      <c r="G2102" s="119" t="n">
        <v>46951</v>
      </c>
      <c r="H2102" s="119" t="n">
        <v>46293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IF(E2102="","",IF(ISNUMBER(SEARCH("SUBSOLO",E2102)),IFERROR(-VALUE(LEFT(E2102,FIND("º",SUBSTITUTE(E2102,"°","º"))-1)),-1),IF(LEFT(E2102,6)="TÉRREO",0,IFERROR(VALUE(LEFT(E2102,FIND("º",SUBSTITUTE(E2102,"°","º"))-1)),""))))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9054369</v>
      </c>
      <c r="C2103" s="4" t="inlineStr">
        <is>
          <t>PISO MADEIRA / LAMINADO</t>
        </is>
      </c>
      <c r="D2103" s="4" t="inlineStr">
        <is>
          <t>Instalação Piso Madeira</t>
        </is>
      </c>
      <c r="E2103" s="4" t="inlineStr">
        <is>
          <t>23º PAV. TIPO</t>
        </is>
      </c>
      <c r="F2103" s="119" t="n">
        <v>46952</v>
      </c>
      <c r="G2103" s="119" t="n">
        <v>46958</v>
      </c>
      <c r="H2103" s="119" t="n">
        <v>46293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IF(E2103="","",IF(ISNUMBER(SEARCH("SUBSOLO",E2103)),IFERROR(-VALUE(LEFT(E2103,FIND("º",SUBSTITUTE(E2103,"°","º"))-1)),-1),IF(LEFT(E2103,6)="TÉRREO",0,IFERROR(VALUE(LEFT(E2103,FIND("º",SUBSTITUTE(E2103,"°","º"))-1)),""))))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25210129</v>
      </c>
      <c r="C2104" s="4" t="inlineStr">
        <is>
          <t>ESQUADRIA</t>
        </is>
      </c>
      <c r="D2104" s="4" t="inlineStr">
        <is>
          <t>-</t>
        </is>
      </c>
      <c r="E2104" s="4" t="inlineStr">
        <is>
          <t>24º PAV. TIPO</t>
        </is>
      </c>
      <c r="F2104" s="119" t="n">
        <v>46945</v>
      </c>
      <c r="G2104" s="119" t="n">
        <v>46965</v>
      </c>
      <c r="H2104" s="119" t="n">
        <v>46293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IF(E2104="","",IF(ISNUMBER(SEARCH("SUBSOLO",E2104)),IFERROR(-VALUE(LEFT(E2104,FIND("º",SUBSTITUTE(E2104,"°","º"))-1)),-1),IF(LEFT(E2104,6)="TÉRREO",0,IFERROR(VALUE(LEFT(E2104,FIND("º",SUBSTITUTE(E2104,"°","º"))-1)),""))))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27766507</v>
      </c>
      <c r="C2105" s="4" t="inlineStr">
        <is>
          <t>COMUNICAÇÃO VISUAL</t>
        </is>
      </c>
      <c r="D2105" s="4" t="inlineStr">
        <is>
          <t>-</t>
        </is>
      </c>
      <c r="E2105" s="4" t="inlineStr">
        <is>
          <t>16º PAV. TIPO</t>
        </is>
      </c>
      <c r="F2105" s="119" t="n">
        <v>46946</v>
      </c>
      <c r="G2105" s="119" t="n">
        <v>46952</v>
      </c>
      <c r="H2105" s="119" t="n">
        <v>46293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IF(E2105="","",IF(ISNUMBER(SEARCH("SUBSOLO",E2105)),IFERROR(-VALUE(LEFT(E2105,FIND("º",SUBSTITUTE(E2105,"°","º"))-1)),-1),IF(LEFT(E2105,6)="TÉRREO",0,IFERROR(VALUE(LEFT(E2105,FIND("º",SUBSTITUTE(E2105,"°","º"))-1)),""))))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27770716</v>
      </c>
      <c r="C2106" s="4" t="inlineStr">
        <is>
          <t>SERRALHERIA</t>
        </is>
      </c>
      <c r="D2106" s="4" t="inlineStr">
        <is>
          <t>-</t>
        </is>
      </c>
      <c r="E2106" s="4" t="inlineStr">
        <is>
          <t>13º PAV. TIPO</t>
        </is>
      </c>
      <c r="F2106" s="119" t="n">
        <v>46951</v>
      </c>
      <c r="G2106" s="119" t="n">
        <v>46961</v>
      </c>
      <c r="H2106" s="119" t="n">
        <v>46293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IF(E2106="","",IF(ISNUMBER(SEARCH("SUBSOLO",E2106)),IFERROR(-VALUE(LEFT(E2106,FIND("º",SUBSTITUTE(E2106,"°","º"))-1)),-1),IF(LEFT(E2106,6)="TÉRREO",0,IFERROR(VALUE(LEFT(E2106,FIND("º",SUBSTITUTE(E2106,"°","º"))-1)),""))))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25210518</v>
      </c>
      <c r="C2107" s="4" t="inlineStr">
        <is>
          <t>LOUÇAS</t>
        </is>
      </c>
      <c r="D2107" s="4" t="inlineStr">
        <is>
          <t>-</t>
        </is>
      </c>
      <c r="E2107" s="4" t="inlineStr">
        <is>
          <t>13º PAV. TIPO</t>
        </is>
      </c>
      <c r="F2107" s="119" t="n">
        <v>46951</v>
      </c>
      <c r="G2107" s="119" t="n">
        <v>46962</v>
      </c>
      <c r="H2107" s="119" t="n">
        <v>46293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IF(E2107="","",IF(ISNUMBER(SEARCH("SUBSOLO",E2107)),IFERROR(-VALUE(LEFT(E2107,FIND("º",SUBSTITUTE(E2107,"°","º"))-1)),-1),IF(LEFT(E2107,6)="TÉRREO",0,IFERROR(VALUE(LEFT(E2107,FIND("º",SUBSTITUTE(E2107,"°","º"))-1)),""))))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25210521</v>
      </c>
      <c r="C2108" s="4" t="inlineStr">
        <is>
          <t>METAIS</t>
        </is>
      </c>
      <c r="D2108" s="4" t="inlineStr">
        <is>
          <t>-</t>
        </is>
      </c>
      <c r="E2108" s="4" t="inlineStr">
        <is>
          <t>13º PAV. TIPO</t>
        </is>
      </c>
      <c r="F2108" s="119" t="n">
        <v>46951</v>
      </c>
      <c r="G2108" s="119" t="n">
        <v>46962</v>
      </c>
      <c r="H2108" s="119" t="n">
        <v>46293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IF(E2108="","",IF(ISNUMBER(SEARCH("SUBSOLO",E2108)),IFERROR(-VALUE(LEFT(E2108,FIND("º",SUBSTITUTE(E2108,"°","º"))-1)),-1),IF(LEFT(E2108,6)="TÉRREO",0,IFERROR(VALUE(LEFT(E2108,FIND("º",SUBSTITUTE(E2108,"°","º"))-1)),""))))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25210523</v>
      </c>
      <c r="C2109" s="4" t="inlineStr">
        <is>
          <t>ACABAMENTOS ELÉTRICOS</t>
        </is>
      </c>
      <c r="D2109" s="4" t="inlineStr">
        <is>
          <t>-</t>
        </is>
      </c>
      <c r="E2109" s="4" t="inlineStr">
        <is>
          <t>13º PAV. TIPO</t>
        </is>
      </c>
      <c r="F2109" s="119" t="n">
        <v>46951</v>
      </c>
      <c r="G2109" s="119" t="n">
        <v>46962</v>
      </c>
      <c r="H2109" s="119" t="n">
        <v>46293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IF(E2109="","",IF(ISNUMBER(SEARCH("SUBSOLO",E2109)),IFERROR(-VALUE(LEFT(E2109,FIND("º",SUBSTITUTE(E2109,"°","º"))-1)),-1),IF(LEFT(E2109,6)="TÉRREO",0,IFERROR(VALUE(LEFT(E2109,FIND("º",SUBSTITUTE(E2109,"°","º"))-1)),""))))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27766420</v>
      </c>
      <c r="C2110" s="4" t="inlineStr">
        <is>
          <t>ACABAMENTOS INCÊNDIO</t>
        </is>
      </c>
      <c r="D2110" s="4" t="inlineStr">
        <is>
          <t>-</t>
        </is>
      </c>
      <c r="E2110" s="4" t="inlineStr">
        <is>
          <t>13º PAV. TIPO</t>
        </is>
      </c>
      <c r="F2110" s="119" t="n">
        <v>46951</v>
      </c>
      <c r="G2110" s="119" t="n">
        <v>46962</v>
      </c>
      <c r="H2110" s="119" t="n">
        <v>46293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IF(E2110="","",IF(ISNUMBER(SEARCH("SUBSOLO",E2110)),IFERROR(-VALUE(LEFT(E2110,FIND("º",SUBSTITUTE(E2110,"°","º"))-1)),-1),IF(LEFT(E2110,6)="TÉRREO",0,IFERROR(VALUE(LEFT(E2110,FIND("º",SUBSTITUTE(E2110,"°","º"))-1)),""))))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25210490</v>
      </c>
      <c r="C2111" s="4" t="inlineStr">
        <is>
          <t>CHECKLIST</t>
        </is>
      </c>
      <c r="D2111" s="4" t="inlineStr">
        <is>
          <t>-</t>
        </is>
      </c>
      <c r="E2111" s="4" t="inlineStr">
        <is>
          <t>14º PAV. TIPO</t>
        </is>
      </c>
      <c r="F2111" s="119" t="n">
        <v>46951</v>
      </c>
      <c r="G2111" s="119" t="n">
        <v>46959</v>
      </c>
      <c r="H2111" s="119" t="n">
        <v>46293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IF(E2111="","",IF(ISNUMBER(SEARCH("SUBSOLO",E2111)),IFERROR(-VALUE(LEFT(E2111,FIND("º",SUBSTITUTE(E2111,"°","º"))-1)),-1),IF(LEFT(E2111,6)="TÉRREO",0,IFERROR(VALUE(LEFT(E2111,FIND("º",SUBSTITUTE(E2111,"°","º"))-1)),""))))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25210382</v>
      </c>
      <c r="C2112" s="4" t="inlineStr">
        <is>
          <t>PINTURA 3º DEMÃO</t>
        </is>
      </c>
      <c r="D2112" s="4" t="inlineStr">
        <is>
          <t>-</t>
        </is>
      </c>
      <c r="E2112" s="4" t="inlineStr">
        <is>
          <t>17º PAV. TIPO</t>
        </is>
      </c>
      <c r="F2112" s="119" t="n">
        <v>46952</v>
      </c>
      <c r="G2112" s="119" t="n">
        <v>46965</v>
      </c>
      <c r="H2112" s="119" t="n">
        <v>46293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IF(E2112="","",IF(ISNUMBER(SEARCH("SUBSOLO",E2112)),IFERROR(-VALUE(LEFT(E2112,FIND("º",SUBSTITUTE(E2112,"°","º"))-1)),-1),IF(LEFT(E2112,6)="TÉRREO",0,IFERROR(VALUE(LEFT(E2112,FIND("º",SUBSTITUTE(E2112,"°","º"))-1)),""))))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25210310</v>
      </c>
      <c r="C2113" s="4" t="inlineStr">
        <is>
          <t>LIMPEZA GROSSA</t>
        </is>
      </c>
      <c r="D2113" s="4" t="inlineStr">
        <is>
          <t>-</t>
        </is>
      </c>
      <c r="E2113" s="4" t="inlineStr">
        <is>
          <t>19º PAV. TIPO</t>
        </is>
      </c>
      <c r="F2113" s="119" t="n">
        <v>46952</v>
      </c>
      <c r="G2113" s="119" t="n">
        <v>46965</v>
      </c>
      <c r="H2113" s="119" t="n">
        <v>46293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IF(E2113="","",IF(ISNUMBER(SEARCH("SUBSOLO",E2113)),IFERROR(-VALUE(LEFT(E2113,FIND("º",SUBSTITUTE(E2113,"°","º"))-1)),-1),IF(LEFT(E2113,6)="TÉRREO",0,IFERROR(VALUE(LEFT(E2113,FIND("º",SUBSTITUTE(E2113,"°","º"))-1)),""))))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33276144</v>
      </c>
      <c r="C2114" s="4" t="inlineStr">
        <is>
          <t>TRATAMENTO DE GRANITO/MÁRMORE</t>
        </is>
      </c>
      <c r="D2114" s="4" t="inlineStr">
        <is>
          <t>-</t>
        </is>
      </c>
      <c r="E2114" s="4" t="inlineStr">
        <is>
          <t>20º PAV. TIPO</t>
        </is>
      </c>
      <c r="F2114" s="119" t="n">
        <v>46952</v>
      </c>
      <c r="G2114" s="119" t="n">
        <v>46972</v>
      </c>
      <c r="H2114" s="119" t="n">
        <v>46293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IF(E2114="","",IF(ISNUMBER(SEARCH("SUBSOLO",E2114)),IFERROR(-VALUE(LEFT(E2114,FIND("º",SUBSTITUTE(E2114,"°","º"))-1)),-1),IF(LEFT(E2114,6)="TÉRREO",0,IFERROR(VALUE(LEFT(E2114,FIND("º",SUBSTITUTE(E2114,"°","º"))-1)),""))))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25210181</v>
      </c>
      <c r="C2115" s="4" t="inlineStr">
        <is>
          <t>RODAPÉ MADEIRA / PVC</t>
        </is>
      </c>
      <c r="D2115" s="4" t="inlineStr">
        <is>
          <t>-</t>
        </is>
      </c>
      <c r="E2115" s="4" t="inlineStr">
        <is>
          <t>22º PAV. TIPO</t>
        </is>
      </c>
      <c r="F2115" s="119" t="n">
        <v>46952</v>
      </c>
      <c r="G2115" s="119" t="n">
        <v>46965</v>
      </c>
      <c r="H2115" s="119" t="n">
        <v>46293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IF(E2115="","",IF(ISNUMBER(SEARCH("SUBSOLO",E2115)),IFERROR(-VALUE(LEFT(E2115,FIND("º",SUBSTITUTE(E2115,"°","º"))-1)),-1),IF(LEFT(E2115,6)="TÉRREO",0,IFERROR(VALUE(LEFT(E2115,FIND("º",SUBSTITUTE(E2115,"°","º"))-1)),""))))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25210454</v>
      </c>
      <c r="C2116" s="4" t="inlineStr">
        <is>
          <t>LIMPEZA FINA</t>
        </is>
      </c>
      <c r="D2116" s="4" t="inlineStr">
        <is>
          <t>-</t>
        </is>
      </c>
      <c r="E2116" s="4" t="inlineStr">
        <is>
          <t>15º PAV. TIPO</t>
        </is>
      </c>
      <c r="F2116" s="119" t="n">
        <v>46958</v>
      </c>
      <c r="G2116" s="119" t="n">
        <v>46969</v>
      </c>
      <c r="H2116" s="119" t="n">
        <v>46293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IF(E2116="","",IF(ISNUMBER(SEARCH("SUBSOLO",E2116)),IFERROR(-VALUE(LEFT(E2116,FIND("º",SUBSTITUTE(E2116,"°","º"))-1)),-1),IF(LEFT(E2116,6)="TÉRREO",0,IFERROR(VALUE(LEFT(E2116,FIND("º",SUBSTITUTE(E2116,"°","º"))-1)),""))))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27766506</v>
      </c>
      <c r="C2117" s="4" t="inlineStr">
        <is>
          <t>COMUNICAÇÃO VISUAL</t>
        </is>
      </c>
      <c r="D2117" s="4" t="inlineStr">
        <is>
          <t>-</t>
        </is>
      </c>
      <c r="E2117" s="4" t="inlineStr">
        <is>
          <t>15º PAV. TIPO</t>
        </is>
      </c>
      <c r="F2117" s="119" t="n">
        <v>46959</v>
      </c>
      <c r="G2117" s="119" t="n">
        <v>46965</v>
      </c>
      <c r="H2117" s="119" t="n">
        <v>46293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IF(E2117="","",IF(ISNUMBER(SEARCH("SUBSOLO",E2117)),IFERROR(-VALUE(LEFT(E2117,FIND("º",SUBSTITUTE(E2117,"°","º"))-1)),-1),IF(LEFT(E2117,6)="TÉRREO",0,IFERROR(VALUE(LEFT(E2117,FIND("º",SUBSTITUTE(E2117,"°","º"))-1)),""))))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25210420</v>
      </c>
      <c r="C2118" s="4" t="inlineStr">
        <is>
          <t>CHECKLIST</t>
        </is>
      </c>
      <c r="D2118" s="4" t="inlineStr">
        <is>
          <t>-</t>
        </is>
      </c>
      <c r="E2118" s="4" t="inlineStr">
        <is>
          <t>16º PAV. TIPO</t>
        </is>
      </c>
      <c r="F2118" s="119" t="n">
        <v>46959</v>
      </c>
      <c r="G2118" s="119" t="n">
        <v>46967</v>
      </c>
      <c r="H2118" s="119" t="n">
        <v>46293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IF(E2118="","",IF(ISNUMBER(SEARCH("SUBSOLO",E2118)),IFERROR(-VALUE(LEFT(E2118,FIND("º",SUBSTITUTE(E2118,"°","º"))-1)),-1),IF(LEFT(E2118,6)="TÉRREO",0,IFERROR(VALUE(LEFT(E2118,FIND("º",SUBSTITUTE(E2118,"°","º"))-1)),""))))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27770721</v>
      </c>
      <c r="C2119" s="4" t="inlineStr">
        <is>
          <t>SERRALHERIA</t>
        </is>
      </c>
      <c r="D2119" s="4" t="inlineStr">
        <is>
          <t>-</t>
        </is>
      </c>
      <c r="E2119" s="4" t="inlineStr">
        <is>
          <t>18º PAV. TIPO</t>
        </is>
      </c>
      <c r="F2119" s="119" t="n">
        <v>46959</v>
      </c>
      <c r="G2119" s="119" t="n">
        <v>46969</v>
      </c>
      <c r="H2119" s="119" t="n">
        <v>46293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IF(E2119="","",IF(ISNUMBER(SEARCH("SUBSOLO",E2119)),IFERROR(-VALUE(LEFT(E2119,FIND("º",SUBSTITUTE(E2119,"°","º"))-1)),-1),IF(LEFT(E2119,6)="TÉRREO",0,IFERROR(VALUE(LEFT(E2119,FIND("º",SUBSTITUTE(E2119,"°","º"))-1)),""))))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25210343</v>
      </c>
      <c r="C2120" s="4" t="inlineStr">
        <is>
          <t>LOUÇAS</t>
        </is>
      </c>
      <c r="D2120" s="4" t="inlineStr">
        <is>
          <t>-</t>
        </is>
      </c>
      <c r="E2120" s="4" t="inlineStr">
        <is>
          <t>18º PAV. TIPO</t>
        </is>
      </c>
      <c r="F2120" s="119" t="n">
        <v>46959</v>
      </c>
      <c r="G2120" s="119" t="n">
        <v>46972</v>
      </c>
      <c r="H2120" s="119" t="n">
        <v>46293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IF(E2120="","",IF(ISNUMBER(SEARCH("SUBSOLO",E2120)),IFERROR(-VALUE(LEFT(E2120,FIND("º",SUBSTITUTE(E2120,"°","º"))-1)),-1),IF(LEFT(E2120,6)="TÉRREO",0,IFERROR(VALUE(LEFT(E2120,FIND("º",SUBSTITUTE(E2120,"°","º"))-1)),""))))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25210346</v>
      </c>
      <c r="C2121" s="4" t="inlineStr">
        <is>
          <t>METAIS</t>
        </is>
      </c>
      <c r="D2121" s="4" t="inlineStr">
        <is>
          <t>-</t>
        </is>
      </c>
      <c r="E2121" s="4" t="inlineStr">
        <is>
          <t>18º PAV. TIPO</t>
        </is>
      </c>
      <c r="F2121" s="119" t="n">
        <v>46959</v>
      </c>
      <c r="G2121" s="119" t="n">
        <v>46972</v>
      </c>
      <c r="H2121" s="119" t="n">
        <v>46293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IF(E2121="","",IF(ISNUMBER(SEARCH("SUBSOLO",E2121)),IFERROR(-VALUE(LEFT(E2121,FIND("º",SUBSTITUTE(E2121,"°","º"))-1)),-1),IF(LEFT(E2121,6)="TÉRREO",0,IFERROR(VALUE(LEFT(E2121,FIND("º",SUBSTITUTE(E2121,"°","º"))-1)),""))))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25210348</v>
      </c>
      <c r="C2122" s="4" t="inlineStr">
        <is>
          <t>ACABAMENTOS ELÉTRICOS</t>
        </is>
      </c>
      <c r="D2122" s="4" t="inlineStr">
        <is>
          <t>-</t>
        </is>
      </c>
      <c r="E2122" s="4" t="inlineStr">
        <is>
          <t>18º PAV. TIPO</t>
        </is>
      </c>
      <c r="F2122" s="119" t="n">
        <v>46959</v>
      </c>
      <c r="G2122" s="119" t="n">
        <v>46972</v>
      </c>
      <c r="H2122" s="119" t="n">
        <v>46293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IF(E2122="","",IF(ISNUMBER(SEARCH("SUBSOLO",E2122)),IFERROR(-VALUE(LEFT(E2122,FIND("º",SUBSTITUTE(E2122,"°","º"))-1)),-1),IF(LEFT(E2122,6)="TÉRREO",0,IFERROR(VALUE(LEFT(E2122,FIND("º",SUBSTITUTE(E2122,"°","º"))-1)),""))))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27766425</v>
      </c>
      <c r="C2123" s="4" t="inlineStr">
        <is>
          <t>ACABAMENTOS INCÊNDIO</t>
        </is>
      </c>
      <c r="D2123" s="4" t="inlineStr">
        <is>
          <t>-</t>
        </is>
      </c>
      <c r="E2123" s="4" t="inlineStr">
        <is>
          <t>18º PAV. TIPO</t>
        </is>
      </c>
      <c r="F2123" s="119" t="n">
        <v>46959</v>
      </c>
      <c r="G2123" s="119" t="n">
        <v>46972</v>
      </c>
      <c r="H2123" s="119" t="n">
        <v>46293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IF(E2123="","",IF(ISNUMBER(SEARCH("SUBSOLO",E2123)),IFERROR(-VALUE(LEFT(E2123,FIND("º",SUBSTITUTE(E2123,"°","º"))-1)),-1),IF(LEFT(E2123,6)="TÉRREO",0,IFERROR(VALUE(LEFT(E2123,FIND("º",SUBSTITUTE(E2123,"°","º"))-1)),""))))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33292475</v>
      </c>
      <c r="C2124" s="4" t="inlineStr">
        <is>
          <t>PAISAGISMO</t>
        </is>
      </c>
      <c r="D2124" s="4" t="inlineStr">
        <is>
          <t>-</t>
        </is>
      </c>
      <c r="E2124" s="4" t="inlineStr">
        <is>
          <t>21º PAV. TIPO</t>
        </is>
      </c>
      <c r="F2124" s="119" t="n">
        <v>46959</v>
      </c>
      <c r="G2124" s="119" t="n">
        <v>46972</v>
      </c>
      <c r="H2124" s="119" t="n">
        <v>46293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IF(E2124="","",IF(ISNUMBER(SEARCH("SUBSOLO",E2124)),IFERROR(-VALUE(LEFT(E2124,FIND("º",SUBSTITUTE(E2124,"°","º"))-1)),-1),IF(LEFT(E2124,6)="TÉRREO",0,IFERROR(VALUE(LEFT(E2124,FIND("º",SUBSTITUTE(E2124,"°","º"))-1)),""))))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25210166</v>
      </c>
      <c r="C2125" s="4" t="inlineStr">
        <is>
          <t>ESQUADRIA MADEIRA</t>
        </is>
      </c>
      <c r="D2125" s="4" t="inlineStr">
        <is>
          <t>-</t>
        </is>
      </c>
      <c r="E2125" s="4" t="inlineStr">
        <is>
          <t>23º PAV. TIPO</t>
        </is>
      </c>
      <c r="F2125" s="119" t="n">
        <v>46959</v>
      </c>
      <c r="G2125" s="119" t="n">
        <v>46972</v>
      </c>
      <c r="H2125" s="119" t="n">
        <v>46293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IF(E2125="","",IF(ISNUMBER(SEARCH("SUBSOLO",E2125)),IFERROR(-VALUE(LEFT(E2125,FIND("º",SUBSTITUTE(E2125,"°","º"))-1)),-1),IF(LEFT(E2125,6)="TÉRREO",0,IFERROR(VALUE(LEFT(E2125,FIND("º",SUBSTITUTE(E2125,"°","º"))-1)),""))))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33276009</v>
      </c>
      <c r="C2126" s="4" t="inlineStr">
        <is>
          <t>FORRO DE MADEIRA</t>
        </is>
      </c>
      <c r="D2126" s="4" t="inlineStr">
        <is>
          <t>-</t>
        </is>
      </c>
      <c r="E2126" s="4" t="inlineStr">
        <is>
          <t>23º PAV. TIPO</t>
        </is>
      </c>
      <c r="F2126" s="119" t="n">
        <v>46959</v>
      </c>
      <c r="G2126" s="119" t="n">
        <v>46979</v>
      </c>
      <c r="H2126" s="119" t="n">
        <v>46293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IF(E2126="","",IF(ISNUMBER(SEARCH("SUBSOLO",E2126)),IFERROR(-VALUE(LEFT(E2126,FIND("º",SUBSTITUTE(E2126,"°","º"))-1)),-1),IF(LEFT(E2126,6)="TÉRREO",0,IFERROR(VALUE(LEFT(E2126,FIND("º",SUBSTITUTE(E2126,"°","º"))-1)),""))))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25210522</v>
      </c>
      <c r="C2127" s="4" t="inlineStr">
        <is>
          <t>PINTURA 3º DEMÃO</t>
        </is>
      </c>
      <c r="D2127" s="4" t="inlineStr">
        <is>
          <t>-</t>
        </is>
      </c>
      <c r="E2127" s="4" t="inlineStr">
        <is>
          <t>13º PAV. TIPO</t>
        </is>
      </c>
      <c r="F2127" s="119" t="n">
        <v>46965</v>
      </c>
      <c r="G2127" s="119" t="n">
        <v>46976</v>
      </c>
      <c r="H2127" s="119" t="n">
        <v>46293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IF(E2127="","",IF(ISNUMBER(SEARCH("SUBSOLO",E2127)),IFERROR(-VALUE(LEFT(E2127,FIND("º",SUBSTITUTE(E2127,"°","º"))-1)),-1),IF(LEFT(E2127,6)="TÉRREO",0,IFERROR(VALUE(LEFT(E2127,FIND("º",SUBSTITUTE(E2127,"°","º"))-1)),""))))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25210384</v>
      </c>
      <c r="C2128" s="4" t="inlineStr">
        <is>
          <t>LIMPEZA FINA</t>
        </is>
      </c>
      <c r="D2128" s="4" t="inlineStr">
        <is>
          <t>-</t>
        </is>
      </c>
      <c r="E2128" s="4" t="inlineStr">
        <is>
          <t>17º PAV. TIPO</t>
        </is>
      </c>
      <c r="F2128" s="119" t="n">
        <v>46966</v>
      </c>
      <c r="G2128" s="119" t="n">
        <v>46979</v>
      </c>
      <c r="H2128" s="119" t="n">
        <v>46293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IF(E2128="","",IF(ISNUMBER(SEARCH("SUBSOLO",E2128)),IFERROR(-VALUE(LEFT(E2128,FIND("º",SUBSTITUTE(E2128,"°","º"))-1)),-1),IF(LEFT(E2128,6)="TÉRREO",0,IFERROR(VALUE(LEFT(E2128,FIND("º",SUBSTITUTE(E2128,"°","º"))-1)),""))))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25210307</v>
      </c>
      <c r="C2129" s="4" t="inlineStr">
        <is>
          <t>PINTURA 2º DEMÃO</t>
        </is>
      </c>
      <c r="D2129" s="4" t="inlineStr">
        <is>
          <t>-</t>
        </is>
      </c>
      <c r="E2129" s="4" t="inlineStr">
        <is>
          <t>19º PAV. TIPO</t>
        </is>
      </c>
      <c r="F2129" s="119" t="n">
        <v>46966</v>
      </c>
      <c r="G2129" s="119" t="n">
        <v>46979</v>
      </c>
      <c r="H2129" s="119" t="n">
        <v>46293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IF(E2129="","",IF(ISNUMBER(SEARCH("SUBSOLO",E2129)),IFERROR(-VALUE(LEFT(E2129,FIND("º",SUBSTITUTE(E2129,"°","º"))-1)),-1),IF(LEFT(E2129,6)="TÉRREO",0,IFERROR(VALUE(LEFT(E2129,FIND("º",SUBSTITUTE(E2129,"°","º"))-1)),""))))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25210204</v>
      </c>
      <c r="C2130" s="4" t="inlineStr">
        <is>
          <t>DISJUNTORES / MIOLOS</t>
        </is>
      </c>
      <c r="D2130" s="4" t="inlineStr">
        <is>
          <t>-</t>
        </is>
      </c>
      <c r="E2130" s="4" t="inlineStr">
        <is>
          <t>22º PAV. TIPO</t>
        </is>
      </c>
      <c r="F2130" s="119" t="n">
        <v>46966</v>
      </c>
      <c r="G2130" s="119" t="n">
        <v>46979</v>
      </c>
      <c r="H2130" s="119" t="n">
        <v>46293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IF(E2130="","",IF(ISNUMBER(SEARCH("SUBSOLO",E2130)),IFERROR(-VALUE(LEFT(E2130,FIND("º",SUBSTITUTE(E2130,"°","º"))-1)),-1),IF(LEFT(E2130,6)="TÉRREO",0,IFERROR(VALUE(LEFT(E2130,FIND("º",SUBSTITUTE(E2130,"°","º"))-1)),""))))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25210182</v>
      </c>
      <c r="C2131" s="4" t="inlineStr">
        <is>
          <t>CFTV</t>
        </is>
      </c>
      <c r="D2131" s="4" t="inlineStr">
        <is>
          <t>-</t>
        </is>
      </c>
      <c r="E2131" s="4" t="inlineStr">
        <is>
          <t>22º PAV. TIPO</t>
        </is>
      </c>
      <c r="F2131" s="119" t="n">
        <v>46966</v>
      </c>
      <c r="G2131" s="119" t="n">
        <v>46979</v>
      </c>
      <c r="H2131" s="119" t="n">
        <v>46293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IF(E2131="","",IF(ISNUMBER(SEARCH("SUBSOLO",E2131)),IFERROR(-VALUE(LEFT(E2131,FIND("º",SUBSTITUTE(E2131,"°","º"))-1)),-1),IF(LEFT(E2131,6)="TÉRREO",0,IFERROR(VALUE(LEFT(E2131,FIND("º",SUBSTITUTE(E2131,"°","º"))-1)),""))))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25210125</v>
      </c>
      <c r="C2132" s="4" t="inlineStr">
        <is>
          <t>PISO MADEIRA / LAMINADO</t>
        </is>
      </c>
      <c r="D2132" s="4" t="inlineStr">
        <is>
          <t>-</t>
        </is>
      </c>
      <c r="E2132" s="4" t="inlineStr">
        <is>
          <t>24º PAV. TIPO</t>
        </is>
      </c>
      <c r="F2132" s="119" t="n">
        <v>46966</v>
      </c>
      <c r="G2132" s="119" t="n">
        <v>46979</v>
      </c>
      <c r="H2132" s="119" t="n">
        <v>46293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IF(E2132="","",IF(ISNUMBER(SEARCH("SUBSOLO",E2132)),IFERROR(-VALUE(LEFT(E2132,FIND("º",SUBSTITUTE(E2132,"°","º"))-1)),-1),IF(LEFT(E2132,6)="TÉRREO",0,IFERROR(VALUE(LEFT(E2132,FIND("º",SUBSTITUTE(E2132,"°","º"))-1)),""))))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9054366</v>
      </c>
      <c r="C2133" s="4" t="inlineStr">
        <is>
          <t>PISO MADEIRA / LAMINADO</t>
        </is>
      </c>
      <c r="D2133" s="4" t="inlineStr">
        <is>
          <t>Regularização de Piso</t>
        </is>
      </c>
      <c r="E2133" s="4" t="inlineStr">
        <is>
          <t>24º PAV. TIPO</t>
        </is>
      </c>
      <c r="F2133" s="119" t="n">
        <v>46966</v>
      </c>
      <c r="G2133" s="119" t="n">
        <v>46972</v>
      </c>
      <c r="H2133" s="119" t="n">
        <v>46293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IF(E2133="","",IF(ISNUMBER(SEARCH("SUBSOLO",E2133)),IFERROR(-VALUE(LEFT(E2133,FIND("º",SUBSTITUTE(E2133,"°","º"))-1)),-1),IF(LEFT(E2133,6)="TÉRREO",0,IFERROR(VALUE(LEFT(E2133,FIND("º",SUBSTITUTE(E2133,"°","º"))-1)),""))))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9054367</v>
      </c>
      <c r="C2134" s="4" t="inlineStr">
        <is>
          <t>PISO MADEIRA / LAMINADO</t>
        </is>
      </c>
      <c r="D2134" s="4" t="inlineStr">
        <is>
          <t>Instalação Piso Madeira</t>
        </is>
      </c>
      <c r="E2134" s="4" t="inlineStr">
        <is>
          <t>24º PAV. TIPO</t>
        </is>
      </c>
      <c r="F2134" s="119" t="n">
        <v>46973</v>
      </c>
      <c r="G2134" s="119" t="n">
        <v>46979</v>
      </c>
      <c r="H2134" s="119" t="n">
        <v>46293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IF(E2134="","",IF(ISNUMBER(SEARCH("SUBSOLO",E2134)),IFERROR(-VALUE(LEFT(E2134,FIND("º",SUBSTITUTE(E2134,"°","º"))-1)),-1),IF(LEFT(E2134,6)="TÉRREO",0,IFERROR(VALUE(LEFT(E2134,FIND("º",SUBSTITUTE(E2134,"°","º"))-1)),""))))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25210094</v>
      </c>
      <c r="C2135" s="4" t="inlineStr">
        <is>
          <t>ESQUADRIA</t>
        </is>
      </c>
      <c r="D2135" s="4" t="inlineStr">
        <is>
          <t>-</t>
        </is>
      </c>
      <c r="E2135" s="4" t="inlineStr">
        <is>
          <t>25º PAV. TIPO</t>
        </is>
      </c>
      <c r="F2135" s="119" t="n">
        <v>46966</v>
      </c>
      <c r="G2135" s="119" t="n">
        <v>46986</v>
      </c>
      <c r="H2135" s="119" t="n">
        <v>46293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IF(E2135="","",IF(ISNUMBER(SEARCH("SUBSOLO",E2135)),IFERROR(-VALUE(LEFT(E2135,FIND("º",SUBSTITUTE(E2135,"°","º"))-1)),-1),IF(LEFT(E2135,6)="TÉRREO",0,IFERROR(VALUE(LEFT(E2135,FIND("º",SUBSTITUTE(E2135,"°","º"))-1)),""))))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27766508</v>
      </c>
      <c r="C2136" s="4" t="inlineStr">
        <is>
          <t>COMUNICAÇÃO VISUAL</t>
        </is>
      </c>
      <c r="D2136" s="4" t="inlineStr">
        <is>
          <t>-</t>
        </is>
      </c>
      <c r="E2136" s="4" t="inlineStr">
        <is>
          <t>17º PAV. TIPO</t>
        </is>
      </c>
      <c r="F2136" s="119" t="n">
        <v>46967</v>
      </c>
      <c r="G2136" s="119" t="n">
        <v>46973</v>
      </c>
      <c r="H2136" s="119" t="n">
        <v>46293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IF(E2136="","",IF(ISNUMBER(SEARCH("SUBSOLO",E2136)),IFERROR(-VALUE(LEFT(E2136,FIND("º",SUBSTITUTE(E2136,"°","º"))-1)),-1),IF(LEFT(E2136,6)="TÉRREO",0,IFERROR(VALUE(LEFT(E2136,FIND("º",SUBSTITUTE(E2136,"°","º"))-1)),""))))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25210455</v>
      </c>
      <c r="C2137" s="4" t="inlineStr">
        <is>
          <t>CHECKLIST</t>
        </is>
      </c>
      <c r="D2137" s="4" t="inlineStr">
        <is>
          <t>-</t>
        </is>
      </c>
      <c r="E2137" s="4" t="inlineStr">
        <is>
          <t>15º PAV. TIPO</t>
        </is>
      </c>
      <c r="F2137" s="119" t="n">
        <v>46972</v>
      </c>
      <c r="G2137" s="119" t="n">
        <v>46980</v>
      </c>
      <c r="H2137" s="119" t="n">
        <v>46293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IF(E2137="","",IF(ISNUMBER(SEARCH("SUBSOLO",E2137)),IFERROR(-VALUE(LEFT(E2137,FIND("º",SUBSTITUTE(E2137,"°","º"))-1)),-1),IF(LEFT(E2137,6)="TÉRREO",0,IFERROR(VALUE(LEFT(E2137,FIND("º",SUBSTITUTE(E2137,"°","º"))-1)),""))))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25210347</v>
      </c>
      <c r="C2138" s="4" t="inlineStr">
        <is>
          <t>PINTURA 3º DEMÃO</t>
        </is>
      </c>
      <c r="D2138" s="4" t="inlineStr">
        <is>
          <t>-</t>
        </is>
      </c>
      <c r="E2138" s="4" t="inlineStr">
        <is>
          <t>18º PAV. TIPO</t>
        </is>
      </c>
      <c r="F2138" s="119" t="n">
        <v>46973</v>
      </c>
      <c r="G2138" s="119" t="n">
        <v>46986</v>
      </c>
      <c r="H2138" s="119" t="n">
        <v>46293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IF(E2138="","",IF(ISNUMBER(SEARCH("SUBSOLO",E2138)),IFERROR(-VALUE(LEFT(E2138,FIND("º",SUBSTITUTE(E2138,"°","º"))-1)),-1),IF(LEFT(E2138,6)="TÉRREO",0,IFERROR(VALUE(LEFT(E2138,FIND("º",SUBSTITUTE(E2138,"°","º"))-1)),""))))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25210275</v>
      </c>
      <c r="C2139" s="4" t="inlineStr">
        <is>
          <t>LIMPEZA GROSSA</t>
        </is>
      </c>
      <c r="D2139" s="4" t="inlineStr">
        <is>
          <t>-</t>
        </is>
      </c>
      <c r="E2139" s="4" t="inlineStr">
        <is>
          <t>20º PAV. TIPO</t>
        </is>
      </c>
      <c r="F2139" s="119" t="n">
        <v>46973</v>
      </c>
      <c r="G2139" s="119" t="n">
        <v>46986</v>
      </c>
      <c r="H2139" s="119" t="n">
        <v>46293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IF(E2139="","",IF(ISNUMBER(SEARCH("SUBSOLO",E2139)),IFERROR(-VALUE(LEFT(E2139,FIND("º",SUBSTITUTE(E2139,"°","º"))-1)),-1),IF(LEFT(E2139,6)="TÉRREO",0,IFERROR(VALUE(LEFT(E2139,FIND("º",SUBSTITUTE(E2139,"°","º"))-1)),""))))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33276145</v>
      </c>
      <c r="C2140" s="4" t="inlineStr">
        <is>
          <t>TRATAMENTO DE GRANITO/MÁRMORE</t>
        </is>
      </c>
      <c r="D2140" s="4" t="inlineStr">
        <is>
          <t>-</t>
        </is>
      </c>
      <c r="E2140" s="4" t="inlineStr">
        <is>
          <t>21º PAV. TIPO</t>
        </is>
      </c>
      <c r="F2140" s="119" t="n">
        <v>46973</v>
      </c>
      <c r="G2140" s="119" t="n">
        <v>46993</v>
      </c>
      <c r="H2140" s="119" t="n">
        <v>46293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IF(E2140="","",IF(ISNUMBER(SEARCH("SUBSOLO",E2140)),IFERROR(-VALUE(LEFT(E2140,FIND("º",SUBSTITUTE(E2140,"°","º"))-1)),-1),IF(LEFT(E2140,6)="TÉRREO",0,IFERROR(VALUE(LEFT(E2140,FIND("º",SUBSTITUTE(E2140,"°","º"))-1)),""))))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25210146</v>
      </c>
      <c r="C2141" s="4" t="inlineStr">
        <is>
          <t>RODAPÉ MADEIRA / PVC</t>
        </is>
      </c>
      <c r="D2141" s="4" t="inlineStr">
        <is>
          <t>-</t>
        </is>
      </c>
      <c r="E2141" s="4" t="inlineStr">
        <is>
          <t>23º PAV. TIPO</t>
        </is>
      </c>
      <c r="F2141" s="119" t="n">
        <v>46973</v>
      </c>
      <c r="G2141" s="119" t="n">
        <v>46986</v>
      </c>
      <c r="H2141" s="119" t="n">
        <v>46293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IF(E2141="","",IF(ISNUMBER(SEARCH("SUBSOLO",E2141)),IFERROR(-VALUE(LEFT(E2141,FIND("º",SUBSTITUTE(E2141,"°","º"))-1)),-1),IF(LEFT(E2141,6)="TÉRREO",0,IFERROR(VALUE(LEFT(E2141,FIND("º",SUBSTITUTE(E2141,"°","º"))-1)),""))))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25210524</v>
      </c>
      <c r="C2142" s="4" t="inlineStr">
        <is>
          <t>LIMPEZA FINA</t>
        </is>
      </c>
      <c r="D2142" s="4" t="inlineStr">
        <is>
          <t>-</t>
        </is>
      </c>
      <c r="E2142" s="4" t="inlineStr">
        <is>
          <t>13º PAV. TIPO</t>
        </is>
      </c>
      <c r="F2142" s="119" t="n">
        <v>46979</v>
      </c>
      <c r="G2142" s="119" t="n">
        <v>46990</v>
      </c>
      <c r="H2142" s="119" t="n">
        <v>46293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IF(E2142="","",IF(ISNUMBER(SEARCH("SUBSOLO",E2142)),IFERROR(-VALUE(LEFT(E2142,FIND("º",SUBSTITUTE(E2142,"°","º"))-1)),-1),IF(LEFT(E2142,6)="TÉRREO",0,IFERROR(VALUE(LEFT(E2142,FIND("º",SUBSTITUTE(E2142,"°","º"))-1)),""))))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27766504</v>
      </c>
      <c r="C2143" s="4" t="inlineStr">
        <is>
          <t>COMUNICAÇÃO VISUAL</t>
        </is>
      </c>
      <c r="D2143" s="4" t="inlineStr">
        <is>
          <t>-</t>
        </is>
      </c>
      <c r="E2143" s="4" t="inlineStr">
        <is>
          <t>13º PAV. TIPO</t>
        </is>
      </c>
      <c r="F2143" s="119" t="n">
        <v>46980</v>
      </c>
      <c r="G2143" s="119" t="n">
        <v>46986</v>
      </c>
      <c r="H2143" s="119" t="n">
        <v>46293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IF(E2143="","",IF(ISNUMBER(SEARCH("SUBSOLO",E2143)),IFERROR(-VALUE(LEFT(E2143,FIND("º",SUBSTITUTE(E2143,"°","º"))-1)),-1),IF(LEFT(E2143,6)="TÉRREO",0,IFERROR(VALUE(LEFT(E2143,FIND("º",SUBSTITUTE(E2143,"°","º"))-1)),""))))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25210385</v>
      </c>
      <c r="C2144" s="4" t="inlineStr">
        <is>
          <t>CHECKLIST</t>
        </is>
      </c>
      <c r="D2144" s="4" t="inlineStr">
        <is>
          <t>-</t>
        </is>
      </c>
      <c r="E2144" s="4" t="inlineStr">
        <is>
          <t>17º PAV. TIPO</t>
        </is>
      </c>
      <c r="F2144" s="119" t="n">
        <v>46980</v>
      </c>
      <c r="G2144" s="119" t="n">
        <v>46988</v>
      </c>
      <c r="H2144" s="119" t="n">
        <v>46293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IF(E2144="","",IF(ISNUMBER(SEARCH("SUBSOLO",E2144)),IFERROR(-VALUE(LEFT(E2144,FIND("º",SUBSTITUTE(E2144,"°","º"))-1)),-1),IF(LEFT(E2144,6)="TÉRREO",0,IFERROR(VALUE(LEFT(E2144,FIND("º",SUBSTITUTE(E2144,"°","º"))-1)),""))))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27770722</v>
      </c>
      <c r="C2145" s="4" t="inlineStr">
        <is>
          <t>SERRALHERIA</t>
        </is>
      </c>
      <c r="D2145" s="4" t="inlineStr">
        <is>
          <t>-</t>
        </is>
      </c>
      <c r="E2145" s="4" t="inlineStr">
        <is>
          <t>19º PAV. TIPO</t>
        </is>
      </c>
      <c r="F2145" s="119" t="n">
        <v>46980</v>
      </c>
      <c r="G2145" s="119" t="n">
        <v>46990</v>
      </c>
      <c r="H2145" s="119" t="n">
        <v>46293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IF(E2145="","",IF(ISNUMBER(SEARCH("SUBSOLO",E2145)),IFERROR(-VALUE(LEFT(E2145,FIND("º",SUBSTITUTE(E2145,"°","º"))-1)),-1),IF(LEFT(E2145,6)="TÉRREO",0,IFERROR(VALUE(LEFT(E2145,FIND("º",SUBSTITUTE(E2145,"°","º"))-1)),""))))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25210308</v>
      </c>
      <c r="C2146" s="4" t="inlineStr">
        <is>
          <t>LOUÇAS</t>
        </is>
      </c>
      <c r="D2146" s="4" t="inlineStr">
        <is>
          <t>-</t>
        </is>
      </c>
      <c r="E2146" s="4" t="inlineStr">
        <is>
          <t>19º PAV. TIPO</t>
        </is>
      </c>
      <c r="F2146" s="119" t="n">
        <v>46980</v>
      </c>
      <c r="G2146" s="119" t="n">
        <v>46993</v>
      </c>
      <c r="H2146" s="119" t="n">
        <v>46293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IF(E2146="","",IF(ISNUMBER(SEARCH("SUBSOLO",E2146)),IFERROR(-VALUE(LEFT(E2146,FIND("º",SUBSTITUTE(E2146,"°","º"))-1)),-1),IF(LEFT(E2146,6)="TÉRREO",0,IFERROR(VALUE(LEFT(E2146,FIND("º",SUBSTITUTE(E2146,"°","º"))-1)),""))))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25210311</v>
      </c>
      <c r="C2147" s="4" t="inlineStr">
        <is>
          <t>METAIS</t>
        </is>
      </c>
      <c r="D2147" s="4" t="inlineStr">
        <is>
          <t>-</t>
        </is>
      </c>
      <c r="E2147" s="4" t="inlineStr">
        <is>
          <t>19º PAV. TIPO</t>
        </is>
      </c>
      <c r="F2147" s="119" t="n">
        <v>46980</v>
      </c>
      <c r="G2147" s="119" t="n">
        <v>46993</v>
      </c>
      <c r="H2147" s="119" t="n">
        <v>46293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IF(E2147="","",IF(ISNUMBER(SEARCH("SUBSOLO",E2147)),IFERROR(-VALUE(LEFT(E2147,FIND("º",SUBSTITUTE(E2147,"°","º"))-1)),-1),IF(LEFT(E2147,6)="TÉRREO",0,IFERROR(VALUE(LEFT(E2147,FIND("º",SUBSTITUTE(E2147,"°","º"))-1)),""))))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25210313</v>
      </c>
      <c r="C2148" s="4" t="inlineStr">
        <is>
          <t>ACABAMENTOS ELÉTRICOS</t>
        </is>
      </c>
      <c r="D2148" s="4" t="inlineStr">
        <is>
          <t>-</t>
        </is>
      </c>
      <c r="E2148" s="4" t="inlineStr">
        <is>
          <t>19º PAV. TIPO</t>
        </is>
      </c>
      <c r="F2148" s="119" t="n">
        <v>46980</v>
      </c>
      <c r="G2148" s="119" t="n">
        <v>46993</v>
      </c>
      <c r="H2148" s="119" t="n">
        <v>46293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IF(E2148="","",IF(ISNUMBER(SEARCH("SUBSOLO",E2148)),IFERROR(-VALUE(LEFT(E2148,FIND("º",SUBSTITUTE(E2148,"°","º"))-1)),-1),IF(LEFT(E2148,6)="TÉRREO",0,IFERROR(VALUE(LEFT(E2148,FIND("º",SUBSTITUTE(E2148,"°","º"))-1)),""))))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27766426</v>
      </c>
      <c r="C2149" s="4" t="inlineStr">
        <is>
          <t>ACABAMENTOS INCÊNDIO</t>
        </is>
      </c>
      <c r="D2149" s="4" t="inlineStr">
        <is>
          <t>-</t>
        </is>
      </c>
      <c r="E2149" s="4" t="inlineStr">
        <is>
          <t>19º PAV. TIPO</t>
        </is>
      </c>
      <c r="F2149" s="119" t="n">
        <v>46980</v>
      </c>
      <c r="G2149" s="119" t="n">
        <v>46993</v>
      </c>
      <c r="H2149" s="119" t="n">
        <v>46293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IF(E2149="","",IF(ISNUMBER(SEARCH("SUBSOLO",E2149)),IFERROR(-VALUE(LEFT(E2149,FIND("º",SUBSTITUTE(E2149,"°","º"))-1)),-1),IF(LEFT(E2149,6)="TÉRREO",0,IFERROR(VALUE(LEFT(E2149,FIND("º",SUBSTITUTE(E2149,"°","º"))-1)),""))))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33292476</v>
      </c>
      <c r="C2150" s="4" t="inlineStr">
        <is>
          <t>PAISAGISMO</t>
        </is>
      </c>
      <c r="D2150" s="4" t="inlineStr">
        <is>
          <t>-</t>
        </is>
      </c>
      <c r="E2150" s="4" t="inlineStr">
        <is>
          <t>22º PAV. TIPO</t>
        </is>
      </c>
      <c r="F2150" s="119" t="n">
        <v>46980</v>
      </c>
      <c r="G2150" s="119" t="n">
        <v>46993</v>
      </c>
      <c r="H2150" s="119" t="n">
        <v>46293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IF(E2150="","",IF(ISNUMBER(SEARCH("SUBSOLO",E2150)),IFERROR(-VALUE(LEFT(E2150,FIND("º",SUBSTITUTE(E2150,"°","º"))-1)),-1),IF(LEFT(E2150,6)="TÉRREO",0,IFERROR(VALUE(LEFT(E2150,FIND("º",SUBSTITUTE(E2150,"°","º"))-1)),""))))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25210131</v>
      </c>
      <c r="C2151" s="4" t="inlineStr">
        <is>
          <t>ESQUADRIA MADEIRA</t>
        </is>
      </c>
      <c r="D2151" s="4" t="inlineStr">
        <is>
          <t>-</t>
        </is>
      </c>
      <c r="E2151" s="4" t="inlineStr">
        <is>
          <t>24º PAV. TIPO</t>
        </is>
      </c>
      <c r="F2151" s="119" t="n">
        <v>46980</v>
      </c>
      <c r="G2151" s="119" t="n">
        <v>46993</v>
      </c>
      <c r="H2151" s="119" t="n">
        <v>46293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IF(E2151="","",IF(ISNUMBER(SEARCH("SUBSOLO",E2151)),IFERROR(-VALUE(LEFT(E2151,FIND("º",SUBSTITUTE(E2151,"°","º"))-1)),-1),IF(LEFT(E2151,6)="TÉRREO",0,IFERROR(VALUE(LEFT(E2151,FIND("º",SUBSTITUTE(E2151,"°","º"))-1)),""))))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33276010</v>
      </c>
      <c r="C2152" s="4" t="inlineStr">
        <is>
          <t>FORRO DE MADEIRA</t>
        </is>
      </c>
      <c r="D2152" s="4" t="inlineStr">
        <is>
          <t>-</t>
        </is>
      </c>
      <c r="E2152" s="4" t="inlineStr">
        <is>
          <t>24º PAV. TIPO</t>
        </is>
      </c>
      <c r="F2152" s="119" t="n">
        <v>46980</v>
      </c>
      <c r="G2152" s="119" t="n">
        <v>47000</v>
      </c>
      <c r="H2152" s="119" t="n">
        <v>46293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IF(E2152="","",IF(ISNUMBER(SEARCH("SUBSOLO",E2152)),IFERROR(-VALUE(LEFT(E2152,FIND("º",SUBSTITUTE(E2152,"°","º"))-1)),-1),IF(LEFT(E2152,6)="TÉRREO",0,IFERROR(VALUE(LEFT(E2152,FIND("º",SUBSTITUTE(E2152,"°","º"))-1)),""))))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25210349</v>
      </c>
      <c r="C2153" s="4" t="inlineStr">
        <is>
          <t>LIMPEZA FINA</t>
        </is>
      </c>
      <c r="D2153" s="4" t="inlineStr">
        <is>
          <t>-</t>
        </is>
      </c>
      <c r="E2153" s="4" t="inlineStr">
        <is>
          <t>18º PAV. TIPO</t>
        </is>
      </c>
      <c r="F2153" s="119" t="n">
        <v>46987</v>
      </c>
      <c r="G2153" s="119" t="n">
        <v>47000</v>
      </c>
      <c r="H2153" s="119" t="n">
        <v>46293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IF(E2153="","",IF(ISNUMBER(SEARCH("SUBSOLO",E2153)),IFERROR(-VALUE(LEFT(E2153,FIND("º",SUBSTITUTE(E2153,"°","º"))-1)),-1),IF(LEFT(E2153,6)="TÉRREO",0,IFERROR(VALUE(LEFT(E2153,FIND("º",SUBSTITUTE(E2153,"°","º"))-1)),""))))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25210272</v>
      </c>
      <c r="C2154" s="4" t="inlineStr">
        <is>
          <t>PINTURA 2º DEMÃO</t>
        </is>
      </c>
      <c r="D2154" s="4" t="inlineStr">
        <is>
          <t>-</t>
        </is>
      </c>
      <c r="E2154" s="4" t="inlineStr">
        <is>
          <t>20º PAV. TIPO</t>
        </is>
      </c>
      <c r="F2154" s="119" t="n">
        <v>46987</v>
      </c>
      <c r="G2154" s="119" t="n">
        <v>47000</v>
      </c>
      <c r="H2154" s="119" t="n">
        <v>46293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IF(E2154="","",IF(ISNUMBER(SEARCH("SUBSOLO",E2154)),IFERROR(-VALUE(LEFT(E2154,FIND("º",SUBSTITUTE(E2154,"°","º"))-1)),-1),IF(LEFT(E2154,6)="TÉRREO",0,IFERROR(VALUE(LEFT(E2154,FIND("º",SUBSTITUTE(E2154,"°","º"))-1)),""))))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25210169</v>
      </c>
      <c r="C2155" s="4" t="inlineStr">
        <is>
          <t>DISJUNTORES / MIOLOS</t>
        </is>
      </c>
      <c r="D2155" s="4" t="inlineStr">
        <is>
          <t>-</t>
        </is>
      </c>
      <c r="E2155" s="4" t="inlineStr">
        <is>
          <t>23º PAV. TIPO</t>
        </is>
      </c>
      <c r="F2155" s="119" t="n">
        <v>46987</v>
      </c>
      <c r="G2155" s="119" t="n">
        <v>47000</v>
      </c>
      <c r="H2155" s="119" t="n">
        <v>46293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IF(E2155="","",IF(ISNUMBER(SEARCH("SUBSOLO",E2155)),IFERROR(-VALUE(LEFT(E2155,FIND("º",SUBSTITUTE(E2155,"°","º"))-1)),-1),IF(LEFT(E2155,6)="TÉRREO",0,IFERROR(VALUE(LEFT(E2155,FIND("º",SUBSTITUTE(E2155,"°","º"))-1)),""))))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25210147</v>
      </c>
      <c r="C2156" s="4" t="inlineStr">
        <is>
          <t>CFTV</t>
        </is>
      </c>
      <c r="D2156" s="4" t="inlineStr">
        <is>
          <t>-</t>
        </is>
      </c>
      <c r="E2156" s="4" t="inlineStr">
        <is>
          <t>23º PAV. TIPO</t>
        </is>
      </c>
      <c r="F2156" s="119" t="n">
        <v>46987</v>
      </c>
      <c r="G2156" s="119" t="n">
        <v>47000</v>
      </c>
      <c r="H2156" s="119" t="n">
        <v>46293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IF(E2156="","",IF(ISNUMBER(SEARCH("SUBSOLO",E2156)),IFERROR(-VALUE(LEFT(E2156,FIND("º",SUBSTITUTE(E2156,"°","º"))-1)),-1),IF(LEFT(E2156,6)="TÉRREO",0,IFERROR(VALUE(LEFT(E2156,FIND("º",SUBSTITUTE(E2156,"°","º"))-1)),""))))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25210090</v>
      </c>
      <c r="C2157" s="4" t="inlineStr">
        <is>
          <t>PISO MADEIRA / LAMINADO</t>
        </is>
      </c>
      <c r="D2157" s="4" t="inlineStr">
        <is>
          <t>-</t>
        </is>
      </c>
      <c r="E2157" s="4" t="inlineStr">
        <is>
          <t>25º PAV. TIPO</t>
        </is>
      </c>
      <c r="F2157" s="119" t="n">
        <v>46987</v>
      </c>
      <c r="G2157" s="119" t="n">
        <v>47000</v>
      </c>
      <c r="H2157" s="119" t="n">
        <v>46293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IF(E2157="","",IF(ISNUMBER(SEARCH("SUBSOLO",E2157)),IFERROR(-VALUE(LEFT(E2157,FIND("º",SUBSTITUTE(E2157,"°","º"))-1)),-1),IF(LEFT(E2157,6)="TÉRREO",0,IFERROR(VALUE(LEFT(E2157,FIND("º",SUBSTITUTE(E2157,"°","º"))-1)),""))))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9054364</v>
      </c>
      <c r="C2158" s="4" t="inlineStr">
        <is>
          <t>PISO MADEIRA / LAMINADO</t>
        </is>
      </c>
      <c r="D2158" s="4" t="inlineStr">
        <is>
          <t>Regularização de Piso</t>
        </is>
      </c>
      <c r="E2158" s="4" t="inlineStr">
        <is>
          <t>25º PAV. TIPO</t>
        </is>
      </c>
      <c r="F2158" s="119" t="n">
        <v>46987</v>
      </c>
      <c r="G2158" s="119" t="n">
        <v>46993</v>
      </c>
      <c r="H2158" s="119" t="n">
        <v>46293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IF(E2158="","",IF(ISNUMBER(SEARCH("SUBSOLO",E2158)),IFERROR(-VALUE(LEFT(E2158,FIND("º",SUBSTITUTE(E2158,"°","º"))-1)),-1),IF(LEFT(E2158,6)="TÉRREO",0,IFERROR(VALUE(LEFT(E2158,FIND("º",SUBSTITUTE(E2158,"°","º"))-1)),""))))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9054365</v>
      </c>
      <c r="C2159" s="4" t="inlineStr">
        <is>
          <t>PISO MADEIRA / LAMINADO</t>
        </is>
      </c>
      <c r="D2159" s="4" t="inlineStr">
        <is>
          <t>Instalação Piso Madeira</t>
        </is>
      </c>
      <c r="E2159" s="4" t="inlineStr">
        <is>
          <t>25º PAV. TIPO</t>
        </is>
      </c>
      <c r="F2159" s="119" t="n">
        <v>46994</v>
      </c>
      <c r="G2159" s="119" t="n">
        <v>47000</v>
      </c>
      <c r="H2159" s="119" t="n">
        <v>46293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IF(E2159="","",IF(ISNUMBER(SEARCH("SUBSOLO",E2159)),IFERROR(-VALUE(LEFT(E2159,FIND("º",SUBSTITUTE(E2159,"°","º"))-1)),-1),IF(LEFT(E2159,6)="TÉRREO",0,IFERROR(VALUE(LEFT(E2159,FIND("º",SUBSTITUTE(E2159,"°","º"))-1)),""))))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25755243</v>
      </c>
      <c r="C2160" s="4" t="inlineStr">
        <is>
          <t>ESQUADRIA</t>
        </is>
      </c>
      <c r="D2160" s="4" t="inlineStr">
        <is>
          <t>-</t>
        </is>
      </c>
      <c r="E2160" s="4" t="inlineStr">
        <is>
          <t>27º PAV. -  DUPLEX SUPERIOR</t>
        </is>
      </c>
      <c r="F2160" s="119" t="n">
        <v>46987</v>
      </c>
      <c r="G2160" s="119" t="n">
        <v>47008</v>
      </c>
      <c r="H2160" s="119" t="n">
        <v>46293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IF(E2160="","",IF(ISNUMBER(SEARCH("SUBSOLO",E2160)),IFERROR(-VALUE(LEFT(E2160,FIND("º",SUBSTITUTE(E2160,"°","º"))-1)),-1),IF(LEFT(E2160,6)="TÉRREO",0,IFERROR(VALUE(LEFT(E2160,FIND("º",SUBSTITUTE(E2160,"°","º"))-1)),""))))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27766509</v>
      </c>
      <c r="C2161" s="4" t="inlineStr">
        <is>
          <t>COMUNICAÇÃO VISUAL</t>
        </is>
      </c>
      <c r="D2161" s="4" t="inlineStr">
        <is>
          <t>-</t>
        </is>
      </c>
      <c r="E2161" s="4" t="inlineStr">
        <is>
          <t>18º PAV. TIPO</t>
        </is>
      </c>
      <c r="F2161" s="119" t="n">
        <v>46988</v>
      </c>
      <c r="G2161" s="119" t="n">
        <v>46994</v>
      </c>
      <c r="H2161" s="119" t="n">
        <v>46293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IF(E2161="","",IF(ISNUMBER(SEARCH("SUBSOLO",E2161)),IFERROR(-VALUE(LEFT(E2161,FIND("º",SUBSTITUTE(E2161,"°","º"))-1)),-1),IF(LEFT(E2161,6)="TÉRREO",0,IFERROR(VALUE(LEFT(E2161,FIND("º",SUBSTITUTE(E2161,"°","º"))-1)),""))))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25210525</v>
      </c>
      <c r="C2162" s="4" t="inlineStr">
        <is>
          <t>CHECKLIST</t>
        </is>
      </c>
      <c r="D2162" s="4" t="inlineStr">
        <is>
          <t>-</t>
        </is>
      </c>
      <c r="E2162" s="4" t="inlineStr">
        <is>
          <t>13º PAV. TIPO</t>
        </is>
      </c>
      <c r="F2162" s="119" t="n">
        <v>46993</v>
      </c>
      <c r="G2162" s="119" t="n">
        <v>47001</v>
      </c>
      <c r="H2162" s="119" t="n">
        <v>46293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IF(E2162="","",IF(ISNUMBER(SEARCH("SUBSOLO",E2162)),IFERROR(-VALUE(LEFT(E2162,FIND("º",SUBSTITUTE(E2162,"°","º"))-1)),-1),IF(LEFT(E2162,6)="TÉRREO",0,IFERROR(VALUE(LEFT(E2162,FIND("º",SUBSTITUTE(E2162,"°","º"))-1)),""))))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25210312</v>
      </c>
      <c r="C2163" s="4" t="inlineStr">
        <is>
          <t>PINTURA 3º DEMÃO</t>
        </is>
      </c>
      <c r="D2163" s="4" t="inlineStr">
        <is>
          <t>-</t>
        </is>
      </c>
      <c r="E2163" s="4" t="inlineStr">
        <is>
          <t>19º PAV. TIPO</t>
        </is>
      </c>
      <c r="F2163" s="119" t="n">
        <v>46994</v>
      </c>
      <c r="G2163" s="119" t="n">
        <v>47008</v>
      </c>
      <c r="H2163" s="119" t="n">
        <v>46293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IF(E2163="","",IF(ISNUMBER(SEARCH("SUBSOLO",E2163)),IFERROR(-VALUE(LEFT(E2163,FIND("º",SUBSTITUTE(E2163,"°","º"))-1)),-1),IF(LEFT(E2163,6)="TÉRREO",0,IFERROR(VALUE(LEFT(E2163,FIND("º",SUBSTITUTE(E2163,"°","º"))-1)),""))))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25210240</v>
      </c>
      <c r="C2164" s="4" t="inlineStr">
        <is>
          <t>LIMPEZA GROSSA</t>
        </is>
      </c>
      <c r="D2164" s="4" t="inlineStr">
        <is>
          <t>-</t>
        </is>
      </c>
      <c r="E2164" s="4" t="inlineStr">
        <is>
          <t>21º PAV. TIPO</t>
        </is>
      </c>
      <c r="F2164" s="119" t="n">
        <v>46994</v>
      </c>
      <c r="G2164" s="119" t="n">
        <v>47008</v>
      </c>
      <c r="H2164" s="119" t="n">
        <v>46293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IF(E2164="","",IF(ISNUMBER(SEARCH("SUBSOLO",E2164)),IFERROR(-VALUE(LEFT(E2164,FIND("º",SUBSTITUTE(E2164,"°","º"))-1)),-1),IF(LEFT(E2164,6)="TÉRREO",0,IFERROR(VALUE(LEFT(E2164,FIND("º",SUBSTITUTE(E2164,"°","º"))-1)),""))))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33276146</v>
      </c>
      <c r="C2165" s="4" t="inlineStr">
        <is>
          <t>TRATAMENTO DE GRANITO/MÁRMORE</t>
        </is>
      </c>
      <c r="D2165" s="4" t="inlineStr">
        <is>
          <t>-</t>
        </is>
      </c>
      <c r="E2165" s="4" t="inlineStr">
        <is>
          <t>22º PAV. TIPO</t>
        </is>
      </c>
      <c r="F2165" s="119" t="n">
        <v>46994</v>
      </c>
      <c r="G2165" s="119" t="n">
        <v>47015</v>
      </c>
      <c r="H2165" s="119" t="n">
        <v>46293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IF(E2165="","",IF(ISNUMBER(SEARCH("SUBSOLO",E2165)),IFERROR(-VALUE(LEFT(E2165,FIND("º",SUBSTITUTE(E2165,"°","º"))-1)),-1),IF(LEFT(E2165,6)="TÉRREO",0,IFERROR(VALUE(LEFT(E2165,FIND("º",SUBSTITUTE(E2165,"°","º"))-1)),""))))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25210111</v>
      </c>
      <c r="C2166" s="4" t="inlineStr">
        <is>
          <t>RODAPÉ MADEIRA / PVC</t>
        </is>
      </c>
      <c r="D2166" s="4" t="inlineStr">
        <is>
          <t>-</t>
        </is>
      </c>
      <c r="E2166" s="4" t="inlineStr">
        <is>
          <t>24º PAV. TIPO</t>
        </is>
      </c>
      <c r="F2166" s="119" t="n">
        <v>46994</v>
      </c>
      <c r="G2166" s="119" t="n">
        <v>47008</v>
      </c>
      <c r="H2166" s="119" t="n">
        <v>46293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IF(E2166="","",IF(ISNUMBER(SEARCH("SUBSOLO",E2166)),IFERROR(-VALUE(LEFT(E2166,FIND("º",SUBSTITUTE(E2166,"°","º"))-1)),-1),IF(LEFT(E2166,6)="TÉRREO",0,IFERROR(VALUE(LEFT(E2166,FIND("º",SUBSTITUTE(E2166,"°","º"))-1)),""))))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25210350</v>
      </c>
      <c r="C2167" s="4" t="inlineStr">
        <is>
          <t>CHECKLIST</t>
        </is>
      </c>
      <c r="D2167" s="4" t="inlineStr">
        <is>
          <t>-</t>
        </is>
      </c>
      <c r="E2167" s="4" t="inlineStr">
        <is>
          <t>18º PAV. TIPO</t>
        </is>
      </c>
      <c r="F2167" s="119" t="n">
        <v>47001</v>
      </c>
      <c r="G2167" s="119" t="n">
        <v>47010</v>
      </c>
      <c r="H2167" s="119" t="n">
        <v>46293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IF(E2167="","",IF(ISNUMBER(SEARCH("SUBSOLO",E2167)),IFERROR(-VALUE(LEFT(E2167,FIND("º",SUBSTITUTE(E2167,"°","º"))-1)),-1),IF(LEFT(E2167,6)="TÉRREO",0,IFERROR(VALUE(LEFT(E2167,FIND("º",SUBSTITUTE(E2167,"°","º"))-1)),""))))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27770723</v>
      </c>
      <c r="C2168" s="4" t="inlineStr">
        <is>
          <t>SERRALHERIA</t>
        </is>
      </c>
      <c r="D2168" s="4" t="inlineStr">
        <is>
          <t>-</t>
        </is>
      </c>
      <c r="E2168" s="4" t="inlineStr">
        <is>
          <t>20º PAV. TIPO</t>
        </is>
      </c>
      <c r="F2168" s="119" t="n">
        <v>47001</v>
      </c>
      <c r="G2168" s="119" t="n">
        <v>47014</v>
      </c>
      <c r="H2168" s="119" t="n">
        <v>46293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IF(E2168="","",IF(ISNUMBER(SEARCH("SUBSOLO",E2168)),IFERROR(-VALUE(LEFT(E2168,FIND("º",SUBSTITUTE(E2168,"°","º"))-1)),-1),IF(LEFT(E2168,6)="TÉRREO",0,IFERROR(VALUE(LEFT(E2168,FIND("º",SUBSTITUTE(E2168,"°","º"))-1)),""))))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25210273</v>
      </c>
      <c r="C2169" s="4" t="inlineStr">
        <is>
          <t>LOUÇAS</t>
        </is>
      </c>
      <c r="D2169" s="4" t="inlineStr">
        <is>
          <t>-</t>
        </is>
      </c>
      <c r="E2169" s="4" t="inlineStr">
        <is>
          <t>20º PAV. TIPO</t>
        </is>
      </c>
      <c r="F2169" s="119" t="n">
        <v>47001</v>
      </c>
      <c r="G2169" s="119" t="n">
        <v>47015</v>
      </c>
      <c r="H2169" s="119" t="n">
        <v>46293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IF(E2169="","",IF(ISNUMBER(SEARCH("SUBSOLO",E2169)),IFERROR(-VALUE(LEFT(E2169,FIND("º",SUBSTITUTE(E2169,"°","º"))-1)),-1),IF(LEFT(E2169,6)="TÉRREO",0,IFERROR(VALUE(LEFT(E2169,FIND("º",SUBSTITUTE(E2169,"°","º"))-1)),""))))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25210276</v>
      </c>
      <c r="C2170" s="4" t="inlineStr">
        <is>
          <t>METAIS</t>
        </is>
      </c>
      <c r="D2170" s="4" t="inlineStr">
        <is>
          <t>-</t>
        </is>
      </c>
      <c r="E2170" s="4" t="inlineStr">
        <is>
          <t>20º PAV. TIPO</t>
        </is>
      </c>
      <c r="F2170" s="119" t="n">
        <v>47001</v>
      </c>
      <c r="G2170" s="119" t="n">
        <v>47015</v>
      </c>
      <c r="H2170" s="119" t="n">
        <v>46293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IF(E2170="","",IF(ISNUMBER(SEARCH("SUBSOLO",E2170)),IFERROR(-VALUE(LEFT(E2170,FIND("º",SUBSTITUTE(E2170,"°","º"))-1)),-1),IF(LEFT(E2170,6)="TÉRREO",0,IFERROR(VALUE(LEFT(E2170,FIND("º",SUBSTITUTE(E2170,"°","º"))-1)),""))))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25210278</v>
      </c>
      <c r="C2171" s="4" t="inlineStr">
        <is>
          <t>ACABAMENTOS ELÉTRICOS</t>
        </is>
      </c>
      <c r="D2171" s="4" t="inlineStr">
        <is>
          <t>-</t>
        </is>
      </c>
      <c r="E2171" s="4" t="inlineStr">
        <is>
          <t>20º PAV. TIPO</t>
        </is>
      </c>
      <c r="F2171" s="119" t="n">
        <v>47001</v>
      </c>
      <c r="G2171" s="119" t="n">
        <v>47015</v>
      </c>
      <c r="H2171" s="119" t="n">
        <v>46293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IF(E2171="","",IF(ISNUMBER(SEARCH("SUBSOLO",E2171)),IFERROR(-VALUE(LEFT(E2171,FIND("º",SUBSTITUTE(E2171,"°","º"))-1)),-1),IF(LEFT(E2171,6)="TÉRREO",0,IFERROR(VALUE(LEFT(E2171,FIND("º",SUBSTITUTE(E2171,"°","º"))-1)),""))))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27766427</v>
      </c>
      <c r="C2172" s="4" t="inlineStr">
        <is>
          <t>ACABAMENTOS INCÊNDIO</t>
        </is>
      </c>
      <c r="D2172" s="4" t="inlineStr">
        <is>
          <t>-</t>
        </is>
      </c>
      <c r="E2172" s="4" t="inlineStr">
        <is>
          <t>20º PAV. TIPO</t>
        </is>
      </c>
      <c r="F2172" s="119" t="n">
        <v>47001</v>
      </c>
      <c r="G2172" s="119" t="n">
        <v>47015</v>
      </c>
      <c r="H2172" s="119" t="n">
        <v>46293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IF(E2172="","",IF(ISNUMBER(SEARCH("SUBSOLO",E2172)),IFERROR(-VALUE(LEFT(E2172,FIND("º",SUBSTITUTE(E2172,"°","º"))-1)),-1),IF(LEFT(E2172,6)="TÉRREO",0,IFERROR(VALUE(LEFT(E2172,FIND("º",SUBSTITUTE(E2172,"°","º"))-1)),""))))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33292477</v>
      </c>
      <c r="C2173" s="4" t="inlineStr">
        <is>
          <t>PAISAGISMO</t>
        </is>
      </c>
      <c r="D2173" s="4" t="inlineStr">
        <is>
          <t>-</t>
        </is>
      </c>
      <c r="E2173" s="4" t="inlineStr">
        <is>
          <t>23º PAV. TIPO</t>
        </is>
      </c>
      <c r="F2173" s="119" t="n">
        <v>47001</v>
      </c>
      <c r="G2173" s="119" t="n">
        <v>47015</v>
      </c>
      <c r="H2173" s="119" t="n">
        <v>46293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IF(E2173="","",IF(ISNUMBER(SEARCH("SUBSOLO",E2173)),IFERROR(-VALUE(LEFT(E2173,FIND("º",SUBSTITUTE(E2173,"°","º"))-1)),-1),IF(LEFT(E2173,6)="TÉRREO",0,IFERROR(VALUE(LEFT(E2173,FIND("º",SUBSTITUTE(E2173,"°","º"))-1)),""))))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25210096</v>
      </c>
      <c r="C2174" s="4" t="inlineStr">
        <is>
          <t>ESQUADRIA MADEIRA</t>
        </is>
      </c>
      <c r="D2174" s="4" t="inlineStr">
        <is>
          <t>-</t>
        </is>
      </c>
      <c r="E2174" s="4" t="inlineStr">
        <is>
          <t>25º PAV. TIPO</t>
        </is>
      </c>
      <c r="F2174" s="119" t="n">
        <v>47001</v>
      </c>
      <c r="G2174" s="119" t="n">
        <v>47015</v>
      </c>
      <c r="H2174" s="119" t="n">
        <v>46293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IF(E2174="","",IF(ISNUMBER(SEARCH("SUBSOLO",E2174)),IFERROR(-VALUE(LEFT(E2174,FIND("º",SUBSTITUTE(E2174,"°","º"))-1)),-1),IF(LEFT(E2174,6)="TÉRREO",0,IFERROR(VALUE(LEFT(E2174,FIND("º",SUBSTITUTE(E2174,"°","º"))-1)),""))))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33276011</v>
      </c>
      <c r="C2175" s="4" t="inlineStr">
        <is>
          <t>FORRO DE MADEIRA</t>
        </is>
      </c>
      <c r="D2175" s="4" t="inlineStr">
        <is>
          <t>-</t>
        </is>
      </c>
      <c r="E2175" s="4" t="inlineStr">
        <is>
          <t>25º PAV. TIPO</t>
        </is>
      </c>
      <c r="F2175" s="119" t="n">
        <v>47001</v>
      </c>
      <c r="G2175" s="119" t="n">
        <v>47022</v>
      </c>
      <c r="H2175" s="119" t="n">
        <v>46293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IF(E2175="","",IF(ISNUMBER(SEARCH("SUBSOLO",E2175)),IFERROR(-VALUE(LEFT(E2175,FIND("º",SUBSTITUTE(E2175,"°","º"))-1)),-1),IF(LEFT(E2175,6)="TÉRREO",0,IFERROR(VALUE(LEFT(E2175,FIND("º",SUBSTITUTE(E2175,"°","º"))-1)),""))))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25210314</v>
      </c>
      <c r="C2176" s="4" t="inlineStr">
        <is>
          <t>LIMPEZA FINA</t>
        </is>
      </c>
      <c r="D2176" s="4" t="inlineStr">
        <is>
          <t>-</t>
        </is>
      </c>
      <c r="E2176" s="4" t="inlineStr">
        <is>
          <t>19º PAV. TIPO</t>
        </is>
      </c>
      <c r="F2176" s="119" t="n">
        <v>47009</v>
      </c>
      <c r="G2176" s="119" t="n">
        <v>47022</v>
      </c>
      <c r="H2176" s="119" t="n">
        <v>46293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IF(E2176="","",IF(ISNUMBER(SEARCH("SUBSOLO",E2176)),IFERROR(-VALUE(LEFT(E2176,FIND("º",SUBSTITUTE(E2176,"°","º"))-1)),-1),IF(LEFT(E2176,6)="TÉRREO",0,IFERROR(VALUE(LEFT(E2176,FIND("º",SUBSTITUTE(E2176,"°","º"))-1)),""))))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25210237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21º PAV. TIPO</t>
        </is>
      </c>
      <c r="F2177" s="119" t="n">
        <v>47009</v>
      </c>
      <c r="G2177" s="119" t="n">
        <v>47022</v>
      </c>
      <c r="H2177" s="119" t="n">
        <v>46293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IF(E2177="","",IF(ISNUMBER(SEARCH("SUBSOLO",E2177)),IFERROR(-VALUE(LEFT(E2177,FIND("º",SUBSTITUTE(E2177,"°","º"))-1)),-1),IF(LEFT(E2177,6)="TÉRREO",0,IFERROR(VALUE(LEFT(E2177,FIND("º",SUBSTITUTE(E2177,"°","º"))-1)),""))))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25210134</v>
      </c>
      <c r="C2178" s="4" t="inlineStr">
        <is>
          <t>DISJUNTORES / MIOLOS</t>
        </is>
      </c>
      <c r="D2178" s="4" t="inlineStr">
        <is>
          <t>-</t>
        </is>
      </c>
      <c r="E2178" s="4" t="inlineStr">
        <is>
          <t>24º PAV. TIPO</t>
        </is>
      </c>
      <c r="F2178" s="119" t="n">
        <v>47009</v>
      </c>
      <c r="G2178" s="119" t="n">
        <v>47022</v>
      </c>
      <c r="H2178" s="119" t="n">
        <v>46293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IF(E2178="","",IF(ISNUMBER(SEARCH("SUBSOLO",E2178)),IFERROR(-VALUE(LEFT(E2178,FIND("º",SUBSTITUTE(E2178,"°","º"))-1)),-1),IF(LEFT(E2178,6)="TÉRREO",0,IFERROR(VALUE(LEFT(E2178,FIND("º",SUBSTITUTE(E2178,"°","º"))-1)),""))))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25210112</v>
      </c>
      <c r="C2179" s="4" t="inlineStr">
        <is>
          <t>CFTV</t>
        </is>
      </c>
      <c r="D2179" s="4" t="inlineStr">
        <is>
          <t>-</t>
        </is>
      </c>
      <c r="E2179" s="4" t="inlineStr">
        <is>
          <t>24º PAV. TIPO</t>
        </is>
      </c>
      <c r="F2179" s="119" t="n">
        <v>47009</v>
      </c>
      <c r="G2179" s="119" t="n">
        <v>47022</v>
      </c>
      <c r="H2179" s="119" t="n">
        <v>46293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IF(E2179="","",IF(ISNUMBER(SEARCH("SUBSOLO",E2179)),IFERROR(-VALUE(LEFT(E2179,FIND("º",SUBSTITUTE(E2179,"°","º"))-1)),-1),IF(LEFT(E2179,6)="TÉRREO",0,IFERROR(VALUE(LEFT(E2179,FIND("º",SUBSTITUTE(E2179,"°","º"))-1)),""))))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27766510</v>
      </c>
      <c r="C2180" s="4" t="inlineStr">
        <is>
          <t>COMUNICAÇÃO VISUAL</t>
        </is>
      </c>
      <c r="D2180" s="4" t="inlineStr">
        <is>
          <t>-</t>
        </is>
      </c>
      <c r="E2180" s="4" t="inlineStr">
        <is>
          <t>19º PAV. TIPO</t>
        </is>
      </c>
      <c r="F2180" s="119" t="n">
        <v>47010</v>
      </c>
      <c r="G2180" s="119" t="n">
        <v>47016</v>
      </c>
      <c r="H2180" s="119" t="n">
        <v>46293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IF(E2180="","",IF(ISNUMBER(SEARCH("SUBSOLO",E2180)),IFERROR(-VALUE(LEFT(E2180,FIND("º",SUBSTITUTE(E2180,"°","º"))-1)),-1),IF(LEFT(E2180,6)="TÉRREO",0,IFERROR(VALUE(LEFT(E2180,FIND("º",SUBSTITUTE(E2180,"°","º"))-1)),""))))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25210277</v>
      </c>
      <c r="C2181" s="4" t="inlineStr">
        <is>
          <t>PINTURA 3º DEMÃO</t>
        </is>
      </c>
      <c r="D2181" s="4" t="inlineStr">
        <is>
          <t>-</t>
        </is>
      </c>
      <c r="E2181" s="4" t="inlineStr">
        <is>
          <t>20º PAV. TIPO</t>
        </is>
      </c>
      <c r="F2181" s="119" t="n">
        <v>47016</v>
      </c>
      <c r="G2181" s="119" t="n">
        <v>47029</v>
      </c>
      <c r="H2181" s="119" t="n">
        <v>46293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IF(E2181="","",IF(ISNUMBER(SEARCH("SUBSOLO",E2181)),IFERROR(-VALUE(LEFT(E2181,FIND("º",SUBSTITUTE(E2181,"°","º"))-1)),-1),IF(LEFT(E2181,6)="TÉRREO",0,IFERROR(VALUE(LEFT(E2181,FIND("º",SUBSTITUTE(E2181,"°","º"))-1)),""))))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25210205</v>
      </c>
      <c r="C2182" s="4" t="inlineStr">
        <is>
          <t>LIMPEZA GROSSA</t>
        </is>
      </c>
      <c r="D2182" s="4" t="inlineStr">
        <is>
          <t>-</t>
        </is>
      </c>
      <c r="E2182" s="4" t="inlineStr">
        <is>
          <t>22º PAV. TIPO</t>
        </is>
      </c>
      <c r="F2182" s="119" t="n">
        <v>47016</v>
      </c>
      <c r="G2182" s="119" t="n">
        <v>47029</v>
      </c>
      <c r="H2182" s="119" t="n">
        <v>46293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IF(E2182="","",IF(ISNUMBER(SEARCH("SUBSOLO",E2182)),IFERROR(-VALUE(LEFT(E2182,FIND("º",SUBSTITUTE(E2182,"°","º"))-1)),-1),IF(LEFT(E2182,6)="TÉRREO",0,IFERROR(VALUE(LEFT(E2182,FIND("º",SUBSTITUTE(E2182,"°","º"))-1)),""))))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33276147</v>
      </c>
      <c r="C2183" s="4" t="inlineStr">
        <is>
          <t>TRATAMENTO DE GRANITO/MÁRMORE</t>
        </is>
      </c>
      <c r="D2183" s="4" t="inlineStr">
        <is>
          <t>-</t>
        </is>
      </c>
      <c r="E2183" s="4" t="inlineStr">
        <is>
          <t>23º PAV. TIPO</t>
        </is>
      </c>
      <c r="F2183" s="119" t="n">
        <v>47016</v>
      </c>
      <c r="G2183" s="119" t="n">
        <v>47036</v>
      </c>
      <c r="H2183" s="119" t="n">
        <v>46293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IF(E2183="","",IF(ISNUMBER(SEARCH("SUBSOLO",E2183)),IFERROR(-VALUE(LEFT(E2183,FIND("º",SUBSTITUTE(E2183,"°","º"))-1)),-1),IF(LEFT(E2183,6)="TÉRREO",0,IFERROR(VALUE(LEFT(E2183,FIND("º",SUBSTITUTE(E2183,"°","º"))-1)),""))))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25210076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25º PAV. TIPO</t>
        </is>
      </c>
      <c r="F2184" s="119" t="n">
        <v>47016</v>
      </c>
      <c r="G2184" s="119" t="n">
        <v>47029</v>
      </c>
      <c r="H2184" s="119" t="n">
        <v>46293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IF(E2184="","",IF(ISNUMBER(SEARCH("SUBSOLO",E2184)),IFERROR(-VALUE(LEFT(E2184,FIND("º",SUBSTITUTE(E2184,"°","º"))-1)),-1),IF(LEFT(E2184,6)="TÉRREO",0,IFERROR(VALUE(LEFT(E2184,FIND("º",SUBSTITUTE(E2184,"°","º"))-1)),""))))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25210315</v>
      </c>
      <c r="C2185" s="4" t="inlineStr">
        <is>
          <t>CHECKLIST</t>
        </is>
      </c>
      <c r="D2185" s="4" t="inlineStr">
        <is>
          <t>-</t>
        </is>
      </c>
      <c r="E2185" s="4" t="inlineStr">
        <is>
          <t>19º PAV. TIPO</t>
        </is>
      </c>
      <c r="F2185" s="119" t="n">
        <v>47023</v>
      </c>
      <c r="G2185" s="119" t="n">
        <v>47031</v>
      </c>
      <c r="H2185" s="119" t="n">
        <v>46293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IF(E2185="","",IF(ISNUMBER(SEARCH("SUBSOLO",E2185)),IFERROR(-VALUE(LEFT(E2185,FIND("º",SUBSTITUTE(E2185,"°","º"))-1)),-1),IF(LEFT(E2185,6)="TÉRREO",0,IFERROR(VALUE(LEFT(E2185,FIND("º",SUBSTITUTE(E2185,"°","º"))-1)),""))))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27770724</v>
      </c>
      <c r="C2186" s="4" t="inlineStr">
        <is>
          <t>SERRALHERIA</t>
        </is>
      </c>
      <c r="D2186" s="4" t="inlineStr">
        <is>
          <t>-</t>
        </is>
      </c>
      <c r="E2186" s="4" t="inlineStr">
        <is>
          <t>21º PAV. TIPO</t>
        </is>
      </c>
      <c r="F2186" s="119" t="n">
        <v>47023</v>
      </c>
      <c r="G2186" s="119" t="n">
        <v>47035</v>
      </c>
      <c r="H2186" s="119" t="n">
        <v>46293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IF(E2186="","",IF(ISNUMBER(SEARCH("SUBSOLO",E2186)),IFERROR(-VALUE(LEFT(E2186,FIND("º",SUBSTITUTE(E2186,"°","º"))-1)),-1),IF(LEFT(E2186,6)="TÉRREO",0,IFERROR(VALUE(LEFT(E2186,FIND("º",SUBSTITUTE(E2186,"°","º"))-1)),""))))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25210238</v>
      </c>
      <c r="C2187" s="4" t="inlineStr">
        <is>
          <t>LOUÇAS</t>
        </is>
      </c>
      <c r="D2187" s="4" t="inlineStr">
        <is>
          <t>-</t>
        </is>
      </c>
      <c r="E2187" s="4" t="inlineStr">
        <is>
          <t>21º PAV. TIPO</t>
        </is>
      </c>
      <c r="F2187" s="119" t="n">
        <v>47023</v>
      </c>
      <c r="G2187" s="119" t="n">
        <v>47036</v>
      </c>
      <c r="H2187" s="119" t="n">
        <v>46293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IF(E2187="","",IF(ISNUMBER(SEARCH("SUBSOLO",E2187)),IFERROR(-VALUE(LEFT(E2187,FIND("º",SUBSTITUTE(E2187,"°","º"))-1)),-1),IF(LEFT(E2187,6)="TÉRREO",0,IFERROR(VALUE(LEFT(E2187,FIND("º",SUBSTITUTE(E2187,"°","º"))-1)),""))))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25210241</v>
      </c>
      <c r="C2188" s="4" t="inlineStr">
        <is>
          <t>METAIS</t>
        </is>
      </c>
      <c r="D2188" s="4" t="inlineStr">
        <is>
          <t>-</t>
        </is>
      </c>
      <c r="E2188" s="4" t="inlineStr">
        <is>
          <t>21º PAV. TIPO</t>
        </is>
      </c>
      <c r="F2188" s="119" t="n">
        <v>47023</v>
      </c>
      <c r="G2188" s="119" t="n">
        <v>47036</v>
      </c>
      <c r="H2188" s="119" t="n">
        <v>46293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IF(E2188="","",IF(ISNUMBER(SEARCH("SUBSOLO",E2188)),IFERROR(-VALUE(LEFT(E2188,FIND("º",SUBSTITUTE(E2188,"°","º"))-1)),-1),IF(LEFT(E2188,6)="TÉRREO",0,IFERROR(VALUE(LEFT(E2188,FIND("º",SUBSTITUTE(E2188,"°","º"))-1)),""))))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25210243</v>
      </c>
      <c r="C2189" s="4" t="inlineStr">
        <is>
          <t>ACABAMENTOS ELÉTRICOS</t>
        </is>
      </c>
      <c r="D2189" s="4" t="inlineStr">
        <is>
          <t>-</t>
        </is>
      </c>
      <c r="E2189" s="4" t="inlineStr">
        <is>
          <t>21º PAV. TIPO</t>
        </is>
      </c>
      <c r="F2189" s="119" t="n">
        <v>47023</v>
      </c>
      <c r="G2189" s="119" t="n">
        <v>47036</v>
      </c>
      <c r="H2189" s="119" t="n">
        <v>46293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IF(E2189="","",IF(ISNUMBER(SEARCH("SUBSOLO",E2189)),IFERROR(-VALUE(LEFT(E2189,FIND("º",SUBSTITUTE(E2189,"°","º"))-1)),-1),IF(LEFT(E2189,6)="TÉRREO",0,IFERROR(VALUE(LEFT(E2189,FIND("º",SUBSTITUTE(E2189,"°","º"))-1)),""))))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27766428</v>
      </c>
      <c r="C2190" s="4" t="inlineStr">
        <is>
          <t>ACABAMENTOS INCÊNDIO</t>
        </is>
      </c>
      <c r="D2190" s="4" t="inlineStr">
        <is>
          <t>-</t>
        </is>
      </c>
      <c r="E2190" s="4" t="inlineStr">
        <is>
          <t>21º PAV. TIPO</t>
        </is>
      </c>
      <c r="F2190" s="119" t="n">
        <v>47023</v>
      </c>
      <c r="G2190" s="119" t="n">
        <v>47036</v>
      </c>
      <c r="H2190" s="119" t="n">
        <v>46293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IF(E2190="","",IF(ISNUMBER(SEARCH("SUBSOLO",E2190)),IFERROR(-VALUE(LEFT(E2190,FIND("º",SUBSTITUTE(E2190,"°","º"))-1)),-1),IF(LEFT(E2190,6)="TÉRREO",0,IFERROR(VALUE(LEFT(E2190,FIND("º",SUBSTITUTE(E2190,"°","º"))-1)),""))))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33292478</v>
      </c>
      <c r="C2191" s="4" t="inlineStr">
        <is>
          <t>PAISAGISMO</t>
        </is>
      </c>
      <c r="D2191" s="4" t="inlineStr">
        <is>
          <t>-</t>
        </is>
      </c>
      <c r="E2191" s="4" t="inlineStr">
        <is>
          <t>24º PAV. TIPO</t>
        </is>
      </c>
      <c r="F2191" s="119" t="n">
        <v>47023</v>
      </c>
      <c r="G2191" s="119" t="n">
        <v>47036</v>
      </c>
      <c r="H2191" s="119" t="n">
        <v>46293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IF(E2191="","",IF(ISNUMBER(SEARCH("SUBSOLO",E2191)),IFERROR(-VALUE(LEFT(E2191,FIND("º",SUBSTITUTE(E2191,"°","º"))-1)),-1),IF(LEFT(E2191,6)="TÉRREO",0,IFERROR(VALUE(LEFT(E2191,FIND("º",SUBSTITUTE(E2191,"°","º"))-1)),""))))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33276012</v>
      </c>
      <c r="C2192" s="4" t="inlineStr">
        <is>
          <t>FORRO DE MADEIRA</t>
        </is>
      </c>
      <c r="D2192" s="4" t="inlineStr">
        <is>
          <t>-</t>
        </is>
      </c>
      <c r="E2192" s="4" t="inlineStr">
        <is>
          <t>26º PAV. -  DUPLEX INFERIOR</t>
        </is>
      </c>
      <c r="F2192" s="119" t="n">
        <v>47023</v>
      </c>
      <c r="G2192" s="119" t="n">
        <v>47044</v>
      </c>
      <c r="H2192" s="119" t="n">
        <v>46293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IF(E2192="","",IF(ISNUMBER(SEARCH("SUBSOLO",E2192)),IFERROR(-VALUE(LEFT(E2192,FIND("º",SUBSTITUTE(E2192,"°","º"))-1)),-1),IF(LEFT(E2192,6)="TÉRREO",0,IFERROR(VALUE(LEFT(E2192,FIND("º",SUBSTITUTE(E2192,"°","º"))-1)),""))))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25210279</v>
      </c>
      <c r="C2193" s="4" t="inlineStr">
        <is>
          <t>LIMPEZA FINA</t>
        </is>
      </c>
      <c r="D2193" s="4" t="inlineStr">
        <is>
          <t>-</t>
        </is>
      </c>
      <c r="E2193" s="4" t="inlineStr">
        <is>
          <t>20º PAV. TIPO</t>
        </is>
      </c>
      <c r="F2193" s="119" t="n">
        <v>47030</v>
      </c>
      <c r="G2193" s="119" t="n">
        <v>47044</v>
      </c>
      <c r="H2193" s="119" t="n">
        <v>46293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IF(E2193="","",IF(ISNUMBER(SEARCH("SUBSOLO",E2193)),IFERROR(-VALUE(LEFT(E2193,FIND("º",SUBSTITUTE(E2193,"°","º"))-1)),-1),IF(LEFT(E2193,6)="TÉRREO",0,IFERROR(VALUE(LEFT(E2193,FIND("º",SUBSTITUTE(E2193,"°","º"))-1)),""))))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25210202</v>
      </c>
      <c r="C2194" s="4" t="inlineStr">
        <is>
          <t>PINTURA 2º DEMÃO</t>
        </is>
      </c>
      <c r="D2194" s="4" t="inlineStr">
        <is>
          <t>-</t>
        </is>
      </c>
      <c r="E2194" s="4" t="inlineStr">
        <is>
          <t>22º PAV. TIPO</t>
        </is>
      </c>
      <c r="F2194" s="119" t="n">
        <v>47030</v>
      </c>
      <c r="G2194" s="119" t="n">
        <v>47044</v>
      </c>
      <c r="H2194" s="119" t="n">
        <v>46293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IF(E2194="","",IF(ISNUMBER(SEARCH("SUBSOLO",E2194)),IFERROR(-VALUE(LEFT(E2194,FIND("º",SUBSTITUTE(E2194,"°","º"))-1)),-1),IF(LEFT(E2194,6)="TÉRREO",0,IFERROR(VALUE(LEFT(E2194,FIND("º",SUBSTITUTE(E2194,"°","º"))-1)),""))))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25210099</v>
      </c>
      <c r="C2195" s="4" t="inlineStr">
        <is>
          <t>DISJUNTORES / MIOLOS</t>
        </is>
      </c>
      <c r="D2195" s="4" t="inlineStr">
        <is>
          <t>-</t>
        </is>
      </c>
      <c r="E2195" s="4" t="inlineStr">
        <is>
          <t>25º PAV. TIPO</t>
        </is>
      </c>
      <c r="F2195" s="119" t="n">
        <v>47030</v>
      </c>
      <c r="G2195" s="119" t="n">
        <v>47044</v>
      </c>
      <c r="H2195" s="119" t="n">
        <v>46293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IF(E2195="","",IF(ISNUMBER(SEARCH("SUBSOLO",E2195)),IFERROR(-VALUE(LEFT(E2195,FIND("º",SUBSTITUTE(E2195,"°","º"))-1)),-1),IF(LEFT(E2195,6)="TÉRREO",0,IFERROR(VALUE(LEFT(E2195,FIND("º",SUBSTITUTE(E2195,"°","º"))-1)),""))))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25210077</v>
      </c>
      <c r="C2196" s="4" t="inlineStr">
        <is>
          <t>CFTV</t>
        </is>
      </c>
      <c r="D2196" s="4" t="inlineStr">
        <is>
          <t>-</t>
        </is>
      </c>
      <c r="E2196" s="4" t="inlineStr">
        <is>
          <t>25º PAV. TIPO</t>
        </is>
      </c>
      <c r="F2196" s="119" t="n">
        <v>47030</v>
      </c>
      <c r="G2196" s="119" t="n">
        <v>47044</v>
      </c>
      <c r="H2196" s="119" t="n">
        <v>46293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IF(E2196="","",IF(ISNUMBER(SEARCH("SUBSOLO",E2196)),IFERROR(-VALUE(LEFT(E2196,FIND("º",SUBSTITUTE(E2196,"°","º"))-1)),-1),IF(LEFT(E2196,6)="TÉRREO",0,IFERROR(VALUE(LEFT(E2196,FIND("º",SUBSTITUTE(E2196,"°","º"))-1)),""))))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27766511</v>
      </c>
      <c r="C2197" s="4" t="inlineStr">
        <is>
          <t>COMUNICAÇÃO VISUAL</t>
        </is>
      </c>
      <c r="D2197" s="4" t="inlineStr">
        <is>
          <t>-</t>
        </is>
      </c>
      <c r="E2197" s="4" t="inlineStr">
        <is>
          <t>20º PAV. TIPO</t>
        </is>
      </c>
      <c r="F2197" s="119" t="n">
        <v>47031</v>
      </c>
      <c r="G2197" s="119" t="n">
        <v>47037</v>
      </c>
      <c r="H2197" s="119" t="n">
        <v>46293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IF(E2197="","",IF(ISNUMBER(SEARCH("SUBSOLO",E2197)),IFERROR(-VALUE(LEFT(E2197,FIND("º",SUBSTITUTE(E2197,"°","º"))-1)),-1),IF(LEFT(E2197,6)="TÉRREO",0,IFERROR(VALUE(LEFT(E2197,FIND("º",SUBSTITUTE(E2197,"°","º"))-1)),""))))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25210242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21º PAV. TIPO</t>
        </is>
      </c>
      <c r="F2198" s="119" t="n">
        <v>47037</v>
      </c>
      <c r="G2198" s="119" t="n">
        <v>47051</v>
      </c>
      <c r="H2198" s="119" t="n">
        <v>46293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IF(E2198="","",IF(ISNUMBER(SEARCH("SUBSOLO",E2198)),IFERROR(-VALUE(LEFT(E2198,FIND("º",SUBSTITUTE(E2198,"°","º"))-1)),-1),IF(LEFT(E2198,6)="TÉRREO",0,IFERROR(VALUE(LEFT(E2198,FIND("º",SUBSTITUTE(E2198,"°","º"))-1)),""))))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25210170</v>
      </c>
      <c r="C2199" s="4" t="inlineStr">
        <is>
          <t>LIMPEZA GROSSA</t>
        </is>
      </c>
      <c r="D2199" s="4" t="inlineStr">
        <is>
          <t>-</t>
        </is>
      </c>
      <c r="E2199" s="4" t="inlineStr">
        <is>
          <t>23º PAV. TIPO</t>
        </is>
      </c>
      <c r="F2199" s="119" t="n">
        <v>47037</v>
      </c>
      <c r="G2199" s="119" t="n">
        <v>47051</v>
      </c>
      <c r="H2199" s="119" t="n">
        <v>46293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IF(E2199="","",IF(ISNUMBER(SEARCH("SUBSOLO",E2199)),IFERROR(-VALUE(LEFT(E2199,FIND("º",SUBSTITUTE(E2199,"°","º"))-1)),-1),IF(LEFT(E2199,6)="TÉRREO",0,IFERROR(VALUE(LEFT(E2199,FIND("º",SUBSTITUTE(E2199,"°","º"))-1)),""))))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33276148</v>
      </c>
      <c r="C2200" s="4" t="inlineStr">
        <is>
          <t>TRATAMENTO DE GRANITO/MÁRMORE</t>
        </is>
      </c>
      <c r="D2200" s="4" t="inlineStr">
        <is>
          <t>-</t>
        </is>
      </c>
      <c r="E2200" s="4" t="inlineStr">
        <is>
          <t>24º PAV. TIPO</t>
        </is>
      </c>
      <c r="F2200" s="119" t="n">
        <v>47037</v>
      </c>
      <c r="G2200" s="119" t="n">
        <v>47058</v>
      </c>
      <c r="H2200" s="119" t="n">
        <v>46293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IF(E2200="","",IF(ISNUMBER(SEARCH("SUBSOLO",E2200)),IFERROR(-VALUE(LEFT(E2200,FIND("º",SUBSTITUTE(E2200,"°","º"))-1)),-1),IF(LEFT(E2200,6)="TÉRREO",0,IFERROR(VALUE(LEFT(E2200,FIND("º",SUBSTITUTE(E2200,"°","º"))-1)),""))))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25210280</v>
      </c>
      <c r="C2201" s="4" t="inlineStr">
        <is>
          <t>CHECKLIST</t>
        </is>
      </c>
      <c r="D2201" s="4" t="inlineStr">
        <is>
          <t>-</t>
        </is>
      </c>
      <c r="E2201" s="4" t="inlineStr">
        <is>
          <t>20º PAV. TIPO</t>
        </is>
      </c>
      <c r="F2201" s="119" t="n">
        <v>47045</v>
      </c>
      <c r="G2201" s="119" t="n">
        <v>47053</v>
      </c>
      <c r="H2201" s="119" t="n">
        <v>46293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IF(E2201="","",IF(ISNUMBER(SEARCH("SUBSOLO",E2201)),IFERROR(-VALUE(LEFT(E2201,FIND("º",SUBSTITUTE(E2201,"°","º"))-1)),-1),IF(LEFT(E2201,6)="TÉRREO",0,IFERROR(VALUE(LEFT(E2201,FIND("º",SUBSTITUTE(E2201,"°","º"))-1)),""))))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27770725</v>
      </c>
      <c r="C2202" s="4" t="inlineStr">
        <is>
          <t>SERRALHERIA</t>
        </is>
      </c>
      <c r="D2202" s="4" t="inlineStr">
        <is>
          <t>-</t>
        </is>
      </c>
      <c r="E2202" s="4" t="inlineStr">
        <is>
          <t>22º PAV. TIPO</t>
        </is>
      </c>
      <c r="F2202" s="119" t="n">
        <v>47045</v>
      </c>
      <c r="G2202" s="119" t="n">
        <v>47057</v>
      </c>
      <c r="H2202" s="119" t="n">
        <v>46293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IF(E2202="","",IF(ISNUMBER(SEARCH("SUBSOLO",E2202)),IFERROR(-VALUE(LEFT(E2202,FIND("º",SUBSTITUTE(E2202,"°","º"))-1)),-1),IF(LEFT(E2202,6)="TÉRREO",0,IFERROR(VALUE(LEFT(E2202,FIND("º",SUBSTITUTE(E2202,"°","º"))-1)),""))))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25210203</v>
      </c>
      <c r="C2203" s="4" t="inlineStr">
        <is>
          <t>LOUÇAS</t>
        </is>
      </c>
      <c r="D2203" s="4" t="inlineStr">
        <is>
          <t>-</t>
        </is>
      </c>
      <c r="E2203" s="4" t="inlineStr">
        <is>
          <t>22º PAV. TIPO</t>
        </is>
      </c>
      <c r="F2203" s="119" t="n">
        <v>47045</v>
      </c>
      <c r="G2203" s="119" t="n">
        <v>47058</v>
      </c>
      <c r="H2203" s="119" t="n">
        <v>46293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IF(E2203="","",IF(ISNUMBER(SEARCH("SUBSOLO",E2203)),IFERROR(-VALUE(LEFT(E2203,FIND("º",SUBSTITUTE(E2203,"°","º"))-1)),-1),IF(LEFT(E2203,6)="TÉRREO",0,IFERROR(VALUE(LEFT(E2203,FIND("º",SUBSTITUTE(E2203,"°","º"))-1)),""))))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25210206</v>
      </c>
      <c r="C2204" s="4" t="inlineStr">
        <is>
          <t>METAIS</t>
        </is>
      </c>
      <c r="D2204" s="4" t="inlineStr">
        <is>
          <t>-</t>
        </is>
      </c>
      <c r="E2204" s="4" t="inlineStr">
        <is>
          <t>22º PAV. TIPO</t>
        </is>
      </c>
      <c r="F2204" s="119" t="n">
        <v>47045</v>
      </c>
      <c r="G2204" s="119" t="n">
        <v>47058</v>
      </c>
      <c r="H2204" s="119" t="n">
        <v>46293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IF(E2204="","",IF(ISNUMBER(SEARCH("SUBSOLO",E2204)),IFERROR(-VALUE(LEFT(E2204,FIND("º",SUBSTITUTE(E2204,"°","º"))-1)),-1),IF(LEFT(E2204,6)="TÉRREO",0,IFERROR(VALUE(LEFT(E2204,FIND("º",SUBSTITUTE(E2204,"°","º"))-1)),""))))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25210208</v>
      </c>
      <c r="C2205" s="4" t="inlineStr">
        <is>
          <t>ACABAMENTOS ELÉTRICOS</t>
        </is>
      </c>
      <c r="D2205" s="4" t="inlineStr">
        <is>
          <t>-</t>
        </is>
      </c>
      <c r="E2205" s="4" t="inlineStr">
        <is>
          <t>22º PAV. TIPO</t>
        </is>
      </c>
      <c r="F2205" s="119" t="n">
        <v>47045</v>
      </c>
      <c r="G2205" s="119" t="n">
        <v>47058</v>
      </c>
      <c r="H2205" s="119" t="n">
        <v>46293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IF(E2205="","",IF(ISNUMBER(SEARCH("SUBSOLO",E2205)),IFERROR(-VALUE(LEFT(E2205,FIND("º",SUBSTITUTE(E2205,"°","º"))-1)),-1),IF(LEFT(E2205,6)="TÉRREO",0,IFERROR(VALUE(LEFT(E2205,FIND("º",SUBSTITUTE(E2205,"°","º"))-1)),""))))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27766429</v>
      </c>
      <c r="C2206" s="4" t="inlineStr">
        <is>
          <t>ACABAMENTOS INCÊNDIO</t>
        </is>
      </c>
      <c r="D2206" s="4" t="inlineStr">
        <is>
          <t>-</t>
        </is>
      </c>
      <c r="E2206" s="4" t="inlineStr">
        <is>
          <t>22º PAV. TIPO</t>
        </is>
      </c>
      <c r="F2206" s="119" t="n">
        <v>47045</v>
      </c>
      <c r="G2206" s="119" t="n">
        <v>47058</v>
      </c>
      <c r="H2206" s="119" t="n">
        <v>46293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IF(E2206="","",IF(ISNUMBER(SEARCH("SUBSOLO",E2206)),IFERROR(-VALUE(LEFT(E2206,FIND("º",SUBSTITUTE(E2206,"°","º"))-1)),-1),IF(LEFT(E2206,6)="TÉRREO",0,IFERROR(VALUE(LEFT(E2206,FIND("º",SUBSTITUTE(E2206,"°","º"))-1)),""))))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33292479</v>
      </c>
      <c r="C2207" s="4" t="inlineStr">
        <is>
          <t>PAISAGISMO</t>
        </is>
      </c>
      <c r="D2207" s="4" t="inlineStr">
        <is>
          <t>-</t>
        </is>
      </c>
      <c r="E2207" s="4" t="inlineStr">
        <is>
          <t>25º PAV. TIPO</t>
        </is>
      </c>
      <c r="F2207" s="119" t="n">
        <v>47045</v>
      </c>
      <c r="G2207" s="119" t="n">
        <v>47058</v>
      </c>
      <c r="H2207" s="119" t="n">
        <v>46293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IF(E2207="","",IF(ISNUMBER(SEARCH("SUBSOLO",E2207)),IFERROR(-VALUE(LEFT(E2207,FIND("º",SUBSTITUTE(E2207,"°","º"))-1)),-1),IF(LEFT(E2207,6)="TÉRREO",0,IFERROR(VALUE(LEFT(E2207,FIND("º",SUBSTITUTE(E2207,"°","º"))-1)),""))))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33276013</v>
      </c>
      <c r="C2208" s="4" t="inlineStr">
        <is>
          <t>FORRO DE MADEIRA</t>
        </is>
      </c>
      <c r="D2208" s="4" t="inlineStr">
        <is>
          <t>-</t>
        </is>
      </c>
      <c r="E2208" s="4" t="inlineStr">
        <is>
          <t>27º PAV. -  DUPLEX SUPERIOR</t>
        </is>
      </c>
      <c r="F2208" s="119" t="n">
        <v>47045</v>
      </c>
      <c r="G2208" s="119" t="n">
        <v>47066</v>
      </c>
      <c r="H2208" s="119" t="n">
        <v>46293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IF(E2208="","",IF(ISNUMBER(SEARCH("SUBSOLO",E2208)),IFERROR(-VALUE(LEFT(E2208,FIND("º",SUBSTITUTE(E2208,"°","º"))-1)),-1),IF(LEFT(E2208,6)="TÉRREO",0,IFERROR(VALUE(LEFT(E2208,FIND("º",SUBSTITUTE(E2208,"°","º"))-1)),""))))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25210244</v>
      </c>
      <c r="C2209" s="4" t="inlineStr">
        <is>
          <t>LIMPEZA FINA</t>
        </is>
      </c>
      <c r="D2209" s="4" t="inlineStr">
        <is>
          <t>-</t>
        </is>
      </c>
      <c r="E2209" s="4" t="inlineStr">
        <is>
          <t>21º PAV. TIPO</t>
        </is>
      </c>
      <c r="F2209" s="119" t="n">
        <v>47052</v>
      </c>
      <c r="G2209" s="119" t="n">
        <v>47066</v>
      </c>
      <c r="H2209" s="119" t="n">
        <v>46293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IF(E2209="","",IF(ISNUMBER(SEARCH("SUBSOLO",E2209)),IFERROR(-VALUE(LEFT(E2209,FIND("º",SUBSTITUTE(E2209,"°","º"))-1)),-1),IF(LEFT(E2209,6)="TÉRREO",0,IFERROR(VALUE(LEFT(E2209,FIND("º",SUBSTITUTE(E2209,"°","º"))-1)),""))))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25210167</v>
      </c>
      <c r="C2210" s="4" t="inlineStr">
        <is>
          <t>PINTURA 2º DEMÃO</t>
        </is>
      </c>
      <c r="D2210" s="4" t="inlineStr">
        <is>
          <t>-</t>
        </is>
      </c>
      <c r="E2210" s="4" t="inlineStr">
        <is>
          <t>23º PAV. TIPO</t>
        </is>
      </c>
      <c r="F2210" s="119" t="n">
        <v>47052</v>
      </c>
      <c r="G2210" s="119" t="n">
        <v>47066</v>
      </c>
      <c r="H2210" s="119" t="n">
        <v>46293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IF(E2210="","",IF(ISNUMBER(SEARCH("SUBSOLO",E2210)),IFERROR(-VALUE(LEFT(E2210,FIND("º",SUBSTITUTE(E2210,"°","º"))-1)),-1),IF(LEFT(E2210,6)="TÉRREO",0,IFERROR(VALUE(LEFT(E2210,FIND("º",SUBSTITUTE(E2210,"°","º"))-1)),""))))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27766512</v>
      </c>
      <c r="C2211" s="4" t="inlineStr">
        <is>
          <t>COMUNICAÇÃO VISUAL</t>
        </is>
      </c>
      <c r="D2211" s="4" t="inlineStr">
        <is>
          <t>-</t>
        </is>
      </c>
      <c r="E2211" s="4" t="inlineStr">
        <is>
          <t>21º PAV. TIPO</t>
        </is>
      </c>
      <c r="F2211" s="119" t="n">
        <v>47053</v>
      </c>
      <c r="G2211" s="119" t="n">
        <v>47060</v>
      </c>
      <c r="H2211" s="119" t="n">
        <v>46293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IF(E2211="","",IF(ISNUMBER(SEARCH("SUBSOLO",E2211)),IFERROR(-VALUE(LEFT(E2211,FIND("º",SUBSTITUTE(E2211,"°","º"))-1)),-1),IF(LEFT(E2211,6)="TÉRREO",0,IFERROR(VALUE(LEFT(E2211,FIND("º",SUBSTITUTE(E2211,"°","º"))-1)),""))))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25210207</v>
      </c>
      <c r="C2212" s="4" t="inlineStr">
        <is>
          <t>PINTURA 3º DEMÃO</t>
        </is>
      </c>
      <c r="D2212" s="4" t="inlineStr">
        <is>
          <t>-</t>
        </is>
      </c>
      <c r="E2212" s="4" t="inlineStr">
        <is>
          <t>22º PAV. TIPO</t>
        </is>
      </c>
      <c r="F2212" s="119" t="n">
        <v>47060</v>
      </c>
      <c r="G2212" s="119" t="n">
        <v>47074</v>
      </c>
      <c r="H2212" s="119" t="n">
        <v>46293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IF(E2212="","",IF(ISNUMBER(SEARCH("SUBSOLO",E2212)),IFERROR(-VALUE(LEFT(E2212,FIND("º",SUBSTITUTE(E2212,"°","º"))-1)),-1),IF(LEFT(E2212,6)="TÉRREO",0,IFERROR(VALUE(LEFT(E2212,FIND("º",SUBSTITUTE(E2212,"°","º"))-1)),""))))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25210135</v>
      </c>
      <c r="C2213" s="4" t="inlineStr">
        <is>
          <t>LIMPEZA GROSSA</t>
        </is>
      </c>
      <c r="D2213" s="4" t="inlineStr">
        <is>
          <t>-</t>
        </is>
      </c>
      <c r="E2213" s="4" t="inlineStr">
        <is>
          <t>24º PAV. TIPO</t>
        </is>
      </c>
      <c r="F2213" s="119" t="n">
        <v>47060</v>
      </c>
      <c r="G2213" s="119" t="n">
        <v>47074</v>
      </c>
      <c r="H2213" s="119" t="n">
        <v>46293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IF(E2213="","",IF(ISNUMBER(SEARCH("SUBSOLO",E2213)),IFERROR(-VALUE(LEFT(E2213,FIND("º",SUBSTITUTE(E2213,"°","º"))-1)),-1),IF(LEFT(E2213,6)="TÉRREO",0,IFERROR(VALUE(LEFT(E2213,FIND("º",SUBSTITUTE(E2213,"°","º"))-1)),""))))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33276149</v>
      </c>
      <c r="C2214" s="4" t="inlineStr">
        <is>
          <t>TRATAMENTO DE GRANITO/MÁRMORE</t>
        </is>
      </c>
      <c r="D2214" s="4" t="inlineStr">
        <is>
          <t>-</t>
        </is>
      </c>
      <c r="E2214" s="4" t="inlineStr">
        <is>
          <t>25º PAV. TIPO</t>
        </is>
      </c>
      <c r="F2214" s="119" t="n">
        <v>47060</v>
      </c>
      <c r="G2214" s="119" t="n">
        <v>47081</v>
      </c>
      <c r="H2214" s="119" t="n">
        <v>46293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IF(E2214="","",IF(ISNUMBER(SEARCH("SUBSOLO",E2214)),IFERROR(-VALUE(LEFT(E2214,FIND("º",SUBSTITUTE(E2214,"°","º"))-1)),-1),IF(LEFT(E2214,6)="TÉRREO",0,IFERROR(VALUE(LEFT(E2214,FIND("º",SUBSTITUTE(E2214,"°","º"))-1)),""))))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33292480</v>
      </c>
      <c r="C2215" s="4" t="inlineStr">
        <is>
          <t>PAISAGISMO</t>
        </is>
      </c>
      <c r="D2215" s="4" t="inlineStr">
        <is>
          <t>-</t>
        </is>
      </c>
      <c r="E2215" s="4" t="inlineStr">
        <is>
          <t>26º PAV. -  DUPLEX INFERIOR</t>
        </is>
      </c>
      <c r="F2215" s="119" t="n">
        <v>47060</v>
      </c>
      <c r="G2215" s="119" t="n">
        <v>47074</v>
      </c>
      <c r="H2215" s="119" t="n">
        <v>46293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IF(E2215="","",IF(ISNUMBER(SEARCH("SUBSOLO",E2215)),IFERROR(-VALUE(LEFT(E2215,FIND("º",SUBSTITUTE(E2215,"°","º"))-1)),-1),IF(LEFT(E2215,6)="TÉRREO",0,IFERROR(VALUE(LEFT(E2215,FIND("º",SUBSTITUTE(E2215,"°","º"))-1)),""))))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25210245</v>
      </c>
      <c r="C2216" s="4" t="inlineStr">
        <is>
          <t>CHECKLIST</t>
        </is>
      </c>
      <c r="D2216" s="4" t="inlineStr">
        <is>
          <t>-</t>
        </is>
      </c>
      <c r="E2216" s="4" t="inlineStr">
        <is>
          <t>21º PAV. TIPO</t>
        </is>
      </c>
      <c r="F2216" s="119" t="n">
        <v>47067</v>
      </c>
      <c r="G2216" s="119" t="n">
        <v>47074</v>
      </c>
      <c r="H2216" s="119" t="n">
        <v>46293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IF(E2216="","",IF(ISNUMBER(SEARCH("SUBSOLO",E2216)),IFERROR(-VALUE(LEFT(E2216,FIND("º",SUBSTITUTE(E2216,"°","º"))-1)),-1),IF(LEFT(E2216,6)="TÉRREO",0,IFERROR(VALUE(LEFT(E2216,FIND("º",SUBSTITUTE(E2216,"°","º"))-1)),""))))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27770726</v>
      </c>
      <c r="C2217" s="4" t="inlineStr">
        <is>
          <t>SERRALHERIA</t>
        </is>
      </c>
      <c r="D2217" s="4" t="inlineStr">
        <is>
          <t>-</t>
        </is>
      </c>
      <c r="E2217" s="4" t="inlineStr">
        <is>
          <t>23º PAV. TIPO</t>
        </is>
      </c>
      <c r="F2217" s="119" t="n">
        <v>47067</v>
      </c>
      <c r="G2217" s="119" t="n">
        <v>47080</v>
      </c>
      <c r="H2217" s="119" t="n">
        <v>46293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IF(E2217="","",IF(ISNUMBER(SEARCH("SUBSOLO",E2217)),IFERROR(-VALUE(LEFT(E2217,FIND("º",SUBSTITUTE(E2217,"°","º"))-1)),-1),IF(LEFT(E2217,6)="TÉRREO",0,IFERROR(VALUE(LEFT(E2217,FIND("º",SUBSTITUTE(E2217,"°","º"))-1)),""))))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25210168</v>
      </c>
      <c r="C2218" s="4" t="inlineStr">
        <is>
          <t>LOUÇAS</t>
        </is>
      </c>
      <c r="D2218" s="4" t="inlineStr">
        <is>
          <t>-</t>
        </is>
      </c>
      <c r="E2218" s="4" t="inlineStr">
        <is>
          <t>23º PAV. TIPO</t>
        </is>
      </c>
      <c r="F2218" s="119" t="n">
        <v>47067</v>
      </c>
      <c r="G2218" s="119" t="n">
        <v>47081</v>
      </c>
      <c r="H2218" s="119" t="n">
        <v>46293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IF(E2218="","",IF(ISNUMBER(SEARCH("SUBSOLO",E2218)),IFERROR(-VALUE(LEFT(E2218,FIND("º",SUBSTITUTE(E2218,"°","º"))-1)),-1),IF(LEFT(E2218,6)="TÉRREO",0,IFERROR(VALUE(LEFT(E2218,FIND("º",SUBSTITUTE(E2218,"°","º"))-1)),""))))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25210171</v>
      </c>
      <c r="C2219" s="4" t="inlineStr">
        <is>
          <t>METAIS</t>
        </is>
      </c>
      <c r="D2219" s="4" t="inlineStr">
        <is>
          <t>-</t>
        </is>
      </c>
      <c r="E2219" s="4" t="inlineStr">
        <is>
          <t>23º PAV. TIPO</t>
        </is>
      </c>
      <c r="F2219" s="119" t="n">
        <v>47067</v>
      </c>
      <c r="G2219" s="119" t="n">
        <v>47081</v>
      </c>
      <c r="H2219" s="119" t="n">
        <v>46293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IF(E2219="","",IF(ISNUMBER(SEARCH("SUBSOLO",E2219)),IFERROR(-VALUE(LEFT(E2219,FIND("º",SUBSTITUTE(E2219,"°","º"))-1)),-1),IF(LEFT(E2219,6)="TÉRREO",0,IFERROR(VALUE(LEFT(E2219,FIND("º",SUBSTITUTE(E2219,"°","º"))-1)),""))))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25210173</v>
      </c>
      <c r="C2220" s="4" t="inlineStr">
        <is>
          <t>ACABAMENTOS ELÉTRICOS</t>
        </is>
      </c>
      <c r="D2220" s="4" t="inlineStr">
        <is>
          <t>-</t>
        </is>
      </c>
      <c r="E2220" s="4" t="inlineStr">
        <is>
          <t>23º PAV. TIPO</t>
        </is>
      </c>
      <c r="F2220" s="119" t="n">
        <v>47067</v>
      </c>
      <c r="G2220" s="119" t="n">
        <v>47081</v>
      </c>
      <c r="H2220" s="119" t="n">
        <v>46293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IF(E2220="","",IF(ISNUMBER(SEARCH("SUBSOLO",E2220)),IFERROR(-VALUE(LEFT(E2220,FIND("º",SUBSTITUTE(E2220,"°","º"))-1)),-1),IF(LEFT(E2220,6)="TÉRREO",0,IFERROR(VALUE(LEFT(E2220,FIND("º",SUBSTITUTE(E2220,"°","º"))-1)),""))))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27766430</v>
      </c>
      <c r="C2221" s="4" t="inlineStr">
        <is>
          <t>ACABAMENTOS INCÊNDIO</t>
        </is>
      </c>
      <c r="D2221" s="4" t="inlineStr">
        <is>
          <t>-</t>
        </is>
      </c>
      <c r="E2221" s="4" t="inlineStr">
        <is>
          <t>23º PAV. TIPO</t>
        </is>
      </c>
      <c r="F2221" s="119" t="n">
        <v>47067</v>
      </c>
      <c r="G2221" s="119" t="n">
        <v>47081</v>
      </c>
      <c r="H2221" s="119" t="n">
        <v>46293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IF(E2221="","",IF(ISNUMBER(SEARCH("SUBSOLO",E2221)),IFERROR(-VALUE(LEFT(E2221,FIND("º",SUBSTITUTE(E2221,"°","º"))-1)),-1),IF(LEFT(E2221,6)="TÉRREO",0,IFERROR(VALUE(LEFT(E2221,FIND("º",SUBSTITUTE(E2221,"°","º"))-1)),""))))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25210209</v>
      </c>
      <c r="C2222" s="4" t="inlineStr">
        <is>
          <t>LIMPEZA FINA</t>
        </is>
      </c>
      <c r="D2222" s="4" t="inlineStr">
        <is>
          <t>-</t>
        </is>
      </c>
      <c r="E2222" s="4" t="inlineStr">
        <is>
          <t>22º PAV. TIPO</t>
        </is>
      </c>
      <c r="F2222" s="119" t="n">
        <v>47077</v>
      </c>
      <c r="G2222" s="119" t="n">
        <v>47088</v>
      </c>
      <c r="H2222" s="119" t="n">
        <v>46293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IF(E2222="","",IF(ISNUMBER(SEARCH("SUBSOLO",E2222)),IFERROR(-VALUE(LEFT(E2222,FIND("º",SUBSTITUTE(E2222,"°","º"))-1)),-1),IF(LEFT(E2222,6)="TÉRREO",0,IFERROR(VALUE(LEFT(E2222,FIND("º",SUBSTITUTE(E2222,"°","º"))-1)),""))))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25210132</v>
      </c>
      <c r="C2223" s="4" t="inlineStr">
        <is>
          <t>PINTURA 2º DEMÃO</t>
        </is>
      </c>
      <c r="D2223" s="4" t="inlineStr">
        <is>
          <t>-</t>
        </is>
      </c>
      <c r="E2223" s="4" t="inlineStr">
        <is>
          <t>24º PAV. TIPO</t>
        </is>
      </c>
      <c r="F2223" s="119" t="n">
        <v>47077</v>
      </c>
      <c r="G2223" s="119" t="n">
        <v>47088</v>
      </c>
      <c r="H2223" s="119" t="n">
        <v>46293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IF(E2223="","",IF(ISNUMBER(SEARCH("SUBSOLO",E2223)),IFERROR(-VALUE(LEFT(E2223,FIND("º",SUBSTITUTE(E2223,"°","º"))-1)),-1),IF(LEFT(E2223,6)="TÉRREO",0,IFERROR(VALUE(LEFT(E2223,FIND("º",SUBSTITUTE(E2223,"°","º"))-1)),""))))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33292481</v>
      </c>
      <c r="C2224" s="4" t="inlineStr">
        <is>
          <t>PAISAGISMO</t>
        </is>
      </c>
      <c r="D2224" s="4" t="inlineStr">
        <is>
          <t>-</t>
        </is>
      </c>
      <c r="E2224" s="4" t="inlineStr">
        <is>
          <t>27º PAV. -  DUPLEX SUPERIOR</t>
        </is>
      </c>
      <c r="F2224" s="119" t="n">
        <v>47077</v>
      </c>
      <c r="G2224" s="119" t="n">
        <v>47088</v>
      </c>
      <c r="H2224" s="119" t="n">
        <v>46293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IF(E2224="","",IF(ISNUMBER(SEARCH("SUBSOLO",E2224)),IFERROR(-VALUE(LEFT(E2224,FIND("º",SUBSTITUTE(E2224,"°","º"))-1)),-1),IF(LEFT(E2224,6)="TÉRREO",0,IFERROR(VALUE(LEFT(E2224,FIND("º",SUBSTITUTE(E2224,"°","º"))-1)),""))))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27766513</v>
      </c>
      <c r="C2225" s="4" t="inlineStr">
        <is>
          <t>COMUNICAÇÃO VISUAL</t>
        </is>
      </c>
      <c r="D2225" s="4" t="inlineStr">
        <is>
          <t>-</t>
        </is>
      </c>
      <c r="E2225" s="4" t="inlineStr">
        <is>
          <t>22º PAV. TIPO</t>
        </is>
      </c>
      <c r="F2225" s="119" t="n">
        <v>47078</v>
      </c>
      <c r="G2225" s="119" t="n">
        <v>47084</v>
      </c>
      <c r="H2225" s="119" t="n">
        <v>46293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IF(E2225="","",IF(ISNUMBER(SEARCH("SUBSOLO",E2225)),IFERROR(-VALUE(LEFT(E2225,FIND("º",SUBSTITUTE(E2225,"°","º"))-1)),-1),IF(LEFT(E2225,6)="TÉRREO",0,IFERROR(VALUE(LEFT(E2225,FIND("º",SUBSTITUTE(E2225,"°","º"))-1)),""))))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25210172</v>
      </c>
      <c r="C2226" s="4" t="inlineStr">
        <is>
          <t>PINTURA 3º DEMÃO</t>
        </is>
      </c>
      <c r="D2226" s="4" t="inlineStr">
        <is>
          <t>-</t>
        </is>
      </c>
      <c r="E2226" s="4" t="inlineStr">
        <is>
          <t>23º PAV. TIPO</t>
        </is>
      </c>
      <c r="F2226" s="119" t="n">
        <v>47084</v>
      </c>
      <c r="G2226" s="119" t="n">
        <v>47095</v>
      </c>
      <c r="H2226" s="119" t="n">
        <v>46293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IF(E2226="","",IF(ISNUMBER(SEARCH("SUBSOLO",E2226)),IFERROR(-VALUE(LEFT(E2226,FIND("º",SUBSTITUTE(E2226,"°","º"))-1)),-1),IF(LEFT(E2226,6)="TÉRREO",0,IFERROR(VALUE(LEFT(E2226,FIND("º",SUBSTITUTE(E2226,"°","º"))-1)),""))))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25210100</v>
      </c>
      <c r="C2227" s="4" t="inlineStr">
        <is>
          <t>LIMPEZA GROSSA</t>
        </is>
      </c>
      <c r="D2227" s="4" t="inlineStr">
        <is>
          <t>-</t>
        </is>
      </c>
      <c r="E2227" s="4" t="inlineStr">
        <is>
          <t>25º PAV. TIPO</t>
        </is>
      </c>
      <c r="F2227" s="119" t="n">
        <v>47084</v>
      </c>
      <c r="G2227" s="119" t="n">
        <v>47095</v>
      </c>
      <c r="H2227" s="119" t="n">
        <v>46293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IF(E2227="","",IF(ISNUMBER(SEARCH("SUBSOLO",E2227)),IFERROR(-VALUE(LEFT(E2227,FIND("º",SUBSTITUTE(E2227,"°","º"))-1)),-1),IF(LEFT(E2227,6)="TÉRREO",0,IFERROR(VALUE(LEFT(E2227,FIND("º",SUBSTITUTE(E2227,"°","º"))-1)),""))))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33276150</v>
      </c>
      <c r="C2228" s="4" t="inlineStr">
        <is>
          <t>TRATAMENTO DE GRANITO/MÁRMORE</t>
        </is>
      </c>
      <c r="D2228" s="4" t="inlineStr">
        <is>
          <t>-</t>
        </is>
      </c>
      <c r="E2228" s="4" t="inlineStr">
        <is>
          <t>26º PAV. -  DUPLEX INFERIOR</t>
        </is>
      </c>
      <c r="F2228" s="119" t="n">
        <v>47084</v>
      </c>
      <c r="G2228" s="119" t="n">
        <v>47102</v>
      </c>
      <c r="H2228" s="119" t="n">
        <v>46293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IF(E2228="","",IF(ISNUMBER(SEARCH("SUBSOLO",E2228)),IFERROR(-VALUE(LEFT(E2228,FIND("º",SUBSTITUTE(E2228,"°","º"))-1)),-1),IF(LEFT(E2228,6)="TÉRREO",0,IFERROR(VALUE(LEFT(E2228,FIND("º",SUBSTITUTE(E2228,"°","º"))-1)),""))))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25210210</v>
      </c>
      <c r="C2229" s="4" t="inlineStr">
        <is>
          <t>CHECKLIST</t>
        </is>
      </c>
      <c r="D2229" s="4" t="inlineStr">
        <is>
          <t>-</t>
        </is>
      </c>
      <c r="E2229" s="4" t="inlineStr">
        <is>
          <t>22º PAV. TIPO</t>
        </is>
      </c>
      <c r="F2229" s="119" t="n">
        <v>47091</v>
      </c>
      <c r="G2229" s="119" t="n">
        <v>47099</v>
      </c>
      <c r="H2229" s="119" t="n">
        <v>46293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IF(E2229="","",IF(ISNUMBER(SEARCH("SUBSOLO",E2229)),IFERROR(-VALUE(LEFT(E2229,FIND("º",SUBSTITUTE(E2229,"°","º"))-1)),-1),IF(LEFT(E2229,6)="TÉRREO",0,IFERROR(VALUE(LEFT(E2229,FIND("º",SUBSTITUTE(E2229,"°","º"))-1)),""))))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27770727</v>
      </c>
      <c r="C2230" s="4" t="inlineStr">
        <is>
          <t>SERRALHERIA</t>
        </is>
      </c>
      <c r="D2230" s="4" t="inlineStr">
        <is>
          <t>-</t>
        </is>
      </c>
      <c r="E2230" s="4" t="inlineStr">
        <is>
          <t>24º PAV. TIPO</t>
        </is>
      </c>
      <c r="F2230" s="119" t="n">
        <v>47091</v>
      </c>
      <c r="G2230" s="119" t="n">
        <v>47101</v>
      </c>
      <c r="H2230" s="119" t="n">
        <v>46293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IF(E2230="","",IF(ISNUMBER(SEARCH("SUBSOLO",E2230)),IFERROR(-VALUE(LEFT(E2230,FIND("º",SUBSTITUTE(E2230,"°","º"))-1)),-1),IF(LEFT(E2230,6)="TÉRREO",0,IFERROR(VALUE(LEFT(E2230,FIND("º",SUBSTITUTE(E2230,"°","º"))-1)),""))))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25210133</v>
      </c>
      <c r="C2231" s="4" t="inlineStr">
        <is>
          <t>LOUÇAS</t>
        </is>
      </c>
      <c r="D2231" s="4" t="inlineStr">
        <is>
          <t>-</t>
        </is>
      </c>
      <c r="E2231" s="4" t="inlineStr">
        <is>
          <t>24º PAV. TIPO</t>
        </is>
      </c>
      <c r="F2231" s="119" t="n">
        <v>47091</v>
      </c>
      <c r="G2231" s="119" t="n">
        <v>47102</v>
      </c>
      <c r="H2231" s="119" t="n">
        <v>46293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IF(E2231="","",IF(ISNUMBER(SEARCH("SUBSOLO",E2231)),IFERROR(-VALUE(LEFT(E2231,FIND("º",SUBSTITUTE(E2231,"°","º"))-1)),-1),IF(LEFT(E2231,6)="TÉRREO",0,IFERROR(VALUE(LEFT(E2231,FIND("º",SUBSTITUTE(E2231,"°","º"))-1)),""))))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25210136</v>
      </c>
      <c r="C2232" s="4" t="inlineStr">
        <is>
          <t>METAIS</t>
        </is>
      </c>
      <c r="D2232" s="4" t="inlineStr">
        <is>
          <t>-</t>
        </is>
      </c>
      <c r="E2232" s="4" t="inlineStr">
        <is>
          <t>24º PAV. TIPO</t>
        </is>
      </c>
      <c r="F2232" s="119" t="n">
        <v>47091</v>
      </c>
      <c r="G2232" s="119" t="n">
        <v>47102</v>
      </c>
      <c r="H2232" s="119" t="n">
        <v>46293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IF(E2232="","",IF(ISNUMBER(SEARCH("SUBSOLO",E2232)),IFERROR(-VALUE(LEFT(E2232,FIND("º",SUBSTITUTE(E2232,"°","º"))-1)),-1),IF(LEFT(E2232,6)="TÉRREO",0,IFERROR(VALUE(LEFT(E2232,FIND("º",SUBSTITUTE(E2232,"°","º"))-1)),""))))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25210138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24º PAV. TIPO</t>
        </is>
      </c>
      <c r="F2233" s="119" t="n">
        <v>47091</v>
      </c>
      <c r="G2233" s="119" t="n">
        <v>47102</v>
      </c>
      <c r="H2233" s="119" t="n">
        <v>46293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IF(E2233="","",IF(ISNUMBER(SEARCH("SUBSOLO",E2233)),IFERROR(-VALUE(LEFT(E2233,FIND("º",SUBSTITUTE(E2233,"°","º"))-1)),-1),IF(LEFT(E2233,6)="TÉRREO",0,IFERROR(VALUE(LEFT(E2233,FIND("º",SUBSTITUTE(E2233,"°","º"))-1)),""))))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27766431</v>
      </c>
      <c r="C2234" s="4" t="inlineStr">
        <is>
          <t>ACABAMENTOS INCÊNDIO</t>
        </is>
      </c>
      <c r="D2234" s="4" t="inlineStr">
        <is>
          <t>-</t>
        </is>
      </c>
      <c r="E2234" s="4" t="inlineStr">
        <is>
          <t>24º PAV. TIPO</t>
        </is>
      </c>
      <c r="F2234" s="119" t="n">
        <v>47091</v>
      </c>
      <c r="G2234" s="119" t="n">
        <v>47102</v>
      </c>
      <c r="H2234" s="119" t="n">
        <v>46293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IF(E2234="","",IF(ISNUMBER(SEARCH("SUBSOLO",E2234)),IFERROR(-VALUE(LEFT(E2234,FIND("º",SUBSTITUTE(E2234,"°","º"))-1)),-1),IF(LEFT(E2234,6)="TÉRREO",0,IFERROR(VALUE(LEFT(E2234,FIND("º",SUBSTITUTE(E2234,"°","º"))-1)),""))))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25210174</v>
      </c>
      <c r="C2235" s="4" t="inlineStr">
        <is>
          <t>LIMPEZA FINA</t>
        </is>
      </c>
      <c r="D2235" s="4" t="inlineStr">
        <is>
          <t>-</t>
        </is>
      </c>
      <c r="E2235" s="4" t="inlineStr">
        <is>
          <t>23º PAV. TIPO</t>
        </is>
      </c>
      <c r="F2235" s="119" t="n">
        <v>47098</v>
      </c>
      <c r="G2235" s="119" t="n">
        <v>47109</v>
      </c>
      <c r="H2235" s="119" t="n">
        <v>46293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IF(E2235="","",IF(ISNUMBER(SEARCH("SUBSOLO",E2235)),IFERROR(-VALUE(LEFT(E2235,FIND("º",SUBSTITUTE(E2235,"°","º"))-1)),-1),IF(LEFT(E2235,6)="TÉRREO",0,IFERROR(VALUE(LEFT(E2235,FIND("º",SUBSTITUTE(E2235,"°","º"))-1)),""))))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25210097</v>
      </c>
      <c r="C2236" s="4" t="inlineStr">
        <is>
          <t>PINTURA 2º DEMÃO</t>
        </is>
      </c>
      <c r="D2236" s="4" t="inlineStr">
        <is>
          <t>-</t>
        </is>
      </c>
      <c r="E2236" s="4" t="inlineStr">
        <is>
          <t>25º PAV. TIPO</t>
        </is>
      </c>
      <c r="F2236" s="119" t="n">
        <v>47098</v>
      </c>
      <c r="G2236" s="119" t="n">
        <v>47109</v>
      </c>
      <c r="H2236" s="119" t="n">
        <v>46293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IF(E2236="","",IF(ISNUMBER(SEARCH("SUBSOLO",E2236)),IFERROR(-VALUE(LEFT(E2236,FIND("º",SUBSTITUTE(E2236,"°","º"))-1)),-1),IF(LEFT(E2236,6)="TÉRREO",0,IFERROR(VALUE(LEFT(E2236,FIND("º",SUBSTITUTE(E2236,"°","º"))-1)),""))))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27766514</v>
      </c>
      <c r="C2237" s="4" t="inlineStr">
        <is>
          <t>COMUNICAÇÃO VISUAL</t>
        </is>
      </c>
      <c r="D2237" s="4" t="inlineStr">
        <is>
          <t>-</t>
        </is>
      </c>
      <c r="E2237" s="4" t="inlineStr">
        <is>
          <t>23º PAV. TIPO</t>
        </is>
      </c>
      <c r="F2237" s="119" t="n">
        <v>47099</v>
      </c>
      <c r="G2237" s="119" t="n">
        <v>47105</v>
      </c>
      <c r="H2237" s="119" t="n">
        <v>46293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IF(E2237="","",IF(ISNUMBER(SEARCH("SUBSOLO",E2237)),IFERROR(-VALUE(LEFT(E2237,FIND("º",SUBSTITUTE(E2237,"°","º"))-1)),-1),IF(LEFT(E2237,6)="TÉRREO",0,IFERROR(VALUE(LEFT(E2237,FIND("º",SUBSTITUTE(E2237,"°","º"))-1)),""))))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25210137</v>
      </c>
      <c r="C2238" s="4" t="inlineStr">
        <is>
          <t>PINTURA 3º DEMÃO</t>
        </is>
      </c>
      <c r="D2238" s="4" t="inlineStr">
        <is>
          <t>-</t>
        </is>
      </c>
      <c r="E2238" s="4" t="inlineStr">
        <is>
          <t>24º PAV. TIPO</t>
        </is>
      </c>
      <c r="F2238" s="119" t="n">
        <v>47105</v>
      </c>
      <c r="G2238" s="119" t="n">
        <v>47120</v>
      </c>
      <c r="H2238" s="119" t="n">
        <v>46293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IF(E2238="","",IF(ISNUMBER(SEARCH("SUBSOLO",E2238)),IFERROR(-VALUE(LEFT(E2238,FIND("º",SUBSTITUTE(E2238,"°","º"))-1)),-1),IF(LEFT(E2238,6)="TÉRREO",0,IFERROR(VALUE(LEFT(E2238,FIND("º",SUBSTITUTE(E2238,"°","º"))-1)),""))))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33276151</v>
      </c>
      <c r="C2239" s="4" t="inlineStr">
        <is>
          <t>TRATAMENTO DE GRANITO/MÁRMORE</t>
        </is>
      </c>
      <c r="D2239" s="4" t="inlineStr">
        <is>
          <t>-</t>
        </is>
      </c>
      <c r="E2239" s="4" t="inlineStr">
        <is>
          <t>27º PAV. -  DUPLEX SUPERIOR</t>
        </is>
      </c>
      <c r="F2239" s="119" t="n">
        <v>47105</v>
      </c>
      <c r="G2239" s="119" t="n">
        <v>47127</v>
      </c>
      <c r="H2239" s="119" t="n">
        <v>46293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IF(E2239="","",IF(ISNUMBER(SEARCH("SUBSOLO",E2239)),IFERROR(-VALUE(LEFT(E2239,FIND("º",SUBSTITUTE(E2239,"°","º"))-1)),-1),IF(LEFT(E2239,6)="TÉRREO",0,IFERROR(VALUE(LEFT(E2239,FIND("º",SUBSTITUTE(E2239,"°","º"))-1)),""))))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25210175</v>
      </c>
      <c r="C2240" s="4" t="inlineStr">
        <is>
          <t>CHECKLIST</t>
        </is>
      </c>
      <c r="D2240" s="4" t="inlineStr">
        <is>
          <t>-</t>
        </is>
      </c>
      <c r="E2240" s="4" t="inlineStr">
        <is>
          <t>23º PAV. TIPO</t>
        </is>
      </c>
      <c r="F2240" s="119" t="n">
        <v>47113</v>
      </c>
      <c r="G2240" s="119" t="n">
        <v>47120</v>
      </c>
      <c r="H2240" s="119" t="n">
        <v>46293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IF(E2240="","",IF(ISNUMBER(SEARCH("SUBSOLO",E2240)),IFERROR(-VALUE(LEFT(E2240,FIND("º",SUBSTITUTE(E2240,"°","º"))-1)),-1),IF(LEFT(E2240,6)="TÉRREO",0,IFERROR(VALUE(LEFT(E2240,FIND("º",SUBSTITUTE(E2240,"°","º"))-1)),""))))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27770728</v>
      </c>
      <c r="C2241" s="4" t="inlineStr">
        <is>
          <t>SERRALHERIA</t>
        </is>
      </c>
      <c r="D2241" s="4" t="inlineStr">
        <is>
          <t>-</t>
        </is>
      </c>
      <c r="E2241" s="4" t="inlineStr">
        <is>
          <t>25º PAV. TIPO</t>
        </is>
      </c>
      <c r="F2241" s="119" t="n">
        <v>47113</v>
      </c>
      <c r="G2241" s="119" t="n">
        <v>47126</v>
      </c>
      <c r="H2241" s="119" t="n">
        <v>46293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IF(E2241="","",IF(ISNUMBER(SEARCH("SUBSOLO",E2241)),IFERROR(-VALUE(LEFT(E2241,FIND("º",SUBSTITUTE(E2241,"°","º"))-1)),-1),IF(LEFT(E2241,6)="TÉRREO",0,IFERROR(VALUE(LEFT(E2241,FIND("º",SUBSTITUTE(E2241,"°","º"))-1)),""))))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25210098</v>
      </c>
      <c r="C2242" s="4" t="inlineStr">
        <is>
          <t>LOUÇAS</t>
        </is>
      </c>
      <c r="D2242" s="4" t="inlineStr">
        <is>
          <t>-</t>
        </is>
      </c>
      <c r="E2242" s="4" t="inlineStr">
        <is>
          <t>25º PAV. TIPO</t>
        </is>
      </c>
      <c r="F2242" s="119" t="n">
        <v>47113</v>
      </c>
      <c r="G2242" s="119" t="n">
        <v>47127</v>
      </c>
      <c r="H2242" s="119" t="n">
        <v>46293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IF(E2242="","",IF(ISNUMBER(SEARCH("SUBSOLO",E2242)),IFERROR(-VALUE(LEFT(E2242,FIND("º",SUBSTITUTE(E2242,"°","º"))-1)),-1),IF(LEFT(E2242,6)="TÉRREO",0,IFERROR(VALUE(LEFT(E2242,FIND("º",SUBSTITUTE(E2242,"°","º"))-1)),""))))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25210101</v>
      </c>
      <c r="C2243" s="4" t="inlineStr">
        <is>
          <t>METAIS</t>
        </is>
      </c>
      <c r="D2243" s="4" t="inlineStr">
        <is>
          <t>-</t>
        </is>
      </c>
      <c r="E2243" s="4" t="inlineStr">
        <is>
          <t>25º PAV. TIPO</t>
        </is>
      </c>
      <c r="F2243" s="119" t="n">
        <v>47113</v>
      </c>
      <c r="G2243" s="119" t="n">
        <v>47127</v>
      </c>
      <c r="H2243" s="119" t="n">
        <v>46293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IF(E2243="","",IF(ISNUMBER(SEARCH("SUBSOLO",E2243)),IFERROR(-VALUE(LEFT(E2243,FIND("º",SUBSTITUTE(E2243,"°","º"))-1)),-1),IF(LEFT(E2243,6)="TÉRREO",0,IFERROR(VALUE(LEFT(E2243,FIND("º",SUBSTITUTE(E2243,"°","º"))-1)),""))))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25210103</v>
      </c>
      <c r="C2244" s="4" t="inlineStr">
        <is>
          <t>ACABAMENTOS ELÉTRICOS</t>
        </is>
      </c>
      <c r="D2244" s="4" t="inlineStr">
        <is>
          <t>-</t>
        </is>
      </c>
      <c r="E2244" s="4" t="inlineStr">
        <is>
          <t>25º PAV. TIPO</t>
        </is>
      </c>
      <c r="F2244" s="119" t="n">
        <v>47113</v>
      </c>
      <c r="G2244" s="119" t="n">
        <v>47127</v>
      </c>
      <c r="H2244" s="119" t="n">
        <v>46293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IF(E2244="","",IF(ISNUMBER(SEARCH("SUBSOLO",E2244)),IFERROR(-VALUE(LEFT(E2244,FIND("º",SUBSTITUTE(E2244,"°","º"))-1)),-1),IF(LEFT(E2244,6)="TÉRREO",0,IFERROR(VALUE(LEFT(E2244,FIND("º",SUBSTITUTE(E2244,"°","º"))-1)),""))))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27766432</v>
      </c>
      <c r="C2245" s="4" t="inlineStr">
        <is>
          <t>ACABAMENTOS INCÊNDIO</t>
        </is>
      </c>
      <c r="D2245" s="4" t="inlineStr">
        <is>
          <t>-</t>
        </is>
      </c>
      <c r="E2245" s="4" t="inlineStr">
        <is>
          <t>25º PAV. TIPO</t>
        </is>
      </c>
      <c r="F2245" s="119" t="n">
        <v>47113</v>
      </c>
      <c r="G2245" s="119" t="n">
        <v>47127</v>
      </c>
      <c r="H2245" s="119" t="n">
        <v>46293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IF(E2245="","",IF(ISNUMBER(SEARCH("SUBSOLO",E2245)),IFERROR(-VALUE(LEFT(E2245,FIND("º",SUBSTITUTE(E2245,"°","º"))-1)),-1),IF(LEFT(E2245,6)="TÉRREO",0,IFERROR(VALUE(LEFT(E2245,FIND("º",SUBSTITUTE(E2245,"°","º"))-1)),""))))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25210139</v>
      </c>
      <c r="C2246" s="4" t="inlineStr">
        <is>
          <t>LIMPEZA FINA</t>
        </is>
      </c>
      <c r="D2246" s="4" t="inlineStr">
        <is>
          <t>-</t>
        </is>
      </c>
      <c r="E2246" s="4" t="inlineStr">
        <is>
          <t>24º PAV. TIPO</t>
        </is>
      </c>
      <c r="F2246" s="119" t="n">
        <v>47121</v>
      </c>
      <c r="G2246" s="119" t="n">
        <v>47134</v>
      </c>
      <c r="H2246" s="119" t="n">
        <v>46293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IF(E2246="","",IF(ISNUMBER(SEARCH("SUBSOLO",E2246)),IFERROR(-VALUE(LEFT(E2246,FIND("º",SUBSTITUTE(E2246,"°","º"))-1)),-1),IF(LEFT(E2246,6)="TÉRREO",0,IFERROR(VALUE(LEFT(E2246,FIND("º",SUBSTITUTE(E2246,"°","º"))-1)),""))))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27766515</v>
      </c>
      <c r="C2247" s="4" t="inlineStr">
        <is>
          <t>COMUNICAÇÃO VISUAL</t>
        </is>
      </c>
      <c r="D2247" s="4" t="inlineStr">
        <is>
          <t>-</t>
        </is>
      </c>
      <c r="E2247" s="4" t="inlineStr">
        <is>
          <t>24º PAV. TIPO</t>
        </is>
      </c>
      <c r="F2247" s="119" t="n">
        <v>47122</v>
      </c>
      <c r="G2247" s="119" t="n">
        <v>47128</v>
      </c>
      <c r="H2247" s="119" t="n">
        <v>46293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IF(E2247="","",IF(ISNUMBER(SEARCH("SUBSOLO",E2247)),IFERROR(-VALUE(LEFT(E2247,FIND("º",SUBSTITUTE(E2247,"°","º"))-1)),-1),IF(LEFT(E2247,6)="TÉRREO",0,IFERROR(VALUE(LEFT(E2247,FIND("º",SUBSTITUTE(E2247,"°","º"))-1)),""))))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27770729</v>
      </c>
      <c r="C2248" s="4" t="inlineStr">
        <is>
          <t>SERRALHERIA</t>
        </is>
      </c>
      <c r="D2248" s="4" t="inlineStr">
        <is>
          <t>-</t>
        </is>
      </c>
      <c r="E2248" s="4" t="inlineStr">
        <is>
          <t>26º PAV. -  DUPLEX INFERIOR</t>
        </is>
      </c>
      <c r="F2248" s="119" t="n">
        <v>47127</v>
      </c>
      <c r="G2248" s="119" t="n">
        <v>47137</v>
      </c>
      <c r="H2248" s="119" t="n">
        <v>46293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IF(E2248="","",IF(ISNUMBER(SEARCH("SUBSOLO",E2248)),IFERROR(-VALUE(LEFT(E2248,FIND("º",SUBSTITUTE(E2248,"°","º"))-1)),-1),IF(LEFT(E2248,6)="TÉRREO",0,IFERROR(VALUE(LEFT(E2248,FIND("º",SUBSTITUTE(E2248,"°","º"))-1)),""))))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25210102</v>
      </c>
      <c r="C2249" s="4" t="inlineStr">
        <is>
          <t>PINTURA 3º DEMÃO</t>
        </is>
      </c>
      <c r="D2249" s="4" t="inlineStr">
        <is>
          <t>-</t>
        </is>
      </c>
      <c r="E2249" s="4" t="inlineStr">
        <is>
          <t>25º PAV. TIPO</t>
        </is>
      </c>
      <c r="F2249" s="119" t="n">
        <v>47128</v>
      </c>
      <c r="G2249" s="119" t="n">
        <v>47141</v>
      </c>
      <c r="H2249" s="119" t="n">
        <v>46293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IF(E2249="","",IF(ISNUMBER(SEARCH("SUBSOLO",E2249)),IFERROR(-VALUE(LEFT(E2249,FIND("º",SUBSTITUTE(E2249,"°","º"))-1)),-1),IF(LEFT(E2249,6)="TÉRREO",0,IFERROR(VALUE(LEFT(E2249,FIND("º",SUBSTITUTE(E2249,"°","º"))-1)),""))))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27766433</v>
      </c>
      <c r="C2250" s="4" t="inlineStr">
        <is>
          <t>ACABAMENTOS INCÊNDIO</t>
        </is>
      </c>
      <c r="D2250" s="4" t="inlineStr">
        <is>
          <t>-</t>
        </is>
      </c>
      <c r="E2250" s="4" t="inlineStr">
        <is>
          <t>26º PAV. -  DUPLEX INFERIOR</t>
        </is>
      </c>
      <c r="F2250" s="119" t="n">
        <v>47128</v>
      </c>
      <c r="G2250" s="119" t="n">
        <v>47141</v>
      </c>
      <c r="H2250" s="119" t="n">
        <v>46293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IF(E2250="","",IF(ISNUMBER(SEARCH("SUBSOLO",E2250)),IFERROR(-VALUE(LEFT(E2250,FIND("º",SUBSTITUTE(E2250,"°","º"))-1)),-1),IF(LEFT(E2250,6)="TÉRREO",0,IFERROR(VALUE(LEFT(E2250,FIND("º",SUBSTITUTE(E2250,"°","º"))-1)),""))))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25210140</v>
      </c>
      <c r="C2251" s="4" t="inlineStr">
        <is>
          <t>CHECKLIST</t>
        </is>
      </c>
      <c r="D2251" s="4" t="inlineStr">
        <is>
          <t>-</t>
        </is>
      </c>
      <c r="E2251" s="4" t="inlineStr">
        <is>
          <t>24º PAV. TIPO</t>
        </is>
      </c>
      <c r="F2251" s="119" t="n">
        <v>47135</v>
      </c>
      <c r="G2251" s="119" t="n">
        <v>47141</v>
      </c>
      <c r="H2251" s="119" t="n">
        <v>46293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IF(E2251="","",IF(ISNUMBER(SEARCH("SUBSOLO",E2251)),IFERROR(-VALUE(LEFT(E2251,FIND("º",SUBSTITUTE(E2251,"°","º"))-1)),-1),IF(LEFT(E2251,6)="TÉRREO",0,IFERROR(VALUE(LEFT(E2251,FIND("º",SUBSTITUTE(E2251,"°","º"))-1)),""))))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27770730</v>
      </c>
      <c r="C2252" s="4" t="inlineStr">
        <is>
          <t>SERRALHERIA</t>
        </is>
      </c>
      <c r="D2252" s="4" t="inlineStr">
        <is>
          <t>-</t>
        </is>
      </c>
      <c r="E2252" s="4" t="inlineStr">
        <is>
          <t>27º PAV. -  DUPLEX SUPERIOR</t>
        </is>
      </c>
      <c r="F2252" s="119" t="n">
        <v>47140</v>
      </c>
      <c r="G2252" s="119" t="n">
        <v>47150</v>
      </c>
      <c r="H2252" s="119" t="n">
        <v>46293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IF(E2252="","",IF(ISNUMBER(SEARCH("SUBSOLO",E2252)),IFERROR(-VALUE(LEFT(E2252,FIND("º",SUBSTITUTE(E2252,"°","º"))-1)),-1),IF(LEFT(E2252,6)="TÉRREO",0,IFERROR(VALUE(LEFT(E2252,FIND("º",SUBSTITUTE(E2252,"°","º"))-1)),""))))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25210104</v>
      </c>
      <c r="C2253" s="4" t="inlineStr">
        <is>
          <t>LIMPEZA FINA</t>
        </is>
      </c>
      <c r="D2253" s="4" t="inlineStr">
        <is>
          <t>-</t>
        </is>
      </c>
      <c r="E2253" s="4" t="inlineStr">
        <is>
          <t>25º PAV. TIPO</t>
        </is>
      </c>
      <c r="F2253" s="119" t="n">
        <v>47142</v>
      </c>
      <c r="G2253" s="119" t="n">
        <v>47155</v>
      </c>
      <c r="H2253" s="119" t="n">
        <v>46293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IF(E2253="","",IF(ISNUMBER(SEARCH("SUBSOLO",E2253)),IFERROR(-VALUE(LEFT(E2253,FIND("º",SUBSTITUTE(E2253,"°","º"))-1)),-1),IF(LEFT(E2253,6)="TÉRREO",0,IFERROR(VALUE(LEFT(E2253,FIND("º",SUBSTITUTE(E2253,"°","º"))-1)),""))))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27766434</v>
      </c>
      <c r="C2254" s="4" t="inlineStr">
        <is>
          <t>ACABAMENTOS INCÊNDIO</t>
        </is>
      </c>
      <c r="D2254" s="4" t="inlineStr">
        <is>
          <t>-</t>
        </is>
      </c>
      <c r="E2254" s="4" t="inlineStr">
        <is>
          <t>27º PAV. -  DUPLEX SUPERIOR</t>
        </is>
      </c>
      <c r="F2254" s="119" t="n">
        <v>47142</v>
      </c>
      <c r="G2254" s="119" t="n">
        <v>47155</v>
      </c>
      <c r="H2254" s="119" t="n">
        <v>46293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IF(E2254="","",IF(ISNUMBER(SEARCH("SUBSOLO",E2254)),IFERROR(-VALUE(LEFT(E2254,FIND("º",SUBSTITUTE(E2254,"°","º"))-1)),-1),IF(LEFT(E2254,6)="TÉRREO",0,IFERROR(VALUE(LEFT(E2254,FIND("º",SUBSTITUTE(E2254,"°","º"))-1)),""))))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27766516</v>
      </c>
      <c r="C2255" s="4" t="inlineStr">
        <is>
          <t>COMUNICAÇÃO VISUAL</t>
        </is>
      </c>
      <c r="D2255" s="4" t="inlineStr">
        <is>
          <t>-</t>
        </is>
      </c>
      <c r="E2255" s="4" t="inlineStr">
        <is>
          <t>25º PAV. TIPO</t>
        </is>
      </c>
      <c r="F2255" s="119" t="n">
        <v>47143</v>
      </c>
      <c r="G2255" s="119" t="n">
        <v>47149</v>
      </c>
      <c r="H2255" s="119" t="n">
        <v>46293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IF(E2255="","",IF(ISNUMBER(SEARCH("SUBSOLO",E2255)),IFERROR(-VALUE(LEFT(E2255,FIND("º",SUBSTITUTE(E2255,"°","º"))-1)),-1),IF(LEFT(E2255,6)="TÉRREO",0,IFERROR(VALUE(LEFT(E2255,FIND("º",SUBSTITUTE(E2255,"°","º"))-1)),""))))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27766517</v>
      </c>
      <c r="C2256" s="4" t="inlineStr">
        <is>
          <t>COMUNICAÇÃO VISUAL</t>
        </is>
      </c>
      <c r="D2256" s="4" t="inlineStr">
        <is>
          <t>-</t>
        </is>
      </c>
      <c r="E2256" s="4" t="inlineStr">
        <is>
          <t>26º PAV. -  DUPLEX INFERIOR</t>
        </is>
      </c>
      <c r="F2256" s="119" t="n">
        <v>47150</v>
      </c>
      <c r="G2256" s="119" t="n">
        <v>47156</v>
      </c>
      <c r="H2256" s="119" t="n">
        <v>46293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IF(E2256="","",IF(ISNUMBER(SEARCH("SUBSOLO",E2256)),IFERROR(-VALUE(LEFT(E2256,FIND("º",SUBSTITUTE(E2256,"°","º"))-1)),-1),IF(LEFT(E2256,6)="TÉRREO",0,IFERROR(VALUE(LEFT(E2256,FIND("º",SUBSTITUTE(E2256,"°","º"))-1)),""))))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25210105</v>
      </c>
      <c r="C2257" s="4" t="inlineStr">
        <is>
          <t>CHECKLIST</t>
        </is>
      </c>
      <c r="D2257" s="4" t="inlineStr">
        <is>
          <t>-</t>
        </is>
      </c>
      <c r="E2257" s="4" t="inlineStr">
        <is>
          <t>25º PAV. TIPO</t>
        </is>
      </c>
      <c r="F2257" s="119" t="n">
        <v>47156</v>
      </c>
      <c r="G2257" s="119" t="n">
        <v>47162</v>
      </c>
      <c r="H2257" s="119" t="n">
        <v>46293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IF(E2257="","",IF(ISNUMBER(SEARCH("SUBSOLO",E2257)),IFERROR(-VALUE(LEFT(E2257,FIND("º",SUBSTITUTE(E2257,"°","º"))-1)),-1),IF(LEFT(E2257,6)="TÉRREO",0,IFERROR(VALUE(LEFT(E2257,FIND("º",SUBSTITUTE(E2257,"°","º"))-1)),""))))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M2258" s="2">
        <f>IF(C2258="","",IFERROR(INDEX($S$5:$S$304,MATCH(C2258,$R$5:$R$304,0))&amp;"","?"))</f>
        <v/>
      </c>
      <c r="N2258" s="2">
        <f>IF(E2258="","",IF(ISNUMBER(SEARCH("SUBSOLO",E2258)),IFERROR(-VALUE(LEFT(E2258,FIND("º",SUBSTITUTE(E2258,"°","º"))-1)),-1),IF(LEFT(E2258,6)="TÉRREO",0,IFERROR(VALUE(LEFT(E2258,FIND("º",SUBSTITUTE(E2258,"°","º"))-1)),""))))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M2259" s="2">
        <f>IF(C2259="","",IFERROR(INDEX($S$5:$S$304,MATCH(C2259,$R$5:$R$304,0))&amp;"","?"))</f>
        <v/>
      </c>
      <c r="N2259" s="2">
        <f>IF(E2259="","",IF(ISNUMBER(SEARCH("SUBSOLO",E2259)),IFERROR(-VALUE(LEFT(E2259,FIND("º",SUBSTITUTE(E2259,"°","º"))-1)),-1),IF(LEFT(E2259,6)="TÉRREO",0,IFERROR(VALUE(LEFT(E2259,FIND("º",SUBSTITUTE(E2259,"°","º"))-1)),""))))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M2260" s="2">
        <f>IF(C2260="","",IFERROR(INDEX($S$5:$S$304,MATCH(C2260,$R$5:$R$304,0))&amp;"","?"))</f>
        <v/>
      </c>
      <c r="N2260" s="2">
        <f>IF(E2260="","",IF(ISNUMBER(SEARCH("SUBSOLO",E2260)),IFERROR(-VALUE(LEFT(E2260,FIND("º",SUBSTITUTE(E2260,"°","º"))-1)),-1),IF(LEFT(E2260,6)="TÉRREO",0,IFERROR(VALUE(LEFT(E2260,FIND("º",SUBSTITUTE(E2260,"°","º"))-1)),""))))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M2261" s="2">
        <f>IF(C2261="","",IFERROR(INDEX($S$5:$S$304,MATCH(C2261,$R$5:$R$304,0))&amp;"","?"))</f>
        <v/>
      </c>
      <c r="N2261" s="2">
        <f>IF(E2261="","",IF(ISNUMBER(SEARCH("SUBSOLO",E2261)),IFERROR(-VALUE(LEFT(E2261,FIND("º",SUBSTITUTE(E2261,"°","º"))-1)),-1),IF(LEFT(E2261,6)="TÉRREO",0,IFERROR(VALUE(LEFT(E2261,FIND("º",SUBSTITUTE(E2261,"°","º"))-1)),""))))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M2262" s="2">
        <f>IF(C2262="","",IFERROR(INDEX($S$5:$S$304,MATCH(C2262,$R$5:$R$304,0))&amp;"","?"))</f>
        <v/>
      </c>
      <c r="N2262" s="2">
        <f>IF(E2262="","",IF(ISNUMBER(SEARCH("SUBSOLO",E2262)),IFERROR(-VALUE(LEFT(E2262,FIND("º",SUBSTITUTE(E2262,"°","º"))-1)),-1),IF(LEFT(E2262,6)="TÉRREO",0,IFERROR(VALUE(LEFT(E2262,FIND("º",SUBSTITUTE(E2262,"°","º"))-1)),""))))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M2263" s="2">
        <f>IF(C2263="","",IFERROR(INDEX($S$5:$S$304,MATCH(C2263,$R$5:$R$304,0))&amp;"","?"))</f>
        <v/>
      </c>
      <c r="N2263" s="2">
        <f>IF(E2263="","",IF(ISNUMBER(SEARCH("SUBSOLO",E2263)),IFERROR(-VALUE(LEFT(E2263,FIND("º",SUBSTITUTE(E2263,"°","º"))-1)),-1),IF(LEFT(E2263,6)="TÉRREO",0,IFERROR(VALUE(LEFT(E2263,FIND("º",SUBSTITUTE(E2263,"°","º"))-1)),""))))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M2264" s="2">
        <f>IF(C2264="","",IFERROR(INDEX($S$5:$S$304,MATCH(C2264,$R$5:$R$304,0))&amp;"","?"))</f>
        <v/>
      </c>
      <c r="N2264" s="2">
        <f>IF(E2264="","",IF(ISNUMBER(SEARCH("SUBSOLO",E2264)),IFERROR(-VALUE(LEFT(E2264,FIND("º",SUBSTITUTE(E2264,"°","º"))-1)),-1),IF(LEFT(E2264,6)="TÉRREO",0,IFERROR(VALUE(LEFT(E2264,FIND("º",SUBSTITUTE(E2264,"°","º"))-1)),""))))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M2265" s="2">
        <f>IF(C2265="","",IFERROR(INDEX($S$5:$S$304,MATCH(C2265,$R$5:$R$304,0))&amp;"","?"))</f>
        <v/>
      </c>
      <c r="N2265" s="2">
        <f>IF(E2265="","",IF(ISNUMBER(SEARCH("SUBSOLO",E2265)),IFERROR(-VALUE(LEFT(E2265,FIND("º",SUBSTITUTE(E2265,"°","º"))-1)),-1),IF(LEFT(E2265,6)="TÉRREO",0,IFERROR(VALUE(LEFT(E2265,FIND("º",SUBSTITUTE(E2265,"°","º"))-1)),""))))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M2266" s="2">
        <f>IF(C2266="","",IFERROR(INDEX($S$5:$S$304,MATCH(C2266,$R$5:$R$304,0))&amp;"","?"))</f>
        <v/>
      </c>
      <c r="N2266" s="2">
        <f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M2267" s="2">
        <f>IF(C2267="","",IFERROR(INDEX($S$5:$S$304,MATCH(C2267,$R$5:$R$304,0))&amp;"","?"))</f>
        <v/>
      </c>
      <c r="N2267" s="2">
        <f>IF(E2267="","",IF(ISNUMBER(SEARCH("SUBSOLO",E2267)),IFERROR(-VALUE(LEFT(E2267,FIND("º",SUBSTITUTE(E2267,"°","º"))-1)),-1),IF(LEFT(E2267,6)="TÉRREO",0,IFERROR(VALUE(LEFT(E2267,FIND("º",SUBSTITUTE(E2267,"°","º"))-1)),""))))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M2268" s="2">
        <f>IF(C2268="","",IFERROR(INDEX($S$5:$S$304,MATCH(C2268,$R$5:$R$304,0))&amp;"","?"))</f>
        <v/>
      </c>
      <c r="N2268" s="2">
        <f>IF(E2268="","",IF(ISNUMBER(SEARCH("SUBSOLO",E2268)),IFERROR(-VALUE(LEFT(E2268,FIND("º",SUBSTITUTE(E2268,"°","º"))-1)),-1),IF(LEFT(E2268,6)="TÉRREO",0,IFERROR(VALUE(LEFT(E2268,FIND("º",SUBSTITUTE(E2268,"°","º"))-1)),""))))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M2269" s="2">
        <f>IF(C2269="","",IFERROR(INDEX($S$5:$S$304,MATCH(C2269,$R$5:$R$304,0))&amp;"","?"))</f>
        <v/>
      </c>
      <c r="N2269" s="2">
        <f>IF(E2269="","",IF(ISNUMBER(SEARCH("SUBSOLO",E2269)),IFERROR(-VALUE(LEFT(E2269,FIND("º",SUBSTITUTE(E2269,"°","º"))-1)),-1),IF(LEFT(E2269,6)="TÉRREO",0,IFERROR(VALUE(LEFT(E2269,FIND("º",SUBSTITUTE(E2269,"°","º"))-1)),""))))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M2270" s="2">
        <f>IF(C2270="","",IFERROR(INDEX($S$5:$S$304,MATCH(C2270,$R$5:$R$304,0))&amp;"","?"))</f>
        <v/>
      </c>
      <c r="N2270" s="2">
        <f>IF(E2270="","",IF(ISNUMBER(SEARCH("SUBSOLO",E2270)),IFERROR(-VALUE(LEFT(E2270,FIND("º",SUBSTITUTE(E2270,"°","º"))-1)),-1),IF(LEFT(E2270,6)="TÉRREO",0,IFERROR(VALUE(LEFT(E2270,FIND("º",SUBSTITUTE(E2270,"°","º"))-1)),""))))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M2271" s="2">
        <f>IF(C2271="","",IFERROR(INDEX($S$5:$S$304,MATCH(C2271,$R$5:$R$304,0))&amp;"","?"))</f>
        <v/>
      </c>
      <c r="N2271" s="2">
        <f>IF(E2271="","",IF(ISNUMBER(SEARCH("SUBSOLO",E2271)),IFERROR(-VALUE(LEFT(E2271,FIND("º",SUBSTITUTE(E2271,"°","º"))-1)),-1),IF(LEFT(E2271,6)="TÉRREO",0,IFERROR(VALUE(LEFT(E2271,FIND("º",SUBSTITUTE(E2271,"°","º"))-1)),""))))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M2272" s="2">
        <f>IF(C2272="","",IFERROR(INDEX($S$5:$S$304,MATCH(C2272,$R$5:$R$304,0))&amp;"","?"))</f>
        <v/>
      </c>
      <c r="N2272" s="2">
        <f>IF(E2272="","",IF(ISNUMBER(SEARCH("SUBSOLO",E2272)),IFERROR(-VALUE(LEFT(E2272,FIND("º",SUBSTITUTE(E2272,"°","º"))-1)),-1),IF(LEFT(E2272,6)="TÉRREO",0,IFERROR(VALUE(LEFT(E2272,FIND("º",SUBSTITUTE(E2272,"°","º"))-1)),""))))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M2273" s="2">
        <f>IF(C2273="","",IFERROR(INDEX($S$5:$S$304,MATCH(C2273,$R$5:$R$304,0))&amp;"","?"))</f>
        <v/>
      </c>
      <c r="N2273" s="2">
        <f>IF(E2273="","",IF(ISNUMBER(SEARCH("SUBSOLO",E2273)),IFERROR(-VALUE(LEFT(E2273,FIND("º",SUBSTITUTE(E2273,"°","º"))-1)),-1),IF(LEFT(E2273,6)="TÉRREO",0,IFERROR(VALUE(LEFT(E2273,FIND("º",SUBSTITUTE(E2273,"°","º"))-1)),""))))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M2274" s="2">
        <f>IF(C2274="","",IFERROR(INDEX($S$5:$S$304,MATCH(C2274,$R$5:$R$304,0))&amp;"","?"))</f>
        <v/>
      </c>
      <c r="N2274" s="2">
        <f>IF(E2274="","",IF(ISNUMBER(SEARCH("SUBSOLO",E2274)),IFERROR(-VALUE(LEFT(E2274,FIND("º",SUBSTITUTE(E2274,"°","º"))-1)),-1),IF(LEFT(E2274,6)="TÉRREO",0,IFERROR(VALUE(LEFT(E2274,FIND("º",SUBSTITUTE(E2274,"°","º"))-1)),""))))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M2275" s="2">
        <f>IF(C2275="","",IFERROR(INDEX($S$5:$S$304,MATCH(C2275,$R$5:$R$304,0))&amp;"","?"))</f>
        <v/>
      </c>
      <c r="N2275" s="2">
        <f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M2276" s="2">
        <f>IF(C2276="","",IFERROR(INDEX($S$5:$S$304,MATCH(C2276,$R$5:$R$304,0))&amp;"","?"))</f>
        <v/>
      </c>
      <c r="N2276" s="2">
        <f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M2277" s="2">
        <f>IF(C2277="","",IFERROR(INDEX($S$5:$S$304,MATCH(C2277,$R$5:$R$304,0))&amp;"","?"))</f>
        <v/>
      </c>
      <c r="N2277" s="2">
        <f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M2278" s="2">
        <f>IF(C2278="","",IFERROR(INDEX($S$5:$S$304,MATCH(C2278,$R$5:$R$304,0))&amp;"","?"))</f>
        <v/>
      </c>
      <c r="N2278" s="2">
        <f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M2279" s="2">
        <f>IF(C2279="","",IFERROR(INDEX($S$5:$S$304,MATCH(C2279,$R$5:$R$304,0))&amp;"","?"))</f>
        <v/>
      </c>
      <c r="N2279" s="2">
        <f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M2280" s="2">
        <f>IF(C2280="","",IFERROR(INDEX($S$5:$S$304,MATCH(C2280,$R$5:$R$304,0))&amp;"","?"))</f>
        <v/>
      </c>
      <c r="N2280" s="2">
        <f>IF(E2280="","",IF(ISNUMBER(SEARCH("SUBSOLO",E2280)),IFERROR(-VALUE(LEFT(E2280,FIND("º",SUBSTITUTE(E2280,"°","º"))-1)),-1),IF(LEFT(E2280,6)="TÉRREO",0,IFERROR(VALUE(LEFT(E2280,FIND("º",SUBSTITUTE(E2280,"°","º"))-1)),""))))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M2281" s="2">
        <f>IF(C2281="","",IFERROR(INDEX($S$5:$S$304,MATCH(C2281,$R$5:$R$304,0))&amp;"","?"))</f>
        <v/>
      </c>
      <c r="N2281" s="2">
        <f>IF(E2281="","",IF(ISNUMBER(SEARCH("SUBSOLO",E2281)),IFERROR(-VALUE(LEFT(E2281,FIND("º",SUBSTITUTE(E2281,"°","º"))-1)),-1),IF(LEFT(E2281,6)="TÉRREO",0,IFERROR(VALUE(LEFT(E2281,FIND("º",SUBSTITUTE(E2281,"°","º"))-1)),""))))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M2282" s="2">
        <f>IF(C2282="","",IFERROR(INDEX($S$5:$S$304,MATCH(C2282,$R$5:$R$304,0))&amp;"","?"))</f>
        <v/>
      </c>
      <c r="N2282" s="2">
        <f>IF(E2282="","",IF(ISNUMBER(SEARCH("SUBSOLO",E2282)),IFERROR(-VALUE(LEFT(E2282,FIND("º",SUBSTITUTE(E2282,"°","º"))-1)),-1),IF(LEFT(E2282,6)="TÉRREO",0,IFERROR(VALUE(LEFT(E2282,FIND("º",SUBSTITUTE(E2282,"°","º"))-1)),""))))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M2283" s="2">
        <f>IF(C2283="","",IFERROR(INDEX($S$5:$S$304,MATCH(C2283,$R$5:$R$304,0))&amp;"","?"))</f>
        <v/>
      </c>
      <c r="N2283" s="2">
        <f>IF(E2283="","",IF(ISNUMBER(SEARCH("SUBSOLO",E2283)),IFERROR(-VALUE(LEFT(E2283,FIND("º",SUBSTITUTE(E2283,"°","º"))-1)),-1),IF(LEFT(E2283,6)="TÉRREO",0,IFERROR(VALUE(LEFT(E2283,FIND("º",SUBSTITUTE(E2283,"°","º"))-1)),""))))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M2284" s="2">
        <f>IF(C2284="","",IFERROR(INDEX($S$5:$S$304,MATCH(C2284,$R$5:$R$304,0))&amp;"","?"))</f>
        <v/>
      </c>
      <c r="N2284" s="2">
        <f>IF(E2284="","",IF(ISNUMBER(SEARCH("SUBSOLO",E2284)),IFERROR(-VALUE(LEFT(E2284,FIND("º",SUBSTITUTE(E2284,"°","º"))-1)),-1),IF(LEFT(E2284,6)="TÉRREO",0,IFERROR(VALUE(LEFT(E2284,FIND("º",SUBSTITUTE(E2284,"°","º"))-1)),""))))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M2285" s="2">
        <f>IF(C2285="","",IFERROR(INDEX($S$5:$S$304,MATCH(C2285,$R$5:$R$304,0))&amp;"","?"))</f>
        <v/>
      </c>
      <c r="N2285" s="2">
        <f>IF(E2285="","",IF(ISNUMBER(SEARCH("SUBSOLO",E2285)),IFERROR(-VALUE(LEFT(E2285,FIND("º",SUBSTITUTE(E2285,"°","º"))-1)),-1),IF(LEFT(E2285,6)="TÉRREO",0,IFERROR(VALUE(LEFT(E2285,FIND("º",SUBSTITUTE(E2285,"°","º"))-1)),""))))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M2286" s="2">
        <f>IF(C2286="","",IFERROR(INDEX($S$5:$S$304,MATCH(C2286,$R$5:$R$304,0))&amp;"","?"))</f>
        <v/>
      </c>
      <c r="N2286" s="2">
        <f>IF(E2286="","",IF(ISNUMBER(SEARCH("SUBSOLO",E2286)),IFERROR(-VALUE(LEFT(E2286,FIND("º",SUBSTITUTE(E2286,"°","º"))-1)),-1),IF(LEFT(E2286,6)="TÉRREO",0,IFERROR(VALUE(LEFT(E2286,FIND("º",SUBSTITUTE(E2286,"°","º"))-1)),""))))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M2287" s="2">
        <f>IF(C2287="","",IFERROR(INDEX($S$5:$S$304,MATCH(C2287,$R$5:$R$304,0))&amp;"","?"))</f>
        <v/>
      </c>
      <c r="N2287" s="2">
        <f>IF(E2287="","",IF(ISNUMBER(SEARCH("SUBSOLO",E2287)),IFERROR(-VALUE(LEFT(E2287,FIND("º",SUBSTITUTE(E2287,"°","º"))-1)),-1),IF(LEFT(E2287,6)="TÉRREO",0,IFERROR(VALUE(LEFT(E2287,FIND("º",SUBSTITUTE(E2287,"°","º"))-1)),""))))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M2288" s="2">
        <f>IF(C2288="","",IFERROR(INDEX($S$5:$S$304,MATCH(C2288,$R$5:$R$304,0))&amp;"","?"))</f>
        <v/>
      </c>
      <c r="N2288" s="2">
        <f>IF(E2288="","",IF(ISNUMBER(SEARCH("SUBSOLO",E2288)),IFERROR(-VALUE(LEFT(E2288,FIND("º",SUBSTITUTE(E2288,"°","º"))-1)),-1),IF(LEFT(E2288,6)="TÉRREO",0,IFERROR(VALUE(LEFT(E2288,FIND("º",SUBSTITUTE(E2288,"°","º"))-1)),""))))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M2289" s="2">
        <f>IF(C2289="","",IFERROR(INDEX($S$5:$S$304,MATCH(C2289,$R$5:$R$304,0))&amp;"","?"))</f>
        <v/>
      </c>
      <c r="N2289" s="2">
        <f>IF(E2289="","",IF(ISNUMBER(SEARCH("SUBSOLO",E2289)),IFERROR(-VALUE(LEFT(E2289,FIND("º",SUBSTITUTE(E2289,"°","º"))-1)),-1),IF(LEFT(E2289,6)="TÉRREO",0,IFERROR(VALUE(LEFT(E2289,FIND("º",SUBSTITUTE(E2289,"°","º"))-1)),""))))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M2290" s="2">
        <f>IF(C2290="","",IFERROR(INDEX($S$5:$S$304,MATCH(C2290,$R$5:$R$304,0))&amp;"","?"))</f>
        <v/>
      </c>
      <c r="N2290" s="2">
        <f>IF(E2290="","",IF(ISNUMBER(SEARCH("SUBSOLO",E2290)),IFERROR(-VALUE(LEFT(E2290,FIND("º",SUBSTITUTE(E2290,"°","º"))-1)),-1),IF(LEFT(E2290,6)="TÉRREO",0,IFERROR(VALUE(LEFT(E2290,FIND("º",SUBSTITUTE(E2290,"°","º"))-1)),""))))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M2291" s="2">
        <f>IF(C2291="","",IFERROR(INDEX($S$5:$S$304,MATCH(C2291,$R$5:$R$304,0))&amp;"","?"))</f>
        <v/>
      </c>
      <c r="N2291" s="2">
        <f>IF(E2291="","",IF(ISNUMBER(SEARCH("SUBSOLO",E2291)),IFERROR(-VALUE(LEFT(E2291,FIND("º",SUBSTITUTE(E2291,"°","º"))-1)),-1),IF(LEFT(E2291,6)="TÉRREO",0,IFERROR(VALUE(LEFT(E2291,FIND("º",SUBSTITUTE(E2291,"°","º"))-1)),""))))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M2292" s="2">
        <f>IF(C2292="","",IFERROR(INDEX($S$5:$S$304,MATCH(C2292,$R$5:$R$304,0))&amp;"","?"))</f>
        <v/>
      </c>
      <c r="N2292" s="2">
        <f>IF(E2292="","",IF(ISNUMBER(SEARCH("SUBSOLO",E2292)),IFERROR(-VALUE(LEFT(E2292,FIND("º",SUBSTITUTE(E2292,"°","º"))-1)),-1),IF(LEFT(E2292,6)="TÉRREO",0,IFERROR(VALUE(LEFT(E2292,FIND("º",SUBSTITUTE(E2292,"°","º"))-1)),""))))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M2293" s="2">
        <f>IF(C2293="","",IFERROR(INDEX($S$5:$S$304,MATCH(C2293,$R$5:$R$304,0))&amp;"","?"))</f>
        <v/>
      </c>
      <c r="N2293" s="2">
        <f>IF(E2293="","",IF(ISNUMBER(SEARCH("SUBSOLO",E2293)),IFERROR(-VALUE(LEFT(E2293,FIND("º",SUBSTITUTE(E2293,"°","º"))-1)),-1),IF(LEFT(E2293,6)="TÉRREO",0,IFERROR(VALUE(LEFT(E2293,FIND("º",SUBSTITUTE(E2293,"°","º"))-1)),""))))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M2294" s="2">
        <f>IF(C2294="","",IFERROR(INDEX($S$5:$S$304,MATCH(C2294,$R$5:$R$304,0))&amp;"","?"))</f>
        <v/>
      </c>
      <c r="N2294" s="2">
        <f>IF(E2294="","",IF(ISNUMBER(SEARCH("SUBSOLO",E2294)),IFERROR(-VALUE(LEFT(E2294,FIND("º",SUBSTITUTE(E2294,"°","º"))-1)),-1),IF(LEFT(E2294,6)="TÉRREO",0,IFERROR(VALUE(LEFT(E2294,FIND("º",SUBSTITUTE(E2294,"°","º"))-1)),""))))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M2295" s="2">
        <f>IF(C2295="","",IFERROR(INDEX($S$5:$S$304,MATCH(C2295,$R$5:$R$304,0))&amp;"","?"))</f>
        <v/>
      </c>
      <c r="N2295" s="2">
        <f>IF(E2295="","",IF(ISNUMBER(SEARCH("SUBSOLO",E2295)),IFERROR(-VALUE(LEFT(E2295,FIND("º",SUBSTITUTE(E2295,"°","º"))-1)),-1),IF(LEFT(E2295,6)="TÉRREO",0,IFERROR(VALUE(LEFT(E2295,FIND("º",SUBSTITUTE(E2295,"°","º"))-1)),""))))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M2296" s="2">
        <f>IF(C2296="","",IFERROR(INDEX($S$5:$S$304,MATCH(C2296,$R$5:$R$304,0))&amp;"","?"))</f>
        <v/>
      </c>
      <c r="N2296" s="2">
        <f>IF(E2296="","",IF(ISNUMBER(SEARCH("SUBSOLO",E2296)),IFERROR(-VALUE(LEFT(E2296,FIND("º",SUBSTITUTE(E2296,"°","º"))-1)),-1),IF(LEFT(E2296,6)="TÉRREO",0,IFERROR(VALUE(LEFT(E2296,FIND("º",SUBSTITUTE(E2296,"°","º"))-1)),""))))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M2297" s="2">
        <f>IF(C2297="","",IFERROR(INDEX($S$5:$S$304,MATCH(C2297,$R$5:$R$304,0))&amp;"","?"))</f>
        <v/>
      </c>
      <c r="N2297" s="2">
        <f>IF(E2297="","",IF(ISNUMBER(SEARCH("SUBSOLO",E2297)),IFERROR(-VALUE(LEFT(E2297,FIND("º",SUBSTITUTE(E2297,"°","º"))-1)),-1),IF(LEFT(E2297,6)="TÉRREO",0,IFERROR(VALUE(LEFT(E2297,FIND("º",SUBSTITUTE(E2297,"°","º"))-1)),""))))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M2298" s="2">
        <f>IF(C2298="","",IFERROR(INDEX($S$5:$S$304,MATCH(C2298,$R$5:$R$304,0))&amp;"","?"))</f>
        <v/>
      </c>
      <c r="N2298" s="2">
        <f>IF(E2298="","",IF(ISNUMBER(SEARCH("SUBSOLO",E2298)),IFERROR(-VALUE(LEFT(E2298,FIND("º",SUBSTITUTE(E2298,"°","º"))-1)),-1),IF(LEFT(E2298,6)="TÉRREO",0,IFERROR(VALUE(LEFT(E2298,FIND("º",SUBSTITUTE(E2298,"°","º"))-1)),""))))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M2299" s="2">
        <f>IF(C2299="","",IFERROR(INDEX($S$5:$S$304,MATCH(C2299,$R$5:$R$304,0))&amp;"","?"))</f>
        <v/>
      </c>
      <c r="N2299" s="2">
        <f>IF(E2299="","",IF(ISNUMBER(SEARCH("SUBSOLO",E2299)),IFERROR(-VALUE(LEFT(E2299,FIND("º",SUBSTITUTE(E2299,"°","º"))-1)),-1),IF(LEFT(E2299,6)="TÉRREO",0,IFERROR(VALUE(LEFT(E2299,FIND("º",SUBSTITUTE(E2299,"°","º"))-1)),""))))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M2300" s="2">
        <f>IF(C2300="","",IFERROR(INDEX($S$5:$S$304,MATCH(C2300,$R$5:$R$304,0))&amp;"","?"))</f>
        <v/>
      </c>
      <c r="N2300" s="2">
        <f>IF(E2300="","",IF(ISNUMBER(SEARCH("SUBSOLO",E2300)),IFERROR(-VALUE(LEFT(E2300,FIND("º",SUBSTITUTE(E2300,"°","º"))-1)),-1),IF(LEFT(E2300,6)="TÉRREO",0,IFERROR(VALUE(LEFT(E2300,FIND("º",SUBSTITUTE(E2300,"°","º"))-1)),""))))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M2301" s="2">
        <f>IF(C2301="","",IFERROR(INDEX($S$5:$S$304,MATCH(C2301,$R$5:$R$304,0))&amp;"","?"))</f>
        <v/>
      </c>
      <c r="N2301" s="2">
        <f>IF(E2301="","",IF(ISNUMBER(SEARCH("SUBSOLO",E2301)),IFERROR(-VALUE(LEFT(E2301,FIND("º",SUBSTITUTE(E2301,"°","º"))-1)),-1),IF(LEFT(E2301,6)="TÉRREO",0,IFERROR(VALUE(LEFT(E2301,FIND("º",SUBSTITUTE(E2301,"°","º"))-1)),""))))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M2302" s="2">
        <f>IF(C2302="","",IFERROR(INDEX($S$5:$S$304,MATCH(C2302,$R$5:$R$304,0))&amp;"","?"))</f>
        <v/>
      </c>
      <c r="N2302" s="2">
        <f>IF(E2302="","",IF(ISNUMBER(SEARCH("SUBSOLO",E2302)),IFERROR(-VALUE(LEFT(E2302,FIND("º",SUBSTITUTE(E2302,"°","º"))-1)),-1),IF(LEFT(E2302,6)="TÉRREO",0,IFERROR(VALUE(LEFT(E2302,FIND("º",SUBSTITUTE(E2302,"°","º"))-1)),""))))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M2303" s="2">
        <f>IF(C2303="","",IFERROR(INDEX($S$5:$S$304,MATCH(C2303,$R$5:$R$304,0))&amp;"","?"))</f>
        <v/>
      </c>
      <c r="N2303" s="2">
        <f>IF(E2303="","",IF(ISNUMBER(SEARCH("SUBSOLO",E2303)),IFERROR(-VALUE(LEFT(E2303,FIND("º",SUBSTITUTE(E2303,"°","º"))-1)),-1),IF(LEFT(E2303,6)="TÉRREO",0,IFERROR(VALUE(LEFT(E2303,FIND("º",SUBSTITUTE(E2303,"°","º"))-1)),""))))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M2304" s="2">
        <f>IF(C2304="","",IFERROR(INDEX($S$5:$S$304,MATCH(C2304,$R$5:$R$304,0))&amp;"","?"))</f>
        <v/>
      </c>
      <c r="N2304" s="2">
        <f>IF(E2304="","",IF(ISNUMBER(SEARCH("SUBSOLO",E2304)),IFERROR(-VALUE(LEFT(E2304,FIND("º",SUBSTITUTE(E2304,"°","º"))-1)),-1),IF(LEFT(E2304,6)="TÉRREO",0,IFERROR(VALUE(LEFT(E2304,FIND("º",SUBSTITUTE(E2304,"°","º"))-1)),""))))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M2305" s="2">
        <f>IF(C2305="","",IFERROR(INDEX($S$5:$S$304,MATCH(C2305,$R$5:$R$304,0))&amp;"","?"))</f>
        <v/>
      </c>
      <c r="N2305" s="2">
        <f>IF(E2305="","",IF(ISNUMBER(SEARCH("SUBSOLO",E2305)),IFERROR(-VALUE(LEFT(E2305,FIND("º",SUBSTITUTE(E2305,"°","º"))-1)),-1),IF(LEFT(E2305,6)="TÉRREO",0,IFERROR(VALUE(LEFT(E2305,FIND("º",SUBSTITUTE(E2305,"°","º"))-1)),""))))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M2306" s="2">
        <f>IF(C2306="","",IFERROR(INDEX($S$5:$S$304,MATCH(C2306,$R$5:$R$304,0))&amp;"","?"))</f>
        <v/>
      </c>
      <c r="N2306" s="2">
        <f>IF(E2306="","",IF(ISNUMBER(SEARCH("SUBSOLO",E2306)),IFERROR(-VALUE(LEFT(E2306,FIND("º",SUBSTITUTE(E2306,"°","º"))-1)),-1),IF(LEFT(E2306,6)="TÉRREO",0,IFERROR(VALUE(LEFT(E2306,FIND("º",SUBSTITUTE(E2306,"°","º"))-1)),""))))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M2307" s="2">
        <f>IF(C2307="","",IFERROR(INDEX($S$5:$S$304,MATCH(C2307,$R$5:$R$304,0))&amp;"","?"))</f>
        <v/>
      </c>
      <c r="N2307" s="2">
        <f>IF(E2307="","",IF(ISNUMBER(SEARCH("SUBSOLO",E2307)),IFERROR(-VALUE(LEFT(E2307,FIND("º",SUBSTITUTE(E2307,"°","º"))-1)),-1),IF(LEFT(E2307,6)="TÉRREO",0,IFERROR(VALUE(LEFT(E2307,FIND("º",SUBSTITUTE(E2307,"°","º"))-1)),""))))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M2308" s="2">
        <f>IF(C2308="","",IFERROR(INDEX($S$5:$S$304,MATCH(C2308,$R$5:$R$304,0))&amp;"","?"))</f>
        <v/>
      </c>
      <c r="N2308" s="2">
        <f>IF(E2308="","",IF(ISNUMBER(SEARCH("SUBSOLO",E2308)),IFERROR(-VALUE(LEFT(E2308,FIND("º",SUBSTITUTE(E2308,"°","º"))-1)),-1),IF(LEFT(E2308,6)="TÉRREO",0,IFERROR(VALUE(LEFT(E2308,FIND("º",SUBSTITUTE(E2308,"°","º"))-1)),""))))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M2309" s="2">
        <f>IF(C2309="","",IFERROR(INDEX($S$5:$S$304,MATCH(C2309,$R$5:$R$304,0))&amp;"","?"))</f>
        <v/>
      </c>
      <c r="N2309" s="2">
        <f>IF(E2309="","",IF(ISNUMBER(SEARCH("SUBSOLO",E2309)),IFERROR(-VALUE(LEFT(E2309,FIND("º",SUBSTITUTE(E2309,"°","º"))-1)),-1),IF(LEFT(E2309,6)="TÉRREO",0,IFERROR(VALUE(LEFT(E2309,FIND("º",SUBSTITUTE(E2309,"°","º"))-1)),""))))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M2310" s="2">
        <f>IF(C2310="","",IFERROR(INDEX($S$5:$S$304,MATCH(C2310,$R$5:$R$304,0))&amp;"","?"))</f>
        <v/>
      </c>
      <c r="N2310" s="2">
        <f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M2311" s="2">
        <f>IF(C2311="","",IFERROR(INDEX($S$5:$S$304,MATCH(C2311,$R$5:$R$304,0))&amp;"","?"))</f>
        <v/>
      </c>
      <c r="N2311" s="2">
        <f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M2312" s="2">
        <f>IF(C2312="","",IFERROR(INDEX($S$5:$S$304,MATCH(C2312,$R$5:$R$304,0))&amp;"","?"))</f>
        <v/>
      </c>
      <c r="N2312" s="2">
        <f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M2313" s="2">
        <f>IF(C2313="","",IFERROR(INDEX($S$5:$S$304,MATCH(C2313,$R$5:$R$304,0))&amp;"","?"))</f>
        <v/>
      </c>
      <c r="N2313" s="2">
        <f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M2314" s="2">
        <f>IF(C2314="","",IFERROR(INDEX($S$5:$S$304,MATCH(C2314,$R$5:$R$304,0))&amp;"","?"))</f>
        <v/>
      </c>
      <c r="N2314" s="2">
        <f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M2315" s="2">
        <f>IF(C2315="","",IFERROR(INDEX($S$5:$S$304,MATCH(C2315,$R$5:$R$304,0))&amp;"","?"))</f>
        <v/>
      </c>
      <c r="N2315" s="2">
        <f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M2316" s="2">
        <f>IF(C2316="","",IFERROR(INDEX($S$5:$S$304,MATCH(C2316,$R$5:$R$304,0))&amp;"","?"))</f>
        <v/>
      </c>
      <c r="N2316" s="2">
        <f>IF(E2316="","",IF(ISNUMBER(SEARCH("SUBSOLO",E2316)),IFERROR(-VALUE(LEFT(E2316,FIND("º",SUBSTITUTE(E2316,"°","º"))-1)),-1),IF(LEFT(E2316,6)="TÉRREO",0,IFERROR(VALUE(LEFT(E2316,FIND("º",SUBSTITUTE(E2316,"°","º"))-1)),""))))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M2317" s="2">
        <f>IF(C2317="","",IFERROR(INDEX($S$5:$S$304,MATCH(C2317,$R$5:$R$304,0))&amp;"","?"))</f>
        <v/>
      </c>
      <c r="N2317" s="2">
        <f>IF(E2317="","",IF(ISNUMBER(SEARCH("SUBSOLO",E2317)),IFERROR(-VALUE(LEFT(E2317,FIND("º",SUBSTITUTE(E2317,"°","º"))-1)),-1),IF(LEFT(E2317,6)="TÉRREO",0,IFERROR(VALUE(LEFT(E2317,FIND("º",SUBSTITUTE(E2317,"°","º"))-1)),""))))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M2318" s="2">
        <f>IF(C2318="","",IFERROR(INDEX($S$5:$S$304,MATCH(C2318,$R$5:$R$304,0))&amp;"","?"))</f>
        <v/>
      </c>
      <c r="N2318" s="2">
        <f>IF(E2318="","",IF(ISNUMBER(SEARCH("SUBSOLO",E2318)),IFERROR(-VALUE(LEFT(E2318,FIND("º",SUBSTITUTE(E2318,"°","º"))-1)),-1),IF(LEFT(E2318,6)="TÉRREO",0,IFERROR(VALUE(LEFT(E2318,FIND("º",SUBSTITUTE(E2318,"°","º"))-1)),""))))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M2319" s="2">
        <f>IF(C2319="","",IFERROR(INDEX($S$5:$S$304,MATCH(C2319,$R$5:$R$304,0))&amp;"","?"))</f>
        <v/>
      </c>
      <c r="N2319" s="2">
        <f>IF(E2319="","",IF(ISNUMBER(SEARCH("SUBSOLO",E2319)),IFERROR(-VALUE(LEFT(E2319,FIND("º",SUBSTITUTE(E2319,"°","º"))-1)),-1),IF(LEFT(E2319,6)="TÉRREO",0,IFERROR(VALUE(LEFT(E2319,FIND("º",SUBSTITUTE(E2319,"°","º"))-1)),""))))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M2320" s="2">
        <f>IF(C2320="","",IFERROR(INDEX($S$5:$S$304,MATCH(C2320,$R$5:$R$304,0))&amp;"","?"))</f>
        <v/>
      </c>
      <c r="N2320" s="2">
        <f>IF(E2320="","",IF(ISNUMBER(SEARCH("SUBSOLO",E2320)),IFERROR(-VALUE(LEFT(E2320,FIND("º",SUBSTITUTE(E2320,"°","º"))-1)),-1),IF(LEFT(E2320,6)="TÉRREO",0,IFERROR(VALUE(LEFT(E2320,FIND("º",SUBSTITUTE(E2320,"°","º"))-1)),""))))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M2321" s="2">
        <f>IF(C2321="","",IFERROR(INDEX($S$5:$S$304,MATCH(C2321,$R$5:$R$304,0))&amp;"","?"))</f>
        <v/>
      </c>
      <c r="N2321" s="2">
        <f>IF(E2321="","",IF(ISNUMBER(SEARCH("SUBSOLO",E2321)),IFERROR(-VALUE(LEFT(E2321,FIND("º",SUBSTITUTE(E2321,"°","º"))-1)),-1),IF(LEFT(E2321,6)="TÉRREO",0,IFERROR(VALUE(LEFT(E2321,FIND("º",SUBSTITUTE(E2321,"°","º"))-1)),""))))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M2322" s="2">
        <f>IF(C2322="","",IFERROR(INDEX($S$5:$S$304,MATCH(C2322,$R$5:$R$304,0))&amp;"","?"))</f>
        <v/>
      </c>
      <c r="N2322" s="2">
        <f>IF(E2322="","",IF(ISNUMBER(SEARCH("SUBSOLO",E2322)),IFERROR(-VALUE(LEFT(E2322,FIND("º",SUBSTITUTE(E2322,"°","º"))-1)),-1),IF(LEFT(E2322,6)="TÉRREO",0,IFERROR(VALUE(LEFT(E2322,FIND("º",SUBSTITUTE(E2322,"°","º"))-1)),""))))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M2323" s="2">
        <f>IF(C2323="","",IFERROR(INDEX($S$5:$S$304,MATCH(C2323,$R$5:$R$304,0))&amp;"","?"))</f>
        <v/>
      </c>
      <c r="N2323" s="2">
        <f>IF(E2323="","",IF(ISNUMBER(SEARCH("SUBSOLO",E2323)),IFERROR(-VALUE(LEFT(E2323,FIND("º",SUBSTITUTE(E2323,"°","º"))-1)),-1),IF(LEFT(E2323,6)="TÉRREO",0,IFERROR(VALUE(LEFT(E2323,FIND("º",SUBSTITUTE(E2323,"°","º"))-1)),""))))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M2324" s="2">
        <f>IF(C2324="","",IFERROR(INDEX($S$5:$S$304,MATCH(C2324,$R$5:$R$304,0))&amp;"","?"))</f>
        <v/>
      </c>
      <c r="N2324" s="2">
        <f>IF(E2324="","",IF(ISNUMBER(SEARCH("SUBSOLO",E2324)),IFERROR(-VALUE(LEFT(E2324,FIND("º",SUBSTITUTE(E2324,"°","º"))-1)),-1),IF(LEFT(E2324,6)="TÉRREO",0,IFERROR(VALUE(LEFT(E2324,FIND("º",SUBSTITUTE(E2324,"°","º"))-1)),""))))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M2325" s="2">
        <f>IF(C2325="","",IFERROR(INDEX($S$5:$S$304,MATCH(C2325,$R$5:$R$304,0))&amp;"","?"))</f>
        <v/>
      </c>
      <c r="N2325" s="2">
        <f>IF(E2325="","",IF(ISNUMBER(SEARCH("SUBSOLO",E2325)),IFERROR(-VALUE(LEFT(E2325,FIND("º",SUBSTITUTE(E2325,"°","º"))-1)),-1),IF(LEFT(E2325,6)="TÉRREO",0,IFERROR(VALUE(LEFT(E2325,FIND("º",SUBSTITUTE(E2325,"°","º"))-1)),""))))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M2326" s="2">
        <f>IF(C2326="","",IFERROR(INDEX($S$5:$S$304,MATCH(C2326,$R$5:$R$304,0))&amp;"","?"))</f>
        <v/>
      </c>
      <c r="N2326" s="2">
        <f>IF(E2326="","",IF(ISNUMBER(SEARCH("SUBSOLO",E2326)),IFERROR(-VALUE(LEFT(E2326,FIND("º",SUBSTITUTE(E2326,"°","º"))-1)),-1),IF(LEFT(E2326,6)="TÉRREO",0,IFERROR(VALUE(LEFT(E2326,FIND("º",SUBSTITUTE(E2326,"°","º"))-1)),""))))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M2327" s="2">
        <f>IF(C2327="","",IFERROR(INDEX($S$5:$S$304,MATCH(C2327,$R$5:$R$304,0))&amp;"","?"))</f>
        <v/>
      </c>
      <c r="N2327" s="2">
        <f>IF(E2327="","",IF(ISNUMBER(SEARCH("SUBSOLO",E2327)),IFERROR(-VALUE(LEFT(E2327,FIND("º",SUBSTITUTE(E2327,"°","º"))-1)),-1),IF(LEFT(E2327,6)="TÉRREO",0,IFERROR(VALUE(LEFT(E2327,FIND("º",SUBSTITUTE(E2327,"°","º"))-1)),""))))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M2328" s="2">
        <f>IF(C2328="","",IFERROR(INDEX($S$5:$S$304,MATCH(C2328,$R$5:$R$304,0))&amp;"","?"))</f>
        <v/>
      </c>
      <c r="N2328" s="2">
        <f>IF(E2328="","",IF(ISNUMBER(SEARCH("SUBSOLO",E2328)),IFERROR(-VALUE(LEFT(E2328,FIND("º",SUBSTITUTE(E2328,"°","º"))-1)),-1),IF(LEFT(E2328,6)="TÉRREO",0,IFERROR(VALUE(LEFT(E2328,FIND("º",SUBSTITUTE(E2328,"°","º"))-1)),""))))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M2329" s="2">
        <f>IF(C2329="","",IFERROR(INDEX($S$5:$S$304,MATCH(C2329,$R$5:$R$304,0))&amp;"","?"))</f>
        <v/>
      </c>
      <c r="N2329" s="2">
        <f>IF(E2329="","",IF(ISNUMBER(SEARCH("SUBSOLO",E2329)),IFERROR(-VALUE(LEFT(E2329,FIND("º",SUBSTITUTE(E2329,"°","º"))-1)),-1),IF(LEFT(E2329,6)="TÉRREO",0,IFERROR(VALUE(LEFT(E2329,FIND("º",SUBSTITUTE(E2329,"°","º"))-1)),""))))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M2330" s="2">
        <f>IF(C2330="","",IFERROR(INDEX($S$5:$S$304,MATCH(C2330,$R$5:$R$304,0))&amp;"","?"))</f>
        <v/>
      </c>
      <c r="N2330" s="2">
        <f>IF(E2330="","",IF(ISNUMBER(SEARCH("SUBSOLO",E2330)),IFERROR(-VALUE(LEFT(E2330,FIND("º",SUBSTITUTE(E2330,"°","º"))-1)),-1),IF(LEFT(E2330,6)="TÉRREO",0,IFERROR(VALUE(LEFT(E2330,FIND("º",SUBSTITUTE(E2330,"°","º"))-1)),""))))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M2331" s="2">
        <f>IF(C2331="","",IFERROR(INDEX($S$5:$S$304,MATCH(C2331,$R$5:$R$304,0))&amp;"","?"))</f>
        <v/>
      </c>
      <c r="N2331" s="2">
        <f>IF(E2331="","",IF(ISNUMBER(SEARCH("SUBSOLO",E2331)),IFERROR(-VALUE(LEFT(E2331,FIND("º",SUBSTITUTE(E2331,"°","º"))-1)),-1),IF(LEFT(E2331,6)="TÉRREO",0,IFERROR(VALUE(LEFT(E2331,FIND("º",SUBSTITUTE(E2331,"°","º"))-1)),""))))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M2332" s="2">
        <f>IF(C2332="","",IFERROR(INDEX($S$5:$S$304,MATCH(C2332,$R$5:$R$304,0))&amp;"","?"))</f>
        <v/>
      </c>
      <c r="N2332" s="2">
        <f>IF(E2332="","",IF(ISNUMBER(SEARCH("SUBSOLO",E2332)),IFERROR(-VALUE(LEFT(E2332,FIND("º",SUBSTITUTE(E2332,"°","º"))-1)),-1),IF(LEFT(E2332,6)="TÉRREO",0,IFERROR(VALUE(LEFT(E2332,FIND("º",SUBSTITUTE(E2332,"°","º"))-1)),""))))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M2333" s="2">
        <f>IF(C2333="","",IFERROR(INDEX($S$5:$S$304,MATCH(C2333,$R$5:$R$304,0))&amp;"","?"))</f>
        <v/>
      </c>
      <c r="N2333" s="2">
        <f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M2334" s="2">
        <f>IF(C2334="","",IFERROR(INDEX($S$5:$S$304,MATCH(C2334,$R$5:$R$304,0))&amp;"","?"))</f>
        <v/>
      </c>
      <c r="N2334" s="2">
        <f>IF(E2334="","",IF(ISNUMBER(SEARCH("SUBSOLO",E2334)),IFERROR(-VALUE(LEFT(E2334,FIND("º",SUBSTITUTE(E2334,"°","º"))-1)),-1),IF(LEFT(E2334,6)="TÉRREO",0,IFERROR(VALUE(LEFT(E2334,FIND("º",SUBSTITUTE(E2334,"°","º"))-1)),""))))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M2335" s="2">
        <f>IF(C2335="","",IFERROR(INDEX($S$5:$S$304,MATCH(C2335,$R$5:$R$304,0))&amp;"","?"))</f>
        <v/>
      </c>
      <c r="N2335" s="2">
        <f>IF(E2335="","",IF(ISNUMBER(SEARCH("SUBSOLO",E2335)),IFERROR(-VALUE(LEFT(E2335,FIND("º",SUBSTITUTE(E2335,"°","º"))-1)),-1),IF(LEFT(E2335,6)="TÉRREO",0,IFERROR(VALUE(LEFT(E2335,FIND("º",SUBSTITUTE(E2335,"°","º"))-1)),""))))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M2336" s="2">
        <f>IF(C2336="","",IFERROR(INDEX($S$5:$S$304,MATCH(C2336,$R$5:$R$304,0))&amp;"","?"))</f>
        <v/>
      </c>
      <c r="N2336" s="2">
        <f>IF(E2336="","",IF(ISNUMBER(SEARCH("SUBSOLO",E2336)),IFERROR(-VALUE(LEFT(E2336,FIND("º",SUBSTITUTE(E2336,"°","º"))-1)),-1),IF(LEFT(E2336,6)="TÉRREO",0,IFERROR(VALUE(LEFT(E2336,FIND("º",SUBSTITUTE(E2336,"°","º"))-1)),""))))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M2337" s="2">
        <f>IF(C2337="","",IFERROR(INDEX($S$5:$S$304,MATCH(C2337,$R$5:$R$304,0))&amp;"","?"))</f>
        <v/>
      </c>
      <c r="N2337" s="2">
        <f>IF(E2337="","",IF(ISNUMBER(SEARCH("SUBSOLO",E2337)),IFERROR(-VALUE(LEFT(E2337,FIND("º",SUBSTITUTE(E2337,"°","º"))-1)),-1),IF(LEFT(E2337,6)="TÉRREO",0,IFERROR(VALUE(LEFT(E2337,FIND("º",SUBSTITUTE(E2337,"°","º"))-1)),""))))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M2338" s="2">
        <f>IF(C2338="","",IFERROR(INDEX($S$5:$S$304,MATCH(C2338,$R$5:$R$304,0))&amp;"","?"))</f>
        <v/>
      </c>
      <c r="N2338" s="2">
        <f>IF(E2338="","",IF(ISNUMBER(SEARCH("SUBSOLO",E2338)),IFERROR(-VALUE(LEFT(E2338,FIND("º",SUBSTITUTE(E2338,"°","º"))-1)),-1),IF(LEFT(E2338,6)="TÉRREO",0,IFERROR(VALUE(LEFT(E2338,FIND("º",SUBSTITUTE(E2338,"°","º"))-1)),""))))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M2339" s="2">
        <f>IF(C2339="","",IFERROR(INDEX($S$5:$S$304,MATCH(C2339,$R$5:$R$304,0))&amp;"","?"))</f>
        <v/>
      </c>
      <c r="N2339" s="2">
        <f>IF(E2339="","",IF(ISNUMBER(SEARCH("SUBSOLO",E2339)),IFERROR(-VALUE(LEFT(E2339,FIND("º",SUBSTITUTE(E2339,"°","º"))-1)),-1),IF(LEFT(E2339,6)="TÉRREO",0,IFERROR(VALUE(LEFT(E2339,FIND("º",SUBSTITUTE(E2339,"°","º"))-1)),""))))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M2340" s="2">
        <f>IF(C2340="","",IFERROR(INDEX($S$5:$S$304,MATCH(C2340,$R$5:$R$304,0))&amp;"","?"))</f>
        <v/>
      </c>
      <c r="N2340" s="2">
        <f>IF(E2340="","",IF(ISNUMBER(SEARCH("SUBSOLO",E2340)),IFERROR(-VALUE(LEFT(E2340,FIND("º",SUBSTITUTE(E2340,"°","º"))-1)),-1),IF(LEFT(E2340,6)="TÉRREO",0,IFERROR(VALUE(LEFT(E2340,FIND("º",SUBSTITUTE(E2340,"°","º"))-1)),""))))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M2341" s="2">
        <f>IF(C2341="","",IFERROR(INDEX($S$5:$S$304,MATCH(C2341,$R$5:$R$304,0))&amp;"","?"))</f>
        <v/>
      </c>
      <c r="N2341" s="2">
        <f>IF(E2341="","",IF(ISNUMBER(SEARCH("SUBSOLO",E2341)),IFERROR(-VALUE(LEFT(E2341,FIND("º",SUBSTITUTE(E2341,"°","º"))-1)),-1),IF(LEFT(E2341,6)="TÉRREO",0,IFERROR(VALUE(LEFT(E2341,FIND("º",SUBSTITUTE(E2341,"°","º"))-1)),""))))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M2342" s="2">
        <f>IF(C2342="","",IFERROR(INDEX($S$5:$S$304,MATCH(C2342,$R$5:$R$304,0))&amp;"","?"))</f>
        <v/>
      </c>
      <c r="N2342" s="2">
        <f>IF(E2342="","",IF(ISNUMBER(SEARCH("SUBSOLO",E2342)),IFERROR(-VALUE(LEFT(E2342,FIND("º",SUBSTITUTE(E2342,"°","º"))-1)),-1),IF(LEFT(E2342,6)="TÉRREO",0,IFERROR(VALUE(LEFT(E2342,FIND("º",SUBSTITUTE(E2342,"°","º"))-1)),""))))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M2343" s="2">
        <f>IF(C2343="","",IFERROR(INDEX($S$5:$S$304,MATCH(C2343,$R$5:$R$304,0))&amp;"","?"))</f>
        <v/>
      </c>
      <c r="N2343" s="2">
        <f>IF(E2343="","",IF(ISNUMBER(SEARCH("SUBSOLO",E2343)),IFERROR(-VALUE(LEFT(E2343,FIND("º",SUBSTITUTE(E2343,"°","º"))-1)),-1),IF(LEFT(E2343,6)="TÉRREO",0,IFERROR(VALUE(LEFT(E2343,FIND("º",SUBSTITUTE(E2343,"°","º"))-1)),""))))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M2344" s="2">
        <f>IF(C2344="","",IFERROR(INDEX($S$5:$S$304,MATCH(C2344,$R$5:$R$304,0))&amp;"","?"))</f>
        <v/>
      </c>
      <c r="N2344" s="2">
        <f>IF(E2344="","",IF(ISNUMBER(SEARCH("SUBSOLO",E2344)),IFERROR(-VALUE(LEFT(E2344,FIND("º",SUBSTITUTE(E2344,"°","º"))-1)),-1),IF(LEFT(E2344,6)="TÉRREO",0,IFERROR(VALUE(LEFT(E2344,FIND("º",SUBSTITUTE(E2344,"°","º"))-1)),""))))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M2345" s="2">
        <f>IF(C2345="","",IFERROR(INDEX($S$5:$S$304,MATCH(C2345,$R$5:$R$304,0))&amp;"","?"))</f>
        <v/>
      </c>
      <c r="N2345" s="2">
        <f>IF(E2345="","",IF(ISNUMBER(SEARCH("SUBSOLO",E2345)),IFERROR(-VALUE(LEFT(E2345,FIND("º",SUBSTITUTE(E2345,"°","º"))-1)),-1),IF(LEFT(E2345,6)="TÉRREO",0,IFERROR(VALUE(LEFT(E2345,FIND("º",SUBSTITUTE(E2345,"°","º"))-1)),""))))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M2346" s="2">
        <f>IF(C2346="","",IFERROR(INDEX($S$5:$S$304,MATCH(C2346,$R$5:$R$304,0))&amp;"","?"))</f>
        <v/>
      </c>
      <c r="N2346" s="2">
        <f>IF(E2346="","",IF(ISNUMBER(SEARCH("SUBSOLO",E2346)),IFERROR(-VALUE(LEFT(E2346,FIND("º",SUBSTITUTE(E2346,"°","º"))-1)),-1),IF(LEFT(E2346,6)="TÉRREO",0,IFERROR(VALUE(LEFT(E2346,FIND("º",SUBSTITUTE(E2346,"°","º"))-1)),""))))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M2347" s="2">
        <f>IF(C2347="","",IFERROR(INDEX($S$5:$S$304,MATCH(C2347,$R$5:$R$304,0))&amp;"","?"))</f>
        <v/>
      </c>
      <c r="N2347" s="2">
        <f>IF(E2347="","",IF(ISNUMBER(SEARCH("SUBSOLO",E2347)),IFERROR(-VALUE(LEFT(E2347,FIND("º",SUBSTITUTE(E2347,"°","º"))-1)),-1),IF(LEFT(E2347,6)="TÉRREO",0,IFERROR(VALUE(LEFT(E2347,FIND("º",SUBSTITUTE(E2347,"°","º"))-1)),""))))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M2348" s="2">
        <f>IF(C2348="","",IFERROR(INDEX($S$5:$S$304,MATCH(C2348,$R$5:$R$304,0))&amp;"","?"))</f>
        <v/>
      </c>
      <c r="N2348" s="2">
        <f>IF(E2348="","",IF(ISNUMBER(SEARCH("SUBSOLO",E2348)),IFERROR(-VALUE(LEFT(E2348,FIND("º",SUBSTITUTE(E2348,"°","º"))-1)),-1),IF(LEFT(E2348,6)="TÉRREO",0,IFERROR(VALUE(LEFT(E2348,FIND("º",SUBSTITUTE(E2348,"°","º"))-1)),""))))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M2349" s="2">
        <f>IF(C2349="","",IFERROR(INDEX($S$5:$S$304,MATCH(C2349,$R$5:$R$304,0))&amp;"","?"))</f>
        <v/>
      </c>
      <c r="N2349" s="2">
        <f>IF(E2349="","",IF(ISNUMBER(SEARCH("SUBSOLO",E2349)),IFERROR(-VALUE(LEFT(E2349,FIND("º",SUBSTITUTE(E2349,"°","º"))-1)),-1),IF(LEFT(E2349,6)="TÉRREO",0,IFERROR(VALUE(LEFT(E2349,FIND("º",SUBSTITUTE(E2349,"°","º"))-1)),""))))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M2350" s="2">
        <f>IF(C2350="","",IFERROR(INDEX($S$5:$S$304,MATCH(C2350,$R$5:$R$304,0))&amp;"","?"))</f>
        <v/>
      </c>
      <c r="N2350" s="2">
        <f>IF(E2350="","",IF(ISNUMBER(SEARCH("SUBSOLO",E2350)),IFERROR(-VALUE(LEFT(E2350,FIND("º",SUBSTITUTE(E2350,"°","º"))-1)),-1),IF(LEFT(E2350,6)="TÉRREO",0,IFERROR(VALUE(LEFT(E2350,FIND("º",SUBSTITUTE(E2350,"°","º"))-1)),""))))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M2351" s="2">
        <f>IF(C2351="","",IFERROR(INDEX($S$5:$S$304,MATCH(C2351,$R$5:$R$304,0))&amp;"","?"))</f>
        <v/>
      </c>
      <c r="N2351" s="2">
        <f>IF(E2351="","",IF(ISNUMBER(SEARCH("SUBSOLO",E2351)),IFERROR(-VALUE(LEFT(E2351,FIND("º",SUBSTITUTE(E2351,"°","º"))-1)),-1),IF(LEFT(E2351,6)="TÉRREO",0,IFERROR(VALUE(LEFT(E2351,FIND("º",SUBSTITUTE(E2351,"°","º"))-1)),""))))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M2352" s="2">
        <f>IF(C2352="","",IFERROR(INDEX($S$5:$S$304,MATCH(C2352,$R$5:$R$304,0))&amp;"","?"))</f>
        <v/>
      </c>
      <c r="N2352" s="2">
        <f>IF(E2352="","",IF(ISNUMBER(SEARCH("SUBSOLO",E2352)),IFERROR(-VALUE(LEFT(E2352,FIND("º",SUBSTITUTE(E2352,"°","º"))-1)),-1),IF(LEFT(E2352,6)="TÉRREO",0,IFERROR(VALUE(LEFT(E2352,FIND("º",SUBSTITUTE(E2352,"°","º"))-1)),""))))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M2353" s="2">
        <f>IF(C2353="","",IFERROR(INDEX($S$5:$S$304,MATCH(C2353,$R$5:$R$304,0))&amp;"","?"))</f>
        <v/>
      </c>
      <c r="N2353" s="2">
        <f>IF(E2353="","",IF(ISNUMBER(SEARCH("SUBSOLO",E2353)),IFERROR(-VALUE(LEFT(E2353,FIND("º",SUBSTITUTE(E2353,"°","º"))-1)),-1),IF(LEFT(E2353,6)="TÉRREO",0,IFERROR(VALUE(LEFT(E2353,FIND("º",SUBSTITUTE(E2353,"°","º"))-1)),""))))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M2354" s="2">
        <f>IF(C2354="","",IFERROR(INDEX($S$5:$S$304,MATCH(C2354,$R$5:$R$304,0))&amp;"","?"))</f>
        <v/>
      </c>
      <c r="N2354" s="2">
        <f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M2355" s="2">
        <f>IF(C2355="","",IFERROR(INDEX($S$5:$S$304,MATCH(C2355,$R$5:$R$304,0))&amp;"","?"))</f>
        <v/>
      </c>
      <c r="N2355" s="2">
        <f>IF(E2355="","",IF(ISNUMBER(SEARCH("SUBSOLO",E2355)),IFERROR(-VALUE(LEFT(E2355,FIND("º",SUBSTITUTE(E2355,"°","º"))-1)),-1),IF(LEFT(E2355,6)="TÉRREO",0,IFERROR(VALUE(LEFT(E2355,FIND("º",SUBSTITUTE(E2355,"°","º"))-1)),""))))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M2356" s="2">
        <f>IF(C2356="","",IFERROR(INDEX($S$5:$S$304,MATCH(C2356,$R$5:$R$304,0))&amp;"","?"))</f>
        <v/>
      </c>
      <c r="N2356" s="2">
        <f>IF(E2356="","",IF(ISNUMBER(SEARCH("SUBSOLO",E2356)),IFERROR(-VALUE(LEFT(E2356,FIND("º",SUBSTITUTE(E2356,"°","º"))-1)),-1),IF(LEFT(E2356,6)="TÉRREO",0,IFERROR(VALUE(LEFT(E2356,FIND("º",SUBSTITUTE(E2356,"°","º"))-1)),""))))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M2357" s="2">
        <f>IF(C2357="","",IFERROR(INDEX($S$5:$S$304,MATCH(C2357,$R$5:$R$304,0))&amp;"","?"))</f>
        <v/>
      </c>
      <c r="N2357" s="2">
        <f>IF(E2357="","",IF(ISNUMBER(SEARCH("SUBSOLO",E2357)),IFERROR(-VALUE(LEFT(E2357,FIND("º",SUBSTITUTE(E2357,"°","º"))-1)),-1),IF(LEFT(E2357,6)="TÉRREO",0,IFERROR(VALUE(LEFT(E2357,FIND("º",SUBSTITUTE(E2357,"°","º"))-1)),""))))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M2358" s="2">
        <f>IF(C2358="","",IFERROR(INDEX($S$5:$S$304,MATCH(C2358,$R$5:$R$304,0))&amp;"","?"))</f>
        <v/>
      </c>
      <c r="N2358" s="2">
        <f>IF(E2358="","",IF(ISNUMBER(SEARCH("SUBSOLO",E2358)),IFERROR(-VALUE(LEFT(E2358,FIND("º",SUBSTITUTE(E2358,"°","º"))-1)),-1),IF(LEFT(E2358,6)="TÉRREO",0,IFERROR(VALUE(LEFT(E2358,FIND("º",SUBSTITUTE(E2358,"°","º"))-1)),""))))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M2359" s="2">
        <f>IF(C2359="","",IFERROR(INDEX($S$5:$S$304,MATCH(C2359,$R$5:$R$304,0))&amp;"","?"))</f>
        <v/>
      </c>
      <c r="N2359" s="2">
        <f>IF(E2359="","",IF(ISNUMBER(SEARCH("SUBSOLO",E2359)),IFERROR(-VALUE(LEFT(E2359,FIND("º",SUBSTITUTE(E2359,"°","º"))-1)),-1),IF(LEFT(E2359,6)="TÉRREO",0,IFERROR(VALUE(LEFT(E2359,FIND("º",SUBSTITUTE(E2359,"°","º"))-1)),""))))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M2360" s="2">
        <f>IF(C2360="","",IFERROR(INDEX($S$5:$S$304,MATCH(C2360,$R$5:$R$304,0))&amp;"","?"))</f>
        <v/>
      </c>
      <c r="N2360" s="2">
        <f>IF(E2360="","",IF(ISNUMBER(SEARCH("SUBSOLO",E2360)),IFERROR(-VALUE(LEFT(E2360,FIND("º",SUBSTITUTE(E2360,"°","º"))-1)),-1),IF(LEFT(E2360,6)="TÉRREO",0,IFERROR(VALUE(LEFT(E2360,FIND("º",SUBSTITUTE(E2360,"°","º"))-1)),""))))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M2361" s="2">
        <f>IF(C2361="","",IFERROR(INDEX($S$5:$S$304,MATCH(C2361,$R$5:$R$304,0))&amp;"","?"))</f>
        <v/>
      </c>
      <c r="N2361" s="2">
        <f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M2362" s="2">
        <f>IF(C2362="","",IFERROR(INDEX($S$5:$S$304,MATCH(C2362,$R$5:$R$304,0))&amp;"","?"))</f>
        <v/>
      </c>
      <c r="N2362" s="2">
        <f>IF(E2362="","",IF(ISNUMBER(SEARCH("SUBSOLO",E2362)),IFERROR(-VALUE(LEFT(E2362,FIND("º",SUBSTITUTE(E2362,"°","º"))-1)),-1),IF(LEFT(E2362,6)="TÉRREO",0,IFERROR(VALUE(LEFT(E2362,FIND("º",SUBSTITUTE(E2362,"°","º"))-1)),""))))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M2363" s="2">
        <f>IF(C2363="","",IFERROR(INDEX($S$5:$S$304,MATCH(C2363,$R$5:$R$304,0))&amp;"","?"))</f>
        <v/>
      </c>
      <c r="N2363" s="2">
        <f>IF(E2363="","",IF(ISNUMBER(SEARCH("SUBSOLO",E2363)),IFERROR(-VALUE(LEFT(E2363,FIND("º",SUBSTITUTE(E2363,"°","º"))-1)),-1),IF(LEFT(E2363,6)="TÉRREO",0,IFERROR(VALUE(LEFT(E2363,FIND("º",SUBSTITUTE(E2363,"°","º"))-1)),""))))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M2364" s="2">
        <f>IF(C2364="","",IFERROR(INDEX($S$5:$S$304,MATCH(C2364,$R$5:$R$304,0))&amp;"","?"))</f>
        <v/>
      </c>
      <c r="N2364" s="2">
        <f>IF(E2364="","",IF(ISNUMBER(SEARCH("SUBSOLO",E2364)),IFERROR(-VALUE(LEFT(E2364,FIND("º",SUBSTITUTE(E2364,"°","º"))-1)),-1),IF(LEFT(E2364,6)="TÉRREO",0,IFERROR(VALUE(LEFT(E2364,FIND("º",SUBSTITUTE(E2364,"°","º"))-1)),""))))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M2365" s="2">
        <f>IF(C2365="","",IFERROR(INDEX($S$5:$S$304,MATCH(C2365,$R$5:$R$304,0))&amp;"","?"))</f>
        <v/>
      </c>
      <c r="N2365" s="2">
        <f>IF(E2365="","",IF(ISNUMBER(SEARCH("SUBSOLO",E2365)),IFERROR(-VALUE(LEFT(E2365,FIND("º",SUBSTITUTE(E2365,"°","º"))-1)),-1),IF(LEFT(E2365,6)="TÉRREO",0,IFERROR(VALUE(LEFT(E2365,FIND("º",SUBSTITUTE(E2365,"°","º"))-1)),""))))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M2366" s="2">
        <f>IF(C2366="","",IFERROR(INDEX($S$5:$S$304,MATCH(C2366,$R$5:$R$304,0))&amp;"","?"))</f>
        <v/>
      </c>
      <c r="N2366" s="2">
        <f>IF(E2366="","",IF(ISNUMBER(SEARCH("SUBSOLO",E2366)),IFERROR(-VALUE(LEFT(E2366,FIND("º",SUBSTITUTE(E2366,"°","º"))-1)),-1),IF(LEFT(E2366,6)="TÉRREO",0,IFERROR(VALUE(LEFT(E2366,FIND("º",SUBSTITUTE(E2366,"°","º"))-1)),""))))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M2367" s="2">
        <f>IF(C2367="","",IFERROR(INDEX($S$5:$S$304,MATCH(C2367,$R$5:$R$304,0))&amp;"","?"))</f>
        <v/>
      </c>
      <c r="N2367" s="2">
        <f>IF(E2367="","",IF(ISNUMBER(SEARCH("SUBSOLO",E2367)),IFERROR(-VALUE(LEFT(E2367,FIND("º",SUBSTITUTE(E2367,"°","º"))-1)),-1),IF(LEFT(E2367,6)="TÉRREO",0,IFERROR(VALUE(LEFT(E2367,FIND("º",SUBSTITUTE(E2367,"°","º"))-1)),""))))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M2368" s="2">
        <f>IF(C2368="","",IFERROR(INDEX($S$5:$S$304,MATCH(C2368,$R$5:$R$304,0))&amp;"","?"))</f>
        <v/>
      </c>
      <c r="N2368" s="2">
        <f>IF(E2368="","",IF(ISNUMBER(SEARCH("SUBSOLO",E2368)),IFERROR(-VALUE(LEFT(E2368,FIND("º",SUBSTITUTE(E2368,"°","º"))-1)),-1),IF(LEFT(E2368,6)="TÉRREO",0,IFERROR(VALUE(LEFT(E2368,FIND("º",SUBSTITUTE(E2368,"°","º"))-1)),""))))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M2369" s="2">
        <f>IF(C2369="","",IFERROR(INDEX($S$5:$S$304,MATCH(C2369,$R$5:$R$304,0))&amp;"","?"))</f>
        <v/>
      </c>
      <c r="N2369" s="2">
        <f>IF(E2369="","",IF(ISNUMBER(SEARCH("SUBSOLO",E2369)),IFERROR(-VALUE(LEFT(E2369,FIND("º",SUBSTITUTE(E2369,"°","º"))-1)),-1),IF(LEFT(E2369,6)="TÉRREO",0,IFERROR(VALUE(LEFT(E2369,FIND("º",SUBSTITUTE(E2369,"°","º"))-1)),""))))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M2370" s="2">
        <f>IF(C2370="","",IFERROR(INDEX($S$5:$S$304,MATCH(C2370,$R$5:$R$304,0))&amp;"","?"))</f>
        <v/>
      </c>
      <c r="N2370" s="2">
        <f>IF(E2370="","",IF(ISNUMBER(SEARCH("SUBSOLO",E2370)),IFERROR(-VALUE(LEFT(E2370,FIND("º",SUBSTITUTE(E2370,"°","º"))-1)),-1),IF(LEFT(E2370,6)="TÉRREO",0,IFERROR(VALUE(LEFT(E2370,FIND("º",SUBSTITUTE(E2370,"°","º"))-1)),""))))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M2371" s="2">
        <f>IF(C2371="","",IFERROR(INDEX($S$5:$S$304,MATCH(C2371,$R$5:$R$304,0))&amp;"","?"))</f>
        <v/>
      </c>
      <c r="N2371" s="2">
        <f>IF(E2371="","",IF(ISNUMBER(SEARCH("SUBSOLO",E2371)),IFERROR(-VALUE(LEFT(E2371,FIND("º",SUBSTITUTE(E2371,"°","º"))-1)),-1),IF(LEFT(E2371,6)="TÉRREO",0,IFERROR(VALUE(LEFT(E2371,FIND("º",SUBSTITUTE(E2371,"°","º"))-1)),""))))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M2372" s="2">
        <f>IF(C2372="","",IFERROR(INDEX($S$5:$S$304,MATCH(C2372,$R$5:$R$304,0))&amp;"","?"))</f>
        <v/>
      </c>
      <c r="N2372" s="2">
        <f>IF(E2372="","",IF(ISNUMBER(SEARCH("SUBSOLO",E2372)),IFERROR(-VALUE(LEFT(E2372,FIND("º",SUBSTITUTE(E2372,"°","º"))-1)),-1),IF(LEFT(E2372,6)="TÉRREO",0,IFERROR(VALUE(LEFT(E2372,FIND("º",SUBSTITUTE(E2372,"°","º"))-1)),""))))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M2373" s="2">
        <f>IF(C2373="","",IFERROR(INDEX($S$5:$S$304,MATCH(C2373,$R$5:$R$304,0))&amp;"","?"))</f>
        <v/>
      </c>
      <c r="N2373" s="2">
        <f>IF(E2373="","",IF(ISNUMBER(SEARCH("SUBSOLO",E2373)),IFERROR(-VALUE(LEFT(E2373,FIND("º",SUBSTITUTE(E2373,"°","º"))-1)),-1),IF(LEFT(E2373,6)="TÉRREO",0,IFERROR(VALUE(LEFT(E2373,FIND("º",SUBSTITUTE(E2373,"°","º"))-1)),""))))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M2374" s="2">
        <f>IF(C2374="","",IFERROR(INDEX($S$5:$S$304,MATCH(C2374,$R$5:$R$304,0))&amp;"","?"))</f>
        <v/>
      </c>
      <c r="N2374" s="2">
        <f>IF(E2374="","",IF(ISNUMBER(SEARCH("SUBSOLO",E2374)),IFERROR(-VALUE(LEFT(E2374,FIND("º",SUBSTITUTE(E2374,"°","º"))-1)),-1),IF(LEFT(E2374,6)="TÉRREO",0,IFERROR(VALUE(LEFT(E2374,FIND("º",SUBSTITUTE(E2374,"°","º"))-1)),""))))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M2375" s="2">
        <f>IF(C2375="","",IFERROR(INDEX($S$5:$S$304,MATCH(C2375,$R$5:$R$304,0))&amp;"","?"))</f>
        <v/>
      </c>
      <c r="N2375" s="2">
        <f>IF(E2375="","",IF(ISNUMBER(SEARCH("SUBSOLO",E2375)),IFERROR(-VALUE(LEFT(E2375,FIND("º",SUBSTITUTE(E2375,"°","º"))-1)),-1),IF(LEFT(E2375,6)="TÉRREO",0,IFERROR(VALUE(LEFT(E2375,FIND("º",SUBSTITUTE(E2375,"°","º"))-1)),""))))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M2376" s="2">
        <f>IF(C2376="","",IFERROR(INDEX($S$5:$S$304,MATCH(C2376,$R$5:$R$304,0))&amp;"","?"))</f>
        <v/>
      </c>
      <c r="N2376" s="2">
        <f>IF(E2376="","",IF(ISNUMBER(SEARCH("SUBSOLO",E2376)),IFERROR(-VALUE(LEFT(E2376,FIND("º",SUBSTITUTE(E2376,"°","º"))-1)),-1),IF(LEFT(E2376,6)="TÉRREO",0,IFERROR(VALUE(LEFT(E2376,FIND("º",SUBSTITUTE(E2376,"°","º"))-1)),""))))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M2377" s="2">
        <f>IF(C2377="","",IFERROR(INDEX($S$5:$S$304,MATCH(C2377,$R$5:$R$304,0))&amp;"","?"))</f>
        <v/>
      </c>
      <c r="N2377" s="2">
        <f>IF(E2377="","",IF(ISNUMBER(SEARCH("SUBSOLO",E2377)),IFERROR(-VALUE(LEFT(E2377,FIND("º",SUBSTITUTE(E2377,"°","º"))-1)),-1),IF(LEFT(E2377,6)="TÉRREO",0,IFERROR(VALUE(LEFT(E2377,FIND("º",SUBSTITUTE(E2377,"°","º"))-1)),""))))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M2378" s="2">
        <f>IF(C2378="","",IFERROR(INDEX($S$5:$S$304,MATCH(C2378,$R$5:$R$304,0))&amp;"","?"))</f>
        <v/>
      </c>
      <c r="N2378" s="2">
        <f>IF(E2378="","",IF(ISNUMBER(SEARCH("SUBSOLO",E2378)),IFERROR(-VALUE(LEFT(E2378,FIND("º",SUBSTITUTE(E2378,"°","º"))-1)),-1),IF(LEFT(E2378,6)="TÉRREO",0,IFERROR(VALUE(LEFT(E2378,FIND("º",SUBSTITUTE(E2378,"°","º"))-1)),""))))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M2379" s="2">
        <f>IF(C2379="","",IFERROR(INDEX($S$5:$S$304,MATCH(C2379,$R$5:$R$304,0))&amp;"","?"))</f>
        <v/>
      </c>
      <c r="N2379" s="2">
        <f>IF(E2379="","",IF(ISNUMBER(SEARCH("SUBSOLO",E2379)),IFERROR(-VALUE(LEFT(E2379,FIND("º",SUBSTITUTE(E2379,"°","º"))-1)),-1),IF(LEFT(E2379,6)="TÉRREO",0,IFERROR(VALUE(LEFT(E2379,FIND("º",SUBSTITUTE(E2379,"°","º"))-1)),""))))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M2380" s="2">
        <f>IF(C2380="","",IFERROR(INDEX($S$5:$S$304,MATCH(C2380,$R$5:$R$304,0))&amp;"","?"))</f>
        <v/>
      </c>
      <c r="N2380" s="2">
        <f>IF(E2380="","",IF(ISNUMBER(SEARCH("SUBSOLO",E2380)),IFERROR(-VALUE(LEFT(E2380,FIND("º",SUBSTITUTE(E2380,"°","º"))-1)),-1),IF(LEFT(E2380,6)="TÉRREO",0,IFERROR(VALUE(LEFT(E2380,FIND("º",SUBSTITUTE(E2380,"°","º"))-1)),""))))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M2381" s="2">
        <f>IF(C2381="","",IFERROR(INDEX($S$5:$S$304,MATCH(C2381,$R$5:$R$304,0))&amp;"","?"))</f>
        <v/>
      </c>
      <c r="N2381" s="2">
        <f>IF(E2381="","",IF(ISNUMBER(SEARCH("SUBSOLO",E2381)),IFERROR(-VALUE(LEFT(E2381,FIND("º",SUBSTITUTE(E2381,"°","º"))-1)),-1),IF(LEFT(E2381,6)="TÉRREO",0,IFERROR(VALUE(LEFT(E2381,FIND("º",SUBSTITUTE(E2381,"°","º"))-1)),""))))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M2382" s="2">
        <f>IF(C2382="","",IFERROR(INDEX($S$5:$S$304,MATCH(C2382,$R$5:$R$304,0))&amp;"","?"))</f>
        <v/>
      </c>
      <c r="N2382" s="2">
        <f>IF(E2382="","",IF(ISNUMBER(SEARCH("SUBSOLO",E2382)),IFERROR(-VALUE(LEFT(E2382,FIND("º",SUBSTITUTE(E2382,"°","º"))-1)),-1),IF(LEFT(E2382,6)="TÉRREO",0,IFERROR(VALUE(LEFT(E2382,FIND("º",SUBSTITUTE(E2382,"°","º"))-1)),""))))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M2383" s="2">
        <f>IF(C2383="","",IFERROR(INDEX($S$5:$S$304,MATCH(C2383,$R$5:$R$304,0))&amp;"","?"))</f>
        <v/>
      </c>
      <c r="N2383" s="2">
        <f>IF(E2383="","",IF(ISNUMBER(SEARCH("SUBSOLO",E2383)),IFERROR(-VALUE(LEFT(E2383,FIND("º",SUBSTITUTE(E2383,"°","º"))-1)),-1),IF(LEFT(E2383,6)="TÉRREO",0,IFERROR(VALUE(LEFT(E2383,FIND("º",SUBSTITUTE(E2383,"°","º"))-1)),""))))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M2384" s="2">
        <f>IF(C2384="","",IFERROR(INDEX($S$5:$S$304,MATCH(C2384,$R$5:$R$304,0))&amp;"","?"))</f>
        <v/>
      </c>
      <c r="N2384" s="2">
        <f>IF(E2384="","",IF(ISNUMBER(SEARCH("SUBSOLO",E2384)),IFERROR(-VALUE(LEFT(E2384,FIND("º",SUBSTITUTE(E2384,"°","º"))-1)),-1),IF(LEFT(E2384,6)="TÉRREO",0,IFERROR(VALUE(LEFT(E2384,FIND("º",SUBSTITUTE(E2384,"°","º"))-1)),""))))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M2385" s="2">
        <f>IF(C2385="","",IFERROR(INDEX($S$5:$S$304,MATCH(C2385,$R$5:$R$304,0))&amp;"","?"))</f>
        <v/>
      </c>
      <c r="N2385" s="2">
        <f>IF(E2385="","",IF(ISNUMBER(SEARCH("SUBSOLO",E2385)),IFERROR(-VALUE(LEFT(E2385,FIND("º",SUBSTITUTE(E2385,"°","º"))-1)),-1),IF(LEFT(E2385,6)="TÉRREO",0,IFERROR(VALUE(LEFT(E2385,FIND("º",SUBSTITUTE(E2385,"°","º"))-1)),""))))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M2386" s="2">
        <f>IF(C2386="","",IFERROR(INDEX($S$5:$S$304,MATCH(C2386,$R$5:$R$304,0))&amp;"","?"))</f>
        <v/>
      </c>
      <c r="N2386" s="2">
        <f>IF(E2386="","",IF(ISNUMBER(SEARCH("SUBSOLO",E2386)),IFERROR(-VALUE(LEFT(E2386,FIND("º",SUBSTITUTE(E2386,"°","º"))-1)),-1),IF(LEFT(E2386,6)="TÉRREO",0,IFERROR(VALUE(LEFT(E2386,FIND("º",SUBSTITUTE(E2386,"°","º"))-1)),""))))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M2387" s="2">
        <f>IF(C2387="","",IFERROR(INDEX($S$5:$S$304,MATCH(C2387,$R$5:$R$304,0))&amp;"","?"))</f>
        <v/>
      </c>
      <c r="N2387" s="2">
        <f>IF(E2387="","",IF(ISNUMBER(SEARCH("SUBSOLO",E2387)),IFERROR(-VALUE(LEFT(E2387,FIND("º",SUBSTITUTE(E2387,"°","º"))-1)),-1),IF(LEFT(E2387,6)="TÉRREO",0,IFERROR(VALUE(LEFT(E2387,FIND("º",SUBSTITUTE(E2387,"°","º"))-1)),""))))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M2388" s="2">
        <f>IF(C2388="","",IFERROR(INDEX($S$5:$S$304,MATCH(C2388,$R$5:$R$304,0))&amp;"","?"))</f>
        <v/>
      </c>
      <c r="N2388" s="2">
        <f>IF(E2388="","",IF(ISNUMBER(SEARCH("SUBSOLO",E2388)),IFERROR(-VALUE(LEFT(E2388,FIND("º",SUBSTITUTE(E2388,"°","º"))-1)),-1),IF(LEFT(E2388,6)="TÉRREO",0,IFERROR(VALUE(LEFT(E2388,FIND("º",SUBSTITUTE(E2388,"°","º"))-1)),""))))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M2389" s="2">
        <f>IF(C2389="","",IFERROR(INDEX($S$5:$S$304,MATCH(C2389,$R$5:$R$304,0))&amp;"","?"))</f>
        <v/>
      </c>
      <c r="N2389" s="2">
        <f>IF(E2389="","",IF(ISNUMBER(SEARCH("SUBSOLO",E2389)),IFERROR(-VALUE(LEFT(E2389,FIND("º",SUBSTITUTE(E2389,"°","º"))-1)),-1),IF(LEFT(E2389,6)="TÉRREO",0,IFERROR(VALUE(LEFT(E2389,FIND("º",SUBSTITUTE(E2389,"°","º"))-1)),""))))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M2390" s="2">
        <f>IF(C2390="","",IFERROR(INDEX($S$5:$S$304,MATCH(C2390,$R$5:$R$304,0))&amp;"","?"))</f>
        <v/>
      </c>
      <c r="N2390" s="2">
        <f>IF(E2390="","",IF(ISNUMBER(SEARCH("SUBSOLO",E2390)),IFERROR(-VALUE(LEFT(E2390,FIND("º",SUBSTITUTE(E2390,"°","º"))-1)),-1),IF(LEFT(E2390,6)="TÉRREO",0,IFERROR(VALUE(LEFT(E2390,FIND("º",SUBSTITUTE(E2390,"°","º"))-1)),""))))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M2391" s="2">
        <f>IF(C2391="","",IFERROR(INDEX($S$5:$S$304,MATCH(C2391,$R$5:$R$304,0))&amp;"","?"))</f>
        <v/>
      </c>
      <c r="N2391" s="2">
        <f>IF(E2391="","",IF(ISNUMBER(SEARCH("SUBSOLO",E2391)),IFERROR(-VALUE(LEFT(E2391,FIND("º",SUBSTITUTE(E2391,"°","º"))-1)),-1),IF(LEFT(E2391,6)="TÉRREO",0,IFERROR(VALUE(LEFT(E2391,FIND("º",SUBSTITUTE(E2391,"°","º"))-1)),""))))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  <row r="3005">
      <c r="M3005" s="2">
        <f>IF(C3005="","",IFERROR(INDEX($S$5:$S$304,MATCH(C3005,$R$5:$R$304,0))&amp;"","?"))</f>
        <v/>
      </c>
      <c r="N3005" s="2">
        <f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>
        <f>IF(OR(F3005="",G3005=""),"",IF(G3005&lt;='RETRATO 2027'!$K$5,"CONCLUÍDA",IF(F3005&lt;='RETRATO 2027'!$K$5,"EM ANDAMENTO","A INICIAR")))</f>
        <v/>
      </c>
    </row>
    <row r="3006">
      <c r="M3006" s="2">
        <f>IF(C3006="","",IFERROR(INDEX($S$5:$S$304,MATCH(C3006,$R$5:$R$304,0))&amp;"","?"))</f>
        <v/>
      </c>
      <c r="N3006" s="2">
        <f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>
        <f>IF(OR(F3006="",G3006=""),"",IF(G3006&lt;='RETRATO 2027'!$K$5,"CONCLUÍDA",IF(F3006&lt;='RETRATO 2027'!$K$5,"EM ANDAMENTO","A INICIAR")))</f>
        <v/>
      </c>
    </row>
    <row r="3007">
      <c r="M3007" s="2">
        <f>IF(C3007="","",IFERROR(INDEX($S$5:$S$304,MATCH(C3007,$R$5:$R$304,0))&amp;"","?"))</f>
        <v/>
      </c>
      <c r="N3007" s="2">
        <f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>
        <f>IF(OR(F3007="",G3007=""),"",IF(G3007&lt;='RETRATO 2027'!$K$5,"CONCLUÍDA",IF(F3007&lt;='RETRATO 2027'!$K$5,"EM ANDAMENTO","A INICIAR")))</f>
        <v/>
      </c>
    </row>
    <row r="3008">
      <c r="M3008" s="2">
        <f>IF(C3008="","",IFERROR(INDEX($S$5:$S$304,MATCH(C3008,$R$5:$R$304,0))&amp;"","?"))</f>
        <v/>
      </c>
      <c r="N3008" s="2">
        <f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>
        <f>IF(OR(F3008="",G3008=""),"",IF(G3008&lt;='RETRATO 2027'!$K$5,"CONCLUÍDA",IF(F3008&lt;='RETRATO 2027'!$K$5,"EM ANDAMENTO","A INICIAR")))</f>
        <v/>
      </c>
    </row>
    <row r="3009">
      <c r="M3009" s="2">
        <f>IF(C3009="","",IFERROR(INDEX($S$5:$S$304,MATCH(C3009,$R$5:$R$304,0))&amp;"","?"))</f>
        <v/>
      </c>
      <c r="N3009" s="2">
        <f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>
        <f>IF(OR(F3009="",G3009=""),"",IF(G3009&lt;='RETRATO 2027'!$K$5,"CONCLUÍDA",IF(F3009&lt;='RETRATO 2027'!$K$5,"EM ANDAMENTO","A INICIAR")))</f>
        <v/>
      </c>
    </row>
    <row r="3010">
      <c r="M3010" s="2">
        <f>IF(C3010="","",IFERROR(INDEX($S$5:$S$304,MATCH(C3010,$R$5:$R$304,0))&amp;"","?"))</f>
        <v/>
      </c>
      <c r="N3010" s="2">
        <f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>
        <f>IF(OR(F3010="",G3010=""),"",IF(G3010&lt;='RETRATO 2027'!$K$5,"CONCLUÍDA",IF(F3010&lt;='RETRATO 2027'!$K$5,"EM ANDAMENTO","A INICIAR")))</f>
        <v/>
      </c>
    </row>
    <row r="3011">
      <c r="M3011" s="2">
        <f>IF(C3011="","",IFERROR(INDEX($S$5:$S$304,MATCH(C3011,$R$5:$R$304,0))&amp;"","?"))</f>
        <v/>
      </c>
      <c r="N3011" s="2">
        <f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>
        <f>IF(OR(F3011="",G3011=""),"",IF(G3011&lt;='RETRATO 2027'!$K$5,"CONCLUÍDA",IF(F3011&lt;='RETRATO 2027'!$K$5,"EM ANDAMENTO","A INICIAR")))</f>
        <v/>
      </c>
    </row>
    <row r="3012">
      <c r="M3012" s="2">
        <f>IF(C3012="","",IFERROR(INDEX($S$5:$S$304,MATCH(C3012,$R$5:$R$304,0))&amp;"","?"))</f>
        <v/>
      </c>
      <c r="N3012" s="2">
        <f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>
        <f>IF(OR(F3012="",G3012=""),"",IF(G3012&lt;='RETRATO 2027'!$K$5,"CONCLUÍDA",IF(F3012&lt;='RETRATO 2027'!$K$5,"EM ANDAMENTO","A INICIAR")))</f>
        <v/>
      </c>
    </row>
    <row r="3013">
      <c r="M3013" s="2">
        <f>IF(C3013="","",IFERROR(INDEX($S$5:$S$304,MATCH(C3013,$R$5:$R$304,0))&amp;"","?"))</f>
        <v/>
      </c>
      <c r="N3013" s="2">
        <f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>
        <f>IF(OR(F3013="",G3013=""),"",IF(G3013&lt;='RETRATO 2027'!$K$5,"CONCLUÍDA",IF(F3013&lt;='RETRATO 2027'!$K$5,"EM ANDAMENTO","A INICIAR")))</f>
        <v/>
      </c>
    </row>
    <row r="3014">
      <c r="M3014" s="2">
        <f>IF(C3014="","",IFERROR(INDEX($S$5:$S$304,MATCH(C3014,$R$5:$R$304,0))&amp;"","?"))</f>
        <v/>
      </c>
      <c r="N3014" s="2">
        <f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>
        <f>IF(OR(F3014="",G3014=""),"",IF(G3014&lt;='RETRATO 2027'!$K$5,"CONCLUÍDA",IF(F3014&lt;='RETRATO 2027'!$K$5,"EM ANDAMENTO","A INICIAR")))</f>
        <v/>
      </c>
    </row>
    <row r="3015">
      <c r="M3015" s="2">
        <f>IF(C3015="","",IFERROR(INDEX($S$5:$S$304,MATCH(C3015,$R$5:$R$304,0))&amp;"","?"))</f>
        <v/>
      </c>
      <c r="N3015" s="2">
        <f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>
        <f>IF(OR(F3015="",G3015=""),"",IF(G3015&lt;='RETRATO 2027'!$K$5,"CONCLUÍDA",IF(F3015&lt;='RETRATO 2027'!$K$5,"EM ANDAMENTO","A INICIAR")))</f>
        <v/>
      </c>
    </row>
    <row r="3016">
      <c r="M3016" s="2">
        <f>IF(C3016="","",IFERROR(INDEX($S$5:$S$304,MATCH(C3016,$R$5:$R$304,0))&amp;"","?"))</f>
        <v/>
      </c>
      <c r="N3016" s="2">
        <f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>
        <f>IF(OR(F3016="",G3016=""),"",IF(G3016&lt;='RETRATO 2027'!$K$5,"CONCLUÍDA",IF(F3016&lt;='RETRATO 2027'!$K$5,"EM ANDAMENTO","A INICIAR")))</f>
        <v/>
      </c>
    </row>
    <row r="3017">
      <c r="M3017" s="2">
        <f>IF(C3017="","",IFERROR(INDEX($S$5:$S$304,MATCH(C3017,$R$5:$R$304,0))&amp;"","?"))</f>
        <v/>
      </c>
      <c r="N3017" s="2">
        <f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>
        <f>IF(OR(F3017="",G3017=""),"",IF(G3017&lt;='RETRATO 2027'!$K$5,"CONCLUÍDA",IF(F3017&lt;='RETRATO 2027'!$K$5,"EM ANDAMENTO","A INICIAR")))</f>
        <v/>
      </c>
    </row>
    <row r="3018">
      <c r="M3018" s="2">
        <f>IF(C3018="","",IFERROR(INDEX($S$5:$S$304,MATCH(C3018,$R$5:$R$304,0))&amp;"","?"))</f>
        <v/>
      </c>
      <c r="N3018" s="2">
        <f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>
        <f>IF(OR(F3018="",G3018=""),"",IF(G3018&lt;='RETRATO 2027'!$K$5,"CONCLUÍDA",IF(F3018&lt;='RETRATO 2027'!$K$5,"EM ANDAMENTO","A INICIAR")))</f>
        <v/>
      </c>
    </row>
    <row r="3019">
      <c r="M3019" s="2">
        <f>IF(C3019="","",IFERROR(INDEX($S$5:$S$304,MATCH(C3019,$R$5:$R$304,0))&amp;"","?"))</f>
        <v/>
      </c>
      <c r="N3019" s="2">
        <f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>
        <f>IF(OR(F3019="",G3019=""),"",IF(G3019&lt;='RETRATO 2027'!$K$5,"CONCLUÍDA",IF(F3019&lt;='RETRATO 2027'!$K$5,"EM ANDAMENTO","A INICIAR")))</f>
        <v/>
      </c>
    </row>
    <row r="3020">
      <c r="M3020" s="2">
        <f>IF(C3020="","",IFERROR(INDEX($S$5:$S$304,MATCH(C3020,$R$5:$R$304,0))&amp;"","?"))</f>
        <v/>
      </c>
      <c r="N3020" s="2">
        <f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>
        <f>IF(OR(F3020="",G3020=""),"",IF(G3020&lt;='RETRATO 2027'!$K$5,"CONCLUÍDA",IF(F3020&lt;='RETRATO 2027'!$K$5,"EM ANDAMENTO","A INICIAR")))</f>
        <v/>
      </c>
    </row>
    <row r="3021">
      <c r="M3021" s="2">
        <f>IF(C3021="","",IFERROR(INDEX($S$5:$S$304,MATCH(C3021,$R$5:$R$304,0))&amp;"","?"))</f>
        <v/>
      </c>
      <c r="N3021" s="2">
        <f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>
        <f>IF(OR(F3021="",G3021=""),"",IF(G3021&lt;='RETRATO 2027'!$K$5,"CONCLUÍDA",IF(F3021&lt;='RETRATO 2027'!$K$5,"EM ANDAMENTO","A INICIAR")))</f>
        <v/>
      </c>
    </row>
    <row r="3022">
      <c r="M3022" s="2">
        <f>IF(C3022="","",IFERROR(INDEX($S$5:$S$304,MATCH(C3022,$R$5:$R$304,0))&amp;"","?"))</f>
        <v/>
      </c>
      <c r="N3022" s="2">
        <f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>
        <f>IF(OR(F3022="",G3022=""),"",IF(G3022&lt;='RETRATO 2027'!$K$5,"CONCLUÍDA",IF(F3022&lt;='RETRATO 2027'!$K$5,"EM ANDAMENTO","A INICIAR")))</f>
        <v/>
      </c>
    </row>
    <row r="3023">
      <c r="M3023" s="2">
        <f>IF(C3023="","",IFERROR(INDEX($S$5:$S$304,MATCH(C3023,$R$5:$R$304,0))&amp;"","?"))</f>
        <v/>
      </c>
      <c r="N3023" s="2">
        <f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>
        <f>IF(OR(F3023="",G3023=""),"",IF(G3023&lt;='RETRATO 2027'!$K$5,"CONCLUÍDA",IF(F3023&lt;='RETRATO 2027'!$K$5,"EM ANDAMENTO","A INICIAR")))</f>
        <v/>
      </c>
    </row>
    <row r="3024">
      <c r="M3024" s="2">
        <f>IF(C3024="","",IFERROR(INDEX($S$5:$S$304,MATCH(C3024,$R$5:$R$304,0))&amp;"","?"))</f>
        <v/>
      </c>
      <c r="N3024" s="2">
        <f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>
        <f>IF(OR(F3024="",G3024=""),"",IF(G3024&lt;='RETRATO 2027'!$K$5,"CONCLUÍDA",IF(F3024&lt;='RETRATO 2027'!$K$5,"EM ANDAMENTO","A INICIAR")))</f>
        <v/>
      </c>
    </row>
    <row r="3025">
      <c r="M3025" s="2">
        <f>IF(C3025="","",IFERROR(INDEX($S$5:$S$304,MATCH(C3025,$R$5:$R$304,0))&amp;"","?"))</f>
        <v/>
      </c>
      <c r="N3025" s="2">
        <f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>
        <f>IF(OR(F3025="",G3025=""),"",IF(G3025&lt;='RETRATO 2027'!$K$5,"CONCLUÍDA",IF(F3025&lt;='RETRATO 2027'!$K$5,"EM ANDAMENTO","A INICIAR")))</f>
        <v/>
      </c>
    </row>
    <row r="3026">
      <c r="M3026" s="2">
        <f>IF(C3026="","",IFERROR(INDEX($S$5:$S$304,MATCH(C3026,$R$5:$R$304,0))&amp;"","?"))</f>
        <v/>
      </c>
      <c r="N3026" s="2">
        <f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>
        <f>IF(OR(F3026="",G3026=""),"",IF(G3026&lt;='RETRATO 2027'!$K$5,"CONCLUÍDA",IF(F3026&lt;='RETRATO 2027'!$K$5,"EM ANDAMENTO","A INICIAR")))</f>
        <v/>
      </c>
    </row>
    <row r="3027">
      <c r="M3027" s="2">
        <f>IF(C3027="","",IFERROR(INDEX($S$5:$S$304,MATCH(C3027,$R$5:$R$304,0))&amp;"","?"))</f>
        <v/>
      </c>
      <c r="N3027" s="2">
        <f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>
        <f>IF(OR(F3027="",G3027=""),"",IF(G3027&lt;='RETRATO 2027'!$K$5,"CONCLUÍDA",IF(F3027&lt;='RETRATO 2027'!$K$5,"EM ANDAMENTO","A INICIAR")))</f>
        <v/>
      </c>
    </row>
    <row r="3028">
      <c r="M3028" s="2">
        <f>IF(C3028="","",IFERROR(INDEX($S$5:$S$304,MATCH(C3028,$R$5:$R$304,0))&amp;"","?"))</f>
        <v/>
      </c>
      <c r="N3028" s="2">
        <f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>
        <f>IF(OR(F3028="",G3028=""),"",IF(G3028&lt;='RETRATO 2027'!$K$5,"CONCLUÍDA",IF(F3028&lt;='RETRATO 2027'!$K$5,"EM ANDAMENTO","A INICIAR")))</f>
        <v/>
      </c>
    </row>
    <row r="3029">
      <c r="M3029" s="2">
        <f>IF(C3029="","",IFERROR(INDEX($S$5:$S$304,MATCH(C3029,$R$5:$R$304,0))&amp;"","?"))</f>
        <v/>
      </c>
      <c r="N3029" s="2">
        <f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>
        <f>IF(OR(F3029="",G3029=""),"",IF(G3029&lt;='RETRATO 2027'!$K$5,"CONCLUÍDA",IF(F3029&lt;='RETRATO 2027'!$K$5,"EM ANDAMENTO","A INICIAR")))</f>
        <v/>
      </c>
    </row>
    <row r="3030">
      <c r="M3030" s="2">
        <f>IF(C3030="","",IFERROR(INDEX($S$5:$S$304,MATCH(C3030,$R$5:$R$304,0))&amp;"","?"))</f>
        <v/>
      </c>
      <c r="N3030" s="2">
        <f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>
        <f>IF(OR(F3030="",G3030=""),"",IF(G3030&lt;='RETRATO 2027'!$K$5,"CONCLUÍDA",IF(F3030&lt;='RETRATO 2027'!$K$5,"EM ANDAMENTO","A INICIAR")))</f>
        <v/>
      </c>
    </row>
    <row r="3031">
      <c r="M3031" s="2">
        <f>IF(C3031="","",IFERROR(INDEX($S$5:$S$304,MATCH(C3031,$R$5:$R$304,0))&amp;"","?"))</f>
        <v/>
      </c>
      <c r="N3031" s="2">
        <f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>
        <f>IF(OR(F3031="",G3031=""),"",IF(G3031&lt;='RETRATO 2027'!$K$5,"CONCLUÍDA",IF(F3031&lt;='RETRATO 2027'!$K$5,"EM ANDAMENTO","A INICIAR")))</f>
        <v/>
      </c>
    </row>
    <row r="3032">
      <c r="M3032" s="2">
        <f>IF(C3032="","",IFERROR(INDEX($S$5:$S$304,MATCH(C3032,$R$5:$R$304,0))&amp;"","?"))</f>
        <v/>
      </c>
      <c r="N3032" s="2">
        <f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>
        <f>IF(OR(F3032="",G3032=""),"",IF(G3032&lt;='RETRATO 2027'!$K$5,"CONCLUÍDA",IF(F3032&lt;='RETRATO 2027'!$K$5,"EM ANDAMENTO","A INICIAR")))</f>
        <v/>
      </c>
    </row>
    <row r="3033">
      <c r="M3033" s="2">
        <f>IF(C3033="","",IFERROR(INDEX($S$5:$S$304,MATCH(C3033,$R$5:$R$304,0))&amp;"","?"))</f>
        <v/>
      </c>
      <c r="N3033" s="2">
        <f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>
        <f>IF(OR(F3033="",G3033=""),"",IF(G3033&lt;='RETRATO 2027'!$K$5,"CONCLUÍDA",IF(F3033&lt;='RETRATO 2027'!$K$5,"EM ANDAMENTO","A INICIAR")))</f>
        <v/>
      </c>
    </row>
    <row r="3034">
      <c r="M3034" s="2">
        <f>IF(C3034="","",IFERROR(INDEX($S$5:$S$304,MATCH(C3034,$R$5:$R$304,0))&amp;"","?"))</f>
        <v/>
      </c>
      <c r="N3034" s="2">
        <f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>
        <f>IF(OR(F3034="",G3034=""),"",IF(G3034&lt;='RETRATO 2027'!$K$5,"CONCLUÍDA",IF(F3034&lt;='RETRATO 2027'!$K$5,"EM ANDAMENTO","A INICIAR")))</f>
        <v/>
      </c>
    </row>
    <row r="3035">
      <c r="M3035" s="2">
        <f>IF(C3035="","",IFERROR(INDEX($S$5:$S$304,MATCH(C3035,$R$5:$R$304,0))&amp;"","?"))</f>
        <v/>
      </c>
      <c r="N3035" s="2">
        <f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>
        <f>IF(OR(F3035="",G3035=""),"",IF(G3035&lt;='RETRATO 2027'!$K$5,"CONCLUÍDA",IF(F3035&lt;='RETRATO 2027'!$K$5,"EM ANDAMENTO","A INICIAR")))</f>
        <v/>
      </c>
    </row>
    <row r="3036">
      <c r="M3036" s="2">
        <f>IF(C3036="","",IFERROR(INDEX($S$5:$S$304,MATCH(C3036,$R$5:$R$304,0))&amp;"","?"))</f>
        <v/>
      </c>
      <c r="N3036" s="2">
        <f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>
        <f>IF(OR(F3036="",G3036=""),"",IF(G3036&lt;='RETRATO 2027'!$K$5,"CONCLUÍDA",IF(F3036&lt;='RETRATO 2027'!$K$5,"EM ANDAMENTO","A INICIAR")))</f>
        <v/>
      </c>
    </row>
    <row r="3037">
      <c r="M3037" s="2">
        <f>IF(C3037="","",IFERROR(INDEX($S$5:$S$304,MATCH(C3037,$R$5:$R$304,0))&amp;"","?"))</f>
        <v/>
      </c>
      <c r="N3037" s="2">
        <f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>
        <f>IF(OR(F3037="",G3037=""),"",IF(G3037&lt;='RETRATO 2027'!$K$5,"CONCLUÍDA",IF(F3037&lt;='RETRATO 2027'!$K$5,"EM ANDAMENTO","A INICIAR")))</f>
        <v/>
      </c>
    </row>
    <row r="3038">
      <c r="M3038" s="2">
        <f>IF(C3038="","",IFERROR(INDEX($S$5:$S$304,MATCH(C3038,$R$5:$R$304,0))&amp;"","?"))</f>
        <v/>
      </c>
      <c r="N3038" s="2">
        <f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>
        <f>IF(OR(F3038="",G3038=""),"",IF(G3038&lt;='RETRATO 2027'!$K$5,"CONCLUÍDA",IF(F3038&lt;='RETRATO 2027'!$K$5,"EM ANDAMENTO","A INICIAR")))</f>
        <v/>
      </c>
    </row>
    <row r="3039">
      <c r="M3039" s="2">
        <f>IF(C3039="","",IFERROR(INDEX($S$5:$S$304,MATCH(C3039,$R$5:$R$304,0))&amp;"","?"))</f>
        <v/>
      </c>
      <c r="N3039" s="2">
        <f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>
        <f>IF(OR(F3039="",G3039=""),"",IF(G3039&lt;='RETRATO 2027'!$K$5,"CONCLUÍDA",IF(F3039&lt;='RETRATO 2027'!$K$5,"EM ANDAMENTO","A INICIAR")))</f>
        <v/>
      </c>
    </row>
    <row r="3040">
      <c r="M3040" s="2">
        <f>IF(C3040="","",IFERROR(INDEX($S$5:$S$304,MATCH(C3040,$R$5:$R$304,0))&amp;"","?"))</f>
        <v/>
      </c>
      <c r="N3040" s="2">
        <f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>
        <f>IF(OR(F3040="",G3040=""),"",IF(G3040&lt;='RETRATO 2027'!$K$5,"CONCLUÍDA",IF(F3040&lt;='RETRATO 2027'!$K$5,"EM ANDAMENTO","A INICIAR")))</f>
        <v/>
      </c>
    </row>
    <row r="3041">
      <c r="M3041" s="2">
        <f>IF(C3041="","",IFERROR(INDEX($S$5:$S$304,MATCH(C3041,$R$5:$R$304,0))&amp;"","?"))</f>
        <v/>
      </c>
      <c r="N3041" s="2">
        <f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>
        <f>IF(OR(F3041="",G3041=""),"",IF(G3041&lt;='RETRATO 2027'!$K$5,"CONCLUÍDA",IF(F3041&lt;='RETRATO 2027'!$K$5,"EM ANDAMENTO","A INICIAR")))</f>
        <v/>
      </c>
    </row>
    <row r="3042">
      <c r="M3042" s="2">
        <f>IF(C3042="","",IFERROR(INDEX($S$5:$S$304,MATCH(C3042,$R$5:$R$304,0))&amp;"","?"))</f>
        <v/>
      </c>
      <c r="N3042" s="2">
        <f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>
        <f>IF(OR(F3042="",G3042=""),"",IF(G3042&lt;='RETRATO 2027'!$K$5,"CONCLUÍDA",IF(F3042&lt;='RETRATO 2027'!$K$5,"EM ANDAMENTO","A INICIAR")))</f>
        <v/>
      </c>
    </row>
    <row r="3043">
      <c r="M3043" s="2">
        <f>IF(C3043="","",IFERROR(INDEX($S$5:$S$304,MATCH(C3043,$R$5:$R$304,0))&amp;"","?"))</f>
        <v/>
      </c>
      <c r="N3043" s="2">
        <f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>
        <f>IF(OR(F3043="",G3043=""),"",IF(G3043&lt;='RETRATO 2027'!$K$5,"CONCLUÍDA",IF(F3043&lt;='RETRATO 2027'!$K$5,"EM ANDAMENTO","A INICIAR")))</f>
        <v/>
      </c>
    </row>
    <row r="3044">
      <c r="M3044" s="2">
        <f>IF(C3044="","",IFERROR(INDEX($S$5:$S$304,MATCH(C3044,$R$5:$R$304,0))&amp;"","?"))</f>
        <v/>
      </c>
      <c r="N3044" s="2">
        <f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>
        <f>IF(OR(F3044="",G3044=""),"",IF(G3044&lt;='RETRATO 2027'!$K$5,"CONCLUÍDA",IF(F3044&lt;='RETRATO 2027'!$K$5,"EM ANDAMENTO","A INICIAR")))</f>
        <v/>
      </c>
    </row>
    <row r="3045">
      <c r="M3045" s="2">
        <f>IF(C3045="","",IFERROR(INDEX($S$5:$S$304,MATCH(C3045,$R$5:$R$304,0))&amp;"","?"))</f>
        <v/>
      </c>
      <c r="N3045" s="2">
        <f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>
        <f>IF(OR(F3045="",G3045=""),"",IF(G3045&lt;='RETRATO 2027'!$K$5,"CONCLUÍDA",IF(F3045&lt;='RETRATO 2027'!$K$5,"EM ANDAMENTO","A INICIAR")))</f>
        <v/>
      </c>
    </row>
    <row r="3046">
      <c r="M3046" s="2">
        <f>IF(C3046="","",IFERROR(INDEX($S$5:$S$304,MATCH(C3046,$R$5:$R$304,0))&amp;"","?"))</f>
        <v/>
      </c>
      <c r="N3046" s="2">
        <f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>
        <f>IF(OR(F3046="",G3046=""),"",IF(G3046&lt;='RETRATO 2027'!$K$5,"CONCLUÍDA",IF(F3046&lt;='RETRATO 2027'!$K$5,"EM ANDAMENTO","A INICIAR")))</f>
        <v/>
      </c>
    </row>
    <row r="3047">
      <c r="M3047" s="2">
        <f>IF(C3047="","",IFERROR(INDEX($S$5:$S$304,MATCH(C3047,$R$5:$R$304,0))&amp;"","?"))</f>
        <v/>
      </c>
      <c r="N3047" s="2">
        <f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>
        <f>IF(OR(F3047="",G3047=""),"",IF(G3047&lt;='RETRATO 2027'!$K$5,"CONCLUÍDA",IF(F3047&lt;='RETRATO 2027'!$K$5,"EM ANDAMENTO","A INICIAR")))</f>
        <v/>
      </c>
    </row>
    <row r="3048">
      <c r="M3048" s="2">
        <f>IF(C3048="","",IFERROR(INDEX($S$5:$S$304,MATCH(C3048,$R$5:$R$304,0))&amp;"","?"))</f>
        <v/>
      </c>
      <c r="N3048" s="2">
        <f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>
        <f>IF(OR(F3048="",G3048=""),"",IF(G3048&lt;='RETRATO 2027'!$K$5,"CONCLUÍDA",IF(F3048&lt;='RETRATO 2027'!$K$5,"EM ANDAMENTO","A INICIAR")))</f>
        <v/>
      </c>
    </row>
    <row r="3049">
      <c r="M3049" s="2">
        <f>IF(C3049="","",IFERROR(INDEX($S$5:$S$304,MATCH(C3049,$R$5:$R$304,0))&amp;"","?"))</f>
        <v/>
      </c>
      <c r="N3049" s="2">
        <f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>
        <f>IF(OR(F3049="",G3049=""),"",IF(G3049&lt;='RETRATO 2027'!$K$5,"CONCLUÍDA",IF(F3049&lt;='RETRATO 2027'!$K$5,"EM ANDAMENTO","A INICIAR")))</f>
        <v/>
      </c>
    </row>
    <row r="3050">
      <c r="M3050" s="2">
        <f>IF(C3050="","",IFERROR(INDEX($S$5:$S$304,MATCH(C3050,$R$5:$R$304,0))&amp;"","?"))</f>
        <v/>
      </c>
      <c r="N3050" s="2">
        <f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>
        <f>IF(OR(F3050="",G3050=""),"",IF(G3050&lt;='RETRATO 2027'!$K$5,"CONCLUÍDA",IF(F3050&lt;='RETRATO 2027'!$K$5,"EM ANDAMENTO","A INICIAR")))</f>
        <v/>
      </c>
    </row>
    <row r="3051">
      <c r="M3051" s="2">
        <f>IF(C3051="","",IFERROR(INDEX($S$5:$S$304,MATCH(C3051,$R$5:$R$304,0))&amp;"","?"))</f>
        <v/>
      </c>
      <c r="N3051" s="2">
        <f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>
        <f>IF(OR(F3051="",G3051=""),"",IF(G3051&lt;='RETRATO 2027'!$K$5,"CONCLUÍDA",IF(F3051&lt;='RETRATO 2027'!$K$5,"EM ANDAMENTO","A INICIAR")))</f>
        <v/>
      </c>
    </row>
    <row r="3052">
      <c r="M3052" s="2">
        <f>IF(C3052="","",IFERROR(INDEX($S$5:$S$304,MATCH(C3052,$R$5:$R$304,0))&amp;"","?"))</f>
        <v/>
      </c>
      <c r="N3052" s="2">
        <f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>
        <f>IF(OR(F3052="",G3052=""),"",IF(G3052&lt;='RETRATO 2027'!$K$5,"CONCLUÍDA",IF(F3052&lt;='RETRATO 2027'!$K$5,"EM ANDAMENTO","A INICIAR")))</f>
        <v/>
      </c>
    </row>
    <row r="3053">
      <c r="M3053" s="2">
        <f>IF(C3053="","",IFERROR(INDEX($S$5:$S$304,MATCH(C3053,$R$5:$R$304,0))&amp;"","?"))</f>
        <v/>
      </c>
      <c r="N3053" s="2">
        <f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>
        <f>IF(OR(F3053="",G3053=""),"",IF(G3053&lt;='RETRATO 2027'!$K$5,"CONCLUÍDA",IF(F3053&lt;='RETRATO 2027'!$K$5,"EM ANDAMENTO","A INICIAR")))</f>
        <v/>
      </c>
    </row>
    <row r="3054">
      <c r="M3054" s="2">
        <f>IF(C3054="","",IFERROR(INDEX($S$5:$S$304,MATCH(C3054,$R$5:$R$304,0))&amp;"","?"))</f>
        <v/>
      </c>
      <c r="N3054" s="2">
        <f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>
        <f>IF(OR(F3054="",G3054=""),"",IF(G3054&lt;='RETRATO 2027'!$K$5,"CONCLUÍDA",IF(F3054&lt;='RETRATO 2027'!$K$5,"EM ANDAMENTO","A INICIAR")))</f>
        <v/>
      </c>
    </row>
    <row r="3055">
      <c r="M3055" s="2">
        <f>IF(C3055="","",IFERROR(INDEX($S$5:$S$304,MATCH(C3055,$R$5:$R$304,0))&amp;"","?"))</f>
        <v/>
      </c>
      <c r="N3055" s="2">
        <f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>
        <f>IF(OR(F3055="",G3055=""),"",IF(G3055&lt;='RETRATO 2027'!$K$5,"CONCLUÍDA",IF(F3055&lt;='RETRATO 2027'!$K$5,"EM ANDAMENTO","A INICIAR")))</f>
        <v/>
      </c>
    </row>
    <row r="3056">
      <c r="M3056" s="2">
        <f>IF(C3056="","",IFERROR(INDEX($S$5:$S$304,MATCH(C3056,$R$5:$R$304,0))&amp;"","?"))</f>
        <v/>
      </c>
      <c r="N3056" s="2">
        <f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>
        <f>IF(OR(F3056="",G3056=""),"",IF(G3056&lt;='RETRATO 2027'!$K$5,"CONCLUÍDA",IF(F3056&lt;='RETRATO 2027'!$K$5,"EM ANDAMENTO","A INICIAR")))</f>
        <v/>
      </c>
    </row>
    <row r="3057">
      <c r="M3057" s="2">
        <f>IF(C3057="","",IFERROR(INDEX($S$5:$S$304,MATCH(C3057,$R$5:$R$304,0))&amp;"","?"))</f>
        <v/>
      </c>
      <c r="N3057" s="2">
        <f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>
        <f>IF(OR(F3057="",G3057=""),"",IF(G3057&lt;='RETRATO 2027'!$K$5,"CONCLUÍDA",IF(F3057&lt;='RETRATO 2027'!$K$5,"EM ANDAMENTO","A INICIAR")))</f>
        <v/>
      </c>
    </row>
    <row r="3058">
      <c r="M3058" s="2">
        <f>IF(C3058="","",IFERROR(INDEX($S$5:$S$304,MATCH(C3058,$R$5:$R$304,0))&amp;"","?"))</f>
        <v/>
      </c>
      <c r="N3058" s="2">
        <f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>
        <f>IF(OR(F3058="",G3058=""),"",IF(G3058&lt;='RETRATO 2027'!$K$5,"CONCLUÍDA",IF(F3058&lt;='RETRATO 2027'!$K$5,"EM ANDAMENTO","A INICIAR")))</f>
        <v/>
      </c>
    </row>
    <row r="3059">
      <c r="M3059" s="2">
        <f>IF(C3059="","",IFERROR(INDEX($S$5:$S$304,MATCH(C3059,$R$5:$R$304,0))&amp;"","?"))</f>
        <v/>
      </c>
      <c r="N3059" s="2">
        <f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>
        <f>IF(OR(F3059="",G3059=""),"",IF(G3059&lt;='RETRATO 2027'!$K$5,"CONCLUÍDA",IF(F3059&lt;='RETRATO 2027'!$K$5,"EM ANDAMENTO","A INICIAR")))</f>
        <v/>
      </c>
    </row>
    <row r="3060">
      <c r="M3060" s="2">
        <f>IF(C3060="","",IFERROR(INDEX($S$5:$S$304,MATCH(C3060,$R$5:$R$304,0))&amp;"","?"))</f>
        <v/>
      </c>
      <c r="N3060" s="2">
        <f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>
        <f>IF(OR(F3060="",G3060=""),"",IF(G3060&lt;='RETRATO 2027'!$K$5,"CONCLUÍDA",IF(F3060&lt;='RETRATO 2027'!$K$5,"EM ANDAMENTO","A INICIAR")))</f>
        <v/>
      </c>
    </row>
    <row r="3061">
      <c r="M3061" s="2">
        <f>IF(C3061="","",IFERROR(INDEX($S$5:$S$304,MATCH(C3061,$R$5:$R$304,0))&amp;"","?"))</f>
        <v/>
      </c>
      <c r="N3061" s="2">
        <f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>
        <f>IF(OR(F3061="",G3061=""),"",IF(G3061&lt;='RETRATO 2027'!$K$5,"CONCLUÍDA",IF(F3061&lt;='RETRATO 2027'!$K$5,"EM ANDAMENTO","A INICIAR")))</f>
        <v/>
      </c>
    </row>
    <row r="3062">
      <c r="M3062" s="2">
        <f>IF(C3062="","",IFERROR(INDEX($S$5:$S$304,MATCH(C3062,$R$5:$R$304,0))&amp;"","?"))</f>
        <v/>
      </c>
      <c r="N3062" s="2">
        <f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>
        <f>IF(OR(F3062="",G3062=""),"",IF(G3062&lt;='RETRATO 2027'!$K$5,"CONCLUÍDA",IF(F3062&lt;='RETRATO 2027'!$K$5,"EM ANDAMENTO","A INICIAR")))</f>
        <v/>
      </c>
    </row>
    <row r="3063">
      <c r="M3063" s="2">
        <f>IF(C3063="","",IFERROR(INDEX($S$5:$S$304,MATCH(C3063,$R$5:$R$304,0))&amp;"","?"))</f>
        <v/>
      </c>
      <c r="N3063" s="2">
        <f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>
        <f>IF(OR(F3063="",G3063=""),"",IF(G3063&lt;='RETRATO 2027'!$K$5,"CONCLUÍDA",IF(F3063&lt;='RETRATO 2027'!$K$5,"EM ANDAMENTO","A INICIAR")))</f>
        <v/>
      </c>
    </row>
    <row r="3064">
      <c r="M3064" s="2">
        <f>IF(C3064="","",IFERROR(INDEX($S$5:$S$304,MATCH(C3064,$R$5:$R$304,0))&amp;"","?"))</f>
        <v/>
      </c>
      <c r="N3064" s="2">
        <f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>
        <f>IF(OR(F3064="",G3064=""),"",IF(G3064&lt;='RETRATO 2027'!$K$5,"CONCLUÍDA",IF(F3064&lt;='RETRATO 2027'!$K$5,"EM ANDAMENTO","A INICIAR")))</f>
        <v/>
      </c>
    </row>
    <row r="3065">
      <c r="M3065" s="2">
        <f>IF(C3065="","",IFERROR(INDEX($S$5:$S$304,MATCH(C3065,$R$5:$R$304,0))&amp;"","?"))</f>
        <v/>
      </c>
      <c r="N3065" s="2">
        <f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>
        <f>IF(OR(F3065="",G3065=""),"",IF(G3065&lt;='RETRATO 2027'!$K$5,"CONCLUÍDA",IF(F3065&lt;='RETRATO 2027'!$K$5,"EM ANDAMENTO","A INICIAR")))</f>
        <v/>
      </c>
    </row>
    <row r="3066">
      <c r="M3066" s="2">
        <f>IF(C3066="","",IFERROR(INDEX($S$5:$S$304,MATCH(C3066,$R$5:$R$304,0))&amp;"","?"))</f>
        <v/>
      </c>
      <c r="N3066" s="2">
        <f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>
        <f>IF(OR(F3066="",G3066=""),"",IF(G3066&lt;='RETRATO 2027'!$K$5,"CONCLUÍDA",IF(F3066&lt;='RETRATO 2027'!$K$5,"EM ANDAMENTO","A INICIAR")))</f>
        <v/>
      </c>
    </row>
    <row r="3067">
      <c r="M3067" s="2">
        <f>IF(C3067="","",IFERROR(INDEX($S$5:$S$304,MATCH(C3067,$R$5:$R$304,0))&amp;"","?"))</f>
        <v/>
      </c>
      <c r="N3067" s="2">
        <f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>
        <f>IF(OR(F3067="",G3067=""),"",IF(G3067&lt;='RETRATO 2027'!$K$5,"CONCLUÍDA",IF(F3067&lt;='RETRATO 2027'!$K$5,"EM ANDAMENTO","A INICIAR")))</f>
        <v/>
      </c>
    </row>
    <row r="3068">
      <c r="M3068" s="2">
        <f>IF(C3068="","",IFERROR(INDEX($S$5:$S$304,MATCH(C3068,$R$5:$R$304,0))&amp;"","?"))</f>
        <v/>
      </c>
      <c r="N3068" s="2">
        <f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>
        <f>IF(OR(F3068="",G3068=""),"",IF(G3068&lt;='RETRATO 2027'!$K$5,"CONCLUÍDA",IF(F3068&lt;='RETRATO 2027'!$K$5,"EM ANDAMENTO","A INICIAR")))</f>
        <v/>
      </c>
    </row>
    <row r="3069">
      <c r="M3069" s="2">
        <f>IF(C3069="","",IFERROR(INDEX($S$5:$S$304,MATCH(C3069,$R$5:$R$304,0))&amp;"","?"))</f>
        <v/>
      </c>
      <c r="N3069" s="2">
        <f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>
        <f>IF(OR(F3069="",G3069=""),"",IF(G3069&lt;='RETRATO 2027'!$K$5,"CONCLUÍDA",IF(F3069&lt;='RETRATO 2027'!$K$5,"EM ANDAMENTO","A INICIAR")))</f>
        <v/>
      </c>
    </row>
    <row r="3070">
      <c r="M3070" s="2">
        <f>IF(C3070="","",IFERROR(INDEX($S$5:$S$304,MATCH(C3070,$R$5:$R$304,0))&amp;"","?"))</f>
        <v/>
      </c>
      <c r="N3070" s="2">
        <f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>
        <f>IF(OR(F3070="",G3070=""),"",IF(G3070&lt;='RETRATO 2027'!$K$5,"CONCLUÍDA",IF(F3070&lt;='RETRATO 2027'!$K$5,"EM ANDAMENTO","A INICIAR")))</f>
        <v/>
      </c>
    </row>
    <row r="3071">
      <c r="M3071" s="2">
        <f>IF(C3071="","",IFERROR(INDEX($S$5:$S$304,MATCH(C3071,$R$5:$R$304,0))&amp;"","?"))</f>
        <v/>
      </c>
      <c r="N3071" s="2">
        <f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>
        <f>IF(OR(F3071="",G3071=""),"",IF(G3071&lt;='RETRATO 2027'!$K$5,"CONCLUÍDA",IF(F3071&lt;='RETRATO 2027'!$K$5,"EM ANDAMENTO","A INICIAR")))</f>
        <v/>
      </c>
    </row>
    <row r="3072">
      <c r="M3072" s="2">
        <f>IF(C3072="","",IFERROR(INDEX($S$5:$S$304,MATCH(C3072,$R$5:$R$304,0))&amp;"","?"))</f>
        <v/>
      </c>
      <c r="N3072" s="2">
        <f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>
        <f>IF(OR(F3072="",G3072=""),"",IF(G3072&lt;='RETRATO 2027'!$K$5,"CONCLUÍDA",IF(F3072&lt;='RETRATO 2027'!$K$5,"EM ANDAMENTO","A INICIAR")))</f>
        <v/>
      </c>
    </row>
    <row r="3073">
      <c r="M3073" s="2">
        <f>IF(C3073="","",IFERROR(INDEX($S$5:$S$304,MATCH(C3073,$R$5:$R$304,0))&amp;"","?"))</f>
        <v/>
      </c>
      <c r="N3073" s="2">
        <f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>
        <f>IF(OR(F3073="",G3073=""),"",IF(G3073&lt;='RETRATO 2027'!$K$5,"CONCLUÍDA",IF(F3073&lt;='RETRATO 2027'!$K$5,"EM ANDAMENTO","A INICIAR")))</f>
        <v/>
      </c>
    </row>
    <row r="3074">
      <c r="M3074" s="2">
        <f>IF(C3074="","",IFERROR(INDEX($S$5:$S$304,MATCH(C3074,$R$5:$R$304,0))&amp;"","?"))</f>
        <v/>
      </c>
      <c r="N3074" s="2">
        <f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>
        <f>IF(OR(F3074="",G3074=""),"",IF(G3074&lt;='RETRATO 2027'!$K$5,"CONCLUÍDA",IF(F3074&lt;='RETRATO 2027'!$K$5,"EM ANDAMENTO","A INICIAR")))</f>
        <v/>
      </c>
    </row>
    <row r="3075">
      <c r="M3075" s="2">
        <f>IF(C3075="","",IFERROR(INDEX($S$5:$S$304,MATCH(C3075,$R$5:$R$304,0))&amp;"","?"))</f>
        <v/>
      </c>
      <c r="N3075" s="2">
        <f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>
        <f>IF(OR(F3075="",G3075=""),"",IF(G3075&lt;='RETRATO 2027'!$K$5,"CONCLUÍDA",IF(F3075&lt;='RETRATO 2027'!$K$5,"EM ANDAMENTO","A INICIAR")))</f>
        <v/>
      </c>
    </row>
    <row r="3076">
      <c r="M3076" s="2">
        <f>IF(C3076="","",IFERROR(INDEX($S$5:$S$304,MATCH(C3076,$R$5:$R$304,0))&amp;"","?"))</f>
        <v/>
      </c>
      <c r="N3076" s="2">
        <f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>
        <f>IF(OR(F3076="",G3076=""),"",IF(G3076&lt;='RETRATO 2027'!$K$5,"CONCLUÍDA",IF(F3076&lt;='RETRATO 2027'!$K$5,"EM ANDAMENTO","A INICIAR")))</f>
        <v/>
      </c>
    </row>
    <row r="3077">
      <c r="M3077" s="2">
        <f>IF(C3077="","",IFERROR(INDEX($S$5:$S$304,MATCH(C3077,$R$5:$R$304,0))&amp;"","?"))</f>
        <v/>
      </c>
      <c r="N3077" s="2">
        <f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>
        <f>IF(OR(F3077="",G3077=""),"",IF(G3077&lt;='RETRATO 2027'!$K$5,"CONCLUÍDA",IF(F3077&lt;='RETRATO 2027'!$K$5,"EM ANDAMENTO","A INICIAR")))</f>
        <v/>
      </c>
    </row>
    <row r="3078">
      <c r="M3078" s="2">
        <f>IF(C3078="","",IFERROR(INDEX($S$5:$S$304,MATCH(C3078,$R$5:$R$304,0))&amp;"","?"))</f>
        <v/>
      </c>
      <c r="N3078" s="2">
        <f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>
        <f>IF(OR(F3078="",G3078=""),"",IF(G3078&lt;='RETRATO 2027'!$K$5,"CONCLUÍDA",IF(F3078&lt;='RETRATO 2027'!$K$5,"EM ANDAMENTO","A INICIAR")))</f>
        <v/>
      </c>
    </row>
    <row r="3079">
      <c r="M3079" s="2">
        <f>IF(C3079="","",IFERROR(INDEX($S$5:$S$304,MATCH(C3079,$R$5:$R$304,0))&amp;"","?"))</f>
        <v/>
      </c>
      <c r="N3079" s="2">
        <f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>
        <f>IF(OR(F3079="",G3079=""),"",IF(G3079&lt;='RETRATO 2027'!$K$5,"CONCLUÍDA",IF(F3079&lt;='RETRATO 2027'!$K$5,"EM ANDAMENTO","A INICIAR")))</f>
        <v/>
      </c>
    </row>
    <row r="3080">
      <c r="M3080" s="2">
        <f>IF(C3080="","",IFERROR(INDEX($S$5:$S$304,MATCH(C3080,$R$5:$R$304,0))&amp;"","?"))</f>
        <v/>
      </c>
      <c r="N3080" s="2">
        <f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>
        <f>IF(OR(F3080="",G3080=""),"",IF(G3080&lt;='RETRATO 2027'!$K$5,"CONCLUÍDA",IF(F3080&lt;='RETRATO 2027'!$K$5,"EM ANDAMENTO","A INICIAR")))</f>
        <v/>
      </c>
    </row>
    <row r="3081">
      <c r="M3081" s="2">
        <f>IF(C3081="","",IFERROR(INDEX($S$5:$S$304,MATCH(C3081,$R$5:$R$304,0))&amp;"","?"))</f>
        <v/>
      </c>
      <c r="N3081" s="2">
        <f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>
        <f>IF(OR(F3081="",G3081=""),"",IF(G3081&lt;='RETRATO 2027'!$K$5,"CONCLUÍDA",IF(F3081&lt;='RETRATO 2027'!$K$5,"EM ANDAMENTO","A INICIAR")))</f>
        <v/>
      </c>
    </row>
    <row r="3082">
      <c r="M3082" s="2">
        <f>IF(C3082="","",IFERROR(INDEX($S$5:$S$304,MATCH(C3082,$R$5:$R$304,0))&amp;"","?"))</f>
        <v/>
      </c>
      <c r="N3082" s="2">
        <f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>
        <f>IF(OR(F3082="",G3082=""),"",IF(G3082&lt;='RETRATO 2027'!$K$5,"CONCLUÍDA",IF(F3082&lt;='RETRATO 2027'!$K$5,"EM ANDAMENTO","A INICIAR")))</f>
        <v/>
      </c>
    </row>
    <row r="3083">
      <c r="M3083" s="2">
        <f>IF(C3083="","",IFERROR(INDEX($S$5:$S$304,MATCH(C3083,$R$5:$R$304,0))&amp;"","?"))</f>
        <v/>
      </c>
      <c r="N3083" s="2">
        <f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>
        <f>IF(OR(F3083="",G3083=""),"",IF(G3083&lt;='RETRATO 2027'!$K$5,"CONCLUÍDA",IF(F3083&lt;='RETRATO 2027'!$K$5,"EM ANDAMENTO","A INICIAR")))</f>
        <v/>
      </c>
    </row>
    <row r="3084">
      <c r="M3084" s="2">
        <f>IF(C3084="","",IFERROR(INDEX($S$5:$S$304,MATCH(C3084,$R$5:$R$304,0))&amp;"","?"))</f>
        <v/>
      </c>
      <c r="N3084" s="2">
        <f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>
        <f>IF(OR(F3084="",G3084=""),"",IF(G3084&lt;='RETRATO 2027'!$K$5,"CONCLUÍDA",IF(F3084&lt;='RETRATO 2027'!$K$5,"EM ANDAMENTO","A INICIAR")))</f>
        <v/>
      </c>
    </row>
    <row r="3085">
      <c r="M3085" s="2">
        <f>IF(C3085="","",IFERROR(INDEX($S$5:$S$304,MATCH(C3085,$R$5:$R$304,0))&amp;"","?"))</f>
        <v/>
      </c>
      <c r="N3085" s="2">
        <f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>
        <f>IF(OR(F3085="",G3085=""),"",IF(G3085&lt;='RETRATO 2027'!$K$5,"CONCLUÍDA",IF(F3085&lt;='RETRATO 2027'!$K$5,"EM ANDAMENTO","A INICIAR")))</f>
        <v/>
      </c>
    </row>
    <row r="3086">
      <c r="M3086" s="2">
        <f>IF(C3086="","",IFERROR(INDEX($S$5:$S$304,MATCH(C3086,$R$5:$R$304,0))&amp;"","?"))</f>
        <v/>
      </c>
      <c r="N3086" s="2">
        <f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>
        <f>IF(OR(F3086="",G3086=""),"",IF(G3086&lt;='RETRATO 2027'!$K$5,"CONCLUÍDA",IF(F3086&lt;='RETRATO 2027'!$K$5,"EM ANDAMENTO","A INICIAR")))</f>
        <v/>
      </c>
    </row>
    <row r="3087">
      <c r="M3087" s="2">
        <f>IF(C3087="","",IFERROR(INDEX($S$5:$S$304,MATCH(C3087,$R$5:$R$304,0))&amp;"","?"))</f>
        <v/>
      </c>
      <c r="N3087" s="2">
        <f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>
        <f>IF(OR(F3087="",G3087=""),"",IF(G3087&lt;='RETRATO 2027'!$K$5,"CONCLUÍDA",IF(F3087&lt;='RETRATO 2027'!$K$5,"EM ANDAMENTO","A INICIAR")))</f>
        <v/>
      </c>
    </row>
    <row r="3088">
      <c r="M3088" s="2">
        <f>IF(C3088="","",IFERROR(INDEX($S$5:$S$304,MATCH(C3088,$R$5:$R$304,0))&amp;"","?"))</f>
        <v/>
      </c>
      <c r="N3088" s="2">
        <f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>
        <f>IF(OR(F3088="",G3088=""),"",IF(G3088&lt;='RETRATO 2027'!$K$5,"CONCLUÍDA",IF(F3088&lt;='RETRATO 2027'!$K$5,"EM ANDAMENTO","A INICIAR")))</f>
        <v/>
      </c>
    </row>
    <row r="3089">
      <c r="M3089" s="2">
        <f>IF(C3089="","",IFERROR(INDEX($S$5:$S$304,MATCH(C3089,$R$5:$R$304,0))&amp;"","?"))</f>
        <v/>
      </c>
      <c r="N3089" s="2">
        <f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>
        <f>IF(OR(F3089="",G3089=""),"",IF(G3089&lt;='RETRATO 2027'!$K$5,"CONCLUÍDA",IF(F3089&lt;='RETRATO 2027'!$K$5,"EM ANDAMENTO","A INICIAR")))</f>
        <v/>
      </c>
    </row>
    <row r="3090">
      <c r="M3090" s="2">
        <f>IF(C3090="","",IFERROR(INDEX($S$5:$S$304,MATCH(C3090,$R$5:$R$304,0))&amp;"","?"))</f>
        <v/>
      </c>
      <c r="N3090" s="2">
        <f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>
        <f>IF(OR(F3090="",G3090=""),"",IF(G3090&lt;='RETRATO 2027'!$K$5,"CONCLUÍDA",IF(F3090&lt;='RETRATO 2027'!$K$5,"EM ANDAMENTO","A INICIAR")))</f>
        <v/>
      </c>
    </row>
    <row r="3091">
      <c r="M3091" s="2">
        <f>IF(C3091="","",IFERROR(INDEX($S$5:$S$304,MATCH(C3091,$R$5:$R$304,0))&amp;"","?"))</f>
        <v/>
      </c>
      <c r="N3091" s="2">
        <f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>
        <f>IF(OR(F3091="",G3091=""),"",IF(G3091&lt;='RETRATO 2027'!$K$5,"CONCLUÍDA",IF(F3091&lt;='RETRATO 2027'!$K$5,"EM ANDAMENTO","A INICIAR")))</f>
        <v/>
      </c>
    </row>
    <row r="3092">
      <c r="M3092" s="2">
        <f>IF(C3092="","",IFERROR(INDEX($S$5:$S$304,MATCH(C3092,$R$5:$R$304,0))&amp;"","?"))</f>
        <v/>
      </c>
      <c r="N3092" s="2">
        <f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>
        <f>IF(OR(F3092="",G3092=""),"",IF(G3092&lt;='RETRATO 2027'!$K$5,"CONCLUÍDA",IF(F3092&lt;='RETRATO 2027'!$K$5,"EM ANDAMENTO","A INICIAR")))</f>
        <v/>
      </c>
    </row>
    <row r="3093">
      <c r="M3093" s="2">
        <f>IF(C3093="","",IFERROR(INDEX($S$5:$S$304,MATCH(C3093,$R$5:$R$304,0))&amp;"","?"))</f>
        <v/>
      </c>
      <c r="N3093" s="2">
        <f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>
        <f>IF(OR(F3093="",G3093=""),"",IF(G3093&lt;='RETRATO 2027'!$K$5,"CONCLUÍDA",IF(F3093&lt;='RETRATO 2027'!$K$5,"EM ANDAMENTO","A INICIAR")))</f>
        <v/>
      </c>
    </row>
    <row r="3094">
      <c r="M3094" s="2">
        <f>IF(C3094="","",IFERROR(INDEX($S$5:$S$304,MATCH(C3094,$R$5:$R$304,0))&amp;"","?"))</f>
        <v/>
      </c>
      <c r="N3094" s="2">
        <f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>
        <f>IF(OR(F3094="",G3094=""),"",IF(G3094&lt;='RETRATO 2027'!$K$5,"CONCLUÍDA",IF(F3094&lt;='RETRATO 2027'!$K$5,"EM ANDAMENTO","A INICIAR")))</f>
        <v/>
      </c>
    </row>
    <row r="3095">
      <c r="M3095" s="2">
        <f>IF(C3095="","",IFERROR(INDEX($S$5:$S$304,MATCH(C3095,$R$5:$R$304,0))&amp;"","?"))</f>
        <v/>
      </c>
      <c r="N3095" s="2">
        <f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>
        <f>IF(OR(F3095="",G3095=""),"",IF(G3095&lt;='RETRATO 2027'!$K$5,"CONCLUÍDA",IF(F3095&lt;='RETRATO 2027'!$K$5,"EM ANDAMENTO","A INICIAR")))</f>
        <v/>
      </c>
    </row>
    <row r="3096">
      <c r="M3096" s="2">
        <f>IF(C3096="","",IFERROR(INDEX($S$5:$S$304,MATCH(C3096,$R$5:$R$304,0))&amp;"","?"))</f>
        <v/>
      </c>
      <c r="N3096" s="2">
        <f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>
        <f>IF(OR(F3096="",G3096=""),"",IF(G3096&lt;='RETRATO 2027'!$K$5,"CONCLUÍDA",IF(F3096&lt;='RETRATO 2027'!$K$5,"EM ANDAMENTO","A INICIAR")))</f>
        <v/>
      </c>
    </row>
    <row r="3097">
      <c r="M3097" s="2">
        <f>IF(C3097="","",IFERROR(INDEX($S$5:$S$304,MATCH(C3097,$R$5:$R$304,0))&amp;"","?"))</f>
        <v/>
      </c>
      <c r="N3097" s="2">
        <f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>
        <f>IF(OR(F3097="",G3097=""),"",IF(G3097&lt;='RETRATO 2027'!$K$5,"CONCLUÍDA",IF(F3097&lt;='RETRATO 2027'!$K$5,"EM ANDAMENTO","A INICIAR")))</f>
        <v/>
      </c>
    </row>
    <row r="3098">
      <c r="M3098" s="2">
        <f>IF(C3098="","",IFERROR(INDEX($S$5:$S$304,MATCH(C3098,$R$5:$R$304,0))&amp;"","?"))</f>
        <v/>
      </c>
      <c r="N3098" s="2">
        <f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>
        <f>IF(OR(F3098="",G3098=""),"",IF(G3098&lt;='RETRATO 2027'!$K$5,"CONCLUÍDA",IF(F3098&lt;='RETRATO 2027'!$K$5,"EM ANDAMENTO","A INICIAR")))</f>
        <v/>
      </c>
    </row>
    <row r="3099">
      <c r="M3099" s="2">
        <f>IF(C3099="","",IFERROR(INDEX($S$5:$S$304,MATCH(C3099,$R$5:$R$304,0))&amp;"","?"))</f>
        <v/>
      </c>
      <c r="N3099" s="2">
        <f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>
        <f>IF(OR(F3099="",G3099=""),"",IF(G3099&lt;='RETRATO 2027'!$K$5,"CONCLUÍDA",IF(F3099&lt;='RETRATO 2027'!$K$5,"EM ANDAMENTO","A INICIAR")))</f>
        <v/>
      </c>
    </row>
    <row r="3100">
      <c r="M3100" s="2">
        <f>IF(C3100="","",IFERROR(INDEX($S$5:$S$304,MATCH(C3100,$R$5:$R$304,0))&amp;"","?"))</f>
        <v/>
      </c>
      <c r="N3100" s="2">
        <f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>
        <f>IF(OR(F3100="",G3100=""),"",IF(G3100&lt;='RETRATO 2027'!$K$5,"CONCLUÍDA",IF(F3100&lt;='RETRATO 2027'!$K$5,"EM ANDAMENTO","A INICIAR")))</f>
        <v/>
      </c>
    </row>
    <row r="3101">
      <c r="M3101" s="2">
        <f>IF(C3101="","",IFERROR(INDEX($S$5:$S$304,MATCH(C3101,$R$5:$R$304,0))&amp;"","?"))</f>
        <v/>
      </c>
      <c r="N3101" s="2">
        <f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>
        <f>IF(OR(F3101="",G3101=""),"",IF(G3101&lt;='RETRATO 2027'!$K$5,"CONCLUÍDA",IF(F3101&lt;='RETRATO 2027'!$K$5,"EM ANDAMENTO","A INICIAR")))</f>
        <v/>
      </c>
    </row>
    <row r="3102">
      <c r="M3102" s="2">
        <f>IF(C3102="","",IFERROR(INDEX($S$5:$S$304,MATCH(C3102,$R$5:$R$304,0))&amp;"","?"))</f>
        <v/>
      </c>
      <c r="N3102" s="2">
        <f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>
        <f>IF(OR(F3102="",G3102=""),"",IF(G3102&lt;='RETRATO 2027'!$K$5,"CONCLUÍDA",IF(F3102&lt;='RETRATO 2027'!$K$5,"EM ANDAMENTO","A INICIAR")))</f>
        <v/>
      </c>
    </row>
    <row r="3103">
      <c r="M3103" s="2">
        <f>IF(C3103="","",IFERROR(INDEX($S$5:$S$304,MATCH(C3103,$R$5:$R$304,0))&amp;"","?"))</f>
        <v/>
      </c>
      <c r="N3103" s="2">
        <f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>
        <f>IF(OR(F3103="",G3103=""),"",IF(G3103&lt;='RETRATO 2027'!$K$5,"CONCLUÍDA",IF(F3103&lt;='RETRATO 2027'!$K$5,"EM ANDAMENTO","A INICIAR")))</f>
        <v/>
      </c>
    </row>
    <row r="3104">
      <c r="M3104" s="2">
        <f>IF(C3104="","",IFERROR(INDEX($S$5:$S$304,MATCH(C3104,$R$5:$R$304,0))&amp;"","?"))</f>
        <v/>
      </c>
      <c r="N3104" s="2">
        <f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>
        <f>IF(OR(F3104="",G3104=""),"",IF(G3104&lt;='RETRATO 2027'!$K$5,"CONCLUÍDA",IF(F3104&lt;='RETRATO 2027'!$K$5,"EM ANDAMENTO","A INICIAR")))</f>
        <v/>
      </c>
    </row>
    <row r="3105">
      <c r="M3105" s="2">
        <f>IF(C3105="","",IFERROR(INDEX($S$5:$S$304,MATCH(C3105,$R$5:$R$304,0))&amp;"","?"))</f>
        <v/>
      </c>
      <c r="N3105" s="2">
        <f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>
        <f>IF(OR(F3105="",G3105=""),"",IF(G3105&lt;='RETRATO 2027'!$K$5,"CONCLUÍDA",IF(F3105&lt;='RETRATO 2027'!$K$5,"EM ANDAMENTO","A INICIAR")))</f>
        <v/>
      </c>
    </row>
    <row r="3106">
      <c r="M3106" s="2">
        <f>IF(C3106="","",IFERROR(INDEX($S$5:$S$304,MATCH(C3106,$R$5:$R$304,0))&amp;"","?"))</f>
        <v/>
      </c>
      <c r="N3106" s="2">
        <f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>
        <f>IF(OR(F3106="",G3106=""),"",IF(G3106&lt;='RETRATO 2027'!$K$5,"CONCLUÍDA",IF(F3106&lt;='RETRATO 2027'!$K$5,"EM ANDAMENTO","A INICIAR")))</f>
        <v/>
      </c>
    </row>
    <row r="3107">
      <c r="M3107" s="2">
        <f>IF(C3107="","",IFERROR(INDEX($S$5:$S$304,MATCH(C3107,$R$5:$R$304,0))&amp;"","?"))</f>
        <v/>
      </c>
      <c r="N3107" s="2">
        <f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>
        <f>IF(OR(F3107="",G3107=""),"",IF(G3107&lt;='RETRATO 2027'!$K$5,"CONCLUÍDA",IF(F3107&lt;='RETRATO 2027'!$K$5,"EM ANDAMENTO","A INICIAR")))</f>
        <v/>
      </c>
    </row>
    <row r="3108">
      <c r="M3108" s="2">
        <f>IF(C3108="","",IFERROR(INDEX($S$5:$S$304,MATCH(C3108,$R$5:$R$304,0))&amp;"","?"))</f>
        <v/>
      </c>
      <c r="N3108" s="2">
        <f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>
        <f>IF(OR(F3108="",G3108=""),"",IF(G3108&lt;='RETRATO 2027'!$K$5,"CONCLUÍDA",IF(F3108&lt;='RETRATO 2027'!$K$5,"EM ANDAMENTO","A INICIAR")))</f>
        <v/>
      </c>
    </row>
    <row r="3109">
      <c r="M3109" s="2">
        <f>IF(C3109="","",IFERROR(INDEX($S$5:$S$304,MATCH(C3109,$R$5:$R$304,0))&amp;"","?"))</f>
        <v/>
      </c>
      <c r="N3109" s="2">
        <f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>
        <f>IF(OR(F3109="",G3109=""),"",IF(G3109&lt;='RETRATO 2027'!$K$5,"CONCLUÍDA",IF(F3109&lt;='RETRATO 2027'!$K$5,"EM ANDAMENTO","A INICIAR")))</f>
        <v/>
      </c>
    </row>
    <row r="3110">
      <c r="M3110" s="2">
        <f>IF(C3110="","",IFERROR(INDEX($S$5:$S$304,MATCH(C3110,$R$5:$R$304,0))&amp;"","?"))</f>
        <v/>
      </c>
      <c r="N3110" s="2">
        <f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>
        <f>IF(OR(F3110="",G3110=""),"",IF(G3110&lt;='RETRATO 2027'!$K$5,"CONCLUÍDA",IF(F3110&lt;='RETRATO 2027'!$K$5,"EM ANDAMENTO","A INICIAR")))</f>
        <v/>
      </c>
    </row>
    <row r="3111">
      <c r="M3111" s="2">
        <f>IF(C3111="","",IFERROR(INDEX($S$5:$S$304,MATCH(C3111,$R$5:$R$304,0))&amp;"","?"))</f>
        <v/>
      </c>
      <c r="N3111" s="2">
        <f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>
        <f>IF(OR(F3111="",G3111=""),"",IF(G3111&lt;='RETRATO 2027'!$K$5,"CONCLUÍDA",IF(F3111&lt;='RETRATO 2027'!$K$5,"EM ANDAMENTO","A INICIAR")))</f>
        <v/>
      </c>
    </row>
    <row r="3112">
      <c r="M3112" s="2">
        <f>IF(C3112="","",IFERROR(INDEX($S$5:$S$304,MATCH(C3112,$R$5:$R$304,0))&amp;"","?"))</f>
        <v/>
      </c>
      <c r="N3112" s="2">
        <f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>
        <f>IF(OR(F3112="",G3112=""),"",IF(G3112&lt;='RETRATO 2027'!$K$5,"CONCLUÍDA",IF(F3112&lt;='RETRATO 2027'!$K$5,"EM ANDAMENTO","A INICIAR")))</f>
        <v/>
      </c>
    </row>
    <row r="3113">
      <c r="M3113" s="2">
        <f>IF(C3113="","",IFERROR(INDEX($S$5:$S$304,MATCH(C3113,$R$5:$R$304,0))&amp;"","?"))</f>
        <v/>
      </c>
      <c r="N3113" s="2">
        <f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>
        <f>IF(OR(F3113="",G3113=""),"",IF(G3113&lt;='RETRATO 2027'!$K$5,"CONCLUÍDA",IF(F3113&lt;='RETRATO 2027'!$K$5,"EM ANDAMENTO","A INICIAR")))</f>
        <v/>
      </c>
    </row>
    <row r="3114">
      <c r="M3114" s="2">
        <f>IF(C3114="","",IFERROR(INDEX($S$5:$S$304,MATCH(C3114,$R$5:$R$304,0))&amp;"","?"))</f>
        <v/>
      </c>
      <c r="N3114" s="2">
        <f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>
        <f>IF(OR(F3114="",G3114=""),"",IF(G3114&lt;='RETRATO 2027'!$K$5,"CONCLUÍDA",IF(F3114&lt;='RETRATO 2027'!$K$5,"EM ANDAMENTO","A INICIAR")))</f>
        <v/>
      </c>
    </row>
    <row r="3115">
      <c r="M3115" s="2">
        <f>IF(C3115="","",IFERROR(INDEX($S$5:$S$304,MATCH(C3115,$R$5:$R$304,0))&amp;"","?"))</f>
        <v/>
      </c>
      <c r="N3115" s="2">
        <f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>
        <f>IF(OR(F3115="",G3115=""),"",IF(G3115&lt;='RETRATO 2027'!$K$5,"CONCLUÍDA",IF(F3115&lt;='RETRATO 2027'!$K$5,"EM ANDAMENTO","A INICIAR")))</f>
        <v/>
      </c>
    </row>
    <row r="3116">
      <c r="M3116" s="2">
        <f>IF(C3116="","",IFERROR(INDEX($S$5:$S$304,MATCH(C3116,$R$5:$R$304,0))&amp;"","?"))</f>
        <v/>
      </c>
      <c r="N3116" s="2">
        <f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>
        <f>IF(OR(F3116="",G3116=""),"",IF(G3116&lt;='RETRATO 2027'!$K$5,"CONCLUÍDA",IF(F3116&lt;='RETRATO 2027'!$K$5,"EM ANDAMENTO","A INICIAR")))</f>
        <v/>
      </c>
    </row>
    <row r="3117">
      <c r="M3117" s="2">
        <f>IF(C3117="","",IFERROR(INDEX($S$5:$S$304,MATCH(C3117,$R$5:$R$304,0))&amp;"","?"))</f>
        <v/>
      </c>
      <c r="N3117" s="2">
        <f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>
        <f>IF(OR(F3117="",G3117=""),"",IF(G3117&lt;='RETRATO 2027'!$K$5,"CONCLUÍDA",IF(F3117&lt;='RETRATO 2027'!$K$5,"EM ANDAMENTO","A INICIAR")))</f>
        <v/>
      </c>
    </row>
    <row r="3118">
      <c r="M3118" s="2">
        <f>IF(C3118="","",IFERROR(INDEX($S$5:$S$304,MATCH(C3118,$R$5:$R$304,0))&amp;"","?"))</f>
        <v/>
      </c>
      <c r="N3118" s="2">
        <f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>
        <f>IF(OR(F3118="",G3118=""),"",IF(G3118&lt;='RETRATO 2027'!$K$5,"CONCLUÍDA",IF(F3118&lt;='RETRATO 2027'!$K$5,"EM ANDAMENTO","A INICIAR")))</f>
        <v/>
      </c>
    </row>
    <row r="3119">
      <c r="M3119" s="2">
        <f>IF(C3119="","",IFERROR(INDEX($S$5:$S$304,MATCH(C3119,$R$5:$R$304,0))&amp;"","?"))</f>
        <v/>
      </c>
      <c r="N3119" s="2">
        <f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>
        <f>IF(OR(F3119="",G3119=""),"",IF(G3119&lt;='RETRATO 2027'!$K$5,"CONCLUÍDA",IF(F3119&lt;='RETRATO 2027'!$K$5,"EM ANDAMENTO","A INICIAR")))</f>
        <v/>
      </c>
    </row>
    <row r="3120">
      <c r="M3120" s="2">
        <f>IF(C3120="","",IFERROR(INDEX($S$5:$S$304,MATCH(C3120,$R$5:$R$304,0))&amp;"","?"))</f>
        <v/>
      </c>
      <c r="N3120" s="2">
        <f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>
        <f>IF(OR(F3120="",G3120=""),"",IF(G3120&lt;='RETRATO 2027'!$K$5,"CONCLUÍDA",IF(F3120&lt;='RETRATO 2027'!$K$5,"EM ANDAMENTO","A INICIAR")))</f>
        <v/>
      </c>
    </row>
    <row r="3121">
      <c r="M3121" s="2">
        <f>IF(C3121="","",IFERROR(INDEX($S$5:$S$304,MATCH(C3121,$R$5:$R$304,0))&amp;"","?"))</f>
        <v/>
      </c>
      <c r="N3121" s="2">
        <f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>
        <f>IF(OR(F3121="",G3121=""),"",IF(G3121&lt;='RETRATO 2027'!$K$5,"CONCLUÍDA",IF(F3121&lt;='RETRATO 2027'!$K$5,"EM ANDAMENTO","A INICIAR")))</f>
        <v/>
      </c>
    </row>
    <row r="3122">
      <c r="M3122" s="2">
        <f>IF(C3122="","",IFERROR(INDEX($S$5:$S$304,MATCH(C3122,$R$5:$R$304,0))&amp;"","?"))</f>
        <v/>
      </c>
      <c r="N3122" s="2">
        <f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>
        <f>IF(OR(F3122="",G3122=""),"",IF(G3122&lt;='RETRATO 2027'!$K$5,"CONCLUÍDA",IF(F3122&lt;='RETRATO 2027'!$K$5,"EM ANDAMENTO","A INICIAR")))</f>
        <v/>
      </c>
    </row>
    <row r="3123">
      <c r="M3123" s="2">
        <f>IF(C3123="","",IFERROR(INDEX($S$5:$S$304,MATCH(C3123,$R$5:$R$304,0))&amp;"","?"))</f>
        <v/>
      </c>
      <c r="N3123" s="2">
        <f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>
        <f>IF(OR(F3123="",G3123=""),"",IF(G3123&lt;='RETRATO 2027'!$K$5,"CONCLUÍDA",IF(F3123&lt;='RETRATO 2027'!$K$5,"EM ANDAMENTO","A INICIAR")))</f>
        <v/>
      </c>
    </row>
    <row r="3124">
      <c r="M3124" s="2">
        <f>IF(C3124="","",IFERROR(INDEX($S$5:$S$304,MATCH(C3124,$R$5:$R$304,0))&amp;"","?"))</f>
        <v/>
      </c>
      <c r="N3124" s="2">
        <f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>
        <f>IF(OR(F3124="",G3124=""),"",IF(G3124&lt;='RETRATO 2027'!$K$5,"CONCLUÍDA",IF(F3124&lt;='RETRATO 2027'!$K$5,"EM ANDAMENTO","A INICIAR")))</f>
        <v/>
      </c>
    </row>
    <row r="3125">
      <c r="M3125" s="2">
        <f>IF(C3125="","",IFERROR(INDEX($S$5:$S$304,MATCH(C3125,$R$5:$R$304,0))&amp;"","?"))</f>
        <v/>
      </c>
      <c r="N3125" s="2">
        <f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>
        <f>IF(OR(F3125="",G3125=""),"",IF(G3125&lt;='RETRATO 2027'!$K$5,"CONCLUÍDA",IF(F3125&lt;='RETRATO 2027'!$K$5,"EM ANDAMENTO","A INICIAR")))</f>
        <v/>
      </c>
    </row>
    <row r="3126">
      <c r="M3126" s="2">
        <f>IF(C3126="","",IFERROR(INDEX($S$5:$S$304,MATCH(C3126,$R$5:$R$304,0))&amp;"","?"))</f>
        <v/>
      </c>
      <c r="N3126" s="2">
        <f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>
        <f>IF(OR(F3126="",G3126=""),"",IF(G3126&lt;='RETRATO 2027'!$K$5,"CONCLUÍDA",IF(F3126&lt;='RETRATO 2027'!$K$5,"EM ANDAMENTO","A INICIAR")))</f>
        <v/>
      </c>
    </row>
    <row r="3127">
      <c r="M3127" s="2">
        <f>IF(C3127="","",IFERROR(INDEX($S$5:$S$304,MATCH(C3127,$R$5:$R$304,0))&amp;"","?"))</f>
        <v/>
      </c>
      <c r="N3127" s="2">
        <f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>
        <f>IF(OR(F3127="",G3127=""),"",IF(G3127&lt;='RETRATO 2027'!$K$5,"CONCLUÍDA",IF(F3127&lt;='RETRATO 2027'!$K$5,"EM ANDAMENTO","A INICIAR")))</f>
        <v/>
      </c>
    </row>
    <row r="3128">
      <c r="M3128" s="2">
        <f>IF(C3128="","",IFERROR(INDEX($S$5:$S$304,MATCH(C3128,$R$5:$R$304,0))&amp;"","?"))</f>
        <v/>
      </c>
      <c r="N3128" s="2">
        <f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>
        <f>IF(OR(F3128="",G3128=""),"",IF(G3128&lt;='RETRATO 2027'!$K$5,"CONCLUÍDA",IF(F3128&lt;='RETRATO 2027'!$K$5,"EM ANDAMENTO","A INICIAR")))</f>
        <v/>
      </c>
    </row>
    <row r="3129">
      <c r="M3129" s="2">
        <f>IF(C3129="","",IFERROR(INDEX($S$5:$S$304,MATCH(C3129,$R$5:$R$304,0))&amp;"","?"))</f>
        <v/>
      </c>
      <c r="N3129" s="2">
        <f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>
        <f>IF(OR(F3129="",G3129=""),"",IF(G3129&lt;='RETRATO 2027'!$K$5,"CONCLUÍDA",IF(F3129&lt;='RETRATO 2027'!$K$5,"EM ANDAMENTO","A INICIAR")))</f>
        <v/>
      </c>
    </row>
    <row r="3130">
      <c r="M3130" s="2">
        <f>IF(C3130="","",IFERROR(INDEX($S$5:$S$304,MATCH(C3130,$R$5:$R$304,0))&amp;"","?"))</f>
        <v/>
      </c>
      <c r="N3130" s="2">
        <f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>
        <f>IF(OR(F3130="",G3130=""),"",IF(G3130&lt;='RETRATO 2027'!$K$5,"CONCLUÍDA",IF(F3130&lt;='RETRATO 2027'!$K$5,"EM ANDAMENTO","A INICIAR")))</f>
        <v/>
      </c>
    </row>
    <row r="3131">
      <c r="M3131" s="2">
        <f>IF(C3131="","",IFERROR(INDEX($S$5:$S$304,MATCH(C3131,$R$5:$R$304,0))&amp;"","?"))</f>
        <v/>
      </c>
      <c r="N3131" s="2">
        <f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>
        <f>IF(OR(F3131="",G3131=""),"",IF(G3131&lt;='RETRATO 2027'!$K$5,"CONCLUÍDA",IF(F3131&lt;='RETRATO 2027'!$K$5,"EM ANDAMENTO","A INICIAR")))</f>
        <v/>
      </c>
    </row>
    <row r="3132">
      <c r="M3132" s="2">
        <f>IF(C3132="","",IFERROR(INDEX($S$5:$S$304,MATCH(C3132,$R$5:$R$304,0))&amp;"","?"))</f>
        <v/>
      </c>
      <c r="N3132" s="2">
        <f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>
        <f>IF(OR(F3132="",G3132=""),"",IF(G3132&lt;='RETRATO 2027'!$K$5,"CONCLUÍDA",IF(F3132&lt;='RETRATO 2027'!$K$5,"EM ANDAMENTO","A INICIAR")))</f>
        <v/>
      </c>
    </row>
    <row r="3133">
      <c r="M3133" s="2">
        <f>IF(C3133="","",IFERROR(INDEX($S$5:$S$304,MATCH(C3133,$R$5:$R$304,0))&amp;"","?"))</f>
        <v/>
      </c>
      <c r="N3133" s="2">
        <f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>
        <f>IF(OR(F3133="",G3133=""),"",IF(G3133&lt;='RETRATO 2027'!$K$5,"CONCLUÍDA",IF(F3133&lt;='RETRATO 2027'!$K$5,"EM ANDAMENTO","A INICIAR")))</f>
        <v/>
      </c>
    </row>
    <row r="3134">
      <c r="M3134" s="2">
        <f>IF(C3134="","",IFERROR(INDEX($S$5:$S$304,MATCH(C3134,$R$5:$R$304,0))&amp;"","?"))</f>
        <v/>
      </c>
      <c r="N3134" s="2">
        <f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>
        <f>IF(OR(F3134="",G3134=""),"",IF(G3134&lt;='RETRATO 2027'!$K$5,"CONCLUÍDA",IF(F3134&lt;='RETRATO 2027'!$K$5,"EM ANDAMENTO","A INICIAR")))</f>
        <v/>
      </c>
    </row>
    <row r="3135">
      <c r="M3135" s="2">
        <f>IF(C3135="","",IFERROR(INDEX($S$5:$S$304,MATCH(C3135,$R$5:$R$304,0))&amp;"","?"))</f>
        <v/>
      </c>
      <c r="N3135" s="2">
        <f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>
        <f>IF(OR(F3135="",G3135=""),"",IF(G3135&lt;='RETRATO 2027'!$K$5,"CONCLUÍDA",IF(F3135&lt;='RETRATO 2027'!$K$5,"EM ANDAMENTO","A INICIAR")))</f>
        <v/>
      </c>
    </row>
    <row r="3136">
      <c r="M3136" s="2">
        <f>IF(C3136="","",IFERROR(INDEX($S$5:$S$304,MATCH(C3136,$R$5:$R$304,0))&amp;"","?"))</f>
        <v/>
      </c>
      <c r="N3136" s="2">
        <f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>
        <f>IF(OR(F3136="",G3136=""),"",IF(G3136&lt;='RETRATO 2027'!$K$5,"CONCLUÍDA",IF(F3136&lt;='RETRATO 2027'!$K$5,"EM ANDAMENTO","A INICIAR")))</f>
        <v/>
      </c>
    </row>
    <row r="3137">
      <c r="M3137" s="2">
        <f>IF(C3137="","",IFERROR(INDEX($S$5:$S$304,MATCH(C3137,$R$5:$R$304,0))&amp;"","?"))</f>
        <v/>
      </c>
      <c r="N3137" s="2">
        <f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>
        <f>IF(OR(F3137="",G3137=""),"",IF(G3137&lt;='RETRATO 2027'!$K$5,"CONCLUÍDA",IF(F3137&lt;='RETRATO 2027'!$K$5,"EM ANDAMENTO","A INICIAR")))</f>
        <v/>
      </c>
    </row>
    <row r="3138">
      <c r="M3138" s="2">
        <f>IF(C3138="","",IFERROR(INDEX($S$5:$S$304,MATCH(C3138,$R$5:$R$304,0))&amp;"","?"))</f>
        <v/>
      </c>
      <c r="N3138" s="2">
        <f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>
        <f>IF(OR(F3138="",G3138=""),"",IF(G3138&lt;='RETRATO 2027'!$K$5,"CONCLUÍDA",IF(F3138&lt;='RETRATO 2027'!$K$5,"EM ANDAMENTO","A INICIAR")))</f>
        <v/>
      </c>
    </row>
    <row r="3139">
      <c r="M3139" s="2">
        <f>IF(C3139="","",IFERROR(INDEX($S$5:$S$304,MATCH(C3139,$R$5:$R$304,0))&amp;"","?"))</f>
        <v/>
      </c>
      <c r="N3139" s="2">
        <f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>
        <f>IF(OR(F3139="",G3139=""),"",IF(G3139&lt;='RETRATO 2027'!$K$5,"CONCLUÍDA",IF(F3139&lt;='RETRATO 2027'!$K$5,"EM ANDAMENTO","A INICIAR")))</f>
        <v/>
      </c>
    </row>
    <row r="3140">
      <c r="M3140" s="2">
        <f>IF(C3140="","",IFERROR(INDEX($S$5:$S$304,MATCH(C3140,$R$5:$R$304,0))&amp;"","?"))</f>
        <v/>
      </c>
      <c r="N3140" s="2">
        <f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>
        <f>IF(OR(F3140="",G3140=""),"",IF(G3140&lt;='RETRATO 2027'!$K$5,"CONCLUÍDA",IF(F3140&lt;='RETRATO 2027'!$K$5,"EM ANDAMENTO","A INICIAR")))</f>
        <v/>
      </c>
    </row>
    <row r="3141">
      <c r="M3141" s="2">
        <f>IF(C3141="","",IFERROR(INDEX($S$5:$S$304,MATCH(C3141,$R$5:$R$304,0))&amp;"","?"))</f>
        <v/>
      </c>
      <c r="N3141" s="2">
        <f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>
        <f>IF(OR(F3141="",G3141=""),"",IF(G3141&lt;='RETRATO 2027'!$K$5,"CONCLUÍDA",IF(F3141&lt;='RETRATO 2027'!$K$5,"EM ANDAMENTO","A INICIAR")))</f>
        <v/>
      </c>
    </row>
    <row r="3142">
      <c r="M3142" s="2">
        <f>IF(C3142="","",IFERROR(INDEX($S$5:$S$304,MATCH(C3142,$R$5:$R$304,0))&amp;"","?"))</f>
        <v/>
      </c>
      <c r="N3142" s="2">
        <f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>
        <f>IF(OR(F3142="",G3142=""),"",IF(G3142&lt;='RETRATO 2027'!$K$5,"CONCLUÍDA",IF(F3142&lt;='RETRATO 2027'!$K$5,"EM ANDAMENTO","A INICIAR")))</f>
        <v/>
      </c>
    </row>
    <row r="3143">
      <c r="M3143" s="2">
        <f>IF(C3143="","",IFERROR(INDEX($S$5:$S$304,MATCH(C3143,$R$5:$R$304,0))&amp;"","?"))</f>
        <v/>
      </c>
      <c r="N3143" s="2">
        <f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>
        <f>IF(OR(F3143="",G3143=""),"",IF(G3143&lt;='RETRATO 2027'!$K$5,"CONCLUÍDA",IF(F3143&lt;='RETRATO 2027'!$K$5,"EM ANDAMENTO","A INICIAR")))</f>
        <v/>
      </c>
    </row>
    <row r="3144">
      <c r="M3144" s="2">
        <f>IF(C3144="","",IFERROR(INDEX($S$5:$S$304,MATCH(C3144,$R$5:$R$304,0))&amp;"","?"))</f>
        <v/>
      </c>
      <c r="N3144" s="2">
        <f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>
        <f>IF(OR(F3144="",G3144=""),"",IF(G3144&lt;='RETRATO 2027'!$K$5,"CONCLUÍDA",IF(F3144&lt;='RETRATO 2027'!$K$5,"EM ANDAMENTO","A INICIAR")))</f>
        <v/>
      </c>
    </row>
    <row r="3145">
      <c r="M3145" s="2">
        <f>IF(C3145="","",IFERROR(INDEX($S$5:$S$304,MATCH(C3145,$R$5:$R$304,0))&amp;"","?"))</f>
        <v/>
      </c>
      <c r="N3145" s="2">
        <f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>
        <f>IF(OR(F3145="",G3145=""),"",IF(G3145&lt;='RETRATO 2027'!$K$5,"CONCLUÍDA",IF(F3145&lt;='RETRATO 2027'!$K$5,"EM ANDAMENTO","A INICIAR")))</f>
        <v/>
      </c>
    </row>
    <row r="3146">
      <c r="M3146" s="2">
        <f>IF(C3146="","",IFERROR(INDEX($S$5:$S$304,MATCH(C3146,$R$5:$R$304,0))&amp;"","?"))</f>
        <v/>
      </c>
      <c r="N3146" s="2">
        <f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>
        <f>IF(OR(F3146="",G3146=""),"",IF(G3146&lt;='RETRATO 2027'!$K$5,"CONCLUÍDA",IF(F3146&lt;='RETRATO 2027'!$K$5,"EM ANDAMENTO","A INICIAR")))</f>
        <v/>
      </c>
    </row>
    <row r="3147">
      <c r="M3147" s="2">
        <f>IF(C3147="","",IFERROR(INDEX($S$5:$S$304,MATCH(C3147,$R$5:$R$304,0))&amp;"","?"))</f>
        <v/>
      </c>
      <c r="N3147" s="2">
        <f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>
        <f>IF(OR(F3147="",G3147=""),"",IF(G3147&lt;='RETRATO 2027'!$K$5,"CONCLUÍDA",IF(F3147&lt;='RETRATO 2027'!$K$5,"EM ANDAMENTO","A INICIAR")))</f>
        <v/>
      </c>
    </row>
    <row r="3148">
      <c r="M3148" s="2">
        <f>IF(C3148="","",IFERROR(INDEX($S$5:$S$304,MATCH(C3148,$R$5:$R$304,0))&amp;"","?"))</f>
        <v/>
      </c>
      <c r="N3148" s="2">
        <f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>
        <f>IF(OR(F3148="",G3148=""),"",IF(G3148&lt;='RETRATO 2027'!$K$5,"CONCLUÍDA",IF(F3148&lt;='RETRATO 2027'!$K$5,"EM ANDAMENTO","A INICIAR")))</f>
        <v/>
      </c>
    </row>
    <row r="3149">
      <c r="M3149" s="2">
        <f>IF(C3149="","",IFERROR(INDEX($S$5:$S$304,MATCH(C3149,$R$5:$R$304,0))&amp;"","?"))</f>
        <v/>
      </c>
      <c r="N3149" s="2">
        <f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>
        <f>IF(OR(F3149="",G3149=""),"",IF(G3149&lt;='RETRATO 2027'!$K$5,"CONCLUÍDA",IF(F3149&lt;='RETRATO 2027'!$K$5,"EM ANDAMENTO","A INICIAR")))</f>
        <v/>
      </c>
    </row>
    <row r="3150">
      <c r="M3150" s="2">
        <f>IF(C3150="","",IFERROR(INDEX($S$5:$S$304,MATCH(C3150,$R$5:$R$304,0))&amp;"","?"))</f>
        <v/>
      </c>
      <c r="N3150" s="2">
        <f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>
        <f>IF(OR(F3150="",G3150=""),"",IF(G3150&lt;='RETRATO 2027'!$K$5,"CONCLUÍDA",IF(F3150&lt;='RETRATO 2027'!$K$5,"EM ANDAMENTO","A INICIAR")))</f>
        <v/>
      </c>
    </row>
    <row r="3151">
      <c r="M3151" s="2">
        <f>IF(C3151="","",IFERROR(INDEX($S$5:$S$304,MATCH(C3151,$R$5:$R$304,0))&amp;"","?"))</f>
        <v/>
      </c>
      <c r="N3151" s="2">
        <f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>
        <f>IF(OR(F3151="",G3151=""),"",IF(G3151&lt;='RETRATO 2027'!$K$5,"CONCLUÍDA",IF(F3151&lt;='RETRATO 2027'!$K$5,"EM ANDAMENTO","A INICIAR")))</f>
        <v/>
      </c>
    </row>
    <row r="3152">
      <c r="M3152" s="2">
        <f>IF(C3152="","",IFERROR(INDEX($S$5:$S$304,MATCH(C3152,$R$5:$R$304,0))&amp;"","?"))</f>
        <v/>
      </c>
      <c r="N3152" s="2">
        <f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>
        <f>IF(OR(F3152="",G3152=""),"",IF(G3152&lt;='RETRATO 2027'!$K$5,"CONCLUÍDA",IF(F3152&lt;='RETRATO 2027'!$K$5,"EM ANDAMENTO","A INICIAR")))</f>
        <v/>
      </c>
    </row>
    <row r="3153">
      <c r="M3153" s="2">
        <f>IF(C3153="","",IFERROR(INDEX($S$5:$S$304,MATCH(C3153,$R$5:$R$304,0))&amp;"","?"))</f>
        <v/>
      </c>
      <c r="N3153" s="2">
        <f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>
        <f>IF(OR(F3153="",G3153=""),"",IF(G3153&lt;='RETRATO 2027'!$K$5,"CONCLUÍDA",IF(F3153&lt;='RETRATO 2027'!$K$5,"EM ANDAMENTO","A INICIAR")))</f>
        <v/>
      </c>
    </row>
    <row r="3154">
      <c r="M3154" s="2">
        <f>IF(C3154="","",IFERROR(INDEX($S$5:$S$304,MATCH(C3154,$R$5:$R$304,0))&amp;"","?"))</f>
        <v/>
      </c>
      <c r="N3154" s="2">
        <f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>
        <f>IF(OR(F3154="",G3154=""),"",IF(G3154&lt;='RETRATO 2027'!$K$5,"CONCLUÍDA",IF(F3154&lt;='RETRATO 2027'!$K$5,"EM ANDAMENTO","A INICIAR")))</f>
        <v/>
      </c>
    </row>
    <row r="3155">
      <c r="M3155" s="2">
        <f>IF(C3155="","",IFERROR(INDEX($S$5:$S$304,MATCH(C3155,$R$5:$R$304,0))&amp;"","?"))</f>
        <v/>
      </c>
      <c r="N3155" s="2">
        <f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>
        <f>IF(OR(F3155="",G3155=""),"",IF(G3155&lt;='RETRATO 2027'!$K$5,"CONCLUÍDA",IF(F3155&lt;='RETRATO 2027'!$K$5,"EM ANDAMENTO","A INICIAR")))</f>
        <v/>
      </c>
    </row>
    <row r="3156">
      <c r="M3156" s="2">
        <f>IF(C3156="","",IFERROR(INDEX($S$5:$S$304,MATCH(C3156,$R$5:$R$304,0))&amp;"","?"))</f>
        <v/>
      </c>
      <c r="N3156" s="2">
        <f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>
        <f>IF(OR(F3156="",G3156=""),"",IF(G3156&lt;='RETRATO 2027'!$K$5,"CONCLUÍDA",IF(F3156&lt;='RETRATO 2027'!$K$5,"EM ANDAMENTO","A INICIAR")))</f>
        <v/>
      </c>
    </row>
    <row r="3157">
      <c r="M3157" s="2">
        <f>IF(C3157="","",IFERROR(INDEX($S$5:$S$304,MATCH(C3157,$R$5:$R$304,0))&amp;"","?"))</f>
        <v/>
      </c>
      <c r="N3157" s="2">
        <f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>
        <f>IF(OR(F3157="",G3157=""),"",IF(G3157&lt;='RETRATO 2027'!$K$5,"CONCLUÍDA",IF(F3157&lt;='RETRATO 2027'!$K$5,"EM ANDAMENTO","A INICIAR")))</f>
        <v/>
      </c>
    </row>
    <row r="3158">
      <c r="M3158" s="2">
        <f>IF(C3158="","",IFERROR(INDEX($S$5:$S$304,MATCH(C3158,$R$5:$R$304,0))&amp;"","?"))</f>
        <v/>
      </c>
      <c r="N3158" s="2">
        <f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>
        <f>IF(OR(F3158="",G3158=""),"",IF(G3158&lt;='RETRATO 2027'!$K$5,"CONCLUÍDA",IF(F3158&lt;='RETRATO 2027'!$K$5,"EM ANDAMENTO","A INICIAR")))</f>
        <v/>
      </c>
    </row>
    <row r="3159">
      <c r="M3159" s="2">
        <f>IF(C3159="","",IFERROR(INDEX($S$5:$S$304,MATCH(C3159,$R$5:$R$304,0))&amp;"","?"))</f>
        <v/>
      </c>
      <c r="N3159" s="2">
        <f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>
        <f>IF(OR(F3159="",G3159=""),"",IF(G3159&lt;='RETRATO 2027'!$K$5,"CONCLUÍDA",IF(F3159&lt;='RETRATO 2027'!$K$5,"EM ANDAMENTO","A INICIAR")))</f>
        <v/>
      </c>
    </row>
    <row r="3160">
      <c r="M3160" s="2">
        <f>IF(C3160="","",IFERROR(INDEX($S$5:$S$304,MATCH(C3160,$R$5:$R$304,0))&amp;"","?"))</f>
        <v/>
      </c>
      <c r="N3160" s="2">
        <f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>
        <f>IF(OR(F3160="",G3160=""),"",IF(G3160&lt;='RETRATO 2027'!$K$5,"CONCLUÍDA",IF(F3160&lt;='RETRATO 2027'!$K$5,"EM ANDAMENTO","A INICIAR")))</f>
        <v/>
      </c>
    </row>
    <row r="3161">
      <c r="M3161" s="2">
        <f>IF(C3161="","",IFERROR(INDEX($S$5:$S$304,MATCH(C3161,$R$5:$R$304,0))&amp;"","?"))</f>
        <v/>
      </c>
      <c r="N3161" s="2">
        <f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>
        <f>IF(OR(F3161="",G3161=""),"",IF(G3161&lt;='RETRATO 2027'!$K$5,"CONCLUÍDA",IF(F3161&lt;='RETRATO 2027'!$K$5,"EM ANDAMENTO","A INICIAR")))</f>
        <v/>
      </c>
    </row>
    <row r="3162">
      <c r="M3162" s="2">
        <f>IF(C3162="","",IFERROR(INDEX($S$5:$S$304,MATCH(C3162,$R$5:$R$304,0))&amp;"","?"))</f>
        <v/>
      </c>
      <c r="N3162" s="2">
        <f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>
        <f>IF(OR(F3162="",G3162=""),"",IF(G3162&lt;='RETRATO 2027'!$K$5,"CONCLUÍDA",IF(F3162&lt;='RETRATO 2027'!$K$5,"EM ANDAMENTO","A INICIAR")))</f>
        <v/>
      </c>
    </row>
    <row r="3163">
      <c r="M3163" s="2">
        <f>IF(C3163="","",IFERROR(INDEX($S$5:$S$304,MATCH(C3163,$R$5:$R$304,0))&amp;"","?"))</f>
        <v/>
      </c>
      <c r="N3163" s="2">
        <f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>
        <f>IF(OR(F3163="",G3163=""),"",IF(G3163&lt;='RETRATO 2027'!$K$5,"CONCLUÍDA",IF(F3163&lt;='RETRATO 2027'!$K$5,"EM ANDAMENTO","A INICIAR")))</f>
        <v/>
      </c>
    </row>
    <row r="3164">
      <c r="M3164" s="2">
        <f>IF(C3164="","",IFERROR(INDEX($S$5:$S$304,MATCH(C3164,$R$5:$R$304,0))&amp;"","?"))</f>
        <v/>
      </c>
      <c r="N3164" s="2">
        <f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>
        <f>IF(OR(F3164="",G3164=""),"",IF(G3164&lt;='RETRATO 2027'!$K$5,"CONCLUÍDA",IF(F3164&lt;='RETRATO 2027'!$K$5,"EM ANDAMENTO","A INICIAR")))</f>
        <v/>
      </c>
    </row>
    <row r="3165">
      <c r="M3165" s="2">
        <f>IF(C3165="","",IFERROR(INDEX($S$5:$S$304,MATCH(C3165,$R$5:$R$304,0))&amp;"","?"))</f>
        <v/>
      </c>
      <c r="N3165" s="2">
        <f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>
        <f>IF(OR(F3165="",G3165=""),"",IF(G3165&lt;='RETRATO 2027'!$K$5,"CONCLUÍDA",IF(F3165&lt;='RETRATO 2027'!$K$5,"EM ANDAMENTO","A INICIAR")))</f>
        <v/>
      </c>
    </row>
    <row r="3166">
      <c r="M3166" s="2">
        <f>IF(C3166="","",IFERROR(INDEX($S$5:$S$304,MATCH(C3166,$R$5:$R$304,0))&amp;"","?"))</f>
        <v/>
      </c>
      <c r="N3166" s="2">
        <f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>
        <f>IF(OR(F3166="",G3166=""),"",IF(G3166&lt;='RETRATO 2027'!$K$5,"CONCLUÍDA",IF(F3166&lt;='RETRATO 2027'!$K$5,"EM ANDAMENTO","A INICIAR")))</f>
        <v/>
      </c>
    </row>
    <row r="3167">
      <c r="M3167" s="2">
        <f>IF(C3167="","",IFERROR(INDEX($S$5:$S$304,MATCH(C3167,$R$5:$R$304,0))&amp;"","?"))</f>
        <v/>
      </c>
      <c r="N3167" s="2">
        <f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>
        <f>IF(OR(F3167="",G3167=""),"",IF(G3167&lt;='RETRATO 2027'!$K$5,"CONCLUÍDA",IF(F3167&lt;='RETRATO 2027'!$K$5,"EM ANDAMENTO","A INICIAR")))</f>
        <v/>
      </c>
    </row>
    <row r="3168">
      <c r="M3168" s="2">
        <f>IF(C3168="","",IFERROR(INDEX($S$5:$S$304,MATCH(C3168,$R$5:$R$304,0))&amp;"","?"))</f>
        <v/>
      </c>
      <c r="N3168" s="2">
        <f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>
        <f>IF(OR(F3168="",G3168=""),"",IF(G3168&lt;='RETRATO 2027'!$K$5,"CONCLUÍDA",IF(F3168&lt;='RETRATO 2027'!$K$5,"EM ANDAMENTO","A INICIAR")))</f>
        <v/>
      </c>
    </row>
    <row r="3169">
      <c r="M3169" s="2">
        <f>IF(C3169="","",IFERROR(INDEX($S$5:$S$304,MATCH(C3169,$R$5:$R$304,0))&amp;"","?"))</f>
        <v/>
      </c>
      <c r="N3169" s="2">
        <f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>
        <f>IF(OR(F3169="",G3169=""),"",IF(G3169&lt;='RETRATO 2027'!$K$5,"CONCLUÍDA",IF(F3169&lt;='RETRATO 2027'!$K$5,"EM ANDAMENTO","A INICIAR")))</f>
        <v/>
      </c>
    </row>
    <row r="3170">
      <c r="M3170" s="2">
        <f>IF(C3170="","",IFERROR(INDEX($S$5:$S$304,MATCH(C3170,$R$5:$R$304,0))&amp;"","?"))</f>
        <v/>
      </c>
      <c r="N3170" s="2">
        <f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>
        <f>IF(OR(F3170="",G3170=""),"",IF(G3170&lt;='RETRATO 2027'!$K$5,"CONCLUÍDA",IF(F3170&lt;='RETRATO 2027'!$K$5,"EM ANDAMENTO","A INICIAR")))</f>
        <v/>
      </c>
    </row>
    <row r="3171">
      <c r="M3171" s="2">
        <f>IF(C3171="","",IFERROR(INDEX($S$5:$S$304,MATCH(C3171,$R$5:$R$304,0))&amp;"","?"))</f>
        <v/>
      </c>
      <c r="N3171" s="2">
        <f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>
        <f>IF(OR(F3171="",G3171=""),"",IF(G3171&lt;='RETRATO 2027'!$K$5,"CONCLUÍDA",IF(F3171&lt;='RETRATO 2027'!$K$5,"EM ANDAMENTO","A INICIAR")))</f>
        <v/>
      </c>
    </row>
    <row r="3172">
      <c r="M3172" s="2">
        <f>IF(C3172="","",IFERROR(INDEX($S$5:$S$304,MATCH(C3172,$R$5:$R$304,0))&amp;"","?"))</f>
        <v/>
      </c>
      <c r="N3172" s="2">
        <f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>
        <f>IF(OR(F3172="",G3172=""),"",IF(G3172&lt;='RETRATO 2027'!$K$5,"CONCLUÍDA",IF(F3172&lt;='RETRATO 2027'!$K$5,"EM ANDAMENTO","A INICIAR")))</f>
        <v/>
      </c>
    </row>
    <row r="3173">
      <c r="M3173" s="2">
        <f>IF(C3173="","",IFERROR(INDEX($S$5:$S$304,MATCH(C3173,$R$5:$R$304,0))&amp;"","?"))</f>
        <v/>
      </c>
      <c r="N3173" s="2">
        <f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>
        <f>IF(OR(F3173="",G3173=""),"",IF(G3173&lt;='RETRATO 2027'!$K$5,"CONCLUÍDA",IF(F3173&lt;='RETRATO 2027'!$K$5,"EM ANDAMENTO","A INICIAR")))</f>
        <v/>
      </c>
    </row>
    <row r="3174">
      <c r="M3174" s="2">
        <f>IF(C3174="","",IFERROR(INDEX($S$5:$S$304,MATCH(C3174,$R$5:$R$304,0))&amp;"","?"))</f>
        <v/>
      </c>
      <c r="N3174" s="2">
        <f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>
        <f>IF(OR(F3174="",G3174=""),"",IF(G3174&lt;='RETRATO 2027'!$K$5,"CONCLUÍDA",IF(F3174&lt;='RETRATO 2027'!$K$5,"EM ANDAMENTO","A INICIAR")))</f>
        <v/>
      </c>
    </row>
    <row r="3175">
      <c r="M3175" s="2">
        <f>IF(C3175="","",IFERROR(INDEX($S$5:$S$304,MATCH(C3175,$R$5:$R$304,0))&amp;"","?"))</f>
        <v/>
      </c>
      <c r="N3175" s="2">
        <f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>
        <f>IF(OR(F3175="",G3175=""),"",IF(G3175&lt;='RETRATO 2027'!$K$5,"CONCLUÍDA",IF(F3175&lt;='RETRATO 2027'!$K$5,"EM ANDAMENTO","A INICIAR")))</f>
        <v/>
      </c>
    </row>
    <row r="3176">
      <c r="M3176" s="2">
        <f>IF(C3176="","",IFERROR(INDEX($S$5:$S$304,MATCH(C3176,$R$5:$R$304,0))&amp;"","?"))</f>
        <v/>
      </c>
      <c r="N3176" s="2">
        <f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>
        <f>IF(OR(F3176="",G3176=""),"",IF(G3176&lt;='RETRATO 2027'!$K$5,"CONCLUÍDA",IF(F3176&lt;='RETRATO 2027'!$K$5,"EM ANDAMENTO","A INICIAR")))</f>
        <v/>
      </c>
    </row>
    <row r="3177">
      <c r="M3177" s="2">
        <f>IF(C3177="","",IFERROR(INDEX($S$5:$S$304,MATCH(C3177,$R$5:$R$304,0))&amp;"","?"))</f>
        <v/>
      </c>
      <c r="N3177" s="2">
        <f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>
        <f>IF(OR(F3177="",G3177=""),"",IF(G3177&lt;='RETRATO 2027'!$K$5,"CONCLUÍDA",IF(F3177&lt;='RETRATO 2027'!$K$5,"EM ANDAMENTO","A INICIAR")))</f>
        <v/>
      </c>
    </row>
    <row r="3178">
      <c r="M3178" s="2">
        <f>IF(C3178="","",IFERROR(INDEX($S$5:$S$304,MATCH(C3178,$R$5:$R$304,0))&amp;"","?"))</f>
        <v/>
      </c>
      <c r="N3178" s="2">
        <f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>
        <f>IF(OR(F3178="",G3178=""),"",IF(G3178&lt;='RETRATO 2027'!$K$5,"CONCLUÍDA",IF(F3178&lt;='RETRATO 2027'!$K$5,"EM ANDAMENTO","A INICIAR")))</f>
        <v/>
      </c>
    </row>
    <row r="3179">
      <c r="M3179" s="2">
        <f>IF(C3179="","",IFERROR(INDEX($S$5:$S$304,MATCH(C3179,$R$5:$R$304,0))&amp;"","?"))</f>
        <v/>
      </c>
      <c r="N3179" s="2">
        <f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>
        <f>IF(OR(F3179="",G3179=""),"",IF(G3179&lt;='RETRATO 2027'!$K$5,"CONCLUÍDA",IF(F3179&lt;='RETRATO 2027'!$K$5,"EM ANDAMENTO","A INICIAR")))</f>
        <v/>
      </c>
    </row>
    <row r="3180">
      <c r="M3180" s="2">
        <f>IF(C3180="","",IFERROR(INDEX($S$5:$S$304,MATCH(C3180,$R$5:$R$304,0))&amp;"","?"))</f>
        <v/>
      </c>
      <c r="N3180" s="2">
        <f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>
        <f>IF(OR(F3180="",G3180=""),"",IF(G3180&lt;='RETRATO 2027'!$K$5,"CONCLUÍDA",IF(F3180&lt;='RETRATO 2027'!$K$5,"EM ANDAMENTO","A INICIAR")))</f>
        <v/>
      </c>
    </row>
    <row r="3181">
      <c r="M3181" s="2">
        <f>IF(C3181="","",IFERROR(INDEX($S$5:$S$304,MATCH(C3181,$R$5:$R$304,0))&amp;"","?"))</f>
        <v/>
      </c>
      <c r="N3181" s="2">
        <f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>
        <f>IF(OR(F3181="",G3181=""),"",IF(G3181&lt;='RETRATO 2027'!$K$5,"CONCLUÍDA",IF(F3181&lt;='RETRATO 2027'!$K$5,"EM ANDAMENTO","A INICIAR")))</f>
        <v/>
      </c>
    </row>
    <row r="3182">
      <c r="M3182" s="2">
        <f>IF(C3182="","",IFERROR(INDEX($S$5:$S$304,MATCH(C3182,$R$5:$R$304,0))&amp;"","?"))</f>
        <v/>
      </c>
      <c r="N3182" s="2">
        <f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>
        <f>IF(OR(F3182="",G3182=""),"",IF(G3182&lt;='RETRATO 2027'!$K$5,"CONCLUÍDA",IF(F3182&lt;='RETRATO 2027'!$K$5,"EM ANDAMENTO","A INICIAR")))</f>
        <v/>
      </c>
    </row>
    <row r="3183">
      <c r="M3183" s="2">
        <f>IF(C3183="","",IFERROR(INDEX($S$5:$S$304,MATCH(C3183,$R$5:$R$304,0))&amp;"","?"))</f>
        <v/>
      </c>
      <c r="N3183" s="2">
        <f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>
        <f>IF(OR(F3183="",G3183=""),"",IF(G3183&lt;='RETRATO 2027'!$K$5,"CONCLUÍDA",IF(F3183&lt;='RETRATO 2027'!$K$5,"EM ANDAMENTO","A INICIAR")))</f>
        <v/>
      </c>
    </row>
    <row r="3184">
      <c r="M3184" s="2">
        <f>IF(C3184="","",IFERROR(INDEX($S$5:$S$304,MATCH(C3184,$R$5:$R$304,0))&amp;"","?"))</f>
        <v/>
      </c>
      <c r="N3184" s="2">
        <f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>
        <f>IF(OR(F3184="",G3184=""),"",IF(G3184&lt;='RETRATO 2027'!$K$5,"CONCLUÍDA",IF(F3184&lt;='RETRATO 2027'!$K$5,"EM ANDAMENTO","A INICIAR")))</f>
        <v/>
      </c>
    </row>
    <row r="3185">
      <c r="M3185" s="2">
        <f>IF(C3185="","",IFERROR(INDEX($S$5:$S$304,MATCH(C3185,$R$5:$R$304,0))&amp;"","?"))</f>
        <v/>
      </c>
      <c r="N3185" s="2">
        <f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>
        <f>IF(OR(F3185="",G3185=""),"",IF(G3185&lt;='RETRATO 2027'!$K$5,"CONCLUÍDA",IF(F3185&lt;='RETRATO 2027'!$K$5,"EM ANDAMENTO","A INICIAR")))</f>
        <v/>
      </c>
    </row>
    <row r="3186">
      <c r="M3186" s="2">
        <f>IF(C3186="","",IFERROR(INDEX($S$5:$S$304,MATCH(C3186,$R$5:$R$304,0))&amp;"","?"))</f>
        <v/>
      </c>
      <c r="N3186" s="2">
        <f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>
        <f>IF(OR(F3186="",G3186=""),"",IF(G3186&lt;='RETRATO 2027'!$K$5,"CONCLUÍDA",IF(F3186&lt;='RETRATO 2027'!$K$5,"EM ANDAMENTO","A INICIAR")))</f>
        <v/>
      </c>
    </row>
    <row r="3187">
      <c r="M3187" s="2">
        <f>IF(C3187="","",IFERROR(INDEX($S$5:$S$304,MATCH(C3187,$R$5:$R$304,0))&amp;"","?"))</f>
        <v/>
      </c>
      <c r="N3187" s="2">
        <f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>
        <f>IF(OR(F3187="",G3187=""),"",IF(G3187&lt;='RETRATO 2027'!$K$5,"CONCLUÍDA",IF(F3187&lt;='RETRATO 2027'!$K$5,"EM ANDAMENTO","A INICIAR")))</f>
        <v/>
      </c>
    </row>
    <row r="3188">
      <c r="M3188" s="2">
        <f>IF(C3188="","",IFERROR(INDEX($S$5:$S$304,MATCH(C3188,$R$5:$R$304,0))&amp;"","?"))</f>
        <v/>
      </c>
      <c r="N3188" s="2">
        <f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>
        <f>IF(OR(F3188="",G3188=""),"",IF(G3188&lt;='RETRATO 2027'!$K$5,"CONCLUÍDA",IF(F3188&lt;='RETRATO 2027'!$K$5,"EM ANDAMENTO","A INICIAR")))</f>
        <v/>
      </c>
    </row>
    <row r="3189">
      <c r="M3189" s="2">
        <f>IF(C3189="","",IFERROR(INDEX($S$5:$S$304,MATCH(C3189,$R$5:$R$304,0))&amp;"","?"))</f>
        <v/>
      </c>
      <c r="N3189" s="2">
        <f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>
        <f>IF(OR(F3189="",G3189=""),"",IF(G3189&lt;='RETRATO 2027'!$K$5,"CONCLUÍDA",IF(F3189&lt;='RETRATO 2027'!$K$5,"EM ANDAMENTO","A INICIAR")))</f>
        <v/>
      </c>
    </row>
    <row r="3190">
      <c r="M3190" s="2">
        <f>IF(C3190="","",IFERROR(INDEX($S$5:$S$304,MATCH(C3190,$R$5:$R$304,0))&amp;"","?"))</f>
        <v/>
      </c>
      <c r="N3190" s="2">
        <f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>
        <f>IF(OR(F3190="",G3190=""),"",IF(G3190&lt;='RETRATO 2027'!$K$5,"CONCLUÍDA",IF(F3190&lt;='RETRATO 2027'!$K$5,"EM ANDAMENTO","A INICIAR")))</f>
        <v/>
      </c>
    </row>
    <row r="3191">
      <c r="M3191" s="2">
        <f>IF(C3191="","",IFERROR(INDEX($S$5:$S$304,MATCH(C3191,$R$5:$R$304,0))&amp;"","?"))</f>
        <v/>
      </c>
      <c r="N3191" s="2">
        <f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>
        <f>IF(OR(F3191="",G3191=""),"",IF(G3191&lt;='RETRATO 2027'!$K$5,"CONCLUÍDA",IF(F3191&lt;='RETRATO 2027'!$K$5,"EM ANDAMENTO","A INICIAR")))</f>
        <v/>
      </c>
    </row>
    <row r="3192">
      <c r="M3192" s="2">
        <f>IF(C3192="","",IFERROR(INDEX($S$5:$S$304,MATCH(C3192,$R$5:$R$304,0))&amp;"","?"))</f>
        <v/>
      </c>
      <c r="N3192" s="2">
        <f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>
        <f>IF(OR(F3192="",G3192=""),"",IF(G3192&lt;='RETRATO 2027'!$K$5,"CONCLUÍDA",IF(F3192&lt;='RETRATO 2027'!$K$5,"EM ANDAMENTO","A INICIAR")))</f>
        <v/>
      </c>
    </row>
    <row r="3193">
      <c r="M3193" s="2">
        <f>IF(C3193="","",IFERROR(INDEX($S$5:$S$304,MATCH(C3193,$R$5:$R$304,0))&amp;"","?"))</f>
        <v/>
      </c>
      <c r="N3193" s="2">
        <f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>
        <f>IF(OR(F3193="",G3193=""),"",IF(G3193&lt;='RETRATO 2027'!$K$5,"CONCLUÍDA",IF(F3193&lt;='RETRATO 2027'!$K$5,"EM ANDAMENTO","A INICIAR")))</f>
        <v/>
      </c>
    </row>
    <row r="3194">
      <c r="M3194" s="2">
        <f>IF(C3194="","",IFERROR(INDEX($S$5:$S$304,MATCH(C3194,$R$5:$R$304,0))&amp;"","?"))</f>
        <v/>
      </c>
      <c r="N3194" s="2">
        <f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>
        <f>IF(OR(F3194="",G3194=""),"",IF(G3194&lt;='RETRATO 2027'!$K$5,"CONCLUÍDA",IF(F3194&lt;='RETRATO 2027'!$K$5,"EM ANDAMENTO","A INICIAR")))</f>
        <v/>
      </c>
    </row>
    <row r="3195">
      <c r="M3195" s="2">
        <f>IF(C3195="","",IFERROR(INDEX($S$5:$S$304,MATCH(C3195,$R$5:$R$304,0))&amp;"","?"))</f>
        <v/>
      </c>
      <c r="N3195" s="2">
        <f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>
        <f>IF(OR(F3195="",G3195=""),"",IF(G3195&lt;='RETRATO 2027'!$K$5,"CONCLUÍDA",IF(F3195&lt;='RETRATO 2027'!$K$5,"EM ANDAMENTO","A INICIAR")))</f>
        <v/>
      </c>
    </row>
    <row r="3196">
      <c r="M3196" s="2">
        <f>IF(C3196="","",IFERROR(INDEX($S$5:$S$304,MATCH(C3196,$R$5:$R$304,0))&amp;"","?"))</f>
        <v/>
      </c>
      <c r="N3196" s="2">
        <f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>
        <f>IF(OR(F3196="",G3196=""),"",IF(G3196&lt;='RETRATO 2027'!$K$5,"CONCLUÍDA",IF(F3196&lt;='RETRATO 2027'!$K$5,"EM ANDAMENTO","A INICIAR")))</f>
        <v/>
      </c>
    </row>
    <row r="3197">
      <c r="M3197" s="2">
        <f>IF(C3197="","",IFERROR(INDEX($S$5:$S$304,MATCH(C3197,$R$5:$R$304,0))&amp;"","?"))</f>
        <v/>
      </c>
      <c r="N3197" s="2">
        <f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>
        <f>IF(OR(F3197="",G3197=""),"",IF(G3197&lt;='RETRATO 2027'!$K$5,"CONCLUÍDA",IF(F3197&lt;='RETRATO 2027'!$K$5,"EM ANDAMENTO","A INICIAR")))</f>
        <v/>
      </c>
    </row>
    <row r="3198">
      <c r="M3198" s="2">
        <f>IF(C3198="","",IFERROR(INDEX($S$5:$S$304,MATCH(C3198,$R$5:$R$304,0))&amp;"","?"))</f>
        <v/>
      </c>
      <c r="N3198" s="2">
        <f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>
        <f>IF(OR(F3198="",G3198=""),"",IF(G3198&lt;='RETRATO 2027'!$K$5,"CONCLUÍDA",IF(F3198&lt;='RETRATO 2027'!$K$5,"EM ANDAMENTO","A INICIAR")))</f>
        <v/>
      </c>
    </row>
    <row r="3199">
      <c r="M3199" s="2">
        <f>IF(C3199="","",IFERROR(INDEX($S$5:$S$304,MATCH(C3199,$R$5:$R$304,0))&amp;"","?"))</f>
        <v/>
      </c>
      <c r="N3199" s="2">
        <f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>
        <f>IF(OR(F3199="",G3199=""),"",IF(G3199&lt;='RETRATO 2027'!$K$5,"CONCLUÍDA",IF(F3199&lt;='RETRATO 2027'!$K$5,"EM ANDAMENTO","A INICIAR")))</f>
        <v/>
      </c>
    </row>
    <row r="3200">
      <c r="M3200" s="2">
        <f>IF(C3200="","",IFERROR(INDEX($S$5:$S$304,MATCH(C3200,$R$5:$R$304,0))&amp;"","?"))</f>
        <v/>
      </c>
      <c r="N3200" s="2">
        <f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>
        <f>IF(OR(F3200="",G3200=""),"",IF(G3200&lt;='RETRATO 2027'!$K$5,"CONCLUÍDA",IF(F3200&lt;='RETRATO 2027'!$K$5,"EM ANDAMENTO","A INICIAR")))</f>
        <v/>
      </c>
    </row>
    <row r="3201">
      <c r="M3201" s="2">
        <f>IF(C3201="","",IFERROR(INDEX($S$5:$S$304,MATCH(C3201,$R$5:$R$304,0))&amp;"","?"))</f>
        <v/>
      </c>
      <c r="N3201" s="2">
        <f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>
        <f>IF(OR(F3201="",G3201=""),"",IF(G3201&lt;='RETRATO 2027'!$K$5,"CONCLUÍDA",IF(F3201&lt;='RETRATO 2027'!$K$5,"EM ANDAMENTO","A INICIAR")))</f>
        <v/>
      </c>
    </row>
    <row r="3202">
      <c r="M3202" s="2">
        <f>IF(C3202="","",IFERROR(INDEX($S$5:$S$304,MATCH(C3202,$R$5:$R$304,0))&amp;"","?"))</f>
        <v/>
      </c>
      <c r="N3202" s="2">
        <f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>
        <f>IF(OR(F3202="",G3202=""),"",IF(G3202&lt;='RETRATO 2027'!$K$5,"CONCLUÍDA",IF(F3202&lt;='RETRATO 2027'!$K$5,"EM ANDAMENTO","A INICIAR")))</f>
        <v/>
      </c>
    </row>
    <row r="3203">
      <c r="M3203" s="2">
        <f>IF(C3203="","",IFERROR(INDEX($S$5:$S$304,MATCH(C3203,$R$5:$R$304,0))&amp;"","?"))</f>
        <v/>
      </c>
      <c r="N3203" s="2">
        <f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>
        <f>IF(OR(F3203="",G3203=""),"",IF(G3203&lt;='RETRATO 2027'!$K$5,"CONCLUÍDA",IF(F3203&lt;='RETRATO 2027'!$K$5,"EM ANDAMENTO","A INICIAR")))</f>
        <v/>
      </c>
    </row>
    <row r="3204">
      <c r="M3204" s="2">
        <f>IF(C3204="","",IFERROR(INDEX($S$5:$S$304,MATCH(C3204,$R$5:$R$304,0))&amp;"","?"))</f>
        <v/>
      </c>
      <c r="N3204" s="2">
        <f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>
        <f>IF(OR(F3204="",G3204=""),"",IF(G3204&lt;='RETRATO 2027'!$K$5,"CONCLUÍDA",IF(F3204&lt;='RETRATO 2027'!$K$5,"EM ANDAMENTO","A INICIAR")))</f>
        <v/>
      </c>
    </row>
    <row r="3205">
      <c r="M3205" s="2">
        <f>IF(C3205="","",IFERROR(INDEX($S$5:$S$304,MATCH(C3205,$R$5:$R$304,0))&amp;"","?"))</f>
        <v/>
      </c>
      <c r="N3205" s="2">
        <f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>
        <f>IF(OR(F3205="",G3205=""),"",IF(G3205&lt;='RETRATO 2027'!$K$5,"CONCLUÍDA",IF(F3205&lt;='RETRATO 2027'!$K$5,"EM ANDAMENTO","A INICIAR")))</f>
        <v/>
      </c>
    </row>
    <row r="3206">
      <c r="M3206" s="2">
        <f>IF(C3206="","",IFERROR(INDEX($S$5:$S$304,MATCH(C3206,$R$5:$R$304,0))&amp;"","?"))</f>
        <v/>
      </c>
      <c r="N3206" s="2">
        <f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>
        <f>IF(OR(F3206="",G3206=""),"",IF(G3206&lt;='RETRATO 2027'!$K$5,"CONCLUÍDA",IF(F3206&lt;='RETRATO 2027'!$K$5,"EM ANDAMENTO","A INICIAR")))</f>
        <v/>
      </c>
    </row>
    <row r="3207">
      <c r="M3207" s="2">
        <f>IF(C3207="","",IFERROR(INDEX($S$5:$S$304,MATCH(C3207,$R$5:$R$304,0))&amp;"","?"))</f>
        <v/>
      </c>
      <c r="N3207" s="2">
        <f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>
        <f>IF(OR(F3207="",G3207=""),"",IF(G3207&lt;='RETRATO 2027'!$K$5,"CONCLUÍDA",IF(F3207&lt;='RETRATO 2027'!$K$5,"EM ANDAMENTO","A INICIAR")))</f>
        <v/>
      </c>
    </row>
    <row r="3208">
      <c r="M3208" s="2">
        <f>IF(C3208="","",IFERROR(INDEX($S$5:$S$304,MATCH(C3208,$R$5:$R$304,0))&amp;"","?"))</f>
        <v/>
      </c>
      <c r="N3208" s="2">
        <f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>
        <f>IF(OR(F3208="",G3208=""),"",IF(G3208&lt;='RETRATO 2027'!$K$5,"CONCLUÍDA",IF(F3208&lt;='RETRATO 2027'!$K$5,"EM ANDAMENTO","A INICIAR")))</f>
        <v/>
      </c>
    </row>
    <row r="3209">
      <c r="M3209" s="2">
        <f>IF(C3209="","",IFERROR(INDEX($S$5:$S$304,MATCH(C3209,$R$5:$R$304,0))&amp;"","?"))</f>
        <v/>
      </c>
      <c r="N3209" s="2">
        <f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>
        <f>IF(OR(F3209="",G3209=""),"",IF(G3209&lt;='RETRATO 2027'!$K$5,"CONCLUÍDA",IF(F3209&lt;='RETRATO 2027'!$K$5,"EM ANDAMENTO","A INICIAR")))</f>
        <v/>
      </c>
    </row>
    <row r="3210">
      <c r="M3210" s="2">
        <f>IF(C3210="","",IFERROR(INDEX($S$5:$S$304,MATCH(C3210,$R$5:$R$304,0))&amp;"","?"))</f>
        <v/>
      </c>
      <c r="N3210" s="2">
        <f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>
        <f>IF(OR(F3210="",G3210=""),"",IF(G3210&lt;='RETRATO 2027'!$K$5,"CONCLUÍDA",IF(F3210&lt;='RETRATO 2027'!$K$5,"EM ANDAMENTO","A INICIAR")))</f>
        <v/>
      </c>
    </row>
    <row r="3211">
      <c r="M3211" s="2">
        <f>IF(C3211="","",IFERROR(INDEX($S$5:$S$304,MATCH(C3211,$R$5:$R$304,0))&amp;"","?"))</f>
        <v/>
      </c>
      <c r="N3211" s="2">
        <f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>
        <f>IF(OR(F3211="",G3211=""),"",IF(G3211&lt;='RETRATO 2027'!$K$5,"CONCLUÍDA",IF(F3211&lt;='RETRATO 2027'!$K$5,"EM ANDAMENTO","A INICIAR")))</f>
        <v/>
      </c>
    </row>
    <row r="3212">
      <c r="M3212" s="2">
        <f>IF(C3212="","",IFERROR(INDEX($S$5:$S$304,MATCH(C3212,$R$5:$R$304,0))&amp;"","?"))</f>
        <v/>
      </c>
      <c r="N3212" s="2">
        <f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>
        <f>IF(OR(F3212="",G3212=""),"",IF(G3212&lt;='RETRATO 2027'!$K$5,"CONCLUÍDA",IF(F3212&lt;='RETRATO 2027'!$K$5,"EM ANDAMENTO","A INICIAR")))</f>
        <v/>
      </c>
    </row>
    <row r="3213">
      <c r="M3213" s="2">
        <f>IF(C3213="","",IFERROR(INDEX($S$5:$S$304,MATCH(C3213,$R$5:$R$304,0))&amp;"","?"))</f>
        <v/>
      </c>
      <c r="N3213" s="2">
        <f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>
        <f>IF(OR(F3213="",G3213=""),"",IF(G3213&lt;='RETRATO 2027'!$K$5,"CONCLUÍDA",IF(F3213&lt;='RETRATO 2027'!$K$5,"EM ANDAMENTO","A INICIAR")))</f>
        <v/>
      </c>
    </row>
    <row r="3214">
      <c r="M3214" s="2">
        <f>IF(C3214="","",IFERROR(INDEX($S$5:$S$304,MATCH(C3214,$R$5:$R$304,0))&amp;"","?"))</f>
        <v/>
      </c>
      <c r="N3214" s="2">
        <f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>
        <f>IF(OR(F3214="",G3214=""),"",IF(G3214&lt;='RETRATO 2027'!$K$5,"CONCLUÍDA",IF(F3214&lt;='RETRATO 2027'!$K$5,"EM ANDAMENTO","A INICIAR")))</f>
        <v/>
      </c>
    </row>
    <row r="3215">
      <c r="M3215" s="2">
        <f>IF(C3215="","",IFERROR(INDEX($S$5:$S$304,MATCH(C3215,$R$5:$R$304,0))&amp;"","?"))</f>
        <v/>
      </c>
      <c r="N3215" s="2">
        <f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>
        <f>IF(OR(F3215="",G3215=""),"",IF(G3215&lt;='RETRATO 2027'!$K$5,"CONCLUÍDA",IF(F3215&lt;='RETRATO 2027'!$K$5,"EM ANDAMENTO","A INICIAR")))</f>
        <v/>
      </c>
    </row>
    <row r="3216">
      <c r="M3216" s="2">
        <f>IF(C3216="","",IFERROR(INDEX($S$5:$S$304,MATCH(C3216,$R$5:$R$304,0))&amp;"","?"))</f>
        <v/>
      </c>
      <c r="N3216" s="2">
        <f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>
        <f>IF(OR(F3216="",G3216=""),"",IF(G3216&lt;='RETRATO 2027'!$K$5,"CONCLUÍDA",IF(F3216&lt;='RETRATO 2027'!$K$5,"EM ANDAMENTO","A INICIAR")))</f>
        <v/>
      </c>
    </row>
    <row r="3217">
      <c r="M3217" s="2">
        <f>IF(C3217="","",IFERROR(INDEX($S$5:$S$304,MATCH(C3217,$R$5:$R$304,0))&amp;"","?"))</f>
        <v/>
      </c>
      <c r="N3217" s="2">
        <f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>
        <f>IF(OR(F3217="",G3217=""),"",IF(G3217&lt;='RETRATO 2027'!$K$5,"CONCLUÍDA",IF(F3217&lt;='RETRATO 2027'!$K$5,"EM ANDAMENTO","A INICIAR")))</f>
        <v/>
      </c>
    </row>
    <row r="3218">
      <c r="M3218" s="2">
        <f>IF(C3218="","",IFERROR(INDEX($S$5:$S$304,MATCH(C3218,$R$5:$R$304,0))&amp;"","?"))</f>
        <v/>
      </c>
      <c r="N3218" s="2">
        <f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>
        <f>IF(OR(F3218="",G3218=""),"",IF(G3218&lt;='RETRATO 2027'!$K$5,"CONCLUÍDA",IF(F3218&lt;='RETRATO 2027'!$K$5,"EM ANDAMENTO","A INICIAR")))</f>
        <v/>
      </c>
    </row>
    <row r="3219">
      <c r="M3219" s="2">
        <f>IF(C3219="","",IFERROR(INDEX($S$5:$S$304,MATCH(C3219,$R$5:$R$304,0))&amp;"","?"))</f>
        <v/>
      </c>
      <c r="N3219" s="2">
        <f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>
        <f>IF(OR(F3219="",G3219=""),"",IF(G3219&lt;='RETRATO 2027'!$K$5,"CONCLUÍDA",IF(F3219&lt;='RETRATO 2027'!$K$5,"EM ANDAMENTO","A INICIAR")))</f>
        <v/>
      </c>
    </row>
    <row r="3220">
      <c r="M3220" s="2">
        <f>IF(C3220="","",IFERROR(INDEX($S$5:$S$304,MATCH(C3220,$R$5:$R$304,0))&amp;"","?"))</f>
        <v/>
      </c>
      <c r="N3220" s="2">
        <f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>
        <f>IF(OR(F3220="",G3220=""),"",IF(G3220&lt;='RETRATO 2027'!$K$5,"CONCLUÍDA",IF(F3220&lt;='RETRATO 2027'!$K$5,"EM ANDAMENTO","A INICIAR")))</f>
        <v/>
      </c>
    </row>
    <row r="3221">
      <c r="M3221" s="2">
        <f>IF(C3221="","",IFERROR(INDEX($S$5:$S$304,MATCH(C3221,$R$5:$R$304,0))&amp;"","?"))</f>
        <v/>
      </c>
      <c r="N3221" s="2">
        <f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>
        <f>IF(OR(F3221="",G3221=""),"",IF(G3221&lt;='RETRATO 2027'!$K$5,"CONCLUÍDA",IF(F3221&lt;='RETRATO 2027'!$K$5,"EM ANDAMENTO","A INICIAR")))</f>
        <v/>
      </c>
    </row>
    <row r="3222">
      <c r="M3222" s="2">
        <f>IF(C3222="","",IFERROR(INDEX($S$5:$S$304,MATCH(C3222,$R$5:$R$304,0))&amp;"","?"))</f>
        <v/>
      </c>
      <c r="N3222" s="2">
        <f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>
        <f>IF(OR(F3222="",G3222=""),"",IF(G3222&lt;='RETRATO 2027'!$K$5,"CONCLUÍDA",IF(F3222&lt;='RETRATO 2027'!$K$5,"EM ANDAMENTO","A INICIAR")))</f>
        <v/>
      </c>
    </row>
    <row r="3223">
      <c r="M3223" s="2">
        <f>IF(C3223="","",IFERROR(INDEX($S$5:$S$304,MATCH(C3223,$R$5:$R$304,0))&amp;"","?"))</f>
        <v/>
      </c>
      <c r="N3223" s="2">
        <f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>
        <f>IF(OR(F3223="",G3223=""),"",IF(G3223&lt;='RETRATO 2027'!$K$5,"CONCLUÍDA",IF(F3223&lt;='RETRATO 2027'!$K$5,"EM ANDAMENTO","A INICIAR")))</f>
        <v/>
      </c>
    </row>
    <row r="3224">
      <c r="M3224" s="2">
        <f>IF(C3224="","",IFERROR(INDEX($S$5:$S$304,MATCH(C3224,$R$5:$R$304,0))&amp;"","?"))</f>
        <v/>
      </c>
      <c r="N3224" s="2">
        <f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>
        <f>IF(OR(F3224="",G3224=""),"",IF(G3224&lt;='RETRATO 2027'!$K$5,"CONCLUÍDA",IF(F3224&lt;='RETRATO 2027'!$K$5,"EM ANDAMENTO","A INICIAR")))</f>
        <v/>
      </c>
    </row>
    <row r="3225">
      <c r="M3225" s="2">
        <f>IF(C3225="","",IFERROR(INDEX($S$5:$S$304,MATCH(C3225,$R$5:$R$304,0))&amp;"","?"))</f>
        <v/>
      </c>
      <c r="N3225" s="2">
        <f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>
        <f>IF(OR(F3225="",G3225=""),"",IF(G3225&lt;='RETRATO 2027'!$K$5,"CONCLUÍDA",IF(F3225&lt;='RETRATO 2027'!$K$5,"EM ANDAMENTO","A INICIAR")))</f>
        <v/>
      </c>
    </row>
    <row r="3226">
      <c r="M3226" s="2">
        <f>IF(C3226="","",IFERROR(INDEX($S$5:$S$304,MATCH(C3226,$R$5:$R$304,0))&amp;"","?"))</f>
        <v/>
      </c>
      <c r="N3226" s="2">
        <f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>
        <f>IF(OR(F3226="",G3226=""),"",IF(G3226&lt;='RETRATO 2027'!$K$5,"CONCLUÍDA",IF(F3226&lt;='RETRATO 2027'!$K$5,"EM ANDAMENTO","A INICIAR")))</f>
        <v/>
      </c>
    </row>
    <row r="3227">
      <c r="M3227" s="2">
        <f>IF(C3227="","",IFERROR(INDEX($S$5:$S$304,MATCH(C3227,$R$5:$R$304,0))&amp;"","?"))</f>
        <v/>
      </c>
      <c r="N3227" s="2">
        <f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>
        <f>IF(OR(F3227="",G3227=""),"",IF(G3227&lt;='RETRATO 2027'!$K$5,"CONCLUÍDA",IF(F3227&lt;='RETRATO 2027'!$K$5,"EM ANDAMENTO","A INICIAR")))</f>
        <v/>
      </c>
    </row>
    <row r="3228">
      <c r="M3228" s="2">
        <f>IF(C3228="","",IFERROR(INDEX($S$5:$S$304,MATCH(C3228,$R$5:$R$304,0))&amp;"","?"))</f>
        <v/>
      </c>
      <c r="N3228" s="2">
        <f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>
        <f>IF(OR(F3228="",G3228=""),"",IF(G3228&lt;='RETRATO 2027'!$K$5,"CONCLUÍDA",IF(F3228&lt;='RETRATO 2027'!$K$5,"EM ANDAMENTO","A INICIAR")))</f>
        <v/>
      </c>
    </row>
    <row r="3229">
      <c r="M3229" s="2">
        <f>IF(C3229="","",IFERROR(INDEX($S$5:$S$304,MATCH(C3229,$R$5:$R$304,0))&amp;"","?"))</f>
        <v/>
      </c>
      <c r="N3229" s="2">
        <f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>
        <f>IF(OR(F3229="",G3229=""),"",IF(G3229&lt;='RETRATO 2027'!$K$5,"CONCLUÍDA",IF(F3229&lt;='RETRATO 2027'!$K$5,"EM ANDAMENTO","A INICIAR")))</f>
        <v/>
      </c>
    </row>
    <row r="3230">
      <c r="M3230" s="2">
        <f>IF(C3230="","",IFERROR(INDEX($S$5:$S$304,MATCH(C3230,$R$5:$R$304,0))&amp;"","?"))</f>
        <v/>
      </c>
      <c r="N3230" s="2">
        <f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>
        <f>IF(OR(F3230="",G3230=""),"",IF(G3230&lt;='RETRATO 2027'!$K$5,"CONCLUÍDA",IF(F3230&lt;='RETRATO 2027'!$K$5,"EM ANDAMENTO","A INICIAR")))</f>
        <v/>
      </c>
    </row>
    <row r="3231">
      <c r="M3231" s="2">
        <f>IF(C3231="","",IFERROR(INDEX($S$5:$S$304,MATCH(C3231,$R$5:$R$304,0))&amp;"","?"))</f>
        <v/>
      </c>
      <c r="N3231" s="2">
        <f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>
        <f>IF(OR(F3231="",G3231=""),"",IF(G3231&lt;='RETRATO 2027'!$K$5,"CONCLUÍDA",IF(F3231&lt;='RETRATO 2027'!$K$5,"EM ANDAMENTO","A INICIAR")))</f>
        <v/>
      </c>
    </row>
    <row r="3232">
      <c r="M3232" s="2">
        <f>IF(C3232="","",IFERROR(INDEX($S$5:$S$304,MATCH(C3232,$R$5:$R$304,0))&amp;"","?"))</f>
        <v/>
      </c>
      <c r="N3232" s="2">
        <f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>
        <f>IF(OR(F3232="",G3232=""),"",IF(G3232&lt;='RETRATO 2027'!$K$5,"CONCLUÍDA",IF(F3232&lt;='RETRATO 2027'!$K$5,"EM ANDAMENTO","A INICIAR")))</f>
        <v/>
      </c>
    </row>
    <row r="3233">
      <c r="M3233" s="2">
        <f>IF(C3233="","",IFERROR(INDEX($S$5:$S$304,MATCH(C3233,$R$5:$R$304,0))&amp;"","?"))</f>
        <v/>
      </c>
      <c r="N3233" s="2">
        <f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>
        <f>IF(OR(F3233="",G3233=""),"",IF(G3233&lt;='RETRATO 2027'!$K$5,"CONCLUÍDA",IF(F3233&lt;='RETRATO 2027'!$K$5,"EM ANDAMENTO","A INICIAR")))</f>
        <v/>
      </c>
    </row>
    <row r="3234">
      <c r="M3234" s="2">
        <f>IF(C3234="","",IFERROR(INDEX($S$5:$S$304,MATCH(C3234,$R$5:$R$304,0))&amp;"","?"))</f>
        <v/>
      </c>
      <c r="N3234" s="2">
        <f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>
        <f>IF(OR(F3234="",G3234=""),"",IF(G3234&lt;='RETRATO 2027'!$K$5,"CONCLUÍDA",IF(F3234&lt;='RETRATO 2027'!$K$5,"EM ANDAMENTO","A INICIAR")))</f>
        <v/>
      </c>
    </row>
    <row r="3235">
      <c r="M3235" s="2">
        <f>IF(C3235="","",IFERROR(INDEX($S$5:$S$304,MATCH(C3235,$R$5:$R$304,0))&amp;"","?"))</f>
        <v/>
      </c>
      <c r="N3235" s="2">
        <f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>
        <f>IF(OR(F3235="",G3235=""),"",IF(G3235&lt;='RETRATO 2027'!$K$5,"CONCLUÍDA",IF(F3235&lt;='RETRATO 2027'!$K$5,"EM ANDAMENTO","A INICIAR")))</f>
        <v/>
      </c>
    </row>
    <row r="3236">
      <c r="M3236" s="2">
        <f>IF(C3236="","",IFERROR(INDEX($S$5:$S$304,MATCH(C3236,$R$5:$R$304,0))&amp;"","?"))</f>
        <v/>
      </c>
      <c r="N3236" s="2">
        <f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>
        <f>IF(OR(F3236="",G3236=""),"",IF(G3236&lt;='RETRATO 2027'!$K$5,"CONCLUÍDA",IF(F3236&lt;='RETRATO 2027'!$K$5,"EM ANDAMENTO","A INICIAR")))</f>
        <v/>
      </c>
    </row>
    <row r="3237">
      <c r="M3237" s="2">
        <f>IF(C3237="","",IFERROR(INDEX($S$5:$S$304,MATCH(C3237,$R$5:$R$304,0))&amp;"","?"))</f>
        <v/>
      </c>
      <c r="N3237" s="2">
        <f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>
        <f>IF(OR(F3237="",G3237=""),"",IF(G3237&lt;='RETRATO 2027'!$K$5,"CONCLUÍDA",IF(F3237&lt;='RETRATO 2027'!$K$5,"EM ANDAMENTO","A INICIAR")))</f>
        <v/>
      </c>
    </row>
    <row r="3238">
      <c r="M3238" s="2">
        <f>IF(C3238="","",IFERROR(INDEX($S$5:$S$304,MATCH(C3238,$R$5:$R$304,0))&amp;"","?"))</f>
        <v/>
      </c>
      <c r="N3238" s="2">
        <f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>
        <f>IF(OR(F3238="",G3238=""),"",IF(G3238&lt;='RETRATO 2027'!$K$5,"CONCLUÍDA",IF(F3238&lt;='RETRATO 2027'!$K$5,"EM ANDAMENTO","A INICIAR")))</f>
        <v/>
      </c>
    </row>
    <row r="3239">
      <c r="M3239" s="2">
        <f>IF(C3239="","",IFERROR(INDEX($S$5:$S$304,MATCH(C3239,$R$5:$R$304,0))&amp;"","?"))</f>
        <v/>
      </c>
      <c r="N3239" s="2">
        <f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>
        <f>IF(OR(F3239="",G3239=""),"",IF(G3239&lt;='RETRATO 2027'!$K$5,"CONCLUÍDA",IF(F3239&lt;='RETRATO 2027'!$K$5,"EM ANDAMENTO","A INICIAR")))</f>
        <v/>
      </c>
    </row>
    <row r="3240">
      <c r="M3240" s="2">
        <f>IF(C3240="","",IFERROR(INDEX($S$5:$S$304,MATCH(C3240,$R$5:$R$304,0))&amp;"","?"))</f>
        <v/>
      </c>
      <c r="N3240" s="2">
        <f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>
        <f>IF(OR(F3240="",G3240=""),"",IF(G3240&lt;='RETRATO 2027'!$K$5,"CONCLUÍDA",IF(F3240&lt;='RETRATO 2027'!$K$5,"EM ANDAMENTO","A INICIAR")))</f>
        <v/>
      </c>
    </row>
    <row r="3241">
      <c r="M3241" s="2">
        <f>IF(C3241="","",IFERROR(INDEX($S$5:$S$304,MATCH(C3241,$R$5:$R$304,0))&amp;"","?"))</f>
        <v/>
      </c>
      <c r="N3241" s="2">
        <f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>
        <f>IF(OR(F3241="",G3241=""),"",IF(G3241&lt;='RETRATO 2027'!$K$5,"CONCLUÍDA",IF(F3241&lt;='RETRATO 2027'!$K$5,"EM ANDAMENTO","A INICIAR")))</f>
        <v/>
      </c>
    </row>
    <row r="3242">
      <c r="M3242" s="2">
        <f>IF(C3242="","",IFERROR(INDEX($S$5:$S$304,MATCH(C3242,$R$5:$R$304,0))&amp;"","?"))</f>
        <v/>
      </c>
      <c r="N3242" s="2">
        <f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>
        <f>IF(OR(F3242="",G3242=""),"",IF(G3242&lt;='RETRATO 2027'!$K$5,"CONCLUÍDA",IF(F3242&lt;='RETRATO 2027'!$K$5,"EM ANDAMENTO","A INICIAR")))</f>
        <v/>
      </c>
    </row>
    <row r="3243">
      <c r="M3243" s="2">
        <f>IF(C3243="","",IFERROR(INDEX($S$5:$S$304,MATCH(C3243,$R$5:$R$304,0))&amp;"","?"))</f>
        <v/>
      </c>
      <c r="N3243" s="2">
        <f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>
        <f>IF(OR(F3243="",G3243=""),"",IF(G3243&lt;='RETRATO 2027'!$K$5,"CONCLUÍDA",IF(F3243&lt;='RETRATO 2027'!$K$5,"EM ANDAMENTO","A INICIAR")))</f>
        <v/>
      </c>
    </row>
    <row r="3244">
      <c r="M3244" s="2">
        <f>IF(C3244="","",IFERROR(INDEX($S$5:$S$304,MATCH(C3244,$R$5:$R$304,0))&amp;"","?"))</f>
        <v/>
      </c>
      <c r="N3244" s="2">
        <f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>
        <f>IF(OR(F3244="",G3244=""),"",IF(G3244&lt;='RETRATO 2027'!$K$5,"CONCLUÍDA",IF(F3244&lt;='RETRATO 2027'!$K$5,"EM ANDAMENTO","A INICIAR")))</f>
        <v/>
      </c>
    </row>
    <row r="3245">
      <c r="M3245" s="2">
        <f>IF(C3245="","",IFERROR(INDEX($S$5:$S$304,MATCH(C3245,$R$5:$R$304,0))&amp;"","?"))</f>
        <v/>
      </c>
      <c r="N3245" s="2">
        <f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>
        <f>IF(OR(F3245="",G3245=""),"",IF(G3245&lt;='RETRATO 2027'!$K$5,"CONCLUÍDA",IF(F3245&lt;='RETRATO 2027'!$K$5,"EM ANDAMENTO","A INICIAR")))</f>
        <v/>
      </c>
    </row>
    <row r="3246">
      <c r="M3246" s="2">
        <f>IF(C3246="","",IFERROR(INDEX($S$5:$S$304,MATCH(C3246,$R$5:$R$304,0))&amp;"","?"))</f>
        <v/>
      </c>
      <c r="N3246" s="2">
        <f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>
        <f>IF(OR(F3246="",G3246=""),"",IF(G3246&lt;='RETRATO 2027'!$K$5,"CONCLUÍDA",IF(F3246&lt;='RETRATO 2027'!$K$5,"EM ANDAMENTO","A INICIAR")))</f>
        <v/>
      </c>
    </row>
    <row r="3247">
      <c r="M3247" s="2">
        <f>IF(C3247="","",IFERROR(INDEX($S$5:$S$304,MATCH(C3247,$R$5:$R$304,0))&amp;"","?"))</f>
        <v/>
      </c>
      <c r="N3247" s="2">
        <f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>
        <f>IF(OR(F3247="",G3247=""),"",IF(G3247&lt;='RETRATO 2027'!$K$5,"CONCLUÍDA",IF(F3247&lt;='RETRATO 2027'!$K$5,"EM ANDAMENTO","A INICIAR")))</f>
        <v/>
      </c>
    </row>
    <row r="3248">
      <c r="M3248" s="2">
        <f>IF(C3248="","",IFERROR(INDEX($S$5:$S$304,MATCH(C3248,$R$5:$R$304,0))&amp;"","?"))</f>
        <v/>
      </c>
      <c r="N3248" s="2">
        <f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>
        <f>IF(OR(F3248="",G3248=""),"",IF(G3248&lt;='RETRATO 2027'!$K$5,"CONCLUÍDA",IF(F3248&lt;='RETRATO 2027'!$K$5,"EM ANDAMENTO","A INICIAR")))</f>
        <v/>
      </c>
    </row>
    <row r="3249">
      <c r="M3249" s="2">
        <f>IF(C3249="","",IFERROR(INDEX($S$5:$S$304,MATCH(C3249,$R$5:$R$304,0))&amp;"","?"))</f>
        <v/>
      </c>
      <c r="N3249" s="2">
        <f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>
        <f>IF(OR(F3249="",G3249=""),"",IF(G3249&lt;='RETRATO 2027'!$K$5,"CONCLUÍDA",IF(F3249&lt;='RETRATO 2027'!$K$5,"EM ANDAMENTO","A INICIAR")))</f>
        <v/>
      </c>
    </row>
    <row r="3250">
      <c r="M3250" s="2">
        <f>IF(C3250="","",IFERROR(INDEX($S$5:$S$304,MATCH(C3250,$R$5:$R$304,0))&amp;"","?"))</f>
        <v/>
      </c>
      <c r="N3250" s="2">
        <f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>
        <f>IF(OR(F3250="",G3250=""),"",IF(G3250&lt;='RETRATO 2027'!$K$5,"CONCLUÍDA",IF(F3250&lt;='RETRATO 2027'!$K$5,"EM ANDAMENTO","A INICIAR")))</f>
        <v/>
      </c>
    </row>
    <row r="3251">
      <c r="M3251" s="2">
        <f>IF(C3251="","",IFERROR(INDEX($S$5:$S$304,MATCH(C3251,$R$5:$R$304,0))&amp;"","?"))</f>
        <v/>
      </c>
      <c r="N3251" s="2">
        <f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>
        <f>IF(OR(F3251="",G3251=""),"",IF(G3251&lt;='RETRATO 2027'!$K$5,"CONCLUÍDA",IF(F3251&lt;='RETRATO 2027'!$K$5,"EM ANDAMENTO","A INICIAR")))</f>
        <v/>
      </c>
    </row>
    <row r="3252">
      <c r="M3252" s="2">
        <f>IF(C3252="","",IFERROR(INDEX($S$5:$S$304,MATCH(C3252,$R$5:$R$304,0))&amp;"","?"))</f>
        <v/>
      </c>
      <c r="N3252" s="2">
        <f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>
        <f>IF(OR(F3252="",G3252=""),"",IF(G3252&lt;='RETRATO 2027'!$K$5,"CONCLUÍDA",IF(F3252&lt;='RETRATO 2027'!$K$5,"EM ANDAMENTO","A INICIAR")))</f>
        <v/>
      </c>
    </row>
    <row r="3253">
      <c r="M3253" s="2">
        <f>IF(C3253="","",IFERROR(INDEX($S$5:$S$304,MATCH(C3253,$R$5:$R$304,0))&amp;"","?"))</f>
        <v/>
      </c>
      <c r="N3253" s="2">
        <f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>
        <f>IF(OR(F3253="",G3253=""),"",IF(G3253&lt;='RETRATO 2027'!$K$5,"CONCLUÍDA",IF(F3253&lt;='RETRATO 2027'!$K$5,"EM ANDAMENTO","A INICIAR")))</f>
        <v/>
      </c>
    </row>
    <row r="3254">
      <c r="M3254" s="2">
        <f>IF(C3254="","",IFERROR(INDEX($S$5:$S$304,MATCH(C3254,$R$5:$R$304,0))&amp;"","?"))</f>
        <v/>
      </c>
      <c r="N3254" s="2">
        <f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>
        <f>IF(OR(F3254="",G3254=""),"",IF(G3254&lt;='RETRATO 2027'!$K$5,"CONCLUÍDA",IF(F3254&lt;='RETRATO 2027'!$K$5,"EM ANDAMENTO","A INICIAR")))</f>
        <v/>
      </c>
    </row>
    <row r="3255">
      <c r="M3255" s="2">
        <f>IF(C3255="","",IFERROR(INDEX($S$5:$S$304,MATCH(C3255,$R$5:$R$304,0))&amp;"","?"))</f>
        <v/>
      </c>
      <c r="N3255" s="2">
        <f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>
        <f>IF(OR(F3255="",G3255=""),"",IF(G3255&lt;='RETRATO 2027'!$K$5,"CONCLUÍDA",IF(F3255&lt;='RETRATO 2027'!$K$5,"EM ANDAMENTO","A INICIAR")))</f>
        <v/>
      </c>
    </row>
    <row r="3256">
      <c r="M3256" s="2">
        <f>IF(C3256="","",IFERROR(INDEX($S$5:$S$304,MATCH(C3256,$R$5:$R$304,0))&amp;"","?"))</f>
        <v/>
      </c>
      <c r="N3256" s="2">
        <f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>
        <f>IF(OR(F3256="",G3256=""),"",IF(G3256&lt;='RETRATO 2027'!$K$5,"CONCLUÍDA",IF(F3256&lt;='RETRATO 2027'!$K$5,"EM ANDAMENTO","A INICIAR")))</f>
        <v/>
      </c>
    </row>
    <row r="3257">
      <c r="M3257" s="2">
        <f>IF(C3257="","",IFERROR(INDEX($S$5:$S$304,MATCH(C3257,$R$5:$R$304,0))&amp;"","?"))</f>
        <v/>
      </c>
      <c r="N3257" s="2">
        <f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>
        <f>IF(OR(F3257="",G3257=""),"",IF(G3257&lt;='RETRATO 2027'!$K$5,"CONCLUÍDA",IF(F3257&lt;='RETRATO 2027'!$K$5,"EM ANDAMENTO","A INICIAR")))</f>
        <v/>
      </c>
    </row>
    <row r="3258">
      <c r="M3258" s="2">
        <f>IF(C3258="","",IFERROR(INDEX($S$5:$S$304,MATCH(C3258,$R$5:$R$304,0))&amp;"","?"))</f>
        <v/>
      </c>
      <c r="N3258" s="2">
        <f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>
        <f>IF(OR(F3258="",G3258=""),"",IF(G3258&lt;='RETRATO 2027'!$K$5,"CONCLUÍDA",IF(F3258&lt;='RETRATO 2027'!$K$5,"EM ANDAMENTO","A INICIAR")))</f>
        <v/>
      </c>
    </row>
    <row r="3259">
      <c r="M3259" s="2">
        <f>IF(C3259="","",IFERROR(INDEX($S$5:$S$304,MATCH(C3259,$R$5:$R$304,0))&amp;"","?"))</f>
        <v/>
      </c>
      <c r="N3259" s="2">
        <f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>
        <f>IF(OR(F3259="",G3259=""),"",IF(G3259&lt;='RETRATO 2027'!$K$5,"CONCLUÍDA",IF(F3259&lt;='RETRATO 2027'!$K$5,"EM ANDAMENTO","A INICIAR")))</f>
        <v/>
      </c>
    </row>
    <row r="3260">
      <c r="M3260" s="2">
        <f>IF(C3260="","",IFERROR(INDEX($S$5:$S$304,MATCH(C3260,$R$5:$R$304,0))&amp;"","?"))</f>
        <v/>
      </c>
      <c r="N3260" s="2">
        <f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>
        <f>IF(OR(F3260="",G3260=""),"",IF(G3260&lt;='RETRATO 2027'!$K$5,"CONCLUÍDA",IF(F3260&lt;='RETRATO 2027'!$K$5,"EM ANDAMENTO","A INICIAR")))</f>
        <v/>
      </c>
    </row>
    <row r="3261">
      <c r="M3261" s="2">
        <f>IF(C3261="","",IFERROR(INDEX($S$5:$S$304,MATCH(C3261,$R$5:$R$304,0))&amp;"","?"))</f>
        <v/>
      </c>
      <c r="N3261" s="2">
        <f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>
        <f>IF(OR(F3261="",G3261=""),"",IF(G3261&lt;='RETRATO 2027'!$K$5,"CONCLUÍDA",IF(F3261&lt;='RETRATO 2027'!$K$5,"EM ANDAMENTO","A INICIAR")))</f>
        <v/>
      </c>
    </row>
    <row r="3262">
      <c r="M3262" s="2">
        <f>IF(C3262="","",IFERROR(INDEX($S$5:$S$304,MATCH(C3262,$R$5:$R$304,0))&amp;"","?"))</f>
        <v/>
      </c>
      <c r="N3262" s="2">
        <f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>
        <f>IF(OR(F3262="",G3262=""),"",IF(G3262&lt;='RETRATO 2027'!$K$5,"CONCLUÍDA",IF(F3262&lt;='RETRATO 2027'!$K$5,"EM ANDAMENTO","A INICIAR")))</f>
        <v/>
      </c>
    </row>
    <row r="3263">
      <c r="M3263" s="2">
        <f>IF(C3263="","",IFERROR(INDEX($S$5:$S$304,MATCH(C3263,$R$5:$R$304,0))&amp;"","?"))</f>
        <v/>
      </c>
      <c r="N3263" s="2">
        <f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>
        <f>IF(OR(F3263="",G3263=""),"",IF(G3263&lt;='RETRATO 2027'!$K$5,"CONCLUÍDA",IF(F3263&lt;='RETRATO 2027'!$K$5,"EM ANDAMENTO","A INICIAR")))</f>
        <v/>
      </c>
    </row>
    <row r="3264">
      <c r="M3264" s="2">
        <f>IF(C3264="","",IFERROR(INDEX($S$5:$S$304,MATCH(C3264,$R$5:$R$304,0))&amp;"","?"))</f>
        <v/>
      </c>
      <c r="N3264" s="2">
        <f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>
        <f>IF(OR(F3264="",G3264=""),"",IF(G3264&lt;='RETRATO 2027'!$K$5,"CONCLUÍDA",IF(F3264&lt;='RETRATO 2027'!$K$5,"EM ANDAMENTO","A INICIAR")))</f>
        <v/>
      </c>
    </row>
    <row r="3265">
      <c r="M3265" s="2">
        <f>IF(C3265="","",IFERROR(INDEX($S$5:$S$304,MATCH(C3265,$R$5:$R$304,0))&amp;"","?"))</f>
        <v/>
      </c>
      <c r="N3265" s="2">
        <f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>
        <f>IF(OR(F3265="",G3265=""),"",IF(G3265&lt;='RETRATO 2027'!$K$5,"CONCLUÍDA",IF(F3265&lt;='RETRATO 2027'!$K$5,"EM ANDAMENTO","A INICIAR")))</f>
        <v/>
      </c>
    </row>
    <row r="3266">
      <c r="M3266" s="2">
        <f>IF(C3266="","",IFERROR(INDEX($S$5:$S$304,MATCH(C3266,$R$5:$R$304,0))&amp;"","?"))</f>
        <v/>
      </c>
      <c r="N3266" s="2">
        <f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>
        <f>IF(OR(F3266="",G3266=""),"",IF(G3266&lt;='RETRATO 2027'!$K$5,"CONCLUÍDA",IF(F3266&lt;='RETRATO 2027'!$K$5,"EM ANDAMENTO","A INICIAR")))</f>
        <v/>
      </c>
    </row>
    <row r="3267">
      <c r="M3267" s="2">
        <f>IF(C3267="","",IFERROR(INDEX($S$5:$S$304,MATCH(C3267,$R$5:$R$304,0))&amp;"","?"))</f>
        <v/>
      </c>
      <c r="N3267" s="2">
        <f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>
        <f>IF(OR(F3267="",G3267=""),"",IF(G3267&lt;='RETRATO 2027'!$K$5,"CONCLUÍDA",IF(F3267&lt;='RETRATO 2027'!$K$5,"EM ANDAMENTO","A INICIAR")))</f>
        <v/>
      </c>
    </row>
    <row r="3268">
      <c r="M3268" s="2">
        <f>IF(C3268="","",IFERROR(INDEX($S$5:$S$304,MATCH(C3268,$R$5:$R$304,0))&amp;"","?"))</f>
        <v/>
      </c>
      <c r="N3268" s="2">
        <f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>
        <f>IF(OR(F3268="",G3268=""),"",IF(G3268&lt;='RETRATO 2027'!$K$5,"CONCLUÍDA",IF(F3268&lt;='RETRATO 2027'!$K$5,"EM ANDAMENTO","A INICIAR")))</f>
        <v/>
      </c>
    </row>
    <row r="3269">
      <c r="M3269" s="2">
        <f>IF(C3269="","",IFERROR(INDEX($S$5:$S$304,MATCH(C3269,$R$5:$R$304,0))&amp;"","?"))</f>
        <v/>
      </c>
      <c r="N3269" s="2">
        <f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>
        <f>IF(OR(F3269="",G3269=""),"",IF(G3269&lt;='RETRATO 2027'!$K$5,"CONCLUÍDA",IF(F3269&lt;='RETRATO 2027'!$K$5,"EM ANDAMENTO","A INICIAR")))</f>
        <v/>
      </c>
    </row>
    <row r="3270">
      <c r="M3270" s="2">
        <f>IF(C3270="","",IFERROR(INDEX($S$5:$S$304,MATCH(C3270,$R$5:$R$304,0))&amp;"","?"))</f>
        <v/>
      </c>
      <c r="N3270" s="2">
        <f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>
        <f>IF(OR(F3270="",G3270=""),"",IF(G3270&lt;='RETRATO 2027'!$K$5,"CONCLUÍDA",IF(F3270&lt;='RETRATO 2027'!$K$5,"EM ANDAMENTO","A INICIAR")))</f>
        <v/>
      </c>
    </row>
    <row r="3271">
      <c r="M3271" s="2">
        <f>IF(C3271="","",IFERROR(INDEX($S$5:$S$304,MATCH(C3271,$R$5:$R$304,0))&amp;"","?"))</f>
        <v/>
      </c>
      <c r="N3271" s="2">
        <f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>
        <f>IF(OR(F3271="",G3271=""),"",IF(G3271&lt;='RETRATO 2027'!$K$5,"CONCLUÍDA",IF(F3271&lt;='RETRATO 2027'!$K$5,"EM ANDAMENTO","A INICIAR")))</f>
        <v/>
      </c>
    </row>
    <row r="3272">
      <c r="M3272" s="2">
        <f>IF(C3272="","",IFERROR(INDEX($S$5:$S$304,MATCH(C3272,$R$5:$R$304,0))&amp;"","?"))</f>
        <v/>
      </c>
      <c r="N3272" s="2">
        <f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>
        <f>IF(OR(F3272="",G3272=""),"",IF(G3272&lt;='RETRATO 2027'!$K$5,"CONCLUÍDA",IF(F3272&lt;='RETRATO 2027'!$K$5,"EM ANDAMENTO","A INICIAR")))</f>
        <v/>
      </c>
    </row>
    <row r="3273">
      <c r="M3273" s="2">
        <f>IF(C3273="","",IFERROR(INDEX($S$5:$S$304,MATCH(C3273,$R$5:$R$304,0))&amp;"","?"))</f>
        <v/>
      </c>
      <c r="N3273" s="2">
        <f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>
        <f>IF(OR(F3273="",G3273=""),"",IF(G3273&lt;='RETRATO 2027'!$K$5,"CONCLUÍDA",IF(F3273&lt;='RETRATO 2027'!$K$5,"EM ANDAMENTO","A INICIAR")))</f>
        <v/>
      </c>
    </row>
    <row r="3274">
      <c r="M3274" s="2">
        <f>IF(C3274="","",IFERROR(INDEX($S$5:$S$304,MATCH(C3274,$R$5:$R$304,0))&amp;"","?"))</f>
        <v/>
      </c>
      <c r="N3274" s="2">
        <f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>
        <f>IF(OR(F3274="",G3274=""),"",IF(G3274&lt;='RETRATO 2027'!$K$5,"CONCLUÍDA",IF(F3274&lt;='RETRATO 2027'!$K$5,"EM ANDAMENTO","A INICIAR")))</f>
        <v/>
      </c>
    </row>
    <row r="3275">
      <c r="M3275" s="2">
        <f>IF(C3275="","",IFERROR(INDEX($S$5:$S$304,MATCH(C3275,$R$5:$R$304,0))&amp;"","?"))</f>
        <v/>
      </c>
      <c r="N3275" s="2">
        <f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>
        <f>IF(OR(F3275="",G3275=""),"",IF(G3275&lt;='RETRATO 2027'!$K$5,"CONCLUÍDA",IF(F3275&lt;='RETRATO 2027'!$K$5,"EM ANDAMENTO","A INICIAR")))</f>
        <v/>
      </c>
    </row>
    <row r="3276">
      <c r="M3276" s="2">
        <f>IF(C3276="","",IFERROR(INDEX($S$5:$S$304,MATCH(C3276,$R$5:$R$304,0))&amp;"","?"))</f>
        <v/>
      </c>
      <c r="N3276" s="2">
        <f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>
        <f>IF(OR(F3276="",G3276=""),"",IF(G3276&lt;='RETRATO 2027'!$K$5,"CONCLUÍDA",IF(F3276&lt;='RETRATO 2027'!$K$5,"EM ANDAMENTO","A INICIAR")))</f>
        <v/>
      </c>
    </row>
    <row r="3277">
      <c r="M3277" s="2">
        <f>IF(C3277="","",IFERROR(INDEX($S$5:$S$304,MATCH(C3277,$R$5:$R$304,0))&amp;"","?"))</f>
        <v/>
      </c>
      <c r="N3277" s="2">
        <f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>
        <f>IF(OR(F3277="",G3277=""),"",IF(G3277&lt;='RETRATO 2027'!$K$5,"CONCLUÍDA",IF(F3277&lt;='RETRATO 2027'!$K$5,"EM ANDAMENTO","A INICIAR")))</f>
        <v/>
      </c>
    </row>
    <row r="3278">
      <c r="M3278" s="2">
        <f>IF(C3278="","",IFERROR(INDEX($S$5:$S$304,MATCH(C3278,$R$5:$R$304,0))&amp;"","?"))</f>
        <v/>
      </c>
      <c r="N3278" s="2">
        <f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>
        <f>IF(OR(F3278="",G3278=""),"",IF(G3278&lt;='RETRATO 2027'!$K$5,"CONCLUÍDA",IF(F3278&lt;='RETRATO 2027'!$K$5,"EM ANDAMENTO","A INICIAR")))</f>
        <v/>
      </c>
    </row>
    <row r="3279">
      <c r="M3279" s="2">
        <f>IF(C3279="","",IFERROR(INDEX($S$5:$S$304,MATCH(C3279,$R$5:$R$304,0))&amp;"","?"))</f>
        <v/>
      </c>
      <c r="N3279" s="2">
        <f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>
        <f>IF(OR(F3279="",G3279=""),"",IF(G3279&lt;='RETRATO 2027'!$K$5,"CONCLUÍDA",IF(F3279&lt;='RETRATO 2027'!$K$5,"EM ANDAMENTO","A INICIAR")))</f>
        <v/>
      </c>
    </row>
    <row r="3280">
      <c r="M3280" s="2">
        <f>IF(C3280="","",IFERROR(INDEX($S$5:$S$304,MATCH(C3280,$R$5:$R$304,0))&amp;"","?"))</f>
        <v/>
      </c>
      <c r="N3280" s="2">
        <f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>
        <f>IF(OR(F3280="",G3280=""),"",IF(G3280&lt;='RETRATO 2027'!$K$5,"CONCLUÍDA",IF(F3280&lt;='RETRATO 2027'!$K$5,"EM ANDAMENTO","A INICIAR")))</f>
        <v/>
      </c>
    </row>
    <row r="3281">
      <c r="M3281" s="2">
        <f>IF(C3281="","",IFERROR(INDEX($S$5:$S$304,MATCH(C3281,$R$5:$R$304,0))&amp;"","?"))</f>
        <v/>
      </c>
      <c r="N3281" s="2">
        <f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>
        <f>IF(OR(F3281="",G3281=""),"",IF(G3281&lt;='RETRATO 2027'!$K$5,"CONCLUÍDA",IF(F3281&lt;='RETRATO 2027'!$K$5,"EM ANDAMENTO","A INICIAR")))</f>
        <v/>
      </c>
    </row>
    <row r="3282">
      <c r="M3282" s="2">
        <f>IF(C3282="","",IFERROR(INDEX($S$5:$S$304,MATCH(C3282,$R$5:$R$304,0))&amp;"","?"))</f>
        <v/>
      </c>
      <c r="N3282" s="2">
        <f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>
        <f>IF(OR(F3282="",G3282=""),"",IF(G3282&lt;='RETRATO 2027'!$K$5,"CONCLUÍDA",IF(F3282&lt;='RETRATO 2027'!$K$5,"EM ANDAMENTO","A INICIAR")))</f>
        <v/>
      </c>
    </row>
    <row r="3283">
      <c r="M3283" s="2">
        <f>IF(C3283="","",IFERROR(INDEX($S$5:$S$304,MATCH(C3283,$R$5:$R$304,0))&amp;"","?"))</f>
        <v/>
      </c>
      <c r="N3283" s="2">
        <f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>
        <f>IF(OR(F3283="",G3283=""),"",IF(G3283&lt;='RETRATO 2027'!$K$5,"CONCLUÍDA",IF(F3283&lt;='RETRATO 2027'!$K$5,"EM ANDAMENTO","A INICIAR")))</f>
        <v/>
      </c>
    </row>
    <row r="3284">
      <c r="M3284" s="2">
        <f>IF(C3284="","",IFERROR(INDEX($S$5:$S$304,MATCH(C3284,$R$5:$R$304,0))&amp;"","?"))</f>
        <v/>
      </c>
      <c r="N3284" s="2">
        <f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>
        <f>IF(OR(F3284="",G3284=""),"",IF(G3284&lt;='RETRATO 2027'!$K$5,"CONCLUÍDA",IF(F3284&lt;='RETRATO 2027'!$K$5,"EM ANDAMENTO","A INICIAR")))</f>
        <v/>
      </c>
    </row>
    <row r="3285">
      <c r="M3285" s="2">
        <f>IF(C3285="","",IFERROR(INDEX($S$5:$S$304,MATCH(C3285,$R$5:$R$304,0))&amp;"","?"))</f>
        <v/>
      </c>
      <c r="N3285" s="2">
        <f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>
        <f>IF(OR(F3285="",G3285=""),"",IF(G3285&lt;='RETRATO 2027'!$K$5,"CONCLUÍDA",IF(F3285&lt;='RETRATO 2027'!$K$5,"EM ANDAMENTO","A INICIAR")))</f>
        <v/>
      </c>
    </row>
    <row r="3286">
      <c r="M3286" s="2">
        <f>IF(C3286="","",IFERROR(INDEX($S$5:$S$304,MATCH(C3286,$R$5:$R$304,0))&amp;"","?"))</f>
        <v/>
      </c>
      <c r="N3286" s="2">
        <f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>
        <f>IF(OR(F3286="",G3286=""),"",IF(G3286&lt;='RETRATO 2027'!$K$5,"CONCLUÍDA",IF(F3286&lt;='RETRATO 2027'!$K$5,"EM ANDAMENTO","A INICIAR")))</f>
        <v/>
      </c>
    </row>
    <row r="3287">
      <c r="M3287" s="2">
        <f>IF(C3287="","",IFERROR(INDEX($S$5:$S$304,MATCH(C3287,$R$5:$R$304,0))&amp;"","?"))</f>
        <v/>
      </c>
      <c r="N3287" s="2">
        <f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>
        <f>IF(OR(F3287="",G3287=""),"",IF(G3287&lt;='RETRATO 2027'!$K$5,"CONCLUÍDA",IF(F3287&lt;='RETRATO 2027'!$K$5,"EM ANDAMENTO","A INICIAR")))</f>
        <v/>
      </c>
    </row>
    <row r="3288">
      <c r="M3288" s="2">
        <f>IF(C3288="","",IFERROR(INDEX($S$5:$S$304,MATCH(C3288,$R$5:$R$304,0))&amp;"","?"))</f>
        <v/>
      </c>
      <c r="N3288" s="2">
        <f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>
        <f>IF(OR(F3288="",G3288=""),"",IF(G3288&lt;='RETRATO 2027'!$K$5,"CONCLUÍDA",IF(F3288&lt;='RETRATO 2027'!$K$5,"EM ANDAMENTO","A INICIAR")))</f>
        <v/>
      </c>
    </row>
    <row r="3289">
      <c r="M3289" s="2">
        <f>IF(C3289="","",IFERROR(INDEX($S$5:$S$304,MATCH(C3289,$R$5:$R$304,0))&amp;"","?"))</f>
        <v/>
      </c>
      <c r="N3289" s="2">
        <f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>
        <f>IF(OR(F3289="",G3289=""),"",IF(G3289&lt;='RETRATO 2027'!$K$5,"CONCLUÍDA",IF(F3289&lt;='RETRATO 2027'!$K$5,"EM ANDAMENTO","A INICIAR")))</f>
        <v/>
      </c>
    </row>
    <row r="3290">
      <c r="M3290" s="2">
        <f>IF(C3290="","",IFERROR(INDEX($S$5:$S$304,MATCH(C3290,$R$5:$R$304,0))&amp;"","?"))</f>
        <v/>
      </c>
      <c r="N3290" s="2">
        <f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>
        <f>IF(OR(F3290="",G3290=""),"",IF(G3290&lt;='RETRATO 2027'!$K$5,"CONCLUÍDA",IF(F3290&lt;='RETRATO 2027'!$K$5,"EM ANDAMENTO","A INICIAR")))</f>
        <v/>
      </c>
    </row>
    <row r="3291">
      <c r="M3291" s="2">
        <f>IF(C3291="","",IFERROR(INDEX($S$5:$S$304,MATCH(C3291,$R$5:$R$304,0))&amp;"","?"))</f>
        <v/>
      </c>
      <c r="N3291" s="2">
        <f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>
        <f>IF(OR(F3291="",G3291=""),"",IF(G3291&lt;='RETRATO 2027'!$K$5,"CONCLUÍDA",IF(F3291&lt;='RETRATO 2027'!$K$5,"EM ANDAMENTO","A INICIAR")))</f>
        <v/>
      </c>
    </row>
    <row r="3292">
      <c r="M3292" s="2">
        <f>IF(C3292="","",IFERROR(INDEX($S$5:$S$304,MATCH(C3292,$R$5:$R$304,0))&amp;"","?"))</f>
        <v/>
      </c>
      <c r="N3292" s="2">
        <f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>
        <f>IF(OR(F3292="",G3292=""),"",IF(G3292&lt;='RETRATO 2027'!$K$5,"CONCLUÍDA",IF(F3292&lt;='RETRATO 2027'!$K$5,"EM ANDAMENTO","A INICIAR")))</f>
        <v/>
      </c>
    </row>
    <row r="3293">
      <c r="M3293" s="2">
        <f>IF(C3293="","",IFERROR(INDEX($S$5:$S$304,MATCH(C3293,$R$5:$R$304,0))&amp;"","?"))</f>
        <v/>
      </c>
      <c r="N3293" s="2">
        <f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>
        <f>IF(OR(F3293="",G3293=""),"",IF(G3293&lt;='RETRATO 2027'!$K$5,"CONCLUÍDA",IF(F3293&lt;='RETRATO 2027'!$K$5,"EM ANDAMENTO","A INICIAR")))</f>
        <v/>
      </c>
    </row>
    <row r="3294">
      <c r="M3294" s="2">
        <f>IF(C3294="","",IFERROR(INDEX($S$5:$S$304,MATCH(C3294,$R$5:$R$304,0))&amp;"","?"))</f>
        <v/>
      </c>
      <c r="N3294" s="2">
        <f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>
        <f>IF(OR(F3294="",G3294=""),"",IF(G3294&lt;='RETRATO 2027'!$K$5,"CONCLUÍDA",IF(F3294&lt;='RETRATO 2027'!$K$5,"EM ANDAMENTO","A INICIAR")))</f>
        <v/>
      </c>
    </row>
    <row r="3295">
      <c r="M3295" s="2">
        <f>IF(C3295="","",IFERROR(INDEX($S$5:$S$304,MATCH(C3295,$R$5:$R$304,0))&amp;"","?"))</f>
        <v/>
      </c>
      <c r="N3295" s="2">
        <f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>
        <f>IF(OR(F3295="",G3295=""),"",IF(G3295&lt;='RETRATO 2027'!$K$5,"CONCLUÍDA",IF(F3295&lt;='RETRATO 2027'!$K$5,"EM ANDAMENTO","A INICIAR")))</f>
        <v/>
      </c>
    </row>
    <row r="3296">
      <c r="M3296" s="2">
        <f>IF(C3296="","",IFERROR(INDEX($S$5:$S$304,MATCH(C3296,$R$5:$R$304,0))&amp;"","?"))</f>
        <v/>
      </c>
      <c r="N3296" s="2">
        <f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>
        <f>IF(OR(F3296="",G3296=""),"",IF(G3296&lt;='RETRATO 2027'!$K$5,"CONCLUÍDA",IF(F3296&lt;='RETRATO 2027'!$K$5,"EM ANDAMENTO","A INICIAR")))</f>
        <v/>
      </c>
    </row>
    <row r="3297">
      <c r="M3297" s="2">
        <f>IF(C3297="","",IFERROR(INDEX($S$5:$S$304,MATCH(C3297,$R$5:$R$304,0))&amp;"","?"))</f>
        <v/>
      </c>
      <c r="N3297" s="2">
        <f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>
        <f>IF(OR(F3297="",G3297=""),"",IF(G3297&lt;='RETRATO 2027'!$K$5,"CONCLUÍDA",IF(F3297&lt;='RETRATO 2027'!$K$5,"EM ANDAMENTO","A INICIAR")))</f>
        <v/>
      </c>
    </row>
    <row r="3298">
      <c r="M3298" s="2">
        <f>IF(C3298="","",IFERROR(INDEX($S$5:$S$304,MATCH(C3298,$R$5:$R$304,0))&amp;"","?"))</f>
        <v/>
      </c>
      <c r="N3298" s="2">
        <f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>
        <f>IF(OR(F3298="",G3298=""),"",IF(G3298&lt;='RETRATO 2027'!$K$5,"CONCLUÍDA",IF(F3298&lt;='RETRATO 2027'!$K$5,"EM ANDAMENTO","A INICIAR")))</f>
        <v/>
      </c>
    </row>
    <row r="3299">
      <c r="M3299" s="2">
        <f>IF(C3299="","",IFERROR(INDEX($S$5:$S$304,MATCH(C3299,$R$5:$R$304,0))&amp;"","?"))</f>
        <v/>
      </c>
      <c r="N3299" s="2">
        <f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>
        <f>IF(OR(F3299="",G3299=""),"",IF(G3299&lt;='RETRATO 2027'!$K$5,"CONCLUÍDA",IF(F3299&lt;='RETRATO 2027'!$K$5,"EM ANDAMENTO","A INICIAR")))</f>
        <v/>
      </c>
    </row>
    <row r="3300">
      <c r="M3300" s="2">
        <f>IF(C3300="","",IFERROR(INDEX($S$5:$S$304,MATCH(C3300,$R$5:$R$304,0))&amp;"","?"))</f>
        <v/>
      </c>
      <c r="N3300" s="2">
        <f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>
        <f>IF(OR(F3300="",G3300=""),"",IF(G3300&lt;='RETRATO 2027'!$K$5,"CONCLUÍDA",IF(F3300&lt;='RETRATO 2027'!$K$5,"EM ANDAMENTO","A INICIAR")))</f>
        <v/>
      </c>
    </row>
    <row r="3301">
      <c r="M3301" s="2">
        <f>IF(C3301="","",IFERROR(INDEX($S$5:$S$304,MATCH(C3301,$R$5:$R$304,0))&amp;"","?"))</f>
        <v/>
      </c>
      <c r="N3301" s="2">
        <f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>
        <f>IF(OR(F3301="",G3301=""),"",IF(G3301&lt;='RETRATO 2027'!$K$5,"CONCLUÍDA",IF(F3301&lt;='RETRATO 2027'!$K$5,"EM ANDAMENTO","A INICIAR")))</f>
        <v/>
      </c>
    </row>
    <row r="3302">
      <c r="M3302" s="2">
        <f>IF(C3302="","",IFERROR(INDEX($S$5:$S$304,MATCH(C3302,$R$5:$R$304,0))&amp;"","?"))</f>
        <v/>
      </c>
      <c r="N3302" s="2">
        <f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>
        <f>IF(OR(F3302="",G3302=""),"",IF(G3302&lt;='RETRATO 2027'!$K$5,"CONCLUÍDA",IF(F3302&lt;='RETRATO 2027'!$K$5,"EM ANDAMENTO","A INICIAR")))</f>
        <v/>
      </c>
    </row>
    <row r="3303">
      <c r="M3303" s="2">
        <f>IF(C3303="","",IFERROR(INDEX($S$5:$S$304,MATCH(C3303,$R$5:$R$304,0))&amp;"","?"))</f>
        <v/>
      </c>
      <c r="N3303" s="2">
        <f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>
        <f>IF(OR(F3303="",G3303=""),"",IF(G3303&lt;='RETRATO 2027'!$K$5,"CONCLUÍDA",IF(F3303&lt;='RETRATO 2027'!$K$5,"EM ANDAMENTO","A INICIAR")))</f>
        <v/>
      </c>
    </row>
    <row r="3304">
      <c r="M3304" s="2">
        <f>IF(C3304="","",IFERROR(INDEX($S$5:$S$304,MATCH(C3304,$R$5:$R$304,0))&amp;"","?"))</f>
        <v/>
      </c>
      <c r="N3304" s="2">
        <f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>
        <f>IF(OR(F3304="",G3304=""),"",IF(G3304&lt;='RETRATO 2027'!$K$5,"CONCLUÍDA",IF(F3304&lt;='RETRATO 2027'!$K$5,"EM ANDAMENTO","A INICIAR")))</f>
        <v/>
      </c>
    </row>
    <row r="3305">
      <c r="M3305" s="2">
        <f>IF(C3305="","",IFERROR(INDEX($S$5:$S$304,MATCH(C3305,$R$5:$R$304,0))&amp;"","?"))</f>
        <v/>
      </c>
      <c r="N3305" s="2">
        <f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>
        <f>IF(OR(F3305="",G3305=""),"",IF(G3305&lt;='RETRATO 2027'!$K$5,"CONCLUÍDA",IF(F3305&lt;='RETRATO 2027'!$K$5,"EM ANDAMENTO","A INICIAR")))</f>
        <v/>
      </c>
    </row>
    <row r="3306">
      <c r="M3306" s="2">
        <f>IF(C3306="","",IFERROR(INDEX($S$5:$S$304,MATCH(C3306,$R$5:$R$304,0))&amp;"","?"))</f>
        <v/>
      </c>
      <c r="N3306" s="2">
        <f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>
        <f>IF(OR(F3306="",G3306=""),"",IF(G3306&lt;='RETRATO 2027'!$K$5,"CONCLUÍDA",IF(F3306&lt;='RETRATO 2027'!$K$5,"EM ANDAMENTO","A INICIAR")))</f>
        <v/>
      </c>
    </row>
    <row r="3307">
      <c r="M3307" s="2">
        <f>IF(C3307="","",IFERROR(INDEX($S$5:$S$304,MATCH(C3307,$R$5:$R$304,0))&amp;"","?"))</f>
        <v/>
      </c>
      <c r="N3307" s="2">
        <f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>
        <f>IF(OR(F3307="",G3307=""),"",IF(G3307&lt;='RETRATO 2027'!$K$5,"CONCLUÍDA",IF(F3307&lt;='RETRATO 2027'!$K$5,"EM ANDAMENTO","A INICIAR")))</f>
        <v/>
      </c>
    </row>
    <row r="3308">
      <c r="M3308" s="2">
        <f>IF(C3308="","",IFERROR(INDEX($S$5:$S$304,MATCH(C3308,$R$5:$R$304,0))&amp;"","?"))</f>
        <v/>
      </c>
      <c r="N3308" s="2">
        <f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>
        <f>IF(OR(F3308="",G3308=""),"",IF(G3308&lt;='RETRATO 2027'!$K$5,"CONCLUÍDA",IF(F3308&lt;='RETRATO 2027'!$K$5,"EM ANDAMENTO","A INICIAR")))</f>
        <v/>
      </c>
    </row>
    <row r="3309">
      <c r="M3309" s="2">
        <f>IF(C3309="","",IFERROR(INDEX($S$5:$S$304,MATCH(C3309,$R$5:$R$304,0))&amp;"","?"))</f>
        <v/>
      </c>
      <c r="N3309" s="2">
        <f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>
        <f>IF(OR(F3309="",G3309=""),"",IF(G3309&lt;='RETRATO 2027'!$K$5,"CONCLUÍDA",IF(F3309&lt;='RETRATO 2027'!$K$5,"EM ANDAMENTO","A INICIAR")))</f>
        <v/>
      </c>
    </row>
    <row r="3310">
      <c r="M3310" s="2">
        <f>IF(C3310="","",IFERROR(INDEX($S$5:$S$304,MATCH(C3310,$R$5:$R$304,0))&amp;"","?"))</f>
        <v/>
      </c>
      <c r="N3310" s="2">
        <f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>
        <f>IF(OR(F3310="",G3310=""),"",IF(G3310&lt;='RETRATO 2027'!$K$5,"CONCLUÍDA",IF(F3310&lt;='RETRATO 2027'!$K$5,"EM ANDAMENTO","A INICIAR")))</f>
        <v/>
      </c>
    </row>
    <row r="3311">
      <c r="M3311" s="2">
        <f>IF(C3311="","",IFERROR(INDEX($S$5:$S$304,MATCH(C3311,$R$5:$R$304,0))&amp;"","?"))</f>
        <v/>
      </c>
      <c r="N3311" s="2">
        <f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>
        <f>IF(OR(F3311="",G3311=""),"",IF(G3311&lt;='RETRATO 2027'!$K$5,"CONCLUÍDA",IF(F3311&lt;='RETRATO 2027'!$K$5,"EM ANDAMENTO","A INICIAR")))</f>
        <v/>
      </c>
    </row>
    <row r="3312">
      <c r="M3312" s="2">
        <f>IF(C3312="","",IFERROR(INDEX($S$5:$S$304,MATCH(C3312,$R$5:$R$304,0))&amp;"","?"))</f>
        <v/>
      </c>
      <c r="N3312" s="2">
        <f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>
        <f>IF(OR(F3312="",G3312=""),"",IF(G3312&lt;='RETRATO 2027'!$K$5,"CONCLUÍDA",IF(F3312&lt;='RETRATO 2027'!$K$5,"EM ANDAMENTO","A INICIAR")))</f>
        <v/>
      </c>
    </row>
    <row r="3313">
      <c r="M3313" s="2">
        <f>IF(C3313="","",IFERROR(INDEX($S$5:$S$304,MATCH(C3313,$R$5:$R$304,0))&amp;"","?"))</f>
        <v/>
      </c>
      <c r="N3313" s="2">
        <f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>
        <f>IF(OR(F3313="",G3313=""),"",IF(G3313&lt;='RETRATO 2027'!$K$5,"CONCLUÍDA",IF(F3313&lt;='RETRATO 2027'!$K$5,"EM ANDAMENTO","A INICIAR")))</f>
        <v/>
      </c>
    </row>
    <row r="3314">
      <c r="M3314" s="2">
        <f>IF(C3314="","",IFERROR(INDEX($S$5:$S$304,MATCH(C3314,$R$5:$R$304,0))&amp;"","?"))</f>
        <v/>
      </c>
      <c r="N3314" s="2">
        <f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>
        <f>IF(OR(F3314="",G3314=""),"",IF(G3314&lt;='RETRATO 2027'!$K$5,"CONCLUÍDA",IF(F3314&lt;='RETRATO 2027'!$K$5,"EM ANDAMENTO","A INICIAR")))</f>
        <v/>
      </c>
    </row>
    <row r="3315">
      <c r="M3315" s="2">
        <f>IF(C3315="","",IFERROR(INDEX($S$5:$S$304,MATCH(C3315,$R$5:$R$304,0))&amp;"","?"))</f>
        <v/>
      </c>
      <c r="N3315" s="2">
        <f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>
        <f>IF(OR(F3315="",G3315=""),"",IF(G3315&lt;='RETRATO 2027'!$K$5,"CONCLUÍDA",IF(F3315&lt;='RETRATO 2027'!$K$5,"EM ANDAMENTO","A INICIAR")))</f>
        <v/>
      </c>
    </row>
    <row r="3316">
      <c r="M3316" s="2">
        <f>IF(C3316="","",IFERROR(INDEX($S$5:$S$304,MATCH(C3316,$R$5:$R$304,0))&amp;"","?"))</f>
        <v/>
      </c>
      <c r="N3316" s="2">
        <f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>
        <f>IF(OR(F3316="",G3316=""),"",IF(G3316&lt;='RETRATO 2027'!$K$5,"CONCLUÍDA",IF(F3316&lt;='RETRATO 2027'!$K$5,"EM ANDAMENTO","A INICIAR")))</f>
        <v/>
      </c>
    </row>
    <row r="3317">
      <c r="M3317" s="2">
        <f>IF(C3317="","",IFERROR(INDEX($S$5:$S$304,MATCH(C3317,$R$5:$R$304,0))&amp;"","?"))</f>
        <v/>
      </c>
      <c r="N3317" s="2">
        <f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>
        <f>IF(OR(F3317="",G3317=""),"",IF(G3317&lt;='RETRATO 2027'!$K$5,"CONCLUÍDA",IF(F3317&lt;='RETRATO 2027'!$K$5,"EM ANDAMENTO","A INICIAR")))</f>
        <v/>
      </c>
    </row>
    <row r="3318">
      <c r="M3318" s="2">
        <f>IF(C3318="","",IFERROR(INDEX($S$5:$S$304,MATCH(C3318,$R$5:$R$304,0))&amp;"","?"))</f>
        <v/>
      </c>
      <c r="N3318" s="2">
        <f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>
        <f>IF(OR(F3318="",G3318=""),"",IF(G3318&lt;='RETRATO 2027'!$K$5,"CONCLUÍDA",IF(F3318&lt;='RETRATO 2027'!$K$5,"EM ANDAMENTO","A INICIAR")))</f>
        <v/>
      </c>
    </row>
    <row r="3319">
      <c r="M3319" s="2">
        <f>IF(C3319="","",IFERROR(INDEX($S$5:$S$304,MATCH(C3319,$R$5:$R$304,0))&amp;"","?"))</f>
        <v/>
      </c>
      <c r="N3319" s="2">
        <f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>
        <f>IF(OR(F3319="",G3319=""),"",IF(G3319&lt;='RETRATO 2027'!$K$5,"CONCLUÍDA",IF(F3319&lt;='RETRATO 2027'!$K$5,"EM ANDAMENTO","A INICIAR")))</f>
        <v/>
      </c>
    </row>
    <row r="3320">
      <c r="M3320" s="2">
        <f>IF(C3320="","",IFERROR(INDEX($S$5:$S$304,MATCH(C3320,$R$5:$R$304,0))&amp;"","?"))</f>
        <v/>
      </c>
      <c r="N3320" s="2">
        <f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>
        <f>IF(OR(F3320="",G3320=""),"",IF(G3320&lt;='RETRATO 2027'!$K$5,"CONCLUÍDA",IF(F3320&lt;='RETRATO 2027'!$K$5,"EM ANDAMENTO","A INICIAR")))</f>
        <v/>
      </c>
    </row>
    <row r="3321">
      <c r="M3321" s="2">
        <f>IF(C3321="","",IFERROR(INDEX($S$5:$S$304,MATCH(C3321,$R$5:$R$304,0))&amp;"","?"))</f>
        <v/>
      </c>
      <c r="N3321" s="2">
        <f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>
        <f>IF(OR(F3321="",G3321=""),"",IF(G3321&lt;='RETRATO 2027'!$K$5,"CONCLUÍDA",IF(F3321&lt;='RETRATO 2027'!$K$5,"EM ANDAMENTO","A INICIAR")))</f>
        <v/>
      </c>
    </row>
    <row r="3322">
      <c r="M3322" s="2">
        <f>IF(C3322="","",IFERROR(INDEX($S$5:$S$304,MATCH(C3322,$R$5:$R$304,0))&amp;"","?"))</f>
        <v/>
      </c>
      <c r="N3322" s="2">
        <f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>
        <f>IF(OR(F3322="",G3322=""),"",IF(G3322&lt;='RETRATO 2027'!$K$5,"CONCLUÍDA",IF(F3322&lt;='RETRATO 2027'!$K$5,"EM ANDAMENTO","A INICIAR")))</f>
        <v/>
      </c>
    </row>
    <row r="3323">
      <c r="M3323" s="2">
        <f>IF(C3323="","",IFERROR(INDEX($S$5:$S$304,MATCH(C3323,$R$5:$R$304,0))&amp;"","?"))</f>
        <v/>
      </c>
      <c r="N3323" s="2">
        <f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>
        <f>IF(OR(F3323="",G3323=""),"",IF(G3323&lt;='RETRATO 2027'!$K$5,"CONCLUÍDA",IF(F3323&lt;='RETRATO 2027'!$K$5,"EM ANDAMENTO","A INICIAR")))</f>
        <v/>
      </c>
    </row>
    <row r="3324">
      <c r="M3324" s="2">
        <f>IF(C3324="","",IFERROR(INDEX($S$5:$S$304,MATCH(C3324,$R$5:$R$304,0))&amp;"","?"))</f>
        <v/>
      </c>
      <c r="N3324" s="2">
        <f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>
        <f>IF(OR(F3324="",G3324=""),"",IF(G3324&lt;='RETRATO 2027'!$K$5,"CONCLUÍDA",IF(F3324&lt;='RETRATO 2027'!$K$5,"EM ANDAMENTO","A INICIAR")))</f>
        <v/>
      </c>
    </row>
    <row r="3325">
      <c r="M3325" s="2">
        <f>IF(C3325="","",IFERROR(INDEX($S$5:$S$304,MATCH(C3325,$R$5:$R$304,0))&amp;"","?"))</f>
        <v/>
      </c>
      <c r="N3325" s="2">
        <f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>
        <f>IF(OR(F3325="",G3325=""),"",IF(G3325&lt;='RETRATO 2027'!$K$5,"CONCLUÍDA",IF(F3325&lt;='RETRATO 2027'!$K$5,"EM ANDAMENTO","A INICIAR")))</f>
        <v/>
      </c>
    </row>
    <row r="3326">
      <c r="M3326" s="2">
        <f>IF(C3326="","",IFERROR(INDEX($S$5:$S$304,MATCH(C3326,$R$5:$R$304,0))&amp;"","?"))</f>
        <v/>
      </c>
      <c r="N3326" s="2">
        <f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>
        <f>IF(OR(F3326="",G3326=""),"",IF(G3326&lt;='RETRATO 2027'!$K$5,"CONCLUÍDA",IF(F3326&lt;='RETRATO 2027'!$K$5,"EM ANDAMENTO","A INICIAR")))</f>
        <v/>
      </c>
    </row>
    <row r="3327">
      <c r="M3327" s="2">
        <f>IF(C3327="","",IFERROR(INDEX($S$5:$S$304,MATCH(C3327,$R$5:$R$304,0))&amp;"","?"))</f>
        <v/>
      </c>
      <c r="N3327" s="2">
        <f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>
        <f>IF(OR(F3327="",G3327=""),"",IF(G3327&lt;='RETRATO 2027'!$K$5,"CONCLUÍDA",IF(F3327&lt;='RETRATO 2027'!$K$5,"EM ANDAMENTO","A INICIAR")))</f>
        <v/>
      </c>
    </row>
    <row r="3328">
      <c r="M3328" s="2">
        <f>IF(C3328="","",IFERROR(INDEX($S$5:$S$304,MATCH(C3328,$R$5:$R$304,0))&amp;"","?"))</f>
        <v/>
      </c>
      <c r="N3328" s="2">
        <f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>
        <f>IF(OR(F3328="",G3328=""),"",IF(G3328&lt;='RETRATO 2027'!$K$5,"CONCLUÍDA",IF(F3328&lt;='RETRATO 2027'!$K$5,"EM ANDAMENTO","A INICIAR")))</f>
        <v/>
      </c>
    </row>
    <row r="3329">
      <c r="M3329" s="2">
        <f>IF(C3329="","",IFERROR(INDEX($S$5:$S$304,MATCH(C3329,$R$5:$R$304,0))&amp;"","?"))</f>
        <v/>
      </c>
      <c r="N3329" s="2">
        <f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>
        <f>IF(OR(F3329="",G3329=""),"",IF(G3329&lt;='RETRATO 2027'!$K$5,"CONCLUÍDA",IF(F3329&lt;='RETRATO 2027'!$K$5,"EM ANDAMENTO","A INICIAR")))</f>
        <v/>
      </c>
    </row>
    <row r="3330">
      <c r="M3330" s="2">
        <f>IF(C3330="","",IFERROR(INDEX($S$5:$S$304,MATCH(C3330,$R$5:$R$304,0))&amp;"","?"))</f>
        <v/>
      </c>
      <c r="N3330" s="2">
        <f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>
        <f>IF(OR(F3330="",G3330=""),"",IF(G3330&lt;='RETRATO 2027'!$K$5,"CONCLUÍDA",IF(F3330&lt;='RETRATO 2027'!$K$5,"EM ANDAMENTO","A INICIAR")))</f>
        <v/>
      </c>
    </row>
    <row r="3331">
      <c r="M3331" s="2">
        <f>IF(C3331="","",IFERROR(INDEX($S$5:$S$304,MATCH(C3331,$R$5:$R$304,0))&amp;"","?"))</f>
        <v/>
      </c>
      <c r="N3331" s="2">
        <f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>
        <f>IF(OR(F3331="",G3331=""),"",IF(G3331&lt;='RETRATO 2027'!$K$5,"CONCLUÍDA",IF(F3331&lt;='RETRATO 2027'!$K$5,"EM ANDAMENTO","A INICIAR")))</f>
        <v/>
      </c>
    </row>
    <row r="3332">
      <c r="M3332" s="2">
        <f>IF(C3332="","",IFERROR(INDEX($S$5:$S$304,MATCH(C3332,$R$5:$R$304,0))&amp;"","?"))</f>
        <v/>
      </c>
      <c r="N3332" s="2">
        <f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>
        <f>IF(OR(F3332="",G3332=""),"",IF(G3332&lt;='RETRATO 2027'!$K$5,"CONCLUÍDA",IF(F3332&lt;='RETRATO 2027'!$K$5,"EM ANDAMENTO","A INICIAR")))</f>
        <v/>
      </c>
    </row>
    <row r="3333">
      <c r="M3333" s="2">
        <f>IF(C3333="","",IFERROR(INDEX($S$5:$S$304,MATCH(C3333,$R$5:$R$304,0))&amp;"","?"))</f>
        <v/>
      </c>
      <c r="N3333" s="2">
        <f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>
        <f>IF(OR(F3333="",G3333=""),"",IF(G3333&lt;='RETRATO 2027'!$K$5,"CONCLUÍDA",IF(F3333&lt;='RETRATO 2027'!$K$5,"EM ANDAMENTO","A INICIAR")))</f>
        <v/>
      </c>
    </row>
    <row r="3334">
      <c r="M3334" s="2">
        <f>IF(C3334="","",IFERROR(INDEX($S$5:$S$304,MATCH(C3334,$R$5:$R$304,0))&amp;"","?"))</f>
        <v/>
      </c>
      <c r="N3334" s="2">
        <f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>
        <f>IF(OR(F3334="",G3334=""),"",IF(G3334&lt;='RETRATO 2027'!$K$5,"CONCLUÍDA",IF(F3334&lt;='RETRATO 2027'!$K$5,"EM ANDAMENTO","A INICIAR")))</f>
        <v/>
      </c>
    </row>
    <row r="3335">
      <c r="M3335" s="2">
        <f>IF(C3335="","",IFERROR(INDEX($S$5:$S$304,MATCH(C3335,$R$5:$R$304,0))&amp;"","?"))</f>
        <v/>
      </c>
      <c r="N3335" s="2">
        <f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>
        <f>IF(OR(F3335="",G3335=""),"",IF(G3335&lt;='RETRATO 2027'!$K$5,"CONCLUÍDA",IF(F3335&lt;='RETRATO 2027'!$K$5,"EM ANDAMENTO","A INICIAR")))</f>
        <v/>
      </c>
    </row>
    <row r="3336">
      <c r="M3336" s="2">
        <f>IF(C3336="","",IFERROR(INDEX($S$5:$S$304,MATCH(C3336,$R$5:$R$304,0))&amp;"","?"))</f>
        <v/>
      </c>
      <c r="N3336" s="2">
        <f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>
        <f>IF(OR(F3336="",G3336=""),"",IF(G3336&lt;='RETRATO 2027'!$K$5,"CONCLUÍDA",IF(F3336&lt;='RETRATO 2027'!$K$5,"EM ANDAMENTO","A INICIAR")))</f>
        <v/>
      </c>
    </row>
    <row r="3337">
      <c r="M3337" s="2">
        <f>IF(C3337="","",IFERROR(INDEX($S$5:$S$304,MATCH(C3337,$R$5:$R$304,0))&amp;"","?"))</f>
        <v/>
      </c>
      <c r="N3337" s="2">
        <f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>
        <f>IF(OR(F3337="",G3337=""),"",IF(G3337&lt;='RETRATO 2027'!$K$5,"CONCLUÍDA",IF(F3337&lt;='RETRATO 2027'!$K$5,"EM ANDAMENTO","A INICIAR")))</f>
        <v/>
      </c>
    </row>
    <row r="3338">
      <c r="M3338" s="2">
        <f>IF(C3338="","",IFERROR(INDEX($S$5:$S$304,MATCH(C3338,$R$5:$R$304,0))&amp;"","?"))</f>
        <v/>
      </c>
      <c r="N3338" s="2">
        <f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>
        <f>IF(OR(F3338="",G3338=""),"",IF(G3338&lt;='RETRATO 2027'!$K$5,"CONCLUÍDA",IF(F3338&lt;='RETRATO 2027'!$K$5,"EM ANDAMENTO","A INICIAR")))</f>
        <v/>
      </c>
    </row>
    <row r="3339">
      <c r="M3339" s="2">
        <f>IF(C3339="","",IFERROR(INDEX($S$5:$S$304,MATCH(C3339,$R$5:$R$304,0))&amp;"","?"))</f>
        <v/>
      </c>
      <c r="N3339" s="2">
        <f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>
        <f>IF(OR(F3339="",G3339=""),"",IF(G3339&lt;='RETRATO 2027'!$K$5,"CONCLUÍDA",IF(F3339&lt;='RETRATO 2027'!$K$5,"EM ANDAMENTO","A INICIAR")))</f>
        <v/>
      </c>
    </row>
    <row r="3340">
      <c r="M3340" s="2">
        <f>IF(C3340="","",IFERROR(INDEX($S$5:$S$304,MATCH(C3340,$R$5:$R$304,0))&amp;"","?"))</f>
        <v/>
      </c>
      <c r="N3340" s="2">
        <f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>
        <f>IF(OR(F3340="",G3340=""),"",IF(G3340&lt;='RETRATO 2027'!$K$5,"CONCLUÍDA",IF(F3340&lt;='RETRATO 2027'!$K$5,"EM ANDAMENTO","A INICIAR")))</f>
        <v/>
      </c>
    </row>
    <row r="3341">
      <c r="M3341" s="2">
        <f>IF(C3341="","",IFERROR(INDEX($S$5:$S$304,MATCH(C3341,$R$5:$R$304,0))&amp;"","?"))</f>
        <v/>
      </c>
      <c r="N3341" s="2">
        <f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>
        <f>IF(OR(F3341="",G3341=""),"",IF(G3341&lt;='RETRATO 2027'!$K$5,"CONCLUÍDA",IF(F3341&lt;='RETRATO 2027'!$K$5,"EM ANDAMENTO","A INICIAR")))</f>
        <v/>
      </c>
    </row>
    <row r="3342">
      <c r="M3342" s="2">
        <f>IF(C3342="","",IFERROR(INDEX($S$5:$S$304,MATCH(C3342,$R$5:$R$304,0))&amp;"","?"))</f>
        <v/>
      </c>
      <c r="N3342" s="2">
        <f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>
        <f>IF(OR(F3342="",G3342=""),"",IF(G3342&lt;='RETRATO 2027'!$K$5,"CONCLUÍDA",IF(F3342&lt;='RETRATO 2027'!$K$5,"EM ANDAMENTO","A INICIAR")))</f>
        <v/>
      </c>
    </row>
    <row r="3343">
      <c r="M3343" s="2">
        <f>IF(C3343="","",IFERROR(INDEX($S$5:$S$304,MATCH(C3343,$R$5:$R$304,0))&amp;"","?"))</f>
        <v/>
      </c>
      <c r="N3343" s="2">
        <f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>
        <f>IF(OR(F3343="",G3343=""),"",IF(G3343&lt;='RETRATO 2027'!$K$5,"CONCLUÍDA",IF(F3343&lt;='RETRATO 2027'!$K$5,"EM ANDAMENTO","A INICIAR")))</f>
        <v/>
      </c>
    </row>
    <row r="3344">
      <c r="M3344" s="2">
        <f>IF(C3344="","",IFERROR(INDEX($S$5:$S$304,MATCH(C3344,$R$5:$R$304,0))&amp;"","?"))</f>
        <v/>
      </c>
      <c r="N3344" s="2">
        <f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>
        <f>IF(OR(F3344="",G3344=""),"",IF(G3344&lt;='RETRATO 2027'!$K$5,"CONCLUÍDA",IF(F3344&lt;='RETRATO 2027'!$K$5,"EM ANDAMENTO","A INICIAR")))</f>
        <v/>
      </c>
    </row>
    <row r="3345">
      <c r="M3345" s="2">
        <f>IF(C3345="","",IFERROR(INDEX($S$5:$S$304,MATCH(C3345,$R$5:$R$304,0))&amp;"","?"))</f>
        <v/>
      </c>
      <c r="N3345" s="2">
        <f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>
        <f>IF(OR(F3345="",G3345=""),"",IF(G3345&lt;='RETRATO 2027'!$K$5,"CONCLUÍDA",IF(F3345&lt;='RETRATO 2027'!$K$5,"EM ANDAMENTO","A INICIAR")))</f>
        <v/>
      </c>
    </row>
    <row r="3346">
      <c r="M3346" s="2">
        <f>IF(C3346="","",IFERROR(INDEX($S$5:$S$304,MATCH(C3346,$R$5:$R$304,0))&amp;"","?"))</f>
        <v/>
      </c>
      <c r="N3346" s="2">
        <f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>
        <f>IF(OR(F3346="",G3346=""),"",IF(G3346&lt;='RETRATO 2027'!$K$5,"CONCLUÍDA",IF(F3346&lt;='RETRATO 2027'!$K$5,"EM ANDAMENTO","A INICIAR")))</f>
        <v/>
      </c>
    </row>
    <row r="3347">
      <c r="M3347" s="2">
        <f>IF(C3347="","",IFERROR(INDEX($S$5:$S$304,MATCH(C3347,$R$5:$R$304,0))&amp;"","?"))</f>
        <v/>
      </c>
      <c r="N3347" s="2">
        <f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>
        <f>IF(OR(F3347="",G3347=""),"",IF(G3347&lt;='RETRATO 2027'!$K$5,"CONCLUÍDA",IF(F3347&lt;='RETRATO 2027'!$K$5,"EM ANDAMENTO","A INICIAR")))</f>
        <v/>
      </c>
    </row>
    <row r="3348">
      <c r="M3348" s="2">
        <f>IF(C3348="","",IFERROR(INDEX($S$5:$S$304,MATCH(C3348,$R$5:$R$304,0))&amp;"","?"))</f>
        <v/>
      </c>
      <c r="N3348" s="2">
        <f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>
        <f>IF(OR(F3348="",G3348=""),"",IF(G3348&lt;='RETRATO 2027'!$K$5,"CONCLUÍDA",IF(F3348&lt;='RETRATO 2027'!$K$5,"EM ANDAMENTO","A INICIAR")))</f>
        <v/>
      </c>
    </row>
    <row r="3349">
      <c r="M3349" s="2">
        <f>IF(C3349="","",IFERROR(INDEX($S$5:$S$304,MATCH(C3349,$R$5:$R$304,0))&amp;"","?"))</f>
        <v/>
      </c>
      <c r="N3349" s="2">
        <f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>
        <f>IF(OR(F3349="",G3349=""),"",IF(G3349&lt;='RETRATO 2027'!$K$5,"CONCLUÍDA",IF(F3349&lt;='RETRATO 2027'!$K$5,"EM ANDAMENTO","A INICIAR")))</f>
        <v/>
      </c>
    </row>
    <row r="3350">
      <c r="M3350" s="2">
        <f>IF(C3350="","",IFERROR(INDEX($S$5:$S$304,MATCH(C3350,$R$5:$R$304,0))&amp;"","?"))</f>
        <v/>
      </c>
      <c r="N3350" s="2">
        <f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>
        <f>IF(OR(F3350="",G3350=""),"",IF(G3350&lt;='RETRATO 2027'!$K$5,"CONCLUÍDA",IF(F3350&lt;='RETRATO 2027'!$K$5,"EM ANDAMENTO","A INICIAR")))</f>
        <v/>
      </c>
    </row>
    <row r="3351">
      <c r="M3351" s="2">
        <f>IF(C3351="","",IFERROR(INDEX($S$5:$S$304,MATCH(C3351,$R$5:$R$304,0))&amp;"","?"))</f>
        <v/>
      </c>
      <c r="N3351" s="2">
        <f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>
        <f>IF(OR(F3351="",G3351=""),"",IF(G3351&lt;='RETRATO 2027'!$K$5,"CONCLUÍDA",IF(F3351&lt;='RETRATO 2027'!$K$5,"EM ANDAMENTO","A INICIAR")))</f>
        <v/>
      </c>
    </row>
    <row r="3352">
      <c r="M3352" s="2">
        <f>IF(C3352="","",IFERROR(INDEX($S$5:$S$304,MATCH(C3352,$R$5:$R$304,0))&amp;"","?"))</f>
        <v/>
      </c>
      <c r="N3352" s="2">
        <f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>
        <f>IF(OR(F3352="",G3352=""),"",IF(G3352&lt;='RETRATO 2027'!$K$5,"CONCLUÍDA",IF(F3352&lt;='RETRATO 2027'!$K$5,"EM ANDAMENTO","A INICIAR")))</f>
        <v/>
      </c>
    </row>
    <row r="3353">
      <c r="M3353" s="2">
        <f>IF(C3353="","",IFERROR(INDEX($S$5:$S$304,MATCH(C3353,$R$5:$R$304,0))&amp;"","?"))</f>
        <v/>
      </c>
      <c r="N3353" s="2">
        <f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>
        <f>IF(OR(F3353="",G3353=""),"",IF(G3353&lt;='RETRATO 2027'!$K$5,"CONCLUÍDA",IF(F3353&lt;='RETRATO 2027'!$K$5,"EM ANDAMENTO","A INICIAR")))</f>
        <v/>
      </c>
    </row>
    <row r="3354">
      <c r="M3354" s="2">
        <f>IF(C3354="","",IFERROR(INDEX($S$5:$S$304,MATCH(C3354,$R$5:$R$304,0))&amp;"","?"))</f>
        <v/>
      </c>
      <c r="N3354" s="2">
        <f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>
        <f>IF(OR(F3354="",G3354=""),"",IF(G3354&lt;='RETRATO 2027'!$K$5,"CONCLUÍDA",IF(F3354&lt;='RETRATO 2027'!$K$5,"EM ANDAMENTO","A INICIAR")))</f>
        <v/>
      </c>
    </row>
    <row r="3355">
      <c r="M3355" s="2">
        <f>IF(C3355="","",IFERROR(INDEX($S$5:$S$304,MATCH(C3355,$R$5:$R$304,0))&amp;"","?"))</f>
        <v/>
      </c>
      <c r="N3355" s="2">
        <f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>
        <f>IF(OR(F3355="",G3355=""),"",IF(G3355&lt;='RETRATO 2027'!$K$5,"CONCLUÍDA",IF(F3355&lt;='RETRATO 2027'!$K$5,"EM ANDAMENTO","A INICIAR")))</f>
        <v/>
      </c>
    </row>
    <row r="3356">
      <c r="M3356" s="2">
        <f>IF(C3356="","",IFERROR(INDEX($S$5:$S$304,MATCH(C3356,$R$5:$R$304,0))&amp;"","?"))</f>
        <v/>
      </c>
      <c r="N3356" s="2">
        <f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>
        <f>IF(OR(F3356="",G3356=""),"",IF(G3356&lt;='RETRATO 2027'!$K$5,"CONCLUÍDA",IF(F3356&lt;='RETRATO 2027'!$K$5,"EM ANDAMENTO","A INICIAR")))</f>
        <v/>
      </c>
    </row>
    <row r="3357">
      <c r="M3357" s="2">
        <f>IF(C3357="","",IFERROR(INDEX($S$5:$S$304,MATCH(C3357,$R$5:$R$304,0))&amp;"","?"))</f>
        <v/>
      </c>
      <c r="N3357" s="2">
        <f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>
        <f>IF(OR(F3357="",G3357=""),"",IF(G3357&lt;='RETRATO 2027'!$K$5,"CONCLUÍDA",IF(F3357&lt;='RETRATO 2027'!$K$5,"EM ANDAMENTO","A INICIAR")))</f>
        <v/>
      </c>
    </row>
    <row r="3358">
      <c r="M3358" s="2">
        <f>IF(C3358="","",IFERROR(INDEX($S$5:$S$304,MATCH(C3358,$R$5:$R$304,0))&amp;"","?"))</f>
        <v/>
      </c>
      <c r="N3358" s="2">
        <f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>
        <f>IF(OR(F3358="",G3358=""),"",IF(G3358&lt;='RETRATO 2027'!$K$5,"CONCLUÍDA",IF(F3358&lt;='RETRATO 2027'!$K$5,"EM ANDAMENTO","A INICIAR")))</f>
        <v/>
      </c>
    </row>
    <row r="3359">
      <c r="M3359" s="2">
        <f>IF(C3359="","",IFERROR(INDEX($S$5:$S$304,MATCH(C3359,$R$5:$R$304,0))&amp;"","?"))</f>
        <v/>
      </c>
      <c r="N3359" s="2">
        <f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>
        <f>IF(OR(F3359="",G3359=""),"",IF(G3359&lt;='RETRATO 2027'!$K$5,"CONCLUÍDA",IF(F3359&lt;='RETRATO 2027'!$K$5,"EM ANDAMENTO","A INICIAR")))</f>
        <v/>
      </c>
    </row>
    <row r="3360">
      <c r="M3360" s="2">
        <f>IF(C3360="","",IFERROR(INDEX($S$5:$S$304,MATCH(C3360,$R$5:$R$304,0))&amp;"","?"))</f>
        <v/>
      </c>
      <c r="N3360" s="2">
        <f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>
        <f>IF(OR(F3360="",G3360=""),"",IF(G3360&lt;='RETRATO 2027'!$K$5,"CONCLUÍDA",IF(F3360&lt;='RETRATO 2027'!$K$5,"EM ANDAMENTO","A INICIAR")))</f>
        <v/>
      </c>
    </row>
    <row r="3361">
      <c r="M3361" s="2">
        <f>IF(C3361="","",IFERROR(INDEX($S$5:$S$304,MATCH(C3361,$R$5:$R$304,0))&amp;"","?"))</f>
        <v/>
      </c>
      <c r="N3361" s="2">
        <f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>
        <f>IF(OR(F3361="",G3361=""),"",IF(G3361&lt;='RETRATO 2027'!$K$5,"CONCLUÍDA",IF(F3361&lt;='RETRATO 2027'!$K$5,"EM ANDAMENTO","A INICIAR")))</f>
        <v/>
      </c>
    </row>
    <row r="3362">
      <c r="M3362" s="2">
        <f>IF(C3362="","",IFERROR(INDEX($S$5:$S$304,MATCH(C3362,$R$5:$R$304,0))&amp;"","?"))</f>
        <v/>
      </c>
      <c r="N3362" s="2">
        <f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>
        <f>IF(OR(F3362="",G3362=""),"",IF(G3362&lt;='RETRATO 2027'!$K$5,"CONCLUÍDA",IF(F3362&lt;='RETRATO 2027'!$K$5,"EM ANDAMENTO","A INICIAR")))</f>
        <v/>
      </c>
    </row>
    <row r="3363">
      <c r="M3363" s="2">
        <f>IF(C3363="","",IFERROR(INDEX($S$5:$S$304,MATCH(C3363,$R$5:$R$304,0))&amp;"","?"))</f>
        <v/>
      </c>
      <c r="N3363" s="2">
        <f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>
        <f>IF(OR(F3363="",G3363=""),"",IF(G3363&lt;='RETRATO 2027'!$K$5,"CONCLUÍDA",IF(F3363&lt;='RETRATO 2027'!$K$5,"EM ANDAMENTO","A INICIAR")))</f>
        <v/>
      </c>
    </row>
    <row r="3364">
      <c r="M3364" s="2">
        <f>IF(C3364="","",IFERROR(INDEX($S$5:$S$304,MATCH(C3364,$R$5:$R$304,0))&amp;"","?"))</f>
        <v/>
      </c>
      <c r="N3364" s="2">
        <f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>
        <f>IF(OR(F3364="",G3364=""),"",IF(G3364&lt;='RETRATO 2027'!$K$5,"CONCLUÍDA",IF(F3364&lt;='RETRATO 2027'!$K$5,"EM ANDAMENTO","A INICIAR")))</f>
        <v/>
      </c>
    </row>
    <row r="3365">
      <c r="M3365" s="2">
        <f>IF(C3365="","",IFERROR(INDEX($S$5:$S$304,MATCH(C3365,$R$5:$R$304,0))&amp;"","?"))</f>
        <v/>
      </c>
      <c r="N3365" s="2">
        <f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>
        <f>IF(OR(F3365="",G3365=""),"",IF(G3365&lt;='RETRATO 2027'!$K$5,"CONCLUÍDA",IF(F3365&lt;='RETRATO 2027'!$K$5,"EM ANDAMENTO","A INICIAR")))</f>
        <v/>
      </c>
    </row>
    <row r="3366">
      <c r="M3366" s="2">
        <f>IF(C3366="","",IFERROR(INDEX($S$5:$S$304,MATCH(C3366,$R$5:$R$304,0))&amp;"","?"))</f>
        <v/>
      </c>
      <c r="N3366" s="2">
        <f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>
        <f>IF(OR(F3366="",G3366=""),"",IF(G3366&lt;='RETRATO 2027'!$K$5,"CONCLUÍDA",IF(F3366&lt;='RETRATO 2027'!$K$5,"EM ANDAMENTO","A INICIAR")))</f>
        <v/>
      </c>
    </row>
    <row r="3367">
      <c r="M3367" s="2">
        <f>IF(C3367="","",IFERROR(INDEX($S$5:$S$304,MATCH(C3367,$R$5:$R$304,0))&amp;"","?"))</f>
        <v/>
      </c>
      <c r="N3367" s="2">
        <f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>
        <f>IF(OR(F3367="",G3367=""),"",IF(G3367&lt;='RETRATO 2027'!$K$5,"CONCLUÍDA",IF(F3367&lt;='RETRATO 2027'!$K$5,"EM ANDAMENTO","A INICIAR")))</f>
        <v/>
      </c>
    </row>
    <row r="3368">
      <c r="M3368" s="2">
        <f>IF(C3368="","",IFERROR(INDEX($S$5:$S$304,MATCH(C3368,$R$5:$R$304,0))&amp;"","?"))</f>
        <v/>
      </c>
      <c r="N3368" s="2">
        <f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>
        <f>IF(OR(F3368="",G3368=""),"",IF(G3368&lt;='RETRATO 2027'!$K$5,"CONCLUÍDA",IF(F3368&lt;='RETRATO 2027'!$K$5,"EM ANDAMENTO","A INICIAR")))</f>
        <v/>
      </c>
    </row>
    <row r="3369">
      <c r="M3369" s="2">
        <f>IF(C3369="","",IFERROR(INDEX($S$5:$S$304,MATCH(C3369,$R$5:$R$304,0))&amp;"","?"))</f>
        <v/>
      </c>
      <c r="N3369" s="2">
        <f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>
        <f>IF(OR(F3369="",G3369=""),"",IF(G3369&lt;='RETRATO 2027'!$K$5,"CONCLUÍDA",IF(F3369&lt;='RETRATO 2027'!$K$5,"EM ANDAMENTO","A INICIAR")))</f>
        <v/>
      </c>
    </row>
    <row r="3370">
      <c r="M3370" s="2">
        <f>IF(C3370="","",IFERROR(INDEX($S$5:$S$304,MATCH(C3370,$R$5:$R$304,0))&amp;"","?"))</f>
        <v/>
      </c>
      <c r="N3370" s="2">
        <f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>
        <f>IF(OR(F3370="",G3370=""),"",IF(G3370&lt;='RETRATO 2027'!$K$5,"CONCLUÍDA",IF(F3370&lt;='RETRATO 2027'!$K$5,"EM ANDAMENTO","A INICIAR")))</f>
        <v/>
      </c>
    </row>
    <row r="3371">
      <c r="M3371" s="2">
        <f>IF(C3371="","",IFERROR(INDEX($S$5:$S$304,MATCH(C3371,$R$5:$R$304,0))&amp;"","?"))</f>
        <v/>
      </c>
      <c r="N3371" s="2">
        <f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>
        <f>IF(OR(F3371="",G3371=""),"",IF(G3371&lt;='RETRATO 2027'!$K$5,"CONCLUÍDA",IF(F3371&lt;='RETRATO 2027'!$K$5,"EM ANDAMENTO","A INICIAR")))</f>
        <v/>
      </c>
    </row>
    <row r="3372">
      <c r="M3372" s="2">
        <f>IF(C3372="","",IFERROR(INDEX($S$5:$S$304,MATCH(C3372,$R$5:$R$304,0))&amp;"","?"))</f>
        <v/>
      </c>
      <c r="N3372" s="2">
        <f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>
        <f>IF(OR(F3372="",G3372=""),"",IF(G3372&lt;='RETRATO 2027'!$K$5,"CONCLUÍDA",IF(F3372&lt;='RETRATO 2027'!$K$5,"EM ANDAMENTO","A INICIAR")))</f>
        <v/>
      </c>
    </row>
    <row r="3373">
      <c r="M3373" s="2">
        <f>IF(C3373="","",IFERROR(INDEX($S$5:$S$304,MATCH(C3373,$R$5:$R$304,0))&amp;"","?"))</f>
        <v/>
      </c>
      <c r="N3373" s="2">
        <f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>
        <f>IF(OR(F3373="",G3373=""),"",IF(G3373&lt;='RETRATO 2027'!$K$5,"CONCLUÍDA",IF(F3373&lt;='RETRATO 2027'!$K$5,"EM ANDAMENTO","A INICIAR")))</f>
        <v/>
      </c>
    </row>
    <row r="3374">
      <c r="M3374" s="2">
        <f>IF(C3374="","",IFERROR(INDEX($S$5:$S$304,MATCH(C3374,$R$5:$R$304,0))&amp;"","?"))</f>
        <v/>
      </c>
      <c r="N3374" s="2">
        <f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>
        <f>IF(OR(F3374="",G3374=""),"",IF(G3374&lt;='RETRATO 2027'!$K$5,"CONCLUÍDA",IF(F3374&lt;='RETRATO 2027'!$K$5,"EM ANDAMENTO","A INICIAR")))</f>
        <v/>
      </c>
    </row>
    <row r="3375">
      <c r="M3375" s="2">
        <f>IF(C3375="","",IFERROR(INDEX($S$5:$S$304,MATCH(C3375,$R$5:$R$304,0))&amp;"","?"))</f>
        <v/>
      </c>
      <c r="N3375" s="2">
        <f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>
        <f>IF(OR(F3375="",G3375=""),"",IF(G3375&lt;='RETRATO 2027'!$K$5,"CONCLUÍDA",IF(F3375&lt;='RETRATO 2027'!$K$5,"EM ANDAMENTO","A INICIAR")))</f>
        <v/>
      </c>
    </row>
    <row r="3376">
      <c r="M3376" s="2">
        <f>IF(C3376="","",IFERROR(INDEX($S$5:$S$304,MATCH(C3376,$R$5:$R$304,0))&amp;"","?"))</f>
        <v/>
      </c>
      <c r="N3376" s="2">
        <f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>
        <f>IF(OR(F3376="",G3376=""),"",IF(G3376&lt;='RETRATO 2027'!$K$5,"CONCLUÍDA",IF(F3376&lt;='RETRATO 2027'!$K$5,"EM ANDAMENTO","A INICIAR")))</f>
        <v/>
      </c>
    </row>
    <row r="3377">
      <c r="M3377" s="2">
        <f>IF(C3377="","",IFERROR(INDEX($S$5:$S$304,MATCH(C3377,$R$5:$R$304,0))&amp;"","?"))</f>
        <v/>
      </c>
      <c r="N3377" s="2">
        <f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>
        <f>IF(OR(F3377="",G3377=""),"",IF(G3377&lt;='RETRATO 2027'!$K$5,"CONCLUÍDA",IF(F3377&lt;='RETRATO 2027'!$K$5,"EM ANDAMENTO","A INICIAR")))</f>
        <v/>
      </c>
    </row>
    <row r="3378">
      <c r="M3378" s="2">
        <f>IF(C3378="","",IFERROR(INDEX($S$5:$S$304,MATCH(C3378,$R$5:$R$304,0))&amp;"","?"))</f>
        <v/>
      </c>
      <c r="N3378" s="2">
        <f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>
        <f>IF(OR(F3378="",G3378=""),"",IF(G3378&lt;='RETRATO 2027'!$K$5,"CONCLUÍDA",IF(F3378&lt;='RETRATO 2027'!$K$5,"EM ANDAMENTO","A INICIAR")))</f>
        <v/>
      </c>
    </row>
    <row r="3379">
      <c r="M3379" s="2">
        <f>IF(C3379="","",IFERROR(INDEX($S$5:$S$304,MATCH(C3379,$R$5:$R$304,0))&amp;"","?"))</f>
        <v/>
      </c>
      <c r="N3379" s="2">
        <f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>
        <f>IF(OR(F3379="",G3379=""),"",IF(G3379&lt;='RETRATO 2027'!$K$5,"CONCLUÍDA",IF(F3379&lt;='RETRATO 2027'!$K$5,"EM ANDAMENTO","A INICIAR")))</f>
        <v/>
      </c>
    </row>
    <row r="3380">
      <c r="M3380" s="2">
        <f>IF(C3380="","",IFERROR(INDEX($S$5:$S$304,MATCH(C3380,$R$5:$R$304,0))&amp;"","?"))</f>
        <v/>
      </c>
      <c r="N3380" s="2">
        <f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>
        <f>IF(OR(F3380="",G3380=""),"",IF(G3380&lt;='RETRATO 2027'!$K$5,"CONCLUÍDA",IF(F3380&lt;='RETRATO 2027'!$K$5,"EM ANDAMENTO","A INICIAR")))</f>
        <v/>
      </c>
    </row>
    <row r="3381">
      <c r="M3381" s="2">
        <f>IF(C3381="","",IFERROR(INDEX($S$5:$S$304,MATCH(C3381,$R$5:$R$304,0))&amp;"","?"))</f>
        <v/>
      </c>
      <c r="N3381" s="2">
        <f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>
        <f>IF(OR(F3381="",G3381=""),"",IF(G3381&lt;='RETRATO 2027'!$K$5,"CONCLUÍDA",IF(F3381&lt;='RETRATO 2027'!$K$5,"EM ANDAMENTO","A INICIAR")))</f>
        <v/>
      </c>
    </row>
    <row r="3382">
      <c r="M3382" s="2">
        <f>IF(C3382="","",IFERROR(INDEX($S$5:$S$304,MATCH(C3382,$R$5:$R$304,0))&amp;"","?"))</f>
        <v/>
      </c>
      <c r="N3382" s="2">
        <f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>
        <f>IF(OR(F3382="",G3382=""),"",IF(G3382&lt;='RETRATO 2027'!$K$5,"CONCLUÍDA",IF(F3382&lt;='RETRATO 2027'!$K$5,"EM ANDAMENTO","A INICIAR")))</f>
        <v/>
      </c>
    </row>
    <row r="3383">
      <c r="M3383" s="2">
        <f>IF(C3383="","",IFERROR(INDEX($S$5:$S$304,MATCH(C3383,$R$5:$R$304,0))&amp;"","?"))</f>
        <v/>
      </c>
      <c r="N3383" s="2">
        <f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>
        <f>IF(OR(F3383="",G3383=""),"",IF(G3383&lt;='RETRATO 2027'!$K$5,"CONCLUÍDA",IF(F3383&lt;='RETRATO 2027'!$K$5,"EM ANDAMENTO","A INICIAR")))</f>
        <v/>
      </c>
    </row>
    <row r="3384">
      <c r="M3384" s="2">
        <f>IF(C3384="","",IFERROR(INDEX($S$5:$S$304,MATCH(C3384,$R$5:$R$304,0))&amp;"","?"))</f>
        <v/>
      </c>
      <c r="N3384" s="2">
        <f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>
        <f>IF(OR(F3384="",G3384=""),"",IF(G3384&lt;='RETRATO 2027'!$K$5,"CONCLUÍDA",IF(F3384&lt;='RETRATO 2027'!$K$5,"EM ANDAMENTO","A INICIAR")))</f>
        <v/>
      </c>
    </row>
    <row r="3385">
      <c r="M3385" s="2">
        <f>IF(C3385="","",IFERROR(INDEX($S$5:$S$304,MATCH(C3385,$R$5:$R$304,0))&amp;"","?"))</f>
        <v/>
      </c>
      <c r="N3385" s="2">
        <f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>
        <f>IF(OR(F3385="",G3385=""),"",IF(G3385&lt;='RETRATO 2027'!$K$5,"CONCLUÍDA",IF(F3385&lt;='RETRATO 2027'!$K$5,"EM ANDAMENTO","A INICIAR")))</f>
        <v/>
      </c>
    </row>
    <row r="3386">
      <c r="M3386" s="2">
        <f>IF(C3386="","",IFERROR(INDEX($S$5:$S$304,MATCH(C3386,$R$5:$R$304,0))&amp;"","?"))</f>
        <v/>
      </c>
      <c r="N3386" s="2">
        <f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>
        <f>IF(OR(F3386="",G3386=""),"",IF(G3386&lt;='RETRATO 2027'!$K$5,"CONCLUÍDA",IF(F3386&lt;='RETRATO 2027'!$K$5,"EM ANDAMENTO","A INICIAR")))</f>
        <v/>
      </c>
    </row>
    <row r="3387">
      <c r="M3387" s="2">
        <f>IF(C3387="","",IFERROR(INDEX($S$5:$S$304,MATCH(C3387,$R$5:$R$304,0))&amp;"","?"))</f>
        <v/>
      </c>
      <c r="N3387" s="2">
        <f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>
        <f>IF(OR(F3387="",G3387=""),"",IF(G3387&lt;='RETRATO 2027'!$K$5,"CONCLUÍDA",IF(F3387&lt;='RETRATO 2027'!$K$5,"EM ANDAMENTO","A INICIAR")))</f>
        <v/>
      </c>
    </row>
    <row r="3388">
      <c r="M3388" s="2">
        <f>IF(C3388="","",IFERROR(INDEX($S$5:$S$304,MATCH(C3388,$R$5:$R$304,0))&amp;"","?"))</f>
        <v/>
      </c>
      <c r="N3388" s="2">
        <f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>
        <f>IF(OR(F3388="",G3388=""),"",IF(G3388&lt;='RETRATO 2027'!$K$5,"CONCLUÍDA",IF(F3388&lt;='RETRATO 2027'!$K$5,"EM ANDAMENTO","A INICIAR")))</f>
        <v/>
      </c>
    </row>
    <row r="3389">
      <c r="M3389" s="2">
        <f>IF(C3389="","",IFERROR(INDEX($S$5:$S$304,MATCH(C3389,$R$5:$R$304,0))&amp;"","?"))</f>
        <v/>
      </c>
      <c r="N3389" s="2">
        <f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>
        <f>IF(OR(F3389="",G3389=""),"",IF(G3389&lt;='RETRATO 2027'!$K$5,"CONCLUÍDA",IF(F3389&lt;='RETRATO 2027'!$K$5,"EM ANDAMENTO","A INICIAR")))</f>
        <v/>
      </c>
    </row>
    <row r="3390">
      <c r="M3390" s="2">
        <f>IF(C3390="","",IFERROR(INDEX($S$5:$S$304,MATCH(C3390,$R$5:$R$304,0))&amp;"","?"))</f>
        <v/>
      </c>
      <c r="N3390" s="2">
        <f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>
        <f>IF(OR(F3390="",G3390=""),"",IF(G3390&lt;='RETRATO 2027'!$K$5,"CONCLUÍDA",IF(F3390&lt;='RETRATO 2027'!$K$5,"EM ANDAMENTO","A INICIAR")))</f>
        <v/>
      </c>
    </row>
    <row r="3391">
      <c r="M3391" s="2">
        <f>IF(C3391="","",IFERROR(INDEX($S$5:$S$304,MATCH(C3391,$R$5:$R$304,0))&amp;"","?"))</f>
        <v/>
      </c>
      <c r="N3391" s="2">
        <f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>
        <f>IF(OR(F3391="",G3391=""),"",IF(G3391&lt;='RETRATO 2027'!$K$5,"CONCLUÍDA",IF(F3391&lt;='RETRATO 2027'!$K$5,"EM ANDAMENTO","A INICIAR")))</f>
        <v/>
      </c>
    </row>
    <row r="3392">
      <c r="M3392" s="2">
        <f>IF(C3392="","",IFERROR(INDEX($S$5:$S$304,MATCH(C3392,$R$5:$R$304,0))&amp;"","?"))</f>
        <v/>
      </c>
      <c r="N3392" s="2">
        <f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>
        <f>IF(OR(F3392="",G3392=""),"",IF(G3392&lt;='RETRATO 2027'!$K$5,"CONCLUÍDA",IF(F3392&lt;='RETRATO 2027'!$K$5,"EM ANDAMENTO","A INICIAR")))</f>
        <v/>
      </c>
    </row>
    <row r="3393">
      <c r="M3393" s="2">
        <f>IF(C3393="","",IFERROR(INDEX($S$5:$S$304,MATCH(C3393,$R$5:$R$304,0))&amp;"","?"))</f>
        <v/>
      </c>
      <c r="N3393" s="2">
        <f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>
        <f>IF(OR(F3393="",G3393=""),"",IF(G3393&lt;='RETRATO 2027'!$K$5,"CONCLUÍDA",IF(F3393&lt;='RETRATO 2027'!$K$5,"EM ANDAMENTO","A INICIAR")))</f>
        <v/>
      </c>
    </row>
    <row r="3394">
      <c r="M3394" s="2">
        <f>IF(C3394="","",IFERROR(INDEX($S$5:$S$304,MATCH(C3394,$R$5:$R$304,0))&amp;"","?"))</f>
        <v/>
      </c>
      <c r="N3394" s="2">
        <f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>
        <f>IF(OR(F3394="",G3394=""),"",IF(G3394&lt;='RETRATO 2027'!$K$5,"CONCLUÍDA",IF(F3394&lt;='RETRATO 2027'!$K$5,"EM ANDAMENTO","A INICIAR")))</f>
        <v/>
      </c>
    </row>
    <row r="3395">
      <c r="M3395" s="2">
        <f>IF(C3395="","",IFERROR(INDEX($S$5:$S$304,MATCH(C3395,$R$5:$R$304,0))&amp;"","?"))</f>
        <v/>
      </c>
      <c r="N3395" s="2">
        <f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>
        <f>IF(OR(F3395="",G3395=""),"",IF(G3395&lt;='RETRATO 2027'!$K$5,"CONCLUÍDA",IF(F3395&lt;='RETRATO 2027'!$K$5,"EM ANDAMENTO","A INICIAR")))</f>
        <v/>
      </c>
    </row>
    <row r="3396">
      <c r="M3396" s="2">
        <f>IF(C3396="","",IFERROR(INDEX($S$5:$S$304,MATCH(C3396,$R$5:$R$304,0))&amp;"","?"))</f>
        <v/>
      </c>
      <c r="N3396" s="2">
        <f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>
        <f>IF(OR(F3396="",G3396=""),"",IF(G3396&lt;='RETRATO 2027'!$K$5,"CONCLUÍDA",IF(F3396&lt;='RETRATO 2027'!$K$5,"EM ANDAMENTO","A INICIAR")))</f>
        <v/>
      </c>
    </row>
    <row r="3397">
      <c r="M3397" s="2">
        <f>IF(C3397="","",IFERROR(INDEX($S$5:$S$304,MATCH(C3397,$R$5:$R$304,0))&amp;"","?"))</f>
        <v/>
      </c>
      <c r="N3397" s="2">
        <f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>
        <f>IF(OR(F3397="",G3397=""),"",IF(G3397&lt;='RETRATO 2027'!$K$5,"CONCLUÍDA",IF(F3397&lt;='RETRATO 2027'!$K$5,"EM ANDAMENTO","A INICIAR")))</f>
        <v/>
      </c>
    </row>
    <row r="3398">
      <c r="M3398" s="2">
        <f>IF(C3398="","",IFERROR(INDEX($S$5:$S$304,MATCH(C3398,$R$5:$R$304,0))&amp;"","?"))</f>
        <v/>
      </c>
      <c r="N3398" s="2">
        <f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>
        <f>IF(OR(F3398="",G3398=""),"",IF(G3398&lt;='RETRATO 2027'!$K$5,"CONCLUÍDA",IF(F3398&lt;='RETRATO 2027'!$K$5,"EM ANDAMENTO","A INICIAR")))</f>
        <v/>
      </c>
    </row>
    <row r="3399">
      <c r="M3399" s="2">
        <f>IF(C3399="","",IFERROR(INDEX($S$5:$S$304,MATCH(C3399,$R$5:$R$304,0))&amp;"","?"))</f>
        <v/>
      </c>
      <c r="N3399" s="2">
        <f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>
        <f>IF(OR(F3399="",G3399=""),"",IF(G3399&lt;='RETRATO 2027'!$K$5,"CONCLUÍDA",IF(F3399&lt;='RETRATO 2027'!$K$5,"EM ANDAMENTO","A INICIAR")))</f>
        <v/>
      </c>
    </row>
    <row r="3400">
      <c r="M3400" s="2">
        <f>IF(C3400="","",IFERROR(INDEX($S$5:$S$304,MATCH(C3400,$R$5:$R$304,0))&amp;"","?"))</f>
        <v/>
      </c>
      <c r="N3400" s="2">
        <f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>
        <f>IF(OR(F3400="",G3400=""),"",IF(G3400&lt;='RETRATO 2027'!$K$5,"CONCLUÍDA",IF(F3400&lt;='RETRATO 2027'!$K$5,"EM ANDAMENTO","A INICIAR")))</f>
        <v/>
      </c>
    </row>
    <row r="3401">
      <c r="M3401" s="2">
        <f>IF(C3401="","",IFERROR(INDEX($S$5:$S$304,MATCH(C3401,$R$5:$R$304,0))&amp;"","?"))</f>
        <v/>
      </c>
      <c r="N3401" s="2">
        <f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>
        <f>IF(OR(F3401="",G3401=""),"",IF(G3401&lt;='RETRATO 2027'!$K$5,"CONCLUÍDA",IF(F3401&lt;='RETRATO 2027'!$K$5,"EM ANDAMENTO","A INICIAR")))</f>
        <v/>
      </c>
    </row>
    <row r="3402">
      <c r="M3402" s="2">
        <f>IF(C3402="","",IFERROR(INDEX($S$5:$S$304,MATCH(C3402,$R$5:$R$304,0))&amp;"","?"))</f>
        <v/>
      </c>
      <c r="N3402" s="2">
        <f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>
        <f>IF(OR(F3402="",G3402=""),"",IF(G3402&lt;='RETRATO 2027'!$K$5,"CONCLUÍDA",IF(F3402&lt;='RETRATO 2027'!$K$5,"EM ANDAMENTO","A INICIAR")))</f>
        <v/>
      </c>
    </row>
    <row r="3403">
      <c r="M3403" s="2">
        <f>IF(C3403="","",IFERROR(INDEX($S$5:$S$304,MATCH(C3403,$R$5:$R$304,0))&amp;"","?"))</f>
        <v/>
      </c>
      <c r="N3403" s="2">
        <f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>
        <f>IF(OR(F3403="",G3403=""),"",IF(G3403&lt;='RETRATO 2027'!$K$5,"CONCLUÍDA",IF(F3403&lt;='RETRATO 2027'!$K$5,"EM ANDAMENTO","A INICIAR")))</f>
        <v/>
      </c>
    </row>
    <row r="3404">
      <c r="M3404" s="2">
        <f>IF(C3404="","",IFERROR(INDEX($S$5:$S$304,MATCH(C3404,$R$5:$R$304,0))&amp;"","?"))</f>
        <v/>
      </c>
      <c r="N3404" s="2">
        <f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>
        <f>IF(OR(F3404="",G3404=""),"",IF(G3404&lt;='RETRATO 2027'!$K$5,"CONCLUÍDA",IF(F3404&lt;='RETRATO 2027'!$K$5,"EM ANDAMENTO","A INICIAR")))</f>
        <v/>
      </c>
    </row>
    <row r="3405">
      <c r="M3405" s="2">
        <f>IF(C3405="","",IFERROR(INDEX($S$5:$S$304,MATCH(C3405,$R$5:$R$304,0))&amp;"","?"))</f>
        <v/>
      </c>
      <c r="N3405" s="2">
        <f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>
        <f>IF(OR(F3405="",G3405=""),"",IF(G3405&lt;='RETRATO 2027'!$K$5,"CONCLUÍDA",IF(F3405&lt;='RETRATO 2027'!$K$5,"EM ANDAMENTO","A INICIAR")))</f>
        <v/>
      </c>
    </row>
    <row r="3406">
      <c r="M3406" s="2">
        <f>IF(C3406="","",IFERROR(INDEX($S$5:$S$304,MATCH(C3406,$R$5:$R$304,0))&amp;"","?"))</f>
        <v/>
      </c>
      <c r="N3406" s="2">
        <f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>
        <f>IF(OR(F3406="",G3406=""),"",IF(G3406&lt;='RETRATO 2027'!$K$5,"CONCLUÍDA",IF(F3406&lt;='RETRATO 2027'!$K$5,"EM ANDAMENTO","A INICIAR")))</f>
        <v/>
      </c>
    </row>
    <row r="3407">
      <c r="M3407" s="2">
        <f>IF(C3407="","",IFERROR(INDEX($S$5:$S$304,MATCH(C3407,$R$5:$R$304,0))&amp;"","?"))</f>
        <v/>
      </c>
      <c r="N3407" s="2">
        <f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>
        <f>IF(OR(F3407="",G3407=""),"",IF(G3407&lt;='RETRATO 2027'!$K$5,"CONCLUÍDA",IF(F3407&lt;='RETRATO 2027'!$K$5,"EM ANDAMENTO","A INICIAR")))</f>
        <v/>
      </c>
    </row>
    <row r="3408">
      <c r="M3408" s="2">
        <f>IF(C3408="","",IFERROR(INDEX($S$5:$S$304,MATCH(C3408,$R$5:$R$304,0))&amp;"","?"))</f>
        <v/>
      </c>
      <c r="N3408" s="2">
        <f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>
        <f>IF(OR(F3408="",G3408=""),"",IF(G3408&lt;='RETRATO 2027'!$K$5,"CONCLUÍDA",IF(F3408&lt;='RETRATO 2027'!$K$5,"EM ANDAMENTO","A INICIAR")))</f>
        <v/>
      </c>
    </row>
    <row r="3409">
      <c r="M3409" s="2">
        <f>IF(C3409="","",IFERROR(INDEX($S$5:$S$304,MATCH(C3409,$R$5:$R$304,0))&amp;"","?"))</f>
        <v/>
      </c>
      <c r="N3409" s="2">
        <f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>
        <f>IF(OR(F3409="",G3409=""),"",IF(G3409&lt;='RETRATO 2027'!$K$5,"CONCLUÍDA",IF(F3409&lt;='RETRATO 2027'!$K$5,"EM ANDAMENTO","A INICIAR")))</f>
        <v/>
      </c>
    </row>
    <row r="3410">
      <c r="M3410" s="2">
        <f>IF(C3410="","",IFERROR(INDEX($S$5:$S$304,MATCH(C3410,$R$5:$R$304,0))&amp;"","?"))</f>
        <v/>
      </c>
      <c r="N3410" s="2">
        <f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>
        <f>IF(OR(F3410="",G3410=""),"",IF(G3410&lt;='RETRATO 2027'!$K$5,"CONCLUÍDA",IF(F3410&lt;='RETRATO 2027'!$K$5,"EM ANDAMENTO","A INICIAR")))</f>
        <v/>
      </c>
    </row>
    <row r="3411">
      <c r="M3411" s="2">
        <f>IF(C3411="","",IFERROR(INDEX($S$5:$S$304,MATCH(C3411,$R$5:$R$304,0))&amp;"","?"))</f>
        <v/>
      </c>
      <c r="N3411" s="2">
        <f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>
        <f>IF(OR(F3411="",G3411=""),"",IF(G3411&lt;='RETRATO 2027'!$K$5,"CONCLUÍDA",IF(F3411&lt;='RETRATO 2027'!$K$5,"EM ANDAMENTO","A INICIAR")))</f>
        <v/>
      </c>
    </row>
    <row r="3412">
      <c r="M3412" s="2">
        <f>IF(C3412="","",IFERROR(INDEX($S$5:$S$304,MATCH(C3412,$R$5:$R$304,0))&amp;"","?"))</f>
        <v/>
      </c>
      <c r="N3412" s="2">
        <f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>
        <f>IF(OR(F3412="",G3412=""),"",IF(G3412&lt;='RETRATO 2027'!$K$5,"CONCLUÍDA",IF(F3412&lt;='RETRATO 2027'!$K$5,"EM ANDAMENTO","A INICIAR")))</f>
        <v/>
      </c>
    </row>
    <row r="3413">
      <c r="M3413" s="2">
        <f>IF(C3413="","",IFERROR(INDEX($S$5:$S$304,MATCH(C3413,$R$5:$R$304,0))&amp;"","?"))</f>
        <v/>
      </c>
      <c r="N3413" s="2">
        <f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>
        <f>IF(OR(F3413="",G3413=""),"",IF(G3413&lt;='RETRATO 2027'!$K$5,"CONCLUÍDA",IF(F3413&lt;='RETRATO 2027'!$K$5,"EM ANDAMENTO","A INICIAR")))</f>
        <v/>
      </c>
    </row>
    <row r="3414">
      <c r="M3414" s="2">
        <f>IF(C3414="","",IFERROR(INDEX($S$5:$S$304,MATCH(C3414,$R$5:$R$304,0))&amp;"","?"))</f>
        <v/>
      </c>
      <c r="N3414" s="2">
        <f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>
        <f>IF(OR(F3414="",G3414=""),"",IF(G3414&lt;='RETRATO 2027'!$K$5,"CONCLUÍDA",IF(F3414&lt;='RETRATO 2027'!$K$5,"EM ANDAMENTO","A INICIAR")))</f>
        <v/>
      </c>
    </row>
    <row r="3415">
      <c r="M3415" s="2">
        <f>IF(C3415="","",IFERROR(INDEX($S$5:$S$304,MATCH(C3415,$R$5:$R$304,0))&amp;"","?"))</f>
        <v/>
      </c>
      <c r="N3415" s="2">
        <f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>
        <f>IF(OR(F3415="",G3415=""),"",IF(G3415&lt;='RETRATO 2027'!$K$5,"CONCLUÍDA",IF(F3415&lt;='RETRATO 2027'!$K$5,"EM ANDAMENTO","A INICIAR")))</f>
        <v/>
      </c>
    </row>
    <row r="3416">
      <c r="M3416" s="2">
        <f>IF(C3416="","",IFERROR(INDEX($S$5:$S$304,MATCH(C3416,$R$5:$R$304,0))&amp;"","?"))</f>
        <v/>
      </c>
      <c r="N3416" s="2">
        <f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>
        <f>IF(OR(F3416="",G3416=""),"",IF(G3416&lt;='RETRATO 2027'!$K$5,"CONCLUÍDA",IF(F3416&lt;='RETRATO 2027'!$K$5,"EM ANDAMENTO","A INICIAR")))</f>
        <v/>
      </c>
    </row>
    <row r="3417">
      <c r="M3417" s="2">
        <f>IF(C3417="","",IFERROR(INDEX($S$5:$S$304,MATCH(C3417,$R$5:$R$304,0))&amp;"","?"))</f>
        <v/>
      </c>
      <c r="N3417" s="2">
        <f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>
        <f>IF(OR(F3417="",G3417=""),"",IF(G3417&lt;='RETRATO 2027'!$K$5,"CONCLUÍDA",IF(F3417&lt;='RETRATO 2027'!$K$5,"EM ANDAMENTO","A INICIAR")))</f>
        <v/>
      </c>
    </row>
    <row r="3418">
      <c r="M3418" s="2">
        <f>IF(C3418="","",IFERROR(INDEX($S$5:$S$304,MATCH(C3418,$R$5:$R$304,0))&amp;"","?"))</f>
        <v/>
      </c>
      <c r="N3418" s="2">
        <f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>
        <f>IF(OR(F3418="",G3418=""),"",IF(G3418&lt;='RETRATO 2027'!$K$5,"CONCLUÍDA",IF(F3418&lt;='RETRATO 2027'!$K$5,"EM ANDAMENTO","A INICIAR")))</f>
        <v/>
      </c>
    </row>
    <row r="3419">
      <c r="M3419" s="2">
        <f>IF(C3419="","",IFERROR(INDEX($S$5:$S$304,MATCH(C3419,$R$5:$R$304,0))&amp;"","?"))</f>
        <v/>
      </c>
      <c r="N3419" s="2">
        <f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>
        <f>IF(OR(F3419="",G3419=""),"",IF(G3419&lt;='RETRATO 2027'!$K$5,"CONCLUÍDA",IF(F3419&lt;='RETRATO 2027'!$K$5,"EM ANDAMENTO","A INICIAR")))</f>
        <v/>
      </c>
    </row>
    <row r="3420">
      <c r="M3420" s="2">
        <f>IF(C3420="","",IFERROR(INDEX($S$5:$S$304,MATCH(C3420,$R$5:$R$304,0))&amp;"","?"))</f>
        <v/>
      </c>
      <c r="N3420" s="2">
        <f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>
        <f>IF(OR(F3420="",G3420=""),"",IF(G3420&lt;='RETRATO 2027'!$K$5,"CONCLUÍDA",IF(F3420&lt;='RETRATO 2027'!$K$5,"EM ANDAMENTO","A INICIAR")))</f>
        <v/>
      </c>
    </row>
    <row r="3421">
      <c r="M3421" s="2">
        <f>IF(C3421="","",IFERROR(INDEX($S$5:$S$304,MATCH(C3421,$R$5:$R$304,0))&amp;"","?"))</f>
        <v/>
      </c>
      <c r="N3421" s="2">
        <f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>
        <f>IF(OR(F3421="",G3421=""),"",IF(G3421&lt;='RETRATO 2027'!$K$5,"CONCLUÍDA",IF(F3421&lt;='RETRATO 2027'!$K$5,"EM ANDAMENTO","A INICIAR")))</f>
        <v/>
      </c>
    </row>
    <row r="3422">
      <c r="M3422" s="2">
        <f>IF(C3422="","",IFERROR(INDEX($S$5:$S$304,MATCH(C3422,$R$5:$R$304,0))&amp;"","?"))</f>
        <v/>
      </c>
      <c r="N3422" s="2">
        <f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>
        <f>IF(OR(F3422="",G3422=""),"",IF(G3422&lt;='RETRATO 2027'!$K$5,"CONCLUÍDA",IF(F3422&lt;='RETRATO 2027'!$K$5,"EM ANDAMENTO","A INICIAR")))</f>
        <v/>
      </c>
    </row>
    <row r="3423">
      <c r="M3423" s="2">
        <f>IF(C3423="","",IFERROR(INDEX($S$5:$S$304,MATCH(C3423,$R$5:$R$304,0))&amp;"","?"))</f>
        <v/>
      </c>
      <c r="N3423" s="2">
        <f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>
        <f>IF(OR(F3423="",G3423=""),"",IF(G3423&lt;='RETRATO 2027'!$K$5,"CONCLUÍDA",IF(F3423&lt;='RETRATO 2027'!$K$5,"EM ANDAMENTO","A INICIAR")))</f>
        <v/>
      </c>
    </row>
    <row r="3424">
      <c r="M3424" s="2">
        <f>IF(C3424="","",IFERROR(INDEX($S$5:$S$304,MATCH(C3424,$R$5:$R$304,0))&amp;"","?"))</f>
        <v/>
      </c>
      <c r="N3424" s="2">
        <f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>
        <f>IF(OR(F3424="",G3424=""),"",IF(G3424&lt;='RETRATO 2027'!$K$5,"CONCLUÍDA",IF(F3424&lt;='RETRATO 2027'!$K$5,"EM ANDAMENTO","A INICIAR")))</f>
        <v/>
      </c>
    </row>
    <row r="3425">
      <c r="M3425" s="2">
        <f>IF(C3425="","",IFERROR(INDEX($S$5:$S$304,MATCH(C3425,$R$5:$R$304,0))&amp;"","?"))</f>
        <v/>
      </c>
      <c r="N3425" s="2">
        <f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>
        <f>IF(OR(F3425="",G3425=""),"",IF(G3425&lt;='RETRATO 2027'!$K$5,"CONCLUÍDA",IF(F3425&lt;='RETRATO 2027'!$K$5,"EM ANDAMENTO","A INICIAR")))</f>
        <v/>
      </c>
    </row>
    <row r="3426">
      <c r="M3426" s="2">
        <f>IF(C3426="","",IFERROR(INDEX($S$5:$S$304,MATCH(C3426,$R$5:$R$304,0))&amp;"","?"))</f>
        <v/>
      </c>
      <c r="N3426" s="2">
        <f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>
        <f>IF(OR(F3426="",G3426=""),"",IF(G3426&lt;='RETRATO 2027'!$K$5,"CONCLUÍDA",IF(F3426&lt;='RETRATO 2027'!$K$5,"EM ANDAMENTO","A INICIAR")))</f>
        <v/>
      </c>
    </row>
    <row r="3427">
      <c r="M3427" s="2">
        <f>IF(C3427="","",IFERROR(INDEX($S$5:$S$304,MATCH(C3427,$R$5:$R$304,0))&amp;"","?"))</f>
        <v/>
      </c>
      <c r="N3427" s="2">
        <f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>
        <f>IF(OR(F3427="",G3427=""),"",IF(G3427&lt;='RETRATO 2027'!$K$5,"CONCLUÍDA",IF(F3427&lt;='RETRATO 2027'!$K$5,"EM ANDAMENTO","A INICIAR")))</f>
        <v/>
      </c>
    </row>
    <row r="3428">
      <c r="M3428" s="2">
        <f>IF(C3428="","",IFERROR(INDEX($S$5:$S$304,MATCH(C3428,$R$5:$R$304,0))&amp;"","?"))</f>
        <v/>
      </c>
      <c r="N3428" s="2">
        <f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>
        <f>IF(OR(F3428="",G3428=""),"",IF(G3428&lt;='RETRATO 2027'!$K$5,"CONCLUÍDA",IF(F3428&lt;='RETRATO 2027'!$K$5,"EM ANDAMENTO","A INICIAR")))</f>
        <v/>
      </c>
    </row>
    <row r="3429">
      <c r="M3429" s="2">
        <f>IF(C3429="","",IFERROR(INDEX($S$5:$S$304,MATCH(C3429,$R$5:$R$304,0))&amp;"","?"))</f>
        <v/>
      </c>
      <c r="N3429" s="2">
        <f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>
        <f>IF(OR(F3429="",G3429=""),"",IF(G3429&lt;='RETRATO 2027'!$K$5,"CONCLUÍDA",IF(F3429&lt;='RETRATO 2027'!$K$5,"EM ANDAMENTO","A INICIAR")))</f>
        <v/>
      </c>
    </row>
    <row r="3430">
      <c r="M3430" s="2">
        <f>IF(C3430="","",IFERROR(INDEX($S$5:$S$304,MATCH(C3430,$R$5:$R$304,0))&amp;"","?"))</f>
        <v/>
      </c>
      <c r="N3430" s="2">
        <f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>
        <f>IF(OR(F3430="",G3430=""),"",IF(G3430&lt;='RETRATO 2027'!$K$5,"CONCLUÍDA",IF(F3430&lt;='RETRATO 2027'!$K$5,"EM ANDAMENTO","A INICIAR")))</f>
        <v/>
      </c>
    </row>
    <row r="3431">
      <c r="M3431" s="2">
        <f>IF(C3431="","",IFERROR(INDEX($S$5:$S$304,MATCH(C3431,$R$5:$R$304,0))&amp;"","?"))</f>
        <v/>
      </c>
      <c r="N3431" s="2">
        <f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>
        <f>IF(OR(F3431="",G3431=""),"",IF(G3431&lt;='RETRATO 2027'!$K$5,"CONCLUÍDA",IF(F3431&lt;='RETRATO 2027'!$K$5,"EM ANDAMENTO","A INICIAR")))</f>
        <v/>
      </c>
    </row>
    <row r="3432">
      <c r="M3432" s="2">
        <f>IF(C3432="","",IFERROR(INDEX($S$5:$S$304,MATCH(C3432,$R$5:$R$304,0))&amp;"","?"))</f>
        <v/>
      </c>
      <c r="N3432" s="2">
        <f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>
        <f>IF(OR(F3432="",G3432=""),"",IF(G3432&lt;='RETRATO 2027'!$K$5,"CONCLUÍDA",IF(F3432&lt;='RETRATO 2027'!$K$5,"EM ANDAMENTO","A INICIAR")))</f>
        <v/>
      </c>
    </row>
    <row r="3433">
      <c r="M3433" s="2">
        <f>IF(C3433="","",IFERROR(INDEX($S$5:$S$304,MATCH(C3433,$R$5:$R$304,0))&amp;"","?"))</f>
        <v/>
      </c>
      <c r="N3433" s="2">
        <f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>
        <f>IF(OR(F3433="",G3433=""),"",IF(G3433&lt;='RETRATO 2027'!$K$5,"CONCLUÍDA",IF(F3433&lt;='RETRATO 2027'!$K$5,"EM ANDAMENTO","A INICIAR")))</f>
        <v/>
      </c>
    </row>
    <row r="3434">
      <c r="M3434" s="2">
        <f>IF(C3434="","",IFERROR(INDEX($S$5:$S$304,MATCH(C3434,$R$5:$R$304,0))&amp;"","?"))</f>
        <v/>
      </c>
      <c r="N3434" s="2">
        <f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>
        <f>IF(OR(F3434="",G3434=""),"",IF(G3434&lt;='RETRATO 2027'!$K$5,"CONCLUÍDA",IF(F3434&lt;='RETRATO 2027'!$K$5,"EM ANDAMENTO","A INICIAR")))</f>
        <v/>
      </c>
    </row>
    <row r="3435">
      <c r="M3435" s="2">
        <f>IF(C3435="","",IFERROR(INDEX($S$5:$S$304,MATCH(C3435,$R$5:$R$304,0))&amp;"","?"))</f>
        <v/>
      </c>
      <c r="N3435" s="2">
        <f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>
        <f>IF(OR(F3435="",G3435=""),"",IF(G3435&lt;='RETRATO 2027'!$K$5,"CONCLUÍDA",IF(F3435&lt;='RETRATO 2027'!$K$5,"EM ANDAMENTO","A INICIAR")))</f>
        <v/>
      </c>
    </row>
    <row r="3436">
      <c r="M3436" s="2">
        <f>IF(C3436="","",IFERROR(INDEX($S$5:$S$304,MATCH(C3436,$R$5:$R$304,0))&amp;"","?"))</f>
        <v/>
      </c>
      <c r="N3436" s="2">
        <f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>
        <f>IF(OR(F3436="",G3436=""),"",IF(G3436&lt;='RETRATO 2027'!$K$5,"CONCLUÍDA",IF(F3436&lt;='RETRATO 2027'!$K$5,"EM ANDAMENTO","A INICIAR")))</f>
        <v/>
      </c>
    </row>
    <row r="3437">
      <c r="M3437" s="2">
        <f>IF(C3437="","",IFERROR(INDEX($S$5:$S$304,MATCH(C3437,$R$5:$R$304,0))&amp;"","?"))</f>
        <v/>
      </c>
      <c r="N3437" s="2">
        <f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>
        <f>IF(OR(F3437="",G3437=""),"",IF(G3437&lt;='RETRATO 2027'!$K$5,"CONCLUÍDA",IF(F3437&lt;='RETRATO 2027'!$K$5,"EM ANDAMENTO","A INICIAR")))</f>
        <v/>
      </c>
    </row>
    <row r="3438">
      <c r="M3438" s="2">
        <f>IF(C3438="","",IFERROR(INDEX($S$5:$S$304,MATCH(C3438,$R$5:$R$304,0))&amp;"","?"))</f>
        <v/>
      </c>
      <c r="N3438" s="2">
        <f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>
        <f>IF(OR(F3438="",G3438=""),"",IF(G3438&lt;='RETRATO 2027'!$K$5,"CONCLUÍDA",IF(F3438&lt;='RETRATO 2027'!$K$5,"EM ANDAMENTO","A INICIAR")))</f>
        <v/>
      </c>
    </row>
    <row r="3439">
      <c r="M3439" s="2">
        <f>IF(C3439="","",IFERROR(INDEX($S$5:$S$304,MATCH(C3439,$R$5:$R$304,0))&amp;"","?"))</f>
        <v/>
      </c>
      <c r="N3439" s="2">
        <f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>
        <f>IF(OR(F3439="",G3439=""),"",IF(G3439&lt;='RETRATO 2027'!$K$5,"CONCLUÍDA",IF(F3439&lt;='RETRATO 2027'!$K$5,"EM ANDAMENTO","A INICIAR")))</f>
        <v/>
      </c>
    </row>
    <row r="3440">
      <c r="M3440" s="2">
        <f>IF(C3440="","",IFERROR(INDEX($S$5:$S$304,MATCH(C3440,$R$5:$R$304,0))&amp;"","?"))</f>
        <v/>
      </c>
      <c r="N3440" s="2">
        <f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>
        <f>IF(OR(F3440="",G3440=""),"",IF(G3440&lt;='RETRATO 2027'!$K$5,"CONCLUÍDA",IF(F3440&lt;='RETRATO 2027'!$K$5,"EM ANDAMENTO","A INICIAR")))</f>
        <v/>
      </c>
    </row>
    <row r="3441">
      <c r="M3441" s="2">
        <f>IF(C3441="","",IFERROR(INDEX($S$5:$S$304,MATCH(C3441,$R$5:$R$304,0))&amp;"","?"))</f>
        <v/>
      </c>
      <c r="N3441" s="2">
        <f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>
        <f>IF(OR(F3441="",G3441=""),"",IF(G3441&lt;='RETRATO 2027'!$K$5,"CONCLUÍDA",IF(F3441&lt;='RETRATO 2027'!$K$5,"EM ANDAMENTO","A INICIAR")))</f>
        <v/>
      </c>
    </row>
    <row r="3442">
      <c r="M3442" s="2">
        <f>IF(C3442="","",IFERROR(INDEX($S$5:$S$304,MATCH(C3442,$R$5:$R$304,0))&amp;"","?"))</f>
        <v/>
      </c>
      <c r="N3442" s="2">
        <f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>
        <f>IF(OR(F3442="",G3442=""),"",IF(G3442&lt;='RETRATO 2027'!$K$5,"CONCLUÍDA",IF(F3442&lt;='RETRATO 2027'!$K$5,"EM ANDAMENTO","A INICIAR")))</f>
        <v/>
      </c>
    </row>
    <row r="3443">
      <c r="M3443" s="2">
        <f>IF(C3443="","",IFERROR(INDEX($S$5:$S$304,MATCH(C3443,$R$5:$R$304,0))&amp;"","?"))</f>
        <v/>
      </c>
      <c r="N3443" s="2">
        <f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>
        <f>IF(OR(F3443="",G3443=""),"",IF(G3443&lt;='RETRATO 2027'!$K$5,"CONCLUÍDA",IF(F3443&lt;='RETRATO 2027'!$K$5,"EM ANDAMENTO","A INICIAR")))</f>
        <v/>
      </c>
    </row>
    <row r="3444">
      <c r="M3444" s="2">
        <f>IF(C3444="","",IFERROR(INDEX($S$5:$S$304,MATCH(C3444,$R$5:$R$304,0))&amp;"","?"))</f>
        <v/>
      </c>
      <c r="N3444" s="2">
        <f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>
        <f>IF(OR(F3444="",G3444=""),"",IF(G3444&lt;='RETRATO 2027'!$K$5,"CONCLUÍDA",IF(F3444&lt;='RETRATO 2027'!$K$5,"EM ANDAMENTO","A INICIAR")))</f>
        <v/>
      </c>
    </row>
    <row r="3445">
      <c r="M3445" s="2">
        <f>IF(C3445="","",IFERROR(INDEX($S$5:$S$304,MATCH(C3445,$R$5:$R$304,0))&amp;"","?"))</f>
        <v/>
      </c>
      <c r="N3445" s="2">
        <f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>
        <f>IF(OR(F3445="",G3445=""),"",IF(G3445&lt;='RETRATO 2027'!$K$5,"CONCLUÍDA",IF(F3445&lt;='RETRATO 2027'!$K$5,"EM ANDAMENTO","A INICIAR")))</f>
        <v/>
      </c>
    </row>
    <row r="3446">
      <c r="M3446" s="2">
        <f>IF(C3446="","",IFERROR(INDEX($S$5:$S$304,MATCH(C3446,$R$5:$R$304,0))&amp;"","?"))</f>
        <v/>
      </c>
      <c r="N3446" s="2">
        <f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>
        <f>IF(OR(F3446="",G3446=""),"",IF(G3446&lt;='RETRATO 2027'!$K$5,"CONCLUÍDA",IF(F3446&lt;='RETRATO 2027'!$K$5,"EM ANDAMENTO","A INICIAR")))</f>
        <v/>
      </c>
    </row>
    <row r="3447">
      <c r="M3447" s="2">
        <f>IF(C3447="","",IFERROR(INDEX($S$5:$S$304,MATCH(C3447,$R$5:$R$304,0))&amp;"","?"))</f>
        <v/>
      </c>
      <c r="N3447" s="2">
        <f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>
        <f>IF(OR(F3447="",G3447=""),"",IF(G3447&lt;='RETRATO 2027'!$K$5,"CONCLUÍDA",IF(F3447&lt;='RETRATO 2027'!$K$5,"EM ANDAMENTO","A INICIAR")))</f>
        <v/>
      </c>
    </row>
    <row r="3448">
      <c r="M3448" s="2">
        <f>IF(C3448="","",IFERROR(INDEX($S$5:$S$304,MATCH(C3448,$R$5:$R$304,0))&amp;"","?"))</f>
        <v/>
      </c>
      <c r="N3448" s="2">
        <f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>
        <f>IF(OR(F3448="",G3448=""),"",IF(G3448&lt;='RETRATO 2027'!$K$5,"CONCLUÍDA",IF(F3448&lt;='RETRATO 2027'!$K$5,"EM ANDAMENTO","A INICIAR")))</f>
        <v/>
      </c>
    </row>
    <row r="3449">
      <c r="M3449" s="2">
        <f>IF(C3449="","",IFERROR(INDEX($S$5:$S$304,MATCH(C3449,$R$5:$R$304,0))&amp;"","?"))</f>
        <v/>
      </c>
      <c r="N3449" s="2">
        <f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>
        <f>IF(OR(F3449="",G3449=""),"",IF(G3449&lt;='RETRATO 2027'!$K$5,"CONCLUÍDA",IF(F3449&lt;='RETRATO 2027'!$K$5,"EM ANDAMENTO","A INICIAR")))</f>
        <v/>
      </c>
    </row>
    <row r="3450">
      <c r="M3450" s="2">
        <f>IF(C3450="","",IFERROR(INDEX($S$5:$S$304,MATCH(C3450,$R$5:$R$304,0))&amp;"","?"))</f>
        <v/>
      </c>
      <c r="N3450" s="2">
        <f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>
        <f>IF(OR(F3450="",G3450=""),"",IF(G3450&lt;='RETRATO 2027'!$K$5,"CONCLUÍDA",IF(F3450&lt;='RETRATO 2027'!$K$5,"EM ANDAMENTO","A INICIAR")))</f>
        <v/>
      </c>
    </row>
    <row r="3451">
      <c r="M3451" s="2">
        <f>IF(C3451="","",IFERROR(INDEX($S$5:$S$304,MATCH(C3451,$R$5:$R$304,0))&amp;"","?"))</f>
        <v/>
      </c>
      <c r="N3451" s="2">
        <f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>
        <f>IF(OR(F3451="",G3451=""),"",IF(G3451&lt;='RETRATO 2027'!$K$5,"CONCLUÍDA",IF(F3451&lt;='RETRATO 2027'!$K$5,"EM ANDAMENTO","A INICIAR")))</f>
        <v/>
      </c>
    </row>
    <row r="3452">
      <c r="M3452" s="2">
        <f>IF(C3452="","",IFERROR(INDEX($S$5:$S$304,MATCH(C3452,$R$5:$R$304,0))&amp;"","?"))</f>
        <v/>
      </c>
      <c r="N3452" s="2">
        <f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>
        <f>IF(OR(F3452="",G3452=""),"",IF(G3452&lt;='RETRATO 2027'!$K$5,"CONCLUÍDA",IF(F3452&lt;='RETRATO 2027'!$K$5,"EM ANDAMENTO","A INICIAR")))</f>
        <v/>
      </c>
    </row>
    <row r="3453">
      <c r="M3453" s="2">
        <f>IF(C3453="","",IFERROR(INDEX($S$5:$S$304,MATCH(C3453,$R$5:$R$304,0))&amp;"","?"))</f>
        <v/>
      </c>
      <c r="N3453" s="2">
        <f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>
        <f>IF(OR(F3453="",G3453=""),"",IF(G3453&lt;='RETRATO 2027'!$K$5,"CONCLUÍDA",IF(F3453&lt;='RETRATO 2027'!$K$5,"EM ANDAMENTO","A INICIAR")))</f>
        <v/>
      </c>
    </row>
    <row r="3454">
      <c r="M3454" s="2">
        <f>IF(C3454="","",IFERROR(INDEX($S$5:$S$304,MATCH(C3454,$R$5:$R$304,0))&amp;"","?"))</f>
        <v/>
      </c>
      <c r="N3454" s="2">
        <f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>
        <f>IF(OR(F3454="",G3454=""),"",IF(G3454&lt;='RETRATO 2027'!$K$5,"CONCLUÍDA",IF(F3454&lt;='RETRATO 2027'!$K$5,"EM ANDAMENTO","A INICIAR")))</f>
        <v/>
      </c>
    </row>
    <row r="3455">
      <c r="M3455" s="2">
        <f>IF(C3455="","",IFERROR(INDEX($S$5:$S$304,MATCH(C3455,$R$5:$R$304,0))&amp;"","?"))</f>
        <v/>
      </c>
      <c r="N3455" s="2">
        <f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>
        <f>IF(OR(F3455="",G3455=""),"",IF(G3455&lt;='RETRATO 2027'!$K$5,"CONCLUÍDA",IF(F3455&lt;='RETRATO 2027'!$K$5,"EM ANDAMENTO","A INICIAR")))</f>
        <v/>
      </c>
    </row>
    <row r="3456">
      <c r="M3456" s="2">
        <f>IF(C3456="","",IFERROR(INDEX($S$5:$S$304,MATCH(C3456,$R$5:$R$304,0))&amp;"","?"))</f>
        <v/>
      </c>
      <c r="N3456" s="2">
        <f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>
        <f>IF(OR(F3456="",G3456=""),"",IF(G3456&lt;='RETRATO 2027'!$K$5,"CONCLUÍDA",IF(F3456&lt;='RETRATO 2027'!$K$5,"EM ANDAMENTO","A INICIAR")))</f>
        <v/>
      </c>
    </row>
    <row r="3457">
      <c r="M3457" s="2">
        <f>IF(C3457="","",IFERROR(INDEX($S$5:$S$304,MATCH(C3457,$R$5:$R$304,0))&amp;"","?"))</f>
        <v/>
      </c>
      <c r="N3457" s="2">
        <f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>
        <f>IF(OR(F3457="",G3457=""),"",IF(G3457&lt;='RETRATO 2027'!$K$5,"CONCLUÍDA",IF(F3457&lt;='RETRATO 2027'!$K$5,"EM ANDAMENTO","A INICIAR")))</f>
        <v/>
      </c>
    </row>
    <row r="3458">
      <c r="M3458" s="2">
        <f>IF(C3458="","",IFERROR(INDEX($S$5:$S$304,MATCH(C3458,$R$5:$R$304,0))&amp;"","?"))</f>
        <v/>
      </c>
      <c r="N3458" s="2">
        <f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>
        <f>IF(OR(F3458="",G3458=""),"",IF(G3458&lt;='RETRATO 2027'!$K$5,"CONCLUÍDA",IF(F3458&lt;='RETRATO 2027'!$K$5,"EM ANDAMENTO","A INICIAR")))</f>
        <v/>
      </c>
    </row>
    <row r="3459">
      <c r="M3459" s="2">
        <f>IF(C3459="","",IFERROR(INDEX($S$5:$S$304,MATCH(C3459,$R$5:$R$304,0))&amp;"","?"))</f>
        <v/>
      </c>
      <c r="N3459" s="2">
        <f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>
        <f>IF(OR(F3459="",G3459=""),"",IF(G3459&lt;='RETRATO 2027'!$K$5,"CONCLUÍDA",IF(F3459&lt;='RETRATO 2027'!$K$5,"EM ANDAMENTO","A INICIAR")))</f>
        <v/>
      </c>
    </row>
    <row r="3460">
      <c r="M3460" s="2">
        <f>IF(C3460="","",IFERROR(INDEX($S$5:$S$304,MATCH(C3460,$R$5:$R$304,0))&amp;"","?"))</f>
        <v/>
      </c>
      <c r="N3460" s="2">
        <f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>
        <f>IF(OR(F3460="",G3460=""),"",IF(G3460&lt;='RETRATO 2027'!$K$5,"CONCLUÍDA",IF(F3460&lt;='RETRATO 2027'!$K$5,"EM ANDAMENTO","A INICIAR")))</f>
        <v/>
      </c>
    </row>
    <row r="3461">
      <c r="M3461" s="2">
        <f>IF(C3461="","",IFERROR(INDEX($S$5:$S$304,MATCH(C3461,$R$5:$R$304,0))&amp;"","?"))</f>
        <v/>
      </c>
      <c r="N3461" s="2">
        <f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>
        <f>IF(OR(F3461="",G3461=""),"",IF(G3461&lt;='RETRATO 2027'!$K$5,"CONCLUÍDA",IF(F3461&lt;='RETRATO 2027'!$K$5,"EM ANDAMENTO","A INICIAR")))</f>
        <v/>
      </c>
    </row>
    <row r="3462">
      <c r="M3462" s="2">
        <f>IF(C3462="","",IFERROR(INDEX($S$5:$S$304,MATCH(C3462,$R$5:$R$304,0))&amp;"","?"))</f>
        <v/>
      </c>
      <c r="N3462" s="2">
        <f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>
        <f>IF(OR(F3462="",G3462=""),"",IF(G3462&lt;='RETRATO 2027'!$K$5,"CONCLUÍDA",IF(F3462&lt;='RETRATO 2027'!$K$5,"EM ANDAMENTO","A INICIAR")))</f>
        <v/>
      </c>
    </row>
    <row r="3463">
      <c r="M3463" s="2">
        <f>IF(C3463="","",IFERROR(INDEX($S$5:$S$304,MATCH(C3463,$R$5:$R$304,0))&amp;"","?"))</f>
        <v/>
      </c>
      <c r="N3463" s="2">
        <f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>
        <f>IF(OR(F3463="",G3463=""),"",IF(G3463&lt;='RETRATO 2027'!$K$5,"CONCLUÍDA",IF(F3463&lt;='RETRATO 2027'!$K$5,"EM ANDAMENTO","A INICIAR")))</f>
        <v/>
      </c>
    </row>
    <row r="3464">
      <c r="M3464" s="2">
        <f>IF(C3464="","",IFERROR(INDEX($S$5:$S$304,MATCH(C3464,$R$5:$R$304,0))&amp;"","?"))</f>
        <v/>
      </c>
      <c r="N3464" s="2">
        <f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>
        <f>IF(OR(F3464="",G3464=""),"",IF(G3464&lt;='RETRATO 2027'!$K$5,"CONCLUÍDA",IF(F3464&lt;='RETRATO 2027'!$K$5,"EM ANDAMENTO","A INICIAR")))</f>
        <v/>
      </c>
    </row>
    <row r="3465">
      <c r="M3465" s="2">
        <f>IF(C3465="","",IFERROR(INDEX($S$5:$S$304,MATCH(C3465,$R$5:$R$304,0))&amp;"","?"))</f>
        <v/>
      </c>
      <c r="N3465" s="2">
        <f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>
        <f>IF(OR(F3465="",G3465=""),"",IF(G3465&lt;='RETRATO 2027'!$K$5,"CONCLUÍDA",IF(F3465&lt;='RETRATO 2027'!$K$5,"EM ANDAMENTO","A INICIAR")))</f>
        <v/>
      </c>
    </row>
    <row r="3466">
      <c r="M3466" s="2">
        <f>IF(C3466="","",IFERROR(INDEX($S$5:$S$304,MATCH(C3466,$R$5:$R$304,0))&amp;"","?"))</f>
        <v/>
      </c>
      <c r="N3466" s="2">
        <f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>
        <f>IF(OR(F3466="",G3466=""),"",IF(G3466&lt;='RETRATO 2027'!$K$5,"CONCLUÍDA",IF(F3466&lt;='RETRATO 2027'!$K$5,"EM ANDAMENTO","A INICIAR")))</f>
        <v/>
      </c>
    </row>
    <row r="3467">
      <c r="M3467" s="2">
        <f>IF(C3467="","",IFERROR(INDEX($S$5:$S$304,MATCH(C3467,$R$5:$R$304,0))&amp;"","?"))</f>
        <v/>
      </c>
      <c r="N3467" s="2">
        <f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>
        <f>IF(OR(F3467="",G3467=""),"",IF(G3467&lt;='RETRATO 2027'!$K$5,"CONCLUÍDA",IF(F3467&lt;='RETRATO 2027'!$K$5,"EM ANDAMENTO","A INICIAR")))</f>
        <v/>
      </c>
    </row>
    <row r="3468">
      <c r="M3468" s="2">
        <f>IF(C3468="","",IFERROR(INDEX($S$5:$S$304,MATCH(C3468,$R$5:$R$304,0))&amp;"","?"))</f>
        <v/>
      </c>
      <c r="N3468" s="2">
        <f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>
        <f>IF(OR(F3468="",G3468=""),"",IF(G3468&lt;='RETRATO 2027'!$K$5,"CONCLUÍDA",IF(F3468&lt;='RETRATO 2027'!$K$5,"EM ANDAMENTO","A INICIAR")))</f>
        <v/>
      </c>
    </row>
    <row r="3469">
      <c r="M3469" s="2">
        <f>IF(C3469="","",IFERROR(INDEX($S$5:$S$304,MATCH(C3469,$R$5:$R$304,0))&amp;"","?"))</f>
        <v/>
      </c>
      <c r="N3469" s="2">
        <f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>
        <f>IF(OR(F3469="",G3469=""),"",IF(G3469&lt;='RETRATO 2027'!$K$5,"CONCLUÍDA",IF(F3469&lt;='RETRATO 2027'!$K$5,"EM ANDAMENTO","A INICIAR")))</f>
        <v/>
      </c>
    </row>
    <row r="3470">
      <c r="M3470" s="2">
        <f>IF(C3470="","",IFERROR(INDEX($S$5:$S$304,MATCH(C3470,$R$5:$R$304,0))&amp;"","?"))</f>
        <v/>
      </c>
      <c r="N3470" s="2">
        <f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>
        <f>IF(OR(F3470="",G3470=""),"",IF(G3470&lt;='RETRATO 2027'!$K$5,"CONCLUÍDA",IF(F3470&lt;='RETRATO 2027'!$K$5,"EM ANDAMENTO","A INICIAR")))</f>
        <v/>
      </c>
    </row>
    <row r="3471">
      <c r="M3471" s="2">
        <f>IF(C3471="","",IFERROR(INDEX($S$5:$S$304,MATCH(C3471,$R$5:$R$304,0))&amp;"","?"))</f>
        <v/>
      </c>
      <c r="N3471" s="2">
        <f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>
        <f>IF(OR(F3471="",G3471=""),"",IF(G3471&lt;='RETRATO 2027'!$K$5,"CONCLUÍDA",IF(F3471&lt;='RETRATO 2027'!$K$5,"EM ANDAMENTO","A INICIAR")))</f>
        <v/>
      </c>
    </row>
    <row r="3472">
      <c r="M3472" s="2">
        <f>IF(C3472="","",IFERROR(INDEX($S$5:$S$304,MATCH(C3472,$R$5:$R$304,0))&amp;"","?"))</f>
        <v/>
      </c>
      <c r="N3472" s="2">
        <f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>
        <f>IF(OR(F3472="",G3472=""),"",IF(G3472&lt;='RETRATO 2027'!$K$5,"CONCLUÍDA",IF(F3472&lt;='RETRATO 2027'!$K$5,"EM ANDAMENTO","A INICIAR")))</f>
        <v/>
      </c>
    </row>
    <row r="3473">
      <c r="M3473" s="2">
        <f>IF(C3473="","",IFERROR(INDEX($S$5:$S$304,MATCH(C3473,$R$5:$R$304,0))&amp;"","?"))</f>
        <v/>
      </c>
      <c r="N3473" s="2">
        <f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>
        <f>IF(OR(F3473="",G3473=""),"",IF(G3473&lt;='RETRATO 2027'!$K$5,"CONCLUÍDA",IF(F3473&lt;='RETRATO 2027'!$K$5,"EM ANDAMENTO","A INICIAR")))</f>
        <v/>
      </c>
    </row>
    <row r="3474">
      <c r="M3474" s="2">
        <f>IF(C3474="","",IFERROR(INDEX($S$5:$S$304,MATCH(C3474,$R$5:$R$304,0))&amp;"","?"))</f>
        <v/>
      </c>
      <c r="N3474" s="2">
        <f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>
        <f>IF(OR(F3474="",G3474=""),"",IF(G3474&lt;='RETRATO 2027'!$K$5,"CONCLUÍDA",IF(F3474&lt;='RETRATO 2027'!$K$5,"EM ANDAMENTO","A INICIAR")))</f>
        <v/>
      </c>
    </row>
    <row r="3475">
      <c r="M3475" s="2">
        <f>IF(C3475="","",IFERROR(INDEX($S$5:$S$304,MATCH(C3475,$R$5:$R$304,0))&amp;"","?"))</f>
        <v/>
      </c>
      <c r="N3475" s="2">
        <f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>
        <f>IF(OR(F3475="",G3475=""),"",IF(G3475&lt;='RETRATO 2027'!$K$5,"CONCLUÍDA",IF(F3475&lt;='RETRATO 2027'!$K$5,"EM ANDAMENTO","A INICIAR")))</f>
        <v/>
      </c>
    </row>
    <row r="3476">
      <c r="M3476" s="2">
        <f>IF(C3476="","",IFERROR(INDEX($S$5:$S$304,MATCH(C3476,$R$5:$R$304,0))&amp;"","?"))</f>
        <v/>
      </c>
      <c r="N3476" s="2">
        <f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>
        <f>IF(OR(F3476="",G3476=""),"",IF(G3476&lt;='RETRATO 2027'!$K$5,"CONCLUÍDA",IF(F3476&lt;='RETRATO 2027'!$K$5,"EM ANDAMENTO","A INICIAR")))</f>
        <v/>
      </c>
    </row>
    <row r="3477">
      <c r="M3477" s="2">
        <f>IF(C3477="","",IFERROR(INDEX($S$5:$S$304,MATCH(C3477,$R$5:$R$304,0))&amp;"","?"))</f>
        <v/>
      </c>
      <c r="N3477" s="2">
        <f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>
        <f>IF(OR(F3477="",G3477=""),"",IF(G3477&lt;='RETRATO 2027'!$K$5,"CONCLUÍDA",IF(F3477&lt;='RETRATO 2027'!$K$5,"EM ANDAMENTO","A INICIAR")))</f>
        <v/>
      </c>
    </row>
    <row r="3478">
      <c r="M3478" s="2">
        <f>IF(C3478="","",IFERROR(INDEX($S$5:$S$304,MATCH(C3478,$R$5:$R$304,0))&amp;"","?"))</f>
        <v/>
      </c>
      <c r="N3478" s="2">
        <f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>
        <f>IF(OR(F3478="",G3478=""),"",IF(G3478&lt;='RETRATO 2027'!$K$5,"CONCLUÍDA",IF(F3478&lt;='RETRATO 2027'!$K$5,"EM ANDAMENTO","A INICIAR")))</f>
        <v/>
      </c>
    </row>
    <row r="3479">
      <c r="M3479" s="2">
        <f>IF(C3479="","",IFERROR(INDEX($S$5:$S$304,MATCH(C3479,$R$5:$R$304,0))&amp;"","?"))</f>
        <v/>
      </c>
      <c r="N3479" s="2">
        <f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>
        <f>IF(OR(F3479="",G3479=""),"",IF(G3479&lt;='RETRATO 2027'!$K$5,"CONCLUÍDA",IF(F3479&lt;='RETRATO 2027'!$K$5,"EM ANDAMENTO","A INICIAR")))</f>
        <v/>
      </c>
    </row>
    <row r="3480">
      <c r="M3480" s="2">
        <f>IF(C3480="","",IFERROR(INDEX($S$5:$S$304,MATCH(C3480,$R$5:$R$304,0))&amp;"","?"))</f>
        <v/>
      </c>
      <c r="N3480" s="2">
        <f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>
        <f>IF(OR(F3480="",G3480=""),"",IF(G3480&lt;='RETRATO 2027'!$K$5,"CONCLUÍDA",IF(F3480&lt;='RETRATO 2027'!$K$5,"EM ANDAMENTO","A INICIAR")))</f>
        <v/>
      </c>
    </row>
    <row r="3481">
      <c r="M3481" s="2">
        <f>IF(C3481="","",IFERROR(INDEX($S$5:$S$304,MATCH(C3481,$R$5:$R$304,0))&amp;"","?"))</f>
        <v/>
      </c>
      <c r="N3481" s="2">
        <f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>
        <f>IF(OR(F3481="",G3481=""),"",IF(G3481&lt;='RETRATO 2027'!$K$5,"CONCLUÍDA",IF(F3481&lt;='RETRATO 2027'!$K$5,"EM ANDAMENTO","A INICIAR")))</f>
        <v/>
      </c>
    </row>
    <row r="3482">
      <c r="M3482" s="2">
        <f>IF(C3482="","",IFERROR(INDEX($S$5:$S$304,MATCH(C3482,$R$5:$R$304,0))&amp;"","?"))</f>
        <v/>
      </c>
      <c r="N3482" s="2">
        <f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>
        <f>IF(OR(F3482="",G3482=""),"",IF(G3482&lt;='RETRATO 2027'!$K$5,"CONCLUÍDA",IF(F3482&lt;='RETRATO 2027'!$K$5,"EM ANDAMENTO","A INICIAR")))</f>
        <v/>
      </c>
    </row>
    <row r="3483">
      <c r="M3483" s="2">
        <f>IF(C3483="","",IFERROR(INDEX($S$5:$S$304,MATCH(C3483,$R$5:$R$304,0))&amp;"","?"))</f>
        <v/>
      </c>
      <c r="N3483" s="2">
        <f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>
        <f>IF(OR(F3483="",G3483=""),"",IF(G3483&lt;='RETRATO 2027'!$K$5,"CONCLUÍDA",IF(F3483&lt;='RETRATO 2027'!$K$5,"EM ANDAMENTO","A INICIAR")))</f>
        <v/>
      </c>
    </row>
    <row r="3484">
      <c r="M3484" s="2">
        <f>IF(C3484="","",IFERROR(INDEX($S$5:$S$304,MATCH(C3484,$R$5:$R$304,0))&amp;"","?"))</f>
        <v/>
      </c>
      <c r="N3484" s="2">
        <f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>
        <f>IF(OR(F3484="",G3484=""),"",IF(G3484&lt;='RETRATO 2027'!$K$5,"CONCLUÍDA",IF(F3484&lt;='RETRATO 2027'!$K$5,"EM ANDAMENTO","A INICIAR")))</f>
        <v/>
      </c>
    </row>
    <row r="3485">
      <c r="M3485" s="2">
        <f>IF(C3485="","",IFERROR(INDEX($S$5:$S$304,MATCH(C3485,$R$5:$R$304,0))&amp;"","?"))</f>
        <v/>
      </c>
      <c r="N3485" s="2">
        <f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>
        <f>IF(OR(F3485="",G3485=""),"",IF(G3485&lt;='RETRATO 2027'!$K$5,"CONCLUÍDA",IF(F3485&lt;='RETRATO 2027'!$K$5,"EM ANDAMENTO","A INICIAR")))</f>
        <v/>
      </c>
    </row>
    <row r="3486">
      <c r="M3486" s="2">
        <f>IF(C3486="","",IFERROR(INDEX($S$5:$S$304,MATCH(C3486,$R$5:$R$304,0))&amp;"","?"))</f>
        <v/>
      </c>
      <c r="N3486" s="2">
        <f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>
        <f>IF(OR(F3486="",G3486=""),"",IF(G3486&lt;='RETRATO 2027'!$K$5,"CONCLUÍDA",IF(F3486&lt;='RETRATO 2027'!$K$5,"EM ANDAMENTO","A INICIAR")))</f>
        <v/>
      </c>
    </row>
    <row r="3487">
      <c r="M3487" s="2">
        <f>IF(C3487="","",IFERROR(INDEX($S$5:$S$304,MATCH(C3487,$R$5:$R$304,0))&amp;"","?"))</f>
        <v/>
      </c>
      <c r="N3487" s="2">
        <f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>
        <f>IF(OR(F3487="",G3487=""),"",IF(G3487&lt;='RETRATO 2027'!$K$5,"CONCLUÍDA",IF(F3487&lt;='RETRATO 2027'!$K$5,"EM ANDAMENTO","A INICIAR")))</f>
        <v/>
      </c>
    </row>
    <row r="3488">
      <c r="M3488" s="2">
        <f>IF(C3488="","",IFERROR(INDEX($S$5:$S$304,MATCH(C3488,$R$5:$R$304,0))&amp;"","?"))</f>
        <v/>
      </c>
      <c r="N3488" s="2">
        <f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>
        <f>IF(OR(F3488="",G3488=""),"",IF(G3488&lt;='RETRATO 2027'!$K$5,"CONCLUÍDA",IF(F3488&lt;='RETRATO 2027'!$K$5,"EM ANDAMENTO","A INICIAR")))</f>
        <v/>
      </c>
    </row>
    <row r="3489">
      <c r="M3489" s="2">
        <f>IF(C3489="","",IFERROR(INDEX($S$5:$S$304,MATCH(C3489,$R$5:$R$304,0))&amp;"","?"))</f>
        <v/>
      </c>
      <c r="N3489" s="2">
        <f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>
        <f>IF(OR(F3489="",G3489=""),"",IF(G3489&lt;='RETRATO 2027'!$K$5,"CONCLUÍDA",IF(F3489&lt;='RETRATO 2027'!$K$5,"EM ANDAMENTO","A INICIAR")))</f>
        <v/>
      </c>
    </row>
    <row r="3490">
      <c r="M3490" s="2">
        <f>IF(C3490="","",IFERROR(INDEX($S$5:$S$304,MATCH(C3490,$R$5:$R$304,0))&amp;"","?"))</f>
        <v/>
      </c>
      <c r="N3490" s="2">
        <f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>
        <f>IF(OR(F3490="",G3490=""),"",IF(G3490&lt;='RETRATO 2027'!$K$5,"CONCLUÍDA",IF(F3490&lt;='RETRATO 2027'!$K$5,"EM ANDAMENTO","A INICIAR")))</f>
        <v/>
      </c>
    </row>
    <row r="3491">
      <c r="M3491" s="2">
        <f>IF(C3491="","",IFERROR(INDEX($S$5:$S$304,MATCH(C3491,$R$5:$R$304,0))&amp;"","?"))</f>
        <v/>
      </c>
      <c r="N3491" s="2">
        <f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>
        <f>IF(OR(F3491="",G3491=""),"",IF(G3491&lt;='RETRATO 2027'!$K$5,"CONCLUÍDA",IF(F3491&lt;='RETRATO 2027'!$K$5,"EM ANDAMENTO","A INICIAR")))</f>
        <v/>
      </c>
    </row>
    <row r="3492">
      <c r="M3492" s="2">
        <f>IF(C3492="","",IFERROR(INDEX($S$5:$S$304,MATCH(C3492,$R$5:$R$304,0))&amp;"","?"))</f>
        <v/>
      </c>
      <c r="N3492" s="2">
        <f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>
        <f>IF(OR(F3492="",G3492=""),"",IF(G3492&lt;='RETRATO 2027'!$K$5,"CONCLUÍDA",IF(F3492&lt;='RETRATO 2027'!$K$5,"EM ANDAMENTO","A INICIAR")))</f>
        <v/>
      </c>
    </row>
    <row r="3493">
      <c r="M3493" s="2">
        <f>IF(C3493="","",IFERROR(INDEX($S$5:$S$304,MATCH(C3493,$R$5:$R$304,0))&amp;"","?"))</f>
        <v/>
      </c>
      <c r="N3493" s="2">
        <f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>
        <f>IF(OR(F3493="",G3493=""),"",IF(G3493&lt;='RETRATO 2027'!$K$5,"CONCLUÍDA",IF(F3493&lt;='RETRATO 2027'!$K$5,"EM ANDAMENTO","A INICIAR")))</f>
        <v/>
      </c>
    </row>
    <row r="3494">
      <c r="M3494" s="2">
        <f>IF(C3494="","",IFERROR(INDEX($S$5:$S$304,MATCH(C3494,$R$5:$R$304,0))&amp;"","?"))</f>
        <v/>
      </c>
      <c r="N3494" s="2">
        <f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>
        <f>IF(OR(F3494="",G3494=""),"",IF(G3494&lt;='RETRATO 2027'!$K$5,"CONCLUÍDA",IF(F3494&lt;='RETRATO 2027'!$K$5,"EM ANDAMENTO","A INICIAR")))</f>
        <v/>
      </c>
    </row>
    <row r="3495">
      <c r="M3495" s="2">
        <f>IF(C3495="","",IFERROR(INDEX($S$5:$S$304,MATCH(C3495,$R$5:$R$304,0))&amp;"","?"))</f>
        <v/>
      </c>
      <c r="N3495" s="2">
        <f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>
        <f>IF(OR(F3495="",G3495=""),"",IF(G3495&lt;='RETRATO 2027'!$K$5,"CONCLUÍDA",IF(F3495&lt;='RETRATO 2027'!$K$5,"EM ANDAMENTO","A INICIAR")))</f>
        <v/>
      </c>
    </row>
    <row r="3496">
      <c r="M3496" s="2">
        <f>IF(C3496="","",IFERROR(INDEX($S$5:$S$304,MATCH(C3496,$R$5:$R$304,0))&amp;"","?"))</f>
        <v/>
      </c>
      <c r="N3496" s="2">
        <f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>
        <f>IF(OR(F3496="",G3496=""),"",IF(G3496&lt;='RETRATO 2027'!$K$5,"CONCLUÍDA",IF(F3496&lt;='RETRATO 2027'!$K$5,"EM ANDAMENTO","A INICIAR")))</f>
        <v/>
      </c>
    </row>
    <row r="3497">
      <c r="M3497" s="2">
        <f>IF(C3497="","",IFERROR(INDEX($S$5:$S$304,MATCH(C3497,$R$5:$R$304,0))&amp;"","?"))</f>
        <v/>
      </c>
      <c r="N3497" s="2">
        <f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>
        <f>IF(OR(F3497="",G3497=""),"",IF(G3497&lt;='RETRATO 2027'!$K$5,"CONCLUÍDA",IF(F3497&lt;='RETRATO 2027'!$K$5,"EM ANDAMENTO","A INICIAR")))</f>
        <v/>
      </c>
    </row>
    <row r="3498">
      <c r="M3498" s="2">
        <f>IF(C3498="","",IFERROR(INDEX($S$5:$S$304,MATCH(C3498,$R$5:$R$304,0))&amp;"","?"))</f>
        <v/>
      </c>
      <c r="N3498" s="2">
        <f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>
        <f>IF(OR(F3498="",G3498=""),"",IF(G3498&lt;='RETRATO 2027'!$K$5,"CONCLUÍDA",IF(F3498&lt;='RETRATO 2027'!$K$5,"EM ANDAMENTO","A INICIAR")))</f>
        <v/>
      </c>
    </row>
    <row r="3499">
      <c r="M3499" s="2">
        <f>IF(C3499="","",IFERROR(INDEX($S$5:$S$304,MATCH(C3499,$R$5:$R$304,0))&amp;"","?"))</f>
        <v/>
      </c>
      <c r="N3499" s="2">
        <f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>
        <f>IF(OR(F3499="",G3499=""),"",IF(G3499&lt;='RETRATO 2027'!$K$5,"CONCLUÍDA",IF(F3499&lt;='RETRATO 2027'!$K$5,"EM ANDAMENTO","A INICIAR")))</f>
        <v/>
      </c>
    </row>
    <row r="3500">
      <c r="M3500" s="2">
        <f>IF(C3500="","",IFERROR(INDEX($S$5:$S$304,MATCH(C3500,$R$5:$R$304,0))&amp;"","?"))</f>
        <v/>
      </c>
      <c r="N3500" s="2">
        <f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>
        <f>IF(OR(F3500="",G3500=""),"",IF(G3500&lt;='RETRATO 2027'!$K$5,"CONCLUÍDA",IF(F3500&lt;='RETRATO 2027'!$K$5,"EM ANDAMENTO","A INICIAR")))</f>
        <v/>
      </c>
    </row>
    <row r="3501">
      <c r="M3501" s="2">
        <f>IF(C3501="","",IFERROR(INDEX($S$5:$S$304,MATCH(C3501,$R$5:$R$304,0))&amp;"","?"))</f>
        <v/>
      </c>
      <c r="N3501" s="2">
        <f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>
        <f>IF(OR(F3501="",G3501=""),"",IF(G3501&lt;='RETRATO 2027'!$K$5,"CONCLUÍDA",IF(F3501&lt;='RETRATO 2027'!$K$5,"EM ANDAMENTO","A INICIAR")))</f>
        <v/>
      </c>
    </row>
    <row r="3502">
      <c r="M3502" s="2">
        <f>IF(C3502="","",IFERROR(INDEX($S$5:$S$304,MATCH(C3502,$R$5:$R$304,0))&amp;"","?"))</f>
        <v/>
      </c>
      <c r="N3502" s="2">
        <f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>
        <f>IF(OR(F3502="",G3502=""),"",IF(G3502&lt;='RETRATO 2027'!$K$5,"CONCLUÍDA",IF(F3502&lt;='RETRATO 2027'!$K$5,"EM ANDAMENTO","A INICIAR")))</f>
        <v/>
      </c>
    </row>
    <row r="3503">
      <c r="M3503" s="2">
        <f>IF(C3503="","",IFERROR(INDEX($S$5:$S$304,MATCH(C3503,$R$5:$R$304,0))&amp;"","?"))</f>
        <v/>
      </c>
      <c r="N3503" s="2">
        <f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>
        <f>IF(OR(F3503="",G3503=""),"",IF(G3503&lt;='RETRATO 2027'!$K$5,"CONCLUÍDA",IF(F3503&lt;='RETRATO 2027'!$K$5,"EM ANDAMENTO","A INICIAR")))</f>
        <v/>
      </c>
    </row>
    <row r="3504">
      <c r="M3504" s="2">
        <f>IF(C3504="","",IFERROR(INDEX($S$5:$S$304,MATCH(C3504,$R$5:$R$304,0))&amp;"","?"))</f>
        <v/>
      </c>
      <c r="N3504" s="2">
        <f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>
        <f>IF(OR(F3504="",G3504=""),"",IF(G3504&lt;='RETRATO 2027'!$K$5,"CONCLUÍDA",IF(F3504&lt;='RETRATO 2027'!$K$5,"EM ANDAMENTO","A INICIAR")))</f>
        <v/>
      </c>
    </row>
    <row r="3505">
      <c r="M3505" s="2">
        <f>IF(C3505="","",IFERROR(INDEX($S$5:$S$304,MATCH(C3505,$R$5:$R$304,0))&amp;"","?"))</f>
        <v/>
      </c>
      <c r="N3505" s="2">
        <f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>
        <f>IF(OR(F3505="",G3505=""),"",IF(G3505&lt;='RETRATO 2027'!$K$5,"CONCLUÍDA",IF(F3505&lt;='RETRATO 2027'!$K$5,"EM ANDAMENTO","A INICIAR")))</f>
        <v/>
      </c>
    </row>
    <row r="3506">
      <c r="M3506" s="2">
        <f>IF(C3506="","",IFERROR(INDEX($S$5:$S$304,MATCH(C3506,$R$5:$R$304,0))&amp;"","?"))</f>
        <v/>
      </c>
      <c r="N3506" s="2">
        <f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>
        <f>IF(OR(F3506="",G3506=""),"",IF(G3506&lt;='RETRATO 2027'!$K$5,"CONCLUÍDA",IF(F3506&lt;='RETRATO 2027'!$K$5,"EM ANDAMENTO","A INICIAR")))</f>
        <v/>
      </c>
    </row>
    <row r="3507">
      <c r="M3507" s="2">
        <f>IF(C3507="","",IFERROR(INDEX($S$5:$S$304,MATCH(C3507,$R$5:$R$304,0))&amp;"","?"))</f>
        <v/>
      </c>
      <c r="N3507" s="2">
        <f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>
        <f>IF(OR(F3507="",G3507=""),"",IF(G3507&lt;='RETRATO 2027'!$K$5,"CONCLUÍDA",IF(F3507&lt;='RETRATO 2027'!$K$5,"EM ANDAMENTO","A INICIAR")))</f>
        <v/>
      </c>
    </row>
    <row r="3508">
      <c r="M3508" s="2">
        <f>IF(C3508="","",IFERROR(INDEX($S$5:$S$304,MATCH(C3508,$R$5:$R$304,0))&amp;"","?"))</f>
        <v/>
      </c>
      <c r="N3508" s="2">
        <f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>
        <f>IF(OR(F3508="",G3508=""),"",IF(G3508&lt;='RETRATO 2027'!$K$5,"CONCLUÍDA",IF(F3508&lt;='RETRATO 2027'!$K$5,"EM ANDAMENTO","A INICIAR")))</f>
        <v/>
      </c>
    </row>
    <row r="3509">
      <c r="M3509" s="2">
        <f>IF(C3509="","",IFERROR(INDEX($S$5:$S$304,MATCH(C3509,$R$5:$R$304,0))&amp;"","?"))</f>
        <v/>
      </c>
      <c r="N3509" s="2">
        <f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>
        <f>IF(OR(F3509="",G3509=""),"",IF(G3509&lt;='RETRATO 2027'!$K$5,"CONCLUÍDA",IF(F3509&lt;='RETRATO 2027'!$K$5,"EM ANDAMENTO","A INICIAR")))</f>
        <v/>
      </c>
    </row>
    <row r="3510">
      <c r="M3510" s="2">
        <f>IF(C3510="","",IFERROR(INDEX($S$5:$S$304,MATCH(C3510,$R$5:$R$304,0))&amp;"","?"))</f>
        <v/>
      </c>
      <c r="N3510" s="2">
        <f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>
        <f>IF(OR(F3510="",G3510=""),"",IF(G3510&lt;='RETRATO 2027'!$K$5,"CONCLUÍDA",IF(F3510&lt;='RETRATO 2027'!$K$5,"EM ANDAMENTO","A INICIAR")))</f>
        <v/>
      </c>
    </row>
    <row r="3511">
      <c r="M3511" s="2">
        <f>IF(C3511="","",IFERROR(INDEX($S$5:$S$304,MATCH(C3511,$R$5:$R$304,0))&amp;"","?"))</f>
        <v/>
      </c>
      <c r="N3511" s="2">
        <f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>
        <f>IF(OR(F3511="",G3511=""),"",IF(G3511&lt;='RETRATO 2027'!$K$5,"CONCLUÍDA",IF(F3511&lt;='RETRATO 2027'!$K$5,"EM ANDAMENTO","A INICIAR")))</f>
        <v/>
      </c>
    </row>
    <row r="3512">
      <c r="M3512" s="2">
        <f>IF(C3512="","",IFERROR(INDEX($S$5:$S$304,MATCH(C3512,$R$5:$R$304,0))&amp;"","?"))</f>
        <v/>
      </c>
      <c r="N3512" s="2">
        <f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>
        <f>IF(OR(F3512="",G3512=""),"",IF(G3512&lt;='RETRATO 2027'!$K$5,"CONCLUÍDA",IF(F3512&lt;='RETRATO 2027'!$K$5,"EM ANDAMENTO","A INICIAR")))</f>
        <v/>
      </c>
    </row>
    <row r="3513">
      <c r="M3513" s="2">
        <f>IF(C3513="","",IFERROR(INDEX($S$5:$S$304,MATCH(C3513,$R$5:$R$304,0))&amp;"","?"))</f>
        <v/>
      </c>
      <c r="N3513" s="2">
        <f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>
        <f>IF(OR(F3513="",G3513=""),"",IF(G3513&lt;='RETRATO 2027'!$K$5,"CONCLUÍDA",IF(F3513&lt;='RETRATO 2027'!$K$5,"EM ANDAMENTO","A INICIAR")))</f>
        <v/>
      </c>
    </row>
    <row r="3514">
      <c r="M3514" s="2">
        <f>IF(C3514="","",IFERROR(INDEX($S$5:$S$304,MATCH(C3514,$R$5:$R$304,0))&amp;"","?"))</f>
        <v/>
      </c>
      <c r="N3514" s="2">
        <f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>
        <f>IF(OR(F3514="",G3514=""),"",IF(G3514&lt;='RETRATO 2027'!$K$5,"CONCLUÍDA",IF(F3514&lt;='RETRATO 2027'!$K$5,"EM ANDAMENTO","A INICIAR")))</f>
        <v/>
      </c>
    </row>
    <row r="3515">
      <c r="M3515" s="2">
        <f>IF(C3515="","",IFERROR(INDEX($S$5:$S$304,MATCH(C3515,$R$5:$R$304,0))&amp;"","?"))</f>
        <v/>
      </c>
      <c r="N3515" s="2">
        <f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>
        <f>IF(OR(F3515="",G3515=""),"",IF(G3515&lt;='RETRATO 2027'!$K$5,"CONCLUÍDA",IF(F3515&lt;='RETRATO 2027'!$K$5,"EM ANDAMENTO","A INICIAR")))</f>
        <v/>
      </c>
    </row>
    <row r="3516">
      <c r="M3516" s="2">
        <f>IF(C3516="","",IFERROR(INDEX($S$5:$S$304,MATCH(C3516,$R$5:$R$304,0))&amp;"","?"))</f>
        <v/>
      </c>
      <c r="N3516" s="2">
        <f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>
        <f>IF(OR(F3516="",G3516=""),"",IF(G3516&lt;='RETRATO 2027'!$K$5,"CONCLUÍDA",IF(F3516&lt;='RETRATO 2027'!$K$5,"EM ANDAMENTO","A INICIAR")))</f>
        <v/>
      </c>
    </row>
    <row r="3517">
      <c r="M3517" s="2">
        <f>IF(C3517="","",IFERROR(INDEX($S$5:$S$304,MATCH(C3517,$R$5:$R$304,0))&amp;"","?"))</f>
        <v/>
      </c>
      <c r="N3517" s="2">
        <f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>
        <f>IF(OR(F3517="",G3517=""),"",IF(G3517&lt;='RETRATO 2027'!$K$5,"CONCLUÍDA",IF(F3517&lt;='RETRATO 2027'!$K$5,"EM ANDAMENTO","A INICIAR")))</f>
        <v/>
      </c>
    </row>
    <row r="3518">
      <c r="M3518" s="2">
        <f>IF(C3518="","",IFERROR(INDEX($S$5:$S$304,MATCH(C3518,$R$5:$R$304,0))&amp;"","?"))</f>
        <v/>
      </c>
      <c r="N3518" s="2">
        <f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>
        <f>IF(OR(F3518="",G3518=""),"",IF(G3518&lt;='RETRATO 2027'!$K$5,"CONCLUÍDA",IF(F3518&lt;='RETRATO 2027'!$K$5,"EM ANDAMENTO","A INICIAR")))</f>
        <v/>
      </c>
    </row>
    <row r="3519">
      <c r="M3519" s="2">
        <f>IF(C3519="","",IFERROR(INDEX($S$5:$S$304,MATCH(C3519,$R$5:$R$304,0))&amp;"","?"))</f>
        <v/>
      </c>
      <c r="N3519" s="2">
        <f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>
        <f>IF(OR(F3519="",G3519=""),"",IF(G3519&lt;='RETRATO 2027'!$K$5,"CONCLUÍDA",IF(F3519&lt;='RETRATO 2027'!$K$5,"EM ANDAMENTO","A INICIAR")))</f>
        <v/>
      </c>
    </row>
    <row r="3520">
      <c r="M3520" s="2">
        <f>IF(C3520="","",IFERROR(INDEX($S$5:$S$304,MATCH(C3520,$R$5:$R$304,0))&amp;"","?"))</f>
        <v/>
      </c>
      <c r="N3520" s="2">
        <f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>
        <f>IF(OR(F3520="",G3520=""),"",IF(G3520&lt;='RETRATO 2027'!$K$5,"CONCLUÍDA",IF(F3520&lt;='RETRATO 2027'!$K$5,"EM ANDAMENTO","A INICIAR")))</f>
        <v/>
      </c>
    </row>
    <row r="3521">
      <c r="M3521" s="2">
        <f>IF(C3521="","",IFERROR(INDEX($S$5:$S$304,MATCH(C3521,$R$5:$R$304,0))&amp;"","?"))</f>
        <v/>
      </c>
      <c r="N3521" s="2">
        <f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>
        <f>IF(OR(F3521="",G3521=""),"",IF(G3521&lt;='RETRATO 2027'!$K$5,"CONCLUÍDA",IF(F3521&lt;='RETRATO 2027'!$K$5,"EM ANDAMENTO","A INICIAR")))</f>
        <v/>
      </c>
    </row>
    <row r="3522">
      <c r="M3522" s="2">
        <f>IF(C3522="","",IFERROR(INDEX($S$5:$S$304,MATCH(C3522,$R$5:$R$304,0))&amp;"","?"))</f>
        <v/>
      </c>
      <c r="N3522" s="2">
        <f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>
        <f>IF(OR(F3522="",G3522=""),"",IF(G3522&lt;='RETRATO 2027'!$K$5,"CONCLUÍDA",IF(F3522&lt;='RETRATO 2027'!$K$5,"EM ANDAMENTO","A INICIAR")))</f>
        <v/>
      </c>
    </row>
    <row r="3523">
      <c r="M3523" s="2">
        <f>IF(C3523="","",IFERROR(INDEX($S$5:$S$304,MATCH(C3523,$R$5:$R$304,0))&amp;"","?"))</f>
        <v/>
      </c>
      <c r="N3523" s="2">
        <f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>
        <f>IF(OR(F3523="",G3523=""),"",IF(G3523&lt;='RETRATO 2027'!$K$5,"CONCLUÍDA",IF(F3523&lt;='RETRATO 2027'!$K$5,"EM ANDAMENTO","A INICIAR")))</f>
        <v/>
      </c>
    </row>
    <row r="3524">
      <c r="M3524" s="2">
        <f>IF(C3524="","",IFERROR(INDEX($S$5:$S$304,MATCH(C3524,$R$5:$R$304,0))&amp;"","?"))</f>
        <v/>
      </c>
      <c r="N3524" s="2">
        <f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>
        <f>IF(OR(F3524="",G3524=""),"",IF(G3524&lt;='RETRATO 2027'!$K$5,"CONCLUÍDA",IF(F3524&lt;='RETRATO 2027'!$K$5,"EM ANDAMENTO","A INICIAR")))</f>
        <v/>
      </c>
    </row>
    <row r="3525">
      <c r="M3525" s="2">
        <f>IF(C3525="","",IFERROR(INDEX($S$5:$S$304,MATCH(C3525,$R$5:$R$304,0))&amp;"","?"))</f>
        <v/>
      </c>
      <c r="N3525" s="2">
        <f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>
        <f>IF(OR(F3525="",G3525=""),"",IF(G3525&lt;='RETRATO 2027'!$K$5,"CONCLUÍDA",IF(F3525&lt;='RETRATO 2027'!$K$5,"EM ANDAMENTO","A INICIAR")))</f>
        <v/>
      </c>
    </row>
    <row r="3526">
      <c r="M3526" s="2">
        <f>IF(C3526="","",IFERROR(INDEX($S$5:$S$304,MATCH(C3526,$R$5:$R$304,0))&amp;"","?"))</f>
        <v/>
      </c>
      <c r="N3526" s="2">
        <f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>
        <f>IF(OR(F3526="",G3526=""),"",IF(G3526&lt;='RETRATO 2027'!$K$5,"CONCLUÍDA",IF(F3526&lt;='RETRATO 2027'!$K$5,"EM ANDAMENTO","A INICIAR")))</f>
        <v/>
      </c>
    </row>
    <row r="3527">
      <c r="M3527" s="2">
        <f>IF(C3527="","",IFERROR(INDEX($S$5:$S$304,MATCH(C3527,$R$5:$R$304,0))&amp;"","?"))</f>
        <v/>
      </c>
      <c r="N3527" s="2">
        <f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>
        <f>IF(OR(F3527="",G3527=""),"",IF(G3527&lt;='RETRATO 2027'!$K$5,"CONCLUÍDA",IF(F3527&lt;='RETRATO 2027'!$K$5,"EM ANDAMENTO","A INICIAR")))</f>
        <v/>
      </c>
    </row>
    <row r="3528">
      <c r="M3528" s="2">
        <f>IF(C3528="","",IFERROR(INDEX($S$5:$S$304,MATCH(C3528,$R$5:$R$304,0))&amp;"","?"))</f>
        <v/>
      </c>
      <c r="N3528" s="2">
        <f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>
        <f>IF(OR(F3528="",G3528=""),"",IF(G3528&lt;='RETRATO 2027'!$K$5,"CONCLUÍDA",IF(F3528&lt;='RETRATO 2027'!$K$5,"EM ANDAMENTO","A INICIAR")))</f>
        <v/>
      </c>
    </row>
    <row r="3529">
      <c r="M3529" s="2">
        <f>IF(C3529="","",IFERROR(INDEX($S$5:$S$304,MATCH(C3529,$R$5:$R$304,0))&amp;"","?"))</f>
        <v/>
      </c>
      <c r="N3529" s="2">
        <f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>
        <f>IF(OR(F3529="",G3529=""),"",IF(G3529&lt;='RETRATO 2027'!$K$5,"CONCLUÍDA",IF(F3529&lt;='RETRATO 2027'!$K$5,"EM ANDAMENTO","A INICIAR")))</f>
        <v/>
      </c>
    </row>
    <row r="3530">
      <c r="M3530" s="2">
        <f>IF(C3530="","",IFERROR(INDEX($S$5:$S$304,MATCH(C3530,$R$5:$R$304,0))&amp;"","?"))</f>
        <v/>
      </c>
      <c r="N3530" s="2">
        <f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>
        <f>IF(OR(F3530="",G3530=""),"",IF(G3530&lt;='RETRATO 2027'!$K$5,"CONCLUÍDA",IF(F3530&lt;='RETRATO 2027'!$K$5,"EM ANDAMENTO","A INICIAR")))</f>
        <v/>
      </c>
    </row>
    <row r="3531">
      <c r="M3531" s="2">
        <f>IF(C3531="","",IFERROR(INDEX($S$5:$S$304,MATCH(C3531,$R$5:$R$304,0))&amp;"","?"))</f>
        <v/>
      </c>
      <c r="N3531" s="2">
        <f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>
        <f>IF(OR(F3531="",G3531=""),"",IF(G3531&lt;='RETRATO 2027'!$K$5,"CONCLUÍDA",IF(F3531&lt;='RETRATO 2027'!$K$5,"EM ANDAMENTO","A INICIAR")))</f>
        <v/>
      </c>
    </row>
    <row r="3532">
      <c r="M3532" s="2">
        <f>IF(C3532="","",IFERROR(INDEX($S$5:$S$304,MATCH(C3532,$R$5:$R$304,0))&amp;"","?"))</f>
        <v/>
      </c>
      <c r="N3532" s="2">
        <f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>
        <f>IF(OR(F3532="",G3532=""),"",IF(G3532&lt;='RETRATO 2027'!$K$5,"CONCLUÍDA",IF(F3532&lt;='RETRATO 2027'!$K$5,"EM ANDAMENTO","A INICIAR")))</f>
        <v/>
      </c>
    </row>
    <row r="3533">
      <c r="M3533" s="2">
        <f>IF(C3533="","",IFERROR(INDEX($S$5:$S$304,MATCH(C3533,$R$5:$R$304,0))&amp;"","?"))</f>
        <v/>
      </c>
      <c r="N3533" s="2">
        <f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>
        <f>IF(OR(F3533="",G3533=""),"",IF(G3533&lt;='RETRATO 2027'!$K$5,"CONCLUÍDA",IF(F3533&lt;='RETRATO 2027'!$K$5,"EM ANDAMENTO","A INICIAR")))</f>
        <v/>
      </c>
    </row>
    <row r="3534">
      <c r="M3534" s="2">
        <f>IF(C3534="","",IFERROR(INDEX($S$5:$S$304,MATCH(C3534,$R$5:$R$304,0))&amp;"","?"))</f>
        <v/>
      </c>
      <c r="N3534" s="2">
        <f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>
        <f>IF(OR(F3534="",G3534=""),"",IF(G3534&lt;='RETRATO 2027'!$K$5,"CONCLUÍDA",IF(F3534&lt;='RETRATO 2027'!$K$5,"EM ANDAMENTO","A INICIAR")))</f>
        <v/>
      </c>
    </row>
    <row r="3535">
      <c r="M3535" s="2">
        <f>IF(C3535="","",IFERROR(INDEX($S$5:$S$304,MATCH(C3535,$R$5:$R$304,0))&amp;"","?"))</f>
        <v/>
      </c>
      <c r="N3535" s="2">
        <f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>
        <f>IF(OR(F3535="",G3535=""),"",IF(G3535&lt;='RETRATO 2027'!$K$5,"CONCLUÍDA",IF(F3535&lt;='RETRATO 2027'!$K$5,"EM ANDAMENTO","A INICIAR")))</f>
        <v/>
      </c>
    </row>
    <row r="3536">
      <c r="M3536" s="2">
        <f>IF(C3536="","",IFERROR(INDEX($S$5:$S$304,MATCH(C3536,$R$5:$R$304,0))&amp;"","?"))</f>
        <v/>
      </c>
      <c r="N3536" s="2">
        <f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>
        <f>IF(OR(F3536="",G3536=""),"",IF(G3536&lt;='RETRATO 2027'!$K$5,"CONCLUÍDA",IF(F3536&lt;='RETRATO 2027'!$K$5,"EM ANDAMENTO","A INICIAR")))</f>
        <v/>
      </c>
    </row>
    <row r="3537">
      <c r="M3537" s="2">
        <f>IF(C3537="","",IFERROR(INDEX($S$5:$S$304,MATCH(C3537,$R$5:$R$304,0))&amp;"","?"))</f>
        <v/>
      </c>
      <c r="N3537" s="2">
        <f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>
        <f>IF(OR(F3537="",G3537=""),"",IF(G3537&lt;='RETRATO 2027'!$K$5,"CONCLUÍDA",IF(F3537&lt;='RETRATO 2027'!$K$5,"EM ANDAMENTO","A INICIAR")))</f>
        <v/>
      </c>
    </row>
    <row r="3538">
      <c r="M3538" s="2">
        <f>IF(C3538="","",IFERROR(INDEX($S$5:$S$304,MATCH(C3538,$R$5:$R$304,0))&amp;"","?"))</f>
        <v/>
      </c>
      <c r="N3538" s="2">
        <f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>
        <f>IF(OR(F3538="",G3538=""),"",IF(G3538&lt;='RETRATO 2027'!$K$5,"CONCLUÍDA",IF(F3538&lt;='RETRATO 2027'!$K$5,"EM ANDAMENTO","A INICIAR")))</f>
        <v/>
      </c>
    </row>
    <row r="3539">
      <c r="M3539" s="2">
        <f>IF(C3539="","",IFERROR(INDEX($S$5:$S$304,MATCH(C3539,$R$5:$R$304,0))&amp;"","?"))</f>
        <v/>
      </c>
      <c r="N3539" s="2">
        <f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>
        <f>IF(OR(F3539="",G3539=""),"",IF(G3539&lt;='RETRATO 2027'!$K$5,"CONCLUÍDA",IF(F3539&lt;='RETRATO 2027'!$K$5,"EM ANDAMENTO","A INICIAR")))</f>
        <v/>
      </c>
    </row>
    <row r="3540">
      <c r="M3540" s="2">
        <f>IF(C3540="","",IFERROR(INDEX($S$5:$S$304,MATCH(C3540,$R$5:$R$304,0))&amp;"","?"))</f>
        <v/>
      </c>
      <c r="N3540" s="2">
        <f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>
        <f>IF(OR(F3540="",G3540=""),"",IF(G3540&lt;='RETRATO 2027'!$K$5,"CONCLUÍDA",IF(F3540&lt;='RETRATO 2027'!$K$5,"EM ANDAMENTO","A INICIAR")))</f>
        <v/>
      </c>
    </row>
    <row r="3541">
      <c r="M3541" s="2">
        <f>IF(C3541="","",IFERROR(INDEX($S$5:$S$304,MATCH(C3541,$R$5:$R$304,0))&amp;"","?"))</f>
        <v/>
      </c>
      <c r="N3541" s="2">
        <f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>
        <f>IF(OR(F3541="",G3541=""),"",IF(G3541&lt;='RETRATO 2027'!$K$5,"CONCLUÍDA",IF(F3541&lt;='RETRATO 2027'!$K$5,"EM ANDAMENTO","A INICIAR")))</f>
        <v/>
      </c>
    </row>
    <row r="3542">
      <c r="M3542" s="2">
        <f>IF(C3542="","",IFERROR(INDEX($S$5:$S$304,MATCH(C3542,$R$5:$R$304,0))&amp;"","?"))</f>
        <v/>
      </c>
      <c r="N3542" s="2">
        <f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>
        <f>IF(OR(F3542="",G3542=""),"",IF(G3542&lt;='RETRATO 2027'!$K$5,"CONCLUÍDA",IF(F3542&lt;='RETRATO 2027'!$K$5,"EM ANDAMENTO","A INICIAR")))</f>
        <v/>
      </c>
    </row>
    <row r="3543">
      <c r="M3543" s="2">
        <f>IF(C3543="","",IFERROR(INDEX($S$5:$S$304,MATCH(C3543,$R$5:$R$304,0))&amp;"","?"))</f>
        <v/>
      </c>
      <c r="N3543" s="2">
        <f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>
        <f>IF(OR(F3543="",G3543=""),"",IF(G3543&lt;='RETRATO 2027'!$K$5,"CONCLUÍDA",IF(F3543&lt;='RETRATO 2027'!$K$5,"EM ANDAMENTO","A INICIAR")))</f>
        <v/>
      </c>
    </row>
    <row r="3544">
      <c r="M3544" s="2">
        <f>IF(C3544="","",IFERROR(INDEX($S$5:$S$304,MATCH(C3544,$R$5:$R$304,0))&amp;"","?"))</f>
        <v/>
      </c>
      <c r="N3544" s="2">
        <f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>
        <f>IF(OR(F3544="",G3544=""),"",IF(G3544&lt;='RETRATO 2027'!$K$5,"CONCLUÍDA",IF(F3544&lt;='RETRATO 2027'!$K$5,"EM ANDAMENTO","A INICIAR")))</f>
        <v/>
      </c>
    </row>
    <row r="3545">
      <c r="M3545" s="2">
        <f>IF(C3545="","",IFERROR(INDEX($S$5:$S$304,MATCH(C3545,$R$5:$R$304,0))&amp;"","?"))</f>
        <v/>
      </c>
      <c r="N3545" s="2">
        <f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>
        <f>IF(OR(F3545="",G3545=""),"",IF(G3545&lt;='RETRATO 2027'!$K$5,"CONCLUÍDA",IF(F3545&lt;='RETRATO 2027'!$K$5,"EM ANDAMENTO","A INICIAR")))</f>
        <v/>
      </c>
    </row>
    <row r="3546">
      <c r="M3546" s="2">
        <f>IF(C3546="","",IFERROR(INDEX($S$5:$S$304,MATCH(C3546,$R$5:$R$304,0))&amp;"","?"))</f>
        <v/>
      </c>
      <c r="N3546" s="2">
        <f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>
        <f>IF(OR(F3546="",G3546=""),"",IF(G3546&lt;='RETRATO 2027'!$K$5,"CONCLUÍDA",IF(F3546&lt;='RETRATO 2027'!$K$5,"EM ANDAMENTO","A INICIAR")))</f>
        <v/>
      </c>
    </row>
    <row r="3547">
      <c r="M3547" s="2">
        <f>IF(C3547="","",IFERROR(INDEX($S$5:$S$304,MATCH(C3547,$R$5:$R$304,0))&amp;"","?"))</f>
        <v/>
      </c>
      <c r="N3547" s="2">
        <f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>
        <f>IF(OR(F3547="",G3547=""),"",IF(G3547&lt;='RETRATO 2027'!$K$5,"CONCLUÍDA",IF(F3547&lt;='RETRATO 2027'!$K$5,"EM ANDAMENTO","A INICIAR")))</f>
        <v/>
      </c>
    </row>
    <row r="3548">
      <c r="M3548" s="2">
        <f>IF(C3548="","",IFERROR(INDEX($S$5:$S$304,MATCH(C3548,$R$5:$R$304,0))&amp;"","?"))</f>
        <v/>
      </c>
      <c r="N3548" s="2">
        <f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>
        <f>IF(OR(F3548="",G3548=""),"",IF(G3548&lt;='RETRATO 2027'!$K$5,"CONCLUÍDA",IF(F3548&lt;='RETRATO 2027'!$K$5,"EM ANDAMENTO","A INICIAR")))</f>
        <v/>
      </c>
    </row>
    <row r="3549">
      <c r="M3549" s="2">
        <f>IF(C3549="","",IFERROR(INDEX($S$5:$S$304,MATCH(C3549,$R$5:$R$304,0))&amp;"","?"))</f>
        <v/>
      </c>
      <c r="N3549" s="2">
        <f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>
        <f>IF(OR(F3549="",G3549=""),"",IF(G3549&lt;='RETRATO 2027'!$K$5,"CONCLUÍDA",IF(F3549&lt;='RETRATO 2027'!$K$5,"EM ANDAMENTO","A INICIAR")))</f>
        <v/>
      </c>
    </row>
    <row r="3550">
      <c r="M3550" s="2">
        <f>IF(C3550="","",IFERROR(INDEX($S$5:$S$304,MATCH(C3550,$R$5:$R$304,0))&amp;"","?"))</f>
        <v/>
      </c>
      <c r="N3550" s="2">
        <f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>
        <f>IF(OR(F3550="",G3550=""),"",IF(G3550&lt;='RETRATO 2027'!$K$5,"CONCLUÍDA",IF(F3550&lt;='RETRATO 2027'!$K$5,"EM ANDAMENTO","A INICIAR")))</f>
        <v/>
      </c>
    </row>
    <row r="3551">
      <c r="M3551" s="2">
        <f>IF(C3551="","",IFERROR(INDEX($S$5:$S$304,MATCH(C3551,$R$5:$R$304,0))&amp;"","?"))</f>
        <v/>
      </c>
      <c r="N3551" s="2">
        <f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>
        <f>IF(OR(F3551="",G3551=""),"",IF(G3551&lt;='RETRATO 2027'!$K$5,"CONCLUÍDA",IF(F3551&lt;='RETRATO 2027'!$K$5,"EM ANDAMENTO","A INICIAR")))</f>
        <v/>
      </c>
    </row>
    <row r="3552">
      <c r="M3552" s="2">
        <f>IF(C3552="","",IFERROR(INDEX($S$5:$S$304,MATCH(C3552,$R$5:$R$304,0))&amp;"","?"))</f>
        <v/>
      </c>
      <c r="N3552" s="2">
        <f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>
        <f>IF(OR(F3552="",G3552=""),"",IF(G3552&lt;='RETRATO 2027'!$K$5,"CONCLUÍDA",IF(F3552&lt;='RETRATO 2027'!$K$5,"EM ANDAMENTO","A INICIAR")))</f>
        <v/>
      </c>
    </row>
    <row r="3553">
      <c r="M3553" s="2">
        <f>IF(C3553="","",IFERROR(INDEX($S$5:$S$304,MATCH(C3553,$R$5:$R$304,0))&amp;"","?"))</f>
        <v/>
      </c>
      <c r="N3553" s="2">
        <f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>
        <f>IF(OR(F3553="",G3553=""),"",IF(G3553&lt;='RETRATO 2027'!$K$5,"CONCLUÍDA",IF(F3553&lt;='RETRATO 2027'!$K$5,"EM ANDAMENTO","A INICIAR")))</f>
        <v/>
      </c>
    </row>
    <row r="3554">
      <c r="M3554" s="2">
        <f>IF(C3554="","",IFERROR(INDEX($S$5:$S$304,MATCH(C3554,$R$5:$R$304,0))&amp;"","?"))</f>
        <v/>
      </c>
      <c r="N3554" s="2">
        <f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>
        <f>IF(OR(F3554="",G3554=""),"",IF(G3554&lt;='RETRATO 2027'!$K$5,"CONCLUÍDA",IF(F3554&lt;='RETRATO 2027'!$K$5,"EM ANDAMENTO","A INICIAR")))</f>
        <v/>
      </c>
    </row>
    <row r="3555">
      <c r="M3555" s="2">
        <f>IF(C3555="","",IFERROR(INDEX($S$5:$S$304,MATCH(C3555,$R$5:$R$304,0))&amp;"","?"))</f>
        <v/>
      </c>
      <c r="N3555" s="2">
        <f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>
        <f>IF(OR(F3555="",G3555=""),"",IF(G3555&lt;='RETRATO 2027'!$K$5,"CONCLUÍDA",IF(F3555&lt;='RETRATO 2027'!$K$5,"EM ANDAMENTO","A INICIAR")))</f>
        <v/>
      </c>
    </row>
    <row r="3556">
      <c r="M3556" s="2">
        <f>IF(C3556="","",IFERROR(INDEX($S$5:$S$304,MATCH(C3556,$R$5:$R$304,0))&amp;"","?"))</f>
        <v/>
      </c>
      <c r="N3556" s="2">
        <f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>
        <f>IF(OR(F3556="",G3556=""),"",IF(G3556&lt;='RETRATO 2027'!$K$5,"CONCLUÍDA",IF(F3556&lt;='RETRATO 2027'!$K$5,"EM ANDAMENTO","A INICIAR")))</f>
        <v/>
      </c>
    </row>
    <row r="3557">
      <c r="M3557" s="2">
        <f>IF(C3557="","",IFERROR(INDEX($S$5:$S$304,MATCH(C3557,$R$5:$R$304,0))&amp;"","?"))</f>
        <v/>
      </c>
      <c r="N3557" s="2">
        <f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>
        <f>IF(OR(F3557="",G3557=""),"",IF(G3557&lt;='RETRATO 2027'!$K$5,"CONCLUÍDA",IF(F3557&lt;='RETRATO 2027'!$K$5,"EM ANDAMENTO","A INICIAR")))</f>
        <v/>
      </c>
    </row>
    <row r="3558">
      <c r="M3558" s="2">
        <f>IF(C3558="","",IFERROR(INDEX($S$5:$S$304,MATCH(C3558,$R$5:$R$304,0))&amp;"","?"))</f>
        <v/>
      </c>
      <c r="N3558" s="2">
        <f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>
        <f>IF(OR(F3558="",G3558=""),"",IF(G3558&lt;='RETRATO 2027'!$K$5,"CONCLUÍDA",IF(F3558&lt;='RETRATO 2027'!$K$5,"EM ANDAMENTO","A INICIAR")))</f>
        <v/>
      </c>
    </row>
    <row r="3559">
      <c r="M3559" s="2">
        <f>IF(C3559="","",IFERROR(INDEX($S$5:$S$304,MATCH(C3559,$R$5:$R$304,0))&amp;"","?"))</f>
        <v/>
      </c>
      <c r="N3559" s="2">
        <f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>
        <f>IF(OR(F3559="",G3559=""),"",IF(G3559&lt;='RETRATO 2027'!$K$5,"CONCLUÍDA",IF(F3559&lt;='RETRATO 2027'!$K$5,"EM ANDAMENTO","A INICIAR")))</f>
        <v/>
      </c>
    </row>
    <row r="3560">
      <c r="M3560" s="2">
        <f>IF(C3560="","",IFERROR(INDEX($S$5:$S$304,MATCH(C3560,$R$5:$R$304,0))&amp;"","?"))</f>
        <v/>
      </c>
      <c r="N3560" s="2">
        <f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>
        <f>IF(OR(F3560="",G3560=""),"",IF(G3560&lt;='RETRATO 2027'!$K$5,"CONCLUÍDA",IF(F3560&lt;='RETRATO 2027'!$K$5,"EM ANDAMENTO","A INICIAR")))</f>
        <v/>
      </c>
    </row>
    <row r="3561">
      <c r="M3561" s="2">
        <f>IF(C3561="","",IFERROR(INDEX($S$5:$S$304,MATCH(C3561,$R$5:$R$304,0))&amp;"","?"))</f>
        <v/>
      </c>
      <c r="N3561" s="2">
        <f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>
        <f>IF(OR(F3561="",G3561=""),"",IF(G3561&lt;='RETRATO 2027'!$K$5,"CONCLUÍDA",IF(F3561&lt;='RETRATO 2027'!$K$5,"EM ANDAMENTO","A INICIAR")))</f>
        <v/>
      </c>
    </row>
    <row r="3562">
      <c r="M3562" s="2">
        <f>IF(C3562="","",IFERROR(INDEX($S$5:$S$304,MATCH(C3562,$R$5:$R$304,0))&amp;"","?"))</f>
        <v/>
      </c>
      <c r="N3562" s="2">
        <f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>
        <f>IF(OR(F3562="",G3562=""),"",IF(G3562&lt;='RETRATO 2027'!$K$5,"CONCLUÍDA",IF(F3562&lt;='RETRATO 2027'!$K$5,"EM ANDAMENTO","A INICIAR")))</f>
        <v/>
      </c>
    </row>
    <row r="3563">
      <c r="M3563" s="2">
        <f>IF(C3563="","",IFERROR(INDEX($S$5:$S$304,MATCH(C3563,$R$5:$R$304,0))&amp;"","?"))</f>
        <v/>
      </c>
      <c r="N3563" s="2">
        <f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>
        <f>IF(OR(F3563="",G3563=""),"",IF(G3563&lt;='RETRATO 2027'!$K$5,"CONCLUÍDA",IF(F3563&lt;='RETRATO 2027'!$K$5,"EM ANDAMENTO","A INICIAR")))</f>
        <v/>
      </c>
    </row>
    <row r="3564">
      <c r="M3564" s="2">
        <f>IF(C3564="","",IFERROR(INDEX($S$5:$S$304,MATCH(C3564,$R$5:$R$304,0))&amp;"","?"))</f>
        <v/>
      </c>
      <c r="N3564" s="2">
        <f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>
        <f>IF(OR(F3564="",G3564=""),"",IF(G3564&lt;='RETRATO 2027'!$K$5,"CONCLUÍDA",IF(F3564&lt;='RETRATO 2027'!$K$5,"EM ANDAMENTO","A INICIAR")))</f>
        <v/>
      </c>
    </row>
    <row r="3565">
      <c r="M3565" s="2">
        <f>IF(C3565="","",IFERROR(INDEX($S$5:$S$304,MATCH(C3565,$R$5:$R$304,0))&amp;"","?"))</f>
        <v/>
      </c>
      <c r="N3565" s="2">
        <f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>
        <f>IF(OR(F3565="",G3565=""),"",IF(G3565&lt;='RETRATO 2027'!$K$5,"CONCLUÍDA",IF(F3565&lt;='RETRATO 2027'!$K$5,"EM ANDAMENTO","A INICIAR")))</f>
        <v/>
      </c>
    </row>
    <row r="3566">
      <c r="M3566" s="2">
        <f>IF(C3566="","",IFERROR(INDEX($S$5:$S$304,MATCH(C3566,$R$5:$R$304,0))&amp;"","?"))</f>
        <v/>
      </c>
      <c r="N3566" s="2">
        <f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>
        <f>IF(OR(F3566="",G3566=""),"",IF(G3566&lt;='RETRATO 2027'!$K$5,"CONCLUÍDA",IF(F3566&lt;='RETRATO 2027'!$K$5,"EM ANDAMENTO","A INICIAR")))</f>
        <v/>
      </c>
    </row>
    <row r="3567">
      <c r="M3567" s="2">
        <f>IF(C3567="","",IFERROR(INDEX($S$5:$S$304,MATCH(C3567,$R$5:$R$304,0))&amp;"","?"))</f>
        <v/>
      </c>
      <c r="N3567" s="2">
        <f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>
        <f>IF(OR(F3567="",G3567=""),"",IF(G3567&lt;='RETRATO 2027'!$K$5,"CONCLUÍDA",IF(F3567&lt;='RETRATO 2027'!$K$5,"EM ANDAMENTO","A INICIAR")))</f>
        <v/>
      </c>
    </row>
    <row r="3568">
      <c r="M3568" s="2">
        <f>IF(C3568="","",IFERROR(INDEX($S$5:$S$304,MATCH(C3568,$R$5:$R$304,0))&amp;"","?"))</f>
        <v/>
      </c>
      <c r="N3568" s="2">
        <f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>
        <f>IF(OR(F3568="",G3568=""),"",IF(G3568&lt;='RETRATO 2027'!$K$5,"CONCLUÍDA",IF(F3568&lt;='RETRATO 2027'!$K$5,"EM ANDAMENTO","A INICIAR")))</f>
        <v/>
      </c>
    </row>
    <row r="3569">
      <c r="M3569" s="2">
        <f>IF(C3569="","",IFERROR(INDEX($S$5:$S$304,MATCH(C3569,$R$5:$R$304,0))&amp;"","?"))</f>
        <v/>
      </c>
      <c r="N3569" s="2">
        <f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>
        <f>IF(OR(F3569="",G3569=""),"",IF(G3569&lt;='RETRATO 2027'!$K$5,"CONCLUÍDA",IF(F3569&lt;='RETRATO 2027'!$K$5,"EM ANDAMENTO","A INICIAR")))</f>
        <v/>
      </c>
    </row>
    <row r="3570">
      <c r="M3570" s="2">
        <f>IF(C3570="","",IFERROR(INDEX($S$5:$S$304,MATCH(C3570,$R$5:$R$304,0))&amp;"","?"))</f>
        <v/>
      </c>
      <c r="N3570" s="2">
        <f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>
        <f>IF(OR(F3570="",G3570=""),"",IF(G3570&lt;='RETRATO 2027'!$K$5,"CONCLUÍDA",IF(F3570&lt;='RETRATO 2027'!$K$5,"EM ANDAMENTO","A INICIAR")))</f>
        <v/>
      </c>
    </row>
    <row r="3571">
      <c r="M3571" s="2">
        <f>IF(C3571="","",IFERROR(INDEX($S$5:$S$304,MATCH(C3571,$R$5:$R$304,0))&amp;"","?"))</f>
        <v/>
      </c>
      <c r="N3571" s="2">
        <f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>
        <f>IF(OR(F3571="",G3571=""),"",IF(G3571&lt;='RETRATO 2027'!$K$5,"CONCLUÍDA",IF(F3571&lt;='RETRATO 2027'!$K$5,"EM ANDAMENTO","A INICIAR")))</f>
        <v/>
      </c>
    </row>
    <row r="3572">
      <c r="M3572" s="2">
        <f>IF(C3572="","",IFERROR(INDEX($S$5:$S$304,MATCH(C3572,$R$5:$R$304,0))&amp;"","?"))</f>
        <v/>
      </c>
      <c r="N3572" s="2">
        <f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>
        <f>IF(OR(F3572="",G3572=""),"",IF(G3572&lt;='RETRATO 2027'!$K$5,"CONCLUÍDA",IF(F3572&lt;='RETRATO 2027'!$K$5,"EM ANDAMENTO","A INICIAR")))</f>
        <v/>
      </c>
    </row>
    <row r="3573">
      <c r="M3573" s="2">
        <f>IF(C3573="","",IFERROR(INDEX($S$5:$S$304,MATCH(C3573,$R$5:$R$304,0))&amp;"","?"))</f>
        <v/>
      </c>
      <c r="N3573" s="2">
        <f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>
        <f>IF(OR(F3573="",G3573=""),"",IF(G3573&lt;='RETRATO 2027'!$K$5,"CONCLUÍDA",IF(F3573&lt;='RETRATO 2027'!$K$5,"EM ANDAMENTO","A INICIAR")))</f>
        <v/>
      </c>
    </row>
    <row r="3574">
      <c r="M3574" s="2">
        <f>IF(C3574="","",IFERROR(INDEX($S$5:$S$304,MATCH(C3574,$R$5:$R$304,0))&amp;"","?"))</f>
        <v/>
      </c>
      <c r="N3574" s="2">
        <f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>
        <f>IF(OR(F3574="",G3574=""),"",IF(G3574&lt;='RETRATO 2027'!$K$5,"CONCLUÍDA",IF(F3574&lt;='RETRATO 2027'!$K$5,"EM ANDAMENTO","A INICIAR")))</f>
        <v/>
      </c>
    </row>
    <row r="3575">
      <c r="M3575" s="2">
        <f>IF(C3575="","",IFERROR(INDEX($S$5:$S$304,MATCH(C3575,$R$5:$R$304,0))&amp;"","?"))</f>
        <v/>
      </c>
      <c r="N3575" s="2">
        <f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>
        <f>IF(OR(F3575="",G3575=""),"",IF(G3575&lt;='RETRATO 2027'!$K$5,"CONCLUÍDA",IF(F3575&lt;='RETRATO 2027'!$K$5,"EM ANDAMENTO","A INICIAR")))</f>
        <v/>
      </c>
    </row>
    <row r="3576">
      <c r="M3576" s="2">
        <f>IF(C3576="","",IFERROR(INDEX($S$5:$S$304,MATCH(C3576,$R$5:$R$304,0))&amp;"","?"))</f>
        <v/>
      </c>
      <c r="N3576" s="2">
        <f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>
        <f>IF(OR(F3576="",G3576=""),"",IF(G3576&lt;='RETRATO 2027'!$K$5,"CONCLUÍDA",IF(F3576&lt;='RETRATO 2027'!$K$5,"EM ANDAMENTO","A INICIAR")))</f>
        <v/>
      </c>
    </row>
    <row r="3577">
      <c r="M3577" s="2">
        <f>IF(C3577="","",IFERROR(INDEX($S$5:$S$304,MATCH(C3577,$R$5:$R$304,0))&amp;"","?"))</f>
        <v/>
      </c>
      <c r="N3577" s="2">
        <f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>
        <f>IF(OR(F3577="",G3577=""),"",IF(G3577&lt;='RETRATO 2027'!$K$5,"CONCLUÍDA",IF(F3577&lt;='RETRATO 2027'!$K$5,"EM ANDAMENTO","A INICIAR")))</f>
        <v/>
      </c>
    </row>
    <row r="3578">
      <c r="M3578" s="2">
        <f>IF(C3578="","",IFERROR(INDEX($S$5:$S$304,MATCH(C3578,$R$5:$R$304,0))&amp;"","?"))</f>
        <v/>
      </c>
      <c r="N3578" s="2">
        <f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>
        <f>IF(OR(F3578="",G3578=""),"",IF(G3578&lt;='RETRATO 2027'!$K$5,"CONCLUÍDA",IF(F3578&lt;='RETRATO 2027'!$K$5,"EM ANDAMENTO","A INICIAR")))</f>
        <v/>
      </c>
    </row>
    <row r="3579">
      <c r="M3579" s="2">
        <f>IF(C3579="","",IFERROR(INDEX($S$5:$S$304,MATCH(C3579,$R$5:$R$304,0))&amp;"","?"))</f>
        <v/>
      </c>
      <c r="N3579" s="2">
        <f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>
        <f>IF(OR(F3579="",G3579=""),"",IF(G3579&lt;='RETRATO 2027'!$K$5,"CONCLUÍDA",IF(F3579&lt;='RETRATO 2027'!$K$5,"EM ANDAMENTO","A INICIAR")))</f>
        <v/>
      </c>
    </row>
    <row r="3580">
      <c r="M3580" s="2">
        <f>IF(C3580="","",IFERROR(INDEX($S$5:$S$304,MATCH(C3580,$R$5:$R$304,0))&amp;"","?"))</f>
        <v/>
      </c>
      <c r="N3580" s="2">
        <f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>
        <f>IF(OR(F3580="",G3580=""),"",IF(G3580&lt;='RETRATO 2027'!$K$5,"CONCLUÍDA",IF(F3580&lt;='RETRATO 2027'!$K$5,"EM ANDAMENTO","A INICIAR")))</f>
        <v/>
      </c>
    </row>
    <row r="3581">
      <c r="M3581" s="2">
        <f>IF(C3581="","",IFERROR(INDEX($S$5:$S$304,MATCH(C3581,$R$5:$R$304,0))&amp;"","?"))</f>
        <v/>
      </c>
      <c r="N3581" s="2">
        <f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>
        <f>IF(OR(F3581="",G3581=""),"",IF(G3581&lt;='RETRATO 2027'!$K$5,"CONCLUÍDA",IF(F3581&lt;='RETRATO 2027'!$K$5,"EM ANDAMENTO","A INICIAR")))</f>
        <v/>
      </c>
    </row>
    <row r="3582">
      <c r="M3582" s="2">
        <f>IF(C3582="","",IFERROR(INDEX($S$5:$S$304,MATCH(C3582,$R$5:$R$304,0))&amp;"","?"))</f>
        <v/>
      </c>
      <c r="N3582" s="2">
        <f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>
        <f>IF(OR(F3582="",G3582=""),"",IF(G3582&lt;='RETRATO 2027'!$K$5,"CONCLUÍDA",IF(F3582&lt;='RETRATO 2027'!$K$5,"EM ANDAMENTO","A INICIAR")))</f>
        <v/>
      </c>
    </row>
    <row r="3583">
      <c r="M3583" s="2">
        <f>IF(C3583="","",IFERROR(INDEX($S$5:$S$304,MATCH(C3583,$R$5:$R$304,0))&amp;"","?"))</f>
        <v/>
      </c>
      <c r="N3583" s="2">
        <f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>
        <f>IF(OR(F3583="",G3583=""),"",IF(G3583&lt;='RETRATO 2027'!$K$5,"CONCLUÍDA",IF(F3583&lt;='RETRATO 2027'!$K$5,"EM ANDAMENTO","A INICIAR")))</f>
        <v/>
      </c>
    </row>
    <row r="3584">
      <c r="M3584" s="2">
        <f>IF(C3584="","",IFERROR(INDEX($S$5:$S$304,MATCH(C3584,$R$5:$R$304,0))&amp;"","?"))</f>
        <v/>
      </c>
      <c r="N3584" s="2">
        <f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>
        <f>IF(OR(F3584="",G3584=""),"",IF(G3584&lt;='RETRATO 2027'!$K$5,"CONCLUÍDA",IF(F3584&lt;='RETRATO 2027'!$K$5,"EM ANDAMENTO","A INICIAR")))</f>
        <v/>
      </c>
    </row>
    <row r="3585">
      <c r="M3585" s="2">
        <f>IF(C3585="","",IFERROR(INDEX($S$5:$S$304,MATCH(C3585,$R$5:$R$304,0))&amp;"","?"))</f>
        <v/>
      </c>
      <c r="N3585" s="2">
        <f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>
        <f>IF(OR(F3585="",G3585=""),"",IF(G3585&lt;='RETRATO 2027'!$K$5,"CONCLUÍDA",IF(F3585&lt;='RETRATO 2027'!$K$5,"EM ANDAMENTO","A INICIAR")))</f>
        <v/>
      </c>
    </row>
    <row r="3586">
      <c r="M3586" s="2">
        <f>IF(C3586="","",IFERROR(INDEX($S$5:$S$304,MATCH(C3586,$R$5:$R$304,0))&amp;"","?"))</f>
        <v/>
      </c>
      <c r="N3586" s="2">
        <f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>
        <f>IF(OR(F3586="",G3586=""),"",IF(G3586&lt;='RETRATO 2027'!$K$5,"CONCLUÍDA",IF(F3586&lt;='RETRATO 2027'!$K$5,"EM ANDAMENTO","A INICIAR")))</f>
        <v/>
      </c>
    </row>
    <row r="3587">
      <c r="M3587" s="2">
        <f>IF(C3587="","",IFERROR(INDEX($S$5:$S$304,MATCH(C3587,$R$5:$R$304,0))&amp;"","?"))</f>
        <v/>
      </c>
      <c r="N3587" s="2">
        <f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>
        <f>IF(OR(F3587="",G3587=""),"",IF(G3587&lt;='RETRATO 2027'!$K$5,"CONCLUÍDA",IF(F3587&lt;='RETRATO 2027'!$K$5,"EM ANDAMENTO","A INICIAR")))</f>
        <v/>
      </c>
    </row>
    <row r="3588">
      <c r="M3588" s="2">
        <f>IF(C3588="","",IFERROR(INDEX($S$5:$S$304,MATCH(C3588,$R$5:$R$304,0))&amp;"","?"))</f>
        <v/>
      </c>
      <c r="N3588" s="2">
        <f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>
        <f>IF(OR(F3588="",G3588=""),"",IF(G3588&lt;='RETRATO 2027'!$K$5,"CONCLUÍDA",IF(F3588&lt;='RETRATO 2027'!$K$5,"EM ANDAMENTO","A INICIAR")))</f>
        <v/>
      </c>
    </row>
    <row r="3589">
      <c r="M3589" s="2">
        <f>IF(C3589="","",IFERROR(INDEX($S$5:$S$304,MATCH(C3589,$R$5:$R$304,0))&amp;"","?"))</f>
        <v/>
      </c>
      <c r="N3589" s="2">
        <f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>
        <f>IF(OR(F3589="",G3589=""),"",IF(G3589&lt;='RETRATO 2027'!$K$5,"CONCLUÍDA",IF(F3589&lt;='RETRATO 2027'!$K$5,"EM ANDAMENTO","A INICIAR")))</f>
        <v/>
      </c>
    </row>
    <row r="3590">
      <c r="M3590" s="2">
        <f>IF(C3590="","",IFERROR(INDEX($S$5:$S$304,MATCH(C3590,$R$5:$R$304,0))&amp;"","?"))</f>
        <v/>
      </c>
      <c r="N3590" s="2">
        <f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>
        <f>IF(OR(F3590="",G3590=""),"",IF(G3590&lt;='RETRATO 2027'!$K$5,"CONCLUÍDA",IF(F3590&lt;='RETRATO 2027'!$K$5,"EM ANDAMENTO","A INICIAR")))</f>
        <v/>
      </c>
    </row>
    <row r="3591">
      <c r="M3591" s="2">
        <f>IF(C3591="","",IFERROR(INDEX($S$5:$S$304,MATCH(C3591,$R$5:$R$304,0))&amp;"","?"))</f>
        <v/>
      </c>
      <c r="N3591" s="2">
        <f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>
        <f>IF(OR(F3591="",G3591=""),"",IF(G3591&lt;='RETRATO 2027'!$K$5,"CONCLUÍDA",IF(F3591&lt;='RETRATO 2027'!$K$5,"EM ANDAMENTO","A INICIAR")))</f>
        <v/>
      </c>
    </row>
    <row r="3592">
      <c r="M3592" s="2">
        <f>IF(C3592="","",IFERROR(INDEX($S$5:$S$304,MATCH(C3592,$R$5:$R$304,0))&amp;"","?"))</f>
        <v/>
      </c>
      <c r="N3592" s="2">
        <f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>
        <f>IF(OR(F3592="",G3592=""),"",IF(G3592&lt;='RETRATO 2027'!$K$5,"CONCLUÍDA",IF(F3592&lt;='RETRATO 2027'!$K$5,"EM ANDAMENTO","A INICIAR")))</f>
        <v/>
      </c>
    </row>
    <row r="3593">
      <c r="M3593" s="2">
        <f>IF(C3593="","",IFERROR(INDEX($S$5:$S$304,MATCH(C3593,$R$5:$R$304,0))&amp;"","?"))</f>
        <v/>
      </c>
      <c r="N3593" s="2">
        <f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>
        <f>IF(OR(F3593="",G3593=""),"",IF(G3593&lt;='RETRATO 2027'!$K$5,"CONCLUÍDA",IF(F3593&lt;='RETRATO 2027'!$K$5,"EM ANDAMENTO","A INICIAR")))</f>
        <v/>
      </c>
    </row>
    <row r="3594">
      <c r="M3594" s="2">
        <f>IF(C3594="","",IFERROR(INDEX($S$5:$S$304,MATCH(C3594,$R$5:$R$304,0))&amp;"","?"))</f>
        <v/>
      </c>
      <c r="N3594" s="2">
        <f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>
        <f>IF(OR(F3594="",G3594=""),"",IF(G3594&lt;='RETRATO 2027'!$K$5,"CONCLUÍDA",IF(F3594&lt;='RETRATO 2027'!$K$5,"EM ANDAMENTO","A INICIAR")))</f>
        <v/>
      </c>
    </row>
    <row r="3595">
      <c r="M3595" s="2">
        <f>IF(C3595="","",IFERROR(INDEX($S$5:$S$304,MATCH(C3595,$R$5:$R$304,0))&amp;"","?"))</f>
        <v/>
      </c>
      <c r="N3595" s="2">
        <f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>
        <f>IF(OR(F3595="",G3595=""),"",IF(G3595&lt;='RETRATO 2027'!$K$5,"CONCLUÍDA",IF(F3595&lt;='RETRATO 2027'!$K$5,"EM ANDAMENTO","A INICIAR")))</f>
        <v/>
      </c>
    </row>
    <row r="3596">
      <c r="M3596" s="2">
        <f>IF(C3596="","",IFERROR(INDEX($S$5:$S$304,MATCH(C3596,$R$5:$R$304,0))&amp;"","?"))</f>
        <v/>
      </c>
      <c r="N3596" s="2">
        <f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>
        <f>IF(OR(F3596="",G3596=""),"",IF(G3596&lt;='RETRATO 2027'!$K$5,"CONCLUÍDA",IF(F3596&lt;='RETRATO 2027'!$K$5,"EM ANDAMENTO","A INICIAR")))</f>
        <v/>
      </c>
    </row>
    <row r="3597">
      <c r="M3597" s="2">
        <f>IF(C3597="","",IFERROR(INDEX($S$5:$S$304,MATCH(C3597,$R$5:$R$304,0))&amp;"","?"))</f>
        <v/>
      </c>
      <c r="N3597" s="2">
        <f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>
        <f>IF(OR(F3597="",G3597=""),"",IF(G3597&lt;='RETRATO 2027'!$K$5,"CONCLUÍDA",IF(F3597&lt;='RETRATO 2027'!$K$5,"EM ANDAMENTO","A INICIAR")))</f>
        <v/>
      </c>
    </row>
    <row r="3598">
      <c r="M3598" s="2">
        <f>IF(C3598="","",IFERROR(INDEX($S$5:$S$304,MATCH(C3598,$R$5:$R$304,0))&amp;"","?"))</f>
        <v/>
      </c>
      <c r="N3598" s="2">
        <f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>
        <f>IF(OR(F3598="",G3598=""),"",IF(G3598&lt;='RETRATO 2027'!$K$5,"CONCLUÍDA",IF(F3598&lt;='RETRATO 2027'!$K$5,"EM ANDAMENTO","A INICIAR")))</f>
        <v/>
      </c>
    </row>
    <row r="3599">
      <c r="M3599" s="2">
        <f>IF(C3599="","",IFERROR(INDEX($S$5:$S$304,MATCH(C3599,$R$5:$R$304,0))&amp;"","?"))</f>
        <v/>
      </c>
      <c r="N3599" s="2">
        <f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>
        <f>IF(OR(F3599="",G3599=""),"",IF(G3599&lt;='RETRATO 2027'!$K$5,"CONCLUÍDA",IF(F3599&lt;='RETRATO 2027'!$K$5,"EM ANDAMENTO","A INICIAR")))</f>
        <v/>
      </c>
    </row>
    <row r="3600">
      <c r="M3600" s="2">
        <f>IF(C3600="","",IFERROR(INDEX($S$5:$S$304,MATCH(C3600,$R$5:$R$304,0))&amp;"","?"))</f>
        <v/>
      </c>
      <c r="N3600" s="2">
        <f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>
        <f>IF(OR(F3600="",G3600=""),"",IF(G3600&lt;='RETRATO 2027'!$K$5,"CONCLUÍDA",IF(F3600&lt;='RETRATO 2027'!$K$5,"EM ANDAMENTO","A INICIAR")))</f>
        <v/>
      </c>
    </row>
    <row r="3601">
      <c r="M3601" s="2">
        <f>IF(C3601="","",IFERROR(INDEX($S$5:$S$304,MATCH(C3601,$R$5:$R$304,0))&amp;"","?"))</f>
        <v/>
      </c>
      <c r="N3601" s="2">
        <f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>
        <f>IF(OR(F3601="",G3601=""),"",IF(G3601&lt;='RETRATO 2027'!$K$5,"CONCLUÍDA",IF(F3601&lt;='RETRATO 2027'!$K$5,"EM ANDAMENTO","A INICIAR")))</f>
        <v/>
      </c>
    </row>
    <row r="3602">
      <c r="M3602" s="2">
        <f>IF(C3602="","",IFERROR(INDEX($S$5:$S$304,MATCH(C3602,$R$5:$R$304,0))&amp;"","?"))</f>
        <v/>
      </c>
      <c r="N3602" s="2">
        <f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>
        <f>IF(OR(F3602="",G3602=""),"",IF(G3602&lt;='RETRATO 2027'!$K$5,"CONCLUÍDA",IF(F3602&lt;='RETRATO 2027'!$K$5,"EM ANDAMENTO","A INICIAR")))</f>
        <v/>
      </c>
    </row>
    <row r="3603">
      <c r="M3603" s="2">
        <f>IF(C3603="","",IFERROR(INDEX($S$5:$S$304,MATCH(C3603,$R$5:$R$304,0))&amp;"","?"))</f>
        <v/>
      </c>
      <c r="N3603" s="2">
        <f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>
        <f>IF(OR(F3603="",G3603=""),"",IF(G3603&lt;='RETRATO 2027'!$K$5,"CONCLUÍDA",IF(F3603&lt;='RETRATO 2027'!$K$5,"EM ANDAMENTO","A INICIAR")))</f>
        <v/>
      </c>
    </row>
    <row r="3604">
      <c r="M3604" s="2">
        <f>IF(C3604="","",IFERROR(INDEX($S$5:$S$304,MATCH(C3604,$R$5:$R$304,0))&amp;"","?"))</f>
        <v/>
      </c>
      <c r="N3604" s="2">
        <f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>
        <f>IF(OR(F3604="",G3604=""),"",IF(G3604&lt;='RETRATO 2027'!$K$5,"CONCLUÍDA",IF(F3604&lt;='RETRATO 2027'!$K$5,"EM ANDAMENTO","A INICIAR")))</f>
        <v/>
      </c>
    </row>
    <row r="3605">
      <c r="M3605" s="2">
        <f>IF(C3605="","",IFERROR(INDEX($S$5:$S$304,MATCH(C3605,$R$5:$R$304,0))&amp;"","?"))</f>
        <v/>
      </c>
      <c r="N3605" s="2">
        <f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>
        <f>IF(OR(F3605="",G3605=""),"",IF(G3605&lt;='RETRATO 2027'!$K$5,"CONCLUÍDA",IF(F3605&lt;='RETRATO 2027'!$K$5,"EM ANDAMENTO","A INICIAR")))</f>
        <v/>
      </c>
    </row>
    <row r="3606">
      <c r="M3606" s="2">
        <f>IF(C3606="","",IFERROR(INDEX($S$5:$S$304,MATCH(C3606,$R$5:$R$304,0))&amp;"","?"))</f>
        <v/>
      </c>
      <c r="N3606" s="2">
        <f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>
        <f>IF(OR(F3606="",G3606=""),"",IF(G3606&lt;='RETRATO 2027'!$K$5,"CONCLUÍDA",IF(F3606&lt;='RETRATO 2027'!$K$5,"EM ANDAMENTO","A INICIAR")))</f>
        <v/>
      </c>
    </row>
    <row r="3607">
      <c r="M3607" s="2">
        <f>IF(C3607="","",IFERROR(INDEX($S$5:$S$304,MATCH(C3607,$R$5:$R$304,0))&amp;"","?"))</f>
        <v/>
      </c>
      <c r="N3607" s="2">
        <f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>
        <f>IF(OR(F3607="",G3607=""),"",IF(G3607&lt;='RETRATO 2027'!$K$5,"CONCLUÍDA",IF(F3607&lt;='RETRATO 2027'!$K$5,"EM ANDAMENTO","A INICIAR")))</f>
        <v/>
      </c>
    </row>
    <row r="3608">
      <c r="M3608" s="2">
        <f>IF(C3608="","",IFERROR(INDEX($S$5:$S$304,MATCH(C3608,$R$5:$R$304,0))&amp;"","?"))</f>
        <v/>
      </c>
      <c r="N3608" s="2">
        <f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>
        <f>IF(OR(F3608="",G3608=""),"",IF(G3608&lt;='RETRATO 2027'!$K$5,"CONCLUÍDA",IF(F3608&lt;='RETRATO 2027'!$K$5,"EM ANDAMENTO","A INICIAR")))</f>
        <v/>
      </c>
    </row>
    <row r="3609">
      <c r="M3609" s="2">
        <f>IF(C3609="","",IFERROR(INDEX($S$5:$S$304,MATCH(C3609,$R$5:$R$304,0))&amp;"","?"))</f>
        <v/>
      </c>
      <c r="N3609" s="2">
        <f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>
        <f>IF(OR(F3609="",G3609=""),"",IF(G3609&lt;='RETRATO 2027'!$K$5,"CONCLUÍDA",IF(F3609&lt;='RETRATO 2027'!$K$5,"EM ANDAMENTO","A INICIAR")))</f>
        <v/>
      </c>
    </row>
    <row r="3610">
      <c r="M3610" s="2">
        <f>IF(C3610="","",IFERROR(INDEX($S$5:$S$304,MATCH(C3610,$R$5:$R$304,0))&amp;"","?"))</f>
        <v/>
      </c>
      <c r="N3610" s="2">
        <f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>
        <f>IF(OR(F3610="",G3610=""),"",IF(G3610&lt;='RETRATO 2027'!$K$5,"CONCLUÍDA",IF(F3610&lt;='RETRATO 2027'!$K$5,"EM ANDAMENTO","A INICIAR")))</f>
        <v/>
      </c>
    </row>
    <row r="3611">
      <c r="M3611" s="2">
        <f>IF(C3611="","",IFERROR(INDEX($S$5:$S$304,MATCH(C3611,$R$5:$R$304,0))&amp;"","?"))</f>
        <v/>
      </c>
      <c r="N3611" s="2">
        <f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>
        <f>IF(OR(F3611="",G3611=""),"",IF(G3611&lt;='RETRATO 2027'!$K$5,"CONCLUÍDA",IF(F3611&lt;='RETRATO 2027'!$K$5,"EM ANDAMENTO","A INICIAR")))</f>
        <v/>
      </c>
    </row>
    <row r="3612">
      <c r="M3612" s="2">
        <f>IF(C3612="","",IFERROR(INDEX($S$5:$S$304,MATCH(C3612,$R$5:$R$304,0))&amp;"","?"))</f>
        <v/>
      </c>
      <c r="N3612" s="2">
        <f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>
        <f>IF(OR(F3612="",G3612=""),"",IF(G3612&lt;='RETRATO 2027'!$K$5,"CONCLUÍDA",IF(F3612&lt;='RETRATO 2027'!$K$5,"EM ANDAMENTO","A INICIAR")))</f>
        <v/>
      </c>
    </row>
    <row r="3613">
      <c r="M3613" s="2">
        <f>IF(C3613="","",IFERROR(INDEX($S$5:$S$304,MATCH(C3613,$R$5:$R$304,0))&amp;"","?"))</f>
        <v/>
      </c>
      <c r="N3613" s="2">
        <f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>
        <f>IF(OR(F3613="",G3613=""),"",IF(G3613&lt;='RETRATO 2027'!$K$5,"CONCLUÍDA",IF(F3613&lt;='RETRATO 2027'!$K$5,"EM ANDAMENTO","A INICIAR")))</f>
        <v/>
      </c>
    </row>
    <row r="3614">
      <c r="M3614" s="2">
        <f>IF(C3614="","",IFERROR(INDEX($S$5:$S$304,MATCH(C3614,$R$5:$R$304,0))&amp;"","?"))</f>
        <v/>
      </c>
      <c r="N3614" s="2">
        <f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>
        <f>IF(OR(F3614="",G3614=""),"",IF(G3614&lt;='RETRATO 2027'!$K$5,"CONCLUÍDA",IF(F3614&lt;='RETRATO 2027'!$K$5,"EM ANDAMENTO","A INICIAR")))</f>
        <v/>
      </c>
    </row>
    <row r="3615">
      <c r="M3615" s="2">
        <f>IF(C3615="","",IFERROR(INDEX($S$5:$S$304,MATCH(C3615,$R$5:$R$304,0))&amp;"","?"))</f>
        <v/>
      </c>
      <c r="N3615" s="2">
        <f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>
        <f>IF(OR(F3615="",G3615=""),"",IF(G3615&lt;='RETRATO 2027'!$K$5,"CONCLUÍDA",IF(F3615&lt;='RETRATO 2027'!$K$5,"EM ANDAMENTO","A INICIAR")))</f>
        <v/>
      </c>
    </row>
    <row r="3616">
      <c r="M3616" s="2">
        <f>IF(C3616="","",IFERROR(INDEX($S$5:$S$304,MATCH(C3616,$R$5:$R$304,0))&amp;"","?"))</f>
        <v/>
      </c>
      <c r="N3616" s="2">
        <f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>
        <f>IF(OR(F3616="",G3616=""),"",IF(G3616&lt;='RETRATO 2027'!$K$5,"CONCLUÍDA",IF(F3616&lt;='RETRATO 2027'!$K$5,"EM ANDAMENTO","A INICIAR")))</f>
        <v/>
      </c>
    </row>
    <row r="3617">
      <c r="M3617" s="2">
        <f>IF(C3617="","",IFERROR(INDEX($S$5:$S$304,MATCH(C3617,$R$5:$R$304,0))&amp;"","?"))</f>
        <v/>
      </c>
      <c r="N3617" s="2">
        <f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>
        <f>IF(OR(F3617="",G3617=""),"",IF(G3617&lt;='RETRATO 2027'!$K$5,"CONCLUÍDA",IF(F3617&lt;='RETRATO 2027'!$K$5,"EM ANDAMENTO","A INICIAR")))</f>
        <v/>
      </c>
    </row>
    <row r="3618">
      <c r="M3618" s="2">
        <f>IF(C3618="","",IFERROR(INDEX($S$5:$S$304,MATCH(C3618,$R$5:$R$304,0))&amp;"","?"))</f>
        <v/>
      </c>
      <c r="N3618" s="2">
        <f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>
        <f>IF(OR(F3618="",G3618=""),"",IF(G3618&lt;='RETRATO 2027'!$K$5,"CONCLUÍDA",IF(F3618&lt;='RETRATO 2027'!$K$5,"EM ANDAMENTO","A INICIAR")))</f>
        <v/>
      </c>
    </row>
    <row r="3619">
      <c r="M3619" s="2">
        <f>IF(C3619="","",IFERROR(INDEX($S$5:$S$304,MATCH(C3619,$R$5:$R$304,0))&amp;"","?"))</f>
        <v/>
      </c>
      <c r="N3619" s="2">
        <f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>
        <f>IF(OR(F3619="",G3619=""),"",IF(G3619&lt;='RETRATO 2027'!$K$5,"CONCLUÍDA",IF(F3619&lt;='RETRATO 2027'!$K$5,"EM ANDAMENTO","A INICIAR")))</f>
        <v/>
      </c>
    </row>
    <row r="3620">
      <c r="M3620" s="2">
        <f>IF(C3620="","",IFERROR(INDEX($S$5:$S$304,MATCH(C3620,$R$5:$R$304,0))&amp;"","?"))</f>
        <v/>
      </c>
      <c r="N3620" s="2">
        <f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>
        <f>IF(OR(F3620="",G3620=""),"",IF(G3620&lt;='RETRATO 2027'!$K$5,"CONCLUÍDA",IF(F3620&lt;='RETRATO 2027'!$K$5,"EM ANDAMENTO","A INICIAR")))</f>
        <v/>
      </c>
    </row>
    <row r="3621">
      <c r="M3621" s="2">
        <f>IF(C3621="","",IFERROR(INDEX($S$5:$S$304,MATCH(C3621,$R$5:$R$304,0))&amp;"","?"))</f>
        <v/>
      </c>
      <c r="N3621" s="2">
        <f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>
        <f>IF(OR(F3621="",G3621=""),"",IF(G3621&lt;='RETRATO 2027'!$K$5,"CONCLUÍDA",IF(F3621&lt;='RETRATO 2027'!$K$5,"EM ANDAMENTO","A INICIAR")))</f>
        <v/>
      </c>
    </row>
    <row r="3622">
      <c r="M3622" s="2">
        <f>IF(C3622="","",IFERROR(INDEX($S$5:$S$304,MATCH(C3622,$R$5:$R$304,0))&amp;"","?"))</f>
        <v/>
      </c>
      <c r="N3622" s="2">
        <f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>
        <f>IF(OR(F3622="",G3622=""),"",IF(G3622&lt;='RETRATO 2027'!$K$5,"CONCLUÍDA",IF(F3622&lt;='RETRATO 2027'!$K$5,"EM ANDAMENTO","A INICIAR")))</f>
        <v/>
      </c>
    </row>
    <row r="3623">
      <c r="M3623" s="2">
        <f>IF(C3623="","",IFERROR(INDEX($S$5:$S$304,MATCH(C3623,$R$5:$R$304,0))&amp;"","?"))</f>
        <v/>
      </c>
      <c r="N3623" s="2">
        <f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>
        <f>IF(OR(F3623="",G3623=""),"",IF(G3623&lt;='RETRATO 2027'!$K$5,"CONCLUÍDA",IF(F3623&lt;='RETRATO 2027'!$K$5,"EM ANDAMENTO","A INICIAR")))</f>
        <v/>
      </c>
    </row>
    <row r="3624">
      <c r="M3624" s="2">
        <f>IF(C3624="","",IFERROR(INDEX($S$5:$S$304,MATCH(C3624,$R$5:$R$304,0))&amp;"","?"))</f>
        <v/>
      </c>
      <c r="N3624" s="2">
        <f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>
        <f>IF(OR(F3624="",G3624=""),"",IF(G3624&lt;='RETRATO 2027'!$K$5,"CONCLUÍDA",IF(F3624&lt;='RETRATO 2027'!$K$5,"EM ANDAMENTO","A INICIAR")))</f>
        <v/>
      </c>
    </row>
    <row r="3625">
      <c r="M3625" s="2">
        <f>IF(C3625="","",IFERROR(INDEX($S$5:$S$304,MATCH(C3625,$R$5:$R$304,0))&amp;"","?"))</f>
        <v/>
      </c>
      <c r="N3625" s="2">
        <f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>
        <f>IF(OR(F3625="",G3625=""),"",IF(G3625&lt;='RETRATO 2027'!$K$5,"CONCLUÍDA",IF(F3625&lt;='RETRATO 2027'!$K$5,"EM ANDAMENTO","A INICIAR")))</f>
        <v/>
      </c>
    </row>
    <row r="3626">
      <c r="M3626" s="2">
        <f>IF(C3626="","",IFERROR(INDEX($S$5:$S$304,MATCH(C3626,$R$5:$R$304,0))&amp;"","?"))</f>
        <v/>
      </c>
      <c r="N3626" s="2">
        <f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>
        <f>IF(OR(F3626="",G3626=""),"",IF(G3626&lt;='RETRATO 2027'!$K$5,"CONCLUÍDA",IF(F3626&lt;='RETRATO 2027'!$K$5,"EM ANDAMENTO","A INICIAR")))</f>
        <v/>
      </c>
    </row>
    <row r="3627">
      <c r="M3627" s="2">
        <f>IF(C3627="","",IFERROR(INDEX($S$5:$S$304,MATCH(C3627,$R$5:$R$304,0))&amp;"","?"))</f>
        <v/>
      </c>
      <c r="N3627" s="2">
        <f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>
        <f>IF(OR(F3627="",G3627=""),"",IF(G3627&lt;='RETRATO 2027'!$K$5,"CONCLUÍDA",IF(F3627&lt;='RETRATO 2027'!$K$5,"EM ANDAMENTO","A INICIAR")))</f>
        <v/>
      </c>
    </row>
    <row r="3628">
      <c r="M3628" s="2">
        <f>IF(C3628="","",IFERROR(INDEX($S$5:$S$304,MATCH(C3628,$R$5:$R$304,0))&amp;"","?"))</f>
        <v/>
      </c>
      <c r="N3628" s="2">
        <f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>
        <f>IF(OR(F3628="",G3628=""),"",IF(G3628&lt;='RETRATO 2027'!$K$5,"CONCLUÍDA",IF(F3628&lt;='RETRATO 2027'!$K$5,"EM ANDAMENTO","A INICIAR")))</f>
        <v/>
      </c>
    </row>
    <row r="3629">
      <c r="M3629" s="2">
        <f>IF(C3629="","",IFERROR(INDEX($S$5:$S$304,MATCH(C3629,$R$5:$R$304,0))&amp;"","?"))</f>
        <v/>
      </c>
      <c r="N3629" s="2">
        <f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>
        <f>IF(OR(F3629="",G3629=""),"",IF(G3629&lt;='RETRATO 2027'!$K$5,"CONCLUÍDA",IF(F3629&lt;='RETRATO 2027'!$K$5,"EM ANDAMENTO","A INICIAR")))</f>
        <v/>
      </c>
    </row>
    <row r="3630">
      <c r="M3630" s="2">
        <f>IF(C3630="","",IFERROR(INDEX($S$5:$S$304,MATCH(C3630,$R$5:$R$304,0))&amp;"","?"))</f>
        <v/>
      </c>
      <c r="N3630" s="2">
        <f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>
        <f>IF(OR(F3630="",G3630=""),"",IF(G3630&lt;='RETRATO 2027'!$K$5,"CONCLUÍDA",IF(F3630&lt;='RETRATO 2027'!$K$5,"EM ANDAMENTO","A INICIAR")))</f>
        <v/>
      </c>
    </row>
    <row r="3631">
      <c r="M3631" s="2">
        <f>IF(C3631="","",IFERROR(INDEX($S$5:$S$304,MATCH(C3631,$R$5:$R$304,0))&amp;"","?"))</f>
        <v/>
      </c>
      <c r="N3631" s="2">
        <f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>
        <f>IF(OR(F3631="",G3631=""),"",IF(G3631&lt;='RETRATO 2027'!$K$5,"CONCLUÍDA",IF(F3631&lt;='RETRATO 2027'!$K$5,"EM ANDAMENTO","A INICIAR")))</f>
        <v/>
      </c>
    </row>
    <row r="3632">
      <c r="M3632" s="2">
        <f>IF(C3632="","",IFERROR(INDEX($S$5:$S$304,MATCH(C3632,$R$5:$R$304,0))&amp;"","?"))</f>
        <v/>
      </c>
      <c r="N3632" s="2">
        <f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>
        <f>IF(OR(F3632="",G3632=""),"",IF(G3632&lt;='RETRATO 2027'!$K$5,"CONCLUÍDA",IF(F3632&lt;='RETRATO 2027'!$K$5,"EM ANDAMENTO","A INICIAR")))</f>
        <v/>
      </c>
    </row>
    <row r="3633">
      <c r="M3633" s="2">
        <f>IF(C3633="","",IFERROR(INDEX($S$5:$S$304,MATCH(C3633,$R$5:$R$304,0))&amp;"","?"))</f>
        <v/>
      </c>
      <c r="N3633" s="2">
        <f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>
        <f>IF(OR(F3633="",G3633=""),"",IF(G3633&lt;='RETRATO 2027'!$K$5,"CONCLUÍDA",IF(F3633&lt;='RETRATO 2027'!$K$5,"EM ANDAMENTO","A INICIAR")))</f>
        <v/>
      </c>
    </row>
    <row r="3634">
      <c r="M3634" s="2">
        <f>IF(C3634="","",IFERROR(INDEX($S$5:$S$304,MATCH(C3634,$R$5:$R$304,0))&amp;"","?"))</f>
        <v/>
      </c>
      <c r="N3634" s="2">
        <f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>
        <f>IF(OR(F3634="",G3634=""),"",IF(G3634&lt;='RETRATO 2027'!$K$5,"CONCLUÍDA",IF(F3634&lt;='RETRATO 2027'!$K$5,"EM ANDAMENTO","A INICIAR")))</f>
        <v/>
      </c>
    </row>
    <row r="3635">
      <c r="M3635" s="2">
        <f>IF(C3635="","",IFERROR(INDEX($S$5:$S$304,MATCH(C3635,$R$5:$R$304,0))&amp;"","?"))</f>
        <v/>
      </c>
      <c r="N3635" s="2">
        <f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>
        <f>IF(OR(F3635="",G3635=""),"",IF(G3635&lt;='RETRATO 2027'!$K$5,"CONCLUÍDA",IF(F3635&lt;='RETRATO 2027'!$K$5,"EM ANDAMENTO","A INICIAR")))</f>
        <v/>
      </c>
    </row>
    <row r="3636">
      <c r="M3636" s="2">
        <f>IF(C3636="","",IFERROR(INDEX($S$5:$S$304,MATCH(C3636,$R$5:$R$304,0))&amp;"","?"))</f>
        <v/>
      </c>
      <c r="N3636" s="2">
        <f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>
        <f>IF(OR(F3636="",G3636=""),"",IF(G3636&lt;='RETRATO 2027'!$K$5,"CONCLUÍDA",IF(F3636&lt;='RETRATO 2027'!$K$5,"EM ANDAMENTO","A INICIAR")))</f>
        <v/>
      </c>
    </row>
    <row r="3637">
      <c r="M3637" s="2">
        <f>IF(C3637="","",IFERROR(INDEX($S$5:$S$304,MATCH(C3637,$R$5:$R$304,0))&amp;"","?"))</f>
        <v/>
      </c>
      <c r="N3637" s="2">
        <f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>
        <f>IF(OR(F3637="",G3637=""),"",IF(G3637&lt;='RETRATO 2027'!$K$5,"CONCLUÍDA",IF(F3637&lt;='RETRATO 2027'!$K$5,"EM ANDAMENTO","A INICIAR")))</f>
        <v/>
      </c>
    </row>
    <row r="3638">
      <c r="M3638" s="2">
        <f>IF(C3638="","",IFERROR(INDEX($S$5:$S$304,MATCH(C3638,$R$5:$R$304,0))&amp;"","?"))</f>
        <v/>
      </c>
      <c r="N3638" s="2">
        <f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>
        <f>IF(OR(F3638="",G3638=""),"",IF(G3638&lt;='RETRATO 2027'!$K$5,"CONCLUÍDA",IF(F3638&lt;='RETRATO 2027'!$K$5,"EM ANDAMENTO","A INICIAR")))</f>
        <v/>
      </c>
    </row>
    <row r="3639">
      <c r="M3639" s="2">
        <f>IF(C3639="","",IFERROR(INDEX($S$5:$S$304,MATCH(C3639,$R$5:$R$304,0))&amp;"","?"))</f>
        <v/>
      </c>
      <c r="N3639" s="2">
        <f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>
        <f>IF(OR(F3639="",G3639=""),"",IF(G3639&lt;='RETRATO 2027'!$K$5,"CONCLUÍDA",IF(F3639&lt;='RETRATO 2027'!$K$5,"EM ANDAMENTO","A INICIAR")))</f>
        <v/>
      </c>
    </row>
    <row r="3640">
      <c r="M3640" s="2">
        <f>IF(C3640="","",IFERROR(INDEX($S$5:$S$304,MATCH(C3640,$R$5:$R$304,0))&amp;"","?"))</f>
        <v/>
      </c>
      <c r="N3640" s="2">
        <f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>
        <f>IF(OR(F3640="",G3640=""),"",IF(G3640&lt;='RETRATO 2027'!$K$5,"CONCLUÍDA",IF(F3640&lt;='RETRATO 2027'!$K$5,"EM ANDAMENTO","A INICIAR")))</f>
        <v/>
      </c>
    </row>
    <row r="3641">
      <c r="M3641" s="2">
        <f>IF(C3641="","",IFERROR(INDEX($S$5:$S$304,MATCH(C3641,$R$5:$R$304,0))&amp;"","?"))</f>
        <v/>
      </c>
      <c r="N3641" s="2">
        <f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>
        <f>IF(OR(F3641="",G3641=""),"",IF(G3641&lt;='RETRATO 2027'!$K$5,"CONCLUÍDA",IF(F3641&lt;='RETRATO 2027'!$K$5,"EM ANDAMENTO","A INICIAR")))</f>
        <v/>
      </c>
    </row>
    <row r="3642">
      <c r="M3642" s="2">
        <f>IF(C3642="","",IFERROR(INDEX($S$5:$S$304,MATCH(C3642,$R$5:$R$304,0))&amp;"","?"))</f>
        <v/>
      </c>
      <c r="N3642" s="2">
        <f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>
        <f>IF(OR(F3642="",G3642=""),"",IF(G3642&lt;='RETRATO 2027'!$K$5,"CONCLUÍDA",IF(F3642&lt;='RETRATO 2027'!$K$5,"EM ANDAMENTO","A INICIAR")))</f>
        <v/>
      </c>
    </row>
    <row r="3643">
      <c r="M3643" s="2">
        <f>IF(C3643="","",IFERROR(INDEX($S$5:$S$304,MATCH(C3643,$R$5:$R$304,0))&amp;"","?"))</f>
        <v/>
      </c>
      <c r="N3643" s="2">
        <f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>
        <f>IF(OR(F3643="",G3643=""),"",IF(G3643&lt;='RETRATO 2027'!$K$5,"CONCLUÍDA",IF(F3643&lt;='RETRATO 2027'!$K$5,"EM ANDAMENTO","A INICIAR")))</f>
        <v/>
      </c>
    </row>
    <row r="3644">
      <c r="M3644" s="2">
        <f>IF(C3644="","",IFERROR(INDEX($S$5:$S$304,MATCH(C3644,$R$5:$R$304,0))&amp;"","?"))</f>
        <v/>
      </c>
      <c r="N3644" s="2">
        <f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>
        <f>IF(OR(F3644="",G3644=""),"",IF(G3644&lt;='RETRATO 2027'!$K$5,"CONCLUÍDA",IF(F3644&lt;='RETRATO 2027'!$K$5,"EM ANDAMENTO","A INICIAR")))</f>
        <v/>
      </c>
    </row>
    <row r="3645">
      <c r="M3645" s="2">
        <f>IF(C3645="","",IFERROR(INDEX($S$5:$S$304,MATCH(C3645,$R$5:$R$304,0))&amp;"","?"))</f>
        <v/>
      </c>
      <c r="N3645" s="2">
        <f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>
        <f>IF(OR(F3645="",G3645=""),"",IF(G3645&lt;='RETRATO 2027'!$K$5,"CONCLUÍDA",IF(F3645&lt;='RETRATO 2027'!$K$5,"EM ANDAMENTO","A INICIAR")))</f>
        <v/>
      </c>
    </row>
    <row r="3646">
      <c r="M3646" s="2">
        <f>IF(C3646="","",IFERROR(INDEX($S$5:$S$304,MATCH(C3646,$R$5:$R$304,0))&amp;"","?"))</f>
        <v/>
      </c>
      <c r="N3646" s="2">
        <f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>
        <f>IF(OR(F3646="",G3646=""),"",IF(G3646&lt;='RETRATO 2027'!$K$5,"CONCLUÍDA",IF(F3646&lt;='RETRATO 2027'!$K$5,"EM ANDAMENTO","A INICIAR")))</f>
        <v/>
      </c>
    </row>
    <row r="3647">
      <c r="M3647" s="2">
        <f>IF(C3647="","",IFERROR(INDEX($S$5:$S$304,MATCH(C3647,$R$5:$R$304,0))&amp;"","?"))</f>
        <v/>
      </c>
      <c r="N3647" s="2">
        <f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>
        <f>IF(OR(F3647="",G3647=""),"",IF(G3647&lt;='RETRATO 2027'!$K$5,"CONCLUÍDA",IF(F3647&lt;='RETRATO 2027'!$K$5,"EM ANDAMENTO","A INICIAR")))</f>
        <v/>
      </c>
    </row>
    <row r="3648">
      <c r="M3648" s="2">
        <f>IF(C3648="","",IFERROR(INDEX($S$5:$S$304,MATCH(C3648,$R$5:$R$304,0))&amp;"","?"))</f>
        <v/>
      </c>
      <c r="N3648" s="2">
        <f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>
        <f>IF(OR(F3648="",G3648=""),"",IF(G3648&lt;='RETRATO 2027'!$K$5,"CONCLUÍDA",IF(F3648&lt;='RETRATO 2027'!$K$5,"EM ANDAMENTO","A INICIAR")))</f>
        <v/>
      </c>
    </row>
    <row r="3649">
      <c r="M3649" s="2">
        <f>IF(C3649="","",IFERROR(INDEX($S$5:$S$304,MATCH(C3649,$R$5:$R$304,0))&amp;"","?"))</f>
        <v/>
      </c>
      <c r="N3649" s="2">
        <f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>
        <f>IF(OR(F3649="",G3649=""),"",IF(G3649&lt;='RETRATO 2027'!$K$5,"CONCLUÍDA",IF(F3649&lt;='RETRATO 2027'!$K$5,"EM ANDAMENTO","A INICIAR")))</f>
        <v/>
      </c>
    </row>
    <row r="3650">
      <c r="M3650" s="2">
        <f>IF(C3650="","",IFERROR(INDEX($S$5:$S$304,MATCH(C3650,$R$5:$R$304,0))&amp;"","?"))</f>
        <v/>
      </c>
      <c r="N3650" s="2">
        <f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>
        <f>IF(OR(F3650="",G3650=""),"",IF(G3650&lt;='RETRATO 2027'!$K$5,"CONCLUÍDA",IF(F3650&lt;='RETRATO 2027'!$K$5,"EM ANDAMENTO","A INICIAR")))</f>
        <v/>
      </c>
    </row>
    <row r="3651">
      <c r="M3651" s="2">
        <f>IF(C3651="","",IFERROR(INDEX($S$5:$S$304,MATCH(C3651,$R$5:$R$304,0))&amp;"","?"))</f>
        <v/>
      </c>
      <c r="N3651" s="2">
        <f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>
        <f>IF(OR(F3651="",G3651=""),"",IF(G3651&lt;='RETRATO 2027'!$K$5,"CONCLUÍDA",IF(F3651&lt;='RETRATO 2027'!$K$5,"EM ANDAMENTO","A INICIAR")))</f>
        <v/>
      </c>
    </row>
    <row r="3652">
      <c r="M3652" s="2">
        <f>IF(C3652="","",IFERROR(INDEX($S$5:$S$304,MATCH(C3652,$R$5:$R$304,0))&amp;"","?"))</f>
        <v/>
      </c>
      <c r="N3652" s="2">
        <f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>
        <f>IF(OR(F3652="",G3652=""),"",IF(G3652&lt;='RETRATO 2027'!$K$5,"CONCLUÍDA",IF(F3652&lt;='RETRATO 2027'!$K$5,"EM ANDAMENTO","A INICIAR")))</f>
        <v/>
      </c>
    </row>
    <row r="3653">
      <c r="M3653" s="2">
        <f>IF(C3653="","",IFERROR(INDEX($S$5:$S$304,MATCH(C3653,$R$5:$R$304,0))&amp;"","?"))</f>
        <v/>
      </c>
      <c r="N3653" s="2">
        <f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>
        <f>IF(OR(F3653="",G3653=""),"",IF(G3653&lt;='RETRATO 2027'!$K$5,"CONCLUÍDA",IF(F3653&lt;='RETRATO 2027'!$K$5,"EM ANDAMENTO","A INICIAR")))</f>
        <v/>
      </c>
    </row>
    <row r="3654">
      <c r="M3654" s="2">
        <f>IF(C3654="","",IFERROR(INDEX($S$5:$S$304,MATCH(C3654,$R$5:$R$304,0))&amp;"","?"))</f>
        <v/>
      </c>
      <c r="N3654" s="2">
        <f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>
        <f>IF(OR(F3654="",G3654=""),"",IF(G3654&lt;='RETRATO 2027'!$K$5,"CONCLUÍDA",IF(F3654&lt;='RETRATO 2027'!$K$5,"EM ANDAMENTO","A INICIAR")))</f>
        <v/>
      </c>
    </row>
    <row r="3655">
      <c r="M3655" s="2">
        <f>IF(C3655="","",IFERROR(INDEX($S$5:$S$304,MATCH(C3655,$R$5:$R$304,0))&amp;"","?"))</f>
        <v/>
      </c>
      <c r="N3655" s="2">
        <f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>
        <f>IF(OR(F3655="",G3655=""),"",IF(G3655&lt;='RETRATO 2027'!$K$5,"CONCLUÍDA",IF(F3655&lt;='RETRATO 2027'!$K$5,"EM ANDAMENTO","A INICIAR")))</f>
        <v/>
      </c>
    </row>
    <row r="3656">
      <c r="M3656" s="2">
        <f>IF(C3656="","",IFERROR(INDEX($S$5:$S$304,MATCH(C3656,$R$5:$R$304,0))&amp;"","?"))</f>
        <v/>
      </c>
      <c r="N3656" s="2">
        <f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>
        <f>IF(OR(F3656="",G3656=""),"",IF(G3656&lt;='RETRATO 2027'!$K$5,"CONCLUÍDA",IF(F3656&lt;='RETRATO 2027'!$K$5,"EM ANDAMENTO","A INICIAR")))</f>
        <v/>
      </c>
    </row>
    <row r="3657">
      <c r="M3657" s="2">
        <f>IF(C3657="","",IFERROR(INDEX($S$5:$S$304,MATCH(C3657,$R$5:$R$304,0))&amp;"","?"))</f>
        <v/>
      </c>
      <c r="N3657" s="2">
        <f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>
        <f>IF(OR(F3657="",G3657=""),"",IF(G3657&lt;='RETRATO 2027'!$K$5,"CONCLUÍDA",IF(F3657&lt;='RETRATO 2027'!$K$5,"EM ANDAMENTO","A INICIAR")))</f>
        <v/>
      </c>
    </row>
    <row r="3658">
      <c r="M3658" s="2">
        <f>IF(C3658="","",IFERROR(INDEX($S$5:$S$304,MATCH(C3658,$R$5:$R$304,0))&amp;"","?"))</f>
        <v/>
      </c>
      <c r="N3658" s="2">
        <f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>
        <f>IF(OR(F3658="",G3658=""),"",IF(G3658&lt;='RETRATO 2027'!$K$5,"CONCLUÍDA",IF(F3658&lt;='RETRATO 2027'!$K$5,"EM ANDAMENTO","A INICIAR")))</f>
        <v/>
      </c>
    </row>
    <row r="3659">
      <c r="M3659" s="2">
        <f>IF(C3659="","",IFERROR(INDEX($S$5:$S$304,MATCH(C3659,$R$5:$R$304,0))&amp;"","?"))</f>
        <v/>
      </c>
      <c r="N3659" s="2">
        <f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>
        <f>IF(OR(F3659="",G3659=""),"",IF(G3659&lt;='RETRATO 2027'!$K$5,"CONCLUÍDA",IF(F3659&lt;='RETRATO 2027'!$K$5,"EM ANDAMENTO","A INICIAR")))</f>
        <v/>
      </c>
    </row>
    <row r="3660">
      <c r="M3660" s="2">
        <f>IF(C3660="","",IFERROR(INDEX($S$5:$S$304,MATCH(C3660,$R$5:$R$304,0))&amp;"","?"))</f>
        <v/>
      </c>
      <c r="N3660" s="2">
        <f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>
        <f>IF(OR(F3660="",G3660=""),"",IF(G3660&lt;='RETRATO 2027'!$K$5,"CONCLUÍDA",IF(F3660&lt;='RETRATO 2027'!$K$5,"EM ANDAMENTO","A INICIAR")))</f>
        <v/>
      </c>
    </row>
    <row r="3661">
      <c r="M3661" s="2">
        <f>IF(C3661="","",IFERROR(INDEX($S$5:$S$304,MATCH(C3661,$R$5:$R$304,0))&amp;"","?"))</f>
        <v/>
      </c>
      <c r="N3661" s="2">
        <f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>
        <f>IF(OR(F3661="",G3661=""),"",IF(G3661&lt;='RETRATO 2027'!$K$5,"CONCLUÍDA",IF(F3661&lt;='RETRATO 2027'!$K$5,"EM ANDAMENTO","A INICIAR")))</f>
        <v/>
      </c>
    </row>
    <row r="3662">
      <c r="M3662" s="2">
        <f>IF(C3662="","",IFERROR(INDEX($S$5:$S$304,MATCH(C3662,$R$5:$R$304,0))&amp;"","?"))</f>
        <v/>
      </c>
      <c r="N3662" s="2">
        <f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>
        <f>IF(OR(F3662="",G3662=""),"",IF(G3662&lt;='RETRATO 2027'!$K$5,"CONCLUÍDA",IF(F3662&lt;='RETRATO 2027'!$K$5,"EM ANDAMENTO","A INICIAR")))</f>
        <v/>
      </c>
    </row>
    <row r="3663">
      <c r="M3663" s="2">
        <f>IF(C3663="","",IFERROR(INDEX($S$5:$S$304,MATCH(C3663,$R$5:$R$304,0))&amp;"","?"))</f>
        <v/>
      </c>
      <c r="N3663" s="2">
        <f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>
        <f>IF(OR(F3663="",G3663=""),"",IF(G3663&lt;='RETRATO 2027'!$K$5,"CONCLUÍDA",IF(F3663&lt;='RETRATO 2027'!$K$5,"EM ANDAMENTO","A INICIAR")))</f>
        <v/>
      </c>
    </row>
    <row r="3664">
      <c r="M3664" s="2">
        <f>IF(C3664="","",IFERROR(INDEX($S$5:$S$304,MATCH(C3664,$R$5:$R$304,0))&amp;"","?"))</f>
        <v/>
      </c>
      <c r="N3664" s="2">
        <f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>
        <f>IF(OR(F3664="",G3664=""),"",IF(G3664&lt;='RETRATO 2027'!$K$5,"CONCLUÍDA",IF(F3664&lt;='RETRATO 2027'!$K$5,"EM ANDAMENTO","A INICIAR")))</f>
        <v/>
      </c>
    </row>
    <row r="3665">
      <c r="M3665" s="2">
        <f>IF(C3665="","",IFERROR(INDEX($S$5:$S$304,MATCH(C3665,$R$5:$R$304,0))&amp;"","?"))</f>
        <v/>
      </c>
      <c r="N3665" s="2">
        <f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>
        <f>IF(OR(F3665="",G3665=""),"",IF(G3665&lt;='RETRATO 2027'!$K$5,"CONCLUÍDA",IF(F3665&lt;='RETRATO 2027'!$K$5,"EM ANDAMENTO","A INICIAR")))</f>
        <v/>
      </c>
    </row>
    <row r="3666">
      <c r="M3666" s="2">
        <f>IF(C3666="","",IFERROR(INDEX($S$5:$S$304,MATCH(C3666,$R$5:$R$304,0))&amp;"","?"))</f>
        <v/>
      </c>
      <c r="N3666" s="2">
        <f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>
        <f>IF(OR(F3666="",G3666=""),"",IF(G3666&lt;='RETRATO 2027'!$K$5,"CONCLUÍDA",IF(F3666&lt;='RETRATO 2027'!$K$5,"EM ANDAMENTO","A INICIAR")))</f>
        <v/>
      </c>
    </row>
    <row r="3667">
      <c r="M3667" s="2">
        <f>IF(C3667="","",IFERROR(INDEX($S$5:$S$304,MATCH(C3667,$R$5:$R$304,0))&amp;"","?"))</f>
        <v/>
      </c>
      <c r="N3667" s="2">
        <f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>
        <f>IF(OR(F3667="",G3667=""),"",IF(G3667&lt;='RETRATO 2027'!$K$5,"CONCLUÍDA",IF(F3667&lt;='RETRATO 2027'!$K$5,"EM ANDAMENTO","A INICIAR")))</f>
        <v/>
      </c>
    </row>
    <row r="3668">
      <c r="M3668" s="2">
        <f>IF(C3668="","",IFERROR(INDEX($S$5:$S$304,MATCH(C3668,$R$5:$R$304,0))&amp;"","?"))</f>
        <v/>
      </c>
      <c r="N3668" s="2">
        <f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>
        <f>IF(OR(F3668="",G3668=""),"",IF(G3668&lt;='RETRATO 2027'!$K$5,"CONCLUÍDA",IF(F3668&lt;='RETRATO 2027'!$K$5,"EM ANDAMENTO","A INICIAR")))</f>
        <v/>
      </c>
    </row>
    <row r="3669">
      <c r="M3669" s="2">
        <f>IF(C3669="","",IFERROR(INDEX($S$5:$S$304,MATCH(C3669,$R$5:$R$304,0))&amp;"","?"))</f>
        <v/>
      </c>
      <c r="N3669" s="2">
        <f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>
        <f>IF(OR(F3669="",G3669=""),"",IF(G3669&lt;='RETRATO 2027'!$K$5,"CONCLUÍDA",IF(F3669&lt;='RETRATO 2027'!$K$5,"EM ANDAMENTO","A INICIAR")))</f>
        <v/>
      </c>
    </row>
    <row r="3670">
      <c r="M3670" s="2">
        <f>IF(C3670="","",IFERROR(INDEX($S$5:$S$304,MATCH(C3670,$R$5:$R$304,0))&amp;"","?"))</f>
        <v/>
      </c>
      <c r="N3670" s="2">
        <f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>
        <f>IF(OR(F3670="",G3670=""),"",IF(G3670&lt;='RETRATO 2027'!$K$5,"CONCLUÍDA",IF(F3670&lt;='RETRATO 2027'!$K$5,"EM ANDAMENTO","A INICIAR")))</f>
        <v/>
      </c>
    </row>
    <row r="3671">
      <c r="M3671" s="2">
        <f>IF(C3671="","",IFERROR(INDEX($S$5:$S$304,MATCH(C3671,$R$5:$R$304,0))&amp;"","?"))</f>
        <v/>
      </c>
      <c r="N3671" s="2">
        <f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>
        <f>IF(OR(F3671="",G3671=""),"",IF(G3671&lt;='RETRATO 2027'!$K$5,"CONCLUÍDA",IF(F3671&lt;='RETRATO 2027'!$K$5,"EM ANDAMENTO","A INICIAR")))</f>
        <v/>
      </c>
    </row>
    <row r="3672">
      <c r="M3672" s="2">
        <f>IF(C3672="","",IFERROR(INDEX($S$5:$S$304,MATCH(C3672,$R$5:$R$304,0))&amp;"","?"))</f>
        <v/>
      </c>
      <c r="N3672" s="2">
        <f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>
        <f>IF(OR(F3672="",G3672=""),"",IF(G3672&lt;='RETRATO 2027'!$K$5,"CONCLUÍDA",IF(F3672&lt;='RETRATO 2027'!$K$5,"EM ANDAMENTO","A INICIAR")))</f>
        <v/>
      </c>
    </row>
    <row r="3673">
      <c r="M3673" s="2">
        <f>IF(C3673="","",IFERROR(INDEX($S$5:$S$304,MATCH(C3673,$R$5:$R$304,0))&amp;"","?"))</f>
        <v/>
      </c>
      <c r="N3673" s="2">
        <f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>
        <f>IF(OR(F3673="",G3673=""),"",IF(G3673&lt;='RETRATO 2027'!$K$5,"CONCLUÍDA",IF(F3673&lt;='RETRATO 2027'!$K$5,"EM ANDAMENTO","A INICIAR")))</f>
        <v/>
      </c>
    </row>
    <row r="3674">
      <c r="M3674" s="2">
        <f>IF(C3674="","",IFERROR(INDEX($S$5:$S$304,MATCH(C3674,$R$5:$R$304,0))&amp;"","?"))</f>
        <v/>
      </c>
      <c r="N3674" s="2">
        <f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>
        <f>IF(OR(F3674="",G3674=""),"",IF(G3674&lt;='RETRATO 2027'!$K$5,"CONCLUÍDA",IF(F3674&lt;='RETRATO 2027'!$K$5,"EM ANDAMENTO","A INICIAR")))</f>
        <v/>
      </c>
    </row>
    <row r="3675">
      <c r="M3675" s="2">
        <f>IF(C3675="","",IFERROR(INDEX($S$5:$S$304,MATCH(C3675,$R$5:$R$304,0))&amp;"","?"))</f>
        <v/>
      </c>
      <c r="N3675" s="2">
        <f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>
        <f>IF(OR(F3675="",G3675=""),"",IF(G3675&lt;='RETRATO 2027'!$K$5,"CONCLUÍDA",IF(F3675&lt;='RETRATO 2027'!$K$5,"EM ANDAMENTO","A INICIAR")))</f>
        <v/>
      </c>
    </row>
    <row r="3676">
      <c r="M3676" s="2">
        <f>IF(C3676="","",IFERROR(INDEX($S$5:$S$304,MATCH(C3676,$R$5:$R$304,0))&amp;"","?"))</f>
        <v/>
      </c>
      <c r="N3676" s="2">
        <f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>
        <f>IF(OR(F3676="",G3676=""),"",IF(G3676&lt;='RETRATO 2027'!$K$5,"CONCLUÍDA",IF(F3676&lt;='RETRATO 2027'!$K$5,"EM ANDAMENTO","A INICIAR")))</f>
        <v/>
      </c>
    </row>
    <row r="3677">
      <c r="M3677" s="2">
        <f>IF(C3677="","",IFERROR(INDEX($S$5:$S$304,MATCH(C3677,$R$5:$R$304,0))&amp;"","?"))</f>
        <v/>
      </c>
      <c r="N3677" s="2">
        <f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>
        <f>IF(OR(F3677="",G3677=""),"",IF(G3677&lt;='RETRATO 2027'!$K$5,"CONCLUÍDA",IF(F3677&lt;='RETRATO 2027'!$K$5,"EM ANDAMENTO","A INICIAR")))</f>
        <v/>
      </c>
    </row>
    <row r="3678">
      <c r="M3678" s="2">
        <f>IF(C3678="","",IFERROR(INDEX($S$5:$S$304,MATCH(C3678,$R$5:$R$304,0))&amp;"","?"))</f>
        <v/>
      </c>
      <c r="N3678" s="2">
        <f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>
        <f>IF(OR(F3678="",G3678=""),"",IF(G3678&lt;='RETRATO 2027'!$K$5,"CONCLUÍDA",IF(F3678&lt;='RETRATO 2027'!$K$5,"EM ANDAMENTO","A INICIAR")))</f>
        <v/>
      </c>
    </row>
    <row r="3679">
      <c r="M3679" s="2">
        <f>IF(C3679="","",IFERROR(INDEX($S$5:$S$304,MATCH(C3679,$R$5:$R$304,0))&amp;"","?"))</f>
        <v/>
      </c>
      <c r="N3679" s="2">
        <f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>
        <f>IF(OR(F3679="",G3679=""),"",IF(G3679&lt;='RETRATO 2027'!$K$5,"CONCLUÍDA",IF(F3679&lt;='RETRATO 2027'!$K$5,"EM ANDAMENTO","A INICIAR")))</f>
        <v/>
      </c>
    </row>
    <row r="3680">
      <c r="M3680" s="2">
        <f>IF(C3680="","",IFERROR(INDEX($S$5:$S$304,MATCH(C3680,$R$5:$R$304,0))&amp;"","?"))</f>
        <v/>
      </c>
      <c r="N3680" s="2">
        <f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>
        <f>IF(OR(F3680="",G3680=""),"",IF(G3680&lt;='RETRATO 2027'!$K$5,"CONCLUÍDA",IF(F3680&lt;='RETRATO 2027'!$K$5,"EM ANDAMENTO","A INICIAR")))</f>
        <v/>
      </c>
    </row>
    <row r="3681">
      <c r="M3681" s="2">
        <f>IF(C3681="","",IFERROR(INDEX($S$5:$S$304,MATCH(C3681,$R$5:$R$304,0))&amp;"","?"))</f>
        <v/>
      </c>
      <c r="N3681" s="2">
        <f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>
        <f>IF(OR(F3681="",G3681=""),"",IF(G3681&lt;='RETRATO 2027'!$K$5,"CONCLUÍDA",IF(F3681&lt;='RETRATO 2027'!$K$5,"EM ANDAMENTO","A INICIAR")))</f>
        <v/>
      </c>
    </row>
    <row r="3682">
      <c r="M3682" s="2">
        <f>IF(C3682="","",IFERROR(INDEX($S$5:$S$304,MATCH(C3682,$R$5:$R$304,0))&amp;"","?"))</f>
        <v/>
      </c>
      <c r="N3682" s="2">
        <f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>
        <f>IF(OR(F3682="",G3682=""),"",IF(G3682&lt;='RETRATO 2027'!$K$5,"CONCLUÍDA",IF(F3682&lt;='RETRATO 2027'!$K$5,"EM ANDAMENTO","A INICIAR")))</f>
        <v/>
      </c>
    </row>
    <row r="3683">
      <c r="M3683" s="2">
        <f>IF(C3683="","",IFERROR(INDEX($S$5:$S$304,MATCH(C3683,$R$5:$R$304,0))&amp;"","?"))</f>
        <v/>
      </c>
      <c r="N3683" s="2">
        <f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>
        <f>IF(OR(F3683="",G3683=""),"",IF(G3683&lt;='RETRATO 2027'!$K$5,"CONCLUÍDA",IF(F3683&lt;='RETRATO 2027'!$K$5,"EM ANDAMENTO","A INICIAR")))</f>
        <v/>
      </c>
    </row>
    <row r="3684">
      <c r="M3684" s="2">
        <f>IF(C3684="","",IFERROR(INDEX($S$5:$S$304,MATCH(C3684,$R$5:$R$304,0))&amp;"","?"))</f>
        <v/>
      </c>
      <c r="N3684" s="2">
        <f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>
        <f>IF(OR(F3684="",G3684=""),"",IF(G3684&lt;='RETRATO 2027'!$K$5,"CONCLUÍDA",IF(F3684&lt;='RETRATO 2027'!$K$5,"EM ANDAMENTO","A INICIAR")))</f>
        <v/>
      </c>
    </row>
    <row r="3685">
      <c r="M3685" s="2">
        <f>IF(C3685="","",IFERROR(INDEX($S$5:$S$304,MATCH(C3685,$R$5:$R$304,0))&amp;"","?"))</f>
        <v/>
      </c>
      <c r="N3685" s="2">
        <f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>
        <f>IF(OR(F3685="",G3685=""),"",IF(G3685&lt;='RETRATO 2027'!$K$5,"CONCLUÍDA",IF(F3685&lt;='RETRATO 2027'!$K$5,"EM ANDAMENTO","A INICIAR")))</f>
        <v/>
      </c>
    </row>
    <row r="3686">
      <c r="M3686" s="2">
        <f>IF(C3686="","",IFERROR(INDEX($S$5:$S$304,MATCH(C3686,$R$5:$R$304,0))&amp;"","?"))</f>
        <v/>
      </c>
      <c r="N3686" s="2">
        <f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>
        <f>IF(OR(F3686="",G3686=""),"",IF(G3686&lt;='RETRATO 2027'!$K$5,"CONCLUÍDA",IF(F3686&lt;='RETRATO 2027'!$K$5,"EM ANDAMENTO","A INICIAR")))</f>
        <v/>
      </c>
    </row>
    <row r="3687">
      <c r="M3687" s="2">
        <f>IF(C3687="","",IFERROR(INDEX($S$5:$S$304,MATCH(C3687,$R$5:$R$304,0))&amp;"","?"))</f>
        <v/>
      </c>
      <c r="N3687" s="2">
        <f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>
        <f>IF(OR(F3687="",G3687=""),"",IF(G3687&lt;='RETRATO 2027'!$K$5,"CONCLUÍDA",IF(F3687&lt;='RETRATO 2027'!$K$5,"EM ANDAMENTO","A INICIAR")))</f>
        <v/>
      </c>
    </row>
    <row r="3688">
      <c r="M3688" s="2">
        <f>IF(C3688="","",IFERROR(INDEX($S$5:$S$304,MATCH(C3688,$R$5:$R$304,0))&amp;"","?"))</f>
        <v/>
      </c>
      <c r="N3688" s="2">
        <f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>
        <f>IF(OR(F3688="",G3688=""),"",IF(G3688&lt;='RETRATO 2027'!$K$5,"CONCLUÍDA",IF(F3688&lt;='RETRATO 2027'!$K$5,"EM ANDAMENTO","A INICIAR")))</f>
        <v/>
      </c>
    </row>
    <row r="3689">
      <c r="M3689" s="2">
        <f>IF(C3689="","",IFERROR(INDEX($S$5:$S$304,MATCH(C3689,$R$5:$R$304,0))&amp;"","?"))</f>
        <v/>
      </c>
      <c r="N3689" s="2">
        <f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>
        <f>IF(OR(F3689="",G3689=""),"",IF(G3689&lt;='RETRATO 2027'!$K$5,"CONCLUÍDA",IF(F3689&lt;='RETRATO 2027'!$K$5,"EM ANDAMENTO","A INICIAR")))</f>
        <v/>
      </c>
    </row>
    <row r="3690">
      <c r="M3690" s="2">
        <f>IF(C3690="","",IFERROR(INDEX($S$5:$S$304,MATCH(C3690,$R$5:$R$304,0))&amp;"","?"))</f>
        <v/>
      </c>
      <c r="N3690" s="2">
        <f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>
        <f>IF(OR(F3690="",G3690=""),"",IF(G3690&lt;='RETRATO 2027'!$K$5,"CONCLUÍDA",IF(F3690&lt;='RETRATO 2027'!$K$5,"EM ANDAMENTO","A INICIAR")))</f>
        <v/>
      </c>
    </row>
    <row r="3691">
      <c r="M3691" s="2">
        <f>IF(C3691="","",IFERROR(INDEX($S$5:$S$304,MATCH(C3691,$R$5:$R$304,0))&amp;"","?"))</f>
        <v/>
      </c>
      <c r="N3691" s="2">
        <f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>
        <f>IF(OR(F3691="",G3691=""),"",IF(G3691&lt;='RETRATO 2027'!$K$5,"CONCLUÍDA",IF(F3691&lt;='RETRATO 2027'!$K$5,"EM ANDAMENTO","A INICIAR")))</f>
        <v/>
      </c>
    </row>
    <row r="3692">
      <c r="M3692" s="2">
        <f>IF(C3692="","",IFERROR(INDEX($S$5:$S$304,MATCH(C3692,$R$5:$R$304,0))&amp;"","?"))</f>
        <v/>
      </c>
      <c r="N3692" s="2">
        <f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>
        <f>IF(OR(F3692="",G3692=""),"",IF(G3692&lt;='RETRATO 2027'!$K$5,"CONCLUÍDA",IF(F3692&lt;='RETRATO 2027'!$K$5,"EM ANDAMENTO","A INICIAR")))</f>
        <v/>
      </c>
    </row>
    <row r="3693">
      <c r="M3693" s="2">
        <f>IF(C3693="","",IFERROR(INDEX($S$5:$S$304,MATCH(C3693,$R$5:$R$304,0))&amp;"","?"))</f>
        <v/>
      </c>
      <c r="N3693" s="2">
        <f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>
        <f>IF(OR(F3693="",G3693=""),"",IF(G3693&lt;='RETRATO 2027'!$K$5,"CONCLUÍDA",IF(F3693&lt;='RETRATO 2027'!$K$5,"EM ANDAMENTO","A INICIAR")))</f>
        <v/>
      </c>
    </row>
    <row r="3694">
      <c r="M3694" s="2">
        <f>IF(C3694="","",IFERROR(INDEX($S$5:$S$304,MATCH(C3694,$R$5:$R$304,0))&amp;"","?"))</f>
        <v/>
      </c>
      <c r="N3694" s="2">
        <f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>
        <f>IF(OR(F3694="",G3694=""),"",IF(G3694&lt;='RETRATO 2027'!$K$5,"CONCLUÍDA",IF(F3694&lt;='RETRATO 2027'!$K$5,"EM ANDAMENTO","A INICIAR")))</f>
        <v/>
      </c>
    </row>
    <row r="3695">
      <c r="M3695" s="2">
        <f>IF(C3695="","",IFERROR(INDEX($S$5:$S$304,MATCH(C3695,$R$5:$R$304,0))&amp;"","?"))</f>
        <v/>
      </c>
      <c r="N3695" s="2">
        <f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>
        <f>IF(OR(F3695="",G3695=""),"",IF(G3695&lt;='RETRATO 2027'!$K$5,"CONCLUÍDA",IF(F3695&lt;='RETRATO 2027'!$K$5,"EM ANDAMENTO","A INICIAR")))</f>
        <v/>
      </c>
    </row>
    <row r="3696">
      <c r="M3696" s="2">
        <f>IF(C3696="","",IFERROR(INDEX($S$5:$S$304,MATCH(C3696,$R$5:$R$304,0))&amp;"","?"))</f>
        <v/>
      </c>
      <c r="N3696" s="2">
        <f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>
        <f>IF(OR(F3696="",G3696=""),"",IF(G3696&lt;='RETRATO 2027'!$K$5,"CONCLUÍDA",IF(F3696&lt;='RETRATO 2027'!$K$5,"EM ANDAMENTO","A INICIAR")))</f>
        <v/>
      </c>
    </row>
    <row r="3697">
      <c r="M3697" s="2">
        <f>IF(C3697="","",IFERROR(INDEX($S$5:$S$304,MATCH(C3697,$R$5:$R$304,0))&amp;"","?"))</f>
        <v/>
      </c>
      <c r="N3697" s="2">
        <f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>
        <f>IF(OR(F3697="",G3697=""),"",IF(G3697&lt;='RETRATO 2027'!$K$5,"CONCLUÍDA",IF(F3697&lt;='RETRATO 2027'!$K$5,"EM ANDAMENTO","A INICIAR")))</f>
        <v/>
      </c>
    </row>
    <row r="3698">
      <c r="M3698" s="2">
        <f>IF(C3698="","",IFERROR(INDEX($S$5:$S$304,MATCH(C3698,$R$5:$R$304,0))&amp;"","?"))</f>
        <v/>
      </c>
      <c r="N3698" s="2">
        <f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>
        <f>IF(OR(F3698="",G3698=""),"",IF(G3698&lt;='RETRATO 2027'!$K$5,"CONCLUÍDA",IF(F3698&lt;='RETRATO 2027'!$K$5,"EM ANDAMENTO","A INICIAR")))</f>
        <v/>
      </c>
    </row>
    <row r="3699">
      <c r="M3699" s="2">
        <f>IF(C3699="","",IFERROR(INDEX($S$5:$S$304,MATCH(C3699,$R$5:$R$304,0))&amp;"","?"))</f>
        <v/>
      </c>
      <c r="N3699" s="2">
        <f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>
        <f>IF(OR(F3699="",G3699=""),"",IF(G3699&lt;='RETRATO 2027'!$K$5,"CONCLUÍDA",IF(F3699&lt;='RETRATO 2027'!$K$5,"EM ANDAMENTO","A INICIAR")))</f>
        <v/>
      </c>
    </row>
    <row r="3700">
      <c r="M3700" s="2">
        <f>IF(C3700="","",IFERROR(INDEX($S$5:$S$304,MATCH(C3700,$R$5:$R$304,0))&amp;"","?"))</f>
        <v/>
      </c>
      <c r="N3700" s="2">
        <f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>
        <f>IF(OR(F3700="",G3700=""),"",IF(G3700&lt;='RETRATO 2027'!$K$5,"CONCLUÍDA",IF(F3700&lt;='RETRATO 2027'!$K$5,"EM ANDAMENTO","A INICIAR")))</f>
        <v/>
      </c>
    </row>
    <row r="3701">
      <c r="M3701" s="2">
        <f>IF(C3701="","",IFERROR(INDEX($S$5:$S$304,MATCH(C3701,$R$5:$R$304,0))&amp;"","?"))</f>
        <v/>
      </c>
      <c r="N3701" s="2">
        <f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>
        <f>IF(OR(F3701="",G3701=""),"",IF(G3701&lt;='RETRATO 2027'!$K$5,"CONCLUÍDA",IF(F3701&lt;='RETRATO 2027'!$K$5,"EM ANDAMENTO","A INICIAR")))</f>
        <v/>
      </c>
    </row>
    <row r="3702">
      <c r="M3702" s="2">
        <f>IF(C3702="","",IFERROR(INDEX($S$5:$S$304,MATCH(C3702,$R$5:$R$304,0))&amp;"","?"))</f>
        <v/>
      </c>
      <c r="N3702" s="2">
        <f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>
        <f>IF(OR(F3702="",G3702=""),"",IF(G3702&lt;='RETRATO 2027'!$K$5,"CONCLUÍDA",IF(F3702&lt;='RETRATO 2027'!$K$5,"EM ANDAMENTO","A INICIAR")))</f>
        <v/>
      </c>
    </row>
    <row r="3703">
      <c r="M3703" s="2">
        <f>IF(C3703="","",IFERROR(INDEX($S$5:$S$304,MATCH(C3703,$R$5:$R$304,0))&amp;"","?"))</f>
        <v/>
      </c>
      <c r="N3703" s="2">
        <f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>
        <f>IF(OR(F3703="",G3703=""),"",IF(G3703&lt;='RETRATO 2027'!$K$5,"CONCLUÍDA",IF(F3703&lt;='RETRATO 2027'!$K$5,"EM ANDAMENTO","A INICIAR")))</f>
        <v/>
      </c>
    </row>
    <row r="3704">
      <c r="M3704" s="2">
        <f>IF(C3704="","",IFERROR(INDEX($S$5:$S$304,MATCH(C3704,$R$5:$R$304,0))&amp;"","?"))</f>
        <v/>
      </c>
      <c r="N3704" s="2">
        <f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>
        <f>IF(OR(F3704="",G3704=""),"",IF(G3704&lt;='RETRATO 2027'!$K$5,"CONCLUÍDA",IF(F3704&lt;='RETRATO 2027'!$K$5,"EM ANDAMENTO","A INICIAR")))</f>
        <v/>
      </c>
    </row>
    <row r="3705">
      <c r="M3705" s="2">
        <f>IF(C3705="","",IFERROR(INDEX($S$5:$S$304,MATCH(C3705,$R$5:$R$304,0))&amp;"","?"))</f>
        <v/>
      </c>
      <c r="N3705" s="2">
        <f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>
        <f>IF(OR(F3705="",G3705=""),"",IF(G3705&lt;='RETRATO 2027'!$K$5,"CONCLUÍDA",IF(F3705&lt;='RETRATO 2027'!$K$5,"EM ANDAMENTO","A INICIAR")))</f>
        <v/>
      </c>
    </row>
    <row r="3706">
      <c r="M3706" s="2">
        <f>IF(C3706="","",IFERROR(INDEX($S$5:$S$304,MATCH(C3706,$R$5:$R$304,0))&amp;"","?"))</f>
        <v/>
      </c>
      <c r="N3706" s="2">
        <f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>
        <f>IF(OR(F3706="",G3706=""),"",IF(G3706&lt;='RETRATO 2027'!$K$5,"CONCLUÍDA",IF(F3706&lt;='RETRATO 2027'!$K$5,"EM ANDAMENTO","A INICIAR")))</f>
        <v/>
      </c>
    </row>
    <row r="3707">
      <c r="M3707" s="2">
        <f>IF(C3707="","",IFERROR(INDEX($S$5:$S$304,MATCH(C3707,$R$5:$R$304,0))&amp;"","?"))</f>
        <v/>
      </c>
      <c r="N3707" s="2">
        <f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>
        <f>IF(OR(F3707="",G3707=""),"",IF(G3707&lt;='RETRATO 2027'!$K$5,"CONCLUÍDA",IF(F3707&lt;='RETRATO 2027'!$K$5,"EM ANDAMENTO","A INICIAR")))</f>
        <v/>
      </c>
    </row>
    <row r="3708">
      <c r="M3708" s="2">
        <f>IF(C3708="","",IFERROR(INDEX($S$5:$S$304,MATCH(C3708,$R$5:$R$304,0))&amp;"","?"))</f>
        <v/>
      </c>
      <c r="N3708" s="2">
        <f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>
        <f>IF(OR(F3708="",G3708=""),"",IF(G3708&lt;='RETRATO 2027'!$K$5,"CONCLUÍDA",IF(F3708&lt;='RETRATO 2027'!$K$5,"EM ANDAMENTO","A INICIAR")))</f>
        <v/>
      </c>
    </row>
    <row r="3709">
      <c r="M3709" s="2">
        <f>IF(C3709="","",IFERROR(INDEX($S$5:$S$304,MATCH(C3709,$R$5:$R$304,0))&amp;"","?"))</f>
        <v/>
      </c>
      <c r="N3709" s="2">
        <f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>
        <f>IF(OR(F3709="",G3709=""),"",IF(G3709&lt;='RETRATO 2027'!$K$5,"CONCLUÍDA",IF(F3709&lt;='RETRATO 2027'!$K$5,"EM ANDAMENTO","A INICIAR")))</f>
        <v/>
      </c>
    </row>
    <row r="3710">
      <c r="M3710" s="2">
        <f>IF(C3710="","",IFERROR(INDEX($S$5:$S$304,MATCH(C3710,$R$5:$R$304,0))&amp;"","?"))</f>
        <v/>
      </c>
      <c r="N3710" s="2">
        <f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>
        <f>IF(OR(F3710="",G3710=""),"",IF(G3710&lt;='RETRATO 2027'!$K$5,"CONCLUÍDA",IF(F3710&lt;='RETRATO 2027'!$K$5,"EM ANDAMENTO","A INICIAR")))</f>
        <v/>
      </c>
    </row>
    <row r="3711">
      <c r="M3711" s="2">
        <f>IF(C3711="","",IFERROR(INDEX($S$5:$S$304,MATCH(C3711,$R$5:$R$304,0))&amp;"","?"))</f>
        <v/>
      </c>
      <c r="N3711" s="2">
        <f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>
        <f>IF(OR(F3711="",G3711=""),"",IF(G3711&lt;='RETRATO 2027'!$K$5,"CONCLUÍDA",IF(F3711&lt;='RETRATO 2027'!$K$5,"EM ANDAMENTO","A INICIAR")))</f>
        <v/>
      </c>
    </row>
    <row r="3712">
      <c r="M3712" s="2">
        <f>IF(C3712="","",IFERROR(INDEX($S$5:$S$304,MATCH(C3712,$R$5:$R$304,0))&amp;"","?"))</f>
        <v/>
      </c>
      <c r="N3712" s="2">
        <f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>
        <f>IF(OR(F3712="",G3712=""),"",IF(G3712&lt;='RETRATO 2027'!$K$5,"CONCLUÍDA",IF(F3712&lt;='RETRATO 2027'!$K$5,"EM ANDAMENTO","A INICIAR")))</f>
        <v/>
      </c>
    </row>
    <row r="3713">
      <c r="M3713" s="2">
        <f>IF(C3713="","",IFERROR(INDEX($S$5:$S$304,MATCH(C3713,$R$5:$R$304,0))&amp;"","?"))</f>
        <v/>
      </c>
      <c r="N3713" s="2">
        <f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>
        <f>IF(OR(F3713="",G3713=""),"",IF(G3713&lt;='RETRATO 2027'!$K$5,"CONCLUÍDA",IF(F3713&lt;='RETRATO 2027'!$K$5,"EM ANDAMENTO","A INICIAR")))</f>
        <v/>
      </c>
    </row>
    <row r="3714">
      <c r="M3714" s="2">
        <f>IF(C3714="","",IFERROR(INDEX($S$5:$S$304,MATCH(C3714,$R$5:$R$304,0))&amp;"","?"))</f>
        <v/>
      </c>
      <c r="N3714" s="2">
        <f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>
        <f>IF(OR(F3714="",G3714=""),"",IF(G3714&lt;='RETRATO 2027'!$K$5,"CONCLUÍDA",IF(F3714&lt;='RETRATO 2027'!$K$5,"EM ANDAMENTO","A INICIAR")))</f>
        <v/>
      </c>
    </row>
    <row r="3715">
      <c r="M3715" s="2">
        <f>IF(C3715="","",IFERROR(INDEX($S$5:$S$304,MATCH(C3715,$R$5:$R$304,0))&amp;"","?"))</f>
        <v/>
      </c>
      <c r="N3715" s="2">
        <f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>
        <f>IF(OR(F3715="",G3715=""),"",IF(G3715&lt;='RETRATO 2027'!$K$5,"CONCLUÍDA",IF(F3715&lt;='RETRATO 2027'!$K$5,"EM ANDAMENTO","A INICIAR")))</f>
        <v/>
      </c>
    </row>
    <row r="3716">
      <c r="M3716" s="2">
        <f>IF(C3716="","",IFERROR(INDEX($S$5:$S$304,MATCH(C3716,$R$5:$R$304,0))&amp;"","?"))</f>
        <v/>
      </c>
      <c r="N3716" s="2">
        <f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>
        <f>IF(OR(F3716="",G3716=""),"",IF(G3716&lt;='RETRATO 2027'!$K$5,"CONCLUÍDA",IF(F3716&lt;='RETRATO 2027'!$K$5,"EM ANDAMENTO","A INICIAR")))</f>
        <v/>
      </c>
    </row>
    <row r="3717">
      <c r="M3717" s="2">
        <f>IF(C3717="","",IFERROR(INDEX($S$5:$S$304,MATCH(C3717,$R$5:$R$304,0))&amp;"","?"))</f>
        <v/>
      </c>
      <c r="N3717" s="2">
        <f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>
        <f>IF(OR(F3717="",G3717=""),"",IF(G3717&lt;='RETRATO 2027'!$K$5,"CONCLUÍDA",IF(F3717&lt;='RETRATO 2027'!$K$5,"EM ANDAMENTO","A INICIAR")))</f>
        <v/>
      </c>
    </row>
    <row r="3718">
      <c r="M3718" s="2">
        <f>IF(C3718="","",IFERROR(INDEX($S$5:$S$304,MATCH(C3718,$R$5:$R$304,0))&amp;"","?"))</f>
        <v/>
      </c>
      <c r="N3718" s="2">
        <f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>
        <f>IF(OR(F3718="",G3718=""),"",IF(G3718&lt;='RETRATO 2027'!$K$5,"CONCLUÍDA",IF(F3718&lt;='RETRATO 2027'!$K$5,"EM ANDAMENTO","A INICIAR")))</f>
        <v/>
      </c>
    </row>
    <row r="3719">
      <c r="M3719" s="2">
        <f>IF(C3719="","",IFERROR(INDEX($S$5:$S$304,MATCH(C3719,$R$5:$R$304,0))&amp;"","?"))</f>
        <v/>
      </c>
      <c r="N3719" s="2">
        <f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>
        <f>IF(OR(F3719="",G3719=""),"",IF(G3719&lt;='RETRATO 2027'!$K$5,"CONCLUÍDA",IF(F3719&lt;='RETRATO 2027'!$K$5,"EM ANDAMENTO","A INICIAR")))</f>
        <v/>
      </c>
    </row>
    <row r="3720">
      <c r="M3720" s="2">
        <f>IF(C3720="","",IFERROR(INDEX($S$5:$S$304,MATCH(C3720,$R$5:$R$304,0))&amp;"","?"))</f>
        <v/>
      </c>
      <c r="N3720" s="2">
        <f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>
        <f>IF(OR(F3720="",G3720=""),"",IF(G3720&lt;='RETRATO 2027'!$K$5,"CONCLUÍDA",IF(F3720&lt;='RETRATO 2027'!$K$5,"EM ANDAMENTO","A INICIAR")))</f>
        <v/>
      </c>
    </row>
    <row r="3721">
      <c r="M3721" s="2">
        <f>IF(C3721="","",IFERROR(INDEX($S$5:$S$304,MATCH(C3721,$R$5:$R$304,0))&amp;"","?"))</f>
        <v/>
      </c>
      <c r="N3721" s="2">
        <f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>
        <f>IF(OR(F3721="",G3721=""),"",IF(G3721&lt;='RETRATO 2027'!$K$5,"CONCLUÍDA",IF(F3721&lt;='RETRATO 2027'!$K$5,"EM ANDAMENTO","A INICIAR")))</f>
        <v/>
      </c>
    </row>
    <row r="3722">
      <c r="M3722" s="2">
        <f>IF(C3722="","",IFERROR(INDEX($S$5:$S$304,MATCH(C3722,$R$5:$R$304,0))&amp;"","?"))</f>
        <v/>
      </c>
      <c r="N3722" s="2">
        <f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>
        <f>IF(OR(F3722="",G3722=""),"",IF(G3722&lt;='RETRATO 2027'!$K$5,"CONCLUÍDA",IF(F3722&lt;='RETRATO 2027'!$K$5,"EM ANDAMENTO","A INICIAR")))</f>
        <v/>
      </c>
    </row>
    <row r="3723">
      <c r="M3723" s="2">
        <f>IF(C3723="","",IFERROR(INDEX($S$5:$S$304,MATCH(C3723,$R$5:$R$304,0))&amp;"","?"))</f>
        <v/>
      </c>
      <c r="N3723" s="2">
        <f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>
        <f>IF(OR(F3723="",G3723=""),"",IF(G3723&lt;='RETRATO 2027'!$K$5,"CONCLUÍDA",IF(F3723&lt;='RETRATO 2027'!$K$5,"EM ANDAMENTO","A INICIAR")))</f>
        <v/>
      </c>
    </row>
    <row r="3724">
      <c r="M3724" s="2">
        <f>IF(C3724="","",IFERROR(INDEX($S$5:$S$304,MATCH(C3724,$R$5:$R$304,0))&amp;"","?"))</f>
        <v/>
      </c>
      <c r="N3724" s="2">
        <f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>
        <f>IF(OR(F3724="",G3724=""),"",IF(G3724&lt;='RETRATO 2027'!$K$5,"CONCLUÍDA",IF(F3724&lt;='RETRATO 2027'!$K$5,"EM ANDAMENTO","A INICIAR")))</f>
        <v/>
      </c>
    </row>
    <row r="3725">
      <c r="M3725" s="2">
        <f>IF(C3725="","",IFERROR(INDEX($S$5:$S$304,MATCH(C3725,$R$5:$R$304,0))&amp;"","?"))</f>
        <v/>
      </c>
      <c r="N3725" s="2">
        <f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>
        <f>IF(OR(F3725="",G3725=""),"",IF(G3725&lt;='RETRATO 2027'!$K$5,"CONCLUÍDA",IF(F3725&lt;='RETRATO 2027'!$K$5,"EM ANDAMENTO","A INICIAR")))</f>
        <v/>
      </c>
    </row>
    <row r="3726">
      <c r="M3726" s="2">
        <f>IF(C3726="","",IFERROR(INDEX($S$5:$S$304,MATCH(C3726,$R$5:$R$304,0))&amp;"","?"))</f>
        <v/>
      </c>
      <c r="N3726" s="2">
        <f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>
        <f>IF(OR(F3726="",G3726=""),"",IF(G3726&lt;='RETRATO 2027'!$K$5,"CONCLUÍDA",IF(F3726&lt;='RETRATO 2027'!$K$5,"EM ANDAMENTO","A INICIAR")))</f>
        <v/>
      </c>
    </row>
    <row r="3727">
      <c r="M3727" s="2">
        <f>IF(C3727="","",IFERROR(INDEX($S$5:$S$304,MATCH(C3727,$R$5:$R$304,0))&amp;"","?"))</f>
        <v/>
      </c>
      <c r="N3727" s="2">
        <f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>
        <f>IF(OR(F3727="",G3727=""),"",IF(G3727&lt;='RETRATO 2027'!$K$5,"CONCLUÍDA",IF(F3727&lt;='RETRATO 2027'!$K$5,"EM ANDAMENTO","A INICIAR")))</f>
        <v/>
      </c>
    </row>
    <row r="3728">
      <c r="M3728" s="2">
        <f>IF(C3728="","",IFERROR(INDEX($S$5:$S$304,MATCH(C3728,$R$5:$R$304,0))&amp;"","?"))</f>
        <v/>
      </c>
      <c r="N3728" s="2">
        <f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>
        <f>IF(OR(F3728="",G3728=""),"",IF(G3728&lt;='RETRATO 2027'!$K$5,"CONCLUÍDA",IF(F3728&lt;='RETRATO 2027'!$K$5,"EM ANDAMENTO","A INICIAR")))</f>
        <v/>
      </c>
    </row>
    <row r="3729">
      <c r="M3729" s="2">
        <f>IF(C3729="","",IFERROR(INDEX($S$5:$S$304,MATCH(C3729,$R$5:$R$304,0))&amp;"","?"))</f>
        <v/>
      </c>
      <c r="N3729" s="2">
        <f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>
        <f>IF(OR(F3729="",G3729=""),"",IF(G3729&lt;='RETRATO 2027'!$K$5,"CONCLUÍDA",IF(F3729&lt;='RETRATO 2027'!$K$5,"EM ANDAMENTO","A INICIAR")))</f>
        <v/>
      </c>
    </row>
    <row r="3730">
      <c r="M3730" s="2">
        <f>IF(C3730="","",IFERROR(INDEX($S$5:$S$304,MATCH(C3730,$R$5:$R$304,0))&amp;"","?"))</f>
        <v/>
      </c>
      <c r="N3730" s="2">
        <f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>
        <f>IF(OR(F3730="",G3730=""),"",IF(G3730&lt;='RETRATO 2027'!$K$5,"CONCLUÍDA",IF(F3730&lt;='RETRATO 2027'!$K$5,"EM ANDAMENTO","A INICIAR")))</f>
        <v/>
      </c>
    </row>
    <row r="3731">
      <c r="M3731" s="2">
        <f>IF(C3731="","",IFERROR(INDEX($S$5:$S$304,MATCH(C3731,$R$5:$R$304,0))&amp;"","?"))</f>
        <v/>
      </c>
      <c r="N3731" s="2">
        <f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>
        <f>IF(OR(F3731="",G3731=""),"",IF(G3731&lt;='RETRATO 2027'!$K$5,"CONCLUÍDA",IF(F3731&lt;='RETRATO 2027'!$K$5,"EM ANDAMENTO","A INICIAR")))</f>
        <v/>
      </c>
    </row>
    <row r="3732">
      <c r="M3732" s="2">
        <f>IF(C3732="","",IFERROR(INDEX($S$5:$S$304,MATCH(C3732,$R$5:$R$304,0))&amp;"","?"))</f>
        <v/>
      </c>
      <c r="N3732" s="2">
        <f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>
        <f>IF(OR(F3732="",G3732=""),"",IF(G3732&lt;='RETRATO 2027'!$K$5,"CONCLUÍDA",IF(F3732&lt;='RETRATO 2027'!$K$5,"EM ANDAMENTO","A INICIAR")))</f>
        <v/>
      </c>
    </row>
    <row r="3733">
      <c r="M3733" s="2">
        <f>IF(C3733="","",IFERROR(INDEX($S$5:$S$304,MATCH(C3733,$R$5:$R$304,0))&amp;"","?"))</f>
        <v/>
      </c>
      <c r="N3733" s="2">
        <f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>
        <f>IF(OR(F3733="",G3733=""),"",IF(G3733&lt;='RETRATO 2027'!$K$5,"CONCLUÍDA",IF(F3733&lt;='RETRATO 2027'!$K$5,"EM ANDAMENTO","A INICIAR")))</f>
        <v/>
      </c>
    </row>
    <row r="3734">
      <c r="M3734" s="2">
        <f>IF(C3734="","",IFERROR(INDEX($S$5:$S$304,MATCH(C3734,$R$5:$R$304,0))&amp;"","?"))</f>
        <v/>
      </c>
      <c r="N3734" s="2">
        <f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>
        <f>IF(OR(F3734="",G3734=""),"",IF(G3734&lt;='RETRATO 2027'!$K$5,"CONCLUÍDA",IF(F3734&lt;='RETRATO 2027'!$K$5,"EM ANDAMENTO","A INICIAR")))</f>
        <v/>
      </c>
    </row>
    <row r="3735">
      <c r="M3735" s="2">
        <f>IF(C3735="","",IFERROR(INDEX($S$5:$S$304,MATCH(C3735,$R$5:$R$304,0))&amp;"","?"))</f>
        <v/>
      </c>
      <c r="N3735" s="2">
        <f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>
        <f>IF(OR(F3735="",G3735=""),"",IF(G3735&lt;='RETRATO 2027'!$K$5,"CONCLUÍDA",IF(F3735&lt;='RETRATO 2027'!$K$5,"EM ANDAMENTO","A INICIAR")))</f>
        <v/>
      </c>
    </row>
    <row r="3736">
      <c r="M3736" s="2">
        <f>IF(C3736="","",IFERROR(INDEX($S$5:$S$304,MATCH(C3736,$R$5:$R$304,0))&amp;"","?"))</f>
        <v/>
      </c>
      <c r="N3736" s="2">
        <f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>
        <f>IF(OR(F3736="",G3736=""),"",IF(G3736&lt;='RETRATO 2027'!$K$5,"CONCLUÍDA",IF(F3736&lt;='RETRATO 2027'!$K$5,"EM ANDAMENTO","A INICIAR")))</f>
        <v/>
      </c>
    </row>
    <row r="3737">
      <c r="M3737" s="2">
        <f>IF(C3737="","",IFERROR(INDEX($S$5:$S$304,MATCH(C3737,$R$5:$R$304,0))&amp;"","?"))</f>
        <v/>
      </c>
      <c r="N3737" s="2">
        <f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>
        <f>IF(OR(F3737="",G3737=""),"",IF(G3737&lt;='RETRATO 2027'!$K$5,"CONCLUÍDA",IF(F3737&lt;='RETRATO 2027'!$K$5,"EM ANDAMENTO","A INICIAR")))</f>
        <v/>
      </c>
    </row>
    <row r="3738">
      <c r="M3738" s="2">
        <f>IF(C3738="","",IFERROR(INDEX($S$5:$S$304,MATCH(C3738,$R$5:$R$304,0))&amp;"","?"))</f>
        <v/>
      </c>
      <c r="N3738" s="2">
        <f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>
        <f>IF(OR(F3738="",G3738=""),"",IF(G3738&lt;='RETRATO 2027'!$K$5,"CONCLUÍDA",IF(F3738&lt;='RETRATO 2027'!$K$5,"EM ANDAMENTO","A INICIAR")))</f>
        <v/>
      </c>
    </row>
    <row r="3739">
      <c r="M3739" s="2">
        <f>IF(C3739="","",IFERROR(INDEX($S$5:$S$304,MATCH(C3739,$R$5:$R$304,0))&amp;"","?"))</f>
        <v/>
      </c>
      <c r="N3739" s="2">
        <f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>
        <f>IF(OR(F3739="",G3739=""),"",IF(G3739&lt;='RETRATO 2027'!$K$5,"CONCLUÍDA",IF(F3739&lt;='RETRATO 2027'!$K$5,"EM ANDAMENTO","A INICIAR")))</f>
        <v/>
      </c>
    </row>
    <row r="3740">
      <c r="M3740" s="2">
        <f>IF(C3740="","",IFERROR(INDEX($S$5:$S$304,MATCH(C3740,$R$5:$R$304,0))&amp;"","?"))</f>
        <v/>
      </c>
      <c r="N3740" s="2">
        <f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>
        <f>IF(OR(F3740="",G3740=""),"",IF(G3740&lt;='RETRATO 2027'!$K$5,"CONCLUÍDA",IF(F3740&lt;='RETRATO 2027'!$K$5,"EM ANDAMENTO","A INICIAR")))</f>
        <v/>
      </c>
    </row>
    <row r="3741">
      <c r="M3741" s="2">
        <f>IF(C3741="","",IFERROR(INDEX($S$5:$S$304,MATCH(C3741,$R$5:$R$304,0))&amp;"","?"))</f>
        <v/>
      </c>
      <c r="N3741" s="2">
        <f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>
        <f>IF(OR(F3741="",G3741=""),"",IF(G3741&lt;='RETRATO 2027'!$K$5,"CONCLUÍDA",IF(F3741&lt;='RETRATO 2027'!$K$5,"EM ANDAMENTO","A INICIAR")))</f>
        <v/>
      </c>
    </row>
    <row r="3742">
      <c r="M3742" s="2">
        <f>IF(C3742="","",IFERROR(INDEX($S$5:$S$304,MATCH(C3742,$R$5:$R$304,0))&amp;"","?"))</f>
        <v/>
      </c>
      <c r="N3742" s="2">
        <f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>
        <f>IF(OR(F3742="",G3742=""),"",IF(G3742&lt;='RETRATO 2027'!$K$5,"CONCLUÍDA",IF(F3742&lt;='RETRATO 2027'!$K$5,"EM ANDAMENTO","A INICIAR")))</f>
        <v/>
      </c>
    </row>
    <row r="3743">
      <c r="M3743" s="2">
        <f>IF(C3743="","",IFERROR(INDEX($S$5:$S$304,MATCH(C3743,$R$5:$R$304,0))&amp;"","?"))</f>
        <v/>
      </c>
      <c r="N3743" s="2">
        <f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>
        <f>IF(OR(F3743="",G3743=""),"",IF(G3743&lt;='RETRATO 2027'!$K$5,"CONCLUÍDA",IF(F3743&lt;='RETRATO 2027'!$K$5,"EM ANDAMENTO","A INICIAR")))</f>
        <v/>
      </c>
    </row>
    <row r="3744">
      <c r="M3744" s="2">
        <f>IF(C3744="","",IFERROR(INDEX($S$5:$S$304,MATCH(C3744,$R$5:$R$304,0))&amp;"","?"))</f>
        <v/>
      </c>
      <c r="N3744" s="2">
        <f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>
        <f>IF(OR(F3744="",G3744=""),"",IF(G3744&lt;='RETRATO 2027'!$K$5,"CONCLUÍDA",IF(F3744&lt;='RETRATO 2027'!$K$5,"EM ANDAMENTO","A INICIAR")))</f>
        <v/>
      </c>
    </row>
    <row r="3745">
      <c r="M3745" s="2">
        <f>IF(C3745="","",IFERROR(INDEX($S$5:$S$304,MATCH(C3745,$R$5:$R$304,0))&amp;"","?"))</f>
        <v/>
      </c>
      <c r="N3745" s="2">
        <f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>
        <f>IF(OR(F3745="",G3745=""),"",IF(G3745&lt;='RETRATO 2027'!$K$5,"CONCLUÍDA",IF(F3745&lt;='RETRATO 2027'!$K$5,"EM ANDAMENTO","A INICIAR")))</f>
        <v/>
      </c>
    </row>
    <row r="3746">
      <c r="M3746" s="2">
        <f>IF(C3746="","",IFERROR(INDEX($S$5:$S$304,MATCH(C3746,$R$5:$R$304,0))&amp;"","?"))</f>
        <v/>
      </c>
      <c r="N3746" s="2">
        <f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>
        <f>IF(OR(F3746="",G3746=""),"",IF(G3746&lt;='RETRATO 2027'!$K$5,"CONCLUÍDA",IF(F3746&lt;='RETRATO 2027'!$K$5,"EM ANDAMENTO","A INICIAR")))</f>
        <v/>
      </c>
    </row>
    <row r="3747">
      <c r="M3747" s="2">
        <f>IF(C3747="","",IFERROR(INDEX($S$5:$S$304,MATCH(C3747,$R$5:$R$304,0))&amp;"","?"))</f>
        <v/>
      </c>
      <c r="N3747" s="2">
        <f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>
        <f>IF(OR(F3747="",G3747=""),"",IF(G3747&lt;='RETRATO 2027'!$K$5,"CONCLUÍDA",IF(F3747&lt;='RETRATO 2027'!$K$5,"EM ANDAMENTO","A INICIAR")))</f>
        <v/>
      </c>
    </row>
    <row r="3748">
      <c r="M3748" s="2">
        <f>IF(C3748="","",IFERROR(INDEX($S$5:$S$304,MATCH(C3748,$R$5:$R$304,0))&amp;"","?"))</f>
        <v/>
      </c>
      <c r="N3748" s="2">
        <f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>
        <f>IF(OR(F3748="",G3748=""),"",IF(G3748&lt;='RETRATO 2027'!$K$5,"CONCLUÍDA",IF(F3748&lt;='RETRATO 2027'!$K$5,"EM ANDAMENTO","A INICIAR")))</f>
        <v/>
      </c>
    </row>
    <row r="3749">
      <c r="M3749" s="2">
        <f>IF(C3749="","",IFERROR(INDEX($S$5:$S$304,MATCH(C3749,$R$5:$R$304,0))&amp;"","?"))</f>
        <v/>
      </c>
      <c r="N3749" s="2">
        <f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>
        <f>IF(OR(F3749="",G3749=""),"",IF(G3749&lt;='RETRATO 2027'!$K$5,"CONCLUÍDA",IF(F3749&lt;='RETRATO 2027'!$K$5,"EM ANDAMENTO","A INICIAR")))</f>
        <v/>
      </c>
    </row>
    <row r="3750">
      <c r="M3750" s="2">
        <f>IF(C3750="","",IFERROR(INDEX($S$5:$S$304,MATCH(C3750,$R$5:$R$304,0))&amp;"","?"))</f>
        <v/>
      </c>
      <c r="N3750" s="2">
        <f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>
        <f>IF(OR(F3750="",G3750=""),"",IF(G3750&lt;='RETRATO 2027'!$K$5,"CONCLUÍDA",IF(F3750&lt;='RETRATO 2027'!$K$5,"EM ANDAMENTO","A INICIAR")))</f>
        <v/>
      </c>
    </row>
    <row r="3751">
      <c r="M3751" s="2">
        <f>IF(C3751="","",IFERROR(INDEX($S$5:$S$304,MATCH(C3751,$R$5:$R$304,0))&amp;"","?"))</f>
        <v/>
      </c>
      <c r="N3751" s="2">
        <f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>
        <f>IF(OR(F3751="",G3751=""),"",IF(G3751&lt;='RETRATO 2027'!$K$5,"CONCLUÍDA",IF(F3751&lt;='RETRATO 2027'!$K$5,"EM ANDAMENTO","A INICIAR")))</f>
        <v/>
      </c>
    </row>
    <row r="3752">
      <c r="M3752" s="2">
        <f>IF(C3752="","",IFERROR(INDEX($S$5:$S$304,MATCH(C3752,$R$5:$R$304,0))&amp;"","?"))</f>
        <v/>
      </c>
      <c r="N3752" s="2">
        <f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>
        <f>IF(OR(F3752="",G3752=""),"",IF(G3752&lt;='RETRATO 2027'!$K$5,"CONCLUÍDA",IF(F3752&lt;='RETRATO 2027'!$K$5,"EM ANDAMENTO","A INICIAR")))</f>
        <v/>
      </c>
    </row>
    <row r="3753">
      <c r="M3753" s="2">
        <f>IF(C3753="","",IFERROR(INDEX($S$5:$S$304,MATCH(C3753,$R$5:$R$304,0))&amp;"","?"))</f>
        <v/>
      </c>
      <c r="N3753" s="2">
        <f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>
        <f>IF(OR(F3753="",G3753=""),"",IF(G3753&lt;='RETRATO 2027'!$K$5,"CONCLUÍDA",IF(F3753&lt;='RETRATO 2027'!$K$5,"EM ANDAMENTO","A INICIAR")))</f>
        <v/>
      </c>
    </row>
    <row r="3754">
      <c r="M3754" s="2">
        <f>IF(C3754="","",IFERROR(INDEX($S$5:$S$304,MATCH(C3754,$R$5:$R$304,0))&amp;"","?"))</f>
        <v/>
      </c>
      <c r="N3754" s="2">
        <f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>
        <f>IF(OR(F3754="",G3754=""),"",IF(G3754&lt;='RETRATO 2027'!$K$5,"CONCLUÍDA",IF(F3754&lt;='RETRATO 2027'!$K$5,"EM ANDAMENTO","A INICIAR")))</f>
        <v/>
      </c>
    </row>
    <row r="3755">
      <c r="M3755" s="2">
        <f>IF(C3755="","",IFERROR(INDEX($S$5:$S$304,MATCH(C3755,$R$5:$R$304,0))&amp;"","?"))</f>
        <v/>
      </c>
      <c r="N3755" s="2">
        <f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>
        <f>IF(OR(F3755="",G3755=""),"",IF(G3755&lt;='RETRATO 2027'!$K$5,"CONCLUÍDA",IF(F3755&lt;='RETRATO 2027'!$K$5,"EM ANDAMENTO","A INICIAR")))</f>
        <v/>
      </c>
    </row>
    <row r="3756">
      <c r="M3756" s="2">
        <f>IF(C3756="","",IFERROR(INDEX($S$5:$S$304,MATCH(C3756,$R$5:$R$304,0))&amp;"","?"))</f>
        <v/>
      </c>
      <c r="N3756" s="2">
        <f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>
        <f>IF(OR(F3756="",G3756=""),"",IF(G3756&lt;='RETRATO 2027'!$K$5,"CONCLUÍDA",IF(F3756&lt;='RETRATO 2027'!$K$5,"EM ANDAMENTO","A INICIAR")))</f>
        <v/>
      </c>
    </row>
    <row r="3757">
      <c r="M3757" s="2">
        <f>IF(C3757="","",IFERROR(INDEX($S$5:$S$304,MATCH(C3757,$R$5:$R$304,0))&amp;"","?"))</f>
        <v/>
      </c>
      <c r="N3757" s="2">
        <f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>
        <f>IF(OR(F3757="",G3757=""),"",IF(G3757&lt;='RETRATO 2027'!$K$5,"CONCLUÍDA",IF(F3757&lt;='RETRATO 2027'!$K$5,"EM ANDAMENTO","A INICIAR")))</f>
        <v/>
      </c>
    </row>
    <row r="3758">
      <c r="M3758" s="2">
        <f>IF(C3758="","",IFERROR(INDEX($S$5:$S$304,MATCH(C3758,$R$5:$R$304,0))&amp;"","?"))</f>
        <v/>
      </c>
      <c r="N3758" s="2">
        <f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>
        <f>IF(OR(F3758="",G3758=""),"",IF(G3758&lt;='RETRATO 2027'!$K$5,"CONCLUÍDA",IF(F3758&lt;='RETRATO 2027'!$K$5,"EM ANDAMENTO","A INICIAR")))</f>
        <v/>
      </c>
    </row>
    <row r="3759">
      <c r="M3759" s="2">
        <f>IF(C3759="","",IFERROR(INDEX($S$5:$S$304,MATCH(C3759,$R$5:$R$304,0))&amp;"","?"))</f>
        <v/>
      </c>
      <c r="N3759" s="2">
        <f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>
        <f>IF(OR(F3759="",G3759=""),"",IF(G3759&lt;='RETRATO 2027'!$K$5,"CONCLUÍDA",IF(F3759&lt;='RETRATO 2027'!$K$5,"EM ANDAMENTO","A INICIAR")))</f>
        <v/>
      </c>
    </row>
    <row r="3760">
      <c r="M3760" s="2">
        <f>IF(C3760="","",IFERROR(INDEX($S$5:$S$304,MATCH(C3760,$R$5:$R$304,0))&amp;"","?"))</f>
        <v/>
      </c>
      <c r="N3760" s="2">
        <f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>
        <f>IF(OR(F3760="",G3760=""),"",IF(G3760&lt;='RETRATO 2027'!$K$5,"CONCLUÍDA",IF(F3760&lt;='RETRATO 2027'!$K$5,"EM ANDAMENTO","A INICIAR")))</f>
        <v/>
      </c>
    </row>
    <row r="3761">
      <c r="M3761" s="2">
        <f>IF(C3761="","",IFERROR(INDEX($S$5:$S$304,MATCH(C3761,$R$5:$R$304,0))&amp;"","?"))</f>
        <v/>
      </c>
      <c r="N3761" s="2">
        <f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>
        <f>IF(OR(F3761="",G3761=""),"",IF(G3761&lt;='RETRATO 2027'!$K$5,"CONCLUÍDA",IF(F3761&lt;='RETRATO 2027'!$K$5,"EM ANDAMENTO","A INICIAR")))</f>
        <v/>
      </c>
    </row>
    <row r="3762">
      <c r="M3762" s="2">
        <f>IF(C3762="","",IFERROR(INDEX($S$5:$S$304,MATCH(C3762,$R$5:$R$304,0))&amp;"","?"))</f>
        <v/>
      </c>
      <c r="N3762" s="2">
        <f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>
        <f>IF(OR(F3762="",G3762=""),"",IF(G3762&lt;='RETRATO 2027'!$K$5,"CONCLUÍDA",IF(F3762&lt;='RETRATO 2027'!$K$5,"EM ANDAMENTO","A INICIAR")))</f>
        <v/>
      </c>
    </row>
    <row r="3763">
      <c r="M3763" s="2">
        <f>IF(C3763="","",IFERROR(INDEX($S$5:$S$304,MATCH(C3763,$R$5:$R$304,0))&amp;"","?"))</f>
        <v/>
      </c>
      <c r="N3763" s="2">
        <f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>
        <f>IF(OR(F3763="",G3763=""),"",IF(G3763&lt;='RETRATO 2027'!$K$5,"CONCLUÍDA",IF(F3763&lt;='RETRATO 2027'!$K$5,"EM ANDAMENTO","A INICIAR")))</f>
        <v/>
      </c>
    </row>
    <row r="3764">
      <c r="M3764" s="2">
        <f>IF(C3764="","",IFERROR(INDEX($S$5:$S$304,MATCH(C3764,$R$5:$R$304,0))&amp;"","?"))</f>
        <v/>
      </c>
      <c r="N3764" s="2">
        <f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>
        <f>IF(OR(F3764="",G3764=""),"",IF(G3764&lt;='RETRATO 2027'!$K$5,"CONCLUÍDA",IF(F3764&lt;='RETRATO 2027'!$K$5,"EM ANDAMENTO","A INICIAR")))</f>
        <v/>
      </c>
    </row>
    <row r="3765">
      <c r="M3765" s="2">
        <f>IF(C3765="","",IFERROR(INDEX($S$5:$S$304,MATCH(C3765,$R$5:$R$304,0))&amp;"","?"))</f>
        <v/>
      </c>
      <c r="N3765" s="2">
        <f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>
        <f>IF(OR(F3765="",G3765=""),"",IF(G3765&lt;='RETRATO 2027'!$K$5,"CONCLUÍDA",IF(F3765&lt;='RETRATO 2027'!$K$5,"EM ANDAMENTO","A INICIAR")))</f>
        <v/>
      </c>
    </row>
    <row r="3766">
      <c r="M3766" s="2">
        <f>IF(C3766="","",IFERROR(INDEX($S$5:$S$304,MATCH(C3766,$R$5:$R$304,0))&amp;"","?"))</f>
        <v/>
      </c>
      <c r="N3766" s="2">
        <f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>
        <f>IF(OR(F3766="",G3766=""),"",IF(G3766&lt;='RETRATO 2027'!$K$5,"CONCLUÍDA",IF(F3766&lt;='RETRATO 2027'!$K$5,"EM ANDAMENTO","A INICIAR")))</f>
        <v/>
      </c>
    </row>
    <row r="3767">
      <c r="M3767" s="2">
        <f>IF(C3767="","",IFERROR(INDEX($S$5:$S$304,MATCH(C3767,$R$5:$R$304,0))&amp;"","?"))</f>
        <v/>
      </c>
      <c r="N3767" s="2">
        <f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>
        <f>IF(OR(F3767="",G3767=""),"",IF(G3767&lt;='RETRATO 2027'!$K$5,"CONCLUÍDA",IF(F3767&lt;='RETRATO 2027'!$K$5,"EM ANDAMENTO","A INICIAR")))</f>
        <v/>
      </c>
    </row>
    <row r="3768">
      <c r="M3768" s="2">
        <f>IF(C3768="","",IFERROR(INDEX($S$5:$S$304,MATCH(C3768,$R$5:$R$304,0))&amp;"","?"))</f>
        <v/>
      </c>
      <c r="N3768" s="2">
        <f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>
        <f>IF(OR(F3768="",G3768=""),"",IF(G3768&lt;='RETRATO 2027'!$K$5,"CONCLUÍDA",IF(F3768&lt;='RETRATO 2027'!$K$5,"EM ANDAMENTO","A INICIAR")))</f>
        <v/>
      </c>
    </row>
    <row r="3769">
      <c r="M3769" s="2">
        <f>IF(C3769="","",IFERROR(INDEX($S$5:$S$304,MATCH(C3769,$R$5:$R$304,0))&amp;"","?"))</f>
        <v/>
      </c>
      <c r="N3769" s="2">
        <f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>
        <f>IF(OR(F3769="",G3769=""),"",IF(G3769&lt;='RETRATO 2027'!$K$5,"CONCLUÍDA",IF(F3769&lt;='RETRATO 2027'!$K$5,"EM ANDAMENTO","A INICIAR")))</f>
        <v/>
      </c>
    </row>
    <row r="3770">
      <c r="M3770" s="2">
        <f>IF(C3770="","",IFERROR(INDEX($S$5:$S$304,MATCH(C3770,$R$5:$R$304,0))&amp;"","?"))</f>
        <v/>
      </c>
      <c r="N3770" s="2">
        <f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>
        <f>IF(OR(F3770="",G3770=""),"",IF(G3770&lt;='RETRATO 2027'!$K$5,"CONCLUÍDA",IF(F3770&lt;='RETRATO 2027'!$K$5,"EM ANDAMENTO","A INICIAR")))</f>
        <v/>
      </c>
    </row>
    <row r="3771">
      <c r="M3771" s="2">
        <f>IF(C3771="","",IFERROR(INDEX($S$5:$S$304,MATCH(C3771,$R$5:$R$304,0))&amp;"","?"))</f>
        <v/>
      </c>
      <c r="N3771" s="2">
        <f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>
        <f>IF(OR(F3771="",G3771=""),"",IF(G3771&lt;='RETRATO 2027'!$K$5,"CONCLUÍDA",IF(F3771&lt;='RETRATO 2027'!$K$5,"EM ANDAMENTO","A INICIAR")))</f>
        <v/>
      </c>
    </row>
    <row r="3772">
      <c r="M3772" s="2">
        <f>IF(C3772="","",IFERROR(INDEX($S$5:$S$304,MATCH(C3772,$R$5:$R$304,0))&amp;"","?"))</f>
        <v/>
      </c>
      <c r="N3772" s="2">
        <f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>
        <f>IF(OR(F3772="",G3772=""),"",IF(G3772&lt;='RETRATO 2027'!$K$5,"CONCLUÍDA",IF(F3772&lt;='RETRATO 2027'!$K$5,"EM ANDAMENTO","A INICIAR")))</f>
        <v/>
      </c>
    </row>
    <row r="3773">
      <c r="M3773" s="2">
        <f>IF(C3773="","",IFERROR(INDEX($S$5:$S$304,MATCH(C3773,$R$5:$R$304,0))&amp;"","?"))</f>
        <v/>
      </c>
      <c r="N3773" s="2">
        <f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>
        <f>IF(OR(F3773="",G3773=""),"",IF(G3773&lt;='RETRATO 2027'!$K$5,"CONCLUÍDA",IF(F3773&lt;='RETRATO 2027'!$K$5,"EM ANDAMENTO","A INICIAR")))</f>
        <v/>
      </c>
    </row>
    <row r="3774">
      <c r="M3774" s="2">
        <f>IF(C3774="","",IFERROR(INDEX($S$5:$S$304,MATCH(C3774,$R$5:$R$304,0))&amp;"","?"))</f>
        <v/>
      </c>
      <c r="N3774" s="2">
        <f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>
        <f>IF(OR(F3774="",G3774=""),"",IF(G3774&lt;='RETRATO 2027'!$K$5,"CONCLUÍDA",IF(F3774&lt;='RETRATO 2027'!$K$5,"EM ANDAMENTO","A INICIAR")))</f>
        <v/>
      </c>
    </row>
    <row r="3775">
      <c r="M3775" s="2">
        <f>IF(C3775="","",IFERROR(INDEX($S$5:$S$304,MATCH(C3775,$R$5:$R$304,0))&amp;"","?"))</f>
        <v/>
      </c>
      <c r="N3775" s="2">
        <f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>
        <f>IF(OR(F3775="",G3775=""),"",IF(G3775&lt;='RETRATO 2027'!$K$5,"CONCLUÍDA",IF(F3775&lt;='RETRATO 2027'!$K$5,"EM ANDAMENTO","A INICIAR")))</f>
        <v/>
      </c>
    </row>
    <row r="3776">
      <c r="M3776" s="2">
        <f>IF(C3776="","",IFERROR(INDEX($S$5:$S$304,MATCH(C3776,$R$5:$R$304,0))&amp;"","?"))</f>
        <v/>
      </c>
      <c r="N3776" s="2">
        <f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>
        <f>IF(OR(F3776="",G3776=""),"",IF(G3776&lt;='RETRATO 2027'!$K$5,"CONCLUÍDA",IF(F3776&lt;='RETRATO 2027'!$K$5,"EM ANDAMENTO","A INICIAR")))</f>
        <v/>
      </c>
    </row>
    <row r="3777">
      <c r="M3777" s="2">
        <f>IF(C3777="","",IFERROR(INDEX($S$5:$S$304,MATCH(C3777,$R$5:$R$304,0))&amp;"","?"))</f>
        <v/>
      </c>
      <c r="N3777" s="2">
        <f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>
        <f>IF(OR(F3777="",G3777=""),"",IF(G3777&lt;='RETRATO 2027'!$K$5,"CONCLUÍDA",IF(F3777&lt;='RETRATO 2027'!$K$5,"EM ANDAMENTO","A INICIAR")))</f>
        <v/>
      </c>
    </row>
    <row r="3778">
      <c r="M3778" s="2">
        <f>IF(C3778="","",IFERROR(INDEX($S$5:$S$304,MATCH(C3778,$R$5:$R$304,0))&amp;"","?"))</f>
        <v/>
      </c>
      <c r="N3778" s="2">
        <f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>
        <f>IF(OR(F3778="",G3778=""),"",IF(G3778&lt;='RETRATO 2027'!$K$5,"CONCLUÍDA",IF(F3778&lt;='RETRATO 2027'!$K$5,"EM ANDAMENTO","A INICIAR")))</f>
        <v/>
      </c>
    </row>
    <row r="3779">
      <c r="M3779" s="2">
        <f>IF(C3779="","",IFERROR(INDEX($S$5:$S$304,MATCH(C3779,$R$5:$R$304,0))&amp;"","?"))</f>
        <v/>
      </c>
      <c r="N3779" s="2">
        <f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>
        <f>IF(OR(F3779="",G3779=""),"",IF(G3779&lt;='RETRATO 2027'!$K$5,"CONCLUÍDA",IF(F3779&lt;='RETRATO 2027'!$K$5,"EM ANDAMENTO","A INICIAR")))</f>
        <v/>
      </c>
    </row>
    <row r="3780">
      <c r="M3780" s="2">
        <f>IF(C3780="","",IFERROR(INDEX($S$5:$S$304,MATCH(C3780,$R$5:$R$304,0))&amp;"","?"))</f>
        <v/>
      </c>
      <c r="N3780" s="2">
        <f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>
        <f>IF(OR(F3780="",G3780=""),"",IF(G3780&lt;='RETRATO 2027'!$K$5,"CONCLUÍDA",IF(F3780&lt;='RETRATO 2027'!$K$5,"EM ANDAMENTO","A INICIAR")))</f>
        <v/>
      </c>
    </row>
    <row r="3781">
      <c r="M3781" s="2">
        <f>IF(C3781="","",IFERROR(INDEX($S$5:$S$304,MATCH(C3781,$R$5:$R$304,0))&amp;"","?"))</f>
        <v/>
      </c>
      <c r="N3781" s="2">
        <f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>
        <f>IF(OR(F3781="",G3781=""),"",IF(G3781&lt;='RETRATO 2027'!$K$5,"CONCLUÍDA",IF(F3781&lt;='RETRATO 2027'!$K$5,"EM ANDAMENTO","A INICIAR")))</f>
        <v/>
      </c>
    </row>
    <row r="3782">
      <c r="M3782" s="2">
        <f>IF(C3782="","",IFERROR(INDEX($S$5:$S$304,MATCH(C3782,$R$5:$R$304,0))&amp;"","?"))</f>
        <v/>
      </c>
      <c r="N3782" s="2">
        <f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>
        <f>IF(OR(F3782="",G3782=""),"",IF(G3782&lt;='RETRATO 2027'!$K$5,"CONCLUÍDA",IF(F3782&lt;='RETRATO 2027'!$K$5,"EM ANDAMENTO","A INICIAR")))</f>
        <v/>
      </c>
    </row>
    <row r="3783">
      <c r="M3783" s="2">
        <f>IF(C3783="","",IFERROR(INDEX($S$5:$S$304,MATCH(C3783,$R$5:$R$304,0))&amp;"","?"))</f>
        <v/>
      </c>
      <c r="N3783" s="2">
        <f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>
        <f>IF(OR(F3783="",G3783=""),"",IF(G3783&lt;='RETRATO 2027'!$K$5,"CONCLUÍDA",IF(F3783&lt;='RETRATO 2027'!$K$5,"EM ANDAMENTO","A INICIAR")))</f>
        <v/>
      </c>
    </row>
    <row r="3784">
      <c r="M3784" s="2">
        <f>IF(C3784="","",IFERROR(INDEX($S$5:$S$304,MATCH(C3784,$R$5:$R$304,0))&amp;"","?"))</f>
        <v/>
      </c>
      <c r="N3784" s="2">
        <f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>
        <f>IF(OR(F3784="",G3784=""),"",IF(G3784&lt;='RETRATO 2027'!$K$5,"CONCLUÍDA",IF(F3784&lt;='RETRATO 2027'!$K$5,"EM ANDAMENTO","A INICIAR")))</f>
        <v/>
      </c>
    </row>
    <row r="3785">
      <c r="M3785" s="2">
        <f>IF(C3785="","",IFERROR(INDEX($S$5:$S$304,MATCH(C3785,$R$5:$R$304,0))&amp;"","?"))</f>
        <v/>
      </c>
      <c r="N3785" s="2">
        <f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>
        <f>IF(OR(F3785="",G3785=""),"",IF(G3785&lt;='RETRATO 2027'!$K$5,"CONCLUÍDA",IF(F3785&lt;='RETRATO 2027'!$K$5,"EM ANDAMENTO","A INICIAR")))</f>
        <v/>
      </c>
    </row>
    <row r="3786">
      <c r="M3786" s="2">
        <f>IF(C3786="","",IFERROR(INDEX($S$5:$S$304,MATCH(C3786,$R$5:$R$304,0))&amp;"","?"))</f>
        <v/>
      </c>
      <c r="N3786" s="2">
        <f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>
        <f>IF(OR(F3786="",G3786=""),"",IF(G3786&lt;='RETRATO 2027'!$K$5,"CONCLUÍDA",IF(F3786&lt;='RETRATO 2027'!$K$5,"EM ANDAMENTO","A INICIAR")))</f>
        <v/>
      </c>
    </row>
    <row r="3787">
      <c r="M3787" s="2">
        <f>IF(C3787="","",IFERROR(INDEX($S$5:$S$304,MATCH(C3787,$R$5:$R$304,0))&amp;"","?"))</f>
        <v/>
      </c>
      <c r="N3787" s="2">
        <f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>
        <f>IF(OR(F3787="",G3787=""),"",IF(G3787&lt;='RETRATO 2027'!$K$5,"CONCLUÍDA",IF(F3787&lt;='RETRATO 2027'!$K$5,"EM ANDAMENTO","A INICIAR")))</f>
        <v/>
      </c>
    </row>
    <row r="3788">
      <c r="M3788" s="2">
        <f>IF(C3788="","",IFERROR(INDEX($S$5:$S$304,MATCH(C3788,$R$5:$R$304,0))&amp;"","?"))</f>
        <v/>
      </c>
      <c r="N3788" s="2">
        <f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>
        <f>IF(OR(F3788="",G3788=""),"",IF(G3788&lt;='RETRATO 2027'!$K$5,"CONCLUÍDA",IF(F3788&lt;='RETRATO 2027'!$K$5,"EM ANDAMENTO","A INICIAR")))</f>
        <v/>
      </c>
    </row>
    <row r="3789">
      <c r="M3789" s="2">
        <f>IF(C3789="","",IFERROR(INDEX($S$5:$S$304,MATCH(C3789,$R$5:$R$304,0))&amp;"","?"))</f>
        <v/>
      </c>
      <c r="N3789" s="2">
        <f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>
        <f>IF(OR(F3789="",G3789=""),"",IF(G3789&lt;='RETRATO 2027'!$K$5,"CONCLUÍDA",IF(F3789&lt;='RETRATO 2027'!$K$5,"EM ANDAMENTO","A INICIAR")))</f>
        <v/>
      </c>
    </row>
    <row r="3790">
      <c r="M3790" s="2">
        <f>IF(C3790="","",IFERROR(INDEX($S$5:$S$304,MATCH(C3790,$R$5:$R$304,0))&amp;"","?"))</f>
        <v/>
      </c>
      <c r="N3790" s="2">
        <f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>
        <f>IF(OR(F3790="",G3790=""),"",IF(G3790&lt;='RETRATO 2027'!$K$5,"CONCLUÍDA",IF(F3790&lt;='RETRATO 2027'!$K$5,"EM ANDAMENTO","A INICIAR")))</f>
        <v/>
      </c>
    </row>
    <row r="3791">
      <c r="M3791" s="2">
        <f>IF(C3791="","",IFERROR(INDEX($S$5:$S$304,MATCH(C3791,$R$5:$R$304,0))&amp;"","?"))</f>
        <v/>
      </c>
      <c r="N3791" s="2">
        <f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>
        <f>IF(OR(F3791="",G3791=""),"",IF(G3791&lt;='RETRATO 2027'!$K$5,"CONCLUÍDA",IF(F3791&lt;='RETRATO 2027'!$K$5,"EM ANDAMENTO","A INICIAR")))</f>
        <v/>
      </c>
    </row>
    <row r="3792">
      <c r="M3792" s="2">
        <f>IF(C3792="","",IFERROR(INDEX($S$5:$S$304,MATCH(C3792,$R$5:$R$304,0))&amp;"","?"))</f>
        <v/>
      </c>
      <c r="N3792" s="2">
        <f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>
        <f>IF(OR(F3792="",G3792=""),"",IF(G3792&lt;='RETRATO 2027'!$K$5,"CONCLUÍDA",IF(F3792&lt;='RETRATO 2027'!$K$5,"EM ANDAMENTO","A INICIAR")))</f>
        <v/>
      </c>
    </row>
    <row r="3793">
      <c r="M3793" s="2">
        <f>IF(C3793="","",IFERROR(INDEX($S$5:$S$304,MATCH(C3793,$R$5:$R$304,0))&amp;"","?"))</f>
        <v/>
      </c>
      <c r="N3793" s="2">
        <f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>
        <f>IF(OR(F3793="",G3793=""),"",IF(G3793&lt;='RETRATO 2027'!$K$5,"CONCLUÍDA",IF(F3793&lt;='RETRATO 2027'!$K$5,"EM ANDAMENTO","A INICIAR")))</f>
        <v/>
      </c>
    </row>
    <row r="3794">
      <c r="M3794" s="2">
        <f>IF(C3794="","",IFERROR(INDEX($S$5:$S$304,MATCH(C3794,$R$5:$R$304,0))&amp;"","?"))</f>
        <v/>
      </c>
      <c r="N3794" s="2">
        <f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>
        <f>IF(OR(F3794="",G3794=""),"",IF(G3794&lt;='RETRATO 2027'!$K$5,"CONCLUÍDA",IF(F3794&lt;='RETRATO 2027'!$K$5,"EM ANDAMENTO","A INICIAR")))</f>
        <v/>
      </c>
    </row>
    <row r="3795">
      <c r="M3795" s="2">
        <f>IF(C3795="","",IFERROR(INDEX($S$5:$S$304,MATCH(C3795,$R$5:$R$304,0))&amp;"","?"))</f>
        <v/>
      </c>
      <c r="N3795" s="2">
        <f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>
        <f>IF(OR(F3795="",G3795=""),"",IF(G3795&lt;='RETRATO 2027'!$K$5,"CONCLUÍDA",IF(F3795&lt;='RETRATO 2027'!$K$5,"EM ANDAMENTO","A INICIAR")))</f>
        <v/>
      </c>
    </row>
    <row r="3796">
      <c r="M3796" s="2">
        <f>IF(C3796="","",IFERROR(INDEX($S$5:$S$304,MATCH(C3796,$R$5:$R$304,0))&amp;"","?"))</f>
        <v/>
      </c>
      <c r="N3796" s="2">
        <f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>
        <f>IF(OR(F3796="",G3796=""),"",IF(G3796&lt;='RETRATO 2027'!$K$5,"CONCLUÍDA",IF(F3796&lt;='RETRATO 2027'!$K$5,"EM ANDAMENTO","A INICIAR")))</f>
        <v/>
      </c>
    </row>
    <row r="3797">
      <c r="M3797" s="2">
        <f>IF(C3797="","",IFERROR(INDEX($S$5:$S$304,MATCH(C3797,$R$5:$R$304,0))&amp;"","?"))</f>
        <v/>
      </c>
      <c r="N3797" s="2">
        <f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>
        <f>IF(OR(F3797="",G3797=""),"",IF(G3797&lt;='RETRATO 2027'!$K$5,"CONCLUÍDA",IF(F3797&lt;='RETRATO 2027'!$K$5,"EM ANDAMENTO","A INICIAR")))</f>
        <v/>
      </c>
    </row>
    <row r="3798">
      <c r="M3798" s="2">
        <f>IF(C3798="","",IFERROR(INDEX($S$5:$S$304,MATCH(C3798,$R$5:$R$304,0))&amp;"","?"))</f>
        <v/>
      </c>
      <c r="N3798" s="2">
        <f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>
        <f>IF(OR(F3798="",G3798=""),"",IF(G3798&lt;='RETRATO 2027'!$K$5,"CONCLUÍDA",IF(F3798&lt;='RETRATO 2027'!$K$5,"EM ANDAMENTO","A INICIAR")))</f>
        <v/>
      </c>
    </row>
    <row r="3799">
      <c r="M3799" s="2">
        <f>IF(C3799="","",IFERROR(INDEX($S$5:$S$304,MATCH(C3799,$R$5:$R$304,0))&amp;"","?"))</f>
        <v/>
      </c>
      <c r="N3799" s="2">
        <f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>
        <f>IF(OR(F3799="",G3799=""),"",IF(G3799&lt;='RETRATO 2027'!$K$5,"CONCLUÍDA",IF(F3799&lt;='RETRATO 2027'!$K$5,"EM ANDAMENTO","A INICIAR")))</f>
        <v/>
      </c>
    </row>
    <row r="3800">
      <c r="M3800" s="2">
        <f>IF(C3800="","",IFERROR(INDEX($S$5:$S$304,MATCH(C3800,$R$5:$R$304,0))&amp;"","?"))</f>
        <v/>
      </c>
      <c r="N3800" s="2">
        <f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>
        <f>IF(OR(F3800="",G3800=""),"",IF(G3800&lt;='RETRATO 2027'!$K$5,"CONCLUÍDA",IF(F3800&lt;='RETRATO 2027'!$K$5,"EM ANDAMENTO","A INICIAR")))</f>
        <v/>
      </c>
    </row>
    <row r="3801">
      <c r="M3801" s="2">
        <f>IF(C3801="","",IFERROR(INDEX($S$5:$S$304,MATCH(C3801,$R$5:$R$304,0))&amp;"","?"))</f>
        <v/>
      </c>
      <c r="N3801" s="2">
        <f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>
        <f>IF(OR(F3801="",G3801=""),"",IF(G3801&lt;='RETRATO 2027'!$K$5,"CONCLUÍDA",IF(F3801&lt;='RETRATO 2027'!$K$5,"EM ANDAMENTO","A INICIAR")))</f>
        <v/>
      </c>
    </row>
    <row r="3802">
      <c r="M3802" s="2">
        <f>IF(C3802="","",IFERROR(INDEX($S$5:$S$304,MATCH(C3802,$R$5:$R$304,0))&amp;"","?"))</f>
        <v/>
      </c>
      <c r="N3802" s="2">
        <f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>
        <f>IF(OR(F3802="",G3802=""),"",IF(G3802&lt;='RETRATO 2027'!$K$5,"CONCLUÍDA",IF(F3802&lt;='RETRATO 2027'!$K$5,"EM ANDAMENTO","A INICIAR")))</f>
        <v/>
      </c>
    </row>
    <row r="3803">
      <c r="M3803" s="2">
        <f>IF(C3803="","",IFERROR(INDEX($S$5:$S$304,MATCH(C3803,$R$5:$R$304,0))&amp;"","?"))</f>
        <v/>
      </c>
      <c r="N3803" s="2">
        <f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>
        <f>IF(OR(F3803="",G3803=""),"",IF(G3803&lt;='RETRATO 2027'!$K$5,"CONCLUÍDA",IF(F3803&lt;='RETRATO 2027'!$K$5,"EM ANDAMENTO","A INICIAR")))</f>
        <v/>
      </c>
    </row>
    <row r="3804">
      <c r="M3804" s="2">
        <f>IF(C3804="","",IFERROR(INDEX($S$5:$S$304,MATCH(C3804,$R$5:$R$304,0))&amp;"","?"))</f>
        <v/>
      </c>
      <c r="N3804" s="2">
        <f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>
        <f>IF(OR(F3804="",G3804=""),"",IF(G3804&lt;='RETRATO 2027'!$K$5,"CONCLUÍDA",IF(F3804&lt;='RETRATO 2027'!$K$5,"EM ANDAMENTO","A INICIAR")))</f>
        <v/>
      </c>
    </row>
    <row r="3805">
      <c r="M3805" s="2">
        <f>IF(C3805="","",IFERROR(INDEX($S$5:$S$304,MATCH(C3805,$R$5:$R$304,0))&amp;"","?"))</f>
        <v/>
      </c>
      <c r="N3805" s="2">
        <f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>
        <f>IF(OR(F3805="",G3805=""),"",IF(G3805&lt;='RETRATO 2027'!$K$5,"CONCLUÍDA",IF(F3805&lt;='RETRATO 2027'!$K$5,"EM ANDAMENTO","A INICIAR")))</f>
        <v/>
      </c>
    </row>
    <row r="3806">
      <c r="M3806" s="2">
        <f>IF(C3806="","",IFERROR(INDEX($S$5:$S$304,MATCH(C3806,$R$5:$R$304,0))&amp;"","?"))</f>
        <v/>
      </c>
      <c r="N3806" s="2">
        <f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>
        <f>IF(OR(F3806="",G3806=""),"",IF(G3806&lt;='RETRATO 2027'!$K$5,"CONCLUÍDA",IF(F3806&lt;='RETRATO 2027'!$K$5,"EM ANDAMENTO","A INICIAR")))</f>
        <v/>
      </c>
    </row>
    <row r="3807">
      <c r="M3807" s="2">
        <f>IF(C3807="","",IFERROR(INDEX($S$5:$S$304,MATCH(C3807,$R$5:$R$304,0))&amp;"","?"))</f>
        <v/>
      </c>
      <c r="N3807" s="2">
        <f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>
        <f>IF(OR(F3807="",G3807=""),"",IF(G3807&lt;='RETRATO 2027'!$K$5,"CONCLUÍDA",IF(F3807&lt;='RETRATO 2027'!$K$5,"EM ANDAMENTO","A INICIAR")))</f>
        <v/>
      </c>
    </row>
    <row r="3808">
      <c r="M3808" s="2">
        <f>IF(C3808="","",IFERROR(INDEX($S$5:$S$304,MATCH(C3808,$R$5:$R$304,0))&amp;"","?"))</f>
        <v/>
      </c>
      <c r="N3808" s="2">
        <f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>
        <f>IF(OR(F3808="",G3808=""),"",IF(G3808&lt;='RETRATO 2027'!$K$5,"CONCLUÍDA",IF(F3808&lt;='RETRATO 2027'!$K$5,"EM ANDAMENTO","A INICIAR")))</f>
        <v/>
      </c>
    </row>
    <row r="3809">
      <c r="M3809" s="2">
        <f>IF(C3809="","",IFERROR(INDEX($S$5:$S$304,MATCH(C3809,$R$5:$R$304,0))&amp;"","?"))</f>
        <v/>
      </c>
      <c r="N3809" s="2">
        <f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>
        <f>IF(OR(F3809="",G3809=""),"",IF(G3809&lt;='RETRATO 2027'!$K$5,"CONCLUÍDA",IF(F3809&lt;='RETRATO 2027'!$K$5,"EM ANDAMENTO","A INICIAR")))</f>
        <v/>
      </c>
    </row>
    <row r="3810">
      <c r="M3810" s="2">
        <f>IF(C3810="","",IFERROR(INDEX($S$5:$S$304,MATCH(C3810,$R$5:$R$304,0))&amp;"","?"))</f>
        <v/>
      </c>
      <c r="N3810" s="2">
        <f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>
        <f>IF(OR(F3810="",G3810=""),"",IF(G3810&lt;='RETRATO 2027'!$K$5,"CONCLUÍDA",IF(F3810&lt;='RETRATO 2027'!$K$5,"EM ANDAMENTO","A INICIAR")))</f>
        <v/>
      </c>
    </row>
    <row r="3811">
      <c r="M3811" s="2">
        <f>IF(C3811="","",IFERROR(INDEX($S$5:$S$304,MATCH(C3811,$R$5:$R$304,0))&amp;"","?"))</f>
        <v/>
      </c>
      <c r="N3811" s="2">
        <f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>
        <f>IF(OR(F3811="",G3811=""),"",IF(G3811&lt;='RETRATO 2027'!$K$5,"CONCLUÍDA",IF(F3811&lt;='RETRATO 2027'!$K$5,"EM ANDAMENTO","A INICIAR")))</f>
        <v/>
      </c>
    </row>
    <row r="3812">
      <c r="M3812" s="2">
        <f>IF(C3812="","",IFERROR(INDEX($S$5:$S$304,MATCH(C3812,$R$5:$R$304,0))&amp;"","?"))</f>
        <v/>
      </c>
      <c r="N3812" s="2">
        <f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>
        <f>IF(OR(F3812="",G3812=""),"",IF(G3812&lt;='RETRATO 2027'!$K$5,"CONCLUÍDA",IF(F3812&lt;='RETRATO 2027'!$K$5,"EM ANDAMENTO","A INICIAR")))</f>
        <v/>
      </c>
    </row>
    <row r="3813">
      <c r="M3813" s="2">
        <f>IF(C3813="","",IFERROR(INDEX($S$5:$S$304,MATCH(C3813,$R$5:$R$304,0))&amp;"","?"))</f>
        <v/>
      </c>
      <c r="N3813" s="2">
        <f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>
        <f>IF(OR(F3813="",G3813=""),"",IF(G3813&lt;='RETRATO 2027'!$K$5,"CONCLUÍDA",IF(F3813&lt;='RETRATO 2027'!$K$5,"EM ANDAMENTO","A INICIAR")))</f>
        <v/>
      </c>
    </row>
    <row r="3814">
      <c r="M3814" s="2">
        <f>IF(C3814="","",IFERROR(INDEX($S$5:$S$304,MATCH(C3814,$R$5:$R$304,0))&amp;"","?"))</f>
        <v/>
      </c>
      <c r="N3814" s="2">
        <f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>
        <f>IF(OR(F3814="",G3814=""),"",IF(G3814&lt;='RETRATO 2027'!$K$5,"CONCLUÍDA",IF(F3814&lt;='RETRATO 2027'!$K$5,"EM ANDAMENTO","A INICIAR")))</f>
        <v/>
      </c>
    </row>
    <row r="3815">
      <c r="M3815" s="2">
        <f>IF(C3815="","",IFERROR(INDEX($S$5:$S$304,MATCH(C3815,$R$5:$R$304,0))&amp;"","?"))</f>
        <v/>
      </c>
      <c r="N3815" s="2">
        <f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>
        <f>IF(OR(F3815="",G3815=""),"",IF(G3815&lt;='RETRATO 2027'!$K$5,"CONCLUÍDA",IF(F3815&lt;='RETRATO 2027'!$K$5,"EM ANDAMENTO","A INICIAR")))</f>
        <v/>
      </c>
    </row>
    <row r="3816">
      <c r="M3816" s="2">
        <f>IF(C3816="","",IFERROR(INDEX($S$5:$S$304,MATCH(C3816,$R$5:$R$304,0))&amp;"","?"))</f>
        <v/>
      </c>
      <c r="N3816" s="2">
        <f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>
        <f>IF(OR(F3816="",G3816=""),"",IF(G3816&lt;='RETRATO 2027'!$K$5,"CONCLUÍDA",IF(F3816&lt;='RETRATO 2027'!$K$5,"EM ANDAMENTO","A INICIAR")))</f>
        <v/>
      </c>
    </row>
    <row r="3817">
      <c r="M3817" s="2">
        <f>IF(C3817="","",IFERROR(INDEX($S$5:$S$304,MATCH(C3817,$R$5:$R$304,0))&amp;"","?"))</f>
        <v/>
      </c>
      <c r="N3817" s="2">
        <f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>
        <f>IF(OR(F3817="",G3817=""),"",IF(G3817&lt;='RETRATO 2027'!$K$5,"CONCLUÍDA",IF(F3817&lt;='RETRATO 2027'!$K$5,"EM ANDAMENTO","A INICIAR")))</f>
        <v/>
      </c>
    </row>
    <row r="3818">
      <c r="M3818" s="2">
        <f>IF(C3818="","",IFERROR(INDEX($S$5:$S$304,MATCH(C3818,$R$5:$R$304,0))&amp;"","?"))</f>
        <v/>
      </c>
      <c r="N3818" s="2">
        <f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>
        <f>IF(OR(F3818="",G3818=""),"",IF(G3818&lt;='RETRATO 2027'!$K$5,"CONCLUÍDA",IF(F3818&lt;='RETRATO 2027'!$K$5,"EM ANDAMENTO","A INICIAR")))</f>
        <v/>
      </c>
    </row>
    <row r="3819">
      <c r="M3819" s="2">
        <f>IF(C3819="","",IFERROR(INDEX($S$5:$S$304,MATCH(C3819,$R$5:$R$304,0))&amp;"","?"))</f>
        <v/>
      </c>
      <c r="N3819" s="2">
        <f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>
        <f>IF(OR(F3819="",G3819=""),"",IF(G3819&lt;='RETRATO 2027'!$K$5,"CONCLUÍDA",IF(F3819&lt;='RETRATO 2027'!$K$5,"EM ANDAMENTO","A INICIAR")))</f>
        <v/>
      </c>
    </row>
    <row r="3820">
      <c r="M3820" s="2">
        <f>IF(C3820="","",IFERROR(INDEX($S$5:$S$304,MATCH(C3820,$R$5:$R$304,0))&amp;"","?"))</f>
        <v/>
      </c>
      <c r="N3820" s="2">
        <f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>
        <f>IF(OR(F3820="",G3820=""),"",IF(G3820&lt;='RETRATO 2027'!$K$5,"CONCLUÍDA",IF(F3820&lt;='RETRATO 2027'!$K$5,"EM ANDAMENTO","A INICIAR")))</f>
        <v/>
      </c>
    </row>
    <row r="3821">
      <c r="M3821" s="2">
        <f>IF(C3821="","",IFERROR(INDEX($S$5:$S$304,MATCH(C3821,$R$5:$R$304,0))&amp;"","?"))</f>
        <v/>
      </c>
      <c r="N3821" s="2">
        <f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>
        <f>IF(OR(F3821="",G3821=""),"",IF(G3821&lt;='RETRATO 2027'!$K$5,"CONCLUÍDA",IF(F3821&lt;='RETRATO 2027'!$K$5,"EM ANDAMENTO","A INICIAR")))</f>
        <v/>
      </c>
    </row>
    <row r="3822">
      <c r="M3822" s="2">
        <f>IF(C3822="","",IFERROR(INDEX($S$5:$S$304,MATCH(C3822,$R$5:$R$304,0))&amp;"","?"))</f>
        <v/>
      </c>
      <c r="N3822" s="2">
        <f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>
        <f>IF(OR(F3822="",G3822=""),"",IF(G3822&lt;='RETRATO 2027'!$K$5,"CONCLUÍDA",IF(F3822&lt;='RETRATO 2027'!$K$5,"EM ANDAMENTO","A INICIAR")))</f>
        <v/>
      </c>
    </row>
    <row r="3823">
      <c r="M3823" s="2">
        <f>IF(C3823="","",IFERROR(INDEX($S$5:$S$304,MATCH(C3823,$R$5:$R$304,0))&amp;"","?"))</f>
        <v/>
      </c>
      <c r="N3823" s="2">
        <f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>
        <f>IF(OR(F3823="",G3823=""),"",IF(G3823&lt;='RETRATO 2027'!$K$5,"CONCLUÍDA",IF(F3823&lt;='RETRATO 2027'!$K$5,"EM ANDAMENTO","A INICIAR")))</f>
        <v/>
      </c>
    </row>
    <row r="3824">
      <c r="M3824" s="2">
        <f>IF(C3824="","",IFERROR(INDEX($S$5:$S$304,MATCH(C3824,$R$5:$R$304,0))&amp;"","?"))</f>
        <v/>
      </c>
      <c r="N3824" s="2">
        <f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>
        <f>IF(OR(F3824="",G3824=""),"",IF(G3824&lt;='RETRATO 2027'!$K$5,"CONCLUÍDA",IF(F3824&lt;='RETRATO 2027'!$K$5,"EM ANDAMENTO","A INICIAR")))</f>
        <v/>
      </c>
    </row>
    <row r="3825">
      <c r="M3825" s="2">
        <f>IF(C3825="","",IFERROR(INDEX($S$5:$S$304,MATCH(C3825,$R$5:$R$304,0))&amp;"","?"))</f>
        <v/>
      </c>
      <c r="N3825" s="2">
        <f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>
        <f>IF(OR(F3825="",G3825=""),"",IF(G3825&lt;='RETRATO 2027'!$K$5,"CONCLUÍDA",IF(F3825&lt;='RETRATO 2027'!$K$5,"EM ANDAMENTO","A INICIAR")))</f>
        <v/>
      </c>
    </row>
    <row r="3826">
      <c r="M3826" s="2">
        <f>IF(C3826="","",IFERROR(INDEX($S$5:$S$304,MATCH(C3826,$R$5:$R$304,0))&amp;"","?"))</f>
        <v/>
      </c>
      <c r="N3826" s="2">
        <f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>
        <f>IF(OR(F3826="",G3826=""),"",IF(G3826&lt;='RETRATO 2027'!$K$5,"CONCLUÍDA",IF(F3826&lt;='RETRATO 2027'!$K$5,"EM ANDAMENTO","A INICIAR")))</f>
        <v/>
      </c>
    </row>
    <row r="3827">
      <c r="M3827" s="2">
        <f>IF(C3827="","",IFERROR(INDEX($S$5:$S$304,MATCH(C3827,$R$5:$R$304,0))&amp;"","?"))</f>
        <v/>
      </c>
      <c r="N3827" s="2">
        <f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>
        <f>IF(OR(F3827="",G3827=""),"",IF(G3827&lt;='RETRATO 2027'!$K$5,"CONCLUÍDA",IF(F3827&lt;='RETRATO 2027'!$K$5,"EM ANDAMENTO","A INICIAR")))</f>
        <v/>
      </c>
    </row>
    <row r="3828">
      <c r="M3828" s="2">
        <f>IF(C3828="","",IFERROR(INDEX($S$5:$S$304,MATCH(C3828,$R$5:$R$304,0))&amp;"","?"))</f>
        <v/>
      </c>
      <c r="N3828" s="2">
        <f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>
        <f>IF(OR(F3828="",G3828=""),"",IF(G3828&lt;='RETRATO 2027'!$K$5,"CONCLUÍDA",IF(F3828&lt;='RETRATO 2027'!$K$5,"EM ANDAMENTO","A INICIAR")))</f>
        <v/>
      </c>
    </row>
    <row r="3829">
      <c r="M3829" s="2">
        <f>IF(C3829="","",IFERROR(INDEX($S$5:$S$304,MATCH(C3829,$R$5:$R$304,0))&amp;"","?"))</f>
        <v/>
      </c>
      <c r="N3829" s="2">
        <f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>
        <f>IF(OR(F3829="",G3829=""),"",IF(G3829&lt;='RETRATO 2027'!$K$5,"CONCLUÍDA",IF(F3829&lt;='RETRATO 2027'!$K$5,"EM ANDAMENTO","A INICIAR")))</f>
        <v/>
      </c>
    </row>
    <row r="3830">
      <c r="M3830" s="2">
        <f>IF(C3830="","",IFERROR(INDEX($S$5:$S$304,MATCH(C3830,$R$5:$R$304,0))&amp;"","?"))</f>
        <v/>
      </c>
      <c r="N3830" s="2">
        <f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>
        <f>IF(OR(F3830="",G3830=""),"",IF(G3830&lt;='RETRATO 2027'!$K$5,"CONCLUÍDA",IF(F3830&lt;='RETRATO 2027'!$K$5,"EM ANDAMENTO","A INICIAR")))</f>
        <v/>
      </c>
    </row>
    <row r="3831">
      <c r="M3831" s="2">
        <f>IF(C3831="","",IFERROR(INDEX($S$5:$S$304,MATCH(C3831,$R$5:$R$304,0))&amp;"","?"))</f>
        <v/>
      </c>
      <c r="N3831" s="2">
        <f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>
        <f>IF(OR(F3831="",G3831=""),"",IF(G3831&lt;='RETRATO 2027'!$K$5,"CONCLUÍDA",IF(F3831&lt;='RETRATO 2027'!$K$5,"EM ANDAMENTO","A INICIAR")))</f>
        <v/>
      </c>
    </row>
    <row r="3832">
      <c r="M3832" s="2">
        <f>IF(C3832="","",IFERROR(INDEX($S$5:$S$304,MATCH(C3832,$R$5:$R$304,0))&amp;"","?"))</f>
        <v/>
      </c>
      <c r="N3832" s="2">
        <f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>
        <f>IF(OR(F3832="",G3832=""),"",IF(G3832&lt;='RETRATO 2027'!$K$5,"CONCLUÍDA",IF(F3832&lt;='RETRATO 2027'!$K$5,"EM ANDAMENTO","A INICIAR")))</f>
        <v/>
      </c>
    </row>
    <row r="3833">
      <c r="M3833" s="2">
        <f>IF(C3833="","",IFERROR(INDEX($S$5:$S$304,MATCH(C3833,$R$5:$R$304,0))&amp;"","?"))</f>
        <v/>
      </c>
      <c r="N3833" s="2">
        <f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>
        <f>IF(OR(F3833="",G3833=""),"",IF(G3833&lt;='RETRATO 2027'!$K$5,"CONCLUÍDA",IF(F3833&lt;='RETRATO 2027'!$K$5,"EM ANDAMENTO","A INICIAR")))</f>
        <v/>
      </c>
    </row>
    <row r="3834">
      <c r="M3834" s="2">
        <f>IF(C3834="","",IFERROR(INDEX($S$5:$S$304,MATCH(C3834,$R$5:$R$304,0))&amp;"","?"))</f>
        <v/>
      </c>
      <c r="N3834" s="2">
        <f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>
        <f>IF(OR(F3834="",G3834=""),"",IF(G3834&lt;='RETRATO 2027'!$K$5,"CONCLUÍDA",IF(F3834&lt;='RETRATO 2027'!$K$5,"EM ANDAMENTO","A INICIAR")))</f>
        <v/>
      </c>
    </row>
    <row r="3835">
      <c r="M3835" s="2">
        <f>IF(C3835="","",IFERROR(INDEX($S$5:$S$304,MATCH(C3835,$R$5:$R$304,0))&amp;"","?"))</f>
        <v/>
      </c>
      <c r="N3835" s="2">
        <f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>
        <f>IF(OR(F3835="",G3835=""),"",IF(G3835&lt;='RETRATO 2027'!$K$5,"CONCLUÍDA",IF(F3835&lt;='RETRATO 2027'!$K$5,"EM ANDAMENTO","A INICIAR")))</f>
        <v/>
      </c>
    </row>
    <row r="3836">
      <c r="M3836" s="2">
        <f>IF(C3836="","",IFERROR(INDEX($S$5:$S$304,MATCH(C3836,$R$5:$R$304,0))&amp;"","?"))</f>
        <v/>
      </c>
      <c r="N3836" s="2">
        <f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>
        <f>IF(OR(F3836="",G3836=""),"",IF(G3836&lt;='RETRATO 2027'!$K$5,"CONCLUÍDA",IF(F3836&lt;='RETRATO 2027'!$K$5,"EM ANDAMENTO","A INICIAR")))</f>
        <v/>
      </c>
    </row>
    <row r="3837">
      <c r="M3837" s="2">
        <f>IF(C3837="","",IFERROR(INDEX($S$5:$S$304,MATCH(C3837,$R$5:$R$304,0))&amp;"","?"))</f>
        <v/>
      </c>
      <c r="N3837" s="2">
        <f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>
        <f>IF(OR(F3837="",G3837=""),"",IF(G3837&lt;='RETRATO 2027'!$K$5,"CONCLUÍDA",IF(F3837&lt;='RETRATO 2027'!$K$5,"EM ANDAMENTO","A INICIAR")))</f>
        <v/>
      </c>
    </row>
    <row r="3838">
      <c r="M3838" s="2">
        <f>IF(C3838="","",IFERROR(INDEX($S$5:$S$304,MATCH(C3838,$R$5:$R$304,0))&amp;"","?"))</f>
        <v/>
      </c>
      <c r="N3838" s="2">
        <f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>
        <f>IF(OR(F3838="",G3838=""),"",IF(G3838&lt;='RETRATO 2027'!$K$5,"CONCLUÍDA",IF(F3838&lt;='RETRATO 2027'!$K$5,"EM ANDAMENTO","A INICIAR")))</f>
        <v/>
      </c>
    </row>
    <row r="3839">
      <c r="M3839" s="2">
        <f>IF(C3839="","",IFERROR(INDEX($S$5:$S$304,MATCH(C3839,$R$5:$R$304,0))&amp;"","?"))</f>
        <v/>
      </c>
      <c r="N3839" s="2">
        <f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>
        <f>IF(OR(F3839="",G3839=""),"",IF(G3839&lt;='RETRATO 2027'!$K$5,"CONCLUÍDA",IF(F3839&lt;='RETRATO 2027'!$K$5,"EM ANDAMENTO","A INICIAR")))</f>
        <v/>
      </c>
    </row>
    <row r="3840">
      <c r="M3840" s="2">
        <f>IF(C3840="","",IFERROR(INDEX($S$5:$S$304,MATCH(C3840,$R$5:$R$304,0))&amp;"","?"))</f>
        <v/>
      </c>
      <c r="N3840" s="2">
        <f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>
        <f>IF(OR(F3840="",G3840=""),"",IF(G3840&lt;='RETRATO 2027'!$K$5,"CONCLUÍDA",IF(F3840&lt;='RETRATO 2027'!$K$5,"EM ANDAMENTO","A INICIAR")))</f>
        <v/>
      </c>
    </row>
    <row r="3841">
      <c r="M3841" s="2">
        <f>IF(C3841="","",IFERROR(INDEX($S$5:$S$304,MATCH(C3841,$R$5:$R$304,0))&amp;"","?"))</f>
        <v/>
      </c>
      <c r="N3841" s="2">
        <f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>
        <f>IF(OR(F3841="",G3841=""),"",IF(G3841&lt;='RETRATO 2027'!$K$5,"CONCLUÍDA",IF(F3841&lt;='RETRATO 2027'!$K$5,"EM ANDAMENTO","A INICIAR")))</f>
        <v/>
      </c>
    </row>
    <row r="3842">
      <c r="M3842" s="2">
        <f>IF(C3842="","",IFERROR(INDEX($S$5:$S$304,MATCH(C3842,$R$5:$R$304,0))&amp;"","?"))</f>
        <v/>
      </c>
      <c r="N3842" s="2">
        <f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>
        <f>IF(OR(F3842="",G3842=""),"",IF(G3842&lt;='RETRATO 2027'!$K$5,"CONCLUÍDA",IF(F3842&lt;='RETRATO 2027'!$K$5,"EM ANDAMENTO","A INICIAR")))</f>
        <v/>
      </c>
    </row>
    <row r="3843">
      <c r="M3843" s="2">
        <f>IF(C3843="","",IFERROR(INDEX($S$5:$S$304,MATCH(C3843,$R$5:$R$304,0))&amp;"","?"))</f>
        <v/>
      </c>
      <c r="N3843" s="2">
        <f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>
        <f>IF(OR(F3843="",G3843=""),"",IF(G3843&lt;='RETRATO 2027'!$K$5,"CONCLUÍDA",IF(F3843&lt;='RETRATO 2027'!$K$5,"EM ANDAMENTO","A INICIAR")))</f>
        <v/>
      </c>
    </row>
    <row r="3844">
      <c r="M3844" s="2">
        <f>IF(C3844="","",IFERROR(INDEX($S$5:$S$304,MATCH(C3844,$R$5:$R$304,0))&amp;"","?"))</f>
        <v/>
      </c>
      <c r="N3844" s="2">
        <f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>
        <f>IF(OR(F3844="",G3844=""),"",IF(G3844&lt;='RETRATO 2027'!$K$5,"CONCLUÍDA",IF(F3844&lt;='RETRATO 2027'!$K$5,"EM ANDAMENTO","A INICIAR")))</f>
        <v/>
      </c>
    </row>
    <row r="3845">
      <c r="M3845" s="2">
        <f>IF(C3845="","",IFERROR(INDEX($S$5:$S$304,MATCH(C3845,$R$5:$R$304,0))&amp;"","?"))</f>
        <v/>
      </c>
      <c r="N3845" s="2">
        <f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>
        <f>IF(OR(F3845="",G3845=""),"",IF(G3845&lt;='RETRATO 2027'!$K$5,"CONCLUÍDA",IF(F3845&lt;='RETRATO 2027'!$K$5,"EM ANDAMENTO","A INICIAR")))</f>
        <v/>
      </c>
    </row>
    <row r="3846">
      <c r="M3846" s="2">
        <f>IF(C3846="","",IFERROR(INDEX($S$5:$S$304,MATCH(C3846,$R$5:$R$304,0))&amp;"","?"))</f>
        <v/>
      </c>
      <c r="N3846" s="2">
        <f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>
        <f>IF(OR(F3846="",G3846=""),"",IF(G3846&lt;='RETRATO 2027'!$K$5,"CONCLUÍDA",IF(F3846&lt;='RETRATO 2027'!$K$5,"EM ANDAMENTO","A INICIAR")))</f>
        <v/>
      </c>
    </row>
    <row r="3847">
      <c r="M3847" s="2">
        <f>IF(C3847="","",IFERROR(INDEX($S$5:$S$304,MATCH(C3847,$R$5:$R$304,0))&amp;"","?"))</f>
        <v/>
      </c>
      <c r="N3847" s="2">
        <f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>
        <f>IF(OR(F3847="",G3847=""),"",IF(G3847&lt;='RETRATO 2027'!$K$5,"CONCLUÍDA",IF(F3847&lt;='RETRATO 2027'!$K$5,"EM ANDAMENTO","A INICIAR")))</f>
        <v/>
      </c>
    </row>
    <row r="3848">
      <c r="M3848" s="2">
        <f>IF(C3848="","",IFERROR(INDEX($S$5:$S$304,MATCH(C3848,$R$5:$R$304,0))&amp;"","?"))</f>
        <v/>
      </c>
      <c r="N3848" s="2">
        <f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>
        <f>IF(OR(F3848="",G3848=""),"",IF(G3848&lt;='RETRATO 2027'!$K$5,"CONCLUÍDA",IF(F3848&lt;='RETRATO 2027'!$K$5,"EM ANDAMENTO","A INICIAR")))</f>
        <v/>
      </c>
    </row>
    <row r="3849">
      <c r="M3849" s="2">
        <f>IF(C3849="","",IFERROR(INDEX($S$5:$S$304,MATCH(C3849,$R$5:$R$304,0))&amp;"","?"))</f>
        <v/>
      </c>
      <c r="N3849" s="2">
        <f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>
        <f>IF(OR(F3849="",G3849=""),"",IF(G3849&lt;='RETRATO 2027'!$K$5,"CONCLUÍDA",IF(F3849&lt;='RETRATO 2027'!$K$5,"EM ANDAMENTO","A INICIAR")))</f>
        <v/>
      </c>
    </row>
    <row r="3850">
      <c r="M3850" s="2">
        <f>IF(C3850="","",IFERROR(INDEX($S$5:$S$304,MATCH(C3850,$R$5:$R$304,0))&amp;"","?"))</f>
        <v/>
      </c>
      <c r="N3850" s="2">
        <f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>
        <f>IF(OR(F3850="",G3850=""),"",IF(G3850&lt;='RETRATO 2027'!$K$5,"CONCLUÍDA",IF(F3850&lt;='RETRATO 2027'!$K$5,"EM ANDAMENTO","A INICIAR")))</f>
        <v/>
      </c>
    </row>
    <row r="3851">
      <c r="M3851" s="2">
        <f>IF(C3851="","",IFERROR(INDEX($S$5:$S$304,MATCH(C3851,$R$5:$R$304,0))&amp;"","?"))</f>
        <v/>
      </c>
      <c r="N3851" s="2">
        <f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>
        <f>IF(OR(F3851="",G3851=""),"",IF(G3851&lt;='RETRATO 2027'!$K$5,"CONCLUÍDA",IF(F3851&lt;='RETRATO 2027'!$K$5,"EM ANDAMENTO","A INICIAR")))</f>
        <v/>
      </c>
    </row>
    <row r="3852">
      <c r="M3852" s="2">
        <f>IF(C3852="","",IFERROR(INDEX($S$5:$S$304,MATCH(C3852,$R$5:$R$304,0))&amp;"","?"))</f>
        <v/>
      </c>
      <c r="N3852" s="2">
        <f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>
        <f>IF(OR(F3852="",G3852=""),"",IF(G3852&lt;='RETRATO 2027'!$K$5,"CONCLUÍDA",IF(F3852&lt;='RETRATO 2027'!$K$5,"EM ANDAMENTO","A INICIAR")))</f>
        <v/>
      </c>
    </row>
    <row r="3853">
      <c r="M3853" s="2">
        <f>IF(C3853="","",IFERROR(INDEX($S$5:$S$304,MATCH(C3853,$R$5:$R$304,0))&amp;"","?"))</f>
        <v/>
      </c>
      <c r="N3853" s="2">
        <f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>
        <f>IF(OR(F3853="",G3853=""),"",IF(G3853&lt;='RETRATO 2027'!$K$5,"CONCLUÍDA",IF(F3853&lt;='RETRATO 2027'!$K$5,"EM ANDAMENTO","A INICIAR")))</f>
        <v/>
      </c>
    </row>
    <row r="3854">
      <c r="M3854" s="2">
        <f>IF(C3854="","",IFERROR(INDEX($S$5:$S$304,MATCH(C3854,$R$5:$R$304,0))&amp;"","?"))</f>
        <v/>
      </c>
      <c r="N3854" s="2">
        <f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>
        <f>IF(OR(F3854="",G3854=""),"",IF(G3854&lt;='RETRATO 2027'!$K$5,"CONCLUÍDA",IF(F3854&lt;='RETRATO 2027'!$K$5,"EM ANDAMENTO","A INICIAR")))</f>
        <v/>
      </c>
    </row>
    <row r="3855">
      <c r="M3855" s="2">
        <f>IF(C3855="","",IFERROR(INDEX($S$5:$S$304,MATCH(C3855,$R$5:$R$304,0))&amp;"","?"))</f>
        <v/>
      </c>
      <c r="N3855" s="2">
        <f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>
        <f>IF(OR(F3855="",G3855=""),"",IF(G3855&lt;='RETRATO 2027'!$K$5,"CONCLUÍDA",IF(F3855&lt;='RETRATO 2027'!$K$5,"EM ANDAMENTO","A INICIAR")))</f>
        <v/>
      </c>
    </row>
    <row r="3856">
      <c r="M3856" s="2">
        <f>IF(C3856="","",IFERROR(INDEX($S$5:$S$304,MATCH(C3856,$R$5:$R$304,0))&amp;"","?"))</f>
        <v/>
      </c>
      <c r="N3856" s="2">
        <f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>
        <f>IF(OR(F3856="",G3856=""),"",IF(G3856&lt;='RETRATO 2027'!$K$5,"CONCLUÍDA",IF(F3856&lt;='RETRATO 2027'!$K$5,"EM ANDAMENTO","A INICIAR")))</f>
        <v/>
      </c>
    </row>
    <row r="3857">
      <c r="M3857" s="2">
        <f>IF(C3857="","",IFERROR(INDEX($S$5:$S$304,MATCH(C3857,$R$5:$R$304,0))&amp;"","?"))</f>
        <v/>
      </c>
      <c r="N3857" s="2">
        <f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>
        <f>IF(OR(F3857="",G3857=""),"",IF(G3857&lt;='RETRATO 2027'!$K$5,"CONCLUÍDA",IF(F3857&lt;='RETRATO 2027'!$K$5,"EM ANDAMENTO","A INICIAR")))</f>
        <v/>
      </c>
    </row>
    <row r="3858">
      <c r="M3858" s="2">
        <f>IF(C3858="","",IFERROR(INDEX($S$5:$S$304,MATCH(C3858,$R$5:$R$304,0))&amp;"","?"))</f>
        <v/>
      </c>
      <c r="N3858" s="2">
        <f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>
        <f>IF(OR(F3858="",G3858=""),"",IF(G3858&lt;='RETRATO 2027'!$K$5,"CONCLUÍDA",IF(F3858&lt;='RETRATO 2027'!$K$5,"EM ANDAMENTO","A INICIAR")))</f>
        <v/>
      </c>
    </row>
    <row r="3859">
      <c r="M3859" s="2">
        <f>IF(C3859="","",IFERROR(INDEX($S$5:$S$304,MATCH(C3859,$R$5:$R$304,0))&amp;"","?"))</f>
        <v/>
      </c>
      <c r="N3859" s="2">
        <f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>
        <f>IF(OR(F3859="",G3859=""),"",IF(G3859&lt;='RETRATO 2027'!$K$5,"CONCLUÍDA",IF(F3859&lt;='RETRATO 2027'!$K$5,"EM ANDAMENTO","A INICIAR")))</f>
        <v/>
      </c>
    </row>
    <row r="3860">
      <c r="M3860" s="2">
        <f>IF(C3860="","",IFERROR(INDEX($S$5:$S$304,MATCH(C3860,$R$5:$R$304,0))&amp;"","?"))</f>
        <v/>
      </c>
      <c r="N3860" s="2">
        <f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>
        <f>IF(OR(F3860="",G3860=""),"",IF(G3860&lt;='RETRATO 2027'!$K$5,"CONCLUÍDA",IF(F3860&lt;='RETRATO 2027'!$K$5,"EM ANDAMENTO","A INICIAR")))</f>
        <v/>
      </c>
    </row>
    <row r="3861">
      <c r="M3861" s="2">
        <f>IF(C3861="","",IFERROR(INDEX($S$5:$S$304,MATCH(C3861,$R$5:$R$304,0))&amp;"","?"))</f>
        <v/>
      </c>
      <c r="N3861" s="2">
        <f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>
        <f>IF(OR(F3861="",G3861=""),"",IF(G3861&lt;='RETRATO 2027'!$K$5,"CONCLUÍDA",IF(F3861&lt;='RETRATO 2027'!$K$5,"EM ANDAMENTO","A INICIAR")))</f>
        <v/>
      </c>
    </row>
    <row r="3862">
      <c r="M3862" s="2">
        <f>IF(C3862="","",IFERROR(INDEX($S$5:$S$304,MATCH(C3862,$R$5:$R$304,0))&amp;"","?"))</f>
        <v/>
      </c>
      <c r="N3862" s="2">
        <f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>
        <f>IF(OR(F3862="",G3862=""),"",IF(G3862&lt;='RETRATO 2027'!$K$5,"CONCLUÍDA",IF(F3862&lt;='RETRATO 2027'!$K$5,"EM ANDAMENTO","A INICIAR")))</f>
        <v/>
      </c>
    </row>
    <row r="3863">
      <c r="M3863" s="2">
        <f>IF(C3863="","",IFERROR(INDEX($S$5:$S$304,MATCH(C3863,$R$5:$R$304,0))&amp;"","?"))</f>
        <v/>
      </c>
      <c r="N3863" s="2">
        <f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>
        <f>IF(OR(F3863="",G3863=""),"",IF(G3863&lt;='RETRATO 2027'!$K$5,"CONCLUÍDA",IF(F3863&lt;='RETRATO 2027'!$K$5,"EM ANDAMENTO","A INICIAR")))</f>
        <v/>
      </c>
    </row>
    <row r="3864">
      <c r="M3864" s="2">
        <f>IF(C3864="","",IFERROR(INDEX($S$5:$S$304,MATCH(C3864,$R$5:$R$304,0))&amp;"","?"))</f>
        <v/>
      </c>
      <c r="N3864" s="2">
        <f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>
        <f>IF(OR(F3864="",G3864=""),"",IF(G3864&lt;='RETRATO 2027'!$K$5,"CONCLUÍDA",IF(F3864&lt;='RETRATO 2027'!$K$5,"EM ANDAMENTO","A INICIAR")))</f>
        <v/>
      </c>
    </row>
    <row r="3865">
      <c r="M3865" s="2">
        <f>IF(C3865="","",IFERROR(INDEX($S$5:$S$304,MATCH(C3865,$R$5:$R$304,0))&amp;"","?"))</f>
        <v/>
      </c>
      <c r="N3865" s="2">
        <f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>
        <f>IF(OR(F3865="",G3865=""),"",IF(G3865&lt;='RETRATO 2027'!$K$5,"CONCLUÍDA",IF(F3865&lt;='RETRATO 2027'!$K$5,"EM ANDAMENTO","A INICIAR")))</f>
        <v/>
      </c>
    </row>
    <row r="3866">
      <c r="M3866" s="2">
        <f>IF(C3866="","",IFERROR(INDEX($S$5:$S$304,MATCH(C3866,$R$5:$R$304,0))&amp;"","?"))</f>
        <v/>
      </c>
      <c r="N3866" s="2">
        <f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>
        <f>IF(OR(F3866="",G3866=""),"",IF(G3866&lt;='RETRATO 2027'!$K$5,"CONCLUÍDA",IF(F3866&lt;='RETRATO 2027'!$K$5,"EM ANDAMENTO","A INICIAR")))</f>
        <v/>
      </c>
    </row>
    <row r="3867">
      <c r="M3867" s="2">
        <f>IF(C3867="","",IFERROR(INDEX($S$5:$S$304,MATCH(C3867,$R$5:$R$304,0))&amp;"","?"))</f>
        <v/>
      </c>
      <c r="N3867" s="2">
        <f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>
        <f>IF(OR(F3867="",G3867=""),"",IF(G3867&lt;='RETRATO 2027'!$K$5,"CONCLUÍDA",IF(F3867&lt;='RETRATO 2027'!$K$5,"EM ANDAMENTO","A INICIAR")))</f>
        <v/>
      </c>
    </row>
    <row r="3868">
      <c r="M3868" s="2">
        <f>IF(C3868="","",IFERROR(INDEX($S$5:$S$304,MATCH(C3868,$R$5:$R$304,0))&amp;"","?"))</f>
        <v/>
      </c>
      <c r="N3868" s="2">
        <f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>
        <f>IF(OR(F3868="",G3868=""),"",IF(G3868&lt;='RETRATO 2027'!$K$5,"CONCLUÍDA",IF(F3868&lt;='RETRATO 2027'!$K$5,"EM ANDAMENTO","A INICIAR")))</f>
        <v/>
      </c>
    </row>
    <row r="3869">
      <c r="M3869" s="2">
        <f>IF(C3869="","",IFERROR(INDEX($S$5:$S$304,MATCH(C3869,$R$5:$R$304,0))&amp;"","?"))</f>
        <v/>
      </c>
      <c r="N3869" s="2">
        <f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>
        <f>IF(OR(F3869="",G3869=""),"",IF(G3869&lt;='RETRATO 2027'!$K$5,"CONCLUÍDA",IF(F3869&lt;='RETRATO 2027'!$K$5,"EM ANDAMENTO","A INICIAR")))</f>
        <v/>
      </c>
    </row>
    <row r="3870">
      <c r="M3870" s="2">
        <f>IF(C3870="","",IFERROR(INDEX($S$5:$S$304,MATCH(C3870,$R$5:$R$304,0))&amp;"","?"))</f>
        <v/>
      </c>
      <c r="N3870" s="2">
        <f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>
        <f>IF(OR(F3870="",G3870=""),"",IF(G3870&lt;='RETRATO 2027'!$K$5,"CONCLUÍDA",IF(F3870&lt;='RETRATO 2027'!$K$5,"EM ANDAMENTO","A INICIAR")))</f>
        <v/>
      </c>
    </row>
    <row r="3871">
      <c r="M3871" s="2">
        <f>IF(C3871="","",IFERROR(INDEX($S$5:$S$304,MATCH(C3871,$R$5:$R$304,0))&amp;"","?"))</f>
        <v/>
      </c>
      <c r="N3871" s="2">
        <f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>
        <f>IF(OR(F3871="",G3871=""),"",IF(G3871&lt;='RETRATO 2027'!$K$5,"CONCLUÍDA",IF(F3871&lt;='RETRATO 2027'!$K$5,"EM ANDAMENTO","A INICIAR")))</f>
        <v/>
      </c>
    </row>
    <row r="3872">
      <c r="M3872" s="2">
        <f>IF(C3872="","",IFERROR(INDEX($S$5:$S$304,MATCH(C3872,$R$5:$R$304,0))&amp;"","?"))</f>
        <v/>
      </c>
      <c r="N3872" s="2">
        <f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>
        <f>IF(OR(F3872="",G3872=""),"",IF(G3872&lt;='RETRATO 2027'!$K$5,"CONCLUÍDA",IF(F3872&lt;='RETRATO 2027'!$K$5,"EM ANDAMENTO","A INICIAR")))</f>
        <v/>
      </c>
    </row>
    <row r="3873">
      <c r="M3873" s="2">
        <f>IF(C3873="","",IFERROR(INDEX($S$5:$S$304,MATCH(C3873,$R$5:$R$304,0))&amp;"","?"))</f>
        <v/>
      </c>
      <c r="N3873" s="2">
        <f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>
        <f>IF(OR(F3873="",G3873=""),"",IF(G3873&lt;='RETRATO 2027'!$K$5,"CONCLUÍDA",IF(F3873&lt;='RETRATO 2027'!$K$5,"EM ANDAMENTO","A INICIAR")))</f>
        <v/>
      </c>
    </row>
    <row r="3874">
      <c r="M3874" s="2">
        <f>IF(C3874="","",IFERROR(INDEX($S$5:$S$304,MATCH(C3874,$R$5:$R$304,0))&amp;"","?"))</f>
        <v/>
      </c>
      <c r="N3874" s="2">
        <f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>
        <f>IF(OR(F3874="",G3874=""),"",IF(G3874&lt;='RETRATO 2027'!$K$5,"CONCLUÍDA",IF(F3874&lt;='RETRATO 2027'!$K$5,"EM ANDAMENTO","A INICIAR")))</f>
        <v/>
      </c>
    </row>
    <row r="3875">
      <c r="M3875" s="2">
        <f>IF(C3875="","",IFERROR(INDEX($S$5:$S$304,MATCH(C3875,$R$5:$R$304,0))&amp;"","?"))</f>
        <v/>
      </c>
      <c r="N3875" s="2">
        <f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>
        <f>IF(OR(F3875="",G3875=""),"",IF(G3875&lt;='RETRATO 2027'!$K$5,"CONCLUÍDA",IF(F3875&lt;='RETRATO 2027'!$K$5,"EM ANDAMENTO","A INICIAR")))</f>
        <v/>
      </c>
    </row>
    <row r="3876">
      <c r="M3876" s="2">
        <f>IF(C3876="","",IFERROR(INDEX($S$5:$S$304,MATCH(C3876,$R$5:$R$304,0))&amp;"","?"))</f>
        <v/>
      </c>
      <c r="N3876" s="2">
        <f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>
        <f>IF(OR(F3876="",G3876=""),"",IF(G3876&lt;='RETRATO 2027'!$K$5,"CONCLUÍDA",IF(F3876&lt;='RETRATO 2027'!$K$5,"EM ANDAMENTO","A INICIAR")))</f>
        <v/>
      </c>
    </row>
    <row r="3877">
      <c r="M3877" s="2">
        <f>IF(C3877="","",IFERROR(INDEX($S$5:$S$304,MATCH(C3877,$R$5:$R$304,0))&amp;"","?"))</f>
        <v/>
      </c>
      <c r="N3877" s="2">
        <f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>
        <f>IF(OR(F3877="",G3877=""),"",IF(G3877&lt;='RETRATO 2027'!$K$5,"CONCLUÍDA",IF(F3877&lt;='RETRATO 2027'!$K$5,"EM ANDAMENTO","A INICIAR")))</f>
        <v/>
      </c>
    </row>
    <row r="3878">
      <c r="M3878" s="2">
        <f>IF(C3878="","",IFERROR(INDEX($S$5:$S$304,MATCH(C3878,$R$5:$R$304,0))&amp;"","?"))</f>
        <v/>
      </c>
      <c r="N3878" s="2">
        <f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>
        <f>IF(OR(F3878="",G3878=""),"",IF(G3878&lt;='RETRATO 2027'!$K$5,"CONCLUÍDA",IF(F3878&lt;='RETRATO 2027'!$K$5,"EM ANDAMENTO","A INICIAR")))</f>
        <v/>
      </c>
    </row>
    <row r="3879">
      <c r="M3879" s="2">
        <f>IF(C3879="","",IFERROR(INDEX($S$5:$S$304,MATCH(C3879,$R$5:$R$304,0))&amp;"","?"))</f>
        <v/>
      </c>
      <c r="N3879" s="2">
        <f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>
        <f>IF(OR(F3879="",G3879=""),"",IF(G3879&lt;='RETRATO 2027'!$K$5,"CONCLUÍDA",IF(F3879&lt;='RETRATO 2027'!$K$5,"EM ANDAMENTO","A INICIAR")))</f>
        <v/>
      </c>
    </row>
    <row r="3880">
      <c r="M3880" s="2">
        <f>IF(C3880="","",IFERROR(INDEX($S$5:$S$304,MATCH(C3880,$R$5:$R$304,0))&amp;"","?"))</f>
        <v/>
      </c>
      <c r="N3880" s="2">
        <f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>
        <f>IF(OR(F3880="",G3880=""),"",IF(G3880&lt;='RETRATO 2027'!$K$5,"CONCLUÍDA",IF(F3880&lt;='RETRATO 2027'!$K$5,"EM ANDAMENTO","A INICIAR")))</f>
        <v/>
      </c>
    </row>
    <row r="3881">
      <c r="M3881" s="2">
        <f>IF(C3881="","",IFERROR(INDEX($S$5:$S$304,MATCH(C3881,$R$5:$R$304,0))&amp;"","?"))</f>
        <v/>
      </c>
      <c r="N3881" s="2">
        <f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>
        <f>IF(OR(F3881="",G3881=""),"",IF(G3881&lt;='RETRATO 2027'!$K$5,"CONCLUÍDA",IF(F3881&lt;='RETRATO 2027'!$K$5,"EM ANDAMENTO","A INICIAR")))</f>
        <v/>
      </c>
    </row>
    <row r="3882">
      <c r="M3882" s="2">
        <f>IF(C3882="","",IFERROR(INDEX($S$5:$S$304,MATCH(C3882,$R$5:$R$304,0))&amp;"","?"))</f>
        <v/>
      </c>
      <c r="N3882" s="2">
        <f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>
        <f>IF(OR(F3882="",G3882=""),"",IF(G3882&lt;='RETRATO 2027'!$K$5,"CONCLUÍDA",IF(F3882&lt;='RETRATO 2027'!$K$5,"EM ANDAMENTO","A INICIAR")))</f>
        <v/>
      </c>
    </row>
    <row r="3883">
      <c r="M3883" s="2">
        <f>IF(C3883="","",IFERROR(INDEX($S$5:$S$304,MATCH(C3883,$R$5:$R$304,0))&amp;"","?"))</f>
        <v/>
      </c>
      <c r="N3883" s="2">
        <f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>
        <f>IF(OR(F3883="",G3883=""),"",IF(G3883&lt;='RETRATO 2027'!$K$5,"CONCLUÍDA",IF(F3883&lt;='RETRATO 2027'!$K$5,"EM ANDAMENTO","A INICIAR")))</f>
        <v/>
      </c>
    </row>
    <row r="3884">
      <c r="M3884" s="2">
        <f>IF(C3884="","",IFERROR(INDEX($S$5:$S$304,MATCH(C3884,$R$5:$R$304,0))&amp;"","?"))</f>
        <v/>
      </c>
      <c r="N3884" s="2">
        <f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>
        <f>IF(OR(F3884="",G3884=""),"",IF(G3884&lt;='RETRATO 2027'!$K$5,"CONCLUÍDA",IF(F3884&lt;='RETRATO 2027'!$K$5,"EM ANDAMENTO","A INICIAR")))</f>
        <v/>
      </c>
    </row>
    <row r="3885">
      <c r="M3885" s="2">
        <f>IF(C3885="","",IFERROR(INDEX($S$5:$S$304,MATCH(C3885,$R$5:$R$304,0))&amp;"","?"))</f>
        <v/>
      </c>
      <c r="N3885" s="2">
        <f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>
        <f>IF(OR(F3885="",G3885=""),"",IF(G3885&lt;='RETRATO 2027'!$K$5,"CONCLUÍDA",IF(F3885&lt;='RETRATO 2027'!$K$5,"EM ANDAMENTO","A INICIAR")))</f>
        <v/>
      </c>
    </row>
    <row r="3886">
      <c r="M3886" s="2">
        <f>IF(C3886="","",IFERROR(INDEX($S$5:$S$304,MATCH(C3886,$R$5:$R$304,0))&amp;"","?"))</f>
        <v/>
      </c>
      <c r="N3886" s="2">
        <f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>
        <f>IF(OR(F3886="",G3886=""),"",IF(G3886&lt;='RETRATO 2027'!$K$5,"CONCLUÍDA",IF(F3886&lt;='RETRATO 2027'!$K$5,"EM ANDAMENTO","A INICIAR")))</f>
        <v/>
      </c>
    </row>
    <row r="3887">
      <c r="M3887" s="2">
        <f>IF(C3887="","",IFERROR(INDEX($S$5:$S$304,MATCH(C3887,$R$5:$R$304,0))&amp;"","?"))</f>
        <v/>
      </c>
      <c r="N3887" s="2">
        <f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>
        <f>IF(OR(F3887="",G3887=""),"",IF(G3887&lt;='RETRATO 2027'!$K$5,"CONCLUÍDA",IF(F3887&lt;='RETRATO 2027'!$K$5,"EM ANDAMENTO","A INICIAR")))</f>
        <v/>
      </c>
    </row>
    <row r="3888">
      <c r="M3888" s="2">
        <f>IF(C3888="","",IFERROR(INDEX($S$5:$S$304,MATCH(C3888,$R$5:$R$304,0))&amp;"","?"))</f>
        <v/>
      </c>
      <c r="N3888" s="2">
        <f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>
        <f>IF(OR(F3888="",G3888=""),"",IF(G3888&lt;='RETRATO 2027'!$K$5,"CONCLUÍDA",IF(F3888&lt;='RETRATO 2027'!$K$5,"EM ANDAMENTO","A INICIAR")))</f>
        <v/>
      </c>
    </row>
    <row r="3889">
      <c r="M3889" s="2">
        <f>IF(C3889="","",IFERROR(INDEX($S$5:$S$304,MATCH(C3889,$R$5:$R$304,0))&amp;"","?"))</f>
        <v/>
      </c>
      <c r="N3889" s="2">
        <f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>
        <f>IF(OR(F3889="",G3889=""),"",IF(G3889&lt;='RETRATO 2027'!$K$5,"CONCLUÍDA",IF(F3889&lt;='RETRATO 2027'!$K$5,"EM ANDAMENTO","A INICIAR")))</f>
        <v/>
      </c>
    </row>
    <row r="3890">
      <c r="M3890" s="2">
        <f>IF(C3890="","",IFERROR(INDEX($S$5:$S$304,MATCH(C3890,$R$5:$R$304,0))&amp;"","?"))</f>
        <v/>
      </c>
      <c r="N3890" s="2">
        <f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>
        <f>IF(OR(F3890="",G3890=""),"",IF(G3890&lt;='RETRATO 2027'!$K$5,"CONCLUÍDA",IF(F3890&lt;='RETRATO 2027'!$K$5,"EM ANDAMENTO","A INICIAR")))</f>
        <v/>
      </c>
    </row>
    <row r="3891">
      <c r="M3891" s="2">
        <f>IF(C3891="","",IFERROR(INDEX($S$5:$S$304,MATCH(C3891,$R$5:$R$304,0))&amp;"","?"))</f>
        <v/>
      </c>
      <c r="N3891" s="2">
        <f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>
        <f>IF(OR(F3891="",G3891=""),"",IF(G3891&lt;='RETRATO 2027'!$K$5,"CONCLUÍDA",IF(F3891&lt;='RETRATO 2027'!$K$5,"EM ANDAMENTO","A INICIAR")))</f>
        <v/>
      </c>
    </row>
    <row r="3892">
      <c r="M3892" s="2">
        <f>IF(C3892="","",IFERROR(INDEX($S$5:$S$304,MATCH(C3892,$R$5:$R$304,0))&amp;"","?"))</f>
        <v/>
      </c>
      <c r="N3892" s="2">
        <f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>
        <f>IF(OR(F3892="",G3892=""),"",IF(G3892&lt;='RETRATO 2027'!$K$5,"CONCLUÍDA",IF(F3892&lt;='RETRATO 2027'!$K$5,"EM ANDAMENTO","A INICIAR")))</f>
        <v/>
      </c>
    </row>
    <row r="3893">
      <c r="M3893" s="2">
        <f>IF(C3893="","",IFERROR(INDEX($S$5:$S$304,MATCH(C3893,$R$5:$R$304,0))&amp;"","?"))</f>
        <v/>
      </c>
      <c r="N3893" s="2">
        <f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>
        <f>IF(OR(F3893="",G3893=""),"",IF(G3893&lt;='RETRATO 2027'!$K$5,"CONCLUÍDA",IF(F3893&lt;='RETRATO 2027'!$K$5,"EM ANDAMENTO","A INICIAR")))</f>
        <v/>
      </c>
    </row>
    <row r="3894">
      <c r="M3894" s="2">
        <f>IF(C3894="","",IFERROR(INDEX($S$5:$S$304,MATCH(C3894,$R$5:$R$304,0))&amp;"","?"))</f>
        <v/>
      </c>
      <c r="N3894" s="2">
        <f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>
        <f>IF(OR(F3894="",G3894=""),"",IF(G3894&lt;='RETRATO 2027'!$K$5,"CONCLUÍDA",IF(F3894&lt;='RETRATO 2027'!$K$5,"EM ANDAMENTO","A INICIAR")))</f>
        <v/>
      </c>
    </row>
    <row r="3895">
      <c r="M3895" s="2">
        <f>IF(C3895="","",IFERROR(INDEX($S$5:$S$304,MATCH(C3895,$R$5:$R$304,0))&amp;"","?"))</f>
        <v/>
      </c>
      <c r="N3895" s="2">
        <f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>
        <f>IF(OR(F3895="",G3895=""),"",IF(G3895&lt;='RETRATO 2027'!$K$5,"CONCLUÍDA",IF(F3895&lt;='RETRATO 2027'!$K$5,"EM ANDAMENTO","A INICIAR")))</f>
        <v/>
      </c>
    </row>
    <row r="3896">
      <c r="M3896" s="2">
        <f>IF(C3896="","",IFERROR(INDEX($S$5:$S$304,MATCH(C3896,$R$5:$R$304,0))&amp;"","?"))</f>
        <v/>
      </c>
      <c r="N3896" s="2">
        <f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>
        <f>IF(OR(F3896="",G3896=""),"",IF(G3896&lt;='RETRATO 2027'!$K$5,"CONCLUÍDA",IF(F3896&lt;='RETRATO 2027'!$K$5,"EM ANDAMENTO","A INICIAR")))</f>
        <v/>
      </c>
    </row>
    <row r="3897">
      <c r="M3897" s="2">
        <f>IF(C3897="","",IFERROR(INDEX($S$5:$S$304,MATCH(C3897,$R$5:$R$304,0))&amp;"","?"))</f>
        <v/>
      </c>
      <c r="N3897" s="2">
        <f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>
        <f>IF(OR(F3897="",G3897=""),"",IF(G3897&lt;='RETRATO 2027'!$K$5,"CONCLUÍDA",IF(F3897&lt;='RETRATO 2027'!$K$5,"EM ANDAMENTO","A INICIAR")))</f>
        <v/>
      </c>
    </row>
    <row r="3898">
      <c r="M3898" s="2">
        <f>IF(C3898="","",IFERROR(INDEX($S$5:$S$304,MATCH(C3898,$R$5:$R$304,0))&amp;"","?"))</f>
        <v/>
      </c>
      <c r="N3898" s="2">
        <f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>
        <f>IF(OR(F3898="",G3898=""),"",IF(G3898&lt;='RETRATO 2027'!$K$5,"CONCLUÍDA",IF(F3898&lt;='RETRATO 2027'!$K$5,"EM ANDAMENTO","A INICIAR")))</f>
        <v/>
      </c>
    </row>
    <row r="3899">
      <c r="M3899" s="2">
        <f>IF(C3899="","",IFERROR(INDEX($S$5:$S$304,MATCH(C3899,$R$5:$R$304,0))&amp;"","?"))</f>
        <v/>
      </c>
      <c r="N3899" s="2">
        <f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>
        <f>IF(OR(F3899="",G3899=""),"",IF(G3899&lt;='RETRATO 2027'!$K$5,"CONCLUÍDA",IF(F3899&lt;='RETRATO 2027'!$K$5,"EM ANDAMENTO","A INICIAR")))</f>
        <v/>
      </c>
    </row>
    <row r="3900">
      <c r="M3900" s="2">
        <f>IF(C3900="","",IFERROR(INDEX($S$5:$S$304,MATCH(C3900,$R$5:$R$304,0))&amp;"","?"))</f>
        <v/>
      </c>
      <c r="N3900" s="2">
        <f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>
        <f>IF(OR(F3900="",G3900=""),"",IF(G3900&lt;='RETRATO 2027'!$K$5,"CONCLUÍDA",IF(F3900&lt;='RETRATO 2027'!$K$5,"EM ANDAMENTO","A INICIAR")))</f>
        <v/>
      </c>
    </row>
    <row r="3901">
      <c r="M3901" s="2">
        <f>IF(C3901="","",IFERROR(INDEX($S$5:$S$304,MATCH(C3901,$R$5:$R$304,0))&amp;"","?"))</f>
        <v/>
      </c>
      <c r="N3901" s="2">
        <f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>
        <f>IF(OR(F3901="",G3901=""),"",IF(G3901&lt;='RETRATO 2027'!$K$5,"CONCLUÍDA",IF(F3901&lt;='RETRATO 2027'!$K$5,"EM ANDAMENTO","A INICIAR")))</f>
        <v/>
      </c>
    </row>
    <row r="3902">
      <c r="M3902" s="2">
        <f>IF(C3902="","",IFERROR(INDEX($S$5:$S$304,MATCH(C3902,$R$5:$R$304,0))&amp;"","?"))</f>
        <v/>
      </c>
      <c r="N3902" s="2">
        <f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>
        <f>IF(OR(F3902="",G3902=""),"",IF(G3902&lt;='RETRATO 2027'!$K$5,"CONCLUÍDA",IF(F3902&lt;='RETRATO 2027'!$K$5,"EM ANDAMENTO","A INICIAR")))</f>
        <v/>
      </c>
    </row>
    <row r="3903">
      <c r="M3903" s="2">
        <f>IF(C3903="","",IFERROR(INDEX($S$5:$S$304,MATCH(C3903,$R$5:$R$304,0))&amp;"","?"))</f>
        <v/>
      </c>
      <c r="N3903" s="2">
        <f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>
        <f>IF(OR(F3903="",G3903=""),"",IF(G3903&lt;='RETRATO 2027'!$K$5,"CONCLUÍDA",IF(F3903&lt;='RETRATO 2027'!$K$5,"EM ANDAMENTO","A INICIAR")))</f>
        <v/>
      </c>
    </row>
    <row r="3904">
      <c r="M3904" s="2">
        <f>IF(C3904="","",IFERROR(INDEX($S$5:$S$304,MATCH(C3904,$R$5:$R$304,0))&amp;"","?"))</f>
        <v/>
      </c>
      <c r="N3904" s="2">
        <f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>
        <f>IF(OR(F3904="",G3904=""),"",IF(G3904&lt;='RETRATO 2027'!$K$5,"CONCLUÍDA",IF(F3904&lt;='RETRATO 2027'!$K$5,"EM ANDAMENTO","A INICIAR")))</f>
        <v/>
      </c>
    </row>
    <row r="3905">
      <c r="M3905" s="2">
        <f>IF(C3905="","",IFERROR(INDEX($S$5:$S$304,MATCH(C3905,$R$5:$R$304,0))&amp;"","?"))</f>
        <v/>
      </c>
      <c r="N3905" s="2">
        <f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>
        <f>IF(OR(F3905="",G3905=""),"",IF(G3905&lt;='RETRATO 2027'!$K$5,"CONCLUÍDA",IF(F3905&lt;='RETRATO 2027'!$K$5,"EM ANDAMENTO","A INICIAR")))</f>
        <v/>
      </c>
    </row>
    <row r="3906">
      <c r="M3906" s="2">
        <f>IF(C3906="","",IFERROR(INDEX($S$5:$S$304,MATCH(C3906,$R$5:$R$304,0))&amp;"","?"))</f>
        <v/>
      </c>
      <c r="N3906" s="2">
        <f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>
        <f>IF(OR(F3906="",G3906=""),"",IF(G3906&lt;='RETRATO 2027'!$K$5,"CONCLUÍDA",IF(F3906&lt;='RETRATO 2027'!$K$5,"EM ANDAMENTO","A INICIAR")))</f>
        <v/>
      </c>
    </row>
    <row r="3907">
      <c r="M3907" s="2">
        <f>IF(C3907="","",IFERROR(INDEX($S$5:$S$304,MATCH(C3907,$R$5:$R$304,0))&amp;"","?"))</f>
        <v/>
      </c>
      <c r="N3907" s="2">
        <f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>
        <f>IF(OR(F3907="",G3907=""),"",IF(G3907&lt;='RETRATO 2027'!$K$5,"CONCLUÍDA",IF(F3907&lt;='RETRATO 2027'!$K$5,"EM ANDAMENTO","A INICIAR")))</f>
        <v/>
      </c>
    </row>
    <row r="3908">
      <c r="M3908" s="2">
        <f>IF(C3908="","",IFERROR(INDEX($S$5:$S$304,MATCH(C3908,$R$5:$R$304,0))&amp;"","?"))</f>
        <v/>
      </c>
      <c r="N3908" s="2">
        <f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>
        <f>IF(OR(F3908="",G3908=""),"",IF(G3908&lt;='RETRATO 2027'!$K$5,"CONCLUÍDA",IF(F3908&lt;='RETRATO 2027'!$K$5,"EM ANDAMENTO","A INICIAR")))</f>
        <v/>
      </c>
    </row>
    <row r="3909">
      <c r="M3909" s="2">
        <f>IF(C3909="","",IFERROR(INDEX($S$5:$S$304,MATCH(C3909,$R$5:$R$304,0))&amp;"","?"))</f>
        <v/>
      </c>
      <c r="N3909" s="2">
        <f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>
        <f>IF(OR(F3909="",G3909=""),"",IF(G3909&lt;='RETRATO 2027'!$K$5,"CONCLUÍDA",IF(F3909&lt;='RETRATO 2027'!$K$5,"EM ANDAMENTO","A INICIAR")))</f>
        <v/>
      </c>
    </row>
    <row r="3910">
      <c r="M3910" s="2">
        <f>IF(C3910="","",IFERROR(INDEX($S$5:$S$304,MATCH(C3910,$R$5:$R$304,0))&amp;"","?"))</f>
        <v/>
      </c>
      <c r="N3910" s="2">
        <f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>
        <f>IF(OR(F3910="",G3910=""),"",IF(G3910&lt;='RETRATO 2027'!$K$5,"CONCLUÍDA",IF(F3910&lt;='RETRATO 2027'!$K$5,"EM ANDAMENTO","A INICIAR")))</f>
        <v/>
      </c>
    </row>
    <row r="3911">
      <c r="M3911" s="2">
        <f>IF(C3911="","",IFERROR(INDEX($S$5:$S$304,MATCH(C3911,$R$5:$R$304,0))&amp;"","?"))</f>
        <v/>
      </c>
      <c r="N3911" s="2">
        <f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>
        <f>IF(OR(F3911="",G3911=""),"",IF(G3911&lt;='RETRATO 2027'!$K$5,"CONCLUÍDA",IF(F3911&lt;='RETRATO 2027'!$K$5,"EM ANDAMENTO","A INICIAR")))</f>
        <v/>
      </c>
    </row>
    <row r="3912">
      <c r="M3912" s="2">
        <f>IF(C3912="","",IFERROR(INDEX($S$5:$S$304,MATCH(C3912,$R$5:$R$304,0))&amp;"","?"))</f>
        <v/>
      </c>
      <c r="N3912" s="2">
        <f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>
        <f>IF(OR(F3912="",G3912=""),"",IF(G3912&lt;='RETRATO 2027'!$K$5,"CONCLUÍDA",IF(F3912&lt;='RETRATO 2027'!$K$5,"EM ANDAMENTO","A INICIAR")))</f>
        <v/>
      </c>
    </row>
    <row r="3913">
      <c r="M3913" s="2">
        <f>IF(C3913="","",IFERROR(INDEX($S$5:$S$304,MATCH(C3913,$R$5:$R$304,0))&amp;"","?"))</f>
        <v/>
      </c>
      <c r="N3913" s="2">
        <f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>
        <f>IF(OR(F3913="",G3913=""),"",IF(G3913&lt;='RETRATO 2027'!$K$5,"CONCLUÍDA",IF(F3913&lt;='RETRATO 2027'!$K$5,"EM ANDAMENTO","A INICIAR")))</f>
        <v/>
      </c>
    </row>
    <row r="3914">
      <c r="M3914" s="2">
        <f>IF(C3914="","",IFERROR(INDEX($S$5:$S$304,MATCH(C3914,$R$5:$R$304,0))&amp;"","?"))</f>
        <v/>
      </c>
      <c r="N3914" s="2">
        <f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>
        <f>IF(OR(F3914="",G3914=""),"",IF(G3914&lt;='RETRATO 2027'!$K$5,"CONCLUÍDA",IF(F3914&lt;='RETRATO 2027'!$K$5,"EM ANDAMENTO","A INICIAR")))</f>
        <v/>
      </c>
    </row>
    <row r="3915">
      <c r="M3915" s="2">
        <f>IF(C3915="","",IFERROR(INDEX($S$5:$S$304,MATCH(C3915,$R$5:$R$304,0))&amp;"","?"))</f>
        <v/>
      </c>
      <c r="N3915" s="2">
        <f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>
        <f>IF(OR(F3915="",G3915=""),"",IF(G3915&lt;='RETRATO 2027'!$K$5,"CONCLUÍDA",IF(F3915&lt;='RETRATO 2027'!$K$5,"EM ANDAMENTO","A INICIAR")))</f>
        <v/>
      </c>
    </row>
    <row r="3916">
      <c r="M3916" s="2">
        <f>IF(C3916="","",IFERROR(INDEX($S$5:$S$304,MATCH(C3916,$R$5:$R$304,0))&amp;"","?"))</f>
        <v/>
      </c>
      <c r="N3916" s="2">
        <f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>
        <f>IF(OR(F3916="",G3916=""),"",IF(G3916&lt;='RETRATO 2027'!$K$5,"CONCLUÍDA",IF(F3916&lt;='RETRATO 2027'!$K$5,"EM ANDAMENTO","A INICIAR")))</f>
        <v/>
      </c>
    </row>
    <row r="3917">
      <c r="M3917" s="2">
        <f>IF(C3917="","",IFERROR(INDEX($S$5:$S$304,MATCH(C3917,$R$5:$R$304,0))&amp;"","?"))</f>
        <v/>
      </c>
      <c r="N3917" s="2">
        <f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>
        <f>IF(OR(F3917="",G3917=""),"",IF(G3917&lt;='RETRATO 2027'!$K$5,"CONCLUÍDA",IF(F3917&lt;='RETRATO 2027'!$K$5,"EM ANDAMENTO","A INICIAR")))</f>
        <v/>
      </c>
    </row>
    <row r="3918">
      <c r="M3918" s="2">
        <f>IF(C3918="","",IFERROR(INDEX($S$5:$S$304,MATCH(C3918,$R$5:$R$304,0))&amp;"","?"))</f>
        <v/>
      </c>
      <c r="N3918" s="2">
        <f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>
        <f>IF(OR(F3918="",G3918=""),"",IF(G3918&lt;='RETRATO 2027'!$K$5,"CONCLUÍDA",IF(F3918&lt;='RETRATO 2027'!$K$5,"EM ANDAMENTO","A INICIAR")))</f>
        <v/>
      </c>
    </row>
    <row r="3919">
      <c r="M3919" s="2">
        <f>IF(C3919="","",IFERROR(INDEX($S$5:$S$304,MATCH(C3919,$R$5:$R$304,0))&amp;"","?"))</f>
        <v/>
      </c>
      <c r="N3919" s="2">
        <f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>
        <f>IF(OR(F3919="",G3919=""),"",IF(G3919&lt;='RETRATO 2027'!$K$5,"CONCLUÍDA",IF(F3919&lt;='RETRATO 2027'!$K$5,"EM ANDAMENTO","A INICIAR")))</f>
        <v/>
      </c>
    </row>
    <row r="3920">
      <c r="M3920" s="2">
        <f>IF(C3920="","",IFERROR(INDEX($S$5:$S$304,MATCH(C3920,$R$5:$R$304,0))&amp;"","?"))</f>
        <v/>
      </c>
      <c r="N3920" s="2">
        <f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>
        <f>IF(OR(F3920="",G3920=""),"",IF(G3920&lt;='RETRATO 2027'!$K$5,"CONCLUÍDA",IF(F3920&lt;='RETRATO 2027'!$K$5,"EM ANDAMENTO","A INICIAR")))</f>
        <v/>
      </c>
    </row>
    <row r="3921">
      <c r="M3921" s="2">
        <f>IF(C3921="","",IFERROR(INDEX($S$5:$S$304,MATCH(C3921,$R$5:$R$304,0))&amp;"","?"))</f>
        <v/>
      </c>
      <c r="N3921" s="2">
        <f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>
        <f>IF(OR(F3921="",G3921=""),"",IF(G3921&lt;='RETRATO 2027'!$K$5,"CONCLUÍDA",IF(F3921&lt;='RETRATO 2027'!$K$5,"EM ANDAMENTO","A INICIAR")))</f>
        <v/>
      </c>
    </row>
    <row r="3922">
      <c r="M3922" s="2">
        <f>IF(C3922="","",IFERROR(INDEX($S$5:$S$304,MATCH(C3922,$R$5:$R$304,0))&amp;"","?"))</f>
        <v/>
      </c>
      <c r="N3922" s="2">
        <f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>
        <f>IF(OR(F3922="",G3922=""),"",IF(G3922&lt;='RETRATO 2027'!$K$5,"CONCLUÍDA",IF(F3922&lt;='RETRATO 2027'!$K$5,"EM ANDAMENTO","A INICIAR")))</f>
        <v/>
      </c>
    </row>
    <row r="3923">
      <c r="M3923" s="2">
        <f>IF(C3923="","",IFERROR(INDEX($S$5:$S$304,MATCH(C3923,$R$5:$R$304,0))&amp;"","?"))</f>
        <v/>
      </c>
      <c r="N3923" s="2">
        <f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>
        <f>IF(OR(F3923="",G3923=""),"",IF(G3923&lt;='RETRATO 2027'!$K$5,"CONCLUÍDA",IF(F3923&lt;='RETRATO 2027'!$K$5,"EM ANDAMENTO","A INICIAR")))</f>
        <v/>
      </c>
    </row>
    <row r="3924">
      <c r="M3924" s="2">
        <f>IF(C3924="","",IFERROR(INDEX($S$5:$S$304,MATCH(C3924,$R$5:$R$304,0))&amp;"","?"))</f>
        <v/>
      </c>
      <c r="N3924" s="2">
        <f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>
        <f>IF(OR(F3924="",G3924=""),"",IF(G3924&lt;='RETRATO 2027'!$K$5,"CONCLUÍDA",IF(F3924&lt;='RETRATO 2027'!$K$5,"EM ANDAMENTO","A INICIAR")))</f>
        <v/>
      </c>
    </row>
    <row r="3925">
      <c r="M3925" s="2">
        <f>IF(C3925="","",IFERROR(INDEX($S$5:$S$304,MATCH(C3925,$R$5:$R$304,0))&amp;"","?"))</f>
        <v/>
      </c>
      <c r="N3925" s="2">
        <f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>
        <f>IF(OR(F3925="",G3925=""),"",IF(G3925&lt;='RETRATO 2027'!$K$5,"CONCLUÍDA",IF(F3925&lt;='RETRATO 2027'!$K$5,"EM ANDAMENTO","A INICIAR")))</f>
        <v/>
      </c>
    </row>
    <row r="3926">
      <c r="M3926" s="2">
        <f>IF(C3926="","",IFERROR(INDEX($S$5:$S$304,MATCH(C3926,$R$5:$R$304,0))&amp;"","?"))</f>
        <v/>
      </c>
      <c r="N3926" s="2">
        <f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>
        <f>IF(OR(F3926="",G3926=""),"",IF(G3926&lt;='RETRATO 2027'!$K$5,"CONCLUÍDA",IF(F3926&lt;='RETRATO 2027'!$K$5,"EM ANDAMENTO","A INICIAR")))</f>
        <v/>
      </c>
    </row>
    <row r="3927">
      <c r="M3927" s="2">
        <f>IF(C3927="","",IFERROR(INDEX($S$5:$S$304,MATCH(C3927,$R$5:$R$304,0))&amp;"","?"))</f>
        <v/>
      </c>
      <c r="N3927" s="2">
        <f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>
        <f>IF(OR(F3927="",G3927=""),"",IF(G3927&lt;='RETRATO 2027'!$K$5,"CONCLUÍDA",IF(F3927&lt;='RETRATO 2027'!$K$5,"EM ANDAMENTO","A INICIAR")))</f>
        <v/>
      </c>
    </row>
    <row r="3928">
      <c r="M3928" s="2">
        <f>IF(C3928="","",IFERROR(INDEX($S$5:$S$304,MATCH(C3928,$R$5:$R$304,0))&amp;"","?"))</f>
        <v/>
      </c>
      <c r="N3928" s="2">
        <f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>
        <f>IF(OR(F3928="",G3928=""),"",IF(G3928&lt;='RETRATO 2027'!$K$5,"CONCLUÍDA",IF(F3928&lt;='RETRATO 2027'!$K$5,"EM ANDAMENTO","A INICIAR")))</f>
        <v/>
      </c>
    </row>
    <row r="3929">
      <c r="M3929" s="2">
        <f>IF(C3929="","",IFERROR(INDEX($S$5:$S$304,MATCH(C3929,$R$5:$R$304,0))&amp;"","?"))</f>
        <v/>
      </c>
      <c r="N3929" s="2">
        <f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>
        <f>IF(OR(F3929="",G3929=""),"",IF(G3929&lt;='RETRATO 2027'!$K$5,"CONCLUÍDA",IF(F3929&lt;='RETRATO 2027'!$K$5,"EM ANDAMENTO","A INICIAR")))</f>
        <v/>
      </c>
    </row>
    <row r="3930">
      <c r="M3930" s="2">
        <f>IF(C3930="","",IFERROR(INDEX($S$5:$S$304,MATCH(C3930,$R$5:$R$304,0))&amp;"","?"))</f>
        <v/>
      </c>
      <c r="N3930" s="2">
        <f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>
        <f>IF(OR(F3930="",G3930=""),"",IF(G3930&lt;='RETRATO 2027'!$K$5,"CONCLUÍDA",IF(F3930&lt;='RETRATO 2027'!$K$5,"EM ANDAMENTO","A INICIAR")))</f>
        <v/>
      </c>
    </row>
    <row r="3931">
      <c r="M3931" s="2">
        <f>IF(C3931="","",IFERROR(INDEX($S$5:$S$304,MATCH(C3931,$R$5:$R$304,0))&amp;"","?"))</f>
        <v/>
      </c>
      <c r="N3931" s="2">
        <f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>
        <f>IF(OR(F3931="",G3931=""),"",IF(G3931&lt;='RETRATO 2027'!$K$5,"CONCLUÍDA",IF(F3931&lt;='RETRATO 2027'!$K$5,"EM ANDAMENTO","A INICIAR")))</f>
        <v/>
      </c>
    </row>
    <row r="3932">
      <c r="M3932" s="2">
        <f>IF(C3932="","",IFERROR(INDEX($S$5:$S$304,MATCH(C3932,$R$5:$R$304,0))&amp;"","?"))</f>
        <v/>
      </c>
      <c r="N3932" s="2">
        <f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>
        <f>IF(OR(F3932="",G3932=""),"",IF(G3932&lt;='RETRATO 2027'!$K$5,"CONCLUÍDA",IF(F3932&lt;='RETRATO 2027'!$K$5,"EM ANDAMENTO","A INICIAR")))</f>
        <v/>
      </c>
    </row>
    <row r="3933">
      <c r="M3933" s="2">
        <f>IF(C3933="","",IFERROR(INDEX($S$5:$S$304,MATCH(C3933,$R$5:$R$304,0))&amp;"","?"))</f>
        <v/>
      </c>
      <c r="N3933" s="2">
        <f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>
        <f>IF(OR(F3933="",G3933=""),"",IF(G3933&lt;='RETRATO 2027'!$K$5,"CONCLUÍDA",IF(F3933&lt;='RETRATO 2027'!$K$5,"EM ANDAMENTO","A INICIAR")))</f>
        <v/>
      </c>
    </row>
    <row r="3934">
      <c r="M3934" s="2">
        <f>IF(C3934="","",IFERROR(INDEX($S$5:$S$304,MATCH(C3934,$R$5:$R$304,0))&amp;"","?"))</f>
        <v/>
      </c>
      <c r="N3934" s="2">
        <f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>
        <f>IF(OR(F3934="",G3934=""),"",IF(G3934&lt;='RETRATO 2027'!$K$5,"CONCLUÍDA",IF(F3934&lt;='RETRATO 2027'!$K$5,"EM ANDAMENTO","A INICIAR")))</f>
        <v/>
      </c>
    </row>
    <row r="3935">
      <c r="M3935" s="2">
        <f>IF(C3935="","",IFERROR(INDEX($S$5:$S$304,MATCH(C3935,$R$5:$R$304,0))&amp;"","?"))</f>
        <v/>
      </c>
      <c r="N3935" s="2">
        <f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>
        <f>IF(OR(F3935="",G3935=""),"",IF(G3935&lt;='RETRATO 2027'!$K$5,"CONCLUÍDA",IF(F3935&lt;='RETRATO 2027'!$K$5,"EM ANDAMENTO","A INICIAR")))</f>
        <v/>
      </c>
    </row>
    <row r="3936">
      <c r="M3936" s="2">
        <f>IF(C3936="","",IFERROR(INDEX($S$5:$S$304,MATCH(C3936,$R$5:$R$304,0))&amp;"","?"))</f>
        <v/>
      </c>
      <c r="N3936" s="2">
        <f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>
        <f>IF(OR(F3936="",G3936=""),"",IF(G3936&lt;='RETRATO 2027'!$K$5,"CONCLUÍDA",IF(F3936&lt;='RETRATO 2027'!$K$5,"EM ANDAMENTO","A INICIAR")))</f>
        <v/>
      </c>
    </row>
    <row r="3937">
      <c r="M3937" s="2">
        <f>IF(C3937="","",IFERROR(INDEX($S$5:$S$304,MATCH(C3937,$R$5:$R$304,0))&amp;"","?"))</f>
        <v/>
      </c>
      <c r="N3937" s="2">
        <f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>
        <f>IF(OR(F3937="",G3937=""),"",IF(G3937&lt;='RETRATO 2027'!$K$5,"CONCLUÍDA",IF(F3937&lt;='RETRATO 2027'!$K$5,"EM ANDAMENTO","A INICIAR")))</f>
        <v/>
      </c>
    </row>
    <row r="3938">
      <c r="M3938" s="2">
        <f>IF(C3938="","",IFERROR(INDEX($S$5:$S$304,MATCH(C3938,$R$5:$R$304,0))&amp;"","?"))</f>
        <v/>
      </c>
      <c r="N3938" s="2">
        <f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>
        <f>IF(OR(F3938="",G3938=""),"",IF(G3938&lt;='RETRATO 2027'!$K$5,"CONCLUÍDA",IF(F3938&lt;='RETRATO 2027'!$K$5,"EM ANDAMENTO","A INICIAR")))</f>
        <v/>
      </c>
    </row>
    <row r="3939">
      <c r="M3939" s="2">
        <f>IF(C3939="","",IFERROR(INDEX($S$5:$S$304,MATCH(C3939,$R$5:$R$304,0))&amp;"","?"))</f>
        <v/>
      </c>
      <c r="N3939" s="2">
        <f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>
        <f>IF(OR(F3939="",G3939=""),"",IF(G3939&lt;='RETRATO 2027'!$K$5,"CONCLUÍDA",IF(F3939&lt;='RETRATO 2027'!$K$5,"EM ANDAMENTO","A INICIAR")))</f>
        <v/>
      </c>
    </row>
    <row r="3940">
      <c r="M3940" s="2">
        <f>IF(C3940="","",IFERROR(INDEX($S$5:$S$304,MATCH(C3940,$R$5:$R$304,0))&amp;"","?"))</f>
        <v/>
      </c>
      <c r="N3940" s="2">
        <f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>
        <f>IF(OR(F3940="",G3940=""),"",IF(G3940&lt;='RETRATO 2027'!$K$5,"CONCLUÍDA",IF(F3940&lt;='RETRATO 2027'!$K$5,"EM ANDAMENTO","A INICIAR")))</f>
        <v/>
      </c>
    </row>
    <row r="3941">
      <c r="M3941" s="2">
        <f>IF(C3941="","",IFERROR(INDEX($S$5:$S$304,MATCH(C3941,$R$5:$R$304,0))&amp;"","?"))</f>
        <v/>
      </c>
      <c r="N3941" s="2">
        <f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>
        <f>IF(OR(F3941="",G3941=""),"",IF(G3941&lt;='RETRATO 2027'!$K$5,"CONCLUÍDA",IF(F3941&lt;='RETRATO 2027'!$K$5,"EM ANDAMENTO","A INICIAR")))</f>
        <v/>
      </c>
    </row>
    <row r="3942">
      <c r="M3942" s="2">
        <f>IF(C3942="","",IFERROR(INDEX($S$5:$S$304,MATCH(C3942,$R$5:$R$304,0))&amp;"","?"))</f>
        <v/>
      </c>
      <c r="N3942" s="2">
        <f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>
        <f>IF(OR(F3942="",G3942=""),"",IF(G3942&lt;='RETRATO 2027'!$K$5,"CONCLUÍDA",IF(F3942&lt;='RETRATO 2027'!$K$5,"EM ANDAMENTO","A INICIAR")))</f>
        <v/>
      </c>
    </row>
    <row r="3943">
      <c r="M3943" s="2">
        <f>IF(C3943="","",IFERROR(INDEX($S$5:$S$304,MATCH(C3943,$R$5:$R$304,0))&amp;"","?"))</f>
        <v/>
      </c>
      <c r="N3943" s="2">
        <f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>
        <f>IF(OR(F3943="",G3943=""),"",IF(G3943&lt;='RETRATO 2027'!$K$5,"CONCLUÍDA",IF(F3943&lt;='RETRATO 2027'!$K$5,"EM ANDAMENTO","A INICIAR")))</f>
        <v/>
      </c>
    </row>
    <row r="3944">
      <c r="M3944" s="2">
        <f>IF(C3944="","",IFERROR(INDEX($S$5:$S$304,MATCH(C3944,$R$5:$R$304,0))&amp;"","?"))</f>
        <v/>
      </c>
      <c r="N3944" s="2">
        <f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>
        <f>IF(OR(F3944="",G3944=""),"",IF(G3944&lt;='RETRATO 2027'!$K$5,"CONCLUÍDA",IF(F3944&lt;='RETRATO 2027'!$K$5,"EM ANDAMENTO","A INICIAR")))</f>
        <v/>
      </c>
    </row>
    <row r="3945">
      <c r="M3945" s="2">
        <f>IF(C3945="","",IFERROR(INDEX($S$5:$S$304,MATCH(C3945,$R$5:$R$304,0))&amp;"","?"))</f>
        <v/>
      </c>
      <c r="N3945" s="2">
        <f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>
        <f>IF(OR(F3945="",G3945=""),"",IF(G3945&lt;='RETRATO 2027'!$K$5,"CONCLUÍDA",IF(F3945&lt;='RETRATO 2027'!$K$5,"EM ANDAMENTO","A INICIAR")))</f>
        <v/>
      </c>
    </row>
    <row r="3946">
      <c r="M3946" s="2">
        <f>IF(C3946="","",IFERROR(INDEX($S$5:$S$304,MATCH(C3946,$R$5:$R$304,0))&amp;"","?"))</f>
        <v/>
      </c>
      <c r="N3946" s="2">
        <f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>
        <f>IF(OR(F3946="",G3946=""),"",IF(G3946&lt;='RETRATO 2027'!$K$5,"CONCLUÍDA",IF(F3946&lt;='RETRATO 2027'!$K$5,"EM ANDAMENTO","A INICIAR")))</f>
        <v/>
      </c>
    </row>
    <row r="3947">
      <c r="M3947" s="2">
        <f>IF(C3947="","",IFERROR(INDEX($S$5:$S$304,MATCH(C3947,$R$5:$R$304,0))&amp;"","?"))</f>
        <v/>
      </c>
      <c r="N3947" s="2">
        <f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>
        <f>IF(OR(F3947="",G3947=""),"",IF(G3947&lt;='RETRATO 2027'!$K$5,"CONCLUÍDA",IF(F3947&lt;='RETRATO 2027'!$K$5,"EM ANDAMENTO","A INICIAR")))</f>
        <v/>
      </c>
    </row>
    <row r="3948">
      <c r="M3948" s="2">
        <f>IF(C3948="","",IFERROR(INDEX($S$5:$S$304,MATCH(C3948,$R$5:$R$304,0))&amp;"","?"))</f>
        <v/>
      </c>
      <c r="N3948" s="2">
        <f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>
        <f>IF(OR(F3948="",G3948=""),"",IF(G3948&lt;='RETRATO 2027'!$K$5,"CONCLUÍDA",IF(F3948&lt;='RETRATO 2027'!$K$5,"EM ANDAMENTO","A INICIAR")))</f>
        <v/>
      </c>
    </row>
    <row r="3949">
      <c r="M3949" s="2">
        <f>IF(C3949="","",IFERROR(INDEX($S$5:$S$304,MATCH(C3949,$R$5:$R$304,0))&amp;"","?"))</f>
        <v/>
      </c>
      <c r="N3949" s="2">
        <f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>
        <f>IF(OR(F3949="",G3949=""),"",IF(G3949&lt;='RETRATO 2027'!$K$5,"CONCLUÍDA",IF(F3949&lt;='RETRATO 2027'!$K$5,"EM ANDAMENTO","A INICIAR")))</f>
        <v/>
      </c>
    </row>
    <row r="3950">
      <c r="M3950" s="2">
        <f>IF(C3950="","",IFERROR(INDEX($S$5:$S$304,MATCH(C3950,$R$5:$R$304,0))&amp;"","?"))</f>
        <v/>
      </c>
      <c r="N3950" s="2">
        <f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>
        <f>IF(OR(F3950="",G3950=""),"",IF(G3950&lt;='RETRATO 2027'!$K$5,"CONCLUÍDA",IF(F3950&lt;='RETRATO 2027'!$K$5,"EM ANDAMENTO","A INICIAR")))</f>
        <v/>
      </c>
    </row>
    <row r="3951">
      <c r="M3951" s="2">
        <f>IF(C3951="","",IFERROR(INDEX($S$5:$S$304,MATCH(C3951,$R$5:$R$304,0))&amp;"","?"))</f>
        <v/>
      </c>
      <c r="N3951" s="2">
        <f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>
        <f>IF(OR(F3951="",G3951=""),"",IF(G3951&lt;='RETRATO 2027'!$K$5,"CONCLUÍDA",IF(F3951&lt;='RETRATO 2027'!$K$5,"EM ANDAMENTO","A INICIAR")))</f>
        <v/>
      </c>
    </row>
    <row r="3952">
      <c r="M3952" s="2">
        <f>IF(C3952="","",IFERROR(INDEX($S$5:$S$304,MATCH(C3952,$R$5:$R$304,0))&amp;"","?"))</f>
        <v/>
      </c>
      <c r="N3952" s="2">
        <f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>
        <f>IF(OR(F3952="",G3952=""),"",IF(G3952&lt;='RETRATO 2027'!$K$5,"CONCLUÍDA",IF(F3952&lt;='RETRATO 2027'!$K$5,"EM ANDAMENTO","A INICIAR")))</f>
        <v/>
      </c>
    </row>
    <row r="3953">
      <c r="M3953" s="2">
        <f>IF(C3953="","",IFERROR(INDEX($S$5:$S$304,MATCH(C3953,$R$5:$R$304,0))&amp;"","?"))</f>
        <v/>
      </c>
      <c r="N3953" s="2">
        <f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>
        <f>IF(OR(F3953="",G3953=""),"",IF(G3953&lt;='RETRATO 2027'!$K$5,"CONCLUÍDA",IF(F3953&lt;='RETRATO 2027'!$K$5,"EM ANDAMENTO","A INICIAR")))</f>
        <v/>
      </c>
    </row>
    <row r="3954">
      <c r="M3954" s="2">
        <f>IF(C3954="","",IFERROR(INDEX($S$5:$S$304,MATCH(C3954,$R$5:$R$304,0))&amp;"","?"))</f>
        <v/>
      </c>
      <c r="N3954" s="2">
        <f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>
        <f>IF(OR(F3954="",G3954=""),"",IF(G3954&lt;='RETRATO 2027'!$K$5,"CONCLUÍDA",IF(F3954&lt;='RETRATO 2027'!$K$5,"EM ANDAMENTO","A INICIAR")))</f>
        <v/>
      </c>
    </row>
    <row r="3955">
      <c r="M3955" s="2">
        <f>IF(C3955="","",IFERROR(INDEX($S$5:$S$304,MATCH(C3955,$R$5:$R$304,0))&amp;"","?"))</f>
        <v/>
      </c>
      <c r="N3955" s="2">
        <f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>
        <f>IF(OR(F3955="",G3955=""),"",IF(G3955&lt;='RETRATO 2027'!$K$5,"CONCLUÍDA",IF(F3955&lt;='RETRATO 2027'!$K$5,"EM ANDAMENTO","A INICIAR")))</f>
        <v/>
      </c>
    </row>
    <row r="3956">
      <c r="M3956" s="2">
        <f>IF(C3956="","",IFERROR(INDEX($S$5:$S$304,MATCH(C3956,$R$5:$R$304,0))&amp;"","?"))</f>
        <v/>
      </c>
      <c r="N3956" s="2">
        <f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>
        <f>IF(OR(F3956="",G3956=""),"",IF(G3956&lt;='RETRATO 2027'!$K$5,"CONCLUÍDA",IF(F3956&lt;='RETRATO 2027'!$K$5,"EM ANDAMENTO","A INICIAR")))</f>
        <v/>
      </c>
    </row>
    <row r="3957">
      <c r="M3957" s="2">
        <f>IF(C3957="","",IFERROR(INDEX($S$5:$S$304,MATCH(C3957,$R$5:$R$304,0))&amp;"","?"))</f>
        <v/>
      </c>
      <c r="N3957" s="2">
        <f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>
        <f>IF(OR(F3957="",G3957=""),"",IF(G3957&lt;='RETRATO 2027'!$K$5,"CONCLUÍDA",IF(F3957&lt;='RETRATO 2027'!$K$5,"EM ANDAMENTO","A INICIAR")))</f>
        <v/>
      </c>
    </row>
    <row r="3958">
      <c r="M3958" s="2">
        <f>IF(C3958="","",IFERROR(INDEX($S$5:$S$304,MATCH(C3958,$R$5:$R$304,0))&amp;"","?"))</f>
        <v/>
      </c>
      <c r="N3958" s="2">
        <f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>
        <f>IF(OR(F3958="",G3958=""),"",IF(G3958&lt;='RETRATO 2027'!$K$5,"CONCLUÍDA",IF(F3958&lt;='RETRATO 2027'!$K$5,"EM ANDAMENTO","A INICIAR")))</f>
        <v/>
      </c>
    </row>
    <row r="3959">
      <c r="M3959" s="2">
        <f>IF(C3959="","",IFERROR(INDEX($S$5:$S$304,MATCH(C3959,$R$5:$R$304,0))&amp;"","?"))</f>
        <v/>
      </c>
      <c r="N3959" s="2">
        <f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>
        <f>IF(OR(F3959="",G3959=""),"",IF(G3959&lt;='RETRATO 2027'!$K$5,"CONCLUÍDA",IF(F3959&lt;='RETRATO 2027'!$K$5,"EM ANDAMENTO","A INICIAR")))</f>
        <v/>
      </c>
    </row>
    <row r="3960">
      <c r="M3960" s="2">
        <f>IF(C3960="","",IFERROR(INDEX($S$5:$S$304,MATCH(C3960,$R$5:$R$304,0))&amp;"","?"))</f>
        <v/>
      </c>
      <c r="N3960" s="2">
        <f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>
        <f>IF(OR(F3960="",G3960=""),"",IF(G3960&lt;='RETRATO 2027'!$K$5,"CONCLUÍDA",IF(F3960&lt;='RETRATO 2027'!$K$5,"EM ANDAMENTO","A INICIAR")))</f>
        <v/>
      </c>
    </row>
    <row r="3961">
      <c r="M3961" s="2">
        <f>IF(C3961="","",IFERROR(INDEX($S$5:$S$304,MATCH(C3961,$R$5:$R$304,0))&amp;"","?"))</f>
        <v/>
      </c>
      <c r="N3961" s="2">
        <f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>
        <f>IF(OR(F3961="",G3961=""),"",IF(G3961&lt;='RETRATO 2027'!$K$5,"CONCLUÍDA",IF(F3961&lt;='RETRATO 2027'!$K$5,"EM ANDAMENTO","A INICIAR")))</f>
        <v/>
      </c>
    </row>
    <row r="3962">
      <c r="M3962" s="2">
        <f>IF(C3962="","",IFERROR(INDEX($S$5:$S$304,MATCH(C3962,$R$5:$R$304,0))&amp;"","?"))</f>
        <v/>
      </c>
      <c r="N3962" s="2">
        <f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>
        <f>IF(OR(F3962="",G3962=""),"",IF(G3962&lt;='RETRATO 2027'!$K$5,"CONCLUÍDA",IF(F3962&lt;='RETRATO 2027'!$K$5,"EM ANDAMENTO","A INICIAR")))</f>
        <v/>
      </c>
    </row>
    <row r="3963">
      <c r="M3963" s="2">
        <f>IF(C3963="","",IFERROR(INDEX($S$5:$S$304,MATCH(C3963,$R$5:$R$304,0))&amp;"","?"))</f>
        <v/>
      </c>
      <c r="N3963" s="2">
        <f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>
        <f>IF(OR(F3963="",G3963=""),"",IF(G3963&lt;='RETRATO 2027'!$K$5,"CONCLUÍDA",IF(F3963&lt;='RETRATO 2027'!$K$5,"EM ANDAMENTO","A INICIAR")))</f>
        <v/>
      </c>
    </row>
    <row r="3964">
      <c r="M3964" s="2">
        <f>IF(C3964="","",IFERROR(INDEX($S$5:$S$304,MATCH(C3964,$R$5:$R$304,0))&amp;"","?"))</f>
        <v/>
      </c>
      <c r="N3964" s="2">
        <f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>
        <f>IF(OR(F3964="",G3964=""),"",IF(G3964&lt;='RETRATO 2027'!$K$5,"CONCLUÍDA",IF(F3964&lt;='RETRATO 2027'!$K$5,"EM ANDAMENTO","A INICIAR")))</f>
        <v/>
      </c>
    </row>
    <row r="3965">
      <c r="M3965" s="2">
        <f>IF(C3965="","",IFERROR(INDEX($S$5:$S$304,MATCH(C3965,$R$5:$R$304,0))&amp;"","?"))</f>
        <v/>
      </c>
      <c r="N3965" s="2">
        <f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>
        <f>IF(OR(F3965="",G3965=""),"",IF(G3965&lt;='RETRATO 2027'!$K$5,"CONCLUÍDA",IF(F3965&lt;='RETRATO 2027'!$K$5,"EM ANDAMENTO","A INICIAR")))</f>
        <v/>
      </c>
    </row>
    <row r="3966">
      <c r="M3966" s="2">
        <f>IF(C3966="","",IFERROR(INDEX($S$5:$S$304,MATCH(C3966,$R$5:$R$304,0))&amp;"","?"))</f>
        <v/>
      </c>
      <c r="N3966" s="2">
        <f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>
        <f>IF(OR(F3966="",G3966=""),"",IF(G3966&lt;='RETRATO 2027'!$K$5,"CONCLUÍDA",IF(F3966&lt;='RETRATO 2027'!$K$5,"EM ANDAMENTO","A INICIAR")))</f>
        <v/>
      </c>
    </row>
    <row r="3967">
      <c r="M3967" s="2">
        <f>IF(C3967="","",IFERROR(INDEX($S$5:$S$304,MATCH(C3967,$R$5:$R$304,0))&amp;"","?"))</f>
        <v/>
      </c>
      <c r="N3967" s="2">
        <f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>
        <f>IF(OR(F3967="",G3967=""),"",IF(G3967&lt;='RETRATO 2027'!$K$5,"CONCLUÍDA",IF(F3967&lt;='RETRATO 2027'!$K$5,"EM ANDAMENTO","A INICIAR")))</f>
        <v/>
      </c>
    </row>
    <row r="3968">
      <c r="M3968" s="2">
        <f>IF(C3968="","",IFERROR(INDEX($S$5:$S$304,MATCH(C3968,$R$5:$R$304,0))&amp;"","?"))</f>
        <v/>
      </c>
      <c r="N3968" s="2">
        <f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>
        <f>IF(OR(F3968="",G3968=""),"",IF(G3968&lt;='RETRATO 2027'!$K$5,"CONCLUÍDA",IF(F3968&lt;='RETRATO 2027'!$K$5,"EM ANDAMENTO","A INICIAR")))</f>
        <v/>
      </c>
    </row>
    <row r="3969">
      <c r="M3969" s="2">
        <f>IF(C3969="","",IFERROR(INDEX($S$5:$S$304,MATCH(C3969,$R$5:$R$304,0))&amp;"","?"))</f>
        <v/>
      </c>
      <c r="N3969" s="2">
        <f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>
        <f>IF(OR(F3969="",G3969=""),"",IF(G3969&lt;='RETRATO 2027'!$K$5,"CONCLUÍDA",IF(F3969&lt;='RETRATO 2027'!$K$5,"EM ANDAMENTO","A INICIAR")))</f>
        <v/>
      </c>
    </row>
    <row r="3970">
      <c r="M3970" s="2">
        <f>IF(C3970="","",IFERROR(INDEX($S$5:$S$304,MATCH(C3970,$R$5:$R$304,0))&amp;"","?"))</f>
        <v/>
      </c>
      <c r="N3970" s="2">
        <f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>
        <f>IF(OR(F3970="",G3970=""),"",IF(G3970&lt;='RETRATO 2027'!$K$5,"CONCLUÍDA",IF(F3970&lt;='RETRATO 2027'!$K$5,"EM ANDAMENTO","A INICIAR")))</f>
        <v/>
      </c>
    </row>
    <row r="3971">
      <c r="M3971" s="2">
        <f>IF(C3971="","",IFERROR(INDEX($S$5:$S$304,MATCH(C3971,$R$5:$R$304,0))&amp;"","?"))</f>
        <v/>
      </c>
      <c r="N3971" s="2">
        <f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>
        <f>IF(OR(F3971="",G3971=""),"",IF(G3971&lt;='RETRATO 2027'!$K$5,"CONCLUÍDA",IF(F3971&lt;='RETRATO 2027'!$K$5,"EM ANDAMENTO","A INICIAR")))</f>
        <v/>
      </c>
    </row>
    <row r="3972">
      <c r="M3972" s="2">
        <f>IF(C3972="","",IFERROR(INDEX($S$5:$S$304,MATCH(C3972,$R$5:$R$304,0))&amp;"","?"))</f>
        <v/>
      </c>
      <c r="N3972" s="2">
        <f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>
        <f>IF(OR(F3972="",G3972=""),"",IF(G3972&lt;='RETRATO 2027'!$K$5,"CONCLUÍDA",IF(F3972&lt;='RETRATO 2027'!$K$5,"EM ANDAMENTO","A INICIAR")))</f>
        <v/>
      </c>
    </row>
    <row r="3973">
      <c r="M3973" s="2">
        <f>IF(C3973="","",IFERROR(INDEX($S$5:$S$304,MATCH(C3973,$R$5:$R$304,0))&amp;"","?"))</f>
        <v/>
      </c>
      <c r="N3973" s="2">
        <f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>
        <f>IF(OR(F3973="",G3973=""),"",IF(G3973&lt;='RETRATO 2027'!$K$5,"CONCLUÍDA",IF(F3973&lt;='RETRATO 2027'!$K$5,"EM ANDAMENTO","A INICIAR")))</f>
        <v/>
      </c>
    </row>
    <row r="3974">
      <c r="M3974" s="2">
        <f>IF(C3974="","",IFERROR(INDEX($S$5:$S$304,MATCH(C3974,$R$5:$R$304,0))&amp;"","?"))</f>
        <v/>
      </c>
      <c r="N3974" s="2">
        <f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>
        <f>IF(OR(F3974="",G3974=""),"",IF(G3974&lt;='RETRATO 2027'!$K$5,"CONCLUÍDA",IF(F3974&lt;='RETRATO 2027'!$K$5,"EM ANDAMENTO","A INICIAR")))</f>
        <v/>
      </c>
    </row>
    <row r="3975">
      <c r="M3975" s="2">
        <f>IF(C3975="","",IFERROR(INDEX($S$5:$S$304,MATCH(C3975,$R$5:$R$304,0))&amp;"","?"))</f>
        <v/>
      </c>
      <c r="N3975" s="2">
        <f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>
        <f>IF(OR(F3975="",G3975=""),"",IF(G3975&lt;='RETRATO 2027'!$K$5,"CONCLUÍDA",IF(F3975&lt;='RETRATO 2027'!$K$5,"EM ANDAMENTO","A INICIAR")))</f>
        <v/>
      </c>
    </row>
    <row r="3976">
      <c r="M3976" s="2">
        <f>IF(C3976="","",IFERROR(INDEX($S$5:$S$304,MATCH(C3976,$R$5:$R$304,0))&amp;"","?"))</f>
        <v/>
      </c>
      <c r="N3976" s="2">
        <f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>
        <f>IF(OR(F3976="",G3976=""),"",IF(G3976&lt;='RETRATO 2027'!$K$5,"CONCLUÍDA",IF(F3976&lt;='RETRATO 2027'!$K$5,"EM ANDAMENTO","A INICIAR")))</f>
        <v/>
      </c>
    </row>
    <row r="3977">
      <c r="M3977" s="2">
        <f>IF(C3977="","",IFERROR(INDEX($S$5:$S$304,MATCH(C3977,$R$5:$R$304,0))&amp;"","?"))</f>
        <v/>
      </c>
      <c r="N3977" s="2">
        <f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>
        <f>IF(OR(F3977="",G3977=""),"",IF(G3977&lt;='RETRATO 2027'!$K$5,"CONCLUÍDA",IF(F3977&lt;='RETRATO 2027'!$K$5,"EM ANDAMENTO","A INICIAR")))</f>
        <v/>
      </c>
    </row>
    <row r="3978">
      <c r="M3978" s="2">
        <f>IF(C3978="","",IFERROR(INDEX($S$5:$S$304,MATCH(C3978,$R$5:$R$304,0))&amp;"","?"))</f>
        <v/>
      </c>
      <c r="N3978" s="2">
        <f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>
        <f>IF(OR(F3978="",G3978=""),"",IF(G3978&lt;='RETRATO 2027'!$K$5,"CONCLUÍDA",IF(F3978&lt;='RETRATO 2027'!$K$5,"EM ANDAMENTO","A INICIAR")))</f>
        <v/>
      </c>
    </row>
    <row r="3979">
      <c r="M3979" s="2">
        <f>IF(C3979="","",IFERROR(INDEX($S$5:$S$304,MATCH(C3979,$R$5:$R$304,0))&amp;"","?"))</f>
        <v/>
      </c>
      <c r="N3979" s="2">
        <f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>
        <f>IF(OR(F3979="",G3979=""),"",IF(G3979&lt;='RETRATO 2027'!$K$5,"CONCLUÍDA",IF(F3979&lt;='RETRATO 2027'!$K$5,"EM ANDAMENTO","A INICIAR")))</f>
        <v/>
      </c>
    </row>
    <row r="3980">
      <c r="M3980" s="2">
        <f>IF(C3980="","",IFERROR(INDEX($S$5:$S$304,MATCH(C3980,$R$5:$R$304,0))&amp;"","?"))</f>
        <v/>
      </c>
      <c r="N3980" s="2">
        <f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>
        <f>IF(OR(F3980="",G3980=""),"",IF(G3980&lt;='RETRATO 2027'!$K$5,"CONCLUÍDA",IF(F3980&lt;='RETRATO 2027'!$K$5,"EM ANDAMENTO","A INICIAR")))</f>
        <v/>
      </c>
    </row>
    <row r="3981">
      <c r="M3981" s="2">
        <f>IF(C3981="","",IFERROR(INDEX($S$5:$S$304,MATCH(C3981,$R$5:$R$304,0))&amp;"","?"))</f>
        <v/>
      </c>
      <c r="N3981" s="2">
        <f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>
        <f>IF(OR(F3981="",G3981=""),"",IF(G3981&lt;='RETRATO 2027'!$K$5,"CONCLUÍDA",IF(F3981&lt;='RETRATO 2027'!$K$5,"EM ANDAMENTO","A INICIAR")))</f>
        <v/>
      </c>
    </row>
    <row r="3982">
      <c r="M3982" s="2">
        <f>IF(C3982="","",IFERROR(INDEX($S$5:$S$304,MATCH(C3982,$R$5:$R$304,0))&amp;"","?"))</f>
        <v/>
      </c>
      <c r="N3982" s="2">
        <f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>
        <f>IF(OR(F3982="",G3982=""),"",IF(G3982&lt;='RETRATO 2027'!$K$5,"CONCLUÍDA",IF(F3982&lt;='RETRATO 2027'!$K$5,"EM ANDAMENTO","A INICIAR")))</f>
        <v/>
      </c>
    </row>
    <row r="3983">
      <c r="M3983" s="2">
        <f>IF(C3983="","",IFERROR(INDEX($S$5:$S$304,MATCH(C3983,$R$5:$R$304,0))&amp;"","?"))</f>
        <v/>
      </c>
      <c r="N3983" s="2">
        <f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>
        <f>IF(OR(F3983="",G3983=""),"",IF(G3983&lt;='RETRATO 2027'!$K$5,"CONCLUÍDA",IF(F3983&lt;='RETRATO 2027'!$K$5,"EM ANDAMENTO","A INICIAR")))</f>
        <v/>
      </c>
    </row>
    <row r="3984">
      <c r="M3984" s="2">
        <f>IF(C3984="","",IFERROR(INDEX($S$5:$S$304,MATCH(C3984,$R$5:$R$304,0))&amp;"","?"))</f>
        <v/>
      </c>
      <c r="N3984" s="2">
        <f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>
        <f>IF(OR(F3984="",G3984=""),"",IF(G3984&lt;='RETRATO 2027'!$K$5,"CONCLUÍDA",IF(F3984&lt;='RETRATO 2027'!$K$5,"EM ANDAMENTO","A INICIAR")))</f>
        <v/>
      </c>
    </row>
    <row r="3985">
      <c r="M3985" s="2">
        <f>IF(C3985="","",IFERROR(INDEX($S$5:$S$304,MATCH(C3985,$R$5:$R$304,0))&amp;"","?"))</f>
        <v/>
      </c>
      <c r="N3985" s="2">
        <f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>
        <f>IF(OR(F3985="",G3985=""),"",IF(G3985&lt;='RETRATO 2027'!$K$5,"CONCLUÍDA",IF(F3985&lt;='RETRATO 2027'!$K$5,"EM ANDAMENTO","A INICIAR")))</f>
        <v/>
      </c>
    </row>
    <row r="3986">
      <c r="M3986" s="2">
        <f>IF(C3986="","",IFERROR(INDEX($S$5:$S$304,MATCH(C3986,$R$5:$R$304,0))&amp;"","?"))</f>
        <v/>
      </c>
      <c r="N3986" s="2">
        <f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>
        <f>IF(OR(F3986="",G3986=""),"",IF(G3986&lt;='RETRATO 2027'!$K$5,"CONCLUÍDA",IF(F3986&lt;='RETRATO 2027'!$K$5,"EM ANDAMENTO","A INICIAR")))</f>
        <v/>
      </c>
    </row>
    <row r="3987">
      <c r="M3987" s="2">
        <f>IF(C3987="","",IFERROR(INDEX($S$5:$S$304,MATCH(C3987,$R$5:$R$304,0))&amp;"","?"))</f>
        <v/>
      </c>
      <c r="N3987" s="2">
        <f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>
        <f>IF(OR(F3987="",G3987=""),"",IF(G3987&lt;='RETRATO 2027'!$K$5,"CONCLUÍDA",IF(F3987&lt;='RETRATO 2027'!$K$5,"EM ANDAMENTO","A INICIAR")))</f>
        <v/>
      </c>
    </row>
    <row r="3988">
      <c r="M3988" s="2">
        <f>IF(C3988="","",IFERROR(INDEX($S$5:$S$304,MATCH(C3988,$R$5:$R$304,0))&amp;"","?"))</f>
        <v/>
      </c>
      <c r="N3988" s="2">
        <f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>
        <f>IF(OR(F3988="",G3988=""),"",IF(G3988&lt;='RETRATO 2027'!$K$5,"CONCLUÍDA",IF(F3988&lt;='RETRATO 2027'!$K$5,"EM ANDAMENTO","A INICIAR")))</f>
        <v/>
      </c>
    </row>
    <row r="3989">
      <c r="M3989" s="2">
        <f>IF(C3989="","",IFERROR(INDEX($S$5:$S$304,MATCH(C3989,$R$5:$R$304,0))&amp;"","?"))</f>
        <v/>
      </c>
      <c r="N3989" s="2">
        <f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>
        <f>IF(OR(F3989="",G3989=""),"",IF(G3989&lt;='RETRATO 2027'!$K$5,"CONCLUÍDA",IF(F3989&lt;='RETRATO 2027'!$K$5,"EM ANDAMENTO","A INICIAR")))</f>
        <v/>
      </c>
    </row>
    <row r="3990">
      <c r="M3990" s="2">
        <f>IF(C3990="","",IFERROR(INDEX($S$5:$S$304,MATCH(C3990,$R$5:$R$304,0))&amp;"","?"))</f>
        <v/>
      </c>
      <c r="N3990" s="2">
        <f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>
        <f>IF(OR(F3990="",G3990=""),"",IF(G3990&lt;='RETRATO 2027'!$K$5,"CONCLUÍDA",IF(F3990&lt;='RETRATO 2027'!$K$5,"EM ANDAMENTO","A INICIAR")))</f>
        <v/>
      </c>
    </row>
    <row r="3991">
      <c r="M3991" s="2">
        <f>IF(C3991="","",IFERROR(INDEX($S$5:$S$304,MATCH(C3991,$R$5:$R$304,0))&amp;"","?"))</f>
        <v/>
      </c>
      <c r="N3991" s="2">
        <f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>
        <f>IF(OR(F3991="",G3991=""),"",IF(G3991&lt;='RETRATO 2027'!$K$5,"CONCLUÍDA",IF(F3991&lt;='RETRATO 2027'!$K$5,"EM ANDAMENTO","A INICIAR")))</f>
        <v/>
      </c>
    </row>
    <row r="3992">
      <c r="M3992" s="2">
        <f>IF(C3992="","",IFERROR(INDEX($S$5:$S$304,MATCH(C3992,$R$5:$R$304,0))&amp;"","?"))</f>
        <v/>
      </c>
      <c r="N3992" s="2">
        <f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>
        <f>IF(OR(F3992="",G3992=""),"",IF(G3992&lt;='RETRATO 2027'!$K$5,"CONCLUÍDA",IF(F3992&lt;='RETRATO 2027'!$K$5,"EM ANDAMENTO","A INICIAR")))</f>
        <v/>
      </c>
    </row>
    <row r="3993">
      <c r="M3993" s="2">
        <f>IF(C3993="","",IFERROR(INDEX($S$5:$S$304,MATCH(C3993,$R$5:$R$304,0))&amp;"","?"))</f>
        <v/>
      </c>
      <c r="N3993" s="2">
        <f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>
        <f>IF(OR(F3993="",G3993=""),"",IF(G3993&lt;='RETRATO 2027'!$K$5,"CONCLUÍDA",IF(F3993&lt;='RETRATO 2027'!$K$5,"EM ANDAMENTO","A INICIAR")))</f>
        <v/>
      </c>
    </row>
    <row r="3994">
      <c r="M3994" s="2">
        <f>IF(C3994="","",IFERROR(INDEX($S$5:$S$304,MATCH(C3994,$R$5:$R$304,0))&amp;"","?"))</f>
        <v/>
      </c>
      <c r="N3994" s="2">
        <f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>
        <f>IF(OR(F3994="",G3994=""),"",IF(G3994&lt;='RETRATO 2027'!$K$5,"CONCLUÍDA",IF(F3994&lt;='RETRATO 2027'!$K$5,"EM ANDAMENTO","A INICIAR")))</f>
        <v/>
      </c>
    </row>
    <row r="3995">
      <c r="M3995" s="2">
        <f>IF(C3995="","",IFERROR(INDEX($S$5:$S$304,MATCH(C3995,$R$5:$R$304,0))&amp;"","?"))</f>
        <v/>
      </c>
      <c r="N3995" s="2">
        <f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>
        <f>IF(OR(F3995="",G3995=""),"",IF(G3995&lt;='RETRATO 2027'!$K$5,"CONCLUÍDA",IF(F3995&lt;='RETRATO 2027'!$K$5,"EM ANDAMENTO","A INICIAR")))</f>
        <v/>
      </c>
    </row>
    <row r="3996">
      <c r="M3996" s="2">
        <f>IF(C3996="","",IFERROR(INDEX($S$5:$S$304,MATCH(C3996,$R$5:$R$304,0))&amp;"","?"))</f>
        <v/>
      </c>
      <c r="N3996" s="2">
        <f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>
        <f>IF(OR(F3996="",G3996=""),"",IF(G3996&lt;='RETRATO 2027'!$K$5,"CONCLUÍDA",IF(F3996&lt;='RETRATO 2027'!$K$5,"EM ANDAMENTO","A INICIAR")))</f>
        <v/>
      </c>
    </row>
    <row r="3997">
      <c r="M3997" s="2">
        <f>IF(C3997="","",IFERROR(INDEX($S$5:$S$304,MATCH(C3997,$R$5:$R$304,0))&amp;"","?"))</f>
        <v/>
      </c>
      <c r="N3997" s="2">
        <f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>
        <f>IF(OR(F3997="",G3997=""),"",IF(G3997&lt;='RETRATO 2027'!$K$5,"CONCLUÍDA",IF(F3997&lt;='RETRATO 2027'!$K$5,"EM ANDAMENTO","A INICIAR")))</f>
        <v/>
      </c>
    </row>
    <row r="3998">
      <c r="M3998" s="2">
        <f>IF(C3998="","",IFERROR(INDEX($S$5:$S$304,MATCH(C3998,$R$5:$R$304,0))&amp;"","?"))</f>
        <v/>
      </c>
      <c r="N3998" s="2">
        <f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>
        <f>IF(OR(F3998="",G3998=""),"",IF(G3998&lt;='RETRATO 2027'!$K$5,"CONCLUÍDA",IF(F3998&lt;='RETRATO 2027'!$K$5,"EM ANDAMENTO","A INICIAR")))</f>
        <v/>
      </c>
    </row>
    <row r="3999">
      <c r="M3999" s="2">
        <f>IF(C3999="","",IFERROR(INDEX($S$5:$S$304,MATCH(C3999,$R$5:$R$304,0))&amp;"","?"))</f>
        <v/>
      </c>
      <c r="N3999" s="2">
        <f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>
        <f>IF(OR(F3999="",G3999=""),"",IF(G3999&lt;='RETRATO 2027'!$K$5,"CONCLUÍDA",IF(F3999&lt;='RETRATO 2027'!$K$5,"EM ANDAMENTO","A INICIAR")))</f>
        <v/>
      </c>
    </row>
    <row r="4000">
      <c r="M4000" s="2">
        <f>IF(C4000="","",IFERROR(INDEX($S$5:$S$304,MATCH(C4000,$R$5:$R$304,0))&amp;"","?"))</f>
        <v/>
      </c>
      <c r="N4000" s="2">
        <f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>
        <f>IF(OR(F4000="",G4000=""),"",IF(G4000&lt;='RETRATO 2027'!$K$5,"CONCLUÍDA",IF(F4000&lt;='RETRATO 2027'!$K$5,"EM ANDAMENTO","A INICIAR")))</f>
        <v/>
      </c>
    </row>
    <row r="4001">
      <c r="M4001" s="2">
        <f>IF(C4001="","",IFERROR(INDEX($S$5:$S$304,MATCH(C4001,$R$5:$R$304,0))&amp;"","?"))</f>
        <v/>
      </c>
      <c r="N4001" s="2">
        <f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>
        <f>IF(OR(F4001="",G4001=""),"",IF(G4001&lt;='RETRATO 2027'!$K$5,"CONCLUÍDA",IF(F4001&lt;='RETRATO 2027'!$K$5,"EM ANDAMENTO","A INICIAR")))</f>
        <v/>
      </c>
    </row>
    <row r="4002">
      <c r="M4002" s="2">
        <f>IF(C4002="","",IFERROR(INDEX($S$5:$S$304,MATCH(C4002,$R$5:$R$304,0))&amp;"","?"))</f>
        <v/>
      </c>
      <c r="N4002" s="2">
        <f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>
        <f>IF(OR(F4002="",G4002=""),"",IF(G4002&lt;='RETRATO 2027'!$K$5,"CONCLUÍDA",IF(F4002&lt;='RETRATO 2027'!$K$5,"EM ANDAMENTO","A INICIAR")))</f>
        <v/>
      </c>
    </row>
    <row r="4003">
      <c r="M4003" s="2">
        <f>IF(C4003="","",IFERROR(INDEX($S$5:$S$304,MATCH(C4003,$R$5:$R$304,0))&amp;"","?"))</f>
        <v/>
      </c>
      <c r="N4003" s="2">
        <f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>
        <f>IF(OR(F4003="",G4003=""),"",IF(G4003&lt;='RETRATO 2027'!$K$5,"CONCLUÍDA",IF(F4003&lt;='RETRATO 2027'!$K$5,"EM ANDAMENTO","A INICIAR")))</f>
        <v/>
      </c>
    </row>
    <row r="4004">
      <c r="M4004" s="2">
        <f>IF(C4004="","",IFERROR(INDEX($S$5:$S$304,MATCH(C4004,$R$5:$R$304,0))&amp;"","?"))</f>
        <v/>
      </c>
      <c r="N4004" s="2">
        <f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>
        <f>IF(OR(F4004="",G4004=""),"",IF(G4004&lt;='RETRATO 2027'!$K$5,"CONCLUÍDA",IF(F4004&lt;='RETRATO 2027'!$K$5,"EM ANDAMENTO","A INICIAR")))</f>
        <v/>
      </c>
    </row>
    <row r="4005">
      <c r="M4005" s="2">
        <f>IF(C4005="","",IFERROR(INDEX($S$5:$S$304,MATCH(C4005,$R$5:$R$304,0))&amp;"","?"))</f>
        <v/>
      </c>
      <c r="N4005" s="2">
        <f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>
        <f>IF(OR(F4005="",G4005=""),"",IF(G4005&lt;='RETRATO 2027'!$K$5,"CONCLUÍDA",IF(F4005&lt;='RETRATO 2027'!$K$5,"EM ANDAMENTO","A INICIAR")))</f>
        <v/>
      </c>
    </row>
    <row r="4006">
      <c r="M4006" s="2">
        <f>IF(C4006="","",IFERROR(INDEX($S$5:$S$304,MATCH(C4006,$R$5:$R$304,0))&amp;"","?"))</f>
        <v/>
      </c>
      <c r="N4006" s="2">
        <f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>
        <f>IF(OR(F4006="",G4006=""),"",IF(G4006&lt;='RETRATO 2027'!$K$5,"CONCLUÍDA",IF(F4006&lt;='RETRATO 2027'!$K$5,"EM ANDAMENTO","A INICIAR")))</f>
        <v/>
      </c>
    </row>
    <row r="4007">
      <c r="M4007" s="2">
        <f>IF(C4007="","",IFERROR(INDEX($S$5:$S$304,MATCH(C4007,$R$5:$R$304,0))&amp;"","?"))</f>
        <v/>
      </c>
      <c r="N4007" s="2">
        <f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>
        <f>IF(OR(F4007="",G4007=""),"",IF(G4007&lt;='RETRATO 2027'!$K$5,"CONCLUÍDA",IF(F4007&lt;='RETRATO 2027'!$K$5,"EM ANDAMENTO","A INICIAR")))</f>
        <v/>
      </c>
    </row>
    <row r="4008">
      <c r="M4008" s="2">
        <f>IF(C4008="","",IFERROR(INDEX($S$5:$S$304,MATCH(C4008,$R$5:$R$304,0))&amp;"","?"))</f>
        <v/>
      </c>
      <c r="N4008" s="2">
        <f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>
        <f>IF(OR(F4008="",G4008=""),"",IF(G4008&lt;='RETRATO 2027'!$K$5,"CONCLUÍDA",IF(F4008&lt;='RETRATO 2027'!$K$5,"EM ANDAMENTO","A INICIAR")))</f>
        <v/>
      </c>
    </row>
    <row r="4009">
      <c r="M4009" s="2">
        <f>IF(C4009="","",IFERROR(INDEX($S$5:$S$304,MATCH(C4009,$R$5:$R$304,0))&amp;"","?"))</f>
        <v/>
      </c>
      <c r="N4009" s="2">
        <f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>
        <f>IF(OR(F4009="",G4009=""),"",IF(G4009&lt;='RETRATO 2027'!$K$5,"CONCLUÍDA",IF(F4009&lt;='RETRATO 2027'!$K$5,"EM ANDAMENTO","A INICIAR")))</f>
        <v/>
      </c>
    </row>
    <row r="4010">
      <c r="M4010" s="2">
        <f>IF(C4010="","",IFERROR(INDEX($S$5:$S$304,MATCH(C4010,$R$5:$R$304,0))&amp;"","?"))</f>
        <v/>
      </c>
      <c r="N4010" s="2">
        <f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>
        <f>IF(OR(F4010="",G4010=""),"",IF(G4010&lt;='RETRATO 2027'!$K$5,"CONCLUÍDA",IF(F4010&lt;='RETRATO 2027'!$K$5,"EM ANDAMENTO","A INICIAR")))</f>
        <v/>
      </c>
    </row>
    <row r="4011">
      <c r="M4011" s="2">
        <f>IF(C4011="","",IFERROR(INDEX($S$5:$S$304,MATCH(C4011,$R$5:$R$304,0))&amp;"","?"))</f>
        <v/>
      </c>
      <c r="N4011" s="2">
        <f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>
        <f>IF(OR(F4011="",G4011=""),"",IF(G4011&lt;='RETRATO 2027'!$K$5,"CONCLUÍDA",IF(F4011&lt;='RETRATO 2027'!$K$5,"EM ANDAMENTO","A INICIAR")))</f>
        <v/>
      </c>
    </row>
    <row r="4012">
      <c r="M4012" s="2">
        <f>IF(C4012="","",IFERROR(INDEX($S$5:$S$304,MATCH(C4012,$R$5:$R$304,0))&amp;"","?"))</f>
        <v/>
      </c>
      <c r="N4012" s="2">
        <f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>
        <f>IF(OR(F4012="",G4012=""),"",IF(G4012&lt;='RETRATO 2027'!$K$5,"CONCLUÍDA",IF(F4012&lt;='RETRATO 2027'!$K$5,"EM ANDAMENTO","A INICIAR")))</f>
        <v/>
      </c>
    </row>
    <row r="4013">
      <c r="M4013" s="2">
        <f>IF(C4013="","",IFERROR(INDEX($S$5:$S$304,MATCH(C4013,$R$5:$R$304,0))&amp;"","?"))</f>
        <v/>
      </c>
      <c r="N4013" s="2">
        <f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>
        <f>IF(OR(F4013="",G4013=""),"",IF(G4013&lt;='RETRATO 2027'!$K$5,"CONCLUÍDA",IF(F4013&lt;='RETRATO 2027'!$K$5,"EM ANDAMENTO","A INICIAR")))</f>
        <v/>
      </c>
    </row>
    <row r="4014">
      <c r="M4014" s="2">
        <f>IF(C4014="","",IFERROR(INDEX($S$5:$S$304,MATCH(C4014,$R$5:$R$304,0))&amp;"","?"))</f>
        <v/>
      </c>
      <c r="N4014" s="2">
        <f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>
        <f>IF(OR(F4014="",G4014=""),"",IF(G4014&lt;='RETRATO 2027'!$K$5,"CONCLUÍDA",IF(F4014&lt;='RETRATO 2027'!$K$5,"EM ANDAMENTO","A INICIAR")))</f>
        <v/>
      </c>
    </row>
    <row r="4015">
      <c r="M4015" s="2">
        <f>IF(C4015="","",IFERROR(INDEX($S$5:$S$304,MATCH(C4015,$R$5:$R$304,0))&amp;"","?"))</f>
        <v/>
      </c>
      <c r="N4015" s="2">
        <f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>
        <f>IF(OR(F4015="",G4015=""),"",IF(G4015&lt;='RETRATO 2027'!$K$5,"CONCLUÍDA",IF(F4015&lt;='RETRATO 2027'!$K$5,"EM ANDAMENTO","A INICIAR")))</f>
        <v/>
      </c>
    </row>
    <row r="4016">
      <c r="M4016" s="2">
        <f>IF(C4016="","",IFERROR(INDEX($S$5:$S$304,MATCH(C4016,$R$5:$R$304,0))&amp;"","?"))</f>
        <v/>
      </c>
      <c r="N4016" s="2">
        <f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>
        <f>IF(OR(F4016="",G4016=""),"",IF(G4016&lt;='RETRATO 2027'!$K$5,"CONCLUÍDA",IF(F4016&lt;='RETRATO 2027'!$K$5,"EM ANDAMENTO","A INICIAR")))</f>
        <v/>
      </c>
    </row>
    <row r="4017">
      <c r="M4017" s="2">
        <f>IF(C4017="","",IFERROR(INDEX($S$5:$S$304,MATCH(C4017,$R$5:$R$304,0))&amp;"","?"))</f>
        <v/>
      </c>
      <c r="N4017" s="2">
        <f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>
        <f>IF(OR(F4017="",G4017=""),"",IF(G4017&lt;='RETRATO 2027'!$K$5,"CONCLUÍDA",IF(F4017&lt;='RETRATO 2027'!$K$5,"EM ANDAMENTO","A INICIAR")))</f>
        <v/>
      </c>
    </row>
    <row r="4018">
      <c r="M4018" s="2">
        <f>IF(C4018="","",IFERROR(INDEX($S$5:$S$304,MATCH(C4018,$R$5:$R$304,0))&amp;"","?"))</f>
        <v/>
      </c>
      <c r="N4018" s="2">
        <f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>
        <f>IF(OR(F4018="",G4018=""),"",IF(G4018&lt;='RETRATO 2027'!$K$5,"CONCLUÍDA",IF(F4018&lt;='RETRATO 2027'!$K$5,"EM ANDAMENTO","A INICIAR")))</f>
        <v/>
      </c>
    </row>
    <row r="4019">
      <c r="M4019" s="2">
        <f>IF(C4019="","",IFERROR(INDEX($S$5:$S$304,MATCH(C4019,$R$5:$R$304,0))&amp;"","?"))</f>
        <v/>
      </c>
      <c r="N4019" s="2">
        <f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>
        <f>IF(OR(F4019="",G4019=""),"",IF(G4019&lt;='RETRATO 2027'!$K$5,"CONCLUÍDA",IF(F4019&lt;='RETRATO 2027'!$K$5,"EM ANDAMENTO","A INICIAR")))</f>
        <v/>
      </c>
    </row>
    <row r="4020">
      <c r="M4020" s="2">
        <f>IF(C4020="","",IFERROR(INDEX($S$5:$S$304,MATCH(C4020,$R$5:$R$304,0))&amp;"","?"))</f>
        <v/>
      </c>
      <c r="N4020" s="2">
        <f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>
        <f>IF(OR(F4020="",G4020=""),"",IF(G4020&lt;='RETRATO 2027'!$K$5,"CONCLUÍDA",IF(F4020&lt;='RETRATO 2027'!$K$5,"EM ANDAMENTO","A INICIAR")))</f>
        <v/>
      </c>
    </row>
    <row r="4021">
      <c r="M4021" s="2">
        <f>IF(C4021="","",IFERROR(INDEX($S$5:$S$304,MATCH(C4021,$R$5:$R$304,0))&amp;"","?"))</f>
        <v/>
      </c>
      <c r="N4021" s="2">
        <f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>
        <f>IF(OR(F4021="",G4021=""),"",IF(G4021&lt;='RETRATO 2027'!$K$5,"CONCLUÍDA",IF(F4021&lt;='RETRATO 2027'!$K$5,"EM ANDAMENTO","A INICIAR")))</f>
        <v/>
      </c>
    </row>
    <row r="4022">
      <c r="M4022" s="2">
        <f>IF(C4022="","",IFERROR(INDEX($S$5:$S$304,MATCH(C4022,$R$5:$R$304,0))&amp;"","?"))</f>
        <v/>
      </c>
      <c r="N4022" s="2">
        <f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>
        <f>IF(OR(F4022="",G4022=""),"",IF(G4022&lt;='RETRATO 2027'!$K$5,"CONCLUÍDA",IF(F4022&lt;='RETRATO 2027'!$K$5,"EM ANDAMENTO","A INICIAR")))</f>
        <v/>
      </c>
    </row>
    <row r="4023">
      <c r="M4023" s="2">
        <f>IF(C4023="","",IFERROR(INDEX($S$5:$S$304,MATCH(C4023,$R$5:$R$304,0))&amp;"","?"))</f>
        <v/>
      </c>
      <c r="N4023" s="2">
        <f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>
        <f>IF(OR(F4023="",G4023=""),"",IF(G4023&lt;='RETRATO 2027'!$K$5,"CONCLUÍDA",IF(F4023&lt;='RETRATO 2027'!$K$5,"EM ANDAMENTO","A INICIAR")))</f>
        <v/>
      </c>
    </row>
    <row r="4024">
      <c r="M4024" s="2">
        <f>IF(C4024="","",IFERROR(INDEX($S$5:$S$304,MATCH(C4024,$R$5:$R$304,0))&amp;"","?"))</f>
        <v/>
      </c>
      <c r="N4024" s="2">
        <f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>
        <f>IF(OR(F4024="",G4024=""),"",IF(G4024&lt;='RETRATO 2027'!$K$5,"CONCLUÍDA",IF(F4024&lt;='RETRATO 2027'!$K$5,"EM ANDAMENTO","A INICIAR")))</f>
        <v/>
      </c>
    </row>
    <row r="4025">
      <c r="M4025" s="2">
        <f>IF(C4025="","",IFERROR(INDEX($S$5:$S$304,MATCH(C4025,$R$5:$R$304,0))&amp;"","?"))</f>
        <v/>
      </c>
      <c r="N4025" s="2">
        <f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>
        <f>IF(OR(F4025="",G4025=""),"",IF(G4025&lt;='RETRATO 2027'!$K$5,"CONCLUÍDA",IF(F4025&lt;='RETRATO 2027'!$K$5,"EM ANDAMENTO","A INICIAR")))</f>
        <v/>
      </c>
    </row>
    <row r="4026">
      <c r="M4026" s="2">
        <f>IF(C4026="","",IFERROR(INDEX($S$5:$S$304,MATCH(C4026,$R$5:$R$304,0))&amp;"","?"))</f>
        <v/>
      </c>
      <c r="N4026" s="2">
        <f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>
        <f>IF(OR(F4026="",G4026=""),"",IF(G4026&lt;='RETRATO 2027'!$K$5,"CONCLUÍDA",IF(F4026&lt;='RETRATO 2027'!$K$5,"EM ANDAMENTO","A INICIAR")))</f>
        <v/>
      </c>
    </row>
    <row r="4027">
      <c r="M4027" s="2">
        <f>IF(C4027="","",IFERROR(INDEX($S$5:$S$304,MATCH(C4027,$R$5:$R$304,0))&amp;"","?"))</f>
        <v/>
      </c>
      <c r="N4027" s="2">
        <f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>
        <f>IF(OR(F4027="",G4027=""),"",IF(G4027&lt;='RETRATO 2027'!$K$5,"CONCLUÍDA",IF(F4027&lt;='RETRATO 2027'!$K$5,"EM ANDAMENTO","A INICIAR")))</f>
        <v/>
      </c>
    </row>
    <row r="4028">
      <c r="M4028" s="2">
        <f>IF(C4028="","",IFERROR(INDEX($S$5:$S$304,MATCH(C4028,$R$5:$R$304,0))&amp;"","?"))</f>
        <v/>
      </c>
      <c r="N4028" s="2">
        <f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>
        <f>IF(OR(F4028="",G4028=""),"",IF(G4028&lt;='RETRATO 2027'!$K$5,"CONCLUÍDA",IF(F4028&lt;='RETRATO 2027'!$K$5,"EM ANDAMENTO","A INICIAR")))</f>
        <v/>
      </c>
    </row>
    <row r="4029">
      <c r="M4029" s="2">
        <f>IF(C4029="","",IFERROR(INDEX($S$5:$S$304,MATCH(C4029,$R$5:$R$304,0))&amp;"","?"))</f>
        <v/>
      </c>
      <c r="N4029" s="2">
        <f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>
        <f>IF(OR(F4029="",G4029=""),"",IF(G4029&lt;='RETRATO 2027'!$K$5,"CONCLUÍDA",IF(F4029&lt;='RETRATO 2027'!$K$5,"EM ANDAMENTO","A INICIAR")))</f>
        <v/>
      </c>
    </row>
    <row r="4030">
      <c r="M4030" s="2">
        <f>IF(C4030="","",IFERROR(INDEX($S$5:$S$304,MATCH(C4030,$R$5:$R$304,0))&amp;"","?"))</f>
        <v/>
      </c>
      <c r="N4030" s="2">
        <f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>
        <f>IF(OR(F4030="",G4030=""),"",IF(G4030&lt;='RETRATO 2027'!$K$5,"CONCLUÍDA",IF(F4030&lt;='RETRATO 2027'!$K$5,"EM ANDAMENTO","A INICIAR")))</f>
        <v/>
      </c>
    </row>
    <row r="4031">
      <c r="M4031" s="2">
        <f>IF(C4031="","",IFERROR(INDEX($S$5:$S$304,MATCH(C4031,$R$5:$R$304,0))&amp;"","?"))</f>
        <v/>
      </c>
      <c r="N4031" s="2">
        <f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>
        <f>IF(OR(F4031="",G4031=""),"",IF(G4031&lt;='RETRATO 2027'!$K$5,"CONCLUÍDA",IF(F4031&lt;='RETRATO 2027'!$K$5,"EM ANDAMENTO","A INICIAR")))</f>
        <v/>
      </c>
    </row>
    <row r="4032">
      <c r="M4032" s="2">
        <f>IF(C4032="","",IFERROR(INDEX($S$5:$S$304,MATCH(C4032,$R$5:$R$304,0))&amp;"","?"))</f>
        <v/>
      </c>
      <c r="N4032" s="2">
        <f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>
        <f>IF(OR(F4032="",G4032=""),"",IF(G4032&lt;='RETRATO 2027'!$K$5,"CONCLUÍDA",IF(F4032&lt;='RETRATO 2027'!$K$5,"EM ANDAMENTO","A INICIAR")))</f>
        <v/>
      </c>
    </row>
    <row r="4033">
      <c r="M4033" s="2">
        <f>IF(C4033="","",IFERROR(INDEX($S$5:$S$304,MATCH(C4033,$R$5:$R$304,0))&amp;"","?"))</f>
        <v/>
      </c>
      <c r="N4033" s="2">
        <f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>
        <f>IF(OR(F4033="",G4033=""),"",IF(G4033&lt;='RETRATO 2027'!$K$5,"CONCLUÍDA",IF(F4033&lt;='RETRATO 2027'!$K$5,"EM ANDAMENTO","A INICIAR")))</f>
        <v/>
      </c>
    </row>
    <row r="4034">
      <c r="M4034" s="2">
        <f>IF(C4034="","",IFERROR(INDEX($S$5:$S$304,MATCH(C4034,$R$5:$R$304,0))&amp;"","?"))</f>
        <v/>
      </c>
      <c r="N4034" s="2">
        <f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>
        <f>IF(OR(F4034="",G4034=""),"",IF(G4034&lt;='RETRATO 2027'!$K$5,"CONCLUÍDA",IF(F4034&lt;='RETRATO 2027'!$K$5,"EM ANDAMENTO","A INICIAR")))</f>
        <v/>
      </c>
    </row>
    <row r="4035">
      <c r="M4035" s="2">
        <f>IF(C4035="","",IFERROR(INDEX($S$5:$S$304,MATCH(C4035,$R$5:$R$304,0))&amp;"","?"))</f>
        <v/>
      </c>
      <c r="N4035" s="2">
        <f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>
        <f>IF(OR(F4035="",G4035=""),"",IF(G4035&lt;='RETRATO 2027'!$K$5,"CONCLUÍDA",IF(F4035&lt;='RETRATO 2027'!$K$5,"EM ANDAMENTO","A INICIAR")))</f>
        <v/>
      </c>
    </row>
    <row r="4036">
      <c r="M4036" s="2">
        <f>IF(C4036="","",IFERROR(INDEX($S$5:$S$304,MATCH(C4036,$R$5:$R$304,0))&amp;"","?"))</f>
        <v/>
      </c>
      <c r="N4036" s="2">
        <f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>
        <f>IF(OR(F4036="",G4036=""),"",IF(G4036&lt;='RETRATO 2027'!$K$5,"CONCLUÍDA",IF(F4036&lt;='RETRATO 2027'!$K$5,"EM ANDAMENTO","A INICIAR")))</f>
        <v/>
      </c>
    </row>
    <row r="4037">
      <c r="M4037" s="2">
        <f>IF(C4037="","",IFERROR(INDEX($S$5:$S$304,MATCH(C4037,$R$5:$R$304,0))&amp;"","?"))</f>
        <v/>
      </c>
      <c r="N4037" s="2">
        <f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>
        <f>IF(OR(F4037="",G4037=""),"",IF(G4037&lt;='RETRATO 2027'!$K$5,"CONCLUÍDA",IF(F4037&lt;='RETRATO 2027'!$K$5,"EM ANDAMENTO","A INICIAR")))</f>
        <v/>
      </c>
    </row>
    <row r="4038">
      <c r="M4038" s="2">
        <f>IF(C4038="","",IFERROR(INDEX($S$5:$S$304,MATCH(C4038,$R$5:$R$304,0))&amp;"","?"))</f>
        <v/>
      </c>
      <c r="N4038" s="2">
        <f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>
        <f>IF(OR(F4038="",G4038=""),"",IF(G4038&lt;='RETRATO 2027'!$K$5,"CONCLUÍDA",IF(F4038&lt;='RETRATO 2027'!$K$5,"EM ANDAMENTO","A INICIAR")))</f>
        <v/>
      </c>
    </row>
    <row r="4039">
      <c r="M4039" s="2">
        <f>IF(C4039="","",IFERROR(INDEX($S$5:$S$304,MATCH(C4039,$R$5:$R$304,0))&amp;"","?"))</f>
        <v/>
      </c>
      <c r="N4039" s="2">
        <f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>
        <f>IF(OR(F4039="",G4039=""),"",IF(G4039&lt;='RETRATO 2027'!$K$5,"CONCLUÍDA",IF(F4039&lt;='RETRATO 2027'!$K$5,"EM ANDAMENTO","A INICIAR")))</f>
        <v/>
      </c>
    </row>
    <row r="4040">
      <c r="M4040" s="2">
        <f>IF(C4040="","",IFERROR(INDEX($S$5:$S$304,MATCH(C4040,$R$5:$R$304,0))&amp;"","?"))</f>
        <v/>
      </c>
      <c r="N4040" s="2">
        <f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>
        <f>IF(OR(F4040="",G4040=""),"",IF(G4040&lt;='RETRATO 2027'!$K$5,"CONCLUÍDA",IF(F4040&lt;='RETRATO 2027'!$K$5,"EM ANDAMENTO","A INICIAR")))</f>
        <v/>
      </c>
    </row>
    <row r="4041">
      <c r="M4041" s="2">
        <f>IF(C4041="","",IFERROR(INDEX($S$5:$S$304,MATCH(C4041,$R$5:$R$304,0))&amp;"","?"))</f>
        <v/>
      </c>
      <c r="N4041" s="2">
        <f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>
        <f>IF(OR(F4041="",G4041=""),"",IF(G4041&lt;='RETRATO 2027'!$K$5,"CONCLUÍDA",IF(F4041&lt;='RETRATO 2027'!$K$5,"EM ANDAMENTO","A INICIAR")))</f>
        <v/>
      </c>
    </row>
    <row r="4042">
      <c r="M4042" s="2">
        <f>IF(C4042="","",IFERROR(INDEX($S$5:$S$304,MATCH(C4042,$R$5:$R$304,0))&amp;"","?"))</f>
        <v/>
      </c>
      <c r="N4042" s="2">
        <f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>
        <f>IF(OR(F4042="",G4042=""),"",IF(G4042&lt;='RETRATO 2027'!$K$5,"CONCLUÍDA",IF(F4042&lt;='RETRATO 2027'!$K$5,"EM ANDAMENTO","A INICIAR")))</f>
        <v/>
      </c>
    </row>
    <row r="4043">
      <c r="M4043" s="2">
        <f>IF(C4043="","",IFERROR(INDEX($S$5:$S$304,MATCH(C4043,$R$5:$R$304,0))&amp;"","?"))</f>
        <v/>
      </c>
      <c r="N4043" s="2">
        <f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>
        <f>IF(OR(F4043="",G4043=""),"",IF(G4043&lt;='RETRATO 2027'!$K$5,"CONCLUÍDA",IF(F4043&lt;='RETRATO 2027'!$K$5,"EM ANDAMENTO","A INICIAR")))</f>
        <v/>
      </c>
    </row>
    <row r="4044">
      <c r="M4044" s="2">
        <f>IF(C4044="","",IFERROR(INDEX($S$5:$S$304,MATCH(C4044,$R$5:$R$304,0))&amp;"","?"))</f>
        <v/>
      </c>
      <c r="N4044" s="2">
        <f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>
        <f>IF(OR(F4044="",G4044=""),"",IF(G4044&lt;='RETRATO 2027'!$K$5,"CONCLUÍDA",IF(F4044&lt;='RETRATO 2027'!$K$5,"EM ANDAMENTO","A INICIAR")))</f>
        <v/>
      </c>
    </row>
    <row r="4045">
      <c r="M4045" s="2">
        <f>IF(C4045="","",IFERROR(INDEX($S$5:$S$304,MATCH(C4045,$R$5:$R$304,0))&amp;"","?"))</f>
        <v/>
      </c>
      <c r="N4045" s="2">
        <f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>
        <f>IF(OR(F4045="",G4045=""),"",IF(G4045&lt;='RETRATO 2027'!$K$5,"CONCLUÍDA",IF(F4045&lt;='RETRATO 2027'!$K$5,"EM ANDAMENTO","A INICIAR")))</f>
        <v/>
      </c>
    </row>
    <row r="4046">
      <c r="M4046" s="2">
        <f>IF(C4046="","",IFERROR(INDEX($S$5:$S$304,MATCH(C4046,$R$5:$R$304,0))&amp;"","?"))</f>
        <v/>
      </c>
      <c r="N4046" s="2">
        <f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>
        <f>IF(OR(F4046="",G4046=""),"",IF(G4046&lt;='RETRATO 2027'!$K$5,"CONCLUÍDA",IF(F4046&lt;='RETRATO 2027'!$K$5,"EM ANDAMENTO","A INICIAR")))</f>
        <v/>
      </c>
    </row>
    <row r="4047">
      <c r="M4047" s="2">
        <f>IF(C4047="","",IFERROR(INDEX($S$5:$S$304,MATCH(C4047,$R$5:$R$304,0))&amp;"","?"))</f>
        <v/>
      </c>
      <c r="N4047" s="2">
        <f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>
        <f>IF(OR(F4047="",G4047=""),"",IF(G4047&lt;='RETRATO 2027'!$K$5,"CONCLUÍDA",IF(F4047&lt;='RETRATO 2027'!$K$5,"EM ANDAMENTO","A INICIAR")))</f>
        <v/>
      </c>
    </row>
    <row r="4048">
      <c r="M4048" s="2">
        <f>IF(C4048="","",IFERROR(INDEX($S$5:$S$304,MATCH(C4048,$R$5:$R$304,0))&amp;"","?"))</f>
        <v/>
      </c>
      <c r="N4048" s="2">
        <f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>
        <f>IF(OR(F4048="",G4048=""),"",IF(G4048&lt;='RETRATO 2027'!$K$5,"CONCLUÍDA",IF(F4048&lt;='RETRATO 2027'!$K$5,"EM ANDAMENTO","A INICIAR")))</f>
        <v/>
      </c>
    </row>
    <row r="4049">
      <c r="M4049" s="2">
        <f>IF(C4049="","",IFERROR(INDEX($S$5:$S$304,MATCH(C4049,$R$5:$R$304,0))&amp;"","?"))</f>
        <v/>
      </c>
      <c r="N4049" s="2">
        <f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>
        <f>IF(OR(F4049="",G4049=""),"",IF(G4049&lt;='RETRATO 2027'!$K$5,"CONCLUÍDA",IF(F4049&lt;='RETRATO 2027'!$K$5,"EM ANDAMENTO","A INICIAR")))</f>
        <v/>
      </c>
    </row>
    <row r="4050">
      <c r="M4050" s="2">
        <f>IF(C4050="","",IFERROR(INDEX($S$5:$S$304,MATCH(C4050,$R$5:$R$304,0))&amp;"","?"))</f>
        <v/>
      </c>
      <c r="N4050" s="2">
        <f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>
        <f>IF(OR(F4050="",G4050=""),"",IF(G4050&lt;='RETRATO 2027'!$K$5,"CONCLUÍDA",IF(F4050&lt;='RETRATO 2027'!$K$5,"EM ANDAMENTO","A INICIAR")))</f>
        <v/>
      </c>
    </row>
    <row r="4051">
      <c r="M4051" s="2">
        <f>IF(C4051="","",IFERROR(INDEX($S$5:$S$304,MATCH(C4051,$R$5:$R$304,0))&amp;"","?"))</f>
        <v/>
      </c>
      <c r="N4051" s="2">
        <f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>
        <f>IF(OR(F4051="",G4051=""),"",IF(G4051&lt;='RETRATO 2027'!$K$5,"CONCLUÍDA",IF(F4051&lt;='RETRATO 2027'!$K$5,"EM ANDAMENTO","A INICIAR")))</f>
        <v/>
      </c>
    </row>
    <row r="4052">
      <c r="M4052" s="2">
        <f>IF(C4052="","",IFERROR(INDEX($S$5:$S$304,MATCH(C4052,$R$5:$R$304,0))&amp;"","?"))</f>
        <v/>
      </c>
      <c r="N4052" s="2">
        <f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>
        <f>IF(OR(F4052="",G4052=""),"",IF(G4052&lt;='RETRATO 2027'!$K$5,"CONCLUÍDA",IF(F4052&lt;='RETRATO 2027'!$K$5,"EM ANDAMENTO","A INICIAR")))</f>
        <v/>
      </c>
    </row>
    <row r="4053">
      <c r="M4053" s="2">
        <f>IF(C4053="","",IFERROR(INDEX($S$5:$S$304,MATCH(C4053,$R$5:$R$304,0))&amp;"","?"))</f>
        <v/>
      </c>
      <c r="N4053" s="2">
        <f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>
        <f>IF(OR(F4053="",G4053=""),"",IF(G4053&lt;='RETRATO 2027'!$K$5,"CONCLUÍDA",IF(F4053&lt;='RETRATO 2027'!$K$5,"EM ANDAMENTO","A INICIAR")))</f>
        <v/>
      </c>
    </row>
    <row r="4054">
      <c r="M4054" s="2">
        <f>IF(C4054="","",IFERROR(INDEX($S$5:$S$304,MATCH(C4054,$R$5:$R$304,0))&amp;"","?"))</f>
        <v/>
      </c>
      <c r="N4054" s="2">
        <f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>
        <f>IF(OR(F4054="",G4054=""),"",IF(G4054&lt;='RETRATO 2027'!$K$5,"CONCLUÍDA",IF(F4054&lt;='RETRATO 2027'!$K$5,"EM ANDAMENTO","A INICIAR")))</f>
        <v/>
      </c>
    </row>
    <row r="4055">
      <c r="M4055" s="2">
        <f>IF(C4055="","",IFERROR(INDEX($S$5:$S$304,MATCH(C4055,$R$5:$R$304,0))&amp;"","?"))</f>
        <v/>
      </c>
      <c r="N4055" s="2">
        <f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>
        <f>IF(OR(F4055="",G4055=""),"",IF(G4055&lt;='RETRATO 2027'!$K$5,"CONCLUÍDA",IF(F4055&lt;='RETRATO 2027'!$K$5,"EM ANDAMENTO","A INICIAR")))</f>
        <v/>
      </c>
    </row>
    <row r="4056">
      <c r="M4056" s="2">
        <f>IF(C4056="","",IFERROR(INDEX($S$5:$S$304,MATCH(C4056,$R$5:$R$304,0))&amp;"","?"))</f>
        <v/>
      </c>
      <c r="N4056" s="2">
        <f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>
        <f>IF(OR(F4056="",G4056=""),"",IF(G4056&lt;='RETRATO 2027'!$K$5,"CONCLUÍDA",IF(F4056&lt;='RETRATO 2027'!$K$5,"EM ANDAMENTO","A INICIAR")))</f>
        <v/>
      </c>
    </row>
    <row r="4057">
      <c r="M4057" s="2">
        <f>IF(C4057="","",IFERROR(INDEX($S$5:$S$304,MATCH(C4057,$R$5:$R$304,0))&amp;"","?"))</f>
        <v/>
      </c>
      <c r="N4057" s="2">
        <f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>
        <f>IF(OR(F4057="",G4057=""),"",IF(G4057&lt;='RETRATO 2027'!$K$5,"CONCLUÍDA",IF(F4057&lt;='RETRATO 2027'!$K$5,"EM ANDAMENTO","A INICIAR")))</f>
        <v/>
      </c>
    </row>
    <row r="4058">
      <c r="M4058" s="2">
        <f>IF(C4058="","",IFERROR(INDEX($S$5:$S$304,MATCH(C4058,$R$5:$R$304,0))&amp;"","?"))</f>
        <v/>
      </c>
      <c r="N4058" s="2">
        <f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>
        <f>IF(OR(F4058="",G4058=""),"",IF(G4058&lt;='RETRATO 2027'!$K$5,"CONCLUÍDA",IF(F4058&lt;='RETRATO 2027'!$K$5,"EM ANDAMENTO","A INICIAR")))</f>
        <v/>
      </c>
    </row>
    <row r="4059">
      <c r="M4059" s="2">
        <f>IF(C4059="","",IFERROR(INDEX($S$5:$S$304,MATCH(C4059,$R$5:$R$304,0))&amp;"","?"))</f>
        <v/>
      </c>
      <c r="N4059" s="2">
        <f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>
        <f>IF(OR(F4059="",G4059=""),"",IF(G4059&lt;='RETRATO 2027'!$K$5,"CONCLUÍDA",IF(F4059&lt;='RETRATO 2027'!$K$5,"EM ANDAMENTO","A INICIAR")))</f>
        <v/>
      </c>
    </row>
    <row r="4060">
      <c r="M4060" s="2">
        <f>IF(C4060="","",IFERROR(INDEX($S$5:$S$304,MATCH(C4060,$R$5:$R$304,0))&amp;"","?"))</f>
        <v/>
      </c>
      <c r="N4060" s="2">
        <f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>
        <f>IF(OR(F4060="",G4060=""),"",IF(G4060&lt;='RETRATO 2027'!$K$5,"CONCLUÍDA",IF(F4060&lt;='RETRATO 2027'!$K$5,"EM ANDAMENTO","A INICIAR")))</f>
        <v/>
      </c>
    </row>
    <row r="4061">
      <c r="M4061" s="2">
        <f>IF(C4061="","",IFERROR(INDEX($S$5:$S$304,MATCH(C4061,$R$5:$R$304,0))&amp;"","?"))</f>
        <v/>
      </c>
      <c r="N4061" s="2">
        <f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>
        <f>IF(OR(F4061="",G4061=""),"",IF(G4061&lt;='RETRATO 2027'!$K$5,"CONCLUÍDA",IF(F4061&lt;='RETRATO 2027'!$K$5,"EM ANDAMENTO","A INICIAR")))</f>
        <v/>
      </c>
    </row>
    <row r="4062">
      <c r="M4062" s="2">
        <f>IF(C4062="","",IFERROR(INDEX($S$5:$S$304,MATCH(C4062,$R$5:$R$304,0))&amp;"","?"))</f>
        <v/>
      </c>
      <c r="N4062" s="2">
        <f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>
        <f>IF(OR(F4062="",G4062=""),"",IF(G4062&lt;='RETRATO 2027'!$K$5,"CONCLUÍDA",IF(F4062&lt;='RETRATO 2027'!$K$5,"EM ANDAMENTO","A INICIAR")))</f>
        <v/>
      </c>
    </row>
    <row r="4063">
      <c r="M4063" s="2">
        <f>IF(C4063="","",IFERROR(INDEX($S$5:$S$304,MATCH(C4063,$R$5:$R$304,0))&amp;"","?"))</f>
        <v/>
      </c>
      <c r="N4063" s="2">
        <f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>
        <f>IF(OR(F4063="",G4063=""),"",IF(G4063&lt;='RETRATO 2027'!$K$5,"CONCLUÍDA",IF(F4063&lt;='RETRATO 2027'!$K$5,"EM ANDAMENTO","A INICIAR")))</f>
        <v/>
      </c>
    </row>
    <row r="4064">
      <c r="M4064" s="2">
        <f>IF(C4064="","",IFERROR(INDEX($S$5:$S$304,MATCH(C4064,$R$5:$R$304,0))&amp;"","?"))</f>
        <v/>
      </c>
      <c r="N4064" s="2">
        <f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>
        <f>IF(OR(F4064="",G4064=""),"",IF(G4064&lt;='RETRATO 2027'!$K$5,"CONCLUÍDA",IF(F4064&lt;='RETRATO 2027'!$K$5,"EM ANDAMENTO","A INICIAR")))</f>
        <v/>
      </c>
    </row>
    <row r="4065">
      <c r="M4065" s="2">
        <f>IF(C4065="","",IFERROR(INDEX($S$5:$S$304,MATCH(C4065,$R$5:$R$304,0))&amp;"","?"))</f>
        <v/>
      </c>
      <c r="N4065" s="2">
        <f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>
        <f>IF(OR(F4065="",G4065=""),"",IF(G4065&lt;='RETRATO 2027'!$K$5,"CONCLUÍDA",IF(F4065&lt;='RETRATO 2027'!$K$5,"EM ANDAMENTO","A INICIAR")))</f>
        <v/>
      </c>
    </row>
    <row r="4066">
      <c r="M4066" s="2">
        <f>IF(C4066="","",IFERROR(INDEX($S$5:$S$304,MATCH(C4066,$R$5:$R$304,0))&amp;"","?"))</f>
        <v/>
      </c>
      <c r="N4066" s="2">
        <f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>
        <f>IF(OR(F4066="",G4066=""),"",IF(G4066&lt;='RETRATO 2027'!$K$5,"CONCLUÍDA",IF(F4066&lt;='RETRATO 2027'!$K$5,"EM ANDAMENTO","A INICIAR")))</f>
        <v/>
      </c>
    </row>
    <row r="4067">
      <c r="M4067" s="2">
        <f>IF(C4067="","",IFERROR(INDEX($S$5:$S$304,MATCH(C4067,$R$5:$R$304,0))&amp;"","?"))</f>
        <v/>
      </c>
      <c r="N4067" s="2">
        <f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>
        <f>IF(OR(F4067="",G4067=""),"",IF(G4067&lt;='RETRATO 2027'!$K$5,"CONCLUÍDA",IF(F4067&lt;='RETRATO 2027'!$K$5,"EM ANDAMENTO","A INICIAR")))</f>
        <v/>
      </c>
    </row>
    <row r="4068">
      <c r="M4068" s="2">
        <f>IF(C4068="","",IFERROR(INDEX($S$5:$S$304,MATCH(C4068,$R$5:$R$304,0))&amp;"","?"))</f>
        <v/>
      </c>
      <c r="N4068" s="2">
        <f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>
        <f>IF(OR(F4068="",G4068=""),"",IF(G4068&lt;='RETRATO 2027'!$K$5,"CONCLUÍDA",IF(F4068&lt;='RETRATO 2027'!$K$5,"EM ANDAMENTO","A INICIAR")))</f>
        <v/>
      </c>
    </row>
    <row r="4069">
      <c r="M4069" s="2">
        <f>IF(C4069="","",IFERROR(INDEX($S$5:$S$304,MATCH(C4069,$R$5:$R$304,0))&amp;"","?"))</f>
        <v/>
      </c>
      <c r="N4069" s="2">
        <f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>
        <f>IF(OR(F4069="",G4069=""),"",IF(G4069&lt;='RETRATO 2027'!$K$5,"CONCLUÍDA",IF(F4069&lt;='RETRATO 2027'!$K$5,"EM ANDAMENTO","A INICIAR")))</f>
        <v/>
      </c>
    </row>
    <row r="4070">
      <c r="M4070" s="2">
        <f>IF(C4070="","",IFERROR(INDEX($S$5:$S$304,MATCH(C4070,$R$5:$R$304,0))&amp;"","?"))</f>
        <v/>
      </c>
      <c r="N4070" s="2">
        <f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>
        <f>IF(OR(F4070="",G4070=""),"",IF(G4070&lt;='RETRATO 2027'!$K$5,"CONCLUÍDA",IF(F4070&lt;='RETRATO 2027'!$K$5,"EM ANDAMENTO","A INICIAR")))</f>
        <v/>
      </c>
    </row>
    <row r="4071">
      <c r="M4071" s="2">
        <f>IF(C4071="","",IFERROR(INDEX($S$5:$S$304,MATCH(C4071,$R$5:$R$304,0))&amp;"","?"))</f>
        <v/>
      </c>
      <c r="N4071" s="2">
        <f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>
        <f>IF(OR(F4071="",G4071=""),"",IF(G4071&lt;='RETRATO 2027'!$K$5,"CONCLUÍDA",IF(F4071&lt;='RETRATO 2027'!$K$5,"EM ANDAMENTO","A INICIAR")))</f>
        <v/>
      </c>
    </row>
    <row r="4072">
      <c r="M4072" s="2">
        <f>IF(C4072="","",IFERROR(INDEX($S$5:$S$304,MATCH(C4072,$R$5:$R$304,0))&amp;"","?"))</f>
        <v/>
      </c>
      <c r="N4072" s="2">
        <f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>
        <f>IF(OR(F4072="",G4072=""),"",IF(G4072&lt;='RETRATO 2027'!$K$5,"CONCLUÍDA",IF(F4072&lt;='RETRATO 2027'!$K$5,"EM ANDAMENTO","A INICIAR")))</f>
        <v/>
      </c>
    </row>
    <row r="4073">
      <c r="M4073" s="2">
        <f>IF(C4073="","",IFERROR(INDEX($S$5:$S$304,MATCH(C4073,$R$5:$R$304,0))&amp;"","?"))</f>
        <v/>
      </c>
      <c r="N4073" s="2">
        <f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>
        <f>IF(OR(F4073="",G4073=""),"",IF(G4073&lt;='RETRATO 2027'!$K$5,"CONCLUÍDA",IF(F4073&lt;='RETRATO 2027'!$K$5,"EM ANDAMENTO","A INICIAR")))</f>
        <v/>
      </c>
    </row>
    <row r="4074">
      <c r="M4074" s="2">
        <f>IF(C4074="","",IFERROR(INDEX($S$5:$S$304,MATCH(C4074,$R$5:$R$304,0))&amp;"","?"))</f>
        <v/>
      </c>
      <c r="N4074" s="2">
        <f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>
        <f>IF(OR(F4074="",G4074=""),"",IF(G4074&lt;='RETRATO 2027'!$K$5,"CONCLUÍDA",IF(F4074&lt;='RETRATO 2027'!$K$5,"EM ANDAMENTO","A INICIAR")))</f>
        <v/>
      </c>
    </row>
    <row r="4075">
      <c r="M4075" s="2">
        <f>IF(C4075="","",IFERROR(INDEX($S$5:$S$304,MATCH(C4075,$R$5:$R$304,0))&amp;"","?"))</f>
        <v/>
      </c>
      <c r="N4075" s="2">
        <f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>
        <f>IF(OR(F4075="",G4075=""),"",IF(G4075&lt;='RETRATO 2027'!$K$5,"CONCLUÍDA",IF(F4075&lt;='RETRATO 2027'!$K$5,"EM ANDAMENTO","A INICIAR")))</f>
        <v/>
      </c>
    </row>
    <row r="4076">
      <c r="M4076" s="2">
        <f>IF(C4076="","",IFERROR(INDEX($S$5:$S$304,MATCH(C4076,$R$5:$R$304,0))&amp;"","?"))</f>
        <v/>
      </c>
      <c r="N4076" s="2">
        <f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>
        <f>IF(OR(F4076="",G4076=""),"",IF(G4076&lt;='RETRATO 2027'!$K$5,"CONCLUÍDA",IF(F4076&lt;='RETRATO 2027'!$K$5,"EM ANDAMENTO","A INICIAR")))</f>
        <v/>
      </c>
    </row>
    <row r="4077">
      <c r="M4077" s="2">
        <f>IF(C4077="","",IFERROR(INDEX($S$5:$S$304,MATCH(C4077,$R$5:$R$304,0))&amp;"","?"))</f>
        <v/>
      </c>
      <c r="N4077" s="2">
        <f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>
        <f>IF(OR(F4077="",G4077=""),"",IF(G4077&lt;='RETRATO 2027'!$K$5,"CONCLUÍDA",IF(F4077&lt;='RETRATO 2027'!$K$5,"EM ANDAMENTO","A INICIAR")))</f>
        <v/>
      </c>
    </row>
    <row r="4078">
      <c r="M4078" s="2">
        <f>IF(C4078="","",IFERROR(INDEX($S$5:$S$304,MATCH(C4078,$R$5:$R$304,0))&amp;"","?"))</f>
        <v/>
      </c>
      <c r="N4078" s="2">
        <f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>
        <f>IF(OR(F4078="",G4078=""),"",IF(G4078&lt;='RETRATO 2027'!$K$5,"CONCLUÍDA",IF(F4078&lt;='RETRATO 2027'!$K$5,"EM ANDAMENTO","A INICIAR")))</f>
        <v/>
      </c>
    </row>
    <row r="4079">
      <c r="M4079" s="2">
        <f>IF(C4079="","",IFERROR(INDEX($S$5:$S$304,MATCH(C4079,$R$5:$R$304,0))&amp;"","?"))</f>
        <v/>
      </c>
      <c r="N4079" s="2">
        <f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>
        <f>IF(OR(F4079="",G4079=""),"",IF(G4079&lt;='RETRATO 2027'!$K$5,"CONCLUÍDA",IF(F4079&lt;='RETRATO 2027'!$K$5,"EM ANDAMENTO","A INICIAR")))</f>
        <v/>
      </c>
    </row>
    <row r="4080">
      <c r="M4080" s="2">
        <f>IF(C4080="","",IFERROR(INDEX($S$5:$S$304,MATCH(C4080,$R$5:$R$304,0))&amp;"","?"))</f>
        <v/>
      </c>
      <c r="N4080" s="2">
        <f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>
        <f>IF(OR(F4080="",G4080=""),"",IF(G4080&lt;='RETRATO 2027'!$K$5,"CONCLUÍDA",IF(F4080&lt;='RETRATO 2027'!$K$5,"EM ANDAMENTO","A INICIAR")))</f>
        <v/>
      </c>
    </row>
    <row r="4081">
      <c r="M4081" s="2">
        <f>IF(C4081="","",IFERROR(INDEX($S$5:$S$304,MATCH(C4081,$R$5:$R$304,0))&amp;"","?"))</f>
        <v/>
      </c>
      <c r="N4081" s="2">
        <f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>
        <f>IF(OR(F4081="",G4081=""),"",IF(G4081&lt;='RETRATO 2027'!$K$5,"CONCLUÍDA",IF(F4081&lt;='RETRATO 2027'!$K$5,"EM ANDAMENTO","A INICIAR")))</f>
        <v/>
      </c>
    </row>
    <row r="4082">
      <c r="M4082" s="2">
        <f>IF(C4082="","",IFERROR(INDEX($S$5:$S$304,MATCH(C4082,$R$5:$R$304,0))&amp;"","?"))</f>
        <v/>
      </c>
      <c r="N4082" s="2">
        <f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>
        <f>IF(OR(F4082="",G4082=""),"",IF(G4082&lt;='RETRATO 2027'!$K$5,"CONCLUÍDA",IF(F4082&lt;='RETRATO 2027'!$K$5,"EM ANDAMENTO","A INICIAR")))</f>
        <v/>
      </c>
    </row>
    <row r="4083">
      <c r="M4083" s="2">
        <f>IF(C4083="","",IFERROR(INDEX($S$5:$S$304,MATCH(C4083,$R$5:$R$304,0))&amp;"","?"))</f>
        <v/>
      </c>
      <c r="N4083" s="2">
        <f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>
        <f>IF(OR(F4083="",G4083=""),"",IF(G4083&lt;='RETRATO 2027'!$K$5,"CONCLUÍDA",IF(F4083&lt;='RETRATO 2027'!$K$5,"EM ANDAMENTO","A INICIAR")))</f>
        <v/>
      </c>
    </row>
    <row r="4084">
      <c r="M4084" s="2">
        <f>IF(C4084="","",IFERROR(INDEX($S$5:$S$304,MATCH(C4084,$R$5:$R$304,0))&amp;"","?"))</f>
        <v/>
      </c>
      <c r="N4084" s="2">
        <f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>
        <f>IF(OR(F4084="",G4084=""),"",IF(G4084&lt;='RETRATO 2027'!$K$5,"CONCLUÍDA",IF(F4084&lt;='RETRATO 2027'!$K$5,"EM ANDAMENTO","A INICIAR")))</f>
        <v/>
      </c>
    </row>
    <row r="4085">
      <c r="M4085" s="2">
        <f>IF(C4085="","",IFERROR(INDEX($S$5:$S$304,MATCH(C4085,$R$5:$R$304,0))&amp;"","?"))</f>
        <v/>
      </c>
      <c r="N4085" s="2">
        <f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>
        <f>IF(OR(F4085="",G4085=""),"",IF(G4085&lt;='RETRATO 2027'!$K$5,"CONCLUÍDA",IF(F4085&lt;='RETRATO 2027'!$K$5,"EM ANDAMENTO","A INICIAR")))</f>
        <v/>
      </c>
    </row>
    <row r="4086">
      <c r="M4086" s="2">
        <f>IF(C4086="","",IFERROR(INDEX($S$5:$S$304,MATCH(C4086,$R$5:$R$304,0))&amp;"","?"))</f>
        <v/>
      </c>
      <c r="N4086" s="2">
        <f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>
        <f>IF(OR(F4086="",G4086=""),"",IF(G4086&lt;='RETRATO 2027'!$K$5,"CONCLUÍDA",IF(F4086&lt;='RETRATO 2027'!$K$5,"EM ANDAMENTO","A INICIAR")))</f>
        <v/>
      </c>
    </row>
    <row r="4087">
      <c r="M4087" s="2">
        <f>IF(C4087="","",IFERROR(INDEX($S$5:$S$304,MATCH(C4087,$R$5:$R$304,0))&amp;"","?"))</f>
        <v/>
      </c>
      <c r="N4087" s="2">
        <f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>
        <f>IF(OR(F4087="",G4087=""),"",IF(G4087&lt;='RETRATO 2027'!$K$5,"CONCLUÍDA",IF(F4087&lt;='RETRATO 2027'!$K$5,"EM ANDAMENTO","A INICIAR")))</f>
        <v/>
      </c>
    </row>
    <row r="4088">
      <c r="M4088" s="2">
        <f>IF(C4088="","",IFERROR(INDEX($S$5:$S$304,MATCH(C4088,$R$5:$R$304,0))&amp;"","?"))</f>
        <v/>
      </c>
      <c r="N4088" s="2">
        <f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>
        <f>IF(OR(F4088="",G4088=""),"",IF(G4088&lt;='RETRATO 2027'!$K$5,"CONCLUÍDA",IF(F4088&lt;='RETRATO 2027'!$K$5,"EM ANDAMENTO","A INICIAR")))</f>
        <v/>
      </c>
    </row>
    <row r="4089">
      <c r="M4089" s="2">
        <f>IF(C4089="","",IFERROR(INDEX($S$5:$S$304,MATCH(C4089,$R$5:$R$304,0))&amp;"","?"))</f>
        <v/>
      </c>
      <c r="N4089" s="2">
        <f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>
        <f>IF(OR(F4089="",G4089=""),"",IF(G4089&lt;='RETRATO 2027'!$K$5,"CONCLUÍDA",IF(F4089&lt;='RETRATO 2027'!$K$5,"EM ANDAMENTO","A INICIAR")))</f>
        <v/>
      </c>
    </row>
    <row r="4090">
      <c r="M4090" s="2">
        <f>IF(C4090="","",IFERROR(INDEX($S$5:$S$304,MATCH(C4090,$R$5:$R$304,0))&amp;"","?"))</f>
        <v/>
      </c>
      <c r="N4090" s="2">
        <f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>
        <f>IF(OR(F4090="",G4090=""),"",IF(G4090&lt;='RETRATO 2027'!$K$5,"CONCLUÍDA",IF(F4090&lt;='RETRATO 2027'!$K$5,"EM ANDAMENTO","A INICIAR")))</f>
        <v/>
      </c>
    </row>
    <row r="4091">
      <c r="M4091" s="2">
        <f>IF(C4091="","",IFERROR(INDEX($S$5:$S$304,MATCH(C4091,$R$5:$R$304,0))&amp;"","?"))</f>
        <v/>
      </c>
      <c r="N4091" s="2">
        <f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>
        <f>IF(OR(F4091="",G4091=""),"",IF(G4091&lt;='RETRATO 2027'!$K$5,"CONCLUÍDA",IF(F4091&lt;='RETRATO 2027'!$K$5,"EM ANDAMENTO","A INICIAR")))</f>
        <v/>
      </c>
    </row>
    <row r="4092">
      <c r="M4092" s="2">
        <f>IF(C4092="","",IFERROR(INDEX($S$5:$S$304,MATCH(C4092,$R$5:$R$304,0))&amp;"","?"))</f>
        <v/>
      </c>
      <c r="N4092" s="2">
        <f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>
        <f>IF(OR(F4092="",G4092=""),"",IF(G4092&lt;='RETRATO 2027'!$K$5,"CONCLUÍDA",IF(F4092&lt;='RETRATO 2027'!$K$5,"EM ANDAMENTO","A INICIAR")))</f>
        <v/>
      </c>
    </row>
    <row r="4093">
      <c r="M4093" s="2">
        <f>IF(C4093="","",IFERROR(INDEX($S$5:$S$304,MATCH(C4093,$R$5:$R$304,0))&amp;"","?"))</f>
        <v/>
      </c>
      <c r="N4093" s="2">
        <f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>
        <f>IF(OR(F4093="",G4093=""),"",IF(G4093&lt;='RETRATO 2027'!$K$5,"CONCLUÍDA",IF(F4093&lt;='RETRATO 2027'!$K$5,"EM ANDAMENTO","A INICIAR")))</f>
        <v/>
      </c>
    </row>
    <row r="4094">
      <c r="M4094" s="2">
        <f>IF(C4094="","",IFERROR(INDEX($S$5:$S$304,MATCH(C4094,$R$5:$R$304,0))&amp;"","?"))</f>
        <v/>
      </c>
      <c r="N4094" s="2">
        <f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>
        <f>IF(OR(F4094="",G4094=""),"",IF(G4094&lt;='RETRATO 2027'!$K$5,"CONCLUÍDA",IF(F4094&lt;='RETRATO 2027'!$K$5,"EM ANDAMENTO","A INICIAR")))</f>
        <v/>
      </c>
    </row>
    <row r="4095">
      <c r="M4095" s="2">
        <f>IF(C4095="","",IFERROR(INDEX($S$5:$S$304,MATCH(C4095,$R$5:$R$304,0))&amp;"","?"))</f>
        <v/>
      </c>
      <c r="N4095" s="2">
        <f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>
        <f>IF(OR(F4095="",G4095=""),"",IF(G4095&lt;='RETRATO 2027'!$K$5,"CONCLUÍDA",IF(F4095&lt;='RETRATO 2027'!$K$5,"EM ANDAMENTO","A INICIAR")))</f>
        <v/>
      </c>
    </row>
    <row r="4096">
      <c r="M4096" s="2">
        <f>IF(C4096="","",IFERROR(INDEX($S$5:$S$304,MATCH(C4096,$R$5:$R$304,0))&amp;"","?"))</f>
        <v/>
      </c>
      <c r="N4096" s="2">
        <f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>
        <f>IF(OR(F4096="",G4096=""),"",IF(G4096&lt;='RETRATO 2027'!$K$5,"CONCLUÍDA",IF(F4096&lt;='RETRATO 2027'!$K$5,"EM ANDAMENTO","A INICIAR")))</f>
        <v/>
      </c>
    </row>
    <row r="4097">
      <c r="M4097" s="2">
        <f>IF(C4097="","",IFERROR(INDEX($S$5:$S$304,MATCH(C4097,$R$5:$R$304,0))&amp;"","?"))</f>
        <v/>
      </c>
      <c r="N4097" s="2">
        <f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>
        <f>IF(OR(F4097="",G4097=""),"",IF(G4097&lt;='RETRATO 2027'!$K$5,"CONCLUÍDA",IF(F4097&lt;='RETRATO 2027'!$K$5,"EM ANDAMENTO","A INICIAR")))</f>
        <v/>
      </c>
    </row>
    <row r="4098">
      <c r="M4098" s="2">
        <f>IF(C4098="","",IFERROR(INDEX($S$5:$S$304,MATCH(C4098,$R$5:$R$304,0))&amp;"","?"))</f>
        <v/>
      </c>
      <c r="N4098" s="2">
        <f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>
        <f>IF(OR(F4098="",G4098=""),"",IF(G4098&lt;='RETRATO 2027'!$K$5,"CONCLUÍDA",IF(F4098&lt;='RETRATO 2027'!$K$5,"EM ANDAMENTO","A INICIAR")))</f>
        <v/>
      </c>
    </row>
    <row r="4099">
      <c r="M4099" s="2">
        <f>IF(C4099="","",IFERROR(INDEX($S$5:$S$304,MATCH(C4099,$R$5:$R$304,0))&amp;"","?"))</f>
        <v/>
      </c>
      <c r="N4099" s="2">
        <f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>
        <f>IF(OR(F4099="",G4099=""),"",IF(G4099&lt;='RETRATO 2027'!$K$5,"CONCLUÍDA",IF(F4099&lt;='RETRATO 2027'!$K$5,"EM ANDAMENTO","A INICIAR")))</f>
        <v/>
      </c>
    </row>
    <row r="4100">
      <c r="M4100" s="2">
        <f>IF(C4100="","",IFERROR(INDEX($S$5:$S$304,MATCH(C4100,$R$5:$R$304,0))&amp;"","?"))</f>
        <v/>
      </c>
      <c r="N4100" s="2">
        <f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>
        <f>IF(OR(F4100="",G4100=""),"",IF(G4100&lt;='RETRATO 2027'!$K$5,"CONCLUÍDA",IF(F4100&lt;='RETRATO 2027'!$K$5,"EM ANDAMENTO","A INICIAR")))</f>
        <v/>
      </c>
    </row>
    <row r="4101">
      <c r="M4101" s="2">
        <f>IF(C4101="","",IFERROR(INDEX($S$5:$S$304,MATCH(C4101,$R$5:$R$304,0))&amp;"","?"))</f>
        <v/>
      </c>
      <c r="N4101" s="2">
        <f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>
        <f>IF(OR(F4101="",G4101=""),"",IF(G4101&lt;='RETRATO 2027'!$K$5,"CONCLUÍDA",IF(F4101&lt;='RETRATO 2027'!$K$5,"EM ANDAMENTO","A INICIAR")))</f>
        <v/>
      </c>
    </row>
    <row r="4102">
      <c r="M4102" s="2">
        <f>IF(C4102="","",IFERROR(INDEX($S$5:$S$304,MATCH(C4102,$R$5:$R$304,0))&amp;"","?"))</f>
        <v/>
      </c>
      <c r="N4102" s="2">
        <f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>
        <f>IF(OR(F4102="",G4102=""),"",IF(G4102&lt;='RETRATO 2027'!$K$5,"CONCLUÍDA",IF(F4102&lt;='RETRATO 2027'!$K$5,"EM ANDAMENTO","A INICIAR")))</f>
        <v/>
      </c>
    </row>
    <row r="4103">
      <c r="M4103" s="2">
        <f>IF(C4103="","",IFERROR(INDEX($S$5:$S$304,MATCH(C4103,$R$5:$R$304,0))&amp;"","?"))</f>
        <v/>
      </c>
      <c r="N4103" s="2">
        <f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>
        <f>IF(OR(F4103="",G4103=""),"",IF(G4103&lt;='RETRATO 2027'!$K$5,"CONCLUÍDA",IF(F4103&lt;='RETRATO 2027'!$K$5,"EM ANDAMENTO","A INICIAR")))</f>
        <v/>
      </c>
    </row>
    <row r="4104">
      <c r="M4104" s="2">
        <f>IF(C4104="","",IFERROR(INDEX($S$5:$S$304,MATCH(C4104,$R$5:$R$304,0))&amp;"","?"))</f>
        <v/>
      </c>
      <c r="N4104" s="2">
        <f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>
        <f>IF(OR(F4104="",G4104=""),"",IF(G4104&lt;='RETRATO 2027'!$K$5,"CONCLUÍDA",IF(F4104&lt;='RETRATO 2027'!$K$5,"EM ANDAMENTO","A INICIAR")))</f>
        <v/>
      </c>
    </row>
    <row r="4105">
      <c r="M4105" s="2">
        <f>IF(C4105="","",IFERROR(INDEX($S$5:$S$304,MATCH(C4105,$R$5:$R$304,0))&amp;"","?"))</f>
        <v/>
      </c>
      <c r="N4105" s="2">
        <f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>
        <f>IF(OR(F4105="",G4105=""),"",IF(G4105&lt;='RETRATO 2027'!$K$5,"CONCLUÍDA",IF(F4105&lt;='RETRATO 2027'!$K$5,"EM ANDAMENTO","A INICIAR")))</f>
        <v/>
      </c>
    </row>
    <row r="4106">
      <c r="M4106" s="2">
        <f>IF(C4106="","",IFERROR(INDEX($S$5:$S$304,MATCH(C4106,$R$5:$R$304,0))&amp;"","?"))</f>
        <v/>
      </c>
      <c r="N4106" s="2">
        <f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>
        <f>IF(OR(F4106="",G4106=""),"",IF(G4106&lt;='RETRATO 2027'!$K$5,"CONCLUÍDA",IF(F4106&lt;='RETRATO 2027'!$K$5,"EM ANDAMENTO","A INICIAR")))</f>
        <v/>
      </c>
    </row>
    <row r="4107">
      <c r="M4107" s="2">
        <f>IF(C4107="","",IFERROR(INDEX($S$5:$S$304,MATCH(C4107,$R$5:$R$304,0))&amp;"","?"))</f>
        <v/>
      </c>
      <c r="N4107" s="2">
        <f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>
        <f>IF(OR(F4107="",G4107=""),"",IF(G4107&lt;='RETRATO 2027'!$K$5,"CONCLUÍDA",IF(F4107&lt;='RETRATO 2027'!$K$5,"EM ANDAMENTO","A INICIAR")))</f>
        <v/>
      </c>
    </row>
    <row r="4108">
      <c r="M4108" s="2">
        <f>IF(C4108="","",IFERROR(INDEX($S$5:$S$304,MATCH(C4108,$R$5:$R$304,0))&amp;"","?"))</f>
        <v/>
      </c>
      <c r="N4108" s="2">
        <f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>
        <f>IF(OR(F4108="",G4108=""),"",IF(G4108&lt;='RETRATO 2027'!$K$5,"CONCLUÍDA",IF(F4108&lt;='RETRATO 2027'!$K$5,"EM ANDAMENTO","A INICIAR")))</f>
        <v/>
      </c>
    </row>
    <row r="4109">
      <c r="M4109" s="2">
        <f>IF(C4109="","",IFERROR(INDEX($S$5:$S$304,MATCH(C4109,$R$5:$R$304,0))&amp;"","?"))</f>
        <v/>
      </c>
      <c r="N4109" s="2">
        <f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>
        <f>IF(OR(F4109="",G4109=""),"",IF(G4109&lt;='RETRATO 2027'!$K$5,"CONCLUÍDA",IF(F4109&lt;='RETRATO 2027'!$K$5,"EM ANDAMENTO","A INICIAR")))</f>
        <v/>
      </c>
    </row>
    <row r="4110">
      <c r="M4110" s="2">
        <f>IF(C4110="","",IFERROR(INDEX($S$5:$S$304,MATCH(C4110,$R$5:$R$304,0))&amp;"","?"))</f>
        <v/>
      </c>
      <c r="N4110" s="2">
        <f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>
        <f>IF(OR(F4110="",G4110=""),"",IF(G4110&lt;='RETRATO 2027'!$K$5,"CONCLUÍDA",IF(F4110&lt;='RETRATO 2027'!$K$5,"EM ANDAMENTO","A INICIAR")))</f>
        <v/>
      </c>
    </row>
    <row r="4111">
      <c r="M4111" s="2">
        <f>IF(C4111="","",IFERROR(INDEX($S$5:$S$304,MATCH(C4111,$R$5:$R$304,0))&amp;"","?"))</f>
        <v/>
      </c>
      <c r="N4111" s="2">
        <f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>
        <f>IF(OR(F4111="",G4111=""),"",IF(G4111&lt;='RETRATO 2027'!$K$5,"CONCLUÍDA",IF(F4111&lt;='RETRATO 2027'!$K$5,"EM ANDAMENTO","A INICIAR")))</f>
        <v/>
      </c>
    </row>
    <row r="4112">
      <c r="M4112" s="2">
        <f>IF(C4112="","",IFERROR(INDEX($S$5:$S$304,MATCH(C4112,$R$5:$R$304,0))&amp;"","?"))</f>
        <v/>
      </c>
      <c r="N4112" s="2">
        <f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>
        <f>IF(OR(F4112="",G4112=""),"",IF(G4112&lt;='RETRATO 2027'!$K$5,"CONCLUÍDA",IF(F4112&lt;='RETRATO 2027'!$K$5,"EM ANDAMENTO","A INICIAR")))</f>
        <v/>
      </c>
    </row>
    <row r="4113">
      <c r="M4113" s="2">
        <f>IF(C4113="","",IFERROR(INDEX($S$5:$S$304,MATCH(C4113,$R$5:$R$304,0))&amp;"","?"))</f>
        <v/>
      </c>
      <c r="N4113" s="2">
        <f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>
        <f>IF(OR(F4113="",G4113=""),"",IF(G4113&lt;='RETRATO 2027'!$K$5,"CONCLUÍDA",IF(F4113&lt;='RETRATO 2027'!$K$5,"EM ANDAMENTO","A INICIAR")))</f>
        <v/>
      </c>
    </row>
    <row r="4114">
      <c r="M4114" s="2">
        <f>IF(C4114="","",IFERROR(INDEX($S$5:$S$304,MATCH(C4114,$R$5:$R$304,0))&amp;"","?"))</f>
        <v/>
      </c>
      <c r="N4114" s="2">
        <f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>
        <f>IF(OR(F4114="",G4114=""),"",IF(G4114&lt;='RETRATO 2027'!$K$5,"CONCLUÍDA",IF(F4114&lt;='RETRATO 2027'!$K$5,"EM ANDAMENTO","A INICIAR")))</f>
        <v/>
      </c>
    </row>
    <row r="4115">
      <c r="M4115" s="2">
        <f>IF(C4115="","",IFERROR(INDEX($S$5:$S$304,MATCH(C4115,$R$5:$R$304,0))&amp;"","?"))</f>
        <v/>
      </c>
      <c r="N4115" s="2">
        <f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>
        <f>IF(OR(F4115="",G4115=""),"",IF(G4115&lt;='RETRATO 2027'!$K$5,"CONCLUÍDA",IF(F4115&lt;='RETRATO 2027'!$K$5,"EM ANDAMENTO","A INICIAR")))</f>
        <v/>
      </c>
    </row>
    <row r="4116">
      <c r="M4116" s="2">
        <f>IF(C4116="","",IFERROR(INDEX($S$5:$S$304,MATCH(C4116,$R$5:$R$304,0))&amp;"","?"))</f>
        <v/>
      </c>
      <c r="N4116" s="2">
        <f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>
        <f>IF(OR(F4116="",G4116=""),"",IF(G4116&lt;='RETRATO 2027'!$K$5,"CONCLUÍDA",IF(F4116&lt;='RETRATO 2027'!$K$5,"EM ANDAMENTO","A INICIAR")))</f>
        <v/>
      </c>
    </row>
    <row r="4117">
      <c r="M4117" s="2">
        <f>IF(C4117="","",IFERROR(INDEX($S$5:$S$304,MATCH(C4117,$R$5:$R$304,0))&amp;"","?"))</f>
        <v/>
      </c>
      <c r="N4117" s="2">
        <f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>
        <f>IF(OR(F4117="",G4117=""),"",IF(G4117&lt;='RETRATO 2027'!$K$5,"CONCLUÍDA",IF(F4117&lt;='RETRATO 2027'!$K$5,"EM ANDAMENTO","A INICIAR")))</f>
        <v/>
      </c>
    </row>
    <row r="4118">
      <c r="M4118" s="2">
        <f>IF(C4118="","",IFERROR(INDEX($S$5:$S$304,MATCH(C4118,$R$5:$R$304,0))&amp;"","?"))</f>
        <v/>
      </c>
      <c r="N4118" s="2">
        <f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>
        <f>IF(OR(F4118="",G4118=""),"",IF(G4118&lt;='RETRATO 2027'!$K$5,"CONCLUÍDA",IF(F4118&lt;='RETRATO 2027'!$K$5,"EM ANDAMENTO","A INICIAR")))</f>
        <v/>
      </c>
    </row>
    <row r="4119">
      <c r="M4119" s="2">
        <f>IF(C4119="","",IFERROR(INDEX($S$5:$S$304,MATCH(C4119,$R$5:$R$304,0))&amp;"","?"))</f>
        <v/>
      </c>
      <c r="N4119" s="2">
        <f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>
        <f>IF(OR(F4119="",G4119=""),"",IF(G4119&lt;='RETRATO 2027'!$K$5,"CONCLUÍDA",IF(F4119&lt;='RETRATO 2027'!$K$5,"EM ANDAMENTO","A INICIAR")))</f>
        <v/>
      </c>
    </row>
    <row r="4120">
      <c r="M4120" s="2">
        <f>IF(C4120="","",IFERROR(INDEX($S$5:$S$304,MATCH(C4120,$R$5:$R$304,0))&amp;"","?"))</f>
        <v/>
      </c>
      <c r="N4120" s="2">
        <f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>
        <f>IF(OR(F4120="",G4120=""),"",IF(G4120&lt;='RETRATO 2027'!$K$5,"CONCLUÍDA",IF(F4120&lt;='RETRATO 2027'!$K$5,"EM ANDAMENTO","A INICIAR")))</f>
        <v/>
      </c>
    </row>
    <row r="4121">
      <c r="M4121" s="2">
        <f>IF(C4121="","",IFERROR(INDEX($S$5:$S$304,MATCH(C4121,$R$5:$R$304,0))&amp;"","?"))</f>
        <v/>
      </c>
      <c r="N4121" s="2">
        <f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>
        <f>IF(OR(F4121="",G4121=""),"",IF(G4121&lt;='RETRATO 2027'!$K$5,"CONCLUÍDA",IF(F4121&lt;='RETRATO 2027'!$K$5,"EM ANDAMENTO","A INICIAR")))</f>
        <v/>
      </c>
    </row>
    <row r="4122">
      <c r="M4122" s="2">
        <f>IF(C4122="","",IFERROR(INDEX($S$5:$S$304,MATCH(C4122,$R$5:$R$304,0))&amp;"","?"))</f>
        <v/>
      </c>
      <c r="N4122" s="2">
        <f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>
        <f>IF(OR(F4122="",G4122=""),"",IF(G4122&lt;='RETRATO 2027'!$K$5,"CONCLUÍDA",IF(F4122&lt;='RETRATO 2027'!$K$5,"EM ANDAMENTO","A INICIAR")))</f>
        <v/>
      </c>
    </row>
    <row r="4123">
      <c r="M4123" s="2">
        <f>IF(C4123="","",IFERROR(INDEX($S$5:$S$304,MATCH(C4123,$R$5:$R$304,0))&amp;"","?"))</f>
        <v/>
      </c>
      <c r="N4123" s="2">
        <f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>
        <f>IF(OR(F4123="",G4123=""),"",IF(G4123&lt;='RETRATO 2027'!$K$5,"CONCLUÍDA",IF(F4123&lt;='RETRATO 2027'!$K$5,"EM ANDAMENTO","A INICIAR")))</f>
        <v/>
      </c>
    </row>
    <row r="4124">
      <c r="M4124" s="2">
        <f>IF(C4124="","",IFERROR(INDEX($S$5:$S$304,MATCH(C4124,$R$5:$R$304,0))&amp;"","?"))</f>
        <v/>
      </c>
      <c r="N4124" s="2">
        <f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>
        <f>IF(OR(F4124="",G4124=""),"",IF(G4124&lt;='RETRATO 2027'!$K$5,"CONCLUÍDA",IF(F4124&lt;='RETRATO 2027'!$K$5,"EM ANDAMENTO","A INICIAR")))</f>
        <v/>
      </c>
    </row>
    <row r="4125">
      <c r="M4125" s="2">
        <f>IF(C4125="","",IFERROR(INDEX($S$5:$S$304,MATCH(C4125,$R$5:$R$304,0))&amp;"","?"))</f>
        <v/>
      </c>
      <c r="N4125" s="2">
        <f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>
        <f>IF(OR(F4125="",G4125=""),"",IF(G4125&lt;='RETRATO 2027'!$K$5,"CONCLUÍDA",IF(F4125&lt;='RETRATO 2027'!$K$5,"EM ANDAMENTO","A INICIAR")))</f>
        <v/>
      </c>
    </row>
    <row r="4126">
      <c r="M4126" s="2">
        <f>IF(C4126="","",IFERROR(INDEX($S$5:$S$304,MATCH(C4126,$R$5:$R$304,0))&amp;"","?"))</f>
        <v/>
      </c>
      <c r="N4126" s="2">
        <f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>
        <f>IF(OR(F4126="",G4126=""),"",IF(G4126&lt;='RETRATO 2027'!$K$5,"CONCLUÍDA",IF(F4126&lt;='RETRATO 2027'!$K$5,"EM ANDAMENTO","A INICIAR")))</f>
        <v/>
      </c>
    </row>
    <row r="4127">
      <c r="M4127" s="2">
        <f>IF(C4127="","",IFERROR(INDEX($S$5:$S$304,MATCH(C4127,$R$5:$R$304,0))&amp;"","?"))</f>
        <v/>
      </c>
      <c r="N4127" s="2">
        <f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>
        <f>IF(OR(F4127="",G4127=""),"",IF(G4127&lt;='RETRATO 2027'!$K$5,"CONCLUÍDA",IF(F4127&lt;='RETRATO 2027'!$K$5,"EM ANDAMENTO","A INICIAR")))</f>
        <v/>
      </c>
    </row>
    <row r="4128">
      <c r="M4128" s="2">
        <f>IF(C4128="","",IFERROR(INDEX($S$5:$S$304,MATCH(C4128,$R$5:$R$304,0))&amp;"","?"))</f>
        <v/>
      </c>
      <c r="N4128" s="2">
        <f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>
        <f>IF(OR(F4128="",G4128=""),"",IF(G4128&lt;='RETRATO 2027'!$K$5,"CONCLUÍDA",IF(F4128&lt;='RETRATO 2027'!$K$5,"EM ANDAMENTO","A INICIAR")))</f>
        <v/>
      </c>
    </row>
    <row r="4129">
      <c r="M4129" s="2">
        <f>IF(C4129="","",IFERROR(INDEX($S$5:$S$304,MATCH(C4129,$R$5:$R$304,0))&amp;"","?"))</f>
        <v/>
      </c>
      <c r="N4129" s="2">
        <f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>
        <f>IF(OR(F4129="",G4129=""),"",IF(G4129&lt;='RETRATO 2027'!$K$5,"CONCLUÍDA",IF(F4129&lt;='RETRATO 2027'!$K$5,"EM ANDAMENTO","A INICIAR")))</f>
        <v/>
      </c>
    </row>
    <row r="4130">
      <c r="M4130" s="2">
        <f>IF(C4130="","",IFERROR(INDEX($S$5:$S$304,MATCH(C4130,$R$5:$R$304,0))&amp;"","?"))</f>
        <v/>
      </c>
      <c r="N4130" s="2">
        <f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>
        <f>IF(OR(F4130="",G4130=""),"",IF(G4130&lt;='RETRATO 2027'!$K$5,"CONCLUÍDA",IF(F4130&lt;='RETRATO 2027'!$K$5,"EM ANDAMENTO","A INICIAR")))</f>
        <v/>
      </c>
    </row>
    <row r="4131">
      <c r="M4131" s="2">
        <f>IF(C4131="","",IFERROR(INDEX($S$5:$S$304,MATCH(C4131,$R$5:$R$304,0))&amp;"","?"))</f>
        <v/>
      </c>
      <c r="N4131" s="2">
        <f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>
        <f>IF(OR(F4131="",G4131=""),"",IF(G4131&lt;='RETRATO 2027'!$K$5,"CONCLUÍDA",IF(F4131&lt;='RETRATO 2027'!$K$5,"EM ANDAMENTO","A INICIAR")))</f>
        <v/>
      </c>
    </row>
    <row r="4132">
      <c r="M4132" s="2">
        <f>IF(C4132="","",IFERROR(INDEX($S$5:$S$304,MATCH(C4132,$R$5:$R$304,0))&amp;"","?"))</f>
        <v/>
      </c>
      <c r="N4132" s="2">
        <f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>
        <f>IF(OR(F4132="",G4132=""),"",IF(G4132&lt;='RETRATO 2027'!$K$5,"CONCLUÍDA",IF(F4132&lt;='RETRATO 2027'!$K$5,"EM ANDAMENTO","A INICIAR")))</f>
        <v/>
      </c>
    </row>
    <row r="4133">
      <c r="M4133" s="2">
        <f>IF(C4133="","",IFERROR(INDEX($S$5:$S$304,MATCH(C4133,$R$5:$R$304,0))&amp;"","?"))</f>
        <v/>
      </c>
      <c r="N4133" s="2">
        <f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>
        <f>IF(OR(F4133="",G4133=""),"",IF(G4133&lt;='RETRATO 2027'!$K$5,"CONCLUÍDA",IF(F4133&lt;='RETRATO 2027'!$K$5,"EM ANDAMENTO","A INICIAR")))</f>
        <v/>
      </c>
    </row>
    <row r="4134">
      <c r="M4134" s="2">
        <f>IF(C4134="","",IFERROR(INDEX($S$5:$S$304,MATCH(C4134,$R$5:$R$304,0))&amp;"","?"))</f>
        <v/>
      </c>
      <c r="N4134" s="2">
        <f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>
        <f>IF(OR(F4134="",G4134=""),"",IF(G4134&lt;='RETRATO 2027'!$K$5,"CONCLUÍDA",IF(F4134&lt;='RETRATO 2027'!$K$5,"EM ANDAMENTO","A INICIAR")))</f>
        <v/>
      </c>
    </row>
    <row r="4135">
      <c r="M4135" s="2">
        <f>IF(C4135="","",IFERROR(INDEX($S$5:$S$304,MATCH(C4135,$R$5:$R$304,0))&amp;"","?"))</f>
        <v/>
      </c>
      <c r="N4135" s="2">
        <f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>
        <f>IF(OR(F4135="",G4135=""),"",IF(G4135&lt;='RETRATO 2027'!$K$5,"CONCLUÍDA",IF(F4135&lt;='RETRATO 2027'!$K$5,"EM ANDAMENTO","A INICIAR")))</f>
        <v/>
      </c>
    </row>
    <row r="4136">
      <c r="M4136" s="2">
        <f>IF(C4136="","",IFERROR(INDEX($S$5:$S$304,MATCH(C4136,$R$5:$R$304,0))&amp;"","?"))</f>
        <v/>
      </c>
      <c r="N4136" s="2">
        <f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>
        <f>IF(OR(F4136="",G4136=""),"",IF(G4136&lt;='RETRATO 2027'!$K$5,"CONCLUÍDA",IF(F4136&lt;='RETRATO 2027'!$K$5,"EM ANDAMENTO","A INICIAR")))</f>
        <v/>
      </c>
    </row>
    <row r="4137">
      <c r="M4137" s="2">
        <f>IF(C4137="","",IFERROR(INDEX($S$5:$S$304,MATCH(C4137,$R$5:$R$304,0))&amp;"","?"))</f>
        <v/>
      </c>
      <c r="N4137" s="2">
        <f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>
        <f>IF(OR(F4137="",G4137=""),"",IF(G4137&lt;='RETRATO 2027'!$K$5,"CONCLUÍDA",IF(F4137&lt;='RETRATO 2027'!$K$5,"EM ANDAMENTO","A INICIAR")))</f>
        <v/>
      </c>
    </row>
    <row r="4138">
      <c r="M4138" s="2">
        <f>IF(C4138="","",IFERROR(INDEX($S$5:$S$304,MATCH(C4138,$R$5:$R$304,0))&amp;"","?"))</f>
        <v/>
      </c>
      <c r="N4138" s="2">
        <f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>
        <f>IF(OR(F4138="",G4138=""),"",IF(G4138&lt;='RETRATO 2027'!$K$5,"CONCLUÍDA",IF(F4138&lt;='RETRATO 2027'!$K$5,"EM ANDAMENTO","A INICIAR")))</f>
        <v/>
      </c>
    </row>
    <row r="4139">
      <c r="M4139" s="2">
        <f>IF(C4139="","",IFERROR(INDEX($S$5:$S$304,MATCH(C4139,$R$5:$R$304,0))&amp;"","?"))</f>
        <v/>
      </c>
      <c r="N4139" s="2">
        <f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>
        <f>IF(OR(F4139="",G4139=""),"",IF(G4139&lt;='RETRATO 2027'!$K$5,"CONCLUÍDA",IF(F4139&lt;='RETRATO 2027'!$K$5,"EM ANDAMENTO","A INICIAR")))</f>
        <v/>
      </c>
    </row>
    <row r="4140">
      <c r="M4140" s="2">
        <f>IF(C4140="","",IFERROR(INDEX($S$5:$S$304,MATCH(C4140,$R$5:$R$304,0))&amp;"","?"))</f>
        <v/>
      </c>
      <c r="N4140" s="2">
        <f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>
        <f>IF(OR(F4140="",G4140=""),"",IF(G4140&lt;='RETRATO 2027'!$K$5,"CONCLUÍDA",IF(F4140&lt;='RETRATO 2027'!$K$5,"EM ANDAMENTO","A INICIAR")))</f>
        <v/>
      </c>
    </row>
    <row r="4141">
      <c r="M4141" s="2">
        <f>IF(C4141="","",IFERROR(INDEX($S$5:$S$304,MATCH(C4141,$R$5:$R$304,0))&amp;"","?"))</f>
        <v/>
      </c>
      <c r="N4141" s="2">
        <f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>
        <f>IF(OR(F4141="",G4141=""),"",IF(G4141&lt;='RETRATO 2027'!$K$5,"CONCLUÍDA",IF(F4141&lt;='RETRATO 2027'!$K$5,"EM ANDAMENTO","A INICIAR")))</f>
        <v/>
      </c>
    </row>
    <row r="4142">
      <c r="M4142" s="2">
        <f>IF(C4142="","",IFERROR(INDEX($S$5:$S$304,MATCH(C4142,$R$5:$R$304,0))&amp;"","?"))</f>
        <v/>
      </c>
      <c r="N4142" s="2">
        <f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>
        <f>IF(OR(F4142="",G4142=""),"",IF(G4142&lt;='RETRATO 2027'!$K$5,"CONCLUÍDA",IF(F4142&lt;='RETRATO 2027'!$K$5,"EM ANDAMENTO","A INICIAR")))</f>
        <v/>
      </c>
    </row>
    <row r="4143">
      <c r="M4143" s="2">
        <f>IF(C4143="","",IFERROR(INDEX($S$5:$S$304,MATCH(C4143,$R$5:$R$304,0))&amp;"","?"))</f>
        <v/>
      </c>
      <c r="N4143" s="2">
        <f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>
        <f>IF(OR(F4143="",G4143=""),"",IF(G4143&lt;='RETRATO 2027'!$K$5,"CONCLUÍDA",IF(F4143&lt;='RETRATO 2027'!$K$5,"EM ANDAMENTO","A INICIAR")))</f>
        <v/>
      </c>
    </row>
    <row r="4144">
      <c r="M4144" s="2">
        <f>IF(C4144="","",IFERROR(INDEX($S$5:$S$304,MATCH(C4144,$R$5:$R$304,0))&amp;"","?"))</f>
        <v/>
      </c>
      <c r="N4144" s="2">
        <f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>
        <f>IF(OR(F4144="",G4144=""),"",IF(G4144&lt;='RETRATO 2027'!$K$5,"CONCLUÍDA",IF(F4144&lt;='RETRATO 2027'!$K$5,"EM ANDAMENTO","A INICIAR")))</f>
        <v/>
      </c>
    </row>
    <row r="4145">
      <c r="M4145" s="2">
        <f>IF(C4145="","",IFERROR(INDEX($S$5:$S$304,MATCH(C4145,$R$5:$R$304,0))&amp;"","?"))</f>
        <v/>
      </c>
      <c r="N4145" s="2">
        <f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>
        <f>IF(OR(F4145="",G4145=""),"",IF(G4145&lt;='RETRATO 2027'!$K$5,"CONCLUÍDA",IF(F4145&lt;='RETRATO 2027'!$K$5,"EM ANDAMENTO","A INICIAR")))</f>
        <v/>
      </c>
    </row>
    <row r="4146">
      <c r="M4146" s="2">
        <f>IF(C4146="","",IFERROR(INDEX($S$5:$S$304,MATCH(C4146,$R$5:$R$304,0))&amp;"","?"))</f>
        <v/>
      </c>
      <c r="N4146" s="2">
        <f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>
        <f>IF(OR(F4146="",G4146=""),"",IF(G4146&lt;='RETRATO 2027'!$K$5,"CONCLUÍDA",IF(F4146&lt;='RETRATO 2027'!$K$5,"EM ANDAMENTO","A INICIAR")))</f>
        <v/>
      </c>
    </row>
    <row r="4147">
      <c r="M4147" s="2">
        <f>IF(C4147="","",IFERROR(INDEX($S$5:$S$304,MATCH(C4147,$R$5:$R$304,0))&amp;"","?"))</f>
        <v/>
      </c>
      <c r="N4147" s="2">
        <f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>
        <f>IF(OR(F4147="",G4147=""),"",IF(G4147&lt;='RETRATO 2027'!$K$5,"CONCLUÍDA",IF(F4147&lt;='RETRATO 2027'!$K$5,"EM ANDAMENTO","A INICIAR")))</f>
        <v/>
      </c>
    </row>
    <row r="4148">
      <c r="M4148" s="2">
        <f>IF(C4148="","",IFERROR(INDEX($S$5:$S$304,MATCH(C4148,$R$5:$R$304,0))&amp;"","?"))</f>
        <v/>
      </c>
      <c r="N4148" s="2">
        <f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>
        <f>IF(OR(F4148="",G4148=""),"",IF(G4148&lt;='RETRATO 2027'!$K$5,"CONCLUÍDA",IF(F4148&lt;='RETRATO 2027'!$K$5,"EM ANDAMENTO","A INICIAR")))</f>
        <v/>
      </c>
    </row>
    <row r="4149">
      <c r="M4149" s="2">
        <f>IF(C4149="","",IFERROR(INDEX($S$5:$S$304,MATCH(C4149,$R$5:$R$304,0))&amp;"","?"))</f>
        <v/>
      </c>
      <c r="N4149" s="2">
        <f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>
        <f>IF(OR(F4149="",G4149=""),"",IF(G4149&lt;='RETRATO 2027'!$K$5,"CONCLUÍDA",IF(F4149&lt;='RETRATO 2027'!$K$5,"EM ANDAMENTO","A INICIAR")))</f>
        <v/>
      </c>
    </row>
    <row r="4150">
      <c r="M4150" s="2">
        <f>IF(C4150="","",IFERROR(INDEX($S$5:$S$304,MATCH(C4150,$R$5:$R$304,0))&amp;"","?"))</f>
        <v/>
      </c>
      <c r="N4150" s="2">
        <f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>
        <f>IF(OR(F4150="",G4150=""),"",IF(G4150&lt;='RETRATO 2027'!$K$5,"CONCLUÍDA",IF(F4150&lt;='RETRATO 2027'!$K$5,"EM ANDAMENTO","A INICIAR")))</f>
        <v/>
      </c>
    </row>
    <row r="4151">
      <c r="M4151" s="2">
        <f>IF(C4151="","",IFERROR(INDEX($S$5:$S$304,MATCH(C4151,$R$5:$R$304,0))&amp;"","?"))</f>
        <v/>
      </c>
      <c r="N4151" s="2">
        <f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>
        <f>IF(OR(F4151="",G4151=""),"",IF(G4151&lt;='RETRATO 2027'!$K$5,"CONCLUÍDA",IF(F4151&lt;='RETRATO 2027'!$K$5,"EM ANDAMENTO","A INICIAR")))</f>
        <v/>
      </c>
    </row>
    <row r="4152">
      <c r="M4152" s="2">
        <f>IF(C4152="","",IFERROR(INDEX($S$5:$S$304,MATCH(C4152,$R$5:$R$304,0))&amp;"","?"))</f>
        <v/>
      </c>
      <c r="N4152" s="2">
        <f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>
        <f>IF(OR(F4152="",G4152=""),"",IF(G4152&lt;='RETRATO 2027'!$K$5,"CONCLUÍDA",IF(F4152&lt;='RETRATO 2027'!$K$5,"EM ANDAMENTO","A INICIAR")))</f>
        <v/>
      </c>
    </row>
    <row r="4153">
      <c r="M4153" s="2">
        <f>IF(C4153="","",IFERROR(INDEX($S$5:$S$304,MATCH(C4153,$R$5:$R$304,0))&amp;"","?"))</f>
        <v/>
      </c>
      <c r="N4153" s="2">
        <f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>
        <f>IF(OR(F4153="",G4153=""),"",IF(G4153&lt;='RETRATO 2027'!$K$5,"CONCLUÍDA",IF(F4153&lt;='RETRATO 2027'!$K$5,"EM ANDAMENTO","A INICIAR")))</f>
        <v/>
      </c>
    </row>
    <row r="4154">
      <c r="M4154" s="2">
        <f>IF(C4154="","",IFERROR(INDEX($S$5:$S$304,MATCH(C4154,$R$5:$R$304,0))&amp;"","?"))</f>
        <v/>
      </c>
      <c r="N4154" s="2">
        <f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>
        <f>IF(OR(F4154="",G4154=""),"",IF(G4154&lt;='RETRATO 2027'!$K$5,"CONCLUÍDA",IF(F4154&lt;='RETRATO 2027'!$K$5,"EM ANDAMENTO","A INICIAR")))</f>
        <v/>
      </c>
    </row>
    <row r="4155">
      <c r="M4155" s="2">
        <f>IF(C4155="","",IFERROR(INDEX($S$5:$S$304,MATCH(C4155,$R$5:$R$304,0))&amp;"","?"))</f>
        <v/>
      </c>
      <c r="N4155" s="2">
        <f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>
        <f>IF(OR(F4155="",G4155=""),"",IF(G4155&lt;='RETRATO 2027'!$K$5,"CONCLUÍDA",IF(F4155&lt;='RETRATO 2027'!$K$5,"EM ANDAMENTO","A INICIAR")))</f>
        <v/>
      </c>
    </row>
    <row r="4156">
      <c r="M4156" s="2">
        <f>IF(C4156="","",IFERROR(INDEX($S$5:$S$304,MATCH(C4156,$R$5:$R$304,0))&amp;"","?"))</f>
        <v/>
      </c>
      <c r="N4156" s="2">
        <f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>
        <f>IF(OR(F4156="",G4156=""),"",IF(G4156&lt;='RETRATO 2027'!$K$5,"CONCLUÍDA",IF(F4156&lt;='RETRATO 2027'!$K$5,"EM ANDAMENTO","A INICIAR")))</f>
        <v/>
      </c>
    </row>
    <row r="4157">
      <c r="M4157" s="2">
        <f>IF(C4157="","",IFERROR(INDEX($S$5:$S$304,MATCH(C4157,$R$5:$R$304,0))&amp;"","?"))</f>
        <v/>
      </c>
      <c r="N4157" s="2">
        <f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>
        <f>IF(OR(F4157="",G4157=""),"",IF(G4157&lt;='RETRATO 2027'!$K$5,"CONCLUÍDA",IF(F4157&lt;='RETRATO 2027'!$K$5,"EM ANDAMENTO","A INICIAR")))</f>
        <v/>
      </c>
    </row>
    <row r="4158">
      <c r="M4158" s="2">
        <f>IF(C4158="","",IFERROR(INDEX($S$5:$S$304,MATCH(C4158,$R$5:$R$304,0))&amp;"","?"))</f>
        <v/>
      </c>
      <c r="N4158" s="2">
        <f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>
        <f>IF(OR(F4158="",G4158=""),"",IF(G4158&lt;='RETRATO 2027'!$K$5,"CONCLUÍDA",IF(F4158&lt;='RETRATO 2027'!$K$5,"EM ANDAMENTO","A INICIAR")))</f>
        <v/>
      </c>
    </row>
    <row r="4159">
      <c r="M4159" s="2">
        <f>IF(C4159="","",IFERROR(INDEX($S$5:$S$304,MATCH(C4159,$R$5:$R$304,0))&amp;"","?"))</f>
        <v/>
      </c>
      <c r="N4159" s="2">
        <f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>
        <f>IF(OR(F4159="",G4159=""),"",IF(G4159&lt;='RETRATO 2027'!$K$5,"CONCLUÍDA",IF(F4159&lt;='RETRATO 2027'!$K$5,"EM ANDAMENTO","A INICIAR")))</f>
        <v/>
      </c>
    </row>
    <row r="4160">
      <c r="M4160" s="2">
        <f>IF(C4160="","",IFERROR(INDEX($S$5:$S$304,MATCH(C4160,$R$5:$R$304,0))&amp;"","?"))</f>
        <v/>
      </c>
      <c r="N4160" s="2">
        <f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>
        <f>IF(OR(F4160="",G4160=""),"",IF(G4160&lt;='RETRATO 2027'!$K$5,"CONCLUÍDA",IF(F4160&lt;='RETRATO 2027'!$K$5,"EM ANDAMENTO","A INICIAR")))</f>
        <v/>
      </c>
    </row>
    <row r="4161">
      <c r="M4161" s="2">
        <f>IF(C4161="","",IFERROR(INDEX($S$5:$S$304,MATCH(C4161,$R$5:$R$304,0))&amp;"","?"))</f>
        <v/>
      </c>
      <c r="N4161" s="2">
        <f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>
        <f>IF(OR(F4161="",G4161=""),"",IF(G4161&lt;='RETRATO 2027'!$K$5,"CONCLUÍDA",IF(F4161&lt;='RETRATO 2027'!$K$5,"EM ANDAMENTO","A INICIAR")))</f>
        <v/>
      </c>
    </row>
    <row r="4162">
      <c r="M4162" s="2">
        <f>IF(C4162="","",IFERROR(INDEX($S$5:$S$304,MATCH(C4162,$R$5:$R$304,0))&amp;"","?"))</f>
        <v/>
      </c>
      <c r="N4162" s="2">
        <f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>
        <f>IF(OR(F4162="",G4162=""),"",IF(G4162&lt;='RETRATO 2027'!$K$5,"CONCLUÍDA",IF(F4162&lt;='RETRATO 2027'!$K$5,"EM ANDAMENTO","A INICIAR")))</f>
        <v/>
      </c>
    </row>
    <row r="4163">
      <c r="M4163" s="2">
        <f>IF(C4163="","",IFERROR(INDEX($S$5:$S$304,MATCH(C4163,$R$5:$R$304,0))&amp;"","?"))</f>
        <v/>
      </c>
      <c r="N4163" s="2">
        <f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>
        <f>IF(OR(F4163="",G4163=""),"",IF(G4163&lt;='RETRATO 2027'!$K$5,"CONCLUÍDA",IF(F4163&lt;='RETRATO 2027'!$K$5,"EM ANDAMENTO","A INICIAR")))</f>
        <v/>
      </c>
    </row>
    <row r="4164">
      <c r="M4164" s="2">
        <f>IF(C4164="","",IFERROR(INDEX($S$5:$S$304,MATCH(C4164,$R$5:$R$304,0))&amp;"","?"))</f>
        <v/>
      </c>
      <c r="N4164" s="2">
        <f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>
        <f>IF(OR(F4164="",G4164=""),"",IF(G4164&lt;='RETRATO 2027'!$K$5,"CONCLUÍDA",IF(F4164&lt;='RETRATO 2027'!$K$5,"EM ANDAMENTO","A INICIAR")))</f>
        <v/>
      </c>
    </row>
    <row r="4165">
      <c r="M4165" s="2">
        <f>IF(C4165="","",IFERROR(INDEX($S$5:$S$304,MATCH(C4165,$R$5:$R$304,0))&amp;"","?"))</f>
        <v/>
      </c>
      <c r="N4165" s="2">
        <f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>
        <f>IF(OR(F4165="",G4165=""),"",IF(G4165&lt;='RETRATO 2027'!$K$5,"CONCLUÍDA",IF(F4165&lt;='RETRATO 2027'!$K$5,"EM ANDAMENTO","A INICIAR")))</f>
        <v/>
      </c>
    </row>
    <row r="4166">
      <c r="M4166" s="2">
        <f>IF(C4166="","",IFERROR(INDEX($S$5:$S$304,MATCH(C4166,$R$5:$R$304,0))&amp;"","?"))</f>
        <v/>
      </c>
      <c r="N4166" s="2">
        <f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>
        <f>IF(OR(F4166="",G4166=""),"",IF(G4166&lt;='RETRATO 2027'!$K$5,"CONCLUÍDA",IF(F4166&lt;='RETRATO 2027'!$K$5,"EM ANDAMENTO","A INICIAR")))</f>
        <v/>
      </c>
    </row>
    <row r="4167">
      <c r="M4167" s="2">
        <f>IF(C4167="","",IFERROR(INDEX($S$5:$S$304,MATCH(C4167,$R$5:$R$304,0))&amp;"","?"))</f>
        <v/>
      </c>
      <c r="N4167" s="2">
        <f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>
        <f>IF(OR(F4167="",G4167=""),"",IF(G4167&lt;='RETRATO 2027'!$K$5,"CONCLUÍDA",IF(F4167&lt;='RETRATO 2027'!$K$5,"EM ANDAMENTO","A INICIAR")))</f>
        <v/>
      </c>
    </row>
    <row r="4168">
      <c r="M4168" s="2">
        <f>IF(C4168="","",IFERROR(INDEX($S$5:$S$304,MATCH(C4168,$R$5:$R$304,0))&amp;"","?"))</f>
        <v/>
      </c>
      <c r="N4168" s="2">
        <f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>
        <f>IF(OR(F4168="",G4168=""),"",IF(G4168&lt;='RETRATO 2027'!$K$5,"CONCLUÍDA",IF(F4168&lt;='RETRATO 2027'!$K$5,"EM ANDAMENTO","A INICIAR")))</f>
        <v/>
      </c>
    </row>
    <row r="4169">
      <c r="M4169" s="2">
        <f>IF(C4169="","",IFERROR(INDEX($S$5:$S$304,MATCH(C4169,$R$5:$R$304,0))&amp;"","?"))</f>
        <v/>
      </c>
      <c r="N4169" s="2">
        <f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>
        <f>IF(OR(F4169="",G4169=""),"",IF(G4169&lt;='RETRATO 2027'!$K$5,"CONCLUÍDA",IF(F4169&lt;='RETRATO 2027'!$K$5,"EM ANDAMENTO","A INICIAR")))</f>
        <v/>
      </c>
    </row>
    <row r="4170">
      <c r="M4170" s="2">
        <f>IF(C4170="","",IFERROR(INDEX($S$5:$S$304,MATCH(C4170,$R$5:$R$304,0))&amp;"","?"))</f>
        <v/>
      </c>
      <c r="N4170" s="2">
        <f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>
        <f>IF(OR(F4170="",G4170=""),"",IF(G4170&lt;='RETRATO 2027'!$K$5,"CONCLUÍDA",IF(F4170&lt;='RETRATO 2027'!$K$5,"EM ANDAMENTO","A INICIAR")))</f>
        <v/>
      </c>
    </row>
    <row r="4171">
      <c r="M4171" s="2">
        <f>IF(C4171="","",IFERROR(INDEX($S$5:$S$304,MATCH(C4171,$R$5:$R$304,0))&amp;"","?"))</f>
        <v/>
      </c>
      <c r="N4171" s="2">
        <f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>
        <f>IF(OR(F4171="",G4171=""),"",IF(G4171&lt;='RETRATO 2027'!$K$5,"CONCLUÍDA",IF(F4171&lt;='RETRATO 2027'!$K$5,"EM ANDAMENTO","A INICIAR")))</f>
        <v/>
      </c>
    </row>
    <row r="4172">
      <c r="M4172" s="2">
        <f>IF(C4172="","",IFERROR(INDEX($S$5:$S$304,MATCH(C4172,$R$5:$R$304,0))&amp;"","?"))</f>
        <v/>
      </c>
      <c r="N4172" s="2">
        <f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>
        <f>IF(OR(F4172="",G4172=""),"",IF(G4172&lt;='RETRATO 2027'!$K$5,"CONCLUÍDA",IF(F4172&lt;='RETRATO 2027'!$K$5,"EM ANDAMENTO","A INICIAR")))</f>
        <v/>
      </c>
    </row>
    <row r="4173">
      <c r="M4173" s="2">
        <f>IF(C4173="","",IFERROR(INDEX($S$5:$S$304,MATCH(C4173,$R$5:$R$304,0))&amp;"","?"))</f>
        <v/>
      </c>
      <c r="N4173" s="2">
        <f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>
        <f>IF(OR(F4173="",G4173=""),"",IF(G4173&lt;='RETRATO 2027'!$K$5,"CONCLUÍDA",IF(F4173&lt;='RETRATO 2027'!$K$5,"EM ANDAMENTO","A INICIAR")))</f>
        <v/>
      </c>
    </row>
    <row r="4174">
      <c r="M4174" s="2">
        <f>IF(C4174="","",IFERROR(INDEX($S$5:$S$304,MATCH(C4174,$R$5:$R$304,0))&amp;"","?"))</f>
        <v/>
      </c>
      <c r="N4174" s="2">
        <f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>
        <f>IF(OR(F4174="",G4174=""),"",IF(G4174&lt;='RETRATO 2027'!$K$5,"CONCLUÍDA",IF(F4174&lt;='RETRATO 2027'!$K$5,"EM ANDAMENTO","A INICIAR")))</f>
        <v/>
      </c>
    </row>
    <row r="4175">
      <c r="M4175" s="2">
        <f>IF(C4175="","",IFERROR(INDEX($S$5:$S$304,MATCH(C4175,$R$5:$R$304,0))&amp;"","?"))</f>
        <v/>
      </c>
      <c r="N4175" s="2">
        <f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>
        <f>IF(OR(F4175="",G4175=""),"",IF(G4175&lt;='RETRATO 2027'!$K$5,"CONCLUÍDA",IF(F4175&lt;='RETRATO 2027'!$K$5,"EM ANDAMENTO","A INICIAR")))</f>
        <v/>
      </c>
    </row>
    <row r="4176">
      <c r="M4176" s="2">
        <f>IF(C4176="","",IFERROR(INDEX($S$5:$S$304,MATCH(C4176,$R$5:$R$304,0))&amp;"","?"))</f>
        <v/>
      </c>
      <c r="N4176" s="2">
        <f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>
        <f>IF(OR(F4176="",G4176=""),"",IF(G4176&lt;='RETRATO 2027'!$K$5,"CONCLUÍDA",IF(F4176&lt;='RETRATO 2027'!$K$5,"EM ANDAMENTO","A INICIAR")))</f>
        <v/>
      </c>
    </row>
    <row r="4177">
      <c r="M4177" s="2">
        <f>IF(C4177="","",IFERROR(INDEX($S$5:$S$304,MATCH(C4177,$R$5:$R$304,0))&amp;"","?"))</f>
        <v/>
      </c>
      <c r="N4177" s="2">
        <f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>
        <f>IF(OR(F4177="",G4177=""),"",IF(G4177&lt;='RETRATO 2027'!$K$5,"CONCLUÍDA",IF(F4177&lt;='RETRATO 2027'!$K$5,"EM ANDAMENTO","A INICIAR")))</f>
        <v/>
      </c>
    </row>
    <row r="4178">
      <c r="M4178" s="2">
        <f>IF(C4178="","",IFERROR(INDEX($S$5:$S$304,MATCH(C4178,$R$5:$R$304,0))&amp;"","?"))</f>
        <v/>
      </c>
      <c r="N4178" s="2">
        <f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>
        <f>IF(OR(F4178="",G4178=""),"",IF(G4178&lt;='RETRATO 2027'!$K$5,"CONCLUÍDA",IF(F4178&lt;='RETRATO 2027'!$K$5,"EM ANDAMENTO","A INICIAR")))</f>
        <v/>
      </c>
    </row>
    <row r="4179">
      <c r="M4179" s="2">
        <f>IF(C4179="","",IFERROR(INDEX($S$5:$S$304,MATCH(C4179,$R$5:$R$304,0))&amp;"","?"))</f>
        <v/>
      </c>
      <c r="N4179" s="2">
        <f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>
        <f>IF(OR(F4179="",G4179=""),"",IF(G4179&lt;='RETRATO 2027'!$K$5,"CONCLUÍDA",IF(F4179&lt;='RETRATO 2027'!$K$5,"EM ANDAMENTO","A INICIAR")))</f>
        <v/>
      </c>
    </row>
    <row r="4180">
      <c r="M4180" s="2">
        <f>IF(C4180="","",IFERROR(INDEX($S$5:$S$304,MATCH(C4180,$R$5:$R$304,0))&amp;"","?"))</f>
        <v/>
      </c>
      <c r="N4180" s="2">
        <f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>
        <f>IF(OR(F4180="",G4180=""),"",IF(G4180&lt;='RETRATO 2027'!$K$5,"CONCLUÍDA",IF(F4180&lt;='RETRATO 2027'!$K$5,"EM ANDAMENTO","A INICIAR")))</f>
        <v/>
      </c>
    </row>
    <row r="4181">
      <c r="M4181" s="2">
        <f>IF(C4181="","",IFERROR(INDEX($S$5:$S$304,MATCH(C4181,$R$5:$R$304,0))&amp;"","?"))</f>
        <v/>
      </c>
      <c r="N4181" s="2">
        <f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>
        <f>IF(OR(F4181="",G4181=""),"",IF(G4181&lt;='RETRATO 2027'!$K$5,"CONCLUÍDA",IF(F4181&lt;='RETRATO 2027'!$K$5,"EM ANDAMENTO","A INICIAR")))</f>
        <v/>
      </c>
    </row>
    <row r="4182">
      <c r="M4182" s="2">
        <f>IF(C4182="","",IFERROR(INDEX($S$5:$S$304,MATCH(C4182,$R$5:$R$304,0))&amp;"","?"))</f>
        <v/>
      </c>
      <c r="N4182" s="2">
        <f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>
        <f>IF(OR(F4182="",G4182=""),"",IF(G4182&lt;='RETRATO 2027'!$K$5,"CONCLUÍDA",IF(F4182&lt;='RETRATO 2027'!$K$5,"EM ANDAMENTO","A INICIAR")))</f>
        <v/>
      </c>
    </row>
    <row r="4183">
      <c r="M4183" s="2">
        <f>IF(C4183="","",IFERROR(INDEX($S$5:$S$304,MATCH(C4183,$R$5:$R$304,0))&amp;"","?"))</f>
        <v/>
      </c>
      <c r="N4183" s="2">
        <f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>
        <f>IF(OR(F4183="",G4183=""),"",IF(G4183&lt;='RETRATO 2027'!$K$5,"CONCLUÍDA",IF(F4183&lt;='RETRATO 2027'!$K$5,"EM ANDAMENTO","A INICIAR")))</f>
        <v/>
      </c>
    </row>
    <row r="4184">
      <c r="M4184" s="2">
        <f>IF(C4184="","",IFERROR(INDEX($S$5:$S$304,MATCH(C4184,$R$5:$R$304,0))&amp;"","?"))</f>
        <v/>
      </c>
      <c r="N4184" s="2">
        <f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>
        <f>IF(OR(F4184="",G4184=""),"",IF(G4184&lt;='RETRATO 2027'!$K$5,"CONCLUÍDA",IF(F4184&lt;='RETRATO 2027'!$K$5,"EM ANDAMENTO","A INICIAR")))</f>
        <v/>
      </c>
    </row>
    <row r="4185">
      <c r="M4185" s="2">
        <f>IF(C4185="","",IFERROR(INDEX($S$5:$S$304,MATCH(C4185,$R$5:$R$304,0))&amp;"","?"))</f>
        <v/>
      </c>
      <c r="N4185" s="2">
        <f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>
        <f>IF(OR(F4185="",G4185=""),"",IF(G4185&lt;='RETRATO 2027'!$K$5,"CONCLUÍDA",IF(F4185&lt;='RETRATO 2027'!$K$5,"EM ANDAMENTO","A INICIAR")))</f>
        <v/>
      </c>
    </row>
    <row r="4186">
      <c r="M4186" s="2">
        <f>IF(C4186="","",IFERROR(INDEX($S$5:$S$304,MATCH(C4186,$R$5:$R$304,0))&amp;"","?"))</f>
        <v/>
      </c>
      <c r="N4186" s="2">
        <f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>
        <f>IF(OR(F4186="",G4186=""),"",IF(G4186&lt;='RETRATO 2027'!$K$5,"CONCLUÍDA",IF(F4186&lt;='RETRATO 2027'!$K$5,"EM ANDAMENTO","A INICIAR")))</f>
        <v/>
      </c>
    </row>
    <row r="4187">
      <c r="M4187" s="2">
        <f>IF(C4187="","",IFERROR(INDEX($S$5:$S$304,MATCH(C4187,$R$5:$R$304,0))&amp;"","?"))</f>
        <v/>
      </c>
      <c r="N4187" s="2">
        <f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>
        <f>IF(OR(F4187="",G4187=""),"",IF(G4187&lt;='RETRATO 2027'!$K$5,"CONCLUÍDA",IF(F4187&lt;='RETRATO 2027'!$K$5,"EM ANDAMENTO","A INICIAR")))</f>
        <v/>
      </c>
    </row>
    <row r="4188">
      <c r="M4188" s="2">
        <f>IF(C4188="","",IFERROR(INDEX($S$5:$S$304,MATCH(C4188,$R$5:$R$304,0))&amp;"","?"))</f>
        <v/>
      </c>
      <c r="N4188" s="2">
        <f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>
        <f>IF(OR(F4188="",G4188=""),"",IF(G4188&lt;='RETRATO 2027'!$K$5,"CONCLUÍDA",IF(F4188&lt;='RETRATO 2027'!$K$5,"EM ANDAMENTO","A INICIAR")))</f>
        <v/>
      </c>
    </row>
    <row r="4189">
      <c r="M4189" s="2">
        <f>IF(C4189="","",IFERROR(INDEX($S$5:$S$304,MATCH(C4189,$R$5:$R$304,0))&amp;"","?"))</f>
        <v/>
      </c>
      <c r="N4189" s="2">
        <f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>
        <f>IF(OR(F4189="",G4189=""),"",IF(G4189&lt;='RETRATO 2027'!$K$5,"CONCLUÍDA",IF(F4189&lt;='RETRATO 2027'!$K$5,"EM ANDAMENTO","A INICIAR")))</f>
        <v/>
      </c>
    </row>
    <row r="4190">
      <c r="M4190" s="2">
        <f>IF(C4190="","",IFERROR(INDEX($S$5:$S$304,MATCH(C4190,$R$5:$R$304,0))&amp;"","?"))</f>
        <v/>
      </c>
      <c r="N4190" s="2">
        <f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>
        <f>IF(OR(F4190="",G4190=""),"",IF(G4190&lt;='RETRATO 2027'!$K$5,"CONCLUÍDA",IF(F4190&lt;='RETRATO 2027'!$K$5,"EM ANDAMENTO","A INICIAR")))</f>
        <v/>
      </c>
    </row>
    <row r="4191">
      <c r="M4191" s="2">
        <f>IF(C4191="","",IFERROR(INDEX($S$5:$S$304,MATCH(C4191,$R$5:$R$304,0))&amp;"","?"))</f>
        <v/>
      </c>
      <c r="N4191" s="2">
        <f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>
        <f>IF(OR(F4191="",G4191=""),"",IF(G4191&lt;='RETRATO 2027'!$K$5,"CONCLUÍDA",IF(F4191&lt;='RETRATO 2027'!$K$5,"EM ANDAMENTO","A INICIAR")))</f>
        <v/>
      </c>
    </row>
    <row r="4192">
      <c r="M4192" s="2">
        <f>IF(C4192="","",IFERROR(INDEX($S$5:$S$304,MATCH(C4192,$R$5:$R$304,0))&amp;"","?"))</f>
        <v/>
      </c>
      <c r="N4192" s="2">
        <f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>
        <f>IF(OR(F4192="",G4192=""),"",IF(G4192&lt;='RETRATO 2027'!$K$5,"CONCLUÍDA",IF(F4192&lt;='RETRATO 2027'!$K$5,"EM ANDAMENTO","A INICIAR")))</f>
        <v/>
      </c>
    </row>
    <row r="4193">
      <c r="M4193" s="2">
        <f>IF(C4193="","",IFERROR(INDEX($S$5:$S$304,MATCH(C4193,$R$5:$R$304,0))&amp;"","?"))</f>
        <v/>
      </c>
      <c r="N4193" s="2">
        <f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>
        <f>IF(OR(F4193="",G4193=""),"",IF(G4193&lt;='RETRATO 2027'!$K$5,"CONCLUÍDA",IF(F4193&lt;='RETRATO 2027'!$K$5,"EM ANDAMENTO","A INICIAR")))</f>
        <v/>
      </c>
    </row>
    <row r="4194">
      <c r="M4194" s="2">
        <f>IF(C4194="","",IFERROR(INDEX($S$5:$S$304,MATCH(C4194,$R$5:$R$304,0))&amp;"","?"))</f>
        <v/>
      </c>
      <c r="N4194" s="2">
        <f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>
        <f>IF(OR(F4194="",G4194=""),"",IF(G4194&lt;='RETRATO 2027'!$K$5,"CONCLUÍDA",IF(F4194&lt;='RETRATO 2027'!$K$5,"EM ANDAMENTO","A INICIAR")))</f>
        <v/>
      </c>
    </row>
    <row r="4195">
      <c r="M4195" s="2">
        <f>IF(C4195="","",IFERROR(INDEX($S$5:$S$304,MATCH(C4195,$R$5:$R$304,0))&amp;"","?"))</f>
        <v/>
      </c>
      <c r="N4195" s="2">
        <f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>
        <f>IF(OR(F4195="",G4195=""),"",IF(G4195&lt;='RETRATO 2027'!$K$5,"CONCLUÍDA",IF(F4195&lt;='RETRATO 2027'!$K$5,"EM ANDAMENTO","A INICIAR")))</f>
        <v/>
      </c>
    </row>
    <row r="4196">
      <c r="M4196" s="2">
        <f>IF(C4196="","",IFERROR(INDEX($S$5:$S$304,MATCH(C4196,$R$5:$R$304,0))&amp;"","?"))</f>
        <v/>
      </c>
      <c r="N4196" s="2">
        <f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>
        <f>IF(OR(F4196="",G4196=""),"",IF(G4196&lt;='RETRATO 2027'!$K$5,"CONCLUÍDA",IF(F4196&lt;='RETRATO 2027'!$K$5,"EM ANDAMENTO","A INICIAR")))</f>
        <v/>
      </c>
    </row>
    <row r="4197">
      <c r="M4197" s="2">
        <f>IF(C4197="","",IFERROR(INDEX($S$5:$S$304,MATCH(C4197,$R$5:$R$304,0))&amp;"","?"))</f>
        <v/>
      </c>
      <c r="N4197" s="2">
        <f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>
        <f>IF(OR(F4197="",G4197=""),"",IF(G4197&lt;='RETRATO 2027'!$K$5,"CONCLUÍDA",IF(F4197&lt;='RETRATO 2027'!$K$5,"EM ANDAMENTO","A INICIAR")))</f>
        <v/>
      </c>
    </row>
    <row r="4198">
      <c r="M4198" s="2">
        <f>IF(C4198="","",IFERROR(INDEX($S$5:$S$304,MATCH(C4198,$R$5:$R$304,0))&amp;"","?"))</f>
        <v/>
      </c>
      <c r="N4198" s="2">
        <f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>
        <f>IF(OR(F4198="",G4198=""),"",IF(G4198&lt;='RETRATO 2027'!$K$5,"CONCLUÍDA",IF(F4198&lt;='RETRATO 2027'!$K$5,"EM ANDAMENTO","A INICIAR")))</f>
        <v/>
      </c>
    </row>
    <row r="4199">
      <c r="M4199" s="2">
        <f>IF(C4199="","",IFERROR(INDEX($S$5:$S$304,MATCH(C4199,$R$5:$R$304,0))&amp;"","?"))</f>
        <v/>
      </c>
      <c r="N4199" s="2">
        <f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>
        <f>IF(OR(F4199="",G4199=""),"",IF(G4199&lt;='RETRATO 2027'!$K$5,"CONCLUÍDA",IF(F4199&lt;='RETRATO 2027'!$K$5,"EM ANDAMENTO","A INICIAR")))</f>
        <v/>
      </c>
    </row>
    <row r="4200">
      <c r="M4200" s="2">
        <f>IF(C4200="","",IFERROR(INDEX($S$5:$S$304,MATCH(C4200,$R$5:$R$304,0))&amp;"","?"))</f>
        <v/>
      </c>
      <c r="N4200" s="2">
        <f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>
        <f>IF(OR(F4200="",G4200=""),"",IF(G4200&lt;='RETRATO 2027'!$K$5,"CONCLUÍDA",IF(F4200&lt;='RETRATO 2027'!$K$5,"EM ANDAMENTO","A INICIAR")))</f>
        <v/>
      </c>
    </row>
    <row r="4201">
      <c r="M4201" s="2">
        <f>IF(C4201="","",IFERROR(INDEX($S$5:$S$304,MATCH(C4201,$R$5:$R$304,0))&amp;"","?"))</f>
        <v/>
      </c>
      <c r="N4201" s="2">
        <f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>
        <f>IF(OR(F4201="",G4201=""),"",IF(G4201&lt;='RETRATO 2027'!$K$5,"CONCLUÍDA",IF(F4201&lt;='RETRATO 2027'!$K$5,"EM ANDAMENTO","A INICIAR")))</f>
        <v/>
      </c>
    </row>
    <row r="4202">
      <c r="M4202" s="2">
        <f>IF(C4202="","",IFERROR(INDEX($S$5:$S$304,MATCH(C4202,$R$5:$R$304,0))&amp;"","?"))</f>
        <v/>
      </c>
      <c r="N4202" s="2">
        <f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>
        <f>IF(OR(F4202="",G4202=""),"",IF(G4202&lt;='RETRATO 2027'!$K$5,"CONCLUÍDA",IF(F4202&lt;='RETRATO 2027'!$K$5,"EM ANDAMENTO","A INICIAR")))</f>
        <v/>
      </c>
    </row>
    <row r="4203">
      <c r="M4203" s="2">
        <f>IF(C4203="","",IFERROR(INDEX($S$5:$S$304,MATCH(C4203,$R$5:$R$304,0))&amp;"","?"))</f>
        <v/>
      </c>
      <c r="N4203" s="2">
        <f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>
        <f>IF(OR(F4203="",G4203=""),"",IF(G4203&lt;='RETRATO 2027'!$K$5,"CONCLUÍDA",IF(F4203&lt;='RETRATO 2027'!$K$5,"EM ANDAMENTO","A INICIAR")))</f>
        <v/>
      </c>
    </row>
    <row r="4204">
      <c r="M4204" s="2">
        <f>IF(C4204="","",IFERROR(INDEX($S$5:$S$304,MATCH(C4204,$R$5:$R$304,0))&amp;"","?"))</f>
        <v/>
      </c>
      <c r="N4204" s="2">
        <f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>
        <f>IF(OR(F4204="",G4204=""),"",IF(G4204&lt;='RETRATO 2027'!$K$5,"CONCLUÍDA",IF(F4204&lt;='RETRATO 2027'!$K$5,"EM ANDAMENTO","A INICIAR")))</f>
        <v/>
      </c>
    </row>
    <row r="4205">
      <c r="M4205" s="2">
        <f>IF(C4205="","",IFERROR(INDEX($S$5:$S$304,MATCH(C4205,$R$5:$R$304,0))&amp;"","?"))</f>
        <v/>
      </c>
      <c r="N4205" s="2">
        <f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>
        <f>IF(OR(F4205="",G4205=""),"",IF(G4205&lt;='RETRATO 2027'!$K$5,"CONCLUÍDA",IF(F4205&lt;='RETRATO 2027'!$K$5,"EM ANDAMENTO","A INICIAR")))</f>
        <v/>
      </c>
    </row>
    <row r="4206">
      <c r="M4206" s="2">
        <f>IF(C4206="","",IFERROR(INDEX($S$5:$S$304,MATCH(C4206,$R$5:$R$304,0))&amp;"","?"))</f>
        <v/>
      </c>
      <c r="N4206" s="2">
        <f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>
        <f>IF(OR(F4206="",G4206=""),"",IF(G4206&lt;='RETRATO 2027'!$K$5,"CONCLUÍDA",IF(F4206&lt;='RETRATO 2027'!$K$5,"EM ANDAMENTO","A INICIAR")))</f>
        <v/>
      </c>
    </row>
    <row r="4207">
      <c r="M4207" s="2">
        <f>IF(C4207="","",IFERROR(INDEX($S$5:$S$304,MATCH(C4207,$R$5:$R$304,0))&amp;"","?"))</f>
        <v/>
      </c>
      <c r="N4207" s="2">
        <f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>
        <f>IF(OR(F4207="",G4207=""),"",IF(G4207&lt;='RETRATO 2027'!$K$5,"CONCLUÍDA",IF(F4207&lt;='RETRATO 2027'!$K$5,"EM ANDAMENTO","A INICIAR")))</f>
        <v/>
      </c>
    </row>
    <row r="4208">
      <c r="M4208" s="2">
        <f>IF(C4208="","",IFERROR(INDEX($S$5:$S$304,MATCH(C4208,$R$5:$R$304,0))&amp;"","?"))</f>
        <v/>
      </c>
      <c r="N4208" s="2">
        <f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>
        <f>IF(OR(F4208="",G4208=""),"",IF(G4208&lt;='RETRATO 2027'!$K$5,"CONCLUÍDA",IF(F4208&lt;='RETRATO 2027'!$K$5,"EM ANDAMENTO","A INICIAR")))</f>
        <v/>
      </c>
    </row>
    <row r="4209">
      <c r="M4209" s="2">
        <f>IF(C4209="","",IFERROR(INDEX($S$5:$S$304,MATCH(C4209,$R$5:$R$304,0))&amp;"","?"))</f>
        <v/>
      </c>
      <c r="N4209" s="2">
        <f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>
        <f>IF(OR(F4209="",G4209=""),"",IF(G4209&lt;='RETRATO 2027'!$K$5,"CONCLUÍDA",IF(F4209&lt;='RETRATO 2027'!$K$5,"EM ANDAMENTO","A INICIAR")))</f>
        <v/>
      </c>
    </row>
    <row r="4210">
      <c r="M4210" s="2">
        <f>IF(C4210="","",IFERROR(INDEX($S$5:$S$304,MATCH(C4210,$R$5:$R$304,0))&amp;"","?"))</f>
        <v/>
      </c>
      <c r="N4210" s="2">
        <f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>
        <f>IF(OR(F4210="",G4210=""),"",IF(G4210&lt;='RETRATO 2027'!$K$5,"CONCLUÍDA",IF(F4210&lt;='RETRATO 2027'!$K$5,"EM ANDAMENTO","A INICIAR")))</f>
        <v/>
      </c>
    </row>
    <row r="4211">
      <c r="M4211" s="2">
        <f>IF(C4211="","",IFERROR(INDEX($S$5:$S$304,MATCH(C4211,$R$5:$R$304,0))&amp;"","?"))</f>
        <v/>
      </c>
      <c r="N4211" s="2">
        <f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>
        <f>IF(OR(F4211="",G4211=""),"",IF(G4211&lt;='RETRATO 2027'!$K$5,"CONCLUÍDA",IF(F4211&lt;='RETRATO 2027'!$K$5,"EM ANDAMENTO","A INICIAR")))</f>
        <v/>
      </c>
    </row>
    <row r="4212">
      <c r="M4212" s="2">
        <f>IF(C4212="","",IFERROR(INDEX($S$5:$S$304,MATCH(C4212,$R$5:$R$304,0))&amp;"","?"))</f>
        <v/>
      </c>
      <c r="N4212" s="2">
        <f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>
        <f>IF(OR(F4212="",G4212=""),"",IF(G4212&lt;='RETRATO 2027'!$K$5,"CONCLUÍDA",IF(F4212&lt;='RETRATO 2027'!$K$5,"EM ANDAMENTO","A INICIAR")))</f>
        <v/>
      </c>
    </row>
    <row r="4213">
      <c r="M4213" s="2">
        <f>IF(C4213="","",IFERROR(INDEX($S$5:$S$304,MATCH(C4213,$R$5:$R$304,0))&amp;"","?"))</f>
        <v/>
      </c>
      <c r="N4213" s="2">
        <f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>
        <f>IF(OR(F4213="",G4213=""),"",IF(G4213&lt;='RETRATO 2027'!$K$5,"CONCLUÍDA",IF(F4213&lt;='RETRATO 2027'!$K$5,"EM ANDAMENTO","A INICIAR")))</f>
        <v/>
      </c>
    </row>
    <row r="4214">
      <c r="M4214" s="2">
        <f>IF(C4214="","",IFERROR(INDEX($S$5:$S$304,MATCH(C4214,$R$5:$R$304,0))&amp;"","?"))</f>
        <v/>
      </c>
      <c r="N4214" s="2">
        <f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>
        <f>IF(OR(F4214="",G4214=""),"",IF(G4214&lt;='RETRATO 2027'!$K$5,"CONCLUÍDA",IF(F4214&lt;='RETRATO 2027'!$K$5,"EM ANDAMENTO","A INICIAR")))</f>
        <v/>
      </c>
    </row>
    <row r="4215">
      <c r="M4215" s="2">
        <f>IF(C4215="","",IFERROR(INDEX($S$5:$S$304,MATCH(C4215,$R$5:$R$304,0))&amp;"","?"))</f>
        <v/>
      </c>
      <c r="N4215" s="2">
        <f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>
        <f>IF(OR(F4215="",G4215=""),"",IF(G4215&lt;='RETRATO 2027'!$K$5,"CONCLUÍDA",IF(F4215&lt;='RETRATO 2027'!$K$5,"EM ANDAMENTO","A INICIAR")))</f>
        <v/>
      </c>
    </row>
    <row r="4216">
      <c r="M4216" s="2">
        <f>IF(C4216="","",IFERROR(INDEX($S$5:$S$304,MATCH(C4216,$R$5:$R$304,0))&amp;"","?"))</f>
        <v/>
      </c>
      <c r="N4216" s="2">
        <f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>
        <f>IF(OR(F4216="",G4216=""),"",IF(G4216&lt;='RETRATO 2027'!$K$5,"CONCLUÍDA",IF(F4216&lt;='RETRATO 2027'!$K$5,"EM ANDAMENTO","A INICIAR")))</f>
        <v/>
      </c>
    </row>
    <row r="4217">
      <c r="M4217" s="2">
        <f>IF(C4217="","",IFERROR(INDEX($S$5:$S$304,MATCH(C4217,$R$5:$R$304,0))&amp;"","?"))</f>
        <v/>
      </c>
      <c r="N4217" s="2">
        <f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>
        <f>IF(OR(F4217="",G4217=""),"",IF(G4217&lt;='RETRATO 2027'!$K$5,"CONCLUÍDA",IF(F4217&lt;='RETRATO 2027'!$K$5,"EM ANDAMENTO","A INICIAR")))</f>
        <v/>
      </c>
    </row>
    <row r="4218">
      <c r="M4218" s="2">
        <f>IF(C4218="","",IFERROR(INDEX($S$5:$S$304,MATCH(C4218,$R$5:$R$304,0))&amp;"","?"))</f>
        <v/>
      </c>
      <c r="N4218" s="2">
        <f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>
        <f>IF(OR(F4218="",G4218=""),"",IF(G4218&lt;='RETRATO 2027'!$K$5,"CONCLUÍDA",IF(F4218&lt;='RETRATO 2027'!$K$5,"EM ANDAMENTO","A INICIAR")))</f>
        <v/>
      </c>
    </row>
    <row r="4219">
      <c r="M4219" s="2">
        <f>IF(C4219="","",IFERROR(INDEX($S$5:$S$304,MATCH(C4219,$R$5:$R$304,0))&amp;"","?"))</f>
        <v/>
      </c>
      <c r="N4219" s="2">
        <f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>
        <f>IF(OR(F4219="",G4219=""),"",IF(G4219&lt;='RETRATO 2027'!$K$5,"CONCLUÍDA",IF(F4219&lt;='RETRATO 2027'!$K$5,"EM ANDAMENTO","A INICIAR")))</f>
        <v/>
      </c>
    </row>
    <row r="4220">
      <c r="M4220" s="2">
        <f>IF(C4220="","",IFERROR(INDEX($S$5:$S$304,MATCH(C4220,$R$5:$R$304,0))&amp;"","?"))</f>
        <v/>
      </c>
      <c r="N4220" s="2">
        <f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>
        <f>IF(OR(F4220="",G4220=""),"",IF(G4220&lt;='RETRATO 2027'!$K$5,"CONCLUÍDA",IF(F4220&lt;='RETRATO 2027'!$K$5,"EM ANDAMENTO","A INICIAR")))</f>
        <v/>
      </c>
    </row>
    <row r="4221">
      <c r="M4221" s="2">
        <f>IF(C4221="","",IFERROR(INDEX($S$5:$S$304,MATCH(C4221,$R$5:$R$304,0))&amp;"","?"))</f>
        <v/>
      </c>
      <c r="N4221" s="2">
        <f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>
        <f>IF(OR(F4221="",G4221=""),"",IF(G4221&lt;='RETRATO 2027'!$K$5,"CONCLUÍDA",IF(F4221&lt;='RETRATO 2027'!$K$5,"EM ANDAMENTO","A INICIAR")))</f>
        <v/>
      </c>
    </row>
    <row r="4222">
      <c r="M4222" s="2">
        <f>IF(C4222="","",IFERROR(INDEX($S$5:$S$304,MATCH(C4222,$R$5:$R$304,0))&amp;"","?"))</f>
        <v/>
      </c>
      <c r="N4222" s="2">
        <f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>
        <f>IF(OR(F4222="",G4222=""),"",IF(G4222&lt;='RETRATO 2027'!$K$5,"CONCLUÍDA",IF(F4222&lt;='RETRATO 2027'!$K$5,"EM ANDAMENTO","A INICIAR")))</f>
        <v/>
      </c>
    </row>
    <row r="4223">
      <c r="M4223" s="2">
        <f>IF(C4223="","",IFERROR(INDEX($S$5:$S$304,MATCH(C4223,$R$5:$R$304,0))&amp;"","?"))</f>
        <v/>
      </c>
      <c r="N4223" s="2">
        <f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>
        <f>IF(OR(F4223="",G4223=""),"",IF(G4223&lt;='RETRATO 2027'!$K$5,"CONCLUÍDA",IF(F4223&lt;='RETRATO 2027'!$K$5,"EM ANDAMENTO","A INICIAR")))</f>
        <v/>
      </c>
    </row>
    <row r="4224">
      <c r="M4224" s="2">
        <f>IF(C4224="","",IFERROR(INDEX($S$5:$S$304,MATCH(C4224,$R$5:$R$304,0))&amp;"","?"))</f>
        <v/>
      </c>
      <c r="N4224" s="2">
        <f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>
        <f>IF(OR(F4224="",G4224=""),"",IF(G4224&lt;='RETRATO 2027'!$K$5,"CONCLUÍDA",IF(F4224&lt;='RETRATO 2027'!$K$5,"EM ANDAMENTO","A INICIAR")))</f>
        <v/>
      </c>
    </row>
    <row r="4225">
      <c r="M4225" s="2">
        <f>IF(C4225="","",IFERROR(INDEX($S$5:$S$304,MATCH(C4225,$R$5:$R$304,0))&amp;"","?"))</f>
        <v/>
      </c>
      <c r="N4225" s="2">
        <f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>
        <f>IF(OR(F4225="",G4225=""),"",IF(G4225&lt;='RETRATO 2027'!$K$5,"CONCLUÍDA",IF(F4225&lt;='RETRATO 2027'!$K$5,"EM ANDAMENTO","A INICIAR")))</f>
        <v/>
      </c>
    </row>
    <row r="4226">
      <c r="M4226" s="2">
        <f>IF(C4226="","",IFERROR(INDEX($S$5:$S$304,MATCH(C4226,$R$5:$R$304,0))&amp;"","?"))</f>
        <v/>
      </c>
      <c r="N4226" s="2">
        <f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>
        <f>IF(OR(F4226="",G4226=""),"",IF(G4226&lt;='RETRATO 2027'!$K$5,"CONCLUÍDA",IF(F4226&lt;='RETRATO 2027'!$K$5,"EM ANDAMENTO","A INICIAR")))</f>
        <v/>
      </c>
    </row>
    <row r="4227">
      <c r="M4227" s="2">
        <f>IF(C4227="","",IFERROR(INDEX($S$5:$S$304,MATCH(C4227,$R$5:$R$304,0))&amp;"","?"))</f>
        <v/>
      </c>
      <c r="N4227" s="2">
        <f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>
        <f>IF(OR(F4227="",G4227=""),"",IF(G4227&lt;='RETRATO 2027'!$K$5,"CONCLUÍDA",IF(F4227&lt;='RETRATO 2027'!$K$5,"EM ANDAMENTO","A INICIAR")))</f>
        <v/>
      </c>
    </row>
    <row r="4228">
      <c r="M4228" s="2">
        <f>IF(C4228="","",IFERROR(INDEX($S$5:$S$304,MATCH(C4228,$R$5:$R$304,0))&amp;"","?"))</f>
        <v/>
      </c>
      <c r="N4228" s="2">
        <f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>
        <f>IF(OR(F4228="",G4228=""),"",IF(G4228&lt;='RETRATO 2027'!$K$5,"CONCLUÍDA",IF(F4228&lt;='RETRATO 2027'!$K$5,"EM ANDAMENTO","A INICIAR")))</f>
        <v/>
      </c>
    </row>
    <row r="4229">
      <c r="M4229" s="2">
        <f>IF(C4229="","",IFERROR(INDEX($S$5:$S$304,MATCH(C4229,$R$5:$R$304,0))&amp;"","?"))</f>
        <v/>
      </c>
      <c r="N4229" s="2">
        <f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>
        <f>IF(OR(F4229="",G4229=""),"",IF(G4229&lt;='RETRATO 2027'!$K$5,"CONCLUÍDA",IF(F4229&lt;='RETRATO 2027'!$K$5,"EM ANDAMENTO","A INICIAR")))</f>
        <v/>
      </c>
    </row>
    <row r="4230">
      <c r="M4230" s="2">
        <f>IF(C4230="","",IFERROR(INDEX($S$5:$S$304,MATCH(C4230,$R$5:$R$304,0))&amp;"","?"))</f>
        <v/>
      </c>
      <c r="N4230" s="2">
        <f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>
        <f>IF(OR(F4230="",G4230=""),"",IF(G4230&lt;='RETRATO 2027'!$K$5,"CONCLUÍDA",IF(F4230&lt;='RETRATO 2027'!$K$5,"EM ANDAMENTO","A INICIAR")))</f>
        <v/>
      </c>
    </row>
    <row r="4231">
      <c r="M4231" s="2">
        <f>IF(C4231="","",IFERROR(INDEX($S$5:$S$304,MATCH(C4231,$R$5:$R$304,0))&amp;"","?"))</f>
        <v/>
      </c>
      <c r="N4231" s="2">
        <f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>
        <f>IF(OR(F4231="",G4231=""),"",IF(G4231&lt;='RETRATO 2027'!$K$5,"CONCLUÍDA",IF(F4231&lt;='RETRATO 2027'!$K$5,"EM ANDAMENTO","A INICIAR")))</f>
        <v/>
      </c>
    </row>
    <row r="4232">
      <c r="M4232" s="2">
        <f>IF(C4232="","",IFERROR(INDEX($S$5:$S$304,MATCH(C4232,$R$5:$R$304,0))&amp;"","?"))</f>
        <v/>
      </c>
      <c r="N4232" s="2">
        <f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>
        <f>IF(OR(F4232="",G4232=""),"",IF(G4232&lt;='RETRATO 2027'!$K$5,"CONCLUÍDA",IF(F4232&lt;='RETRATO 2027'!$K$5,"EM ANDAMENTO","A INICIAR")))</f>
        <v/>
      </c>
    </row>
    <row r="4233">
      <c r="M4233" s="2">
        <f>IF(C4233="","",IFERROR(INDEX($S$5:$S$304,MATCH(C4233,$R$5:$R$304,0))&amp;"","?"))</f>
        <v/>
      </c>
      <c r="N4233" s="2">
        <f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>
        <f>IF(OR(F4233="",G4233=""),"",IF(G4233&lt;='RETRATO 2027'!$K$5,"CONCLUÍDA",IF(F4233&lt;='RETRATO 2027'!$K$5,"EM ANDAMENTO","A INICIAR")))</f>
        <v/>
      </c>
    </row>
    <row r="4234">
      <c r="M4234" s="2">
        <f>IF(C4234="","",IFERROR(INDEX($S$5:$S$304,MATCH(C4234,$R$5:$R$304,0))&amp;"","?"))</f>
        <v/>
      </c>
      <c r="N4234" s="2">
        <f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>
        <f>IF(OR(F4234="",G4234=""),"",IF(G4234&lt;='RETRATO 2027'!$K$5,"CONCLUÍDA",IF(F4234&lt;='RETRATO 2027'!$K$5,"EM ANDAMENTO","A INICIAR")))</f>
        <v/>
      </c>
    </row>
    <row r="4235">
      <c r="M4235" s="2">
        <f>IF(C4235="","",IFERROR(INDEX($S$5:$S$304,MATCH(C4235,$R$5:$R$304,0))&amp;"","?"))</f>
        <v/>
      </c>
      <c r="N4235" s="2">
        <f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>
        <f>IF(OR(F4235="",G4235=""),"",IF(G4235&lt;='RETRATO 2027'!$K$5,"CONCLUÍDA",IF(F4235&lt;='RETRATO 2027'!$K$5,"EM ANDAMENTO","A INICIAR")))</f>
        <v/>
      </c>
    </row>
    <row r="4236">
      <c r="M4236" s="2">
        <f>IF(C4236="","",IFERROR(INDEX($S$5:$S$304,MATCH(C4236,$R$5:$R$304,0))&amp;"","?"))</f>
        <v/>
      </c>
      <c r="N4236" s="2">
        <f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>
        <f>IF(OR(F4236="",G4236=""),"",IF(G4236&lt;='RETRATO 2027'!$K$5,"CONCLUÍDA",IF(F4236&lt;='RETRATO 2027'!$K$5,"EM ANDAMENTO","A INICIAR")))</f>
        <v/>
      </c>
    </row>
    <row r="4237">
      <c r="M4237" s="2">
        <f>IF(C4237="","",IFERROR(INDEX($S$5:$S$304,MATCH(C4237,$R$5:$R$304,0))&amp;"","?"))</f>
        <v/>
      </c>
      <c r="N4237" s="2">
        <f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>
        <f>IF(OR(F4237="",G4237=""),"",IF(G4237&lt;='RETRATO 2027'!$K$5,"CONCLUÍDA",IF(F4237&lt;='RETRATO 2027'!$K$5,"EM ANDAMENTO","A INICIAR")))</f>
        <v/>
      </c>
    </row>
    <row r="4238">
      <c r="M4238" s="2">
        <f>IF(C4238="","",IFERROR(INDEX($S$5:$S$304,MATCH(C4238,$R$5:$R$304,0))&amp;"","?"))</f>
        <v/>
      </c>
      <c r="N4238" s="2">
        <f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>
        <f>IF(OR(F4238="",G4238=""),"",IF(G4238&lt;='RETRATO 2027'!$K$5,"CONCLUÍDA",IF(F4238&lt;='RETRATO 2027'!$K$5,"EM ANDAMENTO","A INICIAR")))</f>
        <v/>
      </c>
    </row>
    <row r="4239">
      <c r="M4239" s="2">
        <f>IF(C4239="","",IFERROR(INDEX($S$5:$S$304,MATCH(C4239,$R$5:$R$304,0))&amp;"","?"))</f>
        <v/>
      </c>
      <c r="N4239" s="2">
        <f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>
        <f>IF(OR(F4239="",G4239=""),"",IF(G4239&lt;='RETRATO 2027'!$K$5,"CONCLUÍDA",IF(F4239&lt;='RETRATO 2027'!$K$5,"EM ANDAMENTO","A INICIAR")))</f>
        <v/>
      </c>
    </row>
    <row r="4240">
      <c r="M4240" s="2">
        <f>IF(C4240="","",IFERROR(INDEX($S$5:$S$304,MATCH(C4240,$R$5:$R$304,0))&amp;"","?"))</f>
        <v/>
      </c>
      <c r="N4240" s="2">
        <f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>
        <f>IF(OR(F4240="",G4240=""),"",IF(G4240&lt;='RETRATO 2027'!$K$5,"CONCLUÍDA",IF(F4240&lt;='RETRATO 2027'!$K$5,"EM ANDAMENTO","A INICIAR")))</f>
        <v/>
      </c>
    </row>
    <row r="4241">
      <c r="M4241" s="2">
        <f>IF(C4241="","",IFERROR(INDEX($S$5:$S$304,MATCH(C4241,$R$5:$R$304,0))&amp;"","?"))</f>
        <v/>
      </c>
      <c r="N4241" s="2">
        <f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>
        <f>IF(OR(F4241="",G4241=""),"",IF(G4241&lt;='RETRATO 2027'!$K$5,"CONCLUÍDA",IF(F4241&lt;='RETRATO 2027'!$K$5,"EM ANDAMENTO","A INICIAR")))</f>
        <v/>
      </c>
    </row>
    <row r="4242">
      <c r="M4242" s="2">
        <f>IF(C4242="","",IFERROR(INDEX($S$5:$S$304,MATCH(C4242,$R$5:$R$304,0))&amp;"","?"))</f>
        <v/>
      </c>
      <c r="N4242" s="2">
        <f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>
        <f>IF(OR(F4242="",G4242=""),"",IF(G4242&lt;='RETRATO 2027'!$K$5,"CONCLUÍDA",IF(F4242&lt;='RETRATO 2027'!$K$5,"EM ANDAMENTO","A INICIAR")))</f>
        <v/>
      </c>
    </row>
    <row r="4243">
      <c r="M4243" s="2">
        <f>IF(C4243="","",IFERROR(INDEX($S$5:$S$304,MATCH(C4243,$R$5:$R$304,0))&amp;"","?"))</f>
        <v/>
      </c>
      <c r="N4243" s="2">
        <f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>
        <f>IF(OR(F4243="",G4243=""),"",IF(G4243&lt;='RETRATO 2027'!$K$5,"CONCLUÍDA",IF(F4243&lt;='RETRATO 2027'!$K$5,"EM ANDAMENTO","A INICIAR")))</f>
        <v/>
      </c>
    </row>
    <row r="4244">
      <c r="M4244" s="2">
        <f>IF(C4244="","",IFERROR(INDEX($S$5:$S$304,MATCH(C4244,$R$5:$R$304,0))&amp;"","?"))</f>
        <v/>
      </c>
      <c r="N4244" s="2">
        <f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>
        <f>IF(OR(F4244="",G4244=""),"",IF(G4244&lt;='RETRATO 2027'!$K$5,"CONCLUÍDA",IF(F4244&lt;='RETRATO 2027'!$K$5,"EM ANDAMENTO","A INICIAR")))</f>
        <v/>
      </c>
    </row>
    <row r="4245">
      <c r="M4245" s="2">
        <f>IF(C4245="","",IFERROR(INDEX($S$5:$S$304,MATCH(C4245,$R$5:$R$304,0))&amp;"","?"))</f>
        <v/>
      </c>
      <c r="N4245" s="2">
        <f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>
        <f>IF(OR(F4245="",G4245=""),"",IF(G4245&lt;='RETRATO 2027'!$K$5,"CONCLUÍDA",IF(F4245&lt;='RETRATO 2027'!$K$5,"EM ANDAMENTO","A INICIAR")))</f>
        <v/>
      </c>
    </row>
    <row r="4246">
      <c r="M4246" s="2">
        <f>IF(C4246="","",IFERROR(INDEX($S$5:$S$304,MATCH(C4246,$R$5:$R$304,0))&amp;"","?"))</f>
        <v/>
      </c>
      <c r="N4246" s="2">
        <f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>
        <f>IF(OR(F4246="",G4246=""),"",IF(G4246&lt;='RETRATO 2027'!$K$5,"CONCLUÍDA",IF(F4246&lt;='RETRATO 2027'!$K$5,"EM ANDAMENTO","A INICIAR")))</f>
        <v/>
      </c>
    </row>
    <row r="4247">
      <c r="M4247" s="2">
        <f>IF(C4247="","",IFERROR(INDEX($S$5:$S$304,MATCH(C4247,$R$5:$R$304,0))&amp;"","?"))</f>
        <v/>
      </c>
      <c r="N4247" s="2">
        <f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>
        <f>IF(OR(F4247="",G4247=""),"",IF(G4247&lt;='RETRATO 2027'!$K$5,"CONCLUÍDA",IF(F4247&lt;='RETRATO 2027'!$K$5,"EM ANDAMENTO","A INICIAR")))</f>
        <v/>
      </c>
    </row>
    <row r="4248">
      <c r="M4248" s="2">
        <f>IF(C4248="","",IFERROR(INDEX($S$5:$S$304,MATCH(C4248,$R$5:$R$304,0))&amp;"","?"))</f>
        <v/>
      </c>
      <c r="N4248" s="2">
        <f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>
        <f>IF(OR(F4248="",G4248=""),"",IF(G4248&lt;='RETRATO 2027'!$K$5,"CONCLUÍDA",IF(F4248&lt;='RETRATO 2027'!$K$5,"EM ANDAMENTO","A INICIAR")))</f>
        <v/>
      </c>
    </row>
    <row r="4249">
      <c r="M4249" s="2">
        <f>IF(C4249="","",IFERROR(INDEX($S$5:$S$304,MATCH(C4249,$R$5:$R$304,0))&amp;"","?"))</f>
        <v/>
      </c>
      <c r="N4249" s="2">
        <f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>
        <f>IF(OR(F4249="",G4249=""),"",IF(G4249&lt;='RETRATO 2027'!$K$5,"CONCLUÍDA",IF(F4249&lt;='RETRATO 2027'!$K$5,"EM ANDAMENTO","A INICIAR")))</f>
        <v/>
      </c>
    </row>
    <row r="4250">
      <c r="M4250" s="2">
        <f>IF(C4250="","",IFERROR(INDEX($S$5:$S$304,MATCH(C4250,$R$5:$R$304,0))&amp;"","?"))</f>
        <v/>
      </c>
      <c r="N4250" s="2">
        <f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>
        <f>IF(OR(F4250="",G4250=""),"",IF(G4250&lt;='RETRATO 2027'!$K$5,"CONCLUÍDA",IF(F4250&lt;='RETRATO 2027'!$K$5,"EM ANDAMENTO","A INICIAR")))</f>
        <v/>
      </c>
    </row>
    <row r="4251">
      <c r="M4251" s="2">
        <f>IF(C4251="","",IFERROR(INDEX($S$5:$S$304,MATCH(C4251,$R$5:$R$304,0))&amp;"","?"))</f>
        <v/>
      </c>
      <c r="N4251" s="2">
        <f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>
        <f>IF(OR(F4251="",G4251=""),"",IF(G4251&lt;='RETRATO 2027'!$K$5,"CONCLUÍDA",IF(F4251&lt;='RETRATO 2027'!$K$5,"EM ANDAMENTO","A INICIAR")))</f>
        <v/>
      </c>
    </row>
    <row r="4252">
      <c r="M4252" s="2">
        <f>IF(C4252="","",IFERROR(INDEX($S$5:$S$304,MATCH(C4252,$R$5:$R$304,0))&amp;"","?"))</f>
        <v/>
      </c>
      <c r="N4252" s="2">
        <f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>
        <f>IF(OR(F4252="",G4252=""),"",IF(G4252&lt;='RETRATO 2027'!$K$5,"CONCLUÍDA",IF(F4252&lt;='RETRATO 2027'!$K$5,"EM ANDAMENTO","A INICIAR")))</f>
        <v/>
      </c>
    </row>
    <row r="4253">
      <c r="M4253" s="2">
        <f>IF(C4253="","",IFERROR(INDEX($S$5:$S$304,MATCH(C4253,$R$5:$R$304,0))&amp;"","?"))</f>
        <v/>
      </c>
      <c r="N4253" s="2">
        <f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>
        <f>IF(OR(F4253="",G4253=""),"",IF(G4253&lt;='RETRATO 2027'!$K$5,"CONCLUÍDA",IF(F4253&lt;='RETRATO 2027'!$K$5,"EM ANDAMENTO","A INICIAR")))</f>
        <v/>
      </c>
    </row>
    <row r="4254">
      <c r="M4254" s="2">
        <f>IF(C4254="","",IFERROR(INDEX($S$5:$S$304,MATCH(C4254,$R$5:$R$304,0))&amp;"","?"))</f>
        <v/>
      </c>
      <c r="N4254" s="2">
        <f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>
        <f>IF(OR(F4254="",G4254=""),"",IF(G4254&lt;='RETRATO 2027'!$K$5,"CONCLUÍDA",IF(F4254&lt;='RETRATO 2027'!$K$5,"EM ANDAMENTO","A INICIAR")))</f>
        <v/>
      </c>
    </row>
    <row r="4255">
      <c r="M4255" s="2">
        <f>IF(C4255="","",IFERROR(INDEX($S$5:$S$304,MATCH(C4255,$R$5:$R$304,0))&amp;"","?"))</f>
        <v/>
      </c>
      <c r="N4255" s="2">
        <f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>
        <f>IF(OR(F4255="",G4255=""),"",IF(G4255&lt;='RETRATO 2027'!$K$5,"CONCLUÍDA",IF(F4255&lt;='RETRATO 2027'!$K$5,"EM ANDAMENTO","A INICIAR")))</f>
        <v/>
      </c>
    </row>
    <row r="4256">
      <c r="M4256" s="2">
        <f>IF(C4256="","",IFERROR(INDEX($S$5:$S$304,MATCH(C4256,$R$5:$R$304,0))&amp;"","?"))</f>
        <v/>
      </c>
      <c r="N4256" s="2">
        <f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>
        <f>IF(OR(F4256="",G4256=""),"",IF(G4256&lt;='RETRATO 2027'!$K$5,"CONCLUÍDA",IF(F4256&lt;='RETRATO 2027'!$K$5,"EM ANDAMENTO","A INICIAR")))</f>
        <v/>
      </c>
    </row>
    <row r="4257">
      <c r="M4257" s="2">
        <f>IF(C4257="","",IFERROR(INDEX($S$5:$S$304,MATCH(C4257,$R$5:$R$304,0))&amp;"","?"))</f>
        <v/>
      </c>
      <c r="N4257" s="2">
        <f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>
        <f>IF(OR(F4257="",G4257=""),"",IF(G4257&lt;='RETRATO 2027'!$K$5,"CONCLUÍDA",IF(F4257&lt;='RETRATO 2027'!$K$5,"EM ANDAMENTO","A INICIAR")))</f>
        <v/>
      </c>
    </row>
    <row r="4258">
      <c r="M4258" s="2">
        <f>IF(C4258="","",IFERROR(INDEX($S$5:$S$304,MATCH(C4258,$R$5:$R$304,0))&amp;"","?"))</f>
        <v/>
      </c>
      <c r="N4258" s="2">
        <f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>
        <f>IF(OR(F4258="",G4258=""),"",IF(G4258&lt;='RETRATO 2027'!$K$5,"CONCLUÍDA",IF(F4258&lt;='RETRATO 2027'!$K$5,"EM ANDAMENTO","A INICIAR")))</f>
        <v/>
      </c>
    </row>
    <row r="4259">
      <c r="M4259" s="2">
        <f>IF(C4259="","",IFERROR(INDEX($S$5:$S$304,MATCH(C4259,$R$5:$R$304,0))&amp;"","?"))</f>
        <v/>
      </c>
      <c r="N4259" s="2">
        <f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>
        <f>IF(OR(F4259="",G4259=""),"",IF(G4259&lt;='RETRATO 2027'!$K$5,"CONCLUÍDA",IF(F4259&lt;='RETRATO 2027'!$K$5,"EM ANDAMENTO","A INICIAR")))</f>
        <v/>
      </c>
    </row>
    <row r="4260">
      <c r="M4260" s="2">
        <f>IF(C4260="","",IFERROR(INDEX($S$5:$S$304,MATCH(C4260,$R$5:$R$304,0))&amp;"","?"))</f>
        <v/>
      </c>
      <c r="N4260" s="2">
        <f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>
        <f>IF(OR(F4260="",G4260=""),"",IF(G4260&lt;='RETRATO 2027'!$K$5,"CONCLUÍDA",IF(F4260&lt;='RETRATO 2027'!$K$5,"EM ANDAMENTO","A INICIAR")))</f>
        <v/>
      </c>
    </row>
    <row r="4261">
      <c r="M4261" s="2">
        <f>IF(C4261="","",IFERROR(INDEX($S$5:$S$304,MATCH(C4261,$R$5:$R$304,0))&amp;"","?"))</f>
        <v/>
      </c>
      <c r="N4261" s="2">
        <f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>
        <f>IF(OR(F4261="",G4261=""),"",IF(G4261&lt;='RETRATO 2027'!$K$5,"CONCLUÍDA",IF(F4261&lt;='RETRATO 2027'!$K$5,"EM ANDAMENTO","A INICIAR")))</f>
        <v/>
      </c>
    </row>
    <row r="4262">
      <c r="M4262" s="2">
        <f>IF(C4262="","",IFERROR(INDEX($S$5:$S$304,MATCH(C4262,$R$5:$R$304,0))&amp;"","?"))</f>
        <v/>
      </c>
      <c r="N4262" s="2">
        <f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>
        <f>IF(OR(F4262="",G4262=""),"",IF(G4262&lt;='RETRATO 2027'!$K$5,"CONCLUÍDA",IF(F4262&lt;='RETRATO 2027'!$K$5,"EM ANDAMENTO","A INICIAR")))</f>
        <v/>
      </c>
    </row>
    <row r="4263">
      <c r="M4263" s="2">
        <f>IF(C4263="","",IFERROR(INDEX($S$5:$S$304,MATCH(C4263,$R$5:$R$304,0))&amp;"","?"))</f>
        <v/>
      </c>
      <c r="N4263" s="2">
        <f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>
        <f>IF(OR(F4263="",G4263=""),"",IF(G4263&lt;='RETRATO 2027'!$K$5,"CONCLUÍDA",IF(F4263&lt;='RETRATO 2027'!$K$5,"EM ANDAMENTO","A INICIAR")))</f>
        <v/>
      </c>
    </row>
    <row r="4264">
      <c r="M4264" s="2">
        <f>IF(C4264="","",IFERROR(INDEX($S$5:$S$304,MATCH(C4264,$R$5:$R$304,0))&amp;"","?"))</f>
        <v/>
      </c>
      <c r="N4264" s="2">
        <f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>
        <f>IF(OR(F4264="",G4264=""),"",IF(G4264&lt;='RETRATO 2027'!$K$5,"CONCLUÍDA",IF(F4264&lt;='RETRATO 2027'!$K$5,"EM ANDAMENTO","A INICIAR")))</f>
        <v/>
      </c>
    </row>
    <row r="4265">
      <c r="M4265" s="2">
        <f>IF(C4265="","",IFERROR(INDEX($S$5:$S$304,MATCH(C4265,$R$5:$R$304,0))&amp;"","?"))</f>
        <v/>
      </c>
      <c r="N4265" s="2">
        <f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>
        <f>IF(OR(F4265="",G4265=""),"",IF(G4265&lt;='RETRATO 2027'!$K$5,"CONCLUÍDA",IF(F4265&lt;='RETRATO 2027'!$K$5,"EM ANDAMENTO","A INICIAR")))</f>
        <v/>
      </c>
    </row>
    <row r="4266">
      <c r="M4266" s="2">
        <f>IF(C4266="","",IFERROR(INDEX($S$5:$S$304,MATCH(C4266,$R$5:$R$304,0))&amp;"","?"))</f>
        <v/>
      </c>
      <c r="N4266" s="2">
        <f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>
        <f>IF(OR(F4266="",G4266=""),"",IF(G4266&lt;='RETRATO 2027'!$K$5,"CONCLUÍDA",IF(F4266&lt;='RETRATO 2027'!$K$5,"EM ANDAMENTO","A INICIAR")))</f>
        <v/>
      </c>
    </row>
    <row r="4267">
      <c r="M4267" s="2">
        <f>IF(C4267="","",IFERROR(INDEX($S$5:$S$304,MATCH(C4267,$R$5:$R$304,0))&amp;"","?"))</f>
        <v/>
      </c>
      <c r="N4267" s="2">
        <f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>
        <f>IF(OR(F4267="",G4267=""),"",IF(G4267&lt;='RETRATO 2027'!$K$5,"CONCLUÍDA",IF(F4267&lt;='RETRATO 2027'!$K$5,"EM ANDAMENTO","A INICIAR")))</f>
        <v/>
      </c>
    </row>
    <row r="4268">
      <c r="M4268" s="2">
        <f>IF(C4268="","",IFERROR(INDEX($S$5:$S$304,MATCH(C4268,$R$5:$R$304,0))&amp;"","?"))</f>
        <v/>
      </c>
      <c r="N4268" s="2">
        <f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>
        <f>IF(OR(F4268="",G4268=""),"",IF(G4268&lt;='RETRATO 2027'!$K$5,"CONCLUÍDA",IF(F4268&lt;='RETRATO 2027'!$K$5,"EM ANDAMENTO","A INICIAR")))</f>
        <v/>
      </c>
    </row>
    <row r="4269">
      <c r="M4269" s="2">
        <f>IF(C4269="","",IFERROR(INDEX($S$5:$S$304,MATCH(C4269,$R$5:$R$304,0))&amp;"","?"))</f>
        <v/>
      </c>
      <c r="N4269" s="2">
        <f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>
        <f>IF(OR(F4269="",G4269=""),"",IF(G4269&lt;='RETRATO 2027'!$K$5,"CONCLUÍDA",IF(F4269&lt;='RETRATO 2027'!$K$5,"EM ANDAMENTO","A INICIAR")))</f>
        <v/>
      </c>
    </row>
    <row r="4270">
      <c r="M4270" s="2">
        <f>IF(C4270="","",IFERROR(INDEX($S$5:$S$304,MATCH(C4270,$R$5:$R$304,0))&amp;"","?"))</f>
        <v/>
      </c>
      <c r="N4270" s="2">
        <f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>
        <f>IF(OR(F4270="",G4270=""),"",IF(G4270&lt;='RETRATO 2027'!$K$5,"CONCLUÍDA",IF(F4270&lt;='RETRATO 2027'!$K$5,"EM ANDAMENTO","A INICIAR")))</f>
        <v/>
      </c>
    </row>
    <row r="4271">
      <c r="M4271" s="2">
        <f>IF(C4271="","",IFERROR(INDEX($S$5:$S$304,MATCH(C4271,$R$5:$R$304,0))&amp;"","?"))</f>
        <v/>
      </c>
      <c r="N4271" s="2">
        <f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>
        <f>IF(OR(F4271="",G4271=""),"",IF(G4271&lt;='RETRATO 2027'!$K$5,"CONCLUÍDA",IF(F4271&lt;='RETRATO 2027'!$K$5,"EM ANDAMENTO","A INICIAR")))</f>
        <v/>
      </c>
    </row>
    <row r="4272">
      <c r="M4272" s="2">
        <f>IF(C4272="","",IFERROR(INDEX($S$5:$S$304,MATCH(C4272,$R$5:$R$304,0))&amp;"","?"))</f>
        <v/>
      </c>
      <c r="N4272" s="2">
        <f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>
        <f>IF(OR(F4272="",G4272=""),"",IF(G4272&lt;='RETRATO 2027'!$K$5,"CONCLUÍDA",IF(F4272&lt;='RETRATO 2027'!$K$5,"EM ANDAMENTO","A INICIAR")))</f>
        <v/>
      </c>
    </row>
    <row r="4273">
      <c r="M4273" s="2">
        <f>IF(C4273="","",IFERROR(INDEX($S$5:$S$304,MATCH(C4273,$R$5:$R$304,0))&amp;"","?"))</f>
        <v/>
      </c>
      <c r="N4273" s="2">
        <f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>
        <f>IF(OR(F4273="",G4273=""),"",IF(G4273&lt;='RETRATO 2027'!$K$5,"CONCLUÍDA",IF(F4273&lt;='RETRATO 2027'!$K$5,"EM ANDAMENTO","A INICIAR")))</f>
        <v/>
      </c>
    </row>
    <row r="4274">
      <c r="M4274" s="2">
        <f>IF(C4274="","",IFERROR(INDEX($S$5:$S$304,MATCH(C4274,$R$5:$R$304,0))&amp;"","?"))</f>
        <v/>
      </c>
      <c r="N4274" s="2">
        <f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>
        <f>IF(OR(F4274="",G4274=""),"",IF(G4274&lt;='RETRATO 2027'!$K$5,"CONCLUÍDA",IF(F4274&lt;='RETRATO 2027'!$K$5,"EM ANDAMENTO","A INICIAR")))</f>
        <v/>
      </c>
    </row>
    <row r="4275">
      <c r="M4275" s="2">
        <f>IF(C4275="","",IFERROR(INDEX($S$5:$S$304,MATCH(C4275,$R$5:$R$304,0))&amp;"","?"))</f>
        <v/>
      </c>
      <c r="N4275" s="2">
        <f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>
        <f>IF(OR(F4275="",G4275=""),"",IF(G4275&lt;='RETRATO 2027'!$K$5,"CONCLUÍDA",IF(F4275&lt;='RETRATO 2027'!$K$5,"EM ANDAMENTO","A INICIAR")))</f>
        <v/>
      </c>
    </row>
    <row r="4276">
      <c r="M4276" s="2">
        <f>IF(C4276="","",IFERROR(INDEX($S$5:$S$304,MATCH(C4276,$R$5:$R$304,0))&amp;"","?"))</f>
        <v/>
      </c>
      <c r="N4276" s="2">
        <f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>
        <f>IF(OR(F4276="",G4276=""),"",IF(G4276&lt;='RETRATO 2027'!$K$5,"CONCLUÍDA",IF(F4276&lt;='RETRATO 2027'!$K$5,"EM ANDAMENTO","A INICIAR")))</f>
        <v/>
      </c>
    </row>
    <row r="4277">
      <c r="M4277" s="2">
        <f>IF(C4277="","",IFERROR(INDEX($S$5:$S$304,MATCH(C4277,$R$5:$R$304,0))&amp;"","?"))</f>
        <v/>
      </c>
      <c r="N4277" s="2">
        <f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>
        <f>IF(OR(F4277="",G4277=""),"",IF(G4277&lt;='RETRATO 2027'!$K$5,"CONCLUÍDA",IF(F4277&lt;='RETRATO 2027'!$K$5,"EM ANDAMENTO","A INICIAR")))</f>
        <v/>
      </c>
    </row>
    <row r="4278">
      <c r="M4278" s="2">
        <f>IF(C4278="","",IFERROR(INDEX($S$5:$S$304,MATCH(C4278,$R$5:$R$304,0))&amp;"","?"))</f>
        <v/>
      </c>
      <c r="N4278" s="2">
        <f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>
        <f>IF(OR(F4278="",G4278=""),"",IF(G4278&lt;='RETRATO 2027'!$K$5,"CONCLUÍDA",IF(F4278&lt;='RETRATO 2027'!$K$5,"EM ANDAMENTO","A INICIAR")))</f>
        <v/>
      </c>
    </row>
    <row r="4279">
      <c r="M4279" s="2">
        <f>IF(C4279="","",IFERROR(INDEX($S$5:$S$304,MATCH(C4279,$R$5:$R$304,0))&amp;"","?"))</f>
        <v/>
      </c>
      <c r="N4279" s="2">
        <f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>
        <f>IF(OR(F4279="",G4279=""),"",IF(G4279&lt;='RETRATO 2027'!$K$5,"CONCLUÍDA",IF(F4279&lt;='RETRATO 2027'!$K$5,"EM ANDAMENTO","A INICIAR")))</f>
        <v/>
      </c>
    </row>
    <row r="4280">
      <c r="M4280" s="2">
        <f>IF(C4280="","",IFERROR(INDEX($S$5:$S$304,MATCH(C4280,$R$5:$R$304,0))&amp;"","?"))</f>
        <v/>
      </c>
      <c r="N4280" s="2">
        <f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>
        <f>IF(OR(F4280="",G4280=""),"",IF(G4280&lt;='RETRATO 2027'!$K$5,"CONCLUÍDA",IF(F4280&lt;='RETRATO 2027'!$K$5,"EM ANDAMENTO","A INICIAR")))</f>
        <v/>
      </c>
    </row>
    <row r="4281">
      <c r="M4281" s="2">
        <f>IF(C4281="","",IFERROR(INDEX($S$5:$S$304,MATCH(C4281,$R$5:$R$304,0))&amp;"","?"))</f>
        <v/>
      </c>
      <c r="N4281" s="2">
        <f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>
        <f>IF(OR(F4281="",G4281=""),"",IF(G4281&lt;='RETRATO 2027'!$K$5,"CONCLUÍDA",IF(F4281&lt;='RETRATO 2027'!$K$5,"EM ANDAMENTO","A INICIAR")))</f>
        <v/>
      </c>
    </row>
    <row r="4282">
      <c r="M4282" s="2">
        <f>IF(C4282="","",IFERROR(INDEX($S$5:$S$304,MATCH(C4282,$R$5:$R$304,0))&amp;"","?"))</f>
        <v/>
      </c>
      <c r="N4282" s="2">
        <f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>
        <f>IF(OR(F4282="",G4282=""),"",IF(G4282&lt;='RETRATO 2027'!$K$5,"CONCLUÍDA",IF(F4282&lt;='RETRATO 2027'!$K$5,"EM ANDAMENTO","A INICIAR")))</f>
        <v/>
      </c>
    </row>
    <row r="4283">
      <c r="M4283" s="2">
        <f>IF(C4283="","",IFERROR(INDEX($S$5:$S$304,MATCH(C4283,$R$5:$R$304,0))&amp;"","?"))</f>
        <v/>
      </c>
      <c r="N4283" s="2">
        <f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>
        <f>IF(OR(F4283="",G4283=""),"",IF(G4283&lt;='RETRATO 2027'!$K$5,"CONCLUÍDA",IF(F4283&lt;='RETRATO 2027'!$K$5,"EM ANDAMENTO","A INICIAR")))</f>
        <v/>
      </c>
    </row>
    <row r="4284">
      <c r="M4284" s="2">
        <f>IF(C4284="","",IFERROR(INDEX($S$5:$S$304,MATCH(C4284,$R$5:$R$304,0))&amp;"","?"))</f>
        <v/>
      </c>
      <c r="N4284" s="2">
        <f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>
        <f>IF(OR(F4284="",G4284=""),"",IF(G4284&lt;='RETRATO 2027'!$K$5,"CONCLUÍDA",IF(F4284&lt;='RETRATO 2027'!$K$5,"EM ANDAMENTO","A INICIAR")))</f>
        <v/>
      </c>
    </row>
    <row r="4285">
      <c r="M4285" s="2">
        <f>IF(C4285="","",IFERROR(INDEX($S$5:$S$304,MATCH(C4285,$R$5:$R$304,0))&amp;"","?"))</f>
        <v/>
      </c>
      <c r="N4285" s="2">
        <f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>
        <f>IF(OR(F4285="",G4285=""),"",IF(G4285&lt;='RETRATO 2027'!$K$5,"CONCLUÍDA",IF(F4285&lt;='RETRATO 2027'!$K$5,"EM ANDAMENTO","A INICIAR")))</f>
        <v/>
      </c>
    </row>
    <row r="4286">
      <c r="M4286" s="2">
        <f>IF(C4286="","",IFERROR(INDEX($S$5:$S$304,MATCH(C4286,$R$5:$R$304,0))&amp;"","?"))</f>
        <v/>
      </c>
      <c r="N4286" s="2">
        <f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>
        <f>IF(OR(F4286="",G4286=""),"",IF(G4286&lt;='RETRATO 2027'!$K$5,"CONCLUÍDA",IF(F4286&lt;='RETRATO 2027'!$K$5,"EM ANDAMENTO","A INICIAR")))</f>
        <v/>
      </c>
    </row>
    <row r="4287">
      <c r="M4287" s="2">
        <f>IF(C4287="","",IFERROR(INDEX($S$5:$S$304,MATCH(C4287,$R$5:$R$304,0))&amp;"","?"))</f>
        <v/>
      </c>
      <c r="N4287" s="2">
        <f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>
        <f>IF(OR(F4287="",G4287=""),"",IF(G4287&lt;='RETRATO 2027'!$K$5,"CONCLUÍDA",IF(F4287&lt;='RETRATO 2027'!$K$5,"EM ANDAMENTO","A INICIAR")))</f>
        <v/>
      </c>
    </row>
    <row r="4288">
      <c r="M4288" s="2">
        <f>IF(C4288="","",IFERROR(INDEX($S$5:$S$304,MATCH(C4288,$R$5:$R$304,0))&amp;"","?"))</f>
        <v/>
      </c>
      <c r="N4288" s="2">
        <f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>
        <f>IF(OR(F4288="",G4288=""),"",IF(G4288&lt;='RETRATO 2027'!$K$5,"CONCLUÍDA",IF(F4288&lt;='RETRATO 2027'!$K$5,"EM ANDAMENTO","A INICIAR")))</f>
        <v/>
      </c>
    </row>
    <row r="4289">
      <c r="M4289" s="2">
        <f>IF(C4289="","",IFERROR(INDEX($S$5:$S$304,MATCH(C4289,$R$5:$R$304,0))&amp;"","?"))</f>
        <v/>
      </c>
      <c r="N4289" s="2">
        <f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>
        <f>IF(OR(F4289="",G4289=""),"",IF(G4289&lt;='RETRATO 2027'!$K$5,"CONCLUÍDA",IF(F4289&lt;='RETRATO 2027'!$K$5,"EM ANDAMENTO","A INICIAR")))</f>
        <v/>
      </c>
    </row>
    <row r="4290">
      <c r="M4290" s="2">
        <f>IF(C4290="","",IFERROR(INDEX($S$5:$S$304,MATCH(C4290,$R$5:$R$304,0))&amp;"","?"))</f>
        <v/>
      </c>
      <c r="N4290" s="2">
        <f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>
        <f>IF(OR(F4290="",G4290=""),"",IF(G4290&lt;='RETRATO 2027'!$K$5,"CONCLUÍDA",IF(F4290&lt;='RETRATO 2027'!$K$5,"EM ANDAMENTO","A INICIAR")))</f>
        <v/>
      </c>
    </row>
    <row r="4291">
      <c r="M4291" s="2">
        <f>IF(C4291="","",IFERROR(INDEX($S$5:$S$304,MATCH(C4291,$R$5:$R$304,0))&amp;"","?"))</f>
        <v/>
      </c>
      <c r="N4291" s="2">
        <f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>
        <f>IF(OR(F4291="",G4291=""),"",IF(G4291&lt;='RETRATO 2027'!$K$5,"CONCLUÍDA",IF(F4291&lt;='RETRATO 2027'!$K$5,"EM ANDAMENTO","A INICIAR")))</f>
        <v/>
      </c>
    </row>
    <row r="4292">
      <c r="M4292" s="2">
        <f>IF(C4292="","",IFERROR(INDEX($S$5:$S$304,MATCH(C4292,$R$5:$R$304,0))&amp;"","?"))</f>
        <v/>
      </c>
      <c r="N4292" s="2">
        <f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>
        <f>IF(OR(F4292="",G4292=""),"",IF(G4292&lt;='RETRATO 2027'!$K$5,"CONCLUÍDA",IF(F4292&lt;='RETRATO 2027'!$K$5,"EM ANDAMENTO","A INICIAR")))</f>
        <v/>
      </c>
    </row>
    <row r="4293">
      <c r="M4293" s="2">
        <f>IF(C4293="","",IFERROR(INDEX($S$5:$S$304,MATCH(C4293,$R$5:$R$304,0))&amp;"","?"))</f>
        <v/>
      </c>
      <c r="N4293" s="2">
        <f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>
        <f>IF(OR(F4293="",G4293=""),"",IF(G4293&lt;='RETRATO 2027'!$K$5,"CONCLUÍDA",IF(F4293&lt;='RETRATO 2027'!$K$5,"EM ANDAMENTO","A INICIAR")))</f>
        <v/>
      </c>
    </row>
    <row r="4294">
      <c r="M4294" s="2">
        <f>IF(C4294="","",IFERROR(INDEX($S$5:$S$304,MATCH(C4294,$R$5:$R$304,0))&amp;"","?"))</f>
        <v/>
      </c>
      <c r="N4294" s="2">
        <f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>
        <f>IF(OR(F4294="",G4294=""),"",IF(G4294&lt;='RETRATO 2027'!$K$5,"CONCLUÍDA",IF(F4294&lt;='RETRATO 2027'!$K$5,"EM ANDAMENTO","A INICIAR")))</f>
        <v/>
      </c>
    </row>
    <row r="4295">
      <c r="M4295" s="2">
        <f>IF(C4295="","",IFERROR(INDEX($S$5:$S$304,MATCH(C4295,$R$5:$R$304,0))&amp;"","?"))</f>
        <v/>
      </c>
      <c r="N4295" s="2">
        <f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>
        <f>IF(OR(F4295="",G4295=""),"",IF(G4295&lt;='RETRATO 2027'!$K$5,"CONCLUÍDA",IF(F4295&lt;='RETRATO 2027'!$K$5,"EM ANDAMENTO","A INICIAR")))</f>
        <v/>
      </c>
    </row>
    <row r="4296">
      <c r="M4296" s="2">
        <f>IF(C4296="","",IFERROR(INDEX($S$5:$S$304,MATCH(C4296,$R$5:$R$304,0))&amp;"","?"))</f>
        <v/>
      </c>
      <c r="N4296" s="2">
        <f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>
        <f>IF(OR(F4296="",G4296=""),"",IF(G4296&lt;='RETRATO 2027'!$K$5,"CONCLUÍDA",IF(F4296&lt;='RETRATO 2027'!$K$5,"EM ANDAMENTO","A INICIAR")))</f>
        <v/>
      </c>
    </row>
    <row r="4297">
      <c r="M4297" s="2">
        <f>IF(C4297="","",IFERROR(INDEX($S$5:$S$304,MATCH(C4297,$R$5:$R$304,0))&amp;"","?"))</f>
        <v/>
      </c>
      <c r="N4297" s="2">
        <f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>
        <f>IF(OR(F4297="",G4297=""),"",IF(G4297&lt;='RETRATO 2027'!$K$5,"CONCLUÍDA",IF(F4297&lt;='RETRATO 2027'!$K$5,"EM ANDAMENTO","A INICIAR")))</f>
        <v/>
      </c>
    </row>
    <row r="4298">
      <c r="M4298" s="2">
        <f>IF(C4298="","",IFERROR(INDEX($S$5:$S$304,MATCH(C4298,$R$5:$R$304,0))&amp;"","?"))</f>
        <v/>
      </c>
      <c r="N4298" s="2">
        <f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>
        <f>IF(OR(F4298="",G4298=""),"",IF(G4298&lt;='RETRATO 2027'!$K$5,"CONCLUÍDA",IF(F4298&lt;='RETRATO 2027'!$K$5,"EM ANDAMENTO","A INICIAR")))</f>
        <v/>
      </c>
    </row>
    <row r="4299">
      <c r="M4299" s="2">
        <f>IF(C4299="","",IFERROR(INDEX($S$5:$S$304,MATCH(C4299,$R$5:$R$304,0))&amp;"","?"))</f>
        <v/>
      </c>
      <c r="N4299" s="2">
        <f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>
        <f>IF(OR(F4299="",G4299=""),"",IF(G4299&lt;='RETRATO 2027'!$K$5,"CONCLUÍDA",IF(F4299&lt;='RETRATO 2027'!$K$5,"EM ANDAMENTO","A INICIAR")))</f>
        <v/>
      </c>
    </row>
    <row r="4300">
      <c r="M4300" s="2">
        <f>IF(C4300="","",IFERROR(INDEX($S$5:$S$304,MATCH(C4300,$R$5:$R$304,0))&amp;"","?"))</f>
        <v/>
      </c>
      <c r="N4300" s="2">
        <f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>
        <f>IF(OR(F4300="",G4300=""),"",IF(G4300&lt;='RETRATO 2027'!$K$5,"CONCLUÍDA",IF(F4300&lt;='RETRATO 2027'!$K$5,"EM ANDAMENTO","A INICIAR")))</f>
        <v/>
      </c>
    </row>
    <row r="4301">
      <c r="M4301" s="2">
        <f>IF(C4301="","",IFERROR(INDEX($S$5:$S$304,MATCH(C4301,$R$5:$R$304,0))&amp;"","?"))</f>
        <v/>
      </c>
      <c r="N4301" s="2">
        <f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>
        <f>IF(OR(F4301="",G4301=""),"",IF(G4301&lt;='RETRATO 2027'!$K$5,"CONCLUÍDA",IF(F4301&lt;='RETRATO 2027'!$K$5,"EM ANDAMENTO","A INICIAR")))</f>
        <v/>
      </c>
    </row>
    <row r="4302">
      <c r="M4302" s="2">
        <f>IF(C4302="","",IFERROR(INDEX($S$5:$S$304,MATCH(C4302,$R$5:$R$304,0))&amp;"","?"))</f>
        <v/>
      </c>
      <c r="N4302" s="2">
        <f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>
        <f>IF(OR(F4302="",G4302=""),"",IF(G4302&lt;='RETRATO 2027'!$K$5,"CONCLUÍDA",IF(F4302&lt;='RETRATO 2027'!$K$5,"EM ANDAMENTO","A INICIAR")))</f>
        <v/>
      </c>
    </row>
    <row r="4303">
      <c r="M4303" s="2">
        <f>IF(C4303="","",IFERROR(INDEX($S$5:$S$304,MATCH(C4303,$R$5:$R$304,0))&amp;"","?"))</f>
        <v/>
      </c>
      <c r="N4303" s="2">
        <f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>
        <f>IF(OR(F4303="",G4303=""),"",IF(G4303&lt;='RETRATO 2027'!$K$5,"CONCLUÍDA",IF(F4303&lt;='RETRATO 2027'!$K$5,"EM ANDAMENTO","A INICIAR")))</f>
        <v/>
      </c>
    </row>
    <row r="4304">
      <c r="M4304" s="2">
        <f>IF(C4304="","",IFERROR(INDEX($S$5:$S$304,MATCH(C4304,$R$5:$R$304,0))&amp;"","?"))</f>
        <v/>
      </c>
      <c r="N4304" s="2">
        <f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>
        <f>IF(OR(F4304="",G4304=""),"",IF(G4304&lt;='RETRATO 2027'!$K$5,"CONCLUÍDA",IF(F4304&lt;='RETRATO 2027'!$K$5,"EM ANDAMENTO","A INICIAR")))</f>
        <v/>
      </c>
    </row>
    <row r="4305">
      <c r="M4305" s="2">
        <f>IF(C4305="","",IFERROR(INDEX($S$5:$S$304,MATCH(C4305,$R$5:$R$304,0))&amp;"","?"))</f>
        <v/>
      </c>
      <c r="N4305" s="2">
        <f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>
        <f>IF(OR(F4305="",G4305=""),"",IF(G4305&lt;='RETRATO 2027'!$K$5,"CONCLUÍDA",IF(F4305&lt;='RETRATO 2027'!$K$5,"EM ANDAMENTO","A INICIAR")))</f>
        <v/>
      </c>
    </row>
    <row r="4306">
      <c r="M4306" s="2">
        <f>IF(C4306="","",IFERROR(INDEX($S$5:$S$304,MATCH(C4306,$R$5:$R$304,0))&amp;"","?"))</f>
        <v/>
      </c>
      <c r="N4306" s="2">
        <f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>
        <f>IF(OR(F4306="",G4306=""),"",IF(G4306&lt;='RETRATO 2027'!$K$5,"CONCLUÍDA",IF(F4306&lt;='RETRATO 2027'!$K$5,"EM ANDAMENTO","A INICIAR")))</f>
        <v/>
      </c>
    </row>
    <row r="4307">
      <c r="M4307" s="2">
        <f>IF(C4307="","",IFERROR(INDEX($S$5:$S$304,MATCH(C4307,$R$5:$R$304,0))&amp;"","?"))</f>
        <v/>
      </c>
      <c r="N4307" s="2">
        <f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>
        <f>IF(OR(F4307="",G4307=""),"",IF(G4307&lt;='RETRATO 2027'!$K$5,"CONCLUÍDA",IF(F4307&lt;='RETRATO 2027'!$K$5,"EM ANDAMENTO","A INICIAR")))</f>
        <v/>
      </c>
    </row>
    <row r="4308">
      <c r="M4308" s="2">
        <f>IF(C4308="","",IFERROR(INDEX($S$5:$S$304,MATCH(C4308,$R$5:$R$304,0))&amp;"","?"))</f>
        <v/>
      </c>
      <c r="N4308" s="2">
        <f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>
        <f>IF(OR(F4308="",G4308=""),"",IF(G4308&lt;='RETRATO 2027'!$K$5,"CONCLUÍDA",IF(F4308&lt;='RETRATO 2027'!$K$5,"EM ANDAMENTO","A INICIAR")))</f>
        <v/>
      </c>
    </row>
    <row r="4309">
      <c r="M4309" s="2">
        <f>IF(C4309="","",IFERROR(INDEX($S$5:$S$304,MATCH(C4309,$R$5:$R$304,0))&amp;"","?"))</f>
        <v/>
      </c>
      <c r="N4309" s="2">
        <f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>
        <f>IF(OR(F4309="",G4309=""),"",IF(G4309&lt;='RETRATO 2027'!$K$5,"CONCLUÍDA",IF(F4309&lt;='RETRATO 2027'!$K$5,"EM ANDAMENTO","A INICIAR")))</f>
        <v/>
      </c>
    </row>
    <row r="4310">
      <c r="M4310" s="2">
        <f>IF(C4310="","",IFERROR(INDEX($S$5:$S$304,MATCH(C4310,$R$5:$R$304,0))&amp;"","?"))</f>
        <v/>
      </c>
      <c r="N4310" s="2">
        <f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>
        <f>IF(OR(F4310="",G4310=""),"",IF(G4310&lt;='RETRATO 2027'!$K$5,"CONCLUÍDA",IF(F4310&lt;='RETRATO 2027'!$K$5,"EM ANDAMENTO","A INICIAR")))</f>
        <v/>
      </c>
    </row>
    <row r="4311">
      <c r="M4311" s="2">
        <f>IF(C4311="","",IFERROR(INDEX($S$5:$S$304,MATCH(C4311,$R$5:$R$304,0))&amp;"","?"))</f>
        <v/>
      </c>
      <c r="N4311" s="2">
        <f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>
        <f>IF(OR(F4311="",G4311=""),"",IF(G4311&lt;='RETRATO 2027'!$K$5,"CONCLUÍDA",IF(F4311&lt;='RETRATO 2027'!$K$5,"EM ANDAMENTO","A INICIAR")))</f>
        <v/>
      </c>
    </row>
    <row r="4312">
      <c r="M4312" s="2">
        <f>IF(C4312="","",IFERROR(INDEX($S$5:$S$304,MATCH(C4312,$R$5:$R$304,0))&amp;"","?"))</f>
        <v/>
      </c>
      <c r="N4312" s="2">
        <f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>
        <f>IF(OR(F4312="",G4312=""),"",IF(G4312&lt;='RETRATO 2027'!$K$5,"CONCLUÍDA",IF(F4312&lt;='RETRATO 2027'!$K$5,"EM ANDAMENTO","A INICIAR")))</f>
        <v/>
      </c>
    </row>
    <row r="4313">
      <c r="M4313" s="2">
        <f>IF(C4313="","",IFERROR(INDEX($S$5:$S$304,MATCH(C4313,$R$5:$R$304,0))&amp;"","?"))</f>
        <v/>
      </c>
      <c r="N4313" s="2">
        <f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>
        <f>IF(OR(F4313="",G4313=""),"",IF(G4313&lt;='RETRATO 2027'!$K$5,"CONCLUÍDA",IF(F4313&lt;='RETRATO 2027'!$K$5,"EM ANDAMENTO","A INICIAR")))</f>
        <v/>
      </c>
    </row>
    <row r="4314">
      <c r="M4314" s="2">
        <f>IF(C4314="","",IFERROR(INDEX($S$5:$S$304,MATCH(C4314,$R$5:$R$304,0))&amp;"","?"))</f>
        <v/>
      </c>
      <c r="N4314" s="2">
        <f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>
        <f>IF(OR(F4314="",G4314=""),"",IF(G4314&lt;='RETRATO 2027'!$K$5,"CONCLUÍDA",IF(F4314&lt;='RETRATO 2027'!$K$5,"EM ANDAMENTO","A INICIAR")))</f>
        <v/>
      </c>
    </row>
    <row r="4315">
      <c r="M4315" s="2">
        <f>IF(C4315="","",IFERROR(INDEX($S$5:$S$304,MATCH(C4315,$R$5:$R$304,0))&amp;"","?"))</f>
        <v/>
      </c>
      <c r="N4315" s="2">
        <f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>
        <f>IF(OR(F4315="",G4315=""),"",IF(G4315&lt;='RETRATO 2027'!$K$5,"CONCLUÍDA",IF(F4315&lt;='RETRATO 2027'!$K$5,"EM ANDAMENTO","A INICIAR")))</f>
        <v/>
      </c>
    </row>
    <row r="4316">
      <c r="M4316" s="2">
        <f>IF(C4316="","",IFERROR(INDEX($S$5:$S$304,MATCH(C4316,$R$5:$R$304,0))&amp;"","?"))</f>
        <v/>
      </c>
      <c r="N4316" s="2">
        <f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>
        <f>IF(OR(F4316="",G4316=""),"",IF(G4316&lt;='RETRATO 2027'!$K$5,"CONCLUÍDA",IF(F4316&lt;='RETRATO 2027'!$K$5,"EM ANDAMENTO","A INICIAR")))</f>
        <v/>
      </c>
    </row>
    <row r="4317">
      <c r="M4317" s="2">
        <f>IF(C4317="","",IFERROR(INDEX($S$5:$S$304,MATCH(C4317,$R$5:$R$304,0))&amp;"","?"))</f>
        <v/>
      </c>
      <c r="N4317" s="2">
        <f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>
        <f>IF(OR(F4317="",G4317=""),"",IF(G4317&lt;='RETRATO 2027'!$K$5,"CONCLUÍDA",IF(F4317&lt;='RETRATO 2027'!$K$5,"EM ANDAMENTO","A INICIAR")))</f>
        <v/>
      </c>
    </row>
    <row r="4318">
      <c r="M4318" s="2">
        <f>IF(C4318="","",IFERROR(INDEX($S$5:$S$304,MATCH(C4318,$R$5:$R$304,0))&amp;"","?"))</f>
        <v/>
      </c>
      <c r="N4318" s="2">
        <f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>
        <f>IF(OR(F4318="",G4318=""),"",IF(G4318&lt;='RETRATO 2027'!$K$5,"CONCLUÍDA",IF(F4318&lt;='RETRATO 2027'!$K$5,"EM ANDAMENTO","A INICIAR")))</f>
        <v/>
      </c>
    </row>
    <row r="4319">
      <c r="M4319" s="2">
        <f>IF(C4319="","",IFERROR(INDEX($S$5:$S$304,MATCH(C4319,$R$5:$R$304,0))&amp;"","?"))</f>
        <v/>
      </c>
      <c r="N4319" s="2">
        <f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>
        <f>IF(OR(F4319="",G4319=""),"",IF(G4319&lt;='RETRATO 2027'!$K$5,"CONCLUÍDA",IF(F4319&lt;='RETRATO 2027'!$K$5,"EM ANDAMENTO","A INICIAR")))</f>
        <v/>
      </c>
    </row>
    <row r="4320">
      <c r="M4320" s="2">
        <f>IF(C4320="","",IFERROR(INDEX($S$5:$S$304,MATCH(C4320,$R$5:$R$304,0))&amp;"","?"))</f>
        <v/>
      </c>
      <c r="N4320" s="2">
        <f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>
        <f>IF(OR(F4320="",G4320=""),"",IF(G4320&lt;='RETRATO 2027'!$K$5,"CONCLUÍDA",IF(F4320&lt;='RETRATO 2027'!$K$5,"EM ANDAMENTO","A INICIAR")))</f>
        <v/>
      </c>
    </row>
    <row r="4321">
      <c r="M4321" s="2">
        <f>IF(C4321="","",IFERROR(INDEX($S$5:$S$304,MATCH(C4321,$R$5:$R$304,0))&amp;"","?"))</f>
        <v/>
      </c>
      <c r="N4321" s="2">
        <f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>
        <f>IF(OR(F4321="",G4321=""),"",IF(G4321&lt;='RETRATO 2027'!$K$5,"CONCLUÍDA",IF(F4321&lt;='RETRATO 2027'!$K$5,"EM ANDAMENTO","A INICIAR")))</f>
        <v/>
      </c>
    </row>
    <row r="4322">
      <c r="M4322" s="2">
        <f>IF(C4322="","",IFERROR(INDEX($S$5:$S$304,MATCH(C4322,$R$5:$R$304,0))&amp;"","?"))</f>
        <v/>
      </c>
      <c r="N4322" s="2">
        <f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>
        <f>IF(OR(F4322="",G4322=""),"",IF(G4322&lt;='RETRATO 2027'!$K$5,"CONCLUÍDA",IF(F4322&lt;='RETRATO 2027'!$K$5,"EM ANDAMENTO","A INICIAR")))</f>
        <v/>
      </c>
    </row>
    <row r="4323">
      <c r="M4323" s="2">
        <f>IF(C4323="","",IFERROR(INDEX($S$5:$S$304,MATCH(C4323,$R$5:$R$304,0))&amp;"","?"))</f>
        <v/>
      </c>
      <c r="N4323" s="2">
        <f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>
        <f>IF(OR(F4323="",G4323=""),"",IF(G4323&lt;='RETRATO 2027'!$K$5,"CONCLUÍDA",IF(F4323&lt;='RETRATO 2027'!$K$5,"EM ANDAMENTO","A INICIAR")))</f>
        <v/>
      </c>
    </row>
    <row r="4324">
      <c r="M4324" s="2">
        <f>IF(C4324="","",IFERROR(INDEX($S$5:$S$304,MATCH(C4324,$R$5:$R$304,0))&amp;"","?"))</f>
        <v/>
      </c>
      <c r="N4324" s="2">
        <f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>
        <f>IF(OR(F4324="",G4324=""),"",IF(G4324&lt;='RETRATO 2027'!$K$5,"CONCLUÍDA",IF(F4324&lt;='RETRATO 2027'!$K$5,"EM ANDAMENTO","A INICIAR")))</f>
        <v/>
      </c>
    </row>
    <row r="4325">
      <c r="M4325" s="2">
        <f>IF(C4325="","",IFERROR(INDEX($S$5:$S$304,MATCH(C4325,$R$5:$R$304,0))&amp;"","?"))</f>
        <v/>
      </c>
      <c r="N4325" s="2">
        <f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>
        <f>IF(OR(F4325="",G4325=""),"",IF(G4325&lt;='RETRATO 2027'!$K$5,"CONCLUÍDA",IF(F4325&lt;='RETRATO 2027'!$K$5,"EM ANDAMENTO","A INICIAR")))</f>
        <v/>
      </c>
    </row>
    <row r="4326">
      <c r="M4326" s="2">
        <f>IF(C4326="","",IFERROR(INDEX($S$5:$S$304,MATCH(C4326,$R$5:$R$304,0))&amp;"","?"))</f>
        <v/>
      </c>
      <c r="N4326" s="2">
        <f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>
        <f>IF(OR(F4326="",G4326=""),"",IF(G4326&lt;='RETRATO 2027'!$K$5,"CONCLUÍDA",IF(F4326&lt;='RETRATO 2027'!$K$5,"EM ANDAMENTO","A INICIAR")))</f>
        <v/>
      </c>
    </row>
    <row r="4327">
      <c r="M4327" s="2">
        <f>IF(C4327="","",IFERROR(INDEX($S$5:$S$304,MATCH(C4327,$R$5:$R$304,0))&amp;"","?"))</f>
        <v/>
      </c>
      <c r="N4327" s="2">
        <f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>
        <f>IF(OR(F4327="",G4327=""),"",IF(G4327&lt;='RETRATO 2027'!$K$5,"CONCLUÍDA",IF(F4327&lt;='RETRATO 2027'!$K$5,"EM ANDAMENTO","A INICIAR")))</f>
        <v/>
      </c>
    </row>
    <row r="4328">
      <c r="M4328" s="2">
        <f>IF(C4328="","",IFERROR(INDEX($S$5:$S$304,MATCH(C4328,$R$5:$R$304,0))&amp;"","?"))</f>
        <v/>
      </c>
      <c r="N4328" s="2">
        <f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>
        <f>IF(OR(F4328="",G4328=""),"",IF(G4328&lt;='RETRATO 2027'!$K$5,"CONCLUÍDA",IF(F4328&lt;='RETRATO 2027'!$K$5,"EM ANDAMENTO","A INICIAR")))</f>
        <v/>
      </c>
    </row>
    <row r="4329">
      <c r="M4329" s="2">
        <f>IF(C4329="","",IFERROR(INDEX($S$5:$S$304,MATCH(C4329,$R$5:$R$304,0))&amp;"","?"))</f>
        <v/>
      </c>
      <c r="N4329" s="2">
        <f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>
        <f>IF(OR(F4329="",G4329=""),"",IF(G4329&lt;='RETRATO 2027'!$K$5,"CONCLUÍDA",IF(F4329&lt;='RETRATO 2027'!$K$5,"EM ANDAMENTO","A INICIAR")))</f>
        <v/>
      </c>
    </row>
    <row r="4330">
      <c r="M4330" s="2">
        <f>IF(C4330="","",IFERROR(INDEX($S$5:$S$304,MATCH(C4330,$R$5:$R$304,0))&amp;"","?"))</f>
        <v/>
      </c>
      <c r="N4330" s="2">
        <f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>
        <f>IF(OR(F4330="",G4330=""),"",IF(G4330&lt;='RETRATO 2027'!$K$5,"CONCLUÍDA",IF(F4330&lt;='RETRATO 2027'!$K$5,"EM ANDAMENTO","A INICIAR")))</f>
        <v/>
      </c>
    </row>
    <row r="4331">
      <c r="M4331" s="2">
        <f>IF(C4331="","",IFERROR(INDEX($S$5:$S$304,MATCH(C4331,$R$5:$R$304,0))&amp;"","?"))</f>
        <v/>
      </c>
      <c r="N4331" s="2">
        <f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>
        <f>IF(OR(F4331="",G4331=""),"",IF(G4331&lt;='RETRATO 2027'!$K$5,"CONCLUÍDA",IF(F4331&lt;='RETRATO 2027'!$K$5,"EM ANDAMENTO","A INICIAR")))</f>
        <v/>
      </c>
    </row>
    <row r="4332">
      <c r="M4332" s="2">
        <f>IF(C4332="","",IFERROR(INDEX($S$5:$S$304,MATCH(C4332,$R$5:$R$304,0))&amp;"","?"))</f>
        <v/>
      </c>
      <c r="N4332" s="2">
        <f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>
        <f>IF(OR(F4332="",G4332=""),"",IF(G4332&lt;='RETRATO 2027'!$K$5,"CONCLUÍDA",IF(F4332&lt;='RETRATO 2027'!$K$5,"EM ANDAMENTO","A INICIAR")))</f>
        <v/>
      </c>
    </row>
    <row r="4333">
      <c r="M4333" s="2">
        <f>IF(C4333="","",IFERROR(INDEX($S$5:$S$304,MATCH(C4333,$R$5:$R$304,0))&amp;"","?"))</f>
        <v/>
      </c>
      <c r="N4333" s="2">
        <f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>
        <f>IF(OR(F4333="",G4333=""),"",IF(G4333&lt;='RETRATO 2027'!$K$5,"CONCLUÍDA",IF(F4333&lt;='RETRATO 2027'!$K$5,"EM ANDAMENTO","A INICIAR")))</f>
        <v/>
      </c>
    </row>
    <row r="4334">
      <c r="M4334" s="2">
        <f>IF(C4334="","",IFERROR(INDEX($S$5:$S$304,MATCH(C4334,$R$5:$R$304,0))&amp;"","?"))</f>
        <v/>
      </c>
      <c r="N4334" s="2">
        <f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>
        <f>IF(OR(F4334="",G4334=""),"",IF(G4334&lt;='RETRATO 2027'!$K$5,"CONCLUÍDA",IF(F4334&lt;='RETRATO 2027'!$K$5,"EM ANDAMENTO","A INICIAR")))</f>
        <v/>
      </c>
    </row>
    <row r="4335">
      <c r="M4335" s="2">
        <f>IF(C4335="","",IFERROR(INDEX($S$5:$S$304,MATCH(C4335,$R$5:$R$304,0))&amp;"","?"))</f>
        <v/>
      </c>
      <c r="N4335" s="2">
        <f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>
        <f>IF(OR(F4335="",G4335=""),"",IF(G4335&lt;='RETRATO 2027'!$K$5,"CONCLUÍDA",IF(F4335&lt;='RETRATO 2027'!$K$5,"EM ANDAMENTO","A INICIAR")))</f>
        <v/>
      </c>
    </row>
    <row r="4336">
      <c r="M4336" s="2">
        <f>IF(C4336="","",IFERROR(INDEX($S$5:$S$304,MATCH(C4336,$R$5:$R$304,0))&amp;"","?"))</f>
        <v/>
      </c>
      <c r="N4336" s="2">
        <f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>
        <f>IF(OR(F4336="",G4336=""),"",IF(G4336&lt;='RETRATO 2027'!$K$5,"CONCLUÍDA",IF(F4336&lt;='RETRATO 2027'!$K$5,"EM ANDAMENTO","A INICIAR")))</f>
        <v/>
      </c>
    </row>
    <row r="4337">
      <c r="M4337" s="2">
        <f>IF(C4337="","",IFERROR(INDEX($S$5:$S$304,MATCH(C4337,$R$5:$R$304,0))&amp;"","?"))</f>
        <v/>
      </c>
      <c r="N4337" s="2">
        <f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>
        <f>IF(OR(F4337="",G4337=""),"",IF(G4337&lt;='RETRATO 2027'!$K$5,"CONCLUÍDA",IF(F4337&lt;='RETRATO 2027'!$K$5,"EM ANDAMENTO","A INICIAR")))</f>
        <v/>
      </c>
    </row>
    <row r="4338">
      <c r="M4338" s="2">
        <f>IF(C4338="","",IFERROR(INDEX($S$5:$S$304,MATCH(C4338,$R$5:$R$304,0))&amp;"","?"))</f>
        <v/>
      </c>
      <c r="N4338" s="2">
        <f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>
        <f>IF(OR(F4338="",G4338=""),"",IF(G4338&lt;='RETRATO 2027'!$K$5,"CONCLUÍDA",IF(F4338&lt;='RETRATO 2027'!$K$5,"EM ANDAMENTO","A INICIAR")))</f>
        <v/>
      </c>
    </row>
    <row r="4339">
      <c r="M4339" s="2">
        <f>IF(C4339="","",IFERROR(INDEX($S$5:$S$304,MATCH(C4339,$R$5:$R$304,0))&amp;"","?"))</f>
        <v/>
      </c>
      <c r="N4339" s="2">
        <f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>
        <f>IF(OR(F4339="",G4339=""),"",IF(G4339&lt;='RETRATO 2027'!$K$5,"CONCLUÍDA",IF(F4339&lt;='RETRATO 2027'!$K$5,"EM ANDAMENTO","A INICIAR")))</f>
        <v/>
      </c>
    </row>
    <row r="4340">
      <c r="M4340" s="2">
        <f>IF(C4340="","",IFERROR(INDEX($S$5:$S$304,MATCH(C4340,$R$5:$R$304,0))&amp;"","?"))</f>
        <v/>
      </c>
      <c r="N4340" s="2">
        <f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>
        <f>IF(OR(F4340="",G4340=""),"",IF(G4340&lt;='RETRATO 2027'!$K$5,"CONCLUÍDA",IF(F4340&lt;='RETRATO 2027'!$K$5,"EM ANDAMENTO","A INICIAR")))</f>
        <v/>
      </c>
    </row>
    <row r="4341">
      <c r="M4341" s="2">
        <f>IF(C4341="","",IFERROR(INDEX($S$5:$S$304,MATCH(C4341,$R$5:$R$304,0))&amp;"","?"))</f>
        <v/>
      </c>
      <c r="N4341" s="2">
        <f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>
        <f>IF(OR(F4341="",G4341=""),"",IF(G4341&lt;='RETRATO 2027'!$K$5,"CONCLUÍDA",IF(F4341&lt;='RETRATO 2027'!$K$5,"EM ANDAMENTO","A INICIAR")))</f>
        <v/>
      </c>
    </row>
    <row r="4342">
      <c r="M4342" s="2">
        <f>IF(C4342="","",IFERROR(INDEX($S$5:$S$304,MATCH(C4342,$R$5:$R$304,0))&amp;"","?"))</f>
        <v/>
      </c>
      <c r="N4342" s="2">
        <f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>
        <f>IF(OR(F4342="",G4342=""),"",IF(G4342&lt;='RETRATO 2027'!$K$5,"CONCLUÍDA",IF(F4342&lt;='RETRATO 2027'!$K$5,"EM ANDAMENTO","A INICIAR")))</f>
        <v/>
      </c>
    </row>
    <row r="4343">
      <c r="M4343" s="2">
        <f>IF(C4343="","",IFERROR(INDEX($S$5:$S$304,MATCH(C4343,$R$5:$R$304,0))&amp;"","?"))</f>
        <v/>
      </c>
      <c r="N4343" s="2">
        <f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>
        <f>IF(OR(F4343="",G4343=""),"",IF(G4343&lt;='RETRATO 2027'!$K$5,"CONCLUÍDA",IF(F4343&lt;='RETRATO 2027'!$K$5,"EM ANDAMENTO","A INICIAR")))</f>
        <v/>
      </c>
    </row>
    <row r="4344">
      <c r="M4344" s="2">
        <f>IF(C4344="","",IFERROR(INDEX($S$5:$S$304,MATCH(C4344,$R$5:$R$304,0))&amp;"","?"))</f>
        <v/>
      </c>
      <c r="N4344" s="2">
        <f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>
        <f>IF(OR(F4344="",G4344=""),"",IF(G4344&lt;='RETRATO 2027'!$K$5,"CONCLUÍDA",IF(F4344&lt;='RETRATO 2027'!$K$5,"EM ANDAMENTO","A INICIAR")))</f>
        <v/>
      </c>
    </row>
    <row r="4345">
      <c r="M4345" s="2">
        <f>IF(C4345="","",IFERROR(INDEX($S$5:$S$304,MATCH(C4345,$R$5:$R$304,0))&amp;"","?"))</f>
        <v/>
      </c>
      <c r="N4345" s="2">
        <f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>
        <f>IF(OR(F4345="",G4345=""),"",IF(G4345&lt;='RETRATO 2027'!$K$5,"CONCLUÍDA",IF(F4345&lt;='RETRATO 2027'!$K$5,"EM ANDAMENTO","A INICIAR")))</f>
        <v/>
      </c>
    </row>
    <row r="4346">
      <c r="M4346" s="2">
        <f>IF(C4346="","",IFERROR(INDEX($S$5:$S$304,MATCH(C4346,$R$5:$R$304,0))&amp;"","?"))</f>
        <v/>
      </c>
      <c r="N4346" s="2">
        <f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>
        <f>IF(OR(F4346="",G4346=""),"",IF(G4346&lt;='RETRATO 2027'!$K$5,"CONCLUÍDA",IF(F4346&lt;='RETRATO 2027'!$K$5,"EM ANDAMENTO","A INICIAR")))</f>
        <v/>
      </c>
    </row>
    <row r="4347">
      <c r="M4347" s="2">
        <f>IF(C4347="","",IFERROR(INDEX($S$5:$S$304,MATCH(C4347,$R$5:$R$304,0))&amp;"","?"))</f>
        <v/>
      </c>
      <c r="N4347" s="2">
        <f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>
        <f>IF(OR(F4347="",G4347=""),"",IF(G4347&lt;='RETRATO 2027'!$K$5,"CONCLUÍDA",IF(F4347&lt;='RETRATO 2027'!$K$5,"EM ANDAMENTO","A INICIAR")))</f>
        <v/>
      </c>
    </row>
    <row r="4348">
      <c r="M4348" s="2">
        <f>IF(C4348="","",IFERROR(INDEX($S$5:$S$304,MATCH(C4348,$R$5:$R$304,0))&amp;"","?"))</f>
        <v/>
      </c>
      <c r="N4348" s="2">
        <f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>
        <f>IF(OR(F4348="",G4348=""),"",IF(G4348&lt;='RETRATO 2027'!$K$5,"CONCLUÍDA",IF(F4348&lt;='RETRATO 2027'!$K$5,"EM ANDAMENTO","A INICIAR")))</f>
        <v/>
      </c>
    </row>
    <row r="4349">
      <c r="M4349" s="2">
        <f>IF(C4349="","",IFERROR(INDEX($S$5:$S$304,MATCH(C4349,$R$5:$R$304,0))&amp;"","?"))</f>
        <v/>
      </c>
      <c r="N4349" s="2">
        <f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>
        <f>IF(OR(F4349="",G4349=""),"",IF(G4349&lt;='RETRATO 2027'!$K$5,"CONCLUÍDA",IF(F4349&lt;='RETRATO 2027'!$K$5,"EM ANDAMENTO","A INICIAR")))</f>
        <v/>
      </c>
    </row>
    <row r="4350">
      <c r="M4350" s="2">
        <f>IF(C4350="","",IFERROR(INDEX($S$5:$S$304,MATCH(C4350,$R$5:$R$304,0))&amp;"","?"))</f>
        <v/>
      </c>
      <c r="N4350" s="2">
        <f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>
        <f>IF(OR(F4350="",G4350=""),"",IF(G4350&lt;='RETRATO 2027'!$K$5,"CONCLUÍDA",IF(F4350&lt;='RETRATO 2027'!$K$5,"EM ANDAMENTO","A INICIAR")))</f>
        <v/>
      </c>
    </row>
    <row r="4351">
      <c r="M4351" s="2">
        <f>IF(C4351="","",IFERROR(INDEX($S$5:$S$304,MATCH(C4351,$R$5:$R$304,0))&amp;"","?"))</f>
        <v/>
      </c>
      <c r="N4351" s="2">
        <f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>
        <f>IF(OR(F4351="",G4351=""),"",IF(G4351&lt;='RETRATO 2027'!$K$5,"CONCLUÍDA",IF(F4351&lt;='RETRATO 2027'!$K$5,"EM ANDAMENTO","A INICIAR")))</f>
        <v/>
      </c>
    </row>
    <row r="4352">
      <c r="M4352" s="2">
        <f>IF(C4352="","",IFERROR(INDEX($S$5:$S$304,MATCH(C4352,$R$5:$R$304,0))&amp;"","?"))</f>
        <v/>
      </c>
      <c r="N4352" s="2">
        <f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>
        <f>IF(OR(F4352="",G4352=""),"",IF(G4352&lt;='RETRATO 2027'!$K$5,"CONCLUÍDA",IF(F4352&lt;='RETRATO 2027'!$K$5,"EM ANDAMENTO","A INICIAR")))</f>
        <v/>
      </c>
    </row>
    <row r="4353">
      <c r="M4353" s="2">
        <f>IF(C4353="","",IFERROR(INDEX($S$5:$S$304,MATCH(C4353,$R$5:$R$304,0))&amp;"","?"))</f>
        <v/>
      </c>
      <c r="N4353" s="2">
        <f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>
        <f>IF(OR(F4353="",G4353=""),"",IF(G4353&lt;='RETRATO 2027'!$K$5,"CONCLUÍDA",IF(F4353&lt;='RETRATO 2027'!$K$5,"EM ANDAMENTO","A INICIAR")))</f>
        <v/>
      </c>
    </row>
    <row r="4354">
      <c r="M4354" s="2">
        <f>IF(C4354="","",IFERROR(INDEX($S$5:$S$304,MATCH(C4354,$R$5:$R$304,0))&amp;"","?"))</f>
        <v/>
      </c>
      <c r="N4354" s="2">
        <f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>
        <f>IF(OR(F4354="",G4354=""),"",IF(G4354&lt;='RETRATO 2027'!$K$5,"CONCLUÍDA",IF(F4354&lt;='RETRATO 2027'!$K$5,"EM ANDAMENTO","A INICIAR")))</f>
        <v/>
      </c>
    </row>
    <row r="4355">
      <c r="M4355" s="2">
        <f>IF(C4355="","",IFERROR(INDEX($S$5:$S$304,MATCH(C4355,$R$5:$R$304,0))&amp;"","?"))</f>
        <v/>
      </c>
      <c r="N4355" s="2">
        <f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>
        <f>IF(OR(F4355="",G4355=""),"",IF(G4355&lt;='RETRATO 2027'!$K$5,"CONCLUÍDA",IF(F4355&lt;='RETRATO 2027'!$K$5,"EM ANDAMENTO","A INICIAR")))</f>
        <v/>
      </c>
    </row>
    <row r="4356">
      <c r="M4356" s="2">
        <f>IF(C4356="","",IFERROR(INDEX($S$5:$S$304,MATCH(C4356,$R$5:$R$304,0))&amp;"","?"))</f>
        <v/>
      </c>
      <c r="N4356" s="2">
        <f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>
        <f>IF(OR(F4356="",G4356=""),"",IF(G4356&lt;='RETRATO 2027'!$K$5,"CONCLUÍDA",IF(F4356&lt;='RETRATO 2027'!$K$5,"EM ANDAMENTO","A INICIAR")))</f>
        <v/>
      </c>
    </row>
    <row r="4357">
      <c r="M4357" s="2">
        <f>IF(C4357="","",IFERROR(INDEX($S$5:$S$304,MATCH(C4357,$R$5:$R$304,0))&amp;"","?"))</f>
        <v/>
      </c>
      <c r="N4357" s="2">
        <f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>
        <f>IF(OR(F4357="",G4357=""),"",IF(G4357&lt;='RETRATO 2027'!$K$5,"CONCLUÍDA",IF(F4357&lt;='RETRATO 2027'!$K$5,"EM ANDAMENTO","A INICIAR")))</f>
        <v/>
      </c>
    </row>
    <row r="4358">
      <c r="M4358" s="2">
        <f>IF(C4358="","",IFERROR(INDEX($S$5:$S$304,MATCH(C4358,$R$5:$R$304,0))&amp;"","?"))</f>
        <v/>
      </c>
      <c r="N4358" s="2">
        <f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>
        <f>IF(OR(F4358="",G4358=""),"",IF(G4358&lt;='RETRATO 2027'!$K$5,"CONCLUÍDA",IF(F4358&lt;='RETRATO 2027'!$K$5,"EM ANDAMENTO","A INICIAR")))</f>
        <v/>
      </c>
    </row>
    <row r="4359">
      <c r="M4359" s="2">
        <f>IF(C4359="","",IFERROR(INDEX($S$5:$S$304,MATCH(C4359,$R$5:$R$304,0))&amp;"","?"))</f>
        <v/>
      </c>
      <c r="N4359" s="2">
        <f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>
        <f>IF(OR(F4359="",G4359=""),"",IF(G4359&lt;='RETRATO 2027'!$K$5,"CONCLUÍDA",IF(F4359&lt;='RETRATO 2027'!$K$5,"EM ANDAMENTO","A INICIAR")))</f>
        <v/>
      </c>
    </row>
    <row r="4360">
      <c r="M4360" s="2">
        <f>IF(C4360="","",IFERROR(INDEX($S$5:$S$304,MATCH(C4360,$R$5:$R$304,0))&amp;"","?"))</f>
        <v/>
      </c>
      <c r="N4360" s="2">
        <f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>
        <f>IF(OR(F4360="",G4360=""),"",IF(G4360&lt;='RETRATO 2027'!$K$5,"CONCLUÍDA",IF(F4360&lt;='RETRATO 2027'!$K$5,"EM ANDAMENTO","A INICIAR")))</f>
        <v/>
      </c>
    </row>
    <row r="4361">
      <c r="M4361" s="2">
        <f>IF(C4361="","",IFERROR(INDEX($S$5:$S$304,MATCH(C4361,$R$5:$R$304,0))&amp;"","?"))</f>
        <v/>
      </c>
      <c r="N4361" s="2">
        <f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>
        <f>IF(OR(F4361="",G4361=""),"",IF(G4361&lt;='RETRATO 2027'!$K$5,"CONCLUÍDA",IF(F4361&lt;='RETRATO 2027'!$K$5,"EM ANDAMENTO","A INICIAR")))</f>
        <v/>
      </c>
    </row>
    <row r="4362">
      <c r="M4362" s="2">
        <f>IF(C4362="","",IFERROR(INDEX($S$5:$S$304,MATCH(C4362,$R$5:$R$304,0))&amp;"","?"))</f>
        <v/>
      </c>
      <c r="N4362" s="2">
        <f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>
        <f>IF(OR(F4362="",G4362=""),"",IF(G4362&lt;='RETRATO 2027'!$K$5,"CONCLUÍDA",IF(F4362&lt;='RETRATO 2027'!$K$5,"EM ANDAMENTO","A INICIAR")))</f>
        <v/>
      </c>
    </row>
    <row r="4363">
      <c r="M4363" s="2">
        <f>IF(C4363="","",IFERROR(INDEX($S$5:$S$304,MATCH(C4363,$R$5:$R$304,0))&amp;"","?"))</f>
        <v/>
      </c>
      <c r="N4363" s="2">
        <f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>
        <f>IF(OR(F4363="",G4363=""),"",IF(G4363&lt;='RETRATO 2027'!$K$5,"CONCLUÍDA",IF(F4363&lt;='RETRATO 2027'!$K$5,"EM ANDAMENTO","A INICIAR")))</f>
        <v/>
      </c>
    </row>
    <row r="4364">
      <c r="M4364" s="2">
        <f>IF(C4364="","",IFERROR(INDEX($S$5:$S$304,MATCH(C4364,$R$5:$R$304,0))&amp;"","?"))</f>
        <v/>
      </c>
      <c r="N4364" s="2">
        <f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>
        <f>IF(OR(F4364="",G4364=""),"",IF(G4364&lt;='RETRATO 2027'!$K$5,"CONCLUÍDA",IF(F4364&lt;='RETRATO 2027'!$K$5,"EM ANDAMENTO","A INICIAR")))</f>
        <v/>
      </c>
    </row>
    <row r="4365">
      <c r="M4365" s="2">
        <f>IF(C4365="","",IFERROR(INDEX($S$5:$S$304,MATCH(C4365,$R$5:$R$304,0))&amp;"","?"))</f>
        <v/>
      </c>
      <c r="N4365" s="2">
        <f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>
        <f>IF(OR(F4365="",G4365=""),"",IF(G4365&lt;='RETRATO 2027'!$K$5,"CONCLUÍDA",IF(F4365&lt;='RETRATO 2027'!$K$5,"EM ANDAMENTO","A INICIAR")))</f>
        <v/>
      </c>
    </row>
    <row r="4366">
      <c r="M4366" s="2">
        <f>IF(C4366="","",IFERROR(INDEX($S$5:$S$304,MATCH(C4366,$R$5:$R$304,0))&amp;"","?"))</f>
        <v/>
      </c>
      <c r="N4366" s="2">
        <f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>
        <f>IF(OR(F4366="",G4366=""),"",IF(G4366&lt;='RETRATO 2027'!$K$5,"CONCLUÍDA",IF(F4366&lt;='RETRATO 2027'!$K$5,"EM ANDAMENTO","A INICIAR")))</f>
        <v/>
      </c>
    </row>
    <row r="4367">
      <c r="M4367" s="2">
        <f>IF(C4367="","",IFERROR(INDEX($S$5:$S$304,MATCH(C4367,$R$5:$R$304,0))&amp;"","?"))</f>
        <v/>
      </c>
      <c r="N4367" s="2">
        <f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>
        <f>IF(OR(F4367="",G4367=""),"",IF(G4367&lt;='RETRATO 2027'!$K$5,"CONCLUÍDA",IF(F4367&lt;='RETRATO 2027'!$K$5,"EM ANDAMENTO","A INICIAR")))</f>
        <v/>
      </c>
    </row>
    <row r="4368">
      <c r="M4368" s="2">
        <f>IF(C4368="","",IFERROR(INDEX($S$5:$S$304,MATCH(C4368,$R$5:$R$304,0))&amp;"","?"))</f>
        <v/>
      </c>
      <c r="N4368" s="2">
        <f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>
        <f>IF(OR(F4368="",G4368=""),"",IF(G4368&lt;='RETRATO 2027'!$K$5,"CONCLUÍDA",IF(F4368&lt;='RETRATO 2027'!$K$5,"EM ANDAMENTO","A INICIAR")))</f>
        <v/>
      </c>
    </row>
    <row r="4369">
      <c r="M4369" s="2">
        <f>IF(C4369="","",IFERROR(INDEX($S$5:$S$304,MATCH(C4369,$R$5:$R$304,0))&amp;"","?"))</f>
        <v/>
      </c>
      <c r="N4369" s="2">
        <f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>
        <f>IF(OR(F4369="",G4369=""),"",IF(G4369&lt;='RETRATO 2027'!$K$5,"CONCLUÍDA",IF(F4369&lt;='RETRATO 2027'!$K$5,"EM ANDAMENTO","A INICIAR")))</f>
        <v/>
      </c>
    </row>
    <row r="4370">
      <c r="M4370" s="2">
        <f>IF(C4370="","",IFERROR(INDEX($S$5:$S$304,MATCH(C4370,$R$5:$R$304,0))&amp;"","?"))</f>
        <v/>
      </c>
      <c r="N4370" s="2">
        <f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>
        <f>IF(OR(F4370="",G4370=""),"",IF(G4370&lt;='RETRATO 2027'!$K$5,"CONCLUÍDA",IF(F4370&lt;='RETRATO 2027'!$K$5,"EM ANDAMENTO","A INICIAR")))</f>
        <v/>
      </c>
    </row>
    <row r="4371">
      <c r="M4371" s="2">
        <f>IF(C4371="","",IFERROR(INDEX($S$5:$S$304,MATCH(C4371,$R$5:$R$304,0))&amp;"","?"))</f>
        <v/>
      </c>
      <c r="N4371" s="2">
        <f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>
        <f>IF(OR(F4371="",G4371=""),"",IF(G4371&lt;='RETRATO 2027'!$K$5,"CONCLUÍDA",IF(F4371&lt;='RETRATO 2027'!$K$5,"EM ANDAMENTO","A INICIAR")))</f>
        <v/>
      </c>
    </row>
    <row r="4372">
      <c r="M4372" s="2">
        <f>IF(C4372="","",IFERROR(INDEX($S$5:$S$304,MATCH(C4372,$R$5:$R$304,0))&amp;"","?"))</f>
        <v/>
      </c>
      <c r="N4372" s="2">
        <f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>
        <f>IF(OR(F4372="",G4372=""),"",IF(G4372&lt;='RETRATO 2027'!$K$5,"CONCLUÍDA",IF(F4372&lt;='RETRATO 2027'!$K$5,"EM ANDAMENTO","A INICIAR")))</f>
        <v/>
      </c>
    </row>
    <row r="4373">
      <c r="M4373" s="2">
        <f>IF(C4373="","",IFERROR(INDEX($S$5:$S$304,MATCH(C4373,$R$5:$R$304,0))&amp;"","?"))</f>
        <v/>
      </c>
      <c r="N4373" s="2">
        <f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>
        <f>IF(OR(F4373="",G4373=""),"",IF(G4373&lt;='RETRATO 2027'!$K$5,"CONCLUÍDA",IF(F4373&lt;='RETRATO 2027'!$K$5,"EM ANDAMENTO","A INICIAR")))</f>
        <v/>
      </c>
    </row>
    <row r="4374">
      <c r="M4374" s="2">
        <f>IF(C4374="","",IFERROR(INDEX($S$5:$S$304,MATCH(C4374,$R$5:$R$304,0))&amp;"","?"))</f>
        <v/>
      </c>
      <c r="N4374" s="2">
        <f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>
        <f>IF(OR(F4374="",G4374=""),"",IF(G4374&lt;='RETRATO 2027'!$K$5,"CONCLUÍDA",IF(F4374&lt;='RETRATO 2027'!$K$5,"EM ANDAMENTO","A INICIAR")))</f>
        <v/>
      </c>
    </row>
    <row r="4375">
      <c r="M4375" s="2">
        <f>IF(C4375="","",IFERROR(INDEX($S$5:$S$304,MATCH(C4375,$R$5:$R$304,0))&amp;"","?"))</f>
        <v/>
      </c>
      <c r="N4375" s="2">
        <f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>
        <f>IF(OR(F4375="",G4375=""),"",IF(G4375&lt;='RETRATO 2027'!$K$5,"CONCLUÍDA",IF(F4375&lt;='RETRATO 2027'!$K$5,"EM ANDAMENTO","A INICIAR")))</f>
        <v/>
      </c>
    </row>
    <row r="4376">
      <c r="M4376" s="2">
        <f>IF(C4376="","",IFERROR(INDEX($S$5:$S$304,MATCH(C4376,$R$5:$R$304,0))&amp;"","?"))</f>
        <v/>
      </c>
      <c r="N4376" s="2">
        <f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>
        <f>IF(OR(F4376="",G4376=""),"",IF(G4376&lt;='RETRATO 2027'!$K$5,"CONCLUÍDA",IF(F4376&lt;='RETRATO 2027'!$K$5,"EM ANDAMENTO","A INICIAR")))</f>
        <v/>
      </c>
    </row>
    <row r="4377">
      <c r="M4377" s="2">
        <f>IF(C4377="","",IFERROR(INDEX($S$5:$S$304,MATCH(C4377,$R$5:$R$304,0))&amp;"","?"))</f>
        <v/>
      </c>
      <c r="N4377" s="2">
        <f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>
        <f>IF(OR(F4377="",G4377=""),"",IF(G4377&lt;='RETRATO 2027'!$K$5,"CONCLUÍDA",IF(F4377&lt;='RETRATO 2027'!$K$5,"EM ANDAMENTO","A INICIAR")))</f>
        <v/>
      </c>
    </row>
    <row r="4378">
      <c r="M4378" s="2">
        <f>IF(C4378="","",IFERROR(INDEX($S$5:$S$304,MATCH(C4378,$R$5:$R$304,0))&amp;"","?"))</f>
        <v/>
      </c>
      <c r="N4378" s="2">
        <f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>
        <f>IF(OR(F4378="",G4378=""),"",IF(G4378&lt;='RETRATO 2027'!$K$5,"CONCLUÍDA",IF(F4378&lt;='RETRATO 2027'!$K$5,"EM ANDAMENTO","A INICIAR")))</f>
        <v/>
      </c>
    </row>
    <row r="4379">
      <c r="M4379" s="2">
        <f>IF(C4379="","",IFERROR(INDEX($S$5:$S$304,MATCH(C4379,$R$5:$R$304,0))&amp;"","?"))</f>
        <v/>
      </c>
      <c r="N4379" s="2">
        <f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>
        <f>IF(OR(F4379="",G4379=""),"",IF(G4379&lt;='RETRATO 2027'!$K$5,"CONCLUÍDA",IF(F4379&lt;='RETRATO 2027'!$K$5,"EM ANDAMENTO","A INICIAR")))</f>
        <v/>
      </c>
    </row>
    <row r="4380">
      <c r="M4380" s="2">
        <f>IF(C4380="","",IFERROR(INDEX($S$5:$S$304,MATCH(C4380,$R$5:$R$304,0))&amp;"","?"))</f>
        <v/>
      </c>
      <c r="N4380" s="2">
        <f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>
        <f>IF(OR(F4380="",G4380=""),"",IF(G4380&lt;='RETRATO 2027'!$K$5,"CONCLUÍDA",IF(F4380&lt;='RETRATO 2027'!$K$5,"EM ANDAMENTO","A INICIAR")))</f>
        <v/>
      </c>
    </row>
    <row r="4381">
      <c r="M4381" s="2">
        <f>IF(C4381="","",IFERROR(INDEX($S$5:$S$304,MATCH(C4381,$R$5:$R$304,0))&amp;"","?"))</f>
        <v/>
      </c>
      <c r="N4381" s="2">
        <f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>
        <f>IF(OR(F4381="",G4381=""),"",IF(G4381&lt;='RETRATO 2027'!$K$5,"CONCLUÍDA",IF(F4381&lt;='RETRATO 2027'!$K$5,"EM ANDAMENTO","A INICIAR")))</f>
        <v/>
      </c>
    </row>
    <row r="4382">
      <c r="M4382" s="2">
        <f>IF(C4382="","",IFERROR(INDEX($S$5:$S$304,MATCH(C4382,$R$5:$R$304,0))&amp;"","?"))</f>
        <v/>
      </c>
      <c r="N4382" s="2">
        <f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>
        <f>IF(OR(F4382="",G4382=""),"",IF(G4382&lt;='RETRATO 2027'!$K$5,"CONCLUÍDA",IF(F4382&lt;='RETRATO 2027'!$K$5,"EM ANDAMENTO","A INICIAR")))</f>
        <v/>
      </c>
    </row>
    <row r="4383">
      <c r="M4383" s="2">
        <f>IF(C4383="","",IFERROR(INDEX($S$5:$S$304,MATCH(C4383,$R$5:$R$304,0))&amp;"","?"))</f>
        <v/>
      </c>
      <c r="N4383" s="2">
        <f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>
        <f>IF(OR(F4383="",G4383=""),"",IF(G4383&lt;='RETRATO 2027'!$K$5,"CONCLUÍDA",IF(F4383&lt;='RETRATO 2027'!$K$5,"EM ANDAMENTO","A INICIAR")))</f>
        <v/>
      </c>
    </row>
    <row r="4384">
      <c r="M4384" s="2">
        <f>IF(C4384="","",IFERROR(INDEX($S$5:$S$304,MATCH(C4384,$R$5:$R$304,0))&amp;"","?"))</f>
        <v/>
      </c>
      <c r="N4384" s="2">
        <f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>
        <f>IF(OR(F4384="",G4384=""),"",IF(G4384&lt;='RETRATO 2027'!$K$5,"CONCLUÍDA",IF(F4384&lt;='RETRATO 2027'!$K$5,"EM ANDAMENTO","A INICIAR")))</f>
        <v/>
      </c>
    </row>
    <row r="4385">
      <c r="M4385" s="2">
        <f>IF(C4385="","",IFERROR(INDEX($S$5:$S$304,MATCH(C4385,$R$5:$R$304,0))&amp;"","?"))</f>
        <v/>
      </c>
      <c r="N4385" s="2">
        <f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>
        <f>IF(OR(F4385="",G4385=""),"",IF(G4385&lt;='RETRATO 2027'!$K$5,"CONCLUÍDA",IF(F4385&lt;='RETRATO 2027'!$K$5,"EM ANDAMENTO","A INICIAR")))</f>
        <v/>
      </c>
    </row>
    <row r="4386">
      <c r="M4386" s="2">
        <f>IF(C4386="","",IFERROR(INDEX($S$5:$S$304,MATCH(C4386,$R$5:$R$304,0))&amp;"","?"))</f>
        <v/>
      </c>
      <c r="N4386" s="2">
        <f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>
        <f>IF(OR(F4386="",G4386=""),"",IF(G4386&lt;='RETRATO 2027'!$K$5,"CONCLUÍDA",IF(F4386&lt;='RETRATO 2027'!$K$5,"EM ANDAMENTO","A INICIAR")))</f>
        <v/>
      </c>
    </row>
    <row r="4387">
      <c r="M4387" s="2">
        <f>IF(C4387="","",IFERROR(INDEX($S$5:$S$304,MATCH(C4387,$R$5:$R$304,0))&amp;"","?"))</f>
        <v/>
      </c>
      <c r="N4387" s="2">
        <f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>
        <f>IF(OR(F4387="",G4387=""),"",IF(G4387&lt;='RETRATO 2027'!$K$5,"CONCLUÍDA",IF(F4387&lt;='RETRATO 2027'!$K$5,"EM ANDAMENTO","A INICIAR")))</f>
        <v/>
      </c>
    </row>
    <row r="4388">
      <c r="M4388" s="2">
        <f>IF(C4388="","",IFERROR(INDEX($S$5:$S$304,MATCH(C4388,$R$5:$R$304,0))&amp;"","?"))</f>
        <v/>
      </c>
      <c r="N4388" s="2">
        <f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>
        <f>IF(OR(F4388="",G4388=""),"",IF(G4388&lt;='RETRATO 2027'!$K$5,"CONCLUÍDA",IF(F4388&lt;='RETRATO 2027'!$K$5,"EM ANDAMENTO","A INICIAR")))</f>
        <v/>
      </c>
    </row>
    <row r="4389">
      <c r="M4389" s="2">
        <f>IF(C4389="","",IFERROR(INDEX($S$5:$S$304,MATCH(C4389,$R$5:$R$304,0))&amp;"","?"))</f>
        <v/>
      </c>
      <c r="N4389" s="2">
        <f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>
        <f>IF(OR(F4389="",G4389=""),"",IF(G4389&lt;='RETRATO 2027'!$K$5,"CONCLUÍDA",IF(F4389&lt;='RETRATO 2027'!$K$5,"EM ANDAMENTO","A INICIAR")))</f>
        <v/>
      </c>
    </row>
    <row r="4390">
      <c r="M4390" s="2">
        <f>IF(C4390="","",IFERROR(INDEX($S$5:$S$304,MATCH(C4390,$R$5:$R$304,0))&amp;"","?"))</f>
        <v/>
      </c>
      <c r="N4390" s="2">
        <f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>
        <f>IF(OR(F4390="",G4390=""),"",IF(G4390&lt;='RETRATO 2027'!$K$5,"CONCLUÍDA",IF(F4390&lt;='RETRATO 2027'!$K$5,"EM ANDAMENTO","A INICIAR")))</f>
        <v/>
      </c>
    </row>
    <row r="4391">
      <c r="M4391" s="2">
        <f>IF(C4391="","",IFERROR(INDEX($S$5:$S$304,MATCH(C4391,$R$5:$R$304,0))&amp;"","?"))</f>
        <v/>
      </c>
      <c r="N4391" s="2">
        <f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>
        <f>IF(OR(F4391="",G4391=""),"",IF(G4391&lt;='RETRATO 2027'!$K$5,"CONCLUÍDA",IF(F4391&lt;='RETRATO 2027'!$K$5,"EM ANDAMENTO","A INICIAR")))</f>
        <v/>
      </c>
    </row>
    <row r="4392">
      <c r="M4392" s="2">
        <f>IF(C4392="","",IFERROR(INDEX($S$5:$S$304,MATCH(C4392,$R$5:$R$304,0))&amp;"","?"))</f>
        <v/>
      </c>
      <c r="N4392" s="2">
        <f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>
        <f>IF(OR(F4392="",G4392=""),"",IF(G4392&lt;='RETRATO 2027'!$K$5,"CONCLUÍDA",IF(F4392&lt;='RETRATO 2027'!$K$5,"EM ANDAMENTO","A INICIAR")))</f>
        <v/>
      </c>
    </row>
    <row r="4393">
      <c r="M4393" s="2">
        <f>IF(C4393="","",IFERROR(INDEX($S$5:$S$304,MATCH(C4393,$R$5:$R$304,0))&amp;"","?"))</f>
        <v/>
      </c>
      <c r="N4393" s="2">
        <f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>
        <f>IF(OR(F4393="",G4393=""),"",IF(G4393&lt;='RETRATO 2027'!$K$5,"CONCLUÍDA",IF(F4393&lt;='RETRATO 2027'!$K$5,"EM ANDAMENTO","A INICIAR")))</f>
        <v/>
      </c>
    </row>
    <row r="4394">
      <c r="M4394" s="2">
        <f>IF(C4394="","",IFERROR(INDEX($S$5:$S$304,MATCH(C4394,$R$5:$R$304,0))&amp;"","?"))</f>
        <v/>
      </c>
      <c r="N4394" s="2">
        <f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>
        <f>IF(OR(F4394="",G4394=""),"",IF(G4394&lt;='RETRATO 2027'!$K$5,"CONCLUÍDA",IF(F4394&lt;='RETRATO 2027'!$K$5,"EM ANDAMENTO","A INICIAR")))</f>
        <v/>
      </c>
    </row>
    <row r="4395">
      <c r="M4395" s="2">
        <f>IF(C4395="","",IFERROR(INDEX($S$5:$S$304,MATCH(C4395,$R$5:$R$304,0))&amp;"","?"))</f>
        <v/>
      </c>
      <c r="N4395" s="2">
        <f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>
        <f>IF(OR(F4395="",G4395=""),"",IF(G4395&lt;='RETRATO 2027'!$K$5,"CONCLUÍDA",IF(F4395&lt;='RETRATO 2027'!$K$5,"EM ANDAMENTO","A INICIAR")))</f>
        <v/>
      </c>
    </row>
    <row r="4396">
      <c r="M4396" s="2">
        <f>IF(C4396="","",IFERROR(INDEX($S$5:$S$304,MATCH(C4396,$R$5:$R$304,0))&amp;"","?"))</f>
        <v/>
      </c>
      <c r="N4396" s="2">
        <f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>
        <f>IF(OR(F4396="",G4396=""),"",IF(G4396&lt;='RETRATO 2027'!$K$5,"CONCLUÍDA",IF(F4396&lt;='RETRATO 2027'!$K$5,"EM ANDAMENTO","A INICIAR")))</f>
        <v/>
      </c>
    </row>
    <row r="4397">
      <c r="M4397" s="2">
        <f>IF(C4397="","",IFERROR(INDEX($S$5:$S$304,MATCH(C4397,$R$5:$R$304,0))&amp;"","?"))</f>
        <v/>
      </c>
      <c r="N4397" s="2">
        <f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>
        <f>IF(OR(F4397="",G4397=""),"",IF(G4397&lt;='RETRATO 2027'!$K$5,"CONCLUÍDA",IF(F4397&lt;='RETRATO 2027'!$K$5,"EM ANDAMENTO","A INICIAR")))</f>
        <v/>
      </c>
    </row>
    <row r="4398">
      <c r="M4398" s="2">
        <f>IF(C4398="","",IFERROR(INDEX($S$5:$S$304,MATCH(C4398,$R$5:$R$304,0))&amp;"","?"))</f>
        <v/>
      </c>
      <c r="N4398" s="2">
        <f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>
        <f>IF(OR(F4398="",G4398=""),"",IF(G4398&lt;='RETRATO 2027'!$K$5,"CONCLUÍDA",IF(F4398&lt;='RETRATO 2027'!$K$5,"EM ANDAMENTO","A INICIAR")))</f>
        <v/>
      </c>
    </row>
    <row r="4399">
      <c r="M4399" s="2">
        <f>IF(C4399="","",IFERROR(INDEX($S$5:$S$304,MATCH(C4399,$R$5:$R$304,0))&amp;"","?"))</f>
        <v/>
      </c>
      <c r="N4399" s="2">
        <f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>
        <f>IF(OR(F4399="",G4399=""),"",IF(G4399&lt;='RETRATO 2027'!$K$5,"CONCLUÍDA",IF(F4399&lt;='RETRATO 2027'!$K$5,"EM ANDAMENTO","A INICIAR")))</f>
        <v/>
      </c>
    </row>
    <row r="4400">
      <c r="M4400" s="2">
        <f>IF(C4400="","",IFERROR(INDEX($S$5:$S$304,MATCH(C4400,$R$5:$R$304,0))&amp;"","?"))</f>
        <v/>
      </c>
      <c r="N4400" s="2">
        <f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>
        <f>IF(OR(F4400="",G4400=""),"",IF(G4400&lt;='RETRATO 2027'!$K$5,"CONCLUÍDA",IF(F4400&lt;='RETRATO 2027'!$K$5,"EM ANDAMENTO","A INICIAR")))</f>
        <v/>
      </c>
    </row>
    <row r="4401">
      <c r="M4401" s="2">
        <f>IF(C4401="","",IFERROR(INDEX($S$5:$S$304,MATCH(C4401,$R$5:$R$304,0))&amp;"","?"))</f>
        <v/>
      </c>
      <c r="N4401" s="2">
        <f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>
        <f>IF(OR(F4401="",G4401=""),"",IF(G4401&lt;='RETRATO 2027'!$K$5,"CONCLUÍDA",IF(F4401&lt;='RETRATO 2027'!$K$5,"EM ANDAMENTO","A INICIAR")))</f>
        <v/>
      </c>
    </row>
    <row r="4402">
      <c r="M4402" s="2">
        <f>IF(C4402="","",IFERROR(INDEX($S$5:$S$304,MATCH(C4402,$R$5:$R$304,0))&amp;"","?"))</f>
        <v/>
      </c>
      <c r="N4402" s="2">
        <f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>
        <f>IF(OR(F4402="",G4402=""),"",IF(G4402&lt;='RETRATO 2027'!$K$5,"CONCLUÍDA",IF(F4402&lt;='RETRATO 2027'!$K$5,"EM ANDAMENTO","A INICIAR")))</f>
        <v/>
      </c>
    </row>
    <row r="4403">
      <c r="M4403" s="2">
        <f>IF(C4403="","",IFERROR(INDEX($S$5:$S$304,MATCH(C4403,$R$5:$R$304,0))&amp;"","?"))</f>
        <v/>
      </c>
      <c r="N4403" s="2">
        <f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>
        <f>IF(OR(F4403="",G4403=""),"",IF(G4403&lt;='RETRATO 2027'!$K$5,"CONCLUÍDA",IF(F4403&lt;='RETRATO 2027'!$K$5,"EM ANDAMENTO","A INICIAR")))</f>
        <v/>
      </c>
    </row>
    <row r="4404">
      <c r="M4404" s="2">
        <f>IF(C4404="","",IFERROR(INDEX($S$5:$S$304,MATCH(C4404,$R$5:$R$304,0))&amp;"","?"))</f>
        <v/>
      </c>
      <c r="N4404" s="2">
        <f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>
        <f>IF(OR(F4404="",G4404=""),"",IF(G4404&lt;='RETRATO 2027'!$K$5,"CONCLUÍDA",IF(F4404&lt;='RETRATO 2027'!$K$5,"EM ANDAMENTO","A INICIAR")))</f>
        <v/>
      </c>
    </row>
    <row r="4405">
      <c r="M4405" s="2">
        <f>IF(C4405="","",IFERROR(INDEX($S$5:$S$304,MATCH(C4405,$R$5:$R$304,0))&amp;"","?"))</f>
        <v/>
      </c>
      <c r="N4405" s="2">
        <f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>
        <f>IF(OR(F4405="",G4405=""),"",IF(G4405&lt;='RETRATO 2027'!$K$5,"CONCLUÍDA",IF(F4405&lt;='RETRATO 2027'!$K$5,"EM ANDAMENTO","A INICIAR")))</f>
        <v/>
      </c>
    </row>
    <row r="4406">
      <c r="M4406" s="2">
        <f>IF(C4406="","",IFERROR(INDEX($S$5:$S$304,MATCH(C4406,$R$5:$R$304,0))&amp;"","?"))</f>
        <v/>
      </c>
      <c r="N4406" s="2">
        <f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>
        <f>IF(OR(F4406="",G4406=""),"",IF(G4406&lt;='RETRATO 2027'!$K$5,"CONCLUÍDA",IF(F4406&lt;='RETRATO 2027'!$K$5,"EM ANDAMENTO","A INICIAR")))</f>
        <v/>
      </c>
    </row>
    <row r="4407">
      <c r="M4407" s="2">
        <f>IF(C4407="","",IFERROR(INDEX($S$5:$S$304,MATCH(C4407,$R$5:$R$304,0))&amp;"","?"))</f>
        <v/>
      </c>
      <c r="N4407" s="2">
        <f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>
        <f>IF(OR(F4407="",G4407=""),"",IF(G4407&lt;='RETRATO 2027'!$K$5,"CONCLUÍDA",IF(F4407&lt;='RETRATO 2027'!$K$5,"EM ANDAMENTO","A INICIAR")))</f>
        <v/>
      </c>
    </row>
    <row r="4408">
      <c r="M4408" s="2">
        <f>IF(C4408="","",IFERROR(INDEX($S$5:$S$304,MATCH(C4408,$R$5:$R$304,0))&amp;"","?"))</f>
        <v/>
      </c>
      <c r="N4408" s="2">
        <f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>
        <f>IF(OR(F4408="",G4408=""),"",IF(G4408&lt;='RETRATO 2027'!$K$5,"CONCLUÍDA",IF(F4408&lt;='RETRATO 2027'!$K$5,"EM ANDAMENTO","A INICIAR")))</f>
        <v/>
      </c>
    </row>
    <row r="4409">
      <c r="M4409" s="2">
        <f>IF(C4409="","",IFERROR(INDEX($S$5:$S$304,MATCH(C4409,$R$5:$R$304,0))&amp;"","?"))</f>
        <v/>
      </c>
      <c r="N4409" s="2">
        <f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>
        <f>IF(OR(F4409="",G4409=""),"",IF(G4409&lt;='RETRATO 2027'!$K$5,"CONCLUÍDA",IF(F4409&lt;='RETRATO 2027'!$K$5,"EM ANDAMENTO","A INICIAR")))</f>
        <v/>
      </c>
    </row>
    <row r="4410">
      <c r="M4410" s="2">
        <f>IF(C4410="","",IFERROR(INDEX($S$5:$S$304,MATCH(C4410,$R$5:$R$304,0))&amp;"","?"))</f>
        <v/>
      </c>
      <c r="N4410" s="2">
        <f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>
        <f>IF(OR(F4410="",G4410=""),"",IF(G4410&lt;='RETRATO 2027'!$K$5,"CONCLUÍDA",IF(F4410&lt;='RETRATO 2027'!$K$5,"EM ANDAMENTO","A INICIAR")))</f>
        <v/>
      </c>
    </row>
    <row r="4411">
      <c r="M4411" s="2">
        <f>IF(C4411="","",IFERROR(INDEX($S$5:$S$304,MATCH(C4411,$R$5:$R$304,0))&amp;"","?"))</f>
        <v/>
      </c>
      <c r="N4411" s="2">
        <f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>
        <f>IF(OR(F4411="",G4411=""),"",IF(G4411&lt;='RETRATO 2027'!$K$5,"CONCLUÍDA",IF(F4411&lt;='RETRATO 2027'!$K$5,"EM ANDAMENTO","A INICIAR")))</f>
        <v/>
      </c>
    </row>
    <row r="4412">
      <c r="M4412" s="2">
        <f>IF(C4412="","",IFERROR(INDEX($S$5:$S$304,MATCH(C4412,$R$5:$R$304,0))&amp;"","?"))</f>
        <v/>
      </c>
      <c r="N4412" s="2">
        <f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>
        <f>IF(OR(F4412="",G4412=""),"",IF(G4412&lt;='RETRATO 2027'!$K$5,"CONCLUÍDA",IF(F4412&lt;='RETRATO 2027'!$K$5,"EM ANDAMENTO","A INICIAR")))</f>
        <v/>
      </c>
    </row>
    <row r="4413">
      <c r="M4413" s="2">
        <f>IF(C4413="","",IFERROR(INDEX($S$5:$S$304,MATCH(C4413,$R$5:$R$304,0))&amp;"","?"))</f>
        <v/>
      </c>
      <c r="N4413" s="2">
        <f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>
        <f>IF(OR(F4413="",G4413=""),"",IF(G4413&lt;='RETRATO 2027'!$K$5,"CONCLUÍDA",IF(F4413&lt;='RETRATO 2027'!$K$5,"EM ANDAMENTO","A INICIAR")))</f>
        <v/>
      </c>
    </row>
    <row r="4414">
      <c r="M4414" s="2">
        <f>IF(C4414="","",IFERROR(INDEX($S$5:$S$304,MATCH(C4414,$R$5:$R$304,0))&amp;"","?"))</f>
        <v/>
      </c>
      <c r="N4414" s="2">
        <f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>
        <f>IF(OR(F4414="",G4414=""),"",IF(G4414&lt;='RETRATO 2027'!$K$5,"CONCLUÍDA",IF(F4414&lt;='RETRATO 2027'!$K$5,"EM ANDAMENTO","A INICIAR")))</f>
        <v/>
      </c>
    </row>
    <row r="4415">
      <c r="M4415" s="2">
        <f>IF(C4415="","",IFERROR(INDEX($S$5:$S$304,MATCH(C4415,$R$5:$R$304,0))&amp;"","?"))</f>
        <v/>
      </c>
      <c r="N4415" s="2">
        <f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>
        <f>IF(OR(F4415="",G4415=""),"",IF(G4415&lt;='RETRATO 2027'!$K$5,"CONCLUÍDA",IF(F4415&lt;='RETRATO 2027'!$K$5,"EM ANDAMENTO","A INICIAR")))</f>
        <v/>
      </c>
    </row>
    <row r="4416">
      <c r="M4416" s="2">
        <f>IF(C4416="","",IFERROR(INDEX($S$5:$S$304,MATCH(C4416,$R$5:$R$304,0))&amp;"","?"))</f>
        <v/>
      </c>
      <c r="N4416" s="2">
        <f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>
        <f>IF(OR(F4416="",G4416=""),"",IF(G4416&lt;='RETRATO 2027'!$K$5,"CONCLUÍDA",IF(F4416&lt;='RETRATO 2027'!$K$5,"EM ANDAMENTO","A INICIAR")))</f>
        <v/>
      </c>
    </row>
    <row r="4417">
      <c r="M4417" s="2">
        <f>IF(C4417="","",IFERROR(INDEX($S$5:$S$304,MATCH(C4417,$R$5:$R$304,0))&amp;"","?"))</f>
        <v/>
      </c>
      <c r="N4417" s="2">
        <f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>
        <f>IF(OR(F4417="",G4417=""),"",IF(G4417&lt;='RETRATO 2027'!$K$5,"CONCLUÍDA",IF(F4417&lt;='RETRATO 2027'!$K$5,"EM ANDAMENTO","A INICIAR")))</f>
        <v/>
      </c>
    </row>
    <row r="4418">
      <c r="M4418" s="2">
        <f>IF(C4418="","",IFERROR(INDEX($S$5:$S$304,MATCH(C4418,$R$5:$R$304,0))&amp;"","?"))</f>
        <v/>
      </c>
      <c r="N4418" s="2">
        <f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>
        <f>IF(OR(F4418="",G4418=""),"",IF(G4418&lt;='RETRATO 2027'!$K$5,"CONCLUÍDA",IF(F4418&lt;='RETRATO 2027'!$K$5,"EM ANDAMENTO","A INICIAR")))</f>
        <v/>
      </c>
    </row>
    <row r="4419">
      <c r="M4419" s="2">
        <f>IF(C4419="","",IFERROR(INDEX($S$5:$S$304,MATCH(C4419,$R$5:$R$304,0))&amp;"","?"))</f>
        <v/>
      </c>
      <c r="N4419" s="2">
        <f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>
        <f>IF(OR(F4419="",G4419=""),"",IF(G4419&lt;='RETRATO 2027'!$K$5,"CONCLUÍDA",IF(F4419&lt;='RETRATO 2027'!$K$5,"EM ANDAMENTO","A INICIAR")))</f>
        <v/>
      </c>
    </row>
    <row r="4420">
      <c r="M4420" s="2">
        <f>IF(C4420="","",IFERROR(INDEX($S$5:$S$304,MATCH(C4420,$R$5:$R$304,0))&amp;"","?"))</f>
        <v/>
      </c>
      <c r="N4420" s="2">
        <f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>
        <f>IF(OR(F4420="",G4420=""),"",IF(G4420&lt;='RETRATO 2027'!$K$5,"CONCLUÍDA",IF(F4420&lt;='RETRATO 2027'!$K$5,"EM ANDAMENTO","A INICIAR")))</f>
        <v/>
      </c>
    </row>
    <row r="4421">
      <c r="M4421" s="2">
        <f>IF(C4421="","",IFERROR(INDEX($S$5:$S$304,MATCH(C4421,$R$5:$R$304,0))&amp;"","?"))</f>
        <v/>
      </c>
      <c r="N4421" s="2">
        <f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>
        <f>IF(OR(F4421="",G4421=""),"",IF(G4421&lt;='RETRATO 2027'!$K$5,"CONCLUÍDA",IF(F4421&lt;='RETRATO 2027'!$K$5,"EM ANDAMENTO","A INICIAR")))</f>
        <v/>
      </c>
    </row>
    <row r="4422">
      <c r="M4422" s="2">
        <f>IF(C4422="","",IFERROR(INDEX($S$5:$S$304,MATCH(C4422,$R$5:$R$304,0))&amp;"","?"))</f>
        <v/>
      </c>
      <c r="N4422" s="2">
        <f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>
        <f>IF(OR(F4422="",G4422=""),"",IF(G4422&lt;='RETRATO 2027'!$K$5,"CONCLUÍDA",IF(F4422&lt;='RETRATO 2027'!$K$5,"EM ANDAMENTO","A INICIAR")))</f>
        <v/>
      </c>
    </row>
    <row r="4423">
      <c r="M4423" s="2">
        <f>IF(C4423="","",IFERROR(INDEX($S$5:$S$304,MATCH(C4423,$R$5:$R$304,0))&amp;"","?"))</f>
        <v/>
      </c>
      <c r="N4423" s="2">
        <f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>
        <f>IF(OR(F4423="",G4423=""),"",IF(G4423&lt;='RETRATO 2027'!$K$5,"CONCLUÍDA",IF(F4423&lt;='RETRATO 2027'!$K$5,"EM ANDAMENTO","A INICIAR")))</f>
        <v/>
      </c>
    </row>
    <row r="4424">
      <c r="M4424" s="2">
        <f>IF(C4424="","",IFERROR(INDEX($S$5:$S$304,MATCH(C4424,$R$5:$R$304,0))&amp;"","?"))</f>
        <v/>
      </c>
      <c r="N4424" s="2">
        <f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>
        <f>IF(OR(F4424="",G4424=""),"",IF(G4424&lt;='RETRATO 2027'!$K$5,"CONCLUÍDA",IF(F4424&lt;='RETRATO 2027'!$K$5,"EM ANDAMENTO","A INICIAR")))</f>
        <v/>
      </c>
    </row>
    <row r="4425">
      <c r="M4425" s="2">
        <f>IF(C4425="","",IFERROR(INDEX($S$5:$S$304,MATCH(C4425,$R$5:$R$304,0))&amp;"","?"))</f>
        <v/>
      </c>
      <c r="N4425" s="2">
        <f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>
        <f>IF(OR(F4425="",G4425=""),"",IF(G4425&lt;='RETRATO 2027'!$K$5,"CONCLUÍDA",IF(F4425&lt;='RETRATO 2027'!$K$5,"EM ANDAMENTO","A INICIAR")))</f>
        <v/>
      </c>
    </row>
    <row r="4426">
      <c r="M4426" s="2">
        <f>IF(C4426="","",IFERROR(INDEX($S$5:$S$304,MATCH(C4426,$R$5:$R$304,0))&amp;"","?"))</f>
        <v/>
      </c>
      <c r="N4426" s="2">
        <f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>
        <f>IF(OR(F4426="",G4426=""),"",IF(G4426&lt;='RETRATO 2027'!$K$5,"CONCLUÍDA",IF(F4426&lt;='RETRATO 2027'!$K$5,"EM ANDAMENTO","A INICIAR")))</f>
        <v/>
      </c>
    </row>
    <row r="4427">
      <c r="M4427" s="2">
        <f>IF(C4427="","",IFERROR(INDEX($S$5:$S$304,MATCH(C4427,$R$5:$R$304,0))&amp;"","?"))</f>
        <v/>
      </c>
      <c r="N4427" s="2">
        <f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>
        <f>IF(OR(F4427="",G4427=""),"",IF(G4427&lt;='RETRATO 2027'!$K$5,"CONCLUÍDA",IF(F4427&lt;='RETRATO 2027'!$K$5,"EM ANDAMENTO","A INICIAR")))</f>
        <v/>
      </c>
    </row>
    <row r="4428">
      <c r="M4428" s="2">
        <f>IF(C4428="","",IFERROR(INDEX($S$5:$S$304,MATCH(C4428,$R$5:$R$304,0))&amp;"","?"))</f>
        <v/>
      </c>
      <c r="N4428" s="2">
        <f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>
        <f>IF(OR(F4428="",G4428=""),"",IF(G4428&lt;='RETRATO 2027'!$K$5,"CONCLUÍDA",IF(F4428&lt;='RETRATO 2027'!$K$5,"EM ANDAMENTO","A INICIAR")))</f>
        <v/>
      </c>
    </row>
    <row r="4429">
      <c r="M4429" s="2">
        <f>IF(C4429="","",IFERROR(INDEX($S$5:$S$304,MATCH(C4429,$R$5:$R$304,0))&amp;"","?"))</f>
        <v/>
      </c>
      <c r="N4429" s="2">
        <f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>
        <f>IF(OR(F4429="",G4429=""),"",IF(G4429&lt;='RETRATO 2027'!$K$5,"CONCLUÍDA",IF(F4429&lt;='RETRATO 2027'!$K$5,"EM ANDAMENTO","A INICIAR")))</f>
        <v/>
      </c>
    </row>
    <row r="4430">
      <c r="M4430" s="2">
        <f>IF(C4430="","",IFERROR(INDEX($S$5:$S$304,MATCH(C4430,$R$5:$R$304,0))&amp;"","?"))</f>
        <v/>
      </c>
      <c r="N4430" s="2">
        <f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>
        <f>IF(OR(F4430="",G4430=""),"",IF(G4430&lt;='RETRATO 2027'!$K$5,"CONCLUÍDA",IF(F4430&lt;='RETRATO 2027'!$K$5,"EM ANDAMENTO","A INICIAR")))</f>
        <v/>
      </c>
    </row>
    <row r="4431">
      <c r="M4431" s="2">
        <f>IF(C4431="","",IFERROR(INDEX($S$5:$S$304,MATCH(C4431,$R$5:$R$304,0))&amp;"","?"))</f>
        <v/>
      </c>
      <c r="N4431" s="2">
        <f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>
        <f>IF(OR(F4431="",G4431=""),"",IF(G4431&lt;='RETRATO 2027'!$K$5,"CONCLUÍDA",IF(F4431&lt;='RETRATO 2027'!$K$5,"EM ANDAMENTO","A INICIAR")))</f>
        <v/>
      </c>
    </row>
    <row r="4432">
      <c r="M4432" s="2">
        <f>IF(C4432="","",IFERROR(INDEX($S$5:$S$304,MATCH(C4432,$R$5:$R$304,0))&amp;"","?"))</f>
        <v/>
      </c>
      <c r="N4432" s="2">
        <f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>
        <f>IF(OR(F4432="",G4432=""),"",IF(G4432&lt;='RETRATO 2027'!$K$5,"CONCLUÍDA",IF(F4432&lt;='RETRATO 2027'!$K$5,"EM ANDAMENTO","A INICIAR")))</f>
        <v/>
      </c>
    </row>
    <row r="4433">
      <c r="M4433" s="2">
        <f>IF(C4433="","",IFERROR(INDEX($S$5:$S$304,MATCH(C4433,$R$5:$R$304,0))&amp;"","?"))</f>
        <v/>
      </c>
      <c r="N4433" s="2">
        <f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>
        <f>IF(OR(F4433="",G4433=""),"",IF(G4433&lt;='RETRATO 2027'!$K$5,"CONCLUÍDA",IF(F4433&lt;='RETRATO 2027'!$K$5,"EM ANDAMENTO","A INICIAR")))</f>
        <v/>
      </c>
    </row>
    <row r="4434">
      <c r="M4434" s="2">
        <f>IF(C4434="","",IFERROR(INDEX($S$5:$S$304,MATCH(C4434,$R$5:$R$304,0))&amp;"","?"))</f>
        <v/>
      </c>
      <c r="N4434" s="2">
        <f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>
        <f>IF(OR(F4434="",G4434=""),"",IF(G4434&lt;='RETRATO 2027'!$K$5,"CONCLUÍDA",IF(F4434&lt;='RETRATO 2027'!$K$5,"EM ANDAMENTO","A INICIAR")))</f>
        <v/>
      </c>
    </row>
    <row r="4435">
      <c r="M4435" s="2">
        <f>IF(C4435="","",IFERROR(INDEX($S$5:$S$304,MATCH(C4435,$R$5:$R$304,0))&amp;"","?"))</f>
        <v/>
      </c>
      <c r="N4435" s="2">
        <f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>
        <f>IF(OR(F4435="",G4435=""),"",IF(G4435&lt;='RETRATO 2027'!$K$5,"CONCLUÍDA",IF(F4435&lt;='RETRATO 2027'!$K$5,"EM ANDAMENTO","A INICIAR")))</f>
        <v/>
      </c>
    </row>
    <row r="4436">
      <c r="M4436" s="2">
        <f>IF(C4436="","",IFERROR(INDEX($S$5:$S$304,MATCH(C4436,$R$5:$R$304,0))&amp;"","?"))</f>
        <v/>
      </c>
      <c r="N4436" s="2">
        <f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>
        <f>IF(OR(F4436="",G4436=""),"",IF(G4436&lt;='RETRATO 2027'!$K$5,"CONCLUÍDA",IF(F4436&lt;='RETRATO 2027'!$K$5,"EM ANDAMENTO","A INICIAR")))</f>
        <v/>
      </c>
    </row>
    <row r="4437">
      <c r="M4437" s="2">
        <f>IF(C4437="","",IFERROR(INDEX($S$5:$S$304,MATCH(C4437,$R$5:$R$304,0))&amp;"","?"))</f>
        <v/>
      </c>
      <c r="N4437" s="2">
        <f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>
        <f>IF(OR(F4437="",G4437=""),"",IF(G4437&lt;='RETRATO 2027'!$K$5,"CONCLUÍDA",IF(F4437&lt;='RETRATO 2027'!$K$5,"EM ANDAMENTO","A INICIAR")))</f>
        <v/>
      </c>
    </row>
    <row r="4438">
      <c r="M4438" s="2">
        <f>IF(C4438="","",IFERROR(INDEX($S$5:$S$304,MATCH(C4438,$R$5:$R$304,0))&amp;"","?"))</f>
        <v/>
      </c>
      <c r="N4438" s="2">
        <f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>
        <f>IF(OR(F4438="",G4438=""),"",IF(G4438&lt;='RETRATO 2027'!$K$5,"CONCLUÍDA",IF(F4438&lt;='RETRATO 2027'!$K$5,"EM ANDAMENTO","A INICIAR")))</f>
        <v/>
      </c>
    </row>
    <row r="4439">
      <c r="M4439" s="2">
        <f>IF(C4439="","",IFERROR(INDEX($S$5:$S$304,MATCH(C4439,$R$5:$R$304,0))&amp;"","?"))</f>
        <v/>
      </c>
      <c r="N4439" s="2">
        <f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>
        <f>IF(OR(F4439="",G4439=""),"",IF(G4439&lt;='RETRATO 2027'!$K$5,"CONCLUÍDA",IF(F4439&lt;='RETRATO 2027'!$K$5,"EM ANDAMENTO","A INICIAR")))</f>
        <v/>
      </c>
    </row>
    <row r="4440">
      <c r="M4440" s="2">
        <f>IF(C4440="","",IFERROR(INDEX($S$5:$S$304,MATCH(C4440,$R$5:$R$304,0))&amp;"","?"))</f>
        <v/>
      </c>
      <c r="N4440" s="2">
        <f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>
        <f>IF(OR(F4440="",G4440=""),"",IF(G4440&lt;='RETRATO 2027'!$K$5,"CONCLUÍDA",IF(F4440&lt;='RETRATO 2027'!$K$5,"EM ANDAMENTO","A INICIAR")))</f>
        <v/>
      </c>
    </row>
    <row r="4441">
      <c r="M4441" s="2">
        <f>IF(C4441="","",IFERROR(INDEX($S$5:$S$304,MATCH(C4441,$R$5:$R$304,0))&amp;"","?"))</f>
        <v/>
      </c>
      <c r="N4441" s="2">
        <f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>
        <f>IF(OR(F4441="",G4441=""),"",IF(G4441&lt;='RETRATO 2027'!$K$5,"CONCLUÍDA",IF(F4441&lt;='RETRATO 2027'!$K$5,"EM ANDAMENTO","A INICIAR")))</f>
        <v/>
      </c>
    </row>
    <row r="4442">
      <c r="M4442" s="2">
        <f>IF(C4442="","",IFERROR(INDEX($S$5:$S$304,MATCH(C4442,$R$5:$R$304,0))&amp;"","?"))</f>
        <v/>
      </c>
      <c r="N4442" s="2">
        <f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>
        <f>IF(OR(F4442="",G4442=""),"",IF(G4442&lt;='RETRATO 2027'!$K$5,"CONCLUÍDA",IF(F4442&lt;='RETRATO 2027'!$K$5,"EM ANDAMENTO","A INICIAR")))</f>
        <v/>
      </c>
    </row>
    <row r="4443">
      <c r="M4443" s="2">
        <f>IF(C4443="","",IFERROR(INDEX($S$5:$S$304,MATCH(C4443,$R$5:$R$304,0))&amp;"","?"))</f>
        <v/>
      </c>
      <c r="N4443" s="2">
        <f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>
        <f>IF(OR(F4443="",G4443=""),"",IF(G4443&lt;='RETRATO 2027'!$K$5,"CONCLUÍDA",IF(F4443&lt;='RETRATO 2027'!$K$5,"EM ANDAMENTO","A INICIAR")))</f>
        <v/>
      </c>
    </row>
    <row r="4444">
      <c r="M4444" s="2">
        <f>IF(C4444="","",IFERROR(INDEX($S$5:$S$304,MATCH(C4444,$R$5:$R$304,0))&amp;"","?"))</f>
        <v/>
      </c>
      <c r="N4444" s="2">
        <f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>
        <f>IF(OR(F4444="",G4444=""),"",IF(G4444&lt;='RETRATO 2027'!$K$5,"CONCLUÍDA",IF(F4444&lt;='RETRATO 2027'!$K$5,"EM ANDAMENTO","A INICIAR")))</f>
        <v/>
      </c>
    </row>
    <row r="4445">
      <c r="M4445" s="2">
        <f>IF(C4445="","",IFERROR(INDEX($S$5:$S$304,MATCH(C4445,$R$5:$R$304,0))&amp;"","?"))</f>
        <v/>
      </c>
      <c r="N4445" s="2">
        <f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>
        <f>IF(OR(F4445="",G4445=""),"",IF(G4445&lt;='RETRATO 2027'!$K$5,"CONCLUÍDA",IF(F4445&lt;='RETRATO 2027'!$K$5,"EM ANDAMENTO","A INICIAR")))</f>
        <v/>
      </c>
    </row>
    <row r="4446">
      <c r="M4446" s="2">
        <f>IF(C4446="","",IFERROR(INDEX($S$5:$S$304,MATCH(C4446,$R$5:$R$304,0))&amp;"","?"))</f>
        <v/>
      </c>
      <c r="N4446" s="2">
        <f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>
        <f>IF(OR(F4446="",G4446=""),"",IF(G4446&lt;='RETRATO 2027'!$K$5,"CONCLUÍDA",IF(F4446&lt;='RETRATO 2027'!$K$5,"EM ANDAMENTO","A INICIAR")))</f>
        <v/>
      </c>
    </row>
    <row r="4447">
      <c r="M4447" s="2">
        <f>IF(C4447="","",IFERROR(INDEX($S$5:$S$304,MATCH(C4447,$R$5:$R$304,0))&amp;"","?"))</f>
        <v/>
      </c>
      <c r="N4447" s="2">
        <f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>
        <f>IF(OR(F4447="",G4447=""),"",IF(G4447&lt;='RETRATO 2027'!$K$5,"CONCLUÍDA",IF(F4447&lt;='RETRATO 2027'!$K$5,"EM ANDAMENTO","A INICIAR")))</f>
        <v/>
      </c>
    </row>
    <row r="4448">
      <c r="M4448" s="2">
        <f>IF(C4448="","",IFERROR(INDEX($S$5:$S$304,MATCH(C4448,$R$5:$R$304,0))&amp;"","?"))</f>
        <v/>
      </c>
      <c r="N4448" s="2">
        <f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>
        <f>IF(OR(F4448="",G4448=""),"",IF(G4448&lt;='RETRATO 2027'!$K$5,"CONCLUÍDA",IF(F4448&lt;='RETRATO 2027'!$K$5,"EM ANDAMENTO","A INICIAR")))</f>
        <v/>
      </c>
    </row>
    <row r="4449">
      <c r="M4449" s="2">
        <f>IF(C4449="","",IFERROR(INDEX($S$5:$S$304,MATCH(C4449,$R$5:$R$304,0))&amp;"","?"))</f>
        <v/>
      </c>
      <c r="N4449" s="2">
        <f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>
        <f>IF(OR(F4449="",G4449=""),"",IF(G4449&lt;='RETRATO 2027'!$K$5,"CONCLUÍDA",IF(F4449&lt;='RETRATO 2027'!$K$5,"EM ANDAMENTO","A INICIAR")))</f>
        <v/>
      </c>
    </row>
    <row r="4450">
      <c r="M4450" s="2">
        <f>IF(C4450="","",IFERROR(INDEX($S$5:$S$304,MATCH(C4450,$R$5:$R$304,0))&amp;"","?"))</f>
        <v/>
      </c>
      <c r="N4450" s="2">
        <f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>
        <f>IF(OR(F4450="",G4450=""),"",IF(G4450&lt;='RETRATO 2027'!$K$5,"CONCLUÍDA",IF(F4450&lt;='RETRATO 2027'!$K$5,"EM ANDAMENTO","A INICIAR")))</f>
        <v/>
      </c>
    </row>
    <row r="4451">
      <c r="M4451" s="2">
        <f>IF(C4451="","",IFERROR(INDEX($S$5:$S$304,MATCH(C4451,$R$5:$R$304,0))&amp;"","?"))</f>
        <v/>
      </c>
      <c r="N4451" s="2">
        <f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>
        <f>IF(OR(F4451="",G4451=""),"",IF(G4451&lt;='RETRATO 2027'!$K$5,"CONCLUÍDA",IF(F4451&lt;='RETRATO 2027'!$K$5,"EM ANDAMENTO","A INICIAR")))</f>
        <v/>
      </c>
    </row>
    <row r="4452">
      <c r="M4452" s="2">
        <f>IF(C4452="","",IFERROR(INDEX($S$5:$S$304,MATCH(C4452,$R$5:$R$304,0))&amp;"","?"))</f>
        <v/>
      </c>
      <c r="N4452" s="2">
        <f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>
        <f>IF(OR(F4452="",G4452=""),"",IF(G4452&lt;='RETRATO 2027'!$K$5,"CONCLUÍDA",IF(F4452&lt;='RETRATO 2027'!$K$5,"EM ANDAMENTO","A INICIAR")))</f>
        <v/>
      </c>
    </row>
    <row r="4453">
      <c r="M4453" s="2">
        <f>IF(C4453="","",IFERROR(INDEX($S$5:$S$304,MATCH(C4453,$R$5:$R$304,0))&amp;"","?"))</f>
        <v/>
      </c>
      <c r="N4453" s="2">
        <f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>
        <f>IF(OR(F4453="",G4453=""),"",IF(G4453&lt;='RETRATO 2027'!$K$5,"CONCLUÍDA",IF(F4453&lt;='RETRATO 2027'!$K$5,"EM ANDAMENTO","A INICIAR")))</f>
        <v/>
      </c>
    </row>
    <row r="4454">
      <c r="M4454" s="2">
        <f>IF(C4454="","",IFERROR(INDEX($S$5:$S$304,MATCH(C4454,$R$5:$R$304,0))&amp;"","?"))</f>
        <v/>
      </c>
      <c r="N4454" s="2">
        <f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>
        <f>IF(OR(F4454="",G4454=""),"",IF(G4454&lt;='RETRATO 2027'!$K$5,"CONCLUÍDA",IF(F4454&lt;='RETRATO 2027'!$K$5,"EM ANDAMENTO","A INICIAR")))</f>
        <v/>
      </c>
    </row>
    <row r="4455">
      <c r="M4455" s="2">
        <f>IF(C4455="","",IFERROR(INDEX($S$5:$S$304,MATCH(C4455,$R$5:$R$304,0))&amp;"","?"))</f>
        <v/>
      </c>
      <c r="N4455" s="2">
        <f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>
        <f>IF(OR(F4455="",G4455=""),"",IF(G4455&lt;='RETRATO 2027'!$K$5,"CONCLUÍDA",IF(F4455&lt;='RETRATO 2027'!$K$5,"EM ANDAMENTO","A INICIAR")))</f>
        <v/>
      </c>
    </row>
    <row r="4456">
      <c r="M4456" s="2">
        <f>IF(C4456="","",IFERROR(INDEX($S$5:$S$304,MATCH(C4456,$R$5:$R$304,0))&amp;"","?"))</f>
        <v/>
      </c>
      <c r="N4456" s="2">
        <f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>
        <f>IF(OR(F4456="",G4456=""),"",IF(G4456&lt;='RETRATO 2027'!$K$5,"CONCLUÍDA",IF(F4456&lt;='RETRATO 2027'!$K$5,"EM ANDAMENTO","A INICIAR")))</f>
        <v/>
      </c>
    </row>
    <row r="4457">
      <c r="M4457" s="2">
        <f>IF(C4457="","",IFERROR(INDEX($S$5:$S$304,MATCH(C4457,$R$5:$R$304,0))&amp;"","?"))</f>
        <v/>
      </c>
      <c r="N4457" s="2">
        <f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>
        <f>IF(OR(F4457="",G4457=""),"",IF(G4457&lt;='RETRATO 2027'!$K$5,"CONCLUÍDA",IF(F4457&lt;='RETRATO 2027'!$K$5,"EM ANDAMENTO","A INICIAR")))</f>
        <v/>
      </c>
    </row>
    <row r="4458">
      <c r="M4458" s="2">
        <f>IF(C4458="","",IFERROR(INDEX($S$5:$S$304,MATCH(C4458,$R$5:$R$304,0))&amp;"","?"))</f>
        <v/>
      </c>
      <c r="N4458" s="2">
        <f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>
        <f>IF(OR(F4458="",G4458=""),"",IF(G4458&lt;='RETRATO 2027'!$K$5,"CONCLUÍDA",IF(F4458&lt;='RETRATO 2027'!$K$5,"EM ANDAMENTO","A INICIAR")))</f>
        <v/>
      </c>
    </row>
    <row r="4459">
      <c r="M4459" s="2">
        <f>IF(C4459="","",IFERROR(INDEX($S$5:$S$304,MATCH(C4459,$R$5:$R$304,0))&amp;"","?"))</f>
        <v/>
      </c>
      <c r="N4459" s="2">
        <f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>
        <f>IF(OR(F4459="",G4459=""),"",IF(G4459&lt;='RETRATO 2027'!$K$5,"CONCLUÍDA",IF(F4459&lt;='RETRATO 2027'!$K$5,"EM ANDAMENTO","A INICIAR")))</f>
        <v/>
      </c>
    </row>
    <row r="4460">
      <c r="M4460" s="2">
        <f>IF(C4460="","",IFERROR(INDEX($S$5:$S$304,MATCH(C4460,$R$5:$R$304,0))&amp;"","?"))</f>
        <v/>
      </c>
      <c r="N4460" s="2">
        <f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>
        <f>IF(OR(F4460="",G4460=""),"",IF(G4460&lt;='RETRATO 2027'!$K$5,"CONCLUÍDA",IF(F4460&lt;='RETRATO 2027'!$K$5,"EM ANDAMENTO","A INICIAR")))</f>
        <v/>
      </c>
    </row>
    <row r="4461">
      <c r="M4461" s="2">
        <f>IF(C4461="","",IFERROR(INDEX($S$5:$S$304,MATCH(C4461,$R$5:$R$304,0))&amp;"","?"))</f>
        <v/>
      </c>
      <c r="N4461" s="2">
        <f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>
        <f>IF(OR(F4461="",G4461=""),"",IF(G4461&lt;='RETRATO 2027'!$K$5,"CONCLUÍDA",IF(F4461&lt;='RETRATO 2027'!$K$5,"EM ANDAMENTO","A INICIAR")))</f>
        <v/>
      </c>
    </row>
    <row r="4462">
      <c r="M4462" s="2">
        <f>IF(C4462="","",IFERROR(INDEX($S$5:$S$304,MATCH(C4462,$R$5:$R$304,0))&amp;"","?"))</f>
        <v/>
      </c>
      <c r="N4462" s="2">
        <f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>
        <f>IF(OR(F4462="",G4462=""),"",IF(G4462&lt;='RETRATO 2027'!$K$5,"CONCLUÍDA",IF(F4462&lt;='RETRATO 2027'!$K$5,"EM ANDAMENTO","A INICIAR")))</f>
        <v/>
      </c>
    </row>
    <row r="4463">
      <c r="M4463" s="2">
        <f>IF(C4463="","",IFERROR(INDEX($S$5:$S$304,MATCH(C4463,$R$5:$R$304,0))&amp;"","?"))</f>
        <v/>
      </c>
      <c r="N4463" s="2">
        <f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>
        <f>IF(OR(F4463="",G4463=""),"",IF(G4463&lt;='RETRATO 2027'!$K$5,"CONCLUÍDA",IF(F4463&lt;='RETRATO 2027'!$K$5,"EM ANDAMENTO","A INICIAR")))</f>
        <v/>
      </c>
    </row>
    <row r="4464">
      <c r="M4464" s="2">
        <f>IF(C4464="","",IFERROR(INDEX($S$5:$S$304,MATCH(C4464,$R$5:$R$304,0))&amp;"","?"))</f>
        <v/>
      </c>
      <c r="N4464" s="2">
        <f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>
        <f>IF(OR(F4464="",G4464=""),"",IF(G4464&lt;='RETRATO 2027'!$K$5,"CONCLUÍDA",IF(F4464&lt;='RETRATO 2027'!$K$5,"EM ANDAMENTO","A INICIAR")))</f>
        <v/>
      </c>
    </row>
    <row r="4465">
      <c r="M4465" s="2">
        <f>IF(C4465="","",IFERROR(INDEX($S$5:$S$304,MATCH(C4465,$R$5:$R$304,0))&amp;"","?"))</f>
        <v/>
      </c>
      <c r="N4465" s="2">
        <f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>
        <f>IF(OR(F4465="",G4465=""),"",IF(G4465&lt;='RETRATO 2027'!$K$5,"CONCLUÍDA",IF(F4465&lt;='RETRATO 2027'!$K$5,"EM ANDAMENTO","A INICIAR")))</f>
        <v/>
      </c>
    </row>
    <row r="4466">
      <c r="M4466" s="2">
        <f>IF(C4466="","",IFERROR(INDEX($S$5:$S$304,MATCH(C4466,$R$5:$R$304,0))&amp;"","?"))</f>
        <v/>
      </c>
      <c r="N4466" s="2">
        <f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>
        <f>IF(OR(F4466="",G4466=""),"",IF(G4466&lt;='RETRATO 2027'!$K$5,"CONCLUÍDA",IF(F4466&lt;='RETRATO 2027'!$K$5,"EM ANDAMENTO","A INICIAR")))</f>
        <v/>
      </c>
    </row>
    <row r="4467">
      <c r="M4467" s="2">
        <f>IF(C4467="","",IFERROR(INDEX($S$5:$S$304,MATCH(C4467,$R$5:$R$304,0))&amp;"","?"))</f>
        <v/>
      </c>
      <c r="N4467" s="2">
        <f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>
        <f>IF(OR(F4467="",G4467=""),"",IF(G4467&lt;='RETRATO 2027'!$K$5,"CONCLUÍDA",IF(F4467&lt;='RETRATO 2027'!$K$5,"EM ANDAMENTO","A INICIAR")))</f>
        <v/>
      </c>
    </row>
    <row r="4468">
      <c r="M4468" s="2">
        <f>IF(C4468="","",IFERROR(INDEX($S$5:$S$304,MATCH(C4468,$R$5:$R$304,0))&amp;"","?"))</f>
        <v/>
      </c>
      <c r="N4468" s="2">
        <f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>
        <f>IF(OR(F4468="",G4468=""),"",IF(G4468&lt;='RETRATO 2027'!$K$5,"CONCLUÍDA",IF(F4468&lt;='RETRATO 2027'!$K$5,"EM ANDAMENTO","A INICIAR")))</f>
        <v/>
      </c>
    </row>
    <row r="4469">
      <c r="M4469" s="2">
        <f>IF(C4469="","",IFERROR(INDEX($S$5:$S$304,MATCH(C4469,$R$5:$R$304,0))&amp;"","?"))</f>
        <v/>
      </c>
      <c r="N4469" s="2">
        <f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>
        <f>IF(OR(F4469="",G4469=""),"",IF(G4469&lt;='RETRATO 2027'!$K$5,"CONCLUÍDA",IF(F4469&lt;='RETRATO 2027'!$K$5,"EM ANDAMENTO","A INICIAR")))</f>
        <v/>
      </c>
    </row>
    <row r="4470">
      <c r="M4470" s="2">
        <f>IF(C4470="","",IFERROR(INDEX($S$5:$S$304,MATCH(C4470,$R$5:$R$304,0))&amp;"","?"))</f>
        <v/>
      </c>
      <c r="N4470" s="2">
        <f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>
        <f>IF(OR(F4470="",G4470=""),"",IF(G4470&lt;='RETRATO 2027'!$K$5,"CONCLUÍDA",IF(F4470&lt;='RETRATO 2027'!$K$5,"EM ANDAMENTO","A INICIAR")))</f>
        <v/>
      </c>
    </row>
    <row r="4471">
      <c r="M4471" s="2">
        <f>IF(C4471="","",IFERROR(INDEX($S$5:$S$304,MATCH(C4471,$R$5:$R$304,0))&amp;"","?"))</f>
        <v/>
      </c>
      <c r="N4471" s="2">
        <f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>
        <f>IF(OR(F4471="",G4471=""),"",IF(G4471&lt;='RETRATO 2027'!$K$5,"CONCLUÍDA",IF(F4471&lt;='RETRATO 2027'!$K$5,"EM ANDAMENTO","A INICIAR")))</f>
        <v/>
      </c>
    </row>
    <row r="4472">
      <c r="M4472" s="2">
        <f>IF(C4472="","",IFERROR(INDEX($S$5:$S$304,MATCH(C4472,$R$5:$R$304,0))&amp;"","?"))</f>
        <v/>
      </c>
      <c r="N4472" s="2">
        <f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>
        <f>IF(OR(F4472="",G4472=""),"",IF(G4472&lt;='RETRATO 2027'!$K$5,"CONCLUÍDA",IF(F4472&lt;='RETRATO 2027'!$K$5,"EM ANDAMENTO","A INICIAR")))</f>
        <v/>
      </c>
    </row>
    <row r="4473">
      <c r="M4473" s="2">
        <f>IF(C4473="","",IFERROR(INDEX($S$5:$S$304,MATCH(C4473,$R$5:$R$304,0))&amp;"","?"))</f>
        <v/>
      </c>
      <c r="N4473" s="2">
        <f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>
        <f>IF(OR(F4473="",G4473=""),"",IF(G4473&lt;='RETRATO 2027'!$K$5,"CONCLUÍDA",IF(F4473&lt;='RETRATO 2027'!$K$5,"EM ANDAMENTO","A INICIAR")))</f>
        <v/>
      </c>
    </row>
    <row r="4474">
      <c r="M4474" s="2">
        <f>IF(C4474="","",IFERROR(INDEX($S$5:$S$304,MATCH(C4474,$R$5:$R$304,0))&amp;"","?"))</f>
        <v/>
      </c>
      <c r="N4474" s="2">
        <f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>
        <f>IF(OR(F4474="",G4474=""),"",IF(G4474&lt;='RETRATO 2027'!$K$5,"CONCLUÍDA",IF(F4474&lt;='RETRATO 2027'!$K$5,"EM ANDAMENTO","A INICIAR")))</f>
        <v/>
      </c>
    </row>
    <row r="4475">
      <c r="M4475" s="2">
        <f>IF(C4475="","",IFERROR(INDEX($S$5:$S$304,MATCH(C4475,$R$5:$R$304,0))&amp;"","?"))</f>
        <v/>
      </c>
      <c r="N4475" s="2">
        <f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>
        <f>IF(OR(F4475="",G4475=""),"",IF(G4475&lt;='RETRATO 2027'!$K$5,"CONCLUÍDA",IF(F4475&lt;='RETRATO 2027'!$K$5,"EM ANDAMENTO","A INICIAR")))</f>
        <v/>
      </c>
    </row>
    <row r="4476">
      <c r="M4476" s="2">
        <f>IF(C4476="","",IFERROR(INDEX($S$5:$S$304,MATCH(C4476,$R$5:$R$304,0))&amp;"","?"))</f>
        <v/>
      </c>
      <c r="N4476" s="2">
        <f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>
        <f>IF(OR(F4476="",G4476=""),"",IF(G4476&lt;='RETRATO 2027'!$K$5,"CONCLUÍDA",IF(F4476&lt;='RETRATO 2027'!$K$5,"EM ANDAMENTO","A INICIAR")))</f>
        <v/>
      </c>
    </row>
    <row r="4477">
      <c r="M4477" s="2">
        <f>IF(C4477="","",IFERROR(INDEX($S$5:$S$304,MATCH(C4477,$R$5:$R$304,0))&amp;"","?"))</f>
        <v/>
      </c>
      <c r="N4477" s="2">
        <f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>
        <f>IF(OR(F4477="",G4477=""),"",IF(G4477&lt;='RETRATO 2027'!$K$5,"CONCLUÍDA",IF(F4477&lt;='RETRATO 2027'!$K$5,"EM ANDAMENTO","A INICIAR")))</f>
        <v/>
      </c>
    </row>
    <row r="4478">
      <c r="M4478" s="2">
        <f>IF(C4478="","",IFERROR(INDEX($S$5:$S$304,MATCH(C4478,$R$5:$R$304,0))&amp;"","?"))</f>
        <v/>
      </c>
      <c r="N4478" s="2">
        <f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>
        <f>IF(OR(F4478="",G4478=""),"",IF(G4478&lt;='RETRATO 2027'!$K$5,"CONCLUÍDA",IF(F4478&lt;='RETRATO 2027'!$K$5,"EM ANDAMENTO","A INICIAR")))</f>
        <v/>
      </c>
    </row>
    <row r="4479">
      <c r="M4479" s="2">
        <f>IF(C4479="","",IFERROR(INDEX($S$5:$S$304,MATCH(C4479,$R$5:$R$304,0))&amp;"","?"))</f>
        <v/>
      </c>
      <c r="N4479" s="2">
        <f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>
        <f>IF(OR(F4479="",G4479=""),"",IF(G4479&lt;='RETRATO 2027'!$K$5,"CONCLUÍDA",IF(F4479&lt;='RETRATO 2027'!$K$5,"EM ANDAMENTO","A INICIAR")))</f>
        <v/>
      </c>
    </row>
    <row r="4480">
      <c r="M4480" s="2">
        <f>IF(C4480="","",IFERROR(INDEX($S$5:$S$304,MATCH(C4480,$R$5:$R$304,0))&amp;"","?"))</f>
        <v/>
      </c>
      <c r="N4480" s="2">
        <f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>
        <f>IF(OR(F4480="",G4480=""),"",IF(G4480&lt;='RETRATO 2027'!$K$5,"CONCLUÍDA",IF(F4480&lt;='RETRATO 2027'!$K$5,"EM ANDAMENTO","A INICIAR")))</f>
        <v/>
      </c>
    </row>
    <row r="4481">
      <c r="M4481" s="2">
        <f>IF(C4481="","",IFERROR(INDEX($S$5:$S$304,MATCH(C4481,$R$5:$R$304,0))&amp;"","?"))</f>
        <v/>
      </c>
      <c r="N4481" s="2">
        <f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>
        <f>IF(OR(F4481="",G4481=""),"",IF(G4481&lt;='RETRATO 2027'!$K$5,"CONCLUÍDA",IF(F4481&lt;='RETRATO 2027'!$K$5,"EM ANDAMENTO","A INICIAR")))</f>
        <v/>
      </c>
    </row>
    <row r="4482">
      <c r="M4482" s="2">
        <f>IF(C4482="","",IFERROR(INDEX($S$5:$S$304,MATCH(C4482,$R$5:$R$304,0))&amp;"","?"))</f>
        <v/>
      </c>
      <c r="N4482" s="2">
        <f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>
        <f>IF(OR(F4482="",G4482=""),"",IF(G4482&lt;='RETRATO 2027'!$K$5,"CONCLUÍDA",IF(F4482&lt;='RETRATO 2027'!$K$5,"EM ANDAMENTO","A INICIAR")))</f>
        <v/>
      </c>
    </row>
    <row r="4483">
      <c r="M4483" s="2">
        <f>IF(C4483="","",IFERROR(INDEX($S$5:$S$304,MATCH(C4483,$R$5:$R$304,0))&amp;"","?"))</f>
        <v/>
      </c>
      <c r="N4483" s="2">
        <f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>
        <f>IF(OR(F4483="",G4483=""),"",IF(G4483&lt;='RETRATO 2027'!$K$5,"CONCLUÍDA",IF(F4483&lt;='RETRATO 2027'!$K$5,"EM ANDAMENTO","A INICIAR")))</f>
        <v/>
      </c>
    </row>
    <row r="4484">
      <c r="M4484" s="2">
        <f>IF(C4484="","",IFERROR(INDEX($S$5:$S$304,MATCH(C4484,$R$5:$R$304,0))&amp;"","?"))</f>
        <v/>
      </c>
      <c r="N4484" s="2">
        <f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>
        <f>IF(OR(F4484="",G4484=""),"",IF(G4484&lt;='RETRATO 2027'!$K$5,"CONCLUÍDA",IF(F4484&lt;='RETRATO 2027'!$K$5,"EM ANDAMENTO","A INICIAR")))</f>
        <v/>
      </c>
    </row>
    <row r="4485">
      <c r="M4485" s="2">
        <f>IF(C4485="","",IFERROR(INDEX($S$5:$S$304,MATCH(C4485,$R$5:$R$304,0))&amp;"","?"))</f>
        <v/>
      </c>
      <c r="N4485" s="2">
        <f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>
        <f>IF(OR(F4485="",G4485=""),"",IF(G4485&lt;='RETRATO 2027'!$K$5,"CONCLUÍDA",IF(F4485&lt;='RETRATO 2027'!$K$5,"EM ANDAMENTO","A INICIAR")))</f>
        <v/>
      </c>
    </row>
    <row r="4486">
      <c r="M4486" s="2">
        <f>IF(C4486="","",IFERROR(INDEX($S$5:$S$304,MATCH(C4486,$R$5:$R$304,0))&amp;"","?"))</f>
        <v/>
      </c>
      <c r="N4486" s="2">
        <f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>
        <f>IF(OR(F4486="",G4486=""),"",IF(G4486&lt;='RETRATO 2027'!$K$5,"CONCLUÍDA",IF(F4486&lt;='RETRATO 2027'!$K$5,"EM ANDAMENTO","A INICIAR")))</f>
        <v/>
      </c>
    </row>
    <row r="4487">
      <c r="M4487" s="2">
        <f>IF(C4487="","",IFERROR(INDEX($S$5:$S$304,MATCH(C4487,$R$5:$R$304,0))&amp;"","?"))</f>
        <v/>
      </c>
      <c r="N4487" s="2">
        <f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>
        <f>IF(OR(F4487="",G4487=""),"",IF(G4487&lt;='RETRATO 2027'!$K$5,"CONCLUÍDA",IF(F4487&lt;='RETRATO 2027'!$K$5,"EM ANDAMENTO","A INICIAR")))</f>
        <v/>
      </c>
    </row>
    <row r="4488">
      <c r="M4488" s="2">
        <f>IF(C4488="","",IFERROR(INDEX($S$5:$S$304,MATCH(C4488,$R$5:$R$304,0))&amp;"","?"))</f>
        <v/>
      </c>
      <c r="N4488" s="2">
        <f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>
        <f>IF(OR(F4488="",G4488=""),"",IF(G4488&lt;='RETRATO 2027'!$K$5,"CONCLUÍDA",IF(F4488&lt;='RETRATO 2027'!$K$5,"EM ANDAMENTO","A INICIAR")))</f>
        <v/>
      </c>
    </row>
    <row r="4489">
      <c r="M4489" s="2">
        <f>IF(C4489="","",IFERROR(INDEX($S$5:$S$304,MATCH(C4489,$R$5:$R$304,0))&amp;"","?"))</f>
        <v/>
      </c>
      <c r="N4489" s="2">
        <f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>
        <f>IF(OR(F4489="",G4489=""),"",IF(G4489&lt;='RETRATO 2027'!$K$5,"CONCLUÍDA",IF(F4489&lt;='RETRATO 2027'!$K$5,"EM ANDAMENTO","A INICIAR")))</f>
        <v/>
      </c>
    </row>
    <row r="4490">
      <c r="M4490" s="2">
        <f>IF(C4490="","",IFERROR(INDEX($S$5:$S$304,MATCH(C4490,$R$5:$R$304,0))&amp;"","?"))</f>
        <v/>
      </c>
      <c r="N4490" s="2">
        <f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>
        <f>IF(OR(F4490="",G4490=""),"",IF(G4490&lt;='RETRATO 2027'!$K$5,"CONCLUÍDA",IF(F4490&lt;='RETRATO 2027'!$K$5,"EM ANDAMENTO","A INICIAR")))</f>
        <v/>
      </c>
    </row>
    <row r="4491">
      <c r="M4491" s="2">
        <f>IF(C4491="","",IFERROR(INDEX($S$5:$S$304,MATCH(C4491,$R$5:$R$304,0))&amp;"","?"))</f>
        <v/>
      </c>
      <c r="N4491" s="2">
        <f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>
        <f>IF(OR(F4491="",G4491=""),"",IF(G4491&lt;='RETRATO 2027'!$K$5,"CONCLUÍDA",IF(F4491&lt;='RETRATO 2027'!$K$5,"EM ANDAMENTO","A INICIAR")))</f>
        <v/>
      </c>
    </row>
    <row r="4492">
      <c r="M4492" s="2">
        <f>IF(C4492="","",IFERROR(INDEX($S$5:$S$304,MATCH(C4492,$R$5:$R$304,0))&amp;"","?"))</f>
        <v/>
      </c>
      <c r="N4492" s="2">
        <f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>
        <f>IF(OR(F4492="",G4492=""),"",IF(G4492&lt;='RETRATO 2027'!$K$5,"CONCLUÍDA",IF(F4492&lt;='RETRATO 2027'!$K$5,"EM ANDAMENTO","A INICIAR")))</f>
        <v/>
      </c>
    </row>
    <row r="4493">
      <c r="M4493" s="2">
        <f>IF(C4493="","",IFERROR(INDEX($S$5:$S$304,MATCH(C4493,$R$5:$R$304,0))&amp;"","?"))</f>
        <v/>
      </c>
      <c r="N4493" s="2">
        <f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>
        <f>IF(OR(F4493="",G4493=""),"",IF(G4493&lt;='RETRATO 2027'!$K$5,"CONCLUÍDA",IF(F4493&lt;='RETRATO 2027'!$K$5,"EM ANDAMENTO","A INICIAR")))</f>
        <v/>
      </c>
    </row>
    <row r="4494">
      <c r="M4494" s="2">
        <f>IF(C4494="","",IFERROR(INDEX($S$5:$S$304,MATCH(C4494,$R$5:$R$304,0))&amp;"","?"))</f>
        <v/>
      </c>
      <c r="N4494" s="2">
        <f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>
        <f>IF(OR(F4494="",G4494=""),"",IF(G4494&lt;='RETRATO 2027'!$K$5,"CONCLUÍDA",IF(F4494&lt;='RETRATO 2027'!$K$5,"EM ANDAMENTO","A INICIAR")))</f>
        <v/>
      </c>
    </row>
    <row r="4495">
      <c r="M4495" s="2">
        <f>IF(C4495="","",IFERROR(INDEX($S$5:$S$304,MATCH(C4495,$R$5:$R$304,0))&amp;"","?"))</f>
        <v/>
      </c>
      <c r="N4495" s="2">
        <f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>
        <f>IF(OR(F4495="",G4495=""),"",IF(G4495&lt;='RETRATO 2027'!$K$5,"CONCLUÍDA",IF(F4495&lt;='RETRATO 2027'!$K$5,"EM ANDAMENTO","A INICIAR")))</f>
        <v/>
      </c>
    </row>
    <row r="4496">
      <c r="M4496" s="2">
        <f>IF(C4496="","",IFERROR(INDEX($S$5:$S$304,MATCH(C4496,$R$5:$R$304,0))&amp;"","?"))</f>
        <v/>
      </c>
      <c r="N4496" s="2">
        <f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>
        <f>IF(OR(F4496="",G4496=""),"",IF(G4496&lt;='RETRATO 2027'!$K$5,"CONCLUÍDA",IF(F4496&lt;='RETRATO 2027'!$K$5,"EM ANDAMENTO","A INICIAR")))</f>
        <v/>
      </c>
    </row>
    <row r="4497">
      <c r="M4497" s="2">
        <f>IF(C4497="","",IFERROR(INDEX($S$5:$S$304,MATCH(C4497,$R$5:$R$304,0))&amp;"","?"))</f>
        <v/>
      </c>
      <c r="N4497" s="2">
        <f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>
        <f>IF(OR(F4497="",G4497=""),"",IF(G4497&lt;='RETRATO 2027'!$K$5,"CONCLUÍDA",IF(F4497&lt;='RETRATO 2027'!$K$5,"EM ANDAMENTO","A INICIAR")))</f>
        <v/>
      </c>
    </row>
    <row r="4498">
      <c r="M4498" s="2">
        <f>IF(C4498="","",IFERROR(INDEX($S$5:$S$304,MATCH(C4498,$R$5:$R$304,0))&amp;"","?"))</f>
        <v/>
      </c>
      <c r="N4498" s="2">
        <f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>
        <f>IF(OR(F4498="",G4498=""),"",IF(G4498&lt;='RETRATO 2027'!$K$5,"CONCLUÍDA",IF(F4498&lt;='RETRATO 2027'!$K$5,"EM ANDAMENTO","A INICIAR")))</f>
        <v/>
      </c>
    </row>
    <row r="4499">
      <c r="M4499" s="2">
        <f>IF(C4499="","",IFERROR(INDEX($S$5:$S$304,MATCH(C4499,$R$5:$R$304,0))&amp;"","?"))</f>
        <v/>
      </c>
      <c r="N4499" s="2">
        <f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>
        <f>IF(OR(F4499="",G4499=""),"",IF(G4499&lt;='RETRATO 2027'!$K$5,"CONCLUÍDA",IF(F4499&lt;='RETRATO 2027'!$K$5,"EM ANDAMENTO","A INICIAR")))</f>
        <v/>
      </c>
    </row>
    <row r="4500">
      <c r="M4500" s="2">
        <f>IF(C4500="","",IFERROR(INDEX($S$5:$S$304,MATCH(C4500,$R$5:$R$304,0))&amp;"","?"))</f>
        <v/>
      </c>
      <c r="N4500" s="2">
        <f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>
        <f>IF(OR(F4500="",G4500=""),"",IF(G4500&lt;='RETRATO 2027'!$K$5,"CONCLUÍDA",IF(F4500&lt;='RETRATO 2027'!$K$5,"EM ANDAMENTO","A INICIAR")))</f>
        <v/>
      </c>
    </row>
    <row r="4501">
      <c r="M4501" s="2">
        <f>IF(C4501="","",IFERROR(INDEX($S$5:$S$304,MATCH(C4501,$R$5:$R$304,0))&amp;"","?"))</f>
        <v/>
      </c>
      <c r="N4501" s="2">
        <f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>
        <f>IF(OR(F4501="",G4501=""),"",IF(G4501&lt;='RETRATO 2027'!$K$5,"CONCLUÍDA",IF(F4501&lt;='RETRATO 2027'!$K$5,"EM ANDAMENTO","A INICIAR")))</f>
        <v/>
      </c>
    </row>
    <row r="4502">
      <c r="M4502" s="2">
        <f>IF(C4502="","",IFERROR(INDEX($S$5:$S$304,MATCH(C4502,$R$5:$R$304,0))&amp;"","?"))</f>
        <v/>
      </c>
      <c r="N4502" s="2">
        <f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>
        <f>IF(OR(F4502="",G4502=""),"",IF(G4502&lt;='RETRATO 2027'!$K$5,"CONCLUÍDA",IF(F4502&lt;='RETRATO 2027'!$K$5,"EM ANDAMENTO","A INICIAR")))</f>
        <v/>
      </c>
    </row>
    <row r="4503">
      <c r="M4503" s="2">
        <f>IF(C4503="","",IFERROR(INDEX($S$5:$S$304,MATCH(C4503,$R$5:$R$304,0))&amp;"","?"))</f>
        <v/>
      </c>
      <c r="N4503" s="2">
        <f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>
        <f>IF(OR(F4503="",G4503=""),"",IF(G4503&lt;='RETRATO 2027'!$K$5,"CONCLUÍDA",IF(F4503&lt;='RETRATO 2027'!$K$5,"EM ANDAMENTO","A INICIAR")))</f>
        <v/>
      </c>
    </row>
    <row r="4504">
      <c r="M4504" s="2">
        <f>IF(C4504="","",IFERROR(INDEX($S$5:$S$304,MATCH(C4504,$R$5:$R$304,0))&amp;"","?"))</f>
        <v/>
      </c>
      <c r="N4504" s="2">
        <f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>
        <f>IF(OR(F4504="",G4504=""),"",IF(G4504&lt;='RETRATO 2027'!$K$5,"CONCLUÍDA",IF(F4504&lt;='RETRATO 2027'!$K$5,"EM ANDAMENTO","A INICIAR")))</f>
        <v/>
      </c>
    </row>
    <row r="4505">
      <c r="M4505" s="2">
        <f>IF(C4505="","",IFERROR(INDEX($S$5:$S$304,MATCH(C4505,$R$5:$R$304,0))&amp;"","?"))</f>
        <v/>
      </c>
      <c r="N4505" s="2">
        <f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>
        <f>IF(OR(F4505="",G4505=""),"",IF(G4505&lt;='RETRATO 2027'!$K$5,"CONCLUÍDA",IF(F4505&lt;='RETRATO 2027'!$K$5,"EM ANDAMENTO","A INICIAR")))</f>
        <v/>
      </c>
    </row>
    <row r="4506">
      <c r="M4506" s="2">
        <f>IF(C4506="","",IFERROR(INDEX($S$5:$S$304,MATCH(C4506,$R$5:$R$304,0))&amp;"","?"))</f>
        <v/>
      </c>
      <c r="N4506" s="2">
        <f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>
        <f>IF(OR(F4506="",G4506=""),"",IF(G4506&lt;='RETRATO 2027'!$K$5,"CONCLUÍDA",IF(F4506&lt;='RETRATO 2027'!$K$5,"EM ANDAMENTO","A INICIAR")))</f>
        <v/>
      </c>
    </row>
    <row r="4507">
      <c r="M4507" s="2">
        <f>IF(C4507="","",IFERROR(INDEX($S$5:$S$304,MATCH(C4507,$R$5:$R$304,0))&amp;"","?"))</f>
        <v/>
      </c>
      <c r="N4507" s="2">
        <f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>
        <f>IF(OR(F4507="",G4507=""),"",IF(G4507&lt;='RETRATO 2027'!$K$5,"CONCLUÍDA",IF(F4507&lt;='RETRATO 2027'!$K$5,"EM ANDAMENTO","A INICIAR")))</f>
        <v/>
      </c>
    </row>
    <row r="4508">
      <c r="M4508" s="2">
        <f>IF(C4508="","",IFERROR(INDEX($S$5:$S$304,MATCH(C4508,$R$5:$R$304,0))&amp;"","?"))</f>
        <v/>
      </c>
      <c r="N4508" s="2">
        <f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>
        <f>IF(OR(F4508="",G4508=""),"",IF(G4508&lt;='RETRATO 2027'!$K$5,"CONCLUÍDA",IF(F4508&lt;='RETRATO 2027'!$K$5,"EM ANDAMENTO","A INICIAR")))</f>
        <v/>
      </c>
    </row>
    <row r="4509">
      <c r="M4509" s="2">
        <f>IF(C4509="","",IFERROR(INDEX($S$5:$S$304,MATCH(C4509,$R$5:$R$304,0))&amp;"","?"))</f>
        <v/>
      </c>
      <c r="N4509" s="2">
        <f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>
        <f>IF(OR(F4509="",G4509=""),"",IF(G4509&lt;='RETRATO 2027'!$K$5,"CONCLUÍDA",IF(F4509&lt;='RETRATO 2027'!$K$5,"EM ANDAMENTO","A INICIAR")))</f>
        <v/>
      </c>
    </row>
    <row r="4510">
      <c r="M4510" s="2">
        <f>IF(C4510="","",IFERROR(INDEX($S$5:$S$304,MATCH(C4510,$R$5:$R$304,0))&amp;"","?"))</f>
        <v/>
      </c>
      <c r="N4510" s="2">
        <f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>
        <f>IF(OR(F4510="",G4510=""),"",IF(G4510&lt;='RETRATO 2027'!$K$5,"CONCLUÍDA",IF(F4510&lt;='RETRATO 2027'!$K$5,"EM ANDAMENTO","A INICIAR")))</f>
        <v/>
      </c>
    </row>
    <row r="4511">
      <c r="M4511" s="2">
        <f>IF(C4511="","",IFERROR(INDEX($S$5:$S$304,MATCH(C4511,$R$5:$R$304,0))&amp;"","?"))</f>
        <v/>
      </c>
      <c r="N4511" s="2">
        <f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>
        <f>IF(OR(F4511="",G4511=""),"",IF(G4511&lt;='RETRATO 2027'!$K$5,"CONCLUÍDA",IF(F4511&lt;='RETRATO 2027'!$K$5,"EM ANDAMENTO","A INICIAR")))</f>
        <v/>
      </c>
    </row>
    <row r="4512">
      <c r="M4512" s="2">
        <f>IF(C4512="","",IFERROR(INDEX($S$5:$S$304,MATCH(C4512,$R$5:$R$304,0))&amp;"","?"))</f>
        <v/>
      </c>
      <c r="N4512" s="2">
        <f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>
        <f>IF(OR(F4512="",G4512=""),"",IF(G4512&lt;='RETRATO 2027'!$K$5,"CONCLUÍDA",IF(F4512&lt;='RETRATO 2027'!$K$5,"EM ANDAMENTO","A INICIAR")))</f>
        <v/>
      </c>
    </row>
    <row r="4513">
      <c r="M4513" s="2">
        <f>IF(C4513="","",IFERROR(INDEX($S$5:$S$304,MATCH(C4513,$R$5:$R$304,0))&amp;"","?"))</f>
        <v/>
      </c>
      <c r="N4513" s="2">
        <f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>
        <f>IF(OR(F4513="",G4513=""),"",IF(G4513&lt;='RETRATO 2027'!$K$5,"CONCLUÍDA",IF(F4513&lt;='RETRATO 2027'!$K$5,"EM ANDAMENTO","A INICIAR")))</f>
        <v/>
      </c>
    </row>
    <row r="4514">
      <c r="M4514" s="2">
        <f>IF(C4514="","",IFERROR(INDEX($S$5:$S$304,MATCH(C4514,$R$5:$R$304,0))&amp;"","?"))</f>
        <v/>
      </c>
      <c r="N4514" s="2">
        <f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>
        <f>IF(OR(F4514="",G4514=""),"",IF(G4514&lt;='RETRATO 2027'!$K$5,"CONCLUÍDA",IF(F4514&lt;='RETRATO 2027'!$K$5,"EM ANDAMENTO","A INICIAR")))</f>
        <v/>
      </c>
    </row>
    <row r="4515">
      <c r="M4515" s="2">
        <f>IF(C4515="","",IFERROR(INDEX($S$5:$S$304,MATCH(C4515,$R$5:$R$304,0))&amp;"","?"))</f>
        <v/>
      </c>
      <c r="N4515" s="2">
        <f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>
        <f>IF(OR(F4515="",G4515=""),"",IF(G4515&lt;='RETRATO 2027'!$K$5,"CONCLUÍDA",IF(F4515&lt;='RETRATO 2027'!$K$5,"EM ANDAMENTO","A INICIAR")))</f>
        <v/>
      </c>
    </row>
    <row r="4516">
      <c r="M4516" s="2">
        <f>IF(C4516="","",IFERROR(INDEX($S$5:$S$304,MATCH(C4516,$R$5:$R$304,0))&amp;"","?"))</f>
        <v/>
      </c>
      <c r="N4516" s="2">
        <f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>
        <f>IF(OR(F4516="",G4516=""),"",IF(G4516&lt;='RETRATO 2027'!$K$5,"CONCLUÍDA",IF(F4516&lt;='RETRATO 2027'!$K$5,"EM ANDAMENTO","A INICIAR")))</f>
        <v/>
      </c>
    </row>
    <row r="4517">
      <c r="M4517" s="2">
        <f>IF(C4517="","",IFERROR(INDEX($S$5:$S$304,MATCH(C4517,$R$5:$R$304,0))&amp;"","?"))</f>
        <v/>
      </c>
      <c r="N4517" s="2">
        <f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>
        <f>IF(OR(F4517="",G4517=""),"",IF(G4517&lt;='RETRATO 2027'!$K$5,"CONCLUÍDA",IF(F4517&lt;='RETRATO 2027'!$K$5,"EM ANDAMENTO","A INICIAR")))</f>
        <v/>
      </c>
    </row>
    <row r="4518">
      <c r="M4518" s="2">
        <f>IF(C4518="","",IFERROR(INDEX($S$5:$S$304,MATCH(C4518,$R$5:$R$304,0))&amp;"","?"))</f>
        <v/>
      </c>
      <c r="N4518" s="2">
        <f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>
        <f>IF(OR(F4518="",G4518=""),"",IF(G4518&lt;='RETRATO 2027'!$K$5,"CONCLUÍDA",IF(F4518&lt;='RETRATO 2027'!$K$5,"EM ANDAMENTO","A INICIAR")))</f>
        <v/>
      </c>
    </row>
    <row r="4519">
      <c r="M4519" s="2">
        <f>IF(C4519="","",IFERROR(INDEX($S$5:$S$304,MATCH(C4519,$R$5:$R$304,0))&amp;"","?"))</f>
        <v/>
      </c>
      <c r="N4519" s="2">
        <f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>
        <f>IF(OR(F4519="",G4519=""),"",IF(G4519&lt;='RETRATO 2027'!$K$5,"CONCLUÍDA",IF(F4519&lt;='RETRATO 2027'!$K$5,"EM ANDAMENTO","A INICIAR")))</f>
        <v/>
      </c>
    </row>
    <row r="4520">
      <c r="M4520" s="2">
        <f>IF(C4520="","",IFERROR(INDEX($S$5:$S$304,MATCH(C4520,$R$5:$R$304,0))&amp;"","?"))</f>
        <v/>
      </c>
      <c r="N4520" s="2">
        <f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>
        <f>IF(OR(F4520="",G4520=""),"",IF(G4520&lt;='RETRATO 2027'!$K$5,"CONCLUÍDA",IF(F4520&lt;='RETRATO 2027'!$K$5,"EM ANDAMENTO","A INICIAR")))</f>
        <v/>
      </c>
    </row>
    <row r="4521">
      <c r="M4521" s="2">
        <f>IF(C4521="","",IFERROR(INDEX($S$5:$S$304,MATCH(C4521,$R$5:$R$304,0))&amp;"","?"))</f>
        <v/>
      </c>
      <c r="N4521" s="2">
        <f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>
        <f>IF(OR(F4521="",G4521=""),"",IF(G4521&lt;='RETRATO 2027'!$K$5,"CONCLUÍDA",IF(F4521&lt;='RETRATO 2027'!$K$5,"EM ANDAMENTO","A INICIAR")))</f>
        <v/>
      </c>
    </row>
    <row r="4522">
      <c r="M4522" s="2">
        <f>IF(C4522="","",IFERROR(INDEX($S$5:$S$304,MATCH(C4522,$R$5:$R$304,0))&amp;"","?"))</f>
        <v/>
      </c>
      <c r="N4522" s="2">
        <f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>
        <f>IF(OR(F4522="",G4522=""),"",IF(G4522&lt;='RETRATO 2027'!$K$5,"CONCLUÍDA",IF(F4522&lt;='RETRATO 2027'!$K$5,"EM ANDAMENTO","A INICIAR")))</f>
        <v/>
      </c>
    </row>
    <row r="4523">
      <c r="M4523" s="2">
        <f>IF(C4523="","",IFERROR(INDEX($S$5:$S$304,MATCH(C4523,$R$5:$R$304,0))&amp;"","?"))</f>
        <v/>
      </c>
      <c r="N4523" s="2">
        <f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>
        <f>IF(OR(F4523="",G4523=""),"",IF(G4523&lt;='RETRATO 2027'!$K$5,"CONCLUÍDA",IF(F4523&lt;='RETRATO 2027'!$K$5,"EM ANDAMENTO","A INICIAR")))</f>
        <v/>
      </c>
    </row>
    <row r="4524">
      <c r="M4524" s="2">
        <f>IF(C4524="","",IFERROR(INDEX($S$5:$S$304,MATCH(C4524,$R$5:$R$304,0))&amp;"","?"))</f>
        <v/>
      </c>
      <c r="N4524" s="2">
        <f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>
        <f>IF(OR(F4524="",G4524=""),"",IF(G4524&lt;='RETRATO 2027'!$K$5,"CONCLUÍDA",IF(F4524&lt;='RETRATO 2027'!$K$5,"EM ANDAMENTO","A INICIAR")))</f>
        <v/>
      </c>
    </row>
    <row r="4525">
      <c r="M4525" s="2">
        <f>IF(C4525="","",IFERROR(INDEX($S$5:$S$304,MATCH(C4525,$R$5:$R$304,0))&amp;"","?"))</f>
        <v/>
      </c>
      <c r="N4525" s="2">
        <f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>
        <f>IF(OR(F4525="",G4525=""),"",IF(G4525&lt;='RETRATO 2027'!$K$5,"CONCLUÍDA",IF(F4525&lt;='RETRATO 2027'!$K$5,"EM ANDAMENTO","A INICIAR")))</f>
        <v/>
      </c>
    </row>
    <row r="4526">
      <c r="M4526" s="2">
        <f>IF(C4526="","",IFERROR(INDEX($S$5:$S$304,MATCH(C4526,$R$5:$R$304,0))&amp;"","?"))</f>
        <v/>
      </c>
      <c r="N4526" s="2">
        <f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>
        <f>IF(OR(F4526="",G4526=""),"",IF(G4526&lt;='RETRATO 2027'!$K$5,"CONCLUÍDA",IF(F4526&lt;='RETRATO 2027'!$K$5,"EM ANDAMENTO","A INICIAR")))</f>
        <v/>
      </c>
    </row>
    <row r="4527">
      <c r="M4527" s="2">
        <f>IF(C4527="","",IFERROR(INDEX($S$5:$S$304,MATCH(C4527,$R$5:$R$304,0))&amp;"","?"))</f>
        <v/>
      </c>
      <c r="N4527" s="2">
        <f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>
        <f>IF(OR(F4527="",G4527=""),"",IF(G4527&lt;='RETRATO 2027'!$K$5,"CONCLUÍDA",IF(F4527&lt;='RETRATO 2027'!$K$5,"EM ANDAMENTO","A INICIAR")))</f>
        <v/>
      </c>
    </row>
    <row r="4528">
      <c r="M4528" s="2">
        <f>IF(C4528="","",IFERROR(INDEX($S$5:$S$304,MATCH(C4528,$R$5:$R$304,0))&amp;"","?"))</f>
        <v/>
      </c>
      <c r="N4528" s="2">
        <f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>
        <f>IF(OR(F4528="",G4528=""),"",IF(G4528&lt;='RETRATO 2027'!$K$5,"CONCLUÍDA",IF(F4528&lt;='RETRATO 2027'!$K$5,"EM ANDAMENTO","A INICIAR")))</f>
        <v/>
      </c>
    </row>
    <row r="4529">
      <c r="M4529" s="2">
        <f>IF(C4529="","",IFERROR(INDEX($S$5:$S$304,MATCH(C4529,$R$5:$R$304,0))&amp;"","?"))</f>
        <v/>
      </c>
      <c r="N4529" s="2">
        <f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>
        <f>IF(OR(F4529="",G4529=""),"",IF(G4529&lt;='RETRATO 2027'!$K$5,"CONCLUÍDA",IF(F4529&lt;='RETRATO 2027'!$K$5,"EM ANDAMENTO","A INICIAR")))</f>
        <v/>
      </c>
    </row>
    <row r="4530">
      <c r="M4530" s="2">
        <f>IF(C4530="","",IFERROR(INDEX($S$5:$S$304,MATCH(C4530,$R$5:$R$304,0))&amp;"","?"))</f>
        <v/>
      </c>
      <c r="N4530" s="2">
        <f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>
        <f>IF(OR(F4530="",G4530=""),"",IF(G4530&lt;='RETRATO 2027'!$K$5,"CONCLUÍDA",IF(F4530&lt;='RETRATO 2027'!$K$5,"EM ANDAMENTO","A INICIAR")))</f>
        <v/>
      </c>
    </row>
    <row r="4531">
      <c r="M4531" s="2">
        <f>IF(C4531="","",IFERROR(INDEX($S$5:$S$304,MATCH(C4531,$R$5:$R$304,0))&amp;"","?"))</f>
        <v/>
      </c>
      <c r="N4531" s="2">
        <f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>
        <f>IF(OR(F4531="",G4531=""),"",IF(G4531&lt;='RETRATO 2027'!$K$5,"CONCLUÍDA",IF(F4531&lt;='RETRATO 2027'!$K$5,"EM ANDAMENTO","A INICIAR")))</f>
        <v/>
      </c>
    </row>
    <row r="4532">
      <c r="M4532" s="2">
        <f>IF(C4532="","",IFERROR(INDEX($S$5:$S$304,MATCH(C4532,$R$5:$R$304,0))&amp;"","?"))</f>
        <v/>
      </c>
      <c r="N4532" s="2">
        <f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>
        <f>IF(OR(F4532="",G4532=""),"",IF(G4532&lt;='RETRATO 2027'!$K$5,"CONCLUÍDA",IF(F4532&lt;='RETRATO 2027'!$K$5,"EM ANDAMENTO","A INICIAR")))</f>
        <v/>
      </c>
    </row>
    <row r="4533">
      <c r="M4533" s="2">
        <f>IF(C4533="","",IFERROR(INDEX($S$5:$S$304,MATCH(C4533,$R$5:$R$304,0))&amp;"","?"))</f>
        <v/>
      </c>
      <c r="N4533" s="2">
        <f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>
        <f>IF(OR(F4533="",G4533=""),"",IF(G4533&lt;='RETRATO 2027'!$K$5,"CONCLUÍDA",IF(F4533&lt;='RETRATO 2027'!$K$5,"EM ANDAMENTO","A INICIAR")))</f>
        <v/>
      </c>
    </row>
    <row r="4534">
      <c r="M4534" s="2">
        <f>IF(C4534="","",IFERROR(INDEX($S$5:$S$304,MATCH(C4534,$R$5:$R$304,0))&amp;"","?"))</f>
        <v/>
      </c>
      <c r="N4534" s="2">
        <f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>
        <f>IF(OR(F4534="",G4534=""),"",IF(G4534&lt;='RETRATO 2027'!$K$5,"CONCLUÍDA",IF(F4534&lt;='RETRATO 2027'!$K$5,"EM ANDAMENTO","A INICIAR")))</f>
        <v/>
      </c>
    </row>
    <row r="4535">
      <c r="M4535" s="2">
        <f>IF(C4535="","",IFERROR(INDEX($S$5:$S$304,MATCH(C4535,$R$5:$R$304,0))&amp;"","?"))</f>
        <v/>
      </c>
      <c r="N4535" s="2">
        <f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>
        <f>IF(OR(F4535="",G4535=""),"",IF(G4535&lt;='RETRATO 2027'!$K$5,"CONCLUÍDA",IF(F4535&lt;='RETRATO 2027'!$K$5,"EM ANDAMENTO","A INICIAR")))</f>
        <v/>
      </c>
    </row>
    <row r="4536">
      <c r="M4536" s="2">
        <f>IF(C4536="","",IFERROR(INDEX($S$5:$S$304,MATCH(C4536,$R$5:$R$304,0))&amp;"","?"))</f>
        <v/>
      </c>
      <c r="N4536" s="2">
        <f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>
        <f>IF(OR(F4536="",G4536=""),"",IF(G4536&lt;='RETRATO 2027'!$K$5,"CONCLUÍDA",IF(F4536&lt;='RETRATO 2027'!$K$5,"EM ANDAMENTO","A INICIAR")))</f>
        <v/>
      </c>
    </row>
    <row r="4537">
      <c r="M4537" s="2">
        <f>IF(C4537="","",IFERROR(INDEX($S$5:$S$304,MATCH(C4537,$R$5:$R$304,0))&amp;"","?"))</f>
        <v/>
      </c>
      <c r="N4537" s="2">
        <f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>
        <f>IF(OR(F4537="",G4537=""),"",IF(G4537&lt;='RETRATO 2027'!$K$5,"CONCLUÍDA",IF(F4537&lt;='RETRATO 2027'!$K$5,"EM ANDAMENTO","A INICIAR")))</f>
        <v/>
      </c>
    </row>
    <row r="4538">
      <c r="M4538" s="2">
        <f>IF(C4538="","",IFERROR(INDEX($S$5:$S$304,MATCH(C4538,$R$5:$R$304,0))&amp;"","?"))</f>
        <v/>
      </c>
      <c r="N4538" s="2">
        <f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>
        <f>IF(OR(F4538="",G4538=""),"",IF(G4538&lt;='RETRATO 2027'!$K$5,"CONCLUÍDA",IF(F4538&lt;='RETRATO 2027'!$K$5,"EM ANDAMENTO","A INICIAR")))</f>
        <v/>
      </c>
    </row>
    <row r="4539">
      <c r="M4539" s="2">
        <f>IF(C4539="","",IFERROR(INDEX($S$5:$S$304,MATCH(C4539,$R$5:$R$304,0))&amp;"","?"))</f>
        <v/>
      </c>
      <c r="N4539" s="2">
        <f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>
        <f>IF(OR(F4539="",G4539=""),"",IF(G4539&lt;='RETRATO 2027'!$K$5,"CONCLUÍDA",IF(F4539&lt;='RETRATO 2027'!$K$5,"EM ANDAMENTO","A INICIAR")))</f>
        <v/>
      </c>
    </row>
    <row r="4540">
      <c r="M4540" s="2">
        <f>IF(C4540="","",IFERROR(INDEX($S$5:$S$304,MATCH(C4540,$R$5:$R$304,0))&amp;"","?"))</f>
        <v/>
      </c>
      <c r="N4540" s="2">
        <f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>
        <f>IF(OR(F4540="",G4540=""),"",IF(G4540&lt;='RETRATO 2027'!$K$5,"CONCLUÍDA",IF(F4540&lt;='RETRATO 2027'!$K$5,"EM ANDAMENTO","A INICIAR")))</f>
        <v/>
      </c>
    </row>
    <row r="4541">
      <c r="M4541" s="2">
        <f>IF(C4541="","",IFERROR(INDEX($S$5:$S$304,MATCH(C4541,$R$5:$R$304,0))&amp;"","?"))</f>
        <v/>
      </c>
      <c r="N4541" s="2">
        <f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>
        <f>IF(OR(F4541="",G4541=""),"",IF(G4541&lt;='RETRATO 2027'!$K$5,"CONCLUÍDA",IF(F4541&lt;='RETRATO 2027'!$K$5,"EM ANDAMENTO","A INICIAR")))</f>
        <v/>
      </c>
    </row>
    <row r="4542">
      <c r="M4542" s="2">
        <f>IF(C4542="","",IFERROR(INDEX($S$5:$S$304,MATCH(C4542,$R$5:$R$304,0))&amp;"","?"))</f>
        <v/>
      </c>
      <c r="N4542" s="2">
        <f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>
        <f>IF(OR(F4542="",G4542=""),"",IF(G4542&lt;='RETRATO 2027'!$K$5,"CONCLUÍDA",IF(F4542&lt;='RETRATO 2027'!$K$5,"EM ANDAMENTO","A INICIAR")))</f>
        <v/>
      </c>
    </row>
    <row r="4543">
      <c r="M4543" s="2">
        <f>IF(C4543="","",IFERROR(INDEX($S$5:$S$304,MATCH(C4543,$R$5:$R$304,0))&amp;"","?"))</f>
        <v/>
      </c>
      <c r="N4543" s="2">
        <f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>
        <f>IF(OR(F4543="",G4543=""),"",IF(G4543&lt;='RETRATO 2027'!$K$5,"CONCLUÍDA",IF(F4543&lt;='RETRATO 2027'!$K$5,"EM ANDAMENTO","A INICIAR")))</f>
        <v/>
      </c>
    </row>
    <row r="4544">
      <c r="M4544" s="2">
        <f>IF(C4544="","",IFERROR(INDEX($S$5:$S$304,MATCH(C4544,$R$5:$R$304,0))&amp;"","?"))</f>
        <v/>
      </c>
      <c r="N4544" s="2">
        <f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>
        <f>IF(OR(F4544="",G4544=""),"",IF(G4544&lt;='RETRATO 2027'!$K$5,"CONCLUÍDA",IF(F4544&lt;='RETRATO 2027'!$K$5,"EM ANDAMENTO","A INICIAR")))</f>
        <v/>
      </c>
    </row>
    <row r="4545">
      <c r="M4545" s="2">
        <f>IF(C4545="","",IFERROR(INDEX($S$5:$S$304,MATCH(C4545,$R$5:$R$304,0))&amp;"","?"))</f>
        <v/>
      </c>
      <c r="N4545" s="2">
        <f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>
        <f>IF(OR(F4545="",G4545=""),"",IF(G4545&lt;='RETRATO 2027'!$K$5,"CONCLUÍDA",IF(F4545&lt;='RETRATO 2027'!$K$5,"EM ANDAMENTO","A INICIAR")))</f>
        <v/>
      </c>
    </row>
    <row r="4546">
      <c r="M4546" s="2">
        <f>IF(C4546="","",IFERROR(INDEX($S$5:$S$304,MATCH(C4546,$R$5:$R$304,0))&amp;"","?"))</f>
        <v/>
      </c>
      <c r="N4546" s="2">
        <f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>
        <f>IF(OR(F4546="",G4546=""),"",IF(G4546&lt;='RETRATO 2027'!$K$5,"CONCLUÍDA",IF(F4546&lt;='RETRATO 2027'!$K$5,"EM ANDAMENTO","A INICIAR")))</f>
        <v/>
      </c>
    </row>
    <row r="4547">
      <c r="M4547" s="2">
        <f>IF(C4547="","",IFERROR(INDEX($S$5:$S$304,MATCH(C4547,$R$5:$R$304,0))&amp;"","?"))</f>
        <v/>
      </c>
      <c r="N4547" s="2">
        <f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>
        <f>IF(OR(F4547="",G4547=""),"",IF(G4547&lt;='RETRATO 2027'!$K$5,"CONCLUÍDA",IF(F4547&lt;='RETRATO 2027'!$K$5,"EM ANDAMENTO","A INICIAR")))</f>
        <v/>
      </c>
    </row>
    <row r="4548">
      <c r="M4548" s="2">
        <f>IF(C4548="","",IFERROR(INDEX($S$5:$S$304,MATCH(C4548,$R$5:$R$304,0))&amp;"","?"))</f>
        <v/>
      </c>
      <c r="N4548" s="2">
        <f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>
        <f>IF(OR(F4548="",G4548=""),"",IF(G4548&lt;='RETRATO 2027'!$K$5,"CONCLUÍDA",IF(F4548&lt;='RETRATO 2027'!$K$5,"EM ANDAMENTO","A INICIAR")))</f>
        <v/>
      </c>
    </row>
    <row r="4549">
      <c r="M4549" s="2">
        <f>IF(C4549="","",IFERROR(INDEX($S$5:$S$304,MATCH(C4549,$R$5:$R$304,0))&amp;"","?"))</f>
        <v/>
      </c>
      <c r="N4549" s="2">
        <f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>
        <f>IF(OR(F4549="",G4549=""),"",IF(G4549&lt;='RETRATO 2027'!$K$5,"CONCLUÍDA",IF(F4549&lt;='RETRATO 2027'!$K$5,"EM ANDAMENTO","A INICIAR")))</f>
        <v/>
      </c>
    </row>
    <row r="4550">
      <c r="M4550" s="2">
        <f>IF(C4550="","",IFERROR(INDEX($S$5:$S$304,MATCH(C4550,$R$5:$R$304,0))&amp;"","?"))</f>
        <v/>
      </c>
      <c r="N4550" s="2">
        <f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>
        <f>IF(OR(F4550="",G4550=""),"",IF(G4550&lt;='RETRATO 2027'!$K$5,"CONCLUÍDA",IF(F4550&lt;='RETRATO 2027'!$K$5,"EM ANDAMENTO","A INICIAR")))</f>
        <v/>
      </c>
    </row>
    <row r="4551">
      <c r="M4551" s="2">
        <f>IF(C4551="","",IFERROR(INDEX($S$5:$S$304,MATCH(C4551,$R$5:$R$304,0))&amp;"","?"))</f>
        <v/>
      </c>
      <c r="N4551" s="2">
        <f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>
        <f>IF(OR(F4551="",G4551=""),"",IF(G4551&lt;='RETRATO 2027'!$K$5,"CONCLUÍDA",IF(F4551&lt;='RETRATO 2027'!$K$5,"EM ANDAMENTO","A INICIAR")))</f>
        <v/>
      </c>
    </row>
    <row r="4552">
      <c r="M4552" s="2">
        <f>IF(C4552="","",IFERROR(INDEX($S$5:$S$304,MATCH(C4552,$R$5:$R$304,0))&amp;"","?"))</f>
        <v/>
      </c>
      <c r="N4552" s="2">
        <f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>
        <f>IF(OR(F4552="",G4552=""),"",IF(G4552&lt;='RETRATO 2027'!$K$5,"CONCLUÍDA",IF(F4552&lt;='RETRATO 2027'!$K$5,"EM ANDAMENTO","A INICIAR")))</f>
        <v/>
      </c>
    </row>
    <row r="4553">
      <c r="M4553" s="2">
        <f>IF(C4553="","",IFERROR(INDEX($S$5:$S$304,MATCH(C4553,$R$5:$R$304,0))&amp;"","?"))</f>
        <v/>
      </c>
      <c r="N4553" s="2">
        <f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>
        <f>IF(OR(F4553="",G4553=""),"",IF(G4553&lt;='RETRATO 2027'!$K$5,"CONCLUÍDA",IF(F4553&lt;='RETRATO 2027'!$K$5,"EM ANDAMENTO","A INICIAR")))</f>
        <v/>
      </c>
    </row>
    <row r="4554">
      <c r="M4554" s="2">
        <f>IF(C4554="","",IFERROR(INDEX($S$5:$S$304,MATCH(C4554,$R$5:$R$304,0))&amp;"","?"))</f>
        <v/>
      </c>
      <c r="N4554" s="2">
        <f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>
        <f>IF(OR(F4554="",G4554=""),"",IF(G4554&lt;='RETRATO 2027'!$K$5,"CONCLUÍDA",IF(F4554&lt;='RETRATO 2027'!$K$5,"EM ANDAMENTO","A INICIAR")))</f>
        <v/>
      </c>
    </row>
    <row r="4555">
      <c r="M4555" s="2">
        <f>IF(C4555="","",IFERROR(INDEX($S$5:$S$304,MATCH(C4555,$R$5:$R$304,0))&amp;"","?"))</f>
        <v/>
      </c>
      <c r="N4555" s="2">
        <f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>
        <f>IF(OR(F4555="",G4555=""),"",IF(G4555&lt;='RETRATO 2027'!$K$5,"CONCLUÍDA",IF(F4555&lt;='RETRATO 2027'!$K$5,"EM ANDAMENTO","A INICIAR")))</f>
        <v/>
      </c>
    </row>
    <row r="4556">
      <c r="M4556" s="2">
        <f>IF(C4556="","",IFERROR(INDEX($S$5:$S$304,MATCH(C4556,$R$5:$R$304,0))&amp;"","?"))</f>
        <v/>
      </c>
      <c r="N4556" s="2">
        <f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>
        <f>IF(OR(F4556="",G4556=""),"",IF(G4556&lt;='RETRATO 2027'!$K$5,"CONCLUÍDA",IF(F4556&lt;='RETRATO 2027'!$K$5,"EM ANDAMENTO","A INICIAR")))</f>
        <v/>
      </c>
    </row>
    <row r="4557">
      <c r="M4557" s="2">
        <f>IF(C4557="","",IFERROR(INDEX($S$5:$S$304,MATCH(C4557,$R$5:$R$304,0))&amp;"","?"))</f>
        <v/>
      </c>
      <c r="N4557" s="2">
        <f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>
        <f>IF(OR(F4557="",G4557=""),"",IF(G4557&lt;='RETRATO 2027'!$K$5,"CONCLUÍDA",IF(F4557&lt;='RETRATO 2027'!$K$5,"EM ANDAMENTO","A INICIAR")))</f>
        <v/>
      </c>
    </row>
    <row r="4558">
      <c r="M4558" s="2">
        <f>IF(C4558="","",IFERROR(INDEX($S$5:$S$304,MATCH(C4558,$R$5:$R$304,0))&amp;"","?"))</f>
        <v/>
      </c>
      <c r="N4558" s="2">
        <f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>
        <f>IF(OR(F4558="",G4558=""),"",IF(G4558&lt;='RETRATO 2027'!$K$5,"CONCLUÍDA",IF(F4558&lt;='RETRATO 2027'!$K$5,"EM ANDAMENTO","A INICIAR")))</f>
        <v/>
      </c>
    </row>
    <row r="4559">
      <c r="M4559" s="2">
        <f>IF(C4559="","",IFERROR(INDEX($S$5:$S$304,MATCH(C4559,$R$5:$R$304,0))&amp;"","?"))</f>
        <v/>
      </c>
      <c r="N4559" s="2">
        <f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>
        <f>IF(OR(F4559="",G4559=""),"",IF(G4559&lt;='RETRATO 2027'!$K$5,"CONCLUÍDA",IF(F4559&lt;='RETRATO 2027'!$K$5,"EM ANDAMENTO","A INICIAR")))</f>
        <v/>
      </c>
    </row>
    <row r="4560">
      <c r="M4560" s="2">
        <f>IF(C4560="","",IFERROR(INDEX($S$5:$S$304,MATCH(C4560,$R$5:$R$304,0))&amp;"","?"))</f>
        <v/>
      </c>
      <c r="N4560" s="2">
        <f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>
        <f>IF(OR(F4560="",G4560=""),"",IF(G4560&lt;='RETRATO 2027'!$K$5,"CONCLUÍDA",IF(F4560&lt;='RETRATO 2027'!$K$5,"EM ANDAMENTO","A INICIAR")))</f>
        <v/>
      </c>
    </row>
    <row r="4561">
      <c r="M4561" s="2">
        <f>IF(C4561="","",IFERROR(INDEX($S$5:$S$304,MATCH(C4561,$R$5:$R$304,0))&amp;"","?"))</f>
        <v/>
      </c>
      <c r="N4561" s="2">
        <f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>
        <f>IF(OR(F4561="",G4561=""),"",IF(G4561&lt;='RETRATO 2027'!$K$5,"CONCLUÍDA",IF(F4561&lt;='RETRATO 2027'!$K$5,"EM ANDAMENTO","A INICIAR")))</f>
        <v/>
      </c>
    </row>
    <row r="4562">
      <c r="M4562" s="2">
        <f>IF(C4562="","",IFERROR(INDEX($S$5:$S$304,MATCH(C4562,$R$5:$R$304,0))&amp;"","?"))</f>
        <v/>
      </c>
      <c r="N4562" s="2">
        <f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>
        <f>IF(OR(F4562="",G4562=""),"",IF(G4562&lt;='RETRATO 2027'!$K$5,"CONCLUÍDA",IF(F4562&lt;='RETRATO 2027'!$K$5,"EM ANDAMENTO","A INICIAR")))</f>
        <v/>
      </c>
    </row>
    <row r="4563">
      <c r="M4563" s="2">
        <f>IF(C4563="","",IFERROR(INDEX($S$5:$S$304,MATCH(C4563,$R$5:$R$304,0))&amp;"","?"))</f>
        <v/>
      </c>
      <c r="N4563" s="2">
        <f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>
        <f>IF(OR(F4563="",G4563=""),"",IF(G4563&lt;='RETRATO 2027'!$K$5,"CONCLUÍDA",IF(F4563&lt;='RETRATO 2027'!$K$5,"EM ANDAMENTO","A INICIAR")))</f>
        <v/>
      </c>
    </row>
    <row r="4564">
      <c r="M4564" s="2">
        <f>IF(C4564="","",IFERROR(INDEX($S$5:$S$304,MATCH(C4564,$R$5:$R$304,0))&amp;"","?"))</f>
        <v/>
      </c>
      <c r="N4564" s="2">
        <f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>
        <f>IF(OR(F4564="",G4564=""),"",IF(G4564&lt;='RETRATO 2027'!$K$5,"CONCLUÍDA",IF(F4564&lt;='RETRATO 2027'!$K$5,"EM ANDAMENTO","A INICIAR")))</f>
        <v/>
      </c>
    </row>
    <row r="4565">
      <c r="M4565" s="2">
        <f>IF(C4565="","",IFERROR(INDEX($S$5:$S$304,MATCH(C4565,$R$5:$R$304,0))&amp;"","?"))</f>
        <v/>
      </c>
      <c r="N4565" s="2">
        <f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>
        <f>IF(OR(F4565="",G4565=""),"",IF(G4565&lt;='RETRATO 2027'!$K$5,"CONCLUÍDA",IF(F4565&lt;='RETRATO 2027'!$K$5,"EM ANDAMENTO","A INICIAR")))</f>
        <v/>
      </c>
    </row>
    <row r="4566">
      <c r="M4566" s="2">
        <f>IF(C4566="","",IFERROR(INDEX($S$5:$S$304,MATCH(C4566,$R$5:$R$304,0))&amp;"","?"))</f>
        <v/>
      </c>
      <c r="N4566" s="2">
        <f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>
        <f>IF(OR(F4566="",G4566=""),"",IF(G4566&lt;='RETRATO 2027'!$K$5,"CONCLUÍDA",IF(F4566&lt;='RETRATO 2027'!$K$5,"EM ANDAMENTO","A INICIAR")))</f>
        <v/>
      </c>
    </row>
    <row r="4567">
      <c r="M4567" s="2">
        <f>IF(C4567="","",IFERROR(INDEX($S$5:$S$304,MATCH(C4567,$R$5:$R$304,0))&amp;"","?"))</f>
        <v/>
      </c>
      <c r="N4567" s="2">
        <f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>
        <f>IF(OR(F4567="",G4567=""),"",IF(G4567&lt;='RETRATO 2027'!$K$5,"CONCLUÍDA",IF(F4567&lt;='RETRATO 2027'!$K$5,"EM ANDAMENTO","A INICIAR")))</f>
        <v/>
      </c>
    </row>
    <row r="4568">
      <c r="M4568" s="2">
        <f>IF(C4568="","",IFERROR(INDEX($S$5:$S$304,MATCH(C4568,$R$5:$R$304,0))&amp;"","?"))</f>
        <v/>
      </c>
      <c r="N4568" s="2">
        <f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>
        <f>IF(OR(F4568="",G4568=""),"",IF(G4568&lt;='RETRATO 2027'!$K$5,"CONCLUÍDA",IF(F4568&lt;='RETRATO 2027'!$K$5,"EM ANDAMENTO","A INICIAR")))</f>
        <v/>
      </c>
    </row>
    <row r="4569">
      <c r="M4569" s="2">
        <f>IF(C4569="","",IFERROR(INDEX($S$5:$S$304,MATCH(C4569,$R$5:$R$304,0))&amp;"","?"))</f>
        <v/>
      </c>
      <c r="N4569" s="2">
        <f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>
        <f>IF(OR(F4569="",G4569=""),"",IF(G4569&lt;='RETRATO 2027'!$K$5,"CONCLUÍDA",IF(F4569&lt;='RETRATO 2027'!$K$5,"EM ANDAMENTO","A INICIAR")))</f>
        <v/>
      </c>
    </row>
    <row r="4570">
      <c r="M4570" s="2">
        <f>IF(C4570="","",IFERROR(INDEX($S$5:$S$304,MATCH(C4570,$R$5:$R$304,0))&amp;"","?"))</f>
        <v/>
      </c>
      <c r="N4570" s="2">
        <f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>
        <f>IF(OR(F4570="",G4570=""),"",IF(G4570&lt;='RETRATO 2027'!$K$5,"CONCLUÍDA",IF(F4570&lt;='RETRATO 2027'!$K$5,"EM ANDAMENTO","A INICIAR")))</f>
        <v/>
      </c>
    </row>
    <row r="4571">
      <c r="M4571" s="2">
        <f>IF(C4571="","",IFERROR(INDEX($S$5:$S$304,MATCH(C4571,$R$5:$R$304,0))&amp;"","?"))</f>
        <v/>
      </c>
      <c r="N4571" s="2">
        <f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>
        <f>IF(OR(F4571="",G4571=""),"",IF(G4571&lt;='RETRATO 2027'!$K$5,"CONCLUÍDA",IF(F4571&lt;='RETRATO 2027'!$K$5,"EM ANDAMENTO","A INICIAR")))</f>
        <v/>
      </c>
    </row>
    <row r="4572">
      <c r="M4572" s="2">
        <f>IF(C4572="","",IFERROR(INDEX($S$5:$S$304,MATCH(C4572,$R$5:$R$304,0))&amp;"","?"))</f>
        <v/>
      </c>
      <c r="N4572" s="2">
        <f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>
        <f>IF(OR(F4572="",G4572=""),"",IF(G4572&lt;='RETRATO 2027'!$K$5,"CONCLUÍDA",IF(F4572&lt;='RETRATO 2027'!$K$5,"EM ANDAMENTO","A INICIAR")))</f>
        <v/>
      </c>
    </row>
    <row r="4573">
      <c r="M4573" s="2">
        <f>IF(C4573="","",IFERROR(INDEX($S$5:$S$304,MATCH(C4573,$R$5:$R$304,0))&amp;"","?"))</f>
        <v/>
      </c>
      <c r="N4573" s="2">
        <f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>
        <f>IF(OR(F4573="",G4573=""),"",IF(G4573&lt;='RETRATO 2027'!$K$5,"CONCLUÍDA",IF(F4573&lt;='RETRATO 2027'!$K$5,"EM ANDAMENTO","A INICIAR")))</f>
        <v/>
      </c>
    </row>
    <row r="4574">
      <c r="M4574" s="2">
        <f>IF(C4574="","",IFERROR(INDEX($S$5:$S$304,MATCH(C4574,$R$5:$R$304,0))&amp;"","?"))</f>
        <v/>
      </c>
      <c r="N4574" s="2">
        <f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>
        <f>IF(OR(F4574="",G4574=""),"",IF(G4574&lt;='RETRATO 2027'!$K$5,"CONCLUÍDA",IF(F4574&lt;='RETRATO 2027'!$K$5,"EM ANDAMENTO","A INICIAR")))</f>
        <v/>
      </c>
    </row>
    <row r="4575">
      <c r="M4575" s="2">
        <f>IF(C4575="","",IFERROR(INDEX($S$5:$S$304,MATCH(C4575,$R$5:$R$304,0))&amp;"","?"))</f>
        <v/>
      </c>
      <c r="N4575" s="2">
        <f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>
        <f>IF(OR(F4575="",G4575=""),"",IF(G4575&lt;='RETRATO 2027'!$K$5,"CONCLUÍDA",IF(F4575&lt;='RETRATO 2027'!$K$5,"EM ANDAMENTO","A INICIAR")))</f>
        <v/>
      </c>
    </row>
    <row r="4576">
      <c r="M4576" s="2">
        <f>IF(C4576="","",IFERROR(INDEX($S$5:$S$304,MATCH(C4576,$R$5:$R$304,0))&amp;"","?"))</f>
        <v/>
      </c>
      <c r="N4576" s="2">
        <f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>
        <f>IF(OR(F4576="",G4576=""),"",IF(G4576&lt;='RETRATO 2027'!$K$5,"CONCLUÍDA",IF(F4576&lt;='RETRATO 2027'!$K$5,"EM ANDAMENTO","A INICIAR")))</f>
        <v/>
      </c>
    </row>
    <row r="4577">
      <c r="M4577" s="2">
        <f>IF(C4577="","",IFERROR(INDEX($S$5:$S$304,MATCH(C4577,$R$5:$R$304,0))&amp;"","?"))</f>
        <v/>
      </c>
      <c r="N4577" s="2">
        <f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>
        <f>IF(OR(F4577="",G4577=""),"",IF(G4577&lt;='RETRATO 2027'!$K$5,"CONCLUÍDA",IF(F4577&lt;='RETRATO 2027'!$K$5,"EM ANDAMENTO","A INICIAR")))</f>
        <v/>
      </c>
    </row>
    <row r="4578">
      <c r="M4578" s="2">
        <f>IF(C4578="","",IFERROR(INDEX($S$5:$S$304,MATCH(C4578,$R$5:$R$304,0))&amp;"","?"))</f>
        <v/>
      </c>
      <c r="N4578" s="2">
        <f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>
        <f>IF(OR(F4578="",G4578=""),"",IF(G4578&lt;='RETRATO 2027'!$K$5,"CONCLUÍDA",IF(F4578&lt;='RETRATO 2027'!$K$5,"EM ANDAMENTO","A INICIAR")))</f>
        <v/>
      </c>
    </row>
    <row r="4579">
      <c r="M4579" s="2">
        <f>IF(C4579="","",IFERROR(INDEX($S$5:$S$304,MATCH(C4579,$R$5:$R$304,0))&amp;"","?"))</f>
        <v/>
      </c>
      <c r="N4579" s="2">
        <f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>
        <f>IF(OR(F4579="",G4579=""),"",IF(G4579&lt;='RETRATO 2027'!$K$5,"CONCLUÍDA",IF(F4579&lt;='RETRATO 2027'!$K$5,"EM ANDAMENTO","A INICIAR")))</f>
        <v/>
      </c>
    </row>
    <row r="4580">
      <c r="M4580" s="2">
        <f>IF(C4580="","",IFERROR(INDEX($S$5:$S$304,MATCH(C4580,$R$5:$R$304,0))&amp;"","?"))</f>
        <v/>
      </c>
      <c r="N4580" s="2">
        <f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>
        <f>IF(OR(F4580="",G4580=""),"",IF(G4580&lt;='RETRATO 2027'!$K$5,"CONCLUÍDA",IF(F4580&lt;='RETRATO 2027'!$K$5,"EM ANDAMENTO","A INICIAR")))</f>
        <v/>
      </c>
    </row>
    <row r="4581">
      <c r="M4581" s="2">
        <f>IF(C4581="","",IFERROR(INDEX($S$5:$S$304,MATCH(C4581,$R$5:$R$304,0))&amp;"","?"))</f>
        <v/>
      </c>
      <c r="N4581" s="2">
        <f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>
        <f>IF(OR(F4581="",G4581=""),"",IF(G4581&lt;='RETRATO 2027'!$K$5,"CONCLUÍDA",IF(F4581&lt;='RETRATO 2027'!$K$5,"EM ANDAMENTO","A INICIAR")))</f>
        <v/>
      </c>
    </row>
    <row r="4582">
      <c r="M4582" s="2">
        <f>IF(C4582="","",IFERROR(INDEX($S$5:$S$304,MATCH(C4582,$R$5:$R$304,0))&amp;"","?"))</f>
        <v/>
      </c>
      <c r="N4582" s="2">
        <f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>
        <f>IF(OR(F4582="",G4582=""),"",IF(G4582&lt;='RETRATO 2027'!$K$5,"CONCLUÍDA",IF(F4582&lt;='RETRATO 2027'!$K$5,"EM ANDAMENTO","A INICIAR")))</f>
        <v/>
      </c>
    </row>
    <row r="4583">
      <c r="M4583" s="2">
        <f>IF(C4583="","",IFERROR(INDEX($S$5:$S$304,MATCH(C4583,$R$5:$R$304,0))&amp;"","?"))</f>
        <v/>
      </c>
      <c r="N4583" s="2">
        <f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>
        <f>IF(OR(F4583="",G4583=""),"",IF(G4583&lt;='RETRATO 2027'!$K$5,"CONCLUÍDA",IF(F4583&lt;='RETRATO 2027'!$K$5,"EM ANDAMENTO","A INICIAR")))</f>
        <v/>
      </c>
    </row>
    <row r="4584">
      <c r="M4584" s="2">
        <f>IF(C4584="","",IFERROR(INDEX($S$5:$S$304,MATCH(C4584,$R$5:$R$304,0))&amp;"","?"))</f>
        <v/>
      </c>
      <c r="N4584" s="2">
        <f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>
        <f>IF(OR(F4584="",G4584=""),"",IF(G4584&lt;='RETRATO 2027'!$K$5,"CONCLUÍDA",IF(F4584&lt;='RETRATO 2027'!$K$5,"EM ANDAMENTO","A INICIAR")))</f>
        <v/>
      </c>
    </row>
    <row r="4585">
      <c r="M4585" s="2">
        <f>IF(C4585="","",IFERROR(INDEX($S$5:$S$304,MATCH(C4585,$R$5:$R$304,0))&amp;"","?"))</f>
        <v/>
      </c>
      <c r="N4585" s="2">
        <f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>
        <f>IF(OR(F4585="",G4585=""),"",IF(G4585&lt;='RETRATO 2027'!$K$5,"CONCLUÍDA",IF(F4585&lt;='RETRATO 2027'!$K$5,"EM ANDAMENTO","A INICIAR")))</f>
        <v/>
      </c>
    </row>
    <row r="4586">
      <c r="M4586" s="2">
        <f>IF(C4586="","",IFERROR(INDEX($S$5:$S$304,MATCH(C4586,$R$5:$R$304,0))&amp;"","?"))</f>
        <v/>
      </c>
      <c r="N4586" s="2">
        <f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>
        <f>IF(OR(F4586="",G4586=""),"",IF(G4586&lt;='RETRATO 2027'!$K$5,"CONCLUÍDA",IF(F4586&lt;='RETRATO 2027'!$K$5,"EM ANDAMENTO","A INICIAR")))</f>
        <v/>
      </c>
    </row>
    <row r="4587">
      <c r="M4587" s="2">
        <f>IF(C4587="","",IFERROR(INDEX($S$5:$S$304,MATCH(C4587,$R$5:$R$304,0))&amp;"","?"))</f>
        <v/>
      </c>
      <c r="N4587" s="2">
        <f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>
        <f>IF(OR(F4587="",G4587=""),"",IF(G4587&lt;='RETRATO 2027'!$K$5,"CONCLUÍDA",IF(F4587&lt;='RETRATO 2027'!$K$5,"EM ANDAMENTO","A INICIAR")))</f>
        <v/>
      </c>
    </row>
    <row r="4588">
      <c r="M4588" s="2">
        <f>IF(C4588="","",IFERROR(INDEX($S$5:$S$304,MATCH(C4588,$R$5:$R$304,0))&amp;"","?"))</f>
        <v/>
      </c>
      <c r="N4588" s="2">
        <f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>
        <f>IF(OR(F4588="",G4588=""),"",IF(G4588&lt;='RETRATO 2027'!$K$5,"CONCLUÍDA",IF(F4588&lt;='RETRATO 2027'!$K$5,"EM ANDAMENTO","A INICIAR")))</f>
        <v/>
      </c>
    </row>
    <row r="4589">
      <c r="M4589" s="2">
        <f>IF(C4589="","",IFERROR(INDEX($S$5:$S$304,MATCH(C4589,$R$5:$R$304,0))&amp;"","?"))</f>
        <v/>
      </c>
      <c r="N4589" s="2">
        <f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>
        <f>IF(OR(F4589="",G4589=""),"",IF(G4589&lt;='RETRATO 2027'!$K$5,"CONCLUÍDA",IF(F4589&lt;='RETRATO 2027'!$K$5,"EM ANDAMENTO","A INICIAR")))</f>
        <v/>
      </c>
    </row>
    <row r="4590">
      <c r="M4590" s="2">
        <f>IF(C4590="","",IFERROR(INDEX($S$5:$S$304,MATCH(C4590,$R$5:$R$304,0))&amp;"","?"))</f>
        <v/>
      </c>
      <c r="N4590" s="2">
        <f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>
        <f>IF(OR(F4590="",G4590=""),"",IF(G4590&lt;='RETRATO 2027'!$K$5,"CONCLUÍDA",IF(F4590&lt;='RETRATO 2027'!$K$5,"EM ANDAMENTO","A INICIAR")))</f>
        <v/>
      </c>
    </row>
    <row r="4591">
      <c r="M4591" s="2">
        <f>IF(C4591="","",IFERROR(INDEX($S$5:$S$304,MATCH(C4591,$R$5:$R$304,0))&amp;"","?"))</f>
        <v/>
      </c>
      <c r="N4591" s="2">
        <f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>
        <f>IF(OR(F4591="",G4591=""),"",IF(G4591&lt;='RETRATO 2027'!$K$5,"CONCLUÍDA",IF(F4591&lt;='RETRATO 2027'!$K$5,"EM ANDAMENTO","A INICIAR")))</f>
        <v/>
      </c>
    </row>
    <row r="4592">
      <c r="M4592" s="2">
        <f>IF(C4592="","",IFERROR(INDEX($S$5:$S$304,MATCH(C4592,$R$5:$R$304,0))&amp;"","?"))</f>
        <v/>
      </c>
      <c r="N4592" s="2">
        <f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>
        <f>IF(OR(F4592="",G4592=""),"",IF(G4592&lt;='RETRATO 2027'!$K$5,"CONCLUÍDA",IF(F4592&lt;='RETRATO 2027'!$K$5,"EM ANDAMENTO","A INICIAR")))</f>
        <v/>
      </c>
    </row>
    <row r="4593">
      <c r="M4593" s="2">
        <f>IF(C4593="","",IFERROR(INDEX($S$5:$S$304,MATCH(C4593,$R$5:$R$304,0))&amp;"","?"))</f>
        <v/>
      </c>
      <c r="N4593" s="2">
        <f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>
        <f>IF(OR(F4593="",G4593=""),"",IF(G4593&lt;='RETRATO 2027'!$K$5,"CONCLUÍDA",IF(F4593&lt;='RETRATO 2027'!$K$5,"EM ANDAMENTO","A INICIAR")))</f>
        <v/>
      </c>
    </row>
    <row r="4594">
      <c r="M4594" s="2">
        <f>IF(C4594="","",IFERROR(INDEX($S$5:$S$304,MATCH(C4594,$R$5:$R$304,0))&amp;"","?"))</f>
        <v/>
      </c>
      <c r="N4594" s="2">
        <f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>
        <f>IF(OR(F4594="",G4594=""),"",IF(G4594&lt;='RETRATO 2027'!$K$5,"CONCLUÍDA",IF(F4594&lt;='RETRATO 2027'!$K$5,"EM ANDAMENTO","A INICIAR")))</f>
        <v/>
      </c>
    </row>
    <row r="4595">
      <c r="M4595" s="2">
        <f>IF(C4595="","",IFERROR(INDEX($S$5:$S$304,MATCH(C4595,$R$5:$R$304,0))&amp;"","?"))</f>
        <v/>
      </c>
      <c r="N4595" s="2">
        <f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>
        <f>IF(OR(F4595="",G4595=""),"",IF(G4595&lt;='RETRATO 2027'!$K$5,"CONCLUÍDA",IF(F4595&lt;='RETRATO 2027'!$K$5,"EM ANDAMENTO","A INICIAR")))</f>
        <v/>
      </c>
    </row>
    <row r="4596">
      <c r="M4596" s="2">
        <f>IF(C4596="","",IFERROR(INDEX($S$5:$S$304,MATCH(C4596,$R$5:$R$304,0))&amp;"","?"))</f>
        <v/>
      </c>
      <c r="N4596" s="2">
        <f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>
        <f>IF(OR(F4596="",G4596=""),"",IF(G4596&lt;='RETRATO 2027'!$K$5,"CONCLUÍDA",IF(F4596&lt;='RETRATO 2027'!$K$5,"EM ANDAMENTO","A INICIAR")))</f>
        <v/>
      </c>
    </row>
    <row r="4597">
      <c r="M4597" s="2">
        <f>IF(C4597="","",IFERROR(INDEX($S$5:$S$304,MATCH(C4597,$R$5:$R$304,0))&amp;"","?"))</f>
        <v/>
      </c>
      <c r="N4597" s="2">
        <f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>
        <f>IF(OR(F4597="",G4597=""),"",IF(G4597&lt;='RETRATO 2027'!$K$5,"CONCLUÍDA",IF(F4597&lt;='RETRATO 2027'!$K$5,"EM ANDAMENTO","A INICIAR")))</f>
        <v/>
      </c>
    </row>
    <row r="4598">
      <c r="M4598" s="2">
        <f>IF(C4598="","",IFERROR(INDEX($S$5:$S$304,MATCH(C4598,$R$5:$R$304,0))&amp;"","?"))</f>
        <v/>
      </c>
      <c r="N4598" s="2">
        <f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>
        <f>IF(OR(F4598="",G4598=""),"",IF(G4598&lt;='RETRATO 2027'!$K$5,"CONCLUÍDA",IF(F4598&lt;='RETRATO 2027'!$K$5,"EM ANDAMENTO","A INICIAR")))</f>
        <v/>
      </c>
    </row>
    <row r="4599">
      <c r="M4599" s="2">
        <f>IF(C4599="","",IFERROR(INDEX($S$5:$S$304,MATCH(C4599,$R$5:$R$304,0))&amp;"","?"))</f>
        <v/>
      </c>
      <c r="N4599" s="2">
        <f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>
        <f>IF(OR(F4599="",G4599=""),"",IF(G4599&lt;='RETRATO 2027'!$K$5,"CONCLUÍDA",IF(F4599&lt;='RETRATO 2027'!$K$5,"EM ANDAMENTO","A INICIAR")))</f>
        <v/>
      </c>
    </row>
    <row r="4600">
      <c r="M4600" s="2">
        <f>IF(C4600="","",IFERROR(INDEX($S$5:$S$304,MATCH(C4600,$R$5:$R$304,0))&amp;"","?"))</f>
        <v/>
      </c>
      <c r="N4600" s="2">
        <f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>
        <f>IF(OR(F4600="",G4600=""),"",IF(G4600&lt;='RETRATO 2027'!$K$5,"CONCLUÍDA",IF(F4600&lt;='RETRATO 2027'!$K$5,"EM ANDAMENTO","A INICIAR")))</f>
        <v/>
      </c>
    </row>
    <row r="4601">
      <c r="M4601" s="2">
        <f>IF(C4601="","",IFERROR(INDEX($S$5:$S$304,MATCH(C4601,$R$5:$R$304,0))&amp;"","?"))</f>
        <v/>
      </c>
      <c r="N4601" s="2">
        <f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>
        <f>IF(OR(F4601="",G4601=""),"",IF(G4601&lt;='RETRATO 2027'!$K$5,"CONCLUÍDA",IF(F4601&lt;='RETRATO 2027'!$K$5,"EM ANDAMENTO","A INICIAR")))</f>
        <v/>
      </c>
    </row>
    <row r="4602">
      <c r="M4602" s="2">
        <f>IF(C4602="","",IFERROR(INDEX($S$5:$S$304,MATCH(C4602,$R$5:$R$304,0))&amp;"","?"))</f>
        <v/>
      </c>
      <c r="N4602" s="2">
        <f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>
        <f>IF(OR(F4602="",G4602=""),"",IF(G4602&lt;='RETRATO 2027'!$K$5,"CONCLUÍDA",IF(F4602&lt;='RETRATO 2027'!$K$5,"EM ANDAMENTO","A INICIAR")))</f>
        <v/>
      </c>
    </row>
    <row r="4603">
      <c r="M4603" s="2">
        <f>IF(C4603="","",IFERROR(INDEX($S$5:$S$304,MATCH(C4603,$R$5:$R$304,0))&amp;"","?"))</f>
        <v/>
      </c>
      <c r="N4603" s="2">
        <f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>
        <f>IF(OR(F4603="",G4603=""),"",IF(G4603&lt;='RETRATO 2027'!$K$5,"CONCLUÍDA",IF(F4603&lt;='RETRATO 2027'!$K$5,"EM ANDAMENTO","A INICIAR")))</f>
        <v/>
      </c>
    </row>
    <row r="4604">
      <c r="M4604" s="2">
        <f>IF(C4604="","",IFERROR(INDEX($S$5:$S$304,MATCH(C4604,$R$5:$R$304,0))&amp;"","?"))</f>
        <v/>
      </c>
      <c r="N4604" s="2">
        <f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>
        <f>IF(OR(F4604="",G4604=""),"",IF(G4604&lt;='RETRATO 2027'!$K$5,"CONCLUÍDA",IF(F4604&lt;='RETRATO 2027'!$K$5,"EM ANDAMENTO","A INICIAR")))</f>
        <v/>
      </c>
    </row>
    <row r="4605">
      <c r="M4605" s="2">
        <f>IF(C4605="","",IFERROR(INDEX($S$5:$S$304,MATCH(C4605,$R$5:$R$304,0))&amp;"","?"))</f>
        <v/>
      </c>
      <c r="N4605" s="2">
        <f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>
        <f>IF(OR(F4605="",G4605=""),"",IF(G4605&lt;='RETRATO 2027'!$K$5,"CONCLUÍDA",IF(F4605&lt;='RETRATO 2027'!$K$5,"EM ANDAMENTO","A INICIAR")))</f>
        <v/>
      </c>
    </row>
    <row r="4606">
      <c r="M4606" s="2">
        <f>IF(C4606="","",IFERROR(INDEX($S$5:$S$304,MATCH(C4606,$R$5:$R$304,0))&amp;"","?"))</f>
        <v/>
      </c>
      <c r="N4606" s="2">
        <f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>
        <f>IF(OR(F4606="",G4606=""),"",IF(G4606&lt;='RETRATO 2027'!$K$5,"CONCLUÍDA",IF(F4606&lt;='RETRATO 2027'!$K$5,"EM ANDAMENTO","A INICIAR")))</f>
        <v/>
      </c>
    </row>
    <row r="4607">
      <c r="M4607" s="2">
        <f>IF(C4607="","",IFERROR(INDEX($S$5:$S$304,MATCH(C4607,$R$5:$R$304,0))&amp;"","?"))</f>
        <v/>
      </c>
      <c r="N4607" s="2">
        <f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>
        <f>IF(OR(F4607="",G4607=""),"",IF(G4607&lt;='RETRATO 2027'!$K$5,"CONCLUÍDA",IF(F4607&lt;='RETRATO 2027'!$K$5,"EM ANDAMENTO","A INICIAR")))</f>
        <v/>
      </c>
    </row>
    <row r="4608">
      <c r="M4608" s="2">
        <f>IF(C4608="","",IFERROR(INDEX($S$5:$S$304,MATCH(C4608,$R$5:$R$304,0))&amp;"","?"))</f>
        <v/>
      </c>
      <c r="N4608" s="2">
        <f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>
        <f>IF(OR(F4608="",G4608=""),"",IF(G4608&lt;='RETRATO 2027'!$K$5,"CONCLUÍDA",IF(F4608&lt;='RETRATO 2027'!$K$5,"EM ANDAMENTO","A INICIAR")))</f>
        <v/>
      </c>
    </row>
    <row r="4609">
      <c r="M4609" s="2">
        <f>IF(C4609="","",IFERROR(INDEX($S$5:$S$304,MATCH(C4609,$R$5:$R$304,0))&amp;"","?"))</f>
        <v/>
      </c>
      <c r="N4609" s="2">
        <f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>
        <f>IF(OR(F4609="",G4609=""),"",IF(G4609&lt;='RETRATO 2027'!$K$5,"CONCLUÍDA",IF(F4609&lt;='RETRATO 2027'!$K$5,"EM ANDAMENTO","A INICIAR")))</f>
        <v/>
      </c>
    </row>
    <row r="4610">
      <c r="M4610" s="2">
        <f>IF(C4610="","",IFERROR(INDEX($S$5:$S$304,MATCH(C4610,$R$5:$R$304,0))&amp;"","?"))</f>
        <v/>
      </c>
      <c r="N4610" s="2">
        <f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>
        <f>IF(OR(F4610="",G4610=""),"",IF(G4610&lt;='RETRATO 2027'!$K$5,"CONCLUÍDA",IF(F4610&lt;='RETRATO 2027'!$K$5,"EM ANDAMENTO","A INICIAR")))</f>
        <v/>
      </c>
    </row>
    <row r="4611">
      <c r="M4611" s="2">
        <f>IF(C4611="","",IFERROR(INDEX($S$5:$S$304,MATCH(C4611,$R$5:$R$304,0))&amp;"","?"))</f>
        <v/>
      </c>
      <c r="N4611" s="2">
        <f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>
        <f>IF(OR(F4611="",G4611=""),"",IF(G4611&lt;='RETRATO 2027'!$K$5,"CONCLUÍDA",IF(F4611&lt;='RETRATO 2027'!$K$5,"EM ANDAMENTO","A INICIAR")))</f>
        <v/>
      </c>
    </row>
    <row r="4612">
      <c r="M4612" s="2">
        <f>IF(C4612="","",IFERROR(INDEX($S$5:$S$304,MATCH(C4612,$R$5:$R$304,0))&amp;"","?"))</f>
        <v/>
      </c>
      <c r="N4612" s="2">
        <f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>
        <f>IF(OR(F4612="",G4612=""),"",IF(G4612&lt;='RETRATO 2027'!$K$5,"CONCLUÍDA",IF(F4612&lt;='RETRATO 2027'!$K$5,"EM ANDAMENTO","A INICIAR")))</f>
        <v/>
      </c>
    </row>
    <row r="4613">
      <c r="M4613" s="2">
        <f>IF(C4613="","",IFERROR(INDEX($S$5:$S$304,MATCH(C4613,$R$5:$R$304,0))&amp;"","?"))</f>
        <v/>
      </c>
      <c r="N4613" s="2">
        <f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>
        <f>IF(OR(F4613="",G4613=""),"",IF(G4613&lt;='RETRATO 2027'!$K$5,"CONCLUÍDA",IF(F4613&lt;='RETRATO 2027'!$K$5,"EM ANDAMENTO","A INICIAR")))</f>
        <v/>
      </c>
    </row>
    <row r="4614">
      <c r="M4614" s="2">
        <f>IF(C4614="","",IFERROR(INDEX($S$5:$S$304,MATCH(C4614,$R$5:$R$304,0))&amp;"","?"))</f>
        <v/>
      </c>
      <c r="N4614" s="2">
        <f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>
        <f>IF(OR(F4614="",G4614=""),"",IF(G4614&lt;='RETRATO 2027'!$K$5,"CONCLUÍDA",IF(F4614&lt;='RETRATO 2027'!$K$5,"EM ANDAMENTO","A INICIAR")))</f>
        <v/>
      </c>
    </row>
    <row r="4615">
      <c r="M4615" s="2">
        <f>IF(C4615="","",IFERROR(INDEX($S$5:$S$304,MATCH(C4615,$R$5:$R$304,0))&amp;"","?"))</f>
        <v/>
      </c>
      <c r="N4615" s="2">
        <f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>
        <f>IF(OR(F4615="",G4615=""),"",IF(G4615&lt;='RETRATO 2027'!$K$5,"CONCLUÍDA",IF(F4615&lt;='RETRATO 2027'!$K$5,"EM ANDAMENTO","A INICIAR")))</f>
        <v/>
      </c>
    </row>
    <row r="4616">
      <c r="M4616" s="2">
        <f>IF(C4616="","",IFERROR(INDEX($S$5:$S$304,MATCH(C4616,$R$5:$R$304,0))&amp;"","?"))</f>
        <v/>
      </c>
      <c r="N4616" s="2">
        <f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>
        <f>IF(OR(F4616="",G4616=""),"",IF(G4616&lt;='RETRATO 2027'!$K$5,"CONCLUÍDA",IF(F4616&lt;='RETRATO 2027'!$K$5,"EM ANDAMENTO","A INICIAR")))</f>
        <v/>
      </c>
    </row>
    <row r="4617">
      <c r="M4617" s="2">
        <f>IF(C4617="","",IFERROR(INDEX($S$5:$S$304,MATCH(C4617,$R$5:$R$304,0))&amp;"","?"))</f>
        <v/>
      </c>
      <c r="N4617" s="2">
        <f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>
        <f>IF(OR(F4617="",G4617=""),"",IF(G4617&lt;='RETRATO 2027'!$K$5,"CONCLUÍDA",IF(F4617&lt;='RETRATO 2027'!$K$5,"EM ANDAMENTO","A INICIAR")))</f>
        <v/>
      </c>
    </row>
    <row r="4618">
      <c r="M4618" s="2">
        <f>IF(C4618="","",IFERROR(INDEX($S$5:$S$304,MATCH(C4618,$R$5:$R$304,0))&amp;"","?"))</f>
        <v/>
      </c>
      <c r="N4618" s="2">
        <f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>
        <f>IF(OR(F4618="",G4618=""),"",IF(G4618&lt;='RETRATO 2027'!$K$5,"CONCLUÍDA",IF(F4618&lt;='RETRATO 2027'!$K$5,"EM ANDAMENTO","A INICIAR")))</f>
        <v/>
      </c>
    </row>
    <row r="4619">
      <c r="M4619" s="2">
        <f>IF(C4619="","",IFERROR(INDEX($S$5:$S$304,MATCH(C4619,$R$5:$R$304,0))&amp;"","?"))</f>
        <v/>
      </c>
      <c r="N4619" s="2">
        <f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>
        <f>IF(OR(F4619="",G4619=""),"",IF(G4619&lt;='RETRATO 2027'!$K$5,"CONCLUÍDA",IF(F4619&lt;='RETRATO 2027'!$K$5,"EM ANDAMENTO","A INICIAR")))</f>
        <v/>
      </c>
    </row>
    <row r="4620">
      <c r="M4620" s="2">
        <f>IF(C4620="","",IFERROR(INDEX($S$5:$S$304,MATCH(C4620,$R$5:$R$304,0))&amp;"","?"))</f>
        <v/>
      </c>
      <c r="N4620" s="2">
        <f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>
        <f>IF(OR(F4620="",G4620=""),"",IF(G4620&lt;='RETRATO 2027'!$K$5,"CONCLUÍDA",IF(F4620&lt;='RETRATO 2027'!$K$5,"EM ANDAMENTO","A INICIAR")))</f>
        <v/>
      </c>
    </row>
    <row r="4621">
      <c r="M4621" s="2">
        <f>IF(C4621="","",IFERROR(INDEX($S$5:$S$304,MATCH(C4621,$R$5:$R$304,0))&amp;"","?"))</f>
        <v/>
      </c>
      <c r="N4621" s="2">
        <f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>
        <f>IF(OR(F4621="",G4621=""),"",IF(G4621&lt;='RETRATO 2027'!$K$5,"CONCLUÍDA",IF(F4621&lt;='RETRATO 2027'!$K$5,"EM ANDAMENTO","A INICIAR")))</f>
        <v/>
      </c>
    </row>
    <row r="4622">
      <c r="M4622" s="2">
        <f>IF(C4622="","",IFERROR(INDEX($S$5:$S$304,MATCH(C4622,$R$5:$R$304,0))&amp;"","?"))</f>
        <v/>
      </c>
      <c r="N4622" s="2">
        <f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>
        <f>IF(OR(F4622="",G4622=""),"",IF(G4622&lt;='RETRATO 2027'!$K$5,"CONCLUÍDA",IF(F4622&lt;='RETRATO 2027'!$K$5,"EM ANDAMENTO","A INICIAR")))</f>
        <v/>
      </c>
    </row>
    <row r="4623">
      <c r="M4623" s="2">
        <f>IF(C4623="","",IFERROR(INDEX($S$5:$S$304,MATCH(C4623,$R$5:$R$304,0))&amp;"","?"))</f>
        <v/>
      </c>
      <c r="N4623" s="2">
        <f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>
        <f>IF(OR(F4623="",G4623=""),"",IF(G4623&lt;='RETRATO 2027'!$K$5,"CONCLUÍDA",IF(F4623&lt;='RETRATO 2027'!$K$5,"EM ANDAMENTO","A INICIAR")))</f>
        <v/>
      </c>
    </row>
    <row r="4624">
      <c r="M4624" s="2">
        <f>IF(C4624="","",IFERROR(INDEX($S$5:$S$304,MATCH(C4624,$R$5:$R$304,0))&amp;"","?"))</f>
        <v/>
      </c>
      <c r="N4624" s="2">
        <f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>
        <f>IF(OR(F4624="",G4624=""),"",IF(G4624&lt;='RETRATO 2027'!$K$5,"CONCLUÍDA",IF(F4624&lt;='RETRATO 2027'!$K$5,"EM ANDAMENTO","A INICIAR")))</f>
        <v/>
      </c>
    </row>
    <row r="4625">
      <c r="M4625" s="2">
        <f>IF(C4625="","",IFERROR(INDEX($S$5:$S$304,MATCH(C4625,$R$5:$R$304,0))&amp;"","?"))</f>
        <v/>
      </c>
      <c r="N4625" s="2">
        <f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>
        <f>IF(OR(F4625="",G4625=""),"",IF(G4625&lt;='RETRATO 2027'!$K$5,"CONCLUÍDA",IF(F4625&lt;='RETRATO 2027'!$K$5,"EM ANDAMENTO","A INICIAR")))</f>
        <v/>
      </c>
    </row>
    <row r="4626">
      <c r="M4626" s="2">
        <f>IF(C4626="","",IFERROR(INDEX($S$5:$S$304,MATCH(C4626,$R$5:$R$304,0))&amp;"","?"))</f>
        <v/>
      </c>
      <c r="N4626" s="2">
        <f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>
        <f>IF(OR(F4626="",G4626=""),"",IF(G4626&lt;='RETRATO 2027'!$K$5,"CONCLUÍDA",IF(F4626&lt;='RETRATO 2027'!$K$5,"EM ANDAMENTO","A INICIAR")))</f>
        <v/>
      </c>
    </row>
    <row r="4627">
      <c r="M4627" s="2">
        <f>IF(C4627="","",IFERROR(INDEX($S$5:$S$304,MATCH(C4627,$R$5:$R$304,0))&amp;"","?"))</f>
        <v/>
      </c>
      <c r="N4627" s="2">
        <f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>
        <f>IF(OR(F4627="",G4627=""),"",IF(G4627&lt;='RETRATO 2027'!$K$5,"CONCLUÍDA",IF(F4627&lt;='RETRATO 2027'!$K$5,"EM ANDAMENTO","A INICIAR")))</f>
        <v/>
      </c>
    </row>
    <row r="4628">
      <c r="M4628" s="2">
        <f>IF(C4628="","",IFERROR(INDEX($S$5:$S$304,MATCH(C4628,$R$5:$R$304,0))&amp;"","?"))</f>
        <v/>
      </c>
      <c r="N4628" s="2">
        <f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>
        <f>IF(OR(F4628="",G4628=""),"",IF(G4628&lt;='RETRATO 2027'!$K$5,"CONCLUÍDA",IF(F4628&lt;='RETRATO 2027'!$K$5,"EM ANDAMENTO","A INICIAR")))</f>
        <v/>
      </c>
    </row>
    <row r="4629">
      <c r="M4629" s="2">
        <f>IF(C4629="","",IFERROR(INDEX($S$5:$S$304,MATCH(C4629,$R$5:$R$304,0))&amp;"","?"))</f>
        <v/>
      </c>
      <c r="N4629" s="2">
        <f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>
        <f>IF(OR(F4629="",G4629=""),"",IF(G4629&lt;='RETRATO 2027'!$K$5,"CONCLUÍDA",IF(F4629&lt;='RETRATO 2027'!$K$5,"EM ANDAMENTO","A INICIAR")))</f>
        <v/>
      </c>
    </row>
    <row r="4630">
      <c r="M4630" s="2">
        <f>IF(C4630="","",IFERROR(INDEX($S$5:$S$304,MATCH(C4630,$R$5:$R$304,0))&amp;"","?"))</f>
        <v/>
      </c>
      <c r="N4630" s="2">
        <f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>
        <f>IF(OR(F4630="",G4630=""),"",IF(G4630&lt;='RETRATO 2027'!$K$5,"CONCLUÍDA",IF(F4630&lt;='RETRATO 2027'!$K$5,"EM ANDAMENTO","A INICIAR")))</f>
        <v/>
      </c>
    </row>
    <row r="4631">
      <c r="M4631" s="2">
        <f>IF(C4631="","",IFERROR(INDEX($S$5:$S$304,MATCH(C4631,$R$5:$R$304,0))&amp;"","?"))</f>
        <v/>
      </c>
      <c r="N4631" s="2">
        <f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>
        <f>IF(OR(F4631="",G4631=""),"",IF(G4631&lt;='RETRATO 2027'!$K$5,"CONCLUÍDA",IF(F4631&lt;='RETRATO 2027'!$K$5,"EM ANDAMENTO","A INICIAR")))</f>
        <v/>
      </c>
    </row>
    <row r="4632">
      <c r="M4632" s="2">
        <f>IF(C4632="","",IFERROR(INDEX($S$5:$S$304,MATCH(C4632,$R$5:$R$304,0))&amp;"","?"))</f>
        <v/>
      </c>
      <c r="N4632" s="2">
        <f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>
        <f>IF(OR(F4632="",G4632=""),"",IF(G4632&lt;='RETRATO 2027'!$K$5,"CONCLUÍDA",IF(F4632&lt;='RETRATO 2027'!$K$5,"EM ANDAMENTO","A INICIAR")))</f>
        <v/>
      </c>
    </row>
    <row r="4633">
      <c r="M4633" s="2">
        <f>IF(C4633="","",IFERROR(INDEX($S$5:$S$304,MATCH(C4633,$R$5:$R$304,0))&amp;"","?"))</f>
        <v/>
      </c>
      <c r="N4633" s="2">
        <f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>
        <f>IF(OR(F4633="",G4633=""),"",IF(G4633&lt;='RETRATO 2027'!$K$5,"CONCLUÍDA",IF(F4633&lt;='RETRATO 2027'!$K$5,"EM ANDAMENTO","A INICIAR")))</f>
        <v/>
      </c>
    </row>
    <row r="4634">
      <c r="M4634" s="2">
        <f>IF(C4634="","",IFERROR(INDEX($S$5:$S$304,MATCH(C4634,$R$5:$R$304,0))&amp;"","?"))</f>
        <v/>
      </c>
      <c r="N4634" s="2">
        <f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>
        <f>IF(OR(F4634="",G4634=""),"",IF(G4634&lt;='RETRATO 2027'!$K$5,"CONCLUÍDA",IF(F4634&lt;='RETRATO 2027'!$K$5,"EM ANDAMENTO","A INICIAR")))</f>
        <v/>
      </c>
    </row>
    <row r="4635">
      <c r="M4635" s="2">
        <f>IF(C4635="","",IFERROR(INDEX($S$5:$S$304,MATCH(C4635,$R$5:$R$304,0))&amp;"","?"))</f>
        <v/>
      </c>
      <c r="N4635" s="2">
        <f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>
        <f>IF(OR(F4635="",G4635=""),"",IF(G4635&lt;='RETRATO 2027'!$K$5,"CONCLUÍDA",IF(F4635&lt;='RETRATO 2027'!$K$5,"EM ANDAMENTO","A INICIAR")))</f>
        <v/>
      </c>
    </row>
    <row r="4636">
      <c r="M4636" s="2">
        <f>IF(C4636="","",IFERROR(INDEX($S$5:$S$304,MATCH(C4636,$R$5:$R$304,0))&amp;"","?"))</f>
        <v/>
      </c>
      <c r="N4636" s="2">
        <f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>
        <f>IF(OR(F4636="",G4636=""),"",IF(G4636&lt;='RETRATO 2027'!$K$5,"CONCLUÍDA",IF(F4636&lt;='RETRATO 2027'!$K$5,"EM ANDAMENTO","A INICIAR")))</f>
        <v/>
      </c>
    </row>
    <row r="4637">
      <c r="M4637" s="2">
        <f>IF(C4637="","",IFERROR(INDEX($S$5:$S$304,MATCH(C4637,$R$5:$R$304,0))&amp;"","?"))</f>
        <v/>
      </c>
      <c r="N4637" s="2">
        <f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>
        <f>IF(OR(F4637="",G4637=""),"",IF(G4637&lt;='RETRATO 2027'!$K$5,"CONCLUÍDA",IF(F4637&lt;='RETRATO 2027'!$K$5,"EM ANDAMENTO","A INICIAR")))</f>
        <v/>
      </c>
    </row>
    <row r="4638">
      <c r="M4638" s="2">
        <f>IF(C4638="","",IFERROR(INDEX($S$5:$S$304,MATCH(C4638,$R$5:$R$304,0))&amp;"","?"))</f>
        <v/>
      </c>
      <c r="N4638" s="2">
        <f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>
        <f>IF(OR(F4638="",G4638=""),"",IF(G4638&lt;='RETRATO 2027'!$K$5,"CONCLUÍDA",IF(F4638&lt;='RETRATO 2027'!$K$5,"EM ANDAMENTO","A INICIAR")))</f>
        <v/>
      </c>
    </row>
    <row r="4639">
      <c r="M4639" s="2">
        <f>IF(C4639="","",IFERROR(INDEX($S$5:$S$304,MATCH(C4639,$R$5:$R$304,0))&amp;"","?"))</f>
        <v/>
      </c>
      <c r="N4639" s="2">
        <f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>
        <f>IF(OR(F4639="",G4639=""),"",IF(G4639&lt;='RETRATO 2027'!$K$5,"CONCLUÍDA",IF(F4639&lt;='RETRATO 2027'!$K$5,"EM ANDAMENTO","A INICIAR")))</f>
        <v/>
      </c>
    </row>
    <row r="4640">
      <c r="M4640" s="2">
        <f>IF(C4640="","",IFERROR(INDEX($S$5:$S$304,MATCH(C4640,$R$5:$R$304,0))&amp;"","?"))</f>
        <v/>
      </c>
      <c r="N4640" s="2">
        <f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>
        <f>IF(OR(F4640="",G4640=""),"",IF(G4640&lt;='RETRATO 2027'!$K$5,"CONCLUÍDA",IF(F4640&lt;='RETRATO 2027'!$K$5,"EM ANDAMENTO","A INICIAR")))</f>
        <v/>
      </c>
    </row>
    <row r="4641">
      <c r="M4641" s="2">
        <f>IF(C4641="","",IFERROR(INDEX($S$5:$S$304,MATCH(C4641,$R$5:$R$304,0))&amp;"","?"))</f>
        <v/>
      </c>
      <c r="N4641" s="2">
        <f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>
        <f>IF(OR(F4641="",G4641=""),"",IF(G4641&lt;='RETRATO 2027'!$K$5,"CONCLUÍDA",IF(F4641&lt;='RETRATO 2027'!$K$5,"EM ANDAMENTO","A INICIAR")))</f>
        <v/>
      </c>
    </row>
    <row r="4642">
      <c r="M4642" s="2">
        <f>IF(C4642="","",IFERROR(INDEX($S$5:$S$304,MATCH(C4642,$R$5:$R$304,0))&amp;"","?"))</f>
        <v/>
      </c>
      <c r="N4642" s="2">
        <f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>
        <f>IF(OR(F4642="",G4642=""),"",IF(G4642&lt;='RETRATO 2027'!$K$5,"CONCLUÍDA",IF(F4642&lt;='RETRATO 2027'!$K$5,"EM ANDAMENTO","A INICIAR")))</f>
        <v/>
      </c>
    </row>
    <row r="4643">
      <c r="M4643" s="2">
        <f>IF(C4643="","",IFERROR(INDEX($S$5:$S$304,MATCH(C4643,$R$5:$R$304,0))&amp;"","?"))</f>
        <v/>
      </c>
      <c r="N4643" s="2">
        <f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>
        <f>IF(OR(F4643="",G4643=""),"",IF(G4643&lt;='RETRATO 2027'!$K$5,"CONCLUÍDA",IF(F4643&lt;='RETRATO 2027'!$K$5,"EM ANDAMENTO","A INICIAR")))</f>
        <v/>
      </c>
    </row>
    <row r="4644">
      <c r="M4644" s="2">
        <f>IF(C4644="","",IFERROR(INDEX($S$5:$S$304,MATCH(C4644,$R$5:$R$304,0))&amp;"","?"))</f>
        <v/>
      </c>
      <c r="N4644" s="2">
        <f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>
        <f>IF(OR(F4644="",G4644=""),"",IF(G4644&lt;='RETRATO 2027'!$K$5,"CONCLUÍDA",IF(F4644&lt;='RETRATO 2027'!$K$5,"EM ANDAMENTO","A INICIAR")))</f>
        <v/>
      </c>
    </row>
    <row r="4645">
      <c r="M4645" s="2">
        <f>IF(C4645="","",IFERROR(INDEX($S$5:$S$304,MATCH(C4645,$R$5:$R$304,0))&amp;"","?"))</f>
        <v/>
      </c>
      <c r="N4645" s="2">
        <f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>
        <f>IF(OR(F4645="",G4645=""),"",IF(G4645&lt;='RETRATO 2027'!$K$5,"CONCLUÍDA",IF(F4645&lt;='RETRATO 2027'!$K$5,"EM ANDAMENTO","A INICIAR")))</f>
        <v/>
      </c>
    </row>
    <row r="4646">
      <c r="M4646" s="2">
        <f>IF(C4646="","",IFERROR(INDEX($S$5:$S$304,MATCH(C4646,$R$5:$R$304,0))&amp;"","?"))</f>
        <v/>
      </c>
      <c r="N4646" s="2">
        <f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>
        <f>IF(OR(F4646="",G4646=""),"",IF(G4646&lt;='RETRATO 2027'!$K$5,"CONCLUÍDA",IF(F4646&lt;='RETRATO 2027'!$K$5,"EM ANDAMENTO","A INICIAR")))</f>
        <v/>
      </c>
    </row>
    <row r="4647">
      <c r="M4647" s="2">
        <f>IF(C4647="","",IFERROR(INDEX($S$5:$S$304,MATCH(C4647,$R$5:$R$304,0))&amp;"","?"))</f>
        <v/>
      </c>
      <c r="N4647" s="2">
        <f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>
        <f>IF(OR(F4647="",G4647=""),"",IF(G4647&lt;='RETRATO 2027'!$K$5,"CONCLUÍDA",IF(F4647&lt;='RETRATO 2027'!$K$5,"EM ANDAMENTO","A INICIAR")))</f>
        <v/>
      </c>
    </row>
    <row r="4648">
      <c r="M4648" s="2">
        <f>IF(C4648="","",IFERROR(INDEX($S$5:$S$304,MATCH(C4648,$R$5:$R$304,0))&amp;"","?"))</f>
        <v/>
      </c>
      <c r="N4648" s="2">
        <f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>
        <f>IF(OR(F4648="",G4648=""),"",IF(G4648&lt;='RETRATO 2027'!$K$5,"CONCLUÍDA",IF(F4648&lt;='RETRATO 2027'!$K$5,"EM ANDAMENTO","A INICIAR")))</f>
        <v/>
      </c>
    </row>
    <row r="4649">
      <c r="M4649" s="2">
        <f>IF(C4649="","",IFERROR(INDEX($S$5:$S$304,MATCH(C4649,$R$5:$R$304,0))&amp;"","?"))</f>
        <v/>
      </c>
      <c r="N4649" s="2">
        <f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>
        <f>IF(OR(F4649="",G4649=""),"",IF(G4649&lt;='RETRATO 2027'!$K$5,"CONCLUÍDA",IF(F4649&lt;='RETRATO 2027'!$K$5,"EM ANDAMENTO","A INICIAR")))</f>
        <v/>
      </c>
    </row>
    <row r="4650">
      <c r="M4650" s="2">
        <f>IF(C4650="","",IFERROR(INDEX($S$5:$S$304,MATCH(C4650,$R$5:$R$304,0))&amp;"","?"))</f>
        <v/>
      </c>
      <c r="N4650" s="2">
        <f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>
        <f>IF(OR(F4650="",G4650=""),"",IF(G4650&lt;='RETRATO 2027'!$K$5,"CONCLUÍDA",IF(F4650&lt;='RETRATO 2027'!$K$5,"EM ANDAMENTO","A INICIAR")))</f>
        <v/>
      </c>
    </row>
    <row r="4651">
      <c r="M4651" s="2">
        <f>IF(C4651="","",IFERROR(INDEX($S$5:$S$304,MATCH(C4651,$R$5:$R$304,0))&amp;"","?"))</f>
        <v/>
      </c>
      <c r="N4651" s="2">
        <f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>
        <f>IF(OR(F4651="",G4651=""),"",IF(G4651&lt;='RETRATO 2027'!$K$5,"CONCLUÍDA",IF(F4651&lt;='RETRATO 2027'!$K$5,"EM ANDAMENTO","A INICIAR")))</f>
        <v/>
      </c>
    </row>
    <row r="4652">
      <c r="M4652" s="2">
        <f>IF(C4652="","",IFERROR(INDEX($S$5:$S$304,MATCH(C4652,$R$5:$R$304,0))&amp;"","?"))</f>
        <v/>
      </c>
      <c r="N4652" s="2">
        <f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>
        <f>IF(OR(F4652="",G4652=""),"",IF(G4652&lt;='RETRATO 2027'!$K$5,"CONCLUÍDA",IF(F4652&lt;='RETRATO 2027'!$K$5,"EM ANDAMENTO","A INICIAR")))</f>
        <v/>
      </c>
    </row>
    <row r="4653">
      <c r="M4653" s="2">
        <f>IF(C4653="","",IFERROR(INDEX($S$5:$S$304,MATCH(C4653,$R$5:$R$304,0))&amp;"","?"))</f>
        <v/>
      </c>
      <c r="N4653" s="2">
        <f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>
        <f>IF(OR(F4653="",G4653=""),"",IF(G4653&lt;='RETRATO 2027'!$K$5,"CONCLUÍDA",IF(F4653&lt;='RETRATO 2027'!$K$5,"EM ANDAMENTO","A INICIAR")))</f>
        <v/>
      </c>
    </row>
    <row r="4654">
      <c r="M4654" s="2">
        <f>IF(C4654="","",IFERROR(INDEX($S$5:$S$304,MATCH(C4654,$R$5:$R$304,0))&amp;"","?"))</f>
        <v/>
      </c>
      <c r="N4654" s="2">
        <f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>
        <f>IF(OR(F4654="",G4654=""),"",IF(G4654&lt;='RETRATO 2027'!$K$5,"CONCLUÍDA",IF(F4654&lt;='RETRATO 2027'!$K$5,"EM ANDAMENTO","A INICIAR")))</f>
        <v/>
      </c>
    </row>
    <row r="4655">
      <c r="M4655" s="2">
        <f>IF(C4655="","",IFERROR(INDEX($S$5:$S$304,MATCH(C4655,$R$5:$R$304,0))&amp;"","?"))</f>
        <v/>
      </c>
      <c r="N4655" s="2">
        <f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>
        <f>IF(OR(F4655="",G4655=""),"",IF(G4655&lt;='RETRATO 2027'!$K$5,"CONCLUÍDA",IF(F4655&lt;='RETRATO 2027'!$K$5,"EM ANDAMENTO","A INICIAR")))</f>
        <v/>
      </c>
    </row>
    <row r="4656">
      <c r="M4656" s="2">
        <f>IF(C4656="","",IFERROR(INDEX($S$5:$S$304,MATCH(C4656,$R$5:$R$304,0))&amp;"","?"))</f>
        <v/>
      </c>
      <c r="N4656" s="2">
        <f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>
        <f>IF(OR(F4656="",G4656=""),"",IF(G4656&lt;='RETRATO 2027'!$K$5,"CONCLUÍDA",IF(F4656&lt;='RETRATO 2027'!$K$5,"EM ANDAMENTO","A INICIAR")))</f>
        <v/>
      </c>
    </row>
    <row r="4657">
      <c r="M4657" s="2">
        <f>IF(C4657="","",IFERROR(INDEX($S$5:$S$304,MATCH(C4657,$R$5:$R$304,0))&amp;"","?"))</f>
        <v/>
      </c>
      <c r="N4657" s="2">
        <f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>
        <f>IF(OR(F4657="",G4657=""),"",IF(G4657&lt;='RETRATO 2027'!$K$5,"CONCLUÍDA",IF(F4657&lt;='RETRATO 2027'!$K$5,"EM ANDAMENTO","A INICIAR")))</f>
        <v/>
      </c>
    </row>
    <row r="4658">
      <c r="M4658" s="2">
        <f>IF(C4658="","",IFERROR(INDEX($S$5:$S$304,MATCH(C4658,$R$5:$R$304,0))&amp;"","?"))</f>
        <v/>
      </c>
      <c r="N4658" s="2">
        <f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>
        <f>IF(OR(F4658="",G4658=""),"",IF(G4658&lt;='RETRATO 2027'!$K$5,"CONCLUÍDA",IF(F4658&lt;='RETRATO 2027'!$K$5,"EM ANDAMENTO","A INICIAR")))</f>
        <v/>
      </c>
    </row>
    <row r="4659">
      <c r="M4659" s="2">
        <f>IF(C4659="","",IFERROR(INDEX($S$5:$S$304,MATCH(C4659,$R$5:$R$304,0))&amp;"","?"))</f>
        <v/>
      </c>
      <c r="N4659" s="2">
        <f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>
        <f>IF(OR(F4659="",G4659=""),"",IF(G4659&lt;='RETRATO 2027'!$K$5,"CONCLUÍDA",IF(F4659&lt;='RETRATO 2027'!$K$5,"EM ANDAMENTO","A INICIAR")))</f>
        <v/>
      </c>
    </row>
    <row r="4660">
      <c r="M4660" s="2">
        <f>IF(C4660="","",IFERROR(INDEX($S$5:$S$304,MATCH(C4660,$R$5:$R$304,0))&amp;"","?"))</f>
        <v/>
      </c>
      <c r="N4660" s="2">
        <f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>
        <f>IF(OR(F4660="",G4660=""),"",IF(G4660&lt;='RETRATO 2027'!$K$5,"CONCLUÍDA",IF(F4660&lt;='RETRATO 2027'!$K$5,"EM ANDAMENTO","A INICIAR")))</f>
        <v/>
      </c>
    </row>
    <row r="4661">
      <c r="M4661" s="2">
        <f>IF(C4661="","",IFERROR(INDEX($S$5:$S$304,MATCH(C4661,$R$5:$R$304,0))&amp;"","?"))</f>
        <v/>
      </c>
      <c r="N4661" s="2">
        <f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>
        <f>IF(OR(F4661="",G4661=""),"",IF(G4661&lt;='RETRATO 2027'!$K$5,"CONCLUÍDA",IF(F4661&lt;='RETRATO 2027'!$K$5,"EM ANDAMENTO","A INICIAR")))</f>
        <v/>
      </c>
    </row>
    <row r="4662">
      <c r="M4662" s="2">
        <f>IF(C4662="","",IFERROR(INDEX($S$5:$S$304,MATCH(C4662,$R$5:$R$304,0))&amp;"","?"))</f>
        <v/>
      </c>
      <c r="N4662" s="2">
        <f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>
        <f>IF(OR(F4662="",G4662=""),"",IF(G4662&lt;='RETRATO 2027'!$K$5,"CONCLUÍDA",IF(F4662&lt;='RETRATO 2027'!$K$5,"EM ANDAMENTO","A INICIAR")))</f>
        <v/>
      </c>
    </row>
    <row r="4663">
      <c r="M4663" s="2">
        <f>IF(C4663="","",IFERROR(INDEX($S$5:$S$304,MATCH(C4663,$R$5:$R$304,0))&amp;"","?"))</f>
        <v/>
      </c>
      <c r="N4663" s="2">
        <f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>
        <f>IF(OR(F4663="",G4663=""),"",IF(G4663&lt;='RETRATO 2027'!$K$5,"CONCLUÍDA",IF(F4663&lt;='RETRATO 2027'!$K$5,"EM ANDAMENTO","A INICIAR")))</f>
        <v/>
      </c>
    </row>
    <row r="4664">
      <c r="M4664" s="2">
        <f>IF(C4664="","",IFERROR(INDEX($S$5:$S$304,MATCH(C4664,$R$5:$R$304,0))&amp;"","?"))</f>
        <v/>
      </c>
      <c r="N4664" s="2">
        <f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>
        <f>IF(OR(F4664="",G4664=""),"",IF(G4664&lt;='RETRATO 2027'!$K$5,"CONCLUÍDA",IF(F4664&lt;='RETRATO 2027'!$K$5,"EM ANDAMENTO","A INICIAR")))</f>
        <v/>
      </c>
    </row>
    <row r="4665">
      <c r="M4665" s="2">
        <f>IF(C4665="","",IFERROR(INDEX($S$5:$S$304,MATCH(C4665,$R$5:$R$304,0))&amp;"","?"))</f>
        <v/>
      </c>
      <c r="N4665" s="2">
        <f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>
        <f>IF(OR(F4665="",G4665=""),"",IF(G4665&lt;='RETRATO 2027'!$K$5,"CONCLUÍDA",IF(F4665&lt;='RETRATO 2027'!$K$5,"EM ANDAMENTO","A INICIAR")))</f>
        <v/>
      </c>
    </row>
    <row r="4666">
      <c r="M4666" s="2">
        <f>IF(C4666="","",IFERROR(INDEX($S$5:$S$304,MATCH(C4666,$R$5:$R$304,0))&amp;"","?"))</f>
        <v/>
      </c>
      <c r="N4666" s="2">
        <f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>
        <f>IF(OR(F4666="",G4666=""),"",IF(G4666&lt;='RETRATO 2027'!$K$5,"CONCLUÍDA",IF(F4666&lt;='RETRATO 2027'!$K$5,"EM ANDAMENTO","A INICIAR")))</f>
        <v/>
      </c>
    </row>
    <row r="4667">
      <c r="M4667" s="2">
        <f>IF(C4667="","",IFERROR(INDEX($S$5:$S$304,MATCH(C4667,$R$5:$R$304,0))&amp;"","?"))</f>
        <v/>
      </c>
      <c r="N4667" s="2">
        <f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>
        <f>IF(OR(F4667="",G4667=""),"",IF(G4667&lt;='RETRATO 2027'!$K$5,"CONCLUÍDA",IF(F4667&lt;='RETRATO 2027'!$K$5,"EM ANDAMENTO","A INICIAR")))</f>
        <v/>
      </c>
    </row>
    <row r="4668">
      <c r="M4668" s="2">
        <f>IF(C4668="","",IFERROR(INDEX($S$5:$S$304,MATCH(C4668,$R$5:$R$304,0))&amp;"","?"))</f>
        <v/>
      </c>
      <c r="N4668" s="2">
        <f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>
        <f>IF(OR(F4668="",G4668=""),"",IF(G4668&lt;='RETRATO 2027'!$K$5,"CONCLUÍDA",IF(F4668&lt;='RETRATO 2027'!$K$5,"EM ANDAMENTO","A INICIAR")))</f>
        <v/>
      </c>
    </row>
    <row r="4669">
      <c r="M4669" s="2">
        <f>IF(C4669="","",IFERROR(INDEX($S$5:$S$304,MATCH(C4669,$R$5:$R$304,0))&amp;"","?"))</f>
        <v/>
      </c>
      <c r="N4669" s="2">
        <f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>
        <f>IF(OR(F4669="",G4669=""),"",IF(G4669&lt;='RETRATO 2027'!$K$5,"CONCLUÍDA",IF(F4669&lt;='RETRATO 2027'!$K$5,"EM ANDAMENTO","A INICIAR")))</f>
        <v/>
      </c>
    </row>
    <row r="4670">
      <c r="M4670" s="2">
        <f>IF(C4670="","",IFERROR(INDEX($S$5:$S$304,MATCH(C4670,$R$5:$R$304,0))&amp;"","?"))</f>
        <v/>
      </c>
      <c r="N4670" s="2">
        <f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>
        <f>IF(OR(F4670="",G4670=""),"",IF(G4670&lt;='RETRATO 2027'!$K$5,"CONCLUÍDA",IF(F4670&lt;='RETRATO 2027'!$K$5,"EM ANDAMENTO","A INICIAR")))</f>
        <v/>
      </c>
    </row>
    <row r="4671">
      <c r="M4671" s="2">
        <f>IF(C4671="","",IFERROR(INDEX($S$5:$S$304,MATCH(C4671,$R$5:$R$304,0))&amp;"","?"))</f>
        <v/>
      </c>
      <c r="N4671" s="2">
        <f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>
        <f>IF(OR(F4671="",G4671=""),"",IF(G4671&lt;='RETRATO 2027'!$K$5,"CONCLUÍDA",IF(F4671&lt;='RETRATO 2027'!$K$5,"EM ANDAMENTO","A INICIAR")))</f>
        <v/>
      </c>
    </row>
    <row r="4672">
      <c r="M4672" s="2">
        <f>IF(C4672="","",IFERROR(INDEX($S$5:$S$304,MATCH(C4672,$R$5:$R$304,0))&amp;"","?"))</f>
        <v/>
      </c>
      <c r="N4672" s="2">
        <f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>
        <f>IF(OR(F4672="",G4672=""),"",IF(G4672&lt;='RETRATO 2027'!$K$5,"CONCLUÍDA",IF(F4672&lt;='RETRATO 2027'!$K$5,"EM ANDAMENTO","A INICIAR")))</f>
        <v/>
      </c>
    </row>
    <row r="4673">
      <c r="M4673" s="2">
        <f>IF(C4673="","",IFERROR(INDEX($S$5:$S$304,MATCH(C4673,$R$5:$R$304,0))&amp;"","?"))</f>
        <v/>
      </c>
      <c r="N4673" s="2">
        <f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>
        <f>IF(OR(F4673="",G4673=""),"",IF(G4673&lt;='RETRATO 2027'!$K$5,"CONCLUÍDA",IF(F4673&lt;='RETRATO 2027'!$K$5,"EM ANDAMENTO","A INICIAR")))</f>
        <v/>
      </c>
    </row>
    <row r="4674">
      <c r="M4674" s="2">
        <f>IF(C4674="","",IFERROR(INDEX($S$5:$S$304,MATCH(C4674,$R$5:$R$304,0))&amp;"","?"))</f>
        <v/>
      </c>
      <c r="N4674" s="2">
        <f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>
        <f>IF(OR(F4674="",G4674=""),"",IF(G4674&lt;='RETRATO 2027'!$K$5,"CONCLUÍDA",IF(F4674&lt;='RETRATO 2027'!$K$5,"EM ANDAMENTO","A INICIAR")))</f>
        <v/>
      </c>
    </row>
    <row r="4675">
      <c r="M4675" s="2">
        <f>IF(C4675="","",IFERROR(INDEX($S$5:$S$304,MATCH(C4675,$R$5:$R$304,0))&amp;"","?"))</f>
        <v/>
      </c>
      <c r="N4675" s="2">
        <f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>
        <f>IF(OR(F4675="",G4675=""),"",IF(G4675&lt;='RETRATO 2027'!$K$5,"CONCLUÍDA",IF(F4675&lt;='RETRATO 2027'!$K$5,"EM ANDAMENTO","A INICIAR")))</f>
        <v/>
      </c>
    </row>
    <row r="4676">
      <c r="M4676" s="2">
        <f>IF(C4676="","",IFERROR(INDEX($S$5:$S$304,MATCH(C4676,$R$5:$R$304,0))&amp;"","?"))</f>
        <v/>
      </c>
      <c r="N4676" s="2">
        <f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>
        <f>IF(OR(F4676="",G4676=""),"",IF(G4676&lt;='RETRATO 2027'!$K$5,"CONCLUÍDA",IF(F4676&lt;='RETRATO 2027'!$K$5,"EM ANDAMENTO","A INICIAR")))</f>
        <v/>
      </c>
    </row>
    <row r="4677">
      <c r="M4677" s="2">
        <f>IF(C4677="","",IFERROR(INDEX($S$5:$S$304,MATCH(C4677,$R$5:$R$304,0))&amp;"","?"))</f>
        <v/>
      </c>
      <c r="N4677" s="2">
        <f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>
        <f>IF(OR(F4677="",G4677=""),"",IF(G4677&lt;='RETRATO 2027'!$K$5,"CONCLUÍDA",IF(F4677&lt;='RETRATO 2027'!$K$5,"EM ANDAMENTO","A INICIAR")))</f>
        <v/>
      </c>
    </row>
    <row r="4678">
      <c r="M4678" s="2">
        <f>IF(C4678="","",IFERROR(INDEX($S$5:$S$304,MATCH(C4678,$R$5:$R$304,0))&amp;"","?"))</f>
        <v/>
      </c>
      <c r="N4678" s="2">
        <f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>
        <f>IF(OR(F4678="",G4678=""),"",IF(G4678&lt;='RETRATO 2027'!$K$5,"CONCLUÍDA",IF(F4678&lt;='RETRATO 2027'!$K$5,"EM ANDAMENTO","A INICIAR")))</f>
        <v/>
      </c>
    </row>
    <row r="4679">
      <c r="M4679" s="2">
        <f>IF(C4679="","",IFERROR(INDEX($S$5:$S$304,MATCH(C4679,$R$5:$R$304,0))&amp;"","?"))</f>
        <v/>
      </c>
      <c r="N4679" s="2">
        <f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>
        <f>IF(OR(F4679="",G4679=""),"",IF(G4679&lt;='RETRATO 2027'!$K$5,"CONCLUÍDA",IF(F4679&lt;='RETRATO 2027'!$K$5,"EM ANDAMENTO","A INICIAR")))</f>
        <v/>
      </c>
    </row>
    <row r="4680">
      <c r="M4680" s="2">
        <f>IF(C4680="","",IFERROR(INDEX($S$5:$S$304,MATCH(C4680,$R$5:$R$304,0))&amp;"","?"))</f>
        <v/>
      </c>
      <c r="N4680" s="2">
        <f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>
        <f>IF(OR(F4680="",G4680=""),"",IF(G4680&lt;='RETRATO 2027'!$K$5,"CONCLUÍDA",IF(F4680&lt;='RETRATO 2027'!$K$5,"EM ANDAMENTO","A INICIAR")))</f>
        <v/>
      </c>
    </row>
    <row r="4681">
      <c r="M4681" s="2">
        <f>IF(C4681="","",IFERROR(INDEX($S$5:$S$304,MATCH(C4681,$R$5:$R$304,0))&amp;"","?"))</f>
        <v/>
      </c>
      <c r="N4681" s="2">
        <f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>
        <f>IF(OR(F4681="",G4681=""),"",IF(G4681&lt;='RETRATO 2027'!$K$5,"CONCLUÍDA",IF(F4681&lt;='RETRATO 2027'!$K$5,"EM ANDAMENTO","A INICIAR")))</f>
        <v/>
      </c>
    </row>
    <row r="4682">
      <c r="M4682" s="2">
        <f>IF(C4682="","",IFERROR(INDEX($S$5:$S$304,MATCH(C4682,$R$5:$R$304,0))&amp;"","?"))</f>
        <v/>
      </c>
      <c r="N4682" s="2">
        <f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>
        <f>IF(OR(F4682="",G4682=""),"",IF(G4682&lt;='RETRATO 2027'!$K$5,"CONCLUÍDA",IF(F4682&lt;='RETRATO 2027'!$K$5,"EM ANDAMENTO","A INICIAR")))</f>
        <v/>
      </c>
    </row>
    <row r="4683">
      <c r="M4683" s="2">
        <f>IF(C4683="","",IFERROR(INDEX($S$5:$S$304,MATCH(C4683,$R$5:$R$304,0))&amp;"","?"))</f>
        <v/>
      </c>
      <c r="N4683" s="2">
        <f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>
        <f>IF(OR(F4683="",G4683=""),"",IF(G4683&lt;='RETRATO 2027'!$K$5,"CONCLUÍDA",IF(F4683&lt;='RETRATO 2027'!$K$5,"EM ANDAMENTO","A INICIAR")))</f>
        <v/>
      </c>
    </row>
    <row r="4684">
      <c r="M4684" s="2">
        <f>IF(C4684="","",IFERROR(INDEX($S$5:$S$304,MATCH(C4684,$R$5:$R$304,0))&amp;"","?"))</f>
        <v/>
      </c>
      <c r="N4684" s="2">
        <f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>
        <f>IF(OR(F4684="",G4684=""),"",IF(G4684&lt;='RETRATO 2027'!$K$5,"CONCLUÍDA",IF(F4684&lt;='RETRATO 2027'!$K$5,"EM ANDAMENTO","A INICIAR")))</f>
        <v/>
      </c>
    </row>
    <row r="4685">
      <c r="M4685" s="2">
        <f>IF(C4685="","",IFERROR(INDEX($S$5:$S$304,MATCH(C4685,$R$5:$R$304,0))&amp;"","?"))</f>
        <v/>
      </c>
      <c r="N4685" s="2">
        <f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>
        <f>IF(OR(F4685="",G4685=""),"",IF(G4685&lt;='RETRATO 2027'!$K$5,"CONCLUÍDA",IF(F4685&lt;='RETRATO 2027'!$K$5,"EM ANDAMENTO","A INICIAR")))</f>
        <v/>
      </c>
    </row>
    <row r="4686">
      <c r="M4686" s="2">
        <f>IF(C4686="","",IFERROR(INDEX($S$5:$S$304,MATCH(C4686,$R$5:$R$304,0))&amp;"","?"))</f>
        <v/>
      </c>
      <c r="N4686" s="2">
        <f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>
        <f>IF(OR(F4686="",G4686=""),"",IF(G4686&lt;='RETRATO 2027'!$K$5,"CONCLUÍDA",IF(F4686&lt;='RETRATO 2027'!$K$5,"EM ANDAMENTO","A INICIAR")))</f>
        <v/>
      </c>
    </row>
    <row r="4687">
      <c r="M4687" s="2">
        <f>IF(C4687="","",IFERROR(INDEX($S$5:$S$304,MATCH(C4687,$R$5:$R$304,0))&amp;"","?"))</f>
        <v/>
      </c>
      <c r="N4687" s="2">
        <f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>
        <f>IF(OR(F4687="",G4687=""),"",IF(G4687&lt;='RETRATO 2027'!$K$5,"CONCLUÍDA",IF(F4687&lt;='RETRATO 2027'!$K$5,"EM ANDAMENTO","A INICIAR")))</f>
        <v/>
      </c>
    </row>
    <row r="4688">
      <c r="M4688" s="2">
        <f>IF(C4688="","",IFERROR(INDEX($S$5:$S$304,MATCH(C4688,$R$5:$R$304,0))&amp;"","?"))</f>
        <v/>
      </c>
      <c r="N4688" s="2">
        <f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>
        <f>IF(OR(F4688="",G4688=""),"",IF(G4688&lt;='RETRATO 2027'!$K$5,"CONCLUÍDA",IF(F4688&lt;='RETRATO 2027'!$K$5,"EM ANDAMENTO","A INICIAR")))</f>
        <v/>
      </c>
    </row>
    <row r="4689">
      <c r="M4689" s="2">
        <f>IF(C4689="","",IFERROR(INDEX($S$5:$S$304,MATCH(C4689,$R$5:$R$304,0))&amp;"","?"))</f>
        <v/>
      </c>
      <c r="N4689" s="2">
        <f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>
        <f>IF(OR(F4689="",G4689=""),"",IF(G4689&lt;='RETRATO 2027'!$K$5,"CONCLUÍDA",IF(F4689&lt;='RETRATO 2027'!$K$5,"EM ANDAMENTO","A INICIAR")))</f>
        <v/>
      </c>
    </row>
    <row r="4690">
      <c r="M4690" s="2">
        <f>IF(C4690="","",IFERROR(INDEX($S$5:$S$304,MATCH(C4690,$R$5:$R$304,0))&amp;"","?"))</f>
        <v/>
      </c>
      <c r="N4690" s="2">
        <f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>
        <f>IF(OR(F4690="",G4690=""),"",IF(G4690&lt;='RETRATO 2027'!$K$5,"CONCLUÍDA",IF(F4690&lt;='RETRATO 2027'!$K$5,"EM ANDAMENTO","A INICIAR")))</f>
        <v/>
      </c>
    </row>
    <row r="4691">
      <c r="M4691" s="2">
        <f>IF(C4691="","",IFERROR(INDEX($S$5:$S$304,MATCH(C4691,$R$5:$R$304,0))&amp;"","?"))</f>
        <v/>
      </c>
      <c r="N4691" s="2">
        <f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>
        <f>IF(OR(F4691="",G4691=""),"",IF(G4691&lt;='RETRATO 2027'!$K$5,"CONCLUÍDA",IF(F4691&lt;='RETRATO 2027'!$K$5,"EM ANDAMENTO","A INICIAR")))</f>
        <v/>
      </c>
    </row>
    <row r="4692">
      <c r="M4692" s="2">
        <f>IF(C4692="","",IFERROR(INDEX($S$5:$S$304,MATCH(C4692,$R$5:$R$304,0))&amp;"","?"))</f>
        <v/>
      </c>
      <c r="N4692" s="2">
        <f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>
        <f>IF(OR(F4692="",G4692=""),"",IF(G4692&lt;='RETRATO 2027'!$K$5,"CONCLUÍDA",IF(F4692&lt;='RETRATO 2027'!$K$5,"EM ANDAMENTO","A INICIAR")))</f>
        <v/>
      </c>
    </row>
    <row r="4693">
      <c r="M4693" s="2">
        <f>IF(C4693="","",IFERROR(INDEX($S$5:$S$304,MATCH(C4693,$R$5:$R$304,0))&amp;"","?"))</f>
        <v/>
      </c>
      <c r="N4693" s="2">
        <f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>
        <f>IF(OR(F4693="",G4693=""),"",IF(G4693&lt;='RETRATO 2027'!$K$5,"CONCLUÍDA",IF(F4693&lt;='RETRATO 2027'!$K$5,"EM ANDAMENTO","A INICIAR")))</f>
        <v/>
      </c>
    </row>
    <row r="4694">
      <c r="M4694" s="2">
        <f>IF(C4694="","",IFERROR(INDEX($S$5:$S$304,MATCH(C4694,$R$5:$R$304,0))&amp;"","?"))</f>
        <v/>
      </c>
      <c r="N4694" s="2">
        <f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>
        <f>IF(OR(F4694="",G4694=""),"",IF(G4694&lt;='RETRATO 2027'!$K$5,"CONCLUÍDA",IF(F4694&lt;='RETRATO 2027'!$K$5,"EM ANDAMENTO","A INICIAR")))</f>
        <v/>
      </c>
    </row>
    <row r="4695">
      <c r="M4695" s="2">
        <f>IF(C4695="","",IFERROR(INDEX($S$5:$S$304,MATCH(C4695,$R$5:$R$304,0))&amp;"","?"))</f>
        <v/>
      </c>
      <c r="N4695" s="2">
        <f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>
        <f>IF(OR(F4695="",G4695=""),"",IF(G4695&lt;='RETRATO 2027'!$K$5,"CONCLUÍDA",IF(F4695&lt;='RETRATO 2027'!$K$5,"EM ANDAMENTO","A INICIAR")))</f>
        <v/>
      </c>
    </row>
    <row r="4696">
      <c r="M4696" s="2">
        <f>IF(C4696="","",IFERROR(INDEX($S$5:$S$304,MATCH(C4696,$R$5:$R$304,0))&amp;"","?"))</f>
        <v/>
      </c>
      <c r="N4696" s="2">
        <f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>
        <f>IF(OR(F4696="",G4696=""),"",IF(G4696&lt;='RETRATO 2027'!$K$5,"CONCLUÍDA",IF(F4696&lt;='RETRATO 2027'!$K$5,"EM ANDAMENTO","A INICIAR")))</f>
        <v/>
      </c>
    </row>
    <row r="4697">
      <c r="M4697" s="2">
        <f>IF(C4697="","",IFERROR(INDEX($S$5:$S$304,MATCH(C4697,$R$5:$R$304,0))&amp;"","?"))</f>
        <v/>
      </c>
      <c r="N4697" s="2">
        <f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>
        <f>IF(OR(F4697="",G4697=""),"",IF(G4697&lt;='RETRATO 2027'!$K$5,"CONCLUÍDA",IF(F4697&lt;='RETRATO 2027'!$K$5,"EM ANDAMENTO","A INICIAR")))</f>
        <v/>
      </c>
    </row>
    <row r="4698">
      <c r="M4698" s="2">
        <f>IF(C4698="","",IFERROR(INDEX($S$5:$S$304,MATCH(C4698,$R$5:$R$304,0))&amp;"","?"))</f>
        <v/>
      </c>
      <c r="N4698" s="2">
        <f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>
        <f>IF(OR(F4698="",G4698=""),"",IF(G4698&lt;='RETRATO 2027'!$K$5,"CONCLUÍDA",IF(F4698&lt;='RETRATO 2027'!$K$5,"EM ANDAMENTO","A INICIAR")))</f>
        <v/>
      </c>
    </row>
    <row r="4699">
      <c r="M4699" s="2">
        <f>IF(C4699="","",IFERROR(INDEX($S$5:$S$304,MATCH(C4699,$R$5:$R$304,0))&amp;"","?"))</f>
        <v/>
      </c>
      <c r="N4699" s="2">
        <f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>
        <f>IF(OR(F4699="",G4699=""),"",IF(G4699&lt;='RETRATO 2027'!$K$5,"CONCLUÍDA",IF(F4699&lt;='RETRATO 2027'!$K$5,"EM ANDAMENTO","A INICIAR")))</f>
        <v/>
      </c>
    </row>
    <row r="4700">
      <c r="M4700" s="2">
        <f>IF(C4700="","",IFERROR(INDEX($S$5:$S$304,MATCH(C4700,$R$5:$R$304,0))&amp;"","?"))</f>
        <v/>
      </c>
      <c r="N4700" s="2">
        <f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>
        <f>IF(OR(F4700="",G4700=""),"",IF(G4700&lt;='RETRATO 2027'!$K$5,"CONCLUÍDA",IF(F4700&lt;='RETRATO 2027'!$K$5,"EM ANDAMENTO","A INICIAR")))</f>
        <v/>
      </c>
    </row>
    <row r="4701">
      <c r="M4701" s="2">
        <f>IF(C4701="","",IFERROR(INDEX($S$5:$S$304,MATCH(C4701,$R$5:$R$304,0))&amp;"","?"))</f>
        <v/>
      </c>
      <c r="N4701" s="2">
        <f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>
        <f>IF(OR(F4701="",G4701=""),"",IF(G4701&lt;='RETRATO 2027'!$K$5,"CONCLUÍDA",IF(F4701&lt;='RETRATO 2027'!$K$5,"EM ANDAMENTO","A INICIAR")))</f>
        <v/>
      </c>
    </row>
    <row r="4702">
      <c r="M4702" s="2">
        <f>IF(C4702="","",IFERROR(INDEX($S$5:$S$304,MATCH(C4702,$R$5:$R$304,0))&amp;"","?"))</f>
        <v/>
      </c>
      <c r="N4702" s="2">
        <f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>
        <f>IF(OR(F4702="",G4702=""),"",IF(G4702&lt;='RETRATO 2027'!$K$5,"CONCLUÍDA",IF(F4702&lt;='RETRATO 2027'!$K$5,"EM ANDAMENTO","A INICIAR")))</f>
        <v/>
      </c>
    </row>
    <row r="4703">
      <c r="M4703" s="2">
        <f>IF(C4703="","",IFERROR(INDEX($S$5:$S$304,MATCH(C4703,$R$5:$R$304,0))&amp;"","?"))</f>
        <v/>
      </c>
      <c r="N4703" s="2">
        <f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>
        <f>IF(OR(F4703="",G4703=""),"",IF(G4703&lt;='RETRATO 2027'!$K$5,"CONCLUÍDA",IF(F4703&lt;='RETRATO 2027'!$K$5,"EM ANDAMENTO","A INICIAR")))</f>
        <v/>
      </c>
    </row>
    <row r="4704">
      <c r="M4704" s="2">
        <f>IF(C4704="","",IFERROR(INDEX($S$5:$S$304,MATCH(C4704,$R$5:$R$304,0))&amp;"","?"))</f>
        <v/>
      </c>
      <c r="N4704" s="2">
        <f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>
        <f>IF(OR(F4704="",G4704=""),"",IF(G4704&lt;='RETRATO 2027'!$K$5,"CONCLUÍDA",IF(F4704&lt;='RETRATO 2027'!$K$5,"EM ANDAMENTO","A INICIAR")))</f>
        <v/>
      </c>
    </row>
    <row r="4705">
      <c r="M4705" s="2">
        <f>IF(C4705="","",IFERROR(INDEX($S$5:$S$304,MATCH(C4705,$R$5:$R$304,0))&amp;"","?"))</f>
        <v/>
      </c>
      <c r="N4705" s="2">
        <f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>
        <f>IF(OR(F4705="",G4705=""),"",IF(G4705&lt;='RETRATO 2027'!$K$5,"CONCLUÍDA",IF(F4705&lt;='RETRATO 2027'!$K$5,"EM ANDAMENTO","A INICIAR")))</f>
        <v/>
      </c>
    </row>
    <row r="4706">
      <c r="M4706" s="2">
        <f>IF(C4706="","",IFERROR(INDEX($S$5:$S$304,MATCH(C4706,$R$5:$R$304,0))&amp;"","?"))</f>
        <v/>
      </c>
      <c r="N4706" s="2">
        <f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>
        <f>IF(OR(F4706="",G4706=""),"",IF(G4706&lt;='RETRATO 2027'!$K$5,"CONCLUÍDA",IF(F4706&lt;='RETRATO 2027'!$K$5,"EM ANDAMENTO","A INICIAR")))</f>
        <v/>
      </c>
    </row>
    <row r="4707">
      <c r="M4707" s="2">
        <f>IF(C4707="","",IFERROR(INDEX($S$5:$S$304,MATCH(C4707,$R$5:$R$304,0))&amp;"","?"))</f>
        <v/>
      </c>
      <c r="N4707" s="2">
        <f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>
        <f>IF(OR(F4707="",G4707=""),"",IF(G4707&lt;='RETRATO 2027'!$K$5,"CONCLUÍDA",IF(F4707&lt;='RETRATO 2027'!$K$5,"EM ANDAMENTO","A INICIAR")))</f>
        <v/>
      </c>
    </row>
    <row r="4708">
      <c r="M4708" s="2">
        <f>IF(C4708="","",IFERROR(INDEX($S$5:$S$304,MATCH(C4708,$R$5:$R$304,0))&amp;"","?"))</f>
        <v/>
      </c>
      <c r="N4708" s="2">
        <f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>
        <f>IF(OR(F4708="",G4708=""),"",IF(G4708&lt;='RETRATO 2027'!$K$5,"CONCLUÍDA",IF(F4708&lt;='RETRATO 2027'!$K$5,"EM ANDAMENTO","A INICIAR")))</f>
        <v/>
      </c>
    </row>
    <row r="4709">
      <c r="M4709" s="2">
        <f>IF(C4709="","",IFERROR(INDEX($S$5:$S$304,MATCH(C4709,$R$5:$R$304,0))&amp;"","?"))</f>
        <v/>
      </c>
      <c r="N4709" s="2">
        <f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>
        <f>IF(OR(F4709="",G4709=""),"",IF(G4709&lt;='RETRATO 2027'!$K$5,"CONCLUÍDA",IF(F4709&lt;='RETRATO 2027'!$K$5,"EM ANDAMENTO","A INICIAR")))</f>
        <v/>
      </c>
    </row>
    <row r="4710">
      <c r="M4710" s="2">
        <f>IF(C4710="","",IFERROR(INDEX($S$5:$S$304,MATCH(C4710,$R$5:$R$304,0))&amp;"","?"))</f>
        <v/>
      </c>
      <c r="N4710" s="2">
        <f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>
        <f>IF(OR(F4710="",G4710=""),"",IF(G4710&lt;='RETRATO 2027'!$K$5,"CONCLUÍDA",IF(F4710&lt;='RETRATO 2027'!$K$5,"EM ANDAMENTO","A INICIAR")))</f>
        <v/>
      </c>
    </row>
    <row r="4711">
      <c r="M4711" s="2">
        <f>IF(C4711="","",IFERROR(INDEX($S$5:$S$304,MATCH(C4711,$R$5:$R$304,0))&amp;"","?"))</f>
        <v/>
      </c>
      <c r="N4711" s="2">
        <f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>
        <f>IF(OR(F4711="",G4711=""),"",IF(G4711&lt;='RETRATO 2027'!$K$5,"CONCLUÍDA",IF(F4711&lt;='RETRATO 2027'!$K$5,"EM ANDAMENTO","A INICIAR")))</f>
        <v/>
      </c>
    </row>
    <row r="4712">
      <c r="M4712" s="2">
        <f>IF(C4712="","",IFERROR(INDEX($S$5:$S$304,MATCH(C4712,$R$5:$R$304,0))&amp;"","?"))</f>
        <v/>
      </c>
      <c r="N4712" s="2">
        <f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>
        <f>IF(OR(F4712="",G4712=""),"",IF(G4712&lt;='RETRATO 2027'!$K$5,"CONCLUÍDA",IF(F4712&lt;='RETRATO 2027'!$K$5,"EM ANDAMENTO","A INICIAR")))</f>
        <v/>
      </c>
    </row>
    <row r="4713">
      <c r="M4713" s="2">
        <f>IF(C4713="","",IFERROR(INDEX($S$5:$S$304,MATCH(C4713,$R$5:$R$304,0))&amp;"","?"))</f>
        <v/>
      </c>
      <c r="N4713" s="2">
        <f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>
        <f>IF(OR(F4713="",G4713=""),"",IF(G4713&lt;='RETRATO 2027'!$K$5,"CONCLUÍDA",IF(F4713&lt;='RETRATO 2027'!$K$5,"EM ANDAMENTO","A INICIAR")))</f>
        <v/>
      </c>
    </row>
    <row r="4714">
      <c r="M4714" s="2">
        <f>IF(C4714="","",IFERROR(INDEX($S$5:$S$304,MATCH(C4714,$R$5:$R$304,0))&amp;"","?"))</f>
        <v/>
      </c>
      <c r="N4714" s="2">
        <f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>
        <f>IF(OR(F4714="",G4714=""),"",IF(G4714&lt;='RETRATO 2027'!$K$5,"CONCLUÍDA",IF(F4714&lt;='RETRATO 2027'!$K$5,"EM ANDAMENTO","A INICIAR")))</f>
        <v/>
      </c>
    </row>
    <row r="4715">
      <c r="M4715" s="2">
        <f>IF(C4715="","",IFERROR(INDEX($S$5:$S$304,MATCH(C4715,$R$5:$R$304,0))&amp;"","?"))</f>
        <v/>
      </c>
      <c r="N4715" s="2">
        <f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>
        <f>IF(OR(F4715="",G4715=""),"",IF(G4715&lt;='RETRATO 2027'!$K$5,"CONCLUÍDA",IF(F4715&lt;='RETRATO 2027'!$K$5,"EM ANDAMENTO","A INICIAR")))</f>
        <v/>
      </c>
    </row>
    <row r="4716">
      <c r="M4716" s="2">
        <f>IF(C4716="","",IFERROR(INDEX($S$5:$S$304,MATCH(C4716,$R$5:$R$304,0))&amp;"","?"))</f>
        <v/>
      </c>
      <c r="N4716" s="2">
        <f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>
        <f>IF(OR(F4716="",G4716=""),"",IF(G4716&lt;='RETRATO 2027'!$K$5,"CONCLUÍDA",IF(F4716&lt;='RETRATO 2027'!$K$5,"EM ANDAMENTO","A INICIAR")))</f>
        <v/>
      </c>
    </row>
    <row r="4717">
      <c r="M4717" s="2">
        <f>IF(C4717="","",IFERROR(INDEX($S$5:$S$304,MATCH(C4717,$R$5:$R$304,0))&amp;"","?"))</f>
        <v/>
      </c>
      <c r="N4717" s="2">
        <f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>
        <f>IF(OR(F4717="",G4717=""),"",IF(G4717&lt;='RETRATO 2027'!$K$5,"CONCLUÍDA",IF(F4717&lt;='RETRATO 2027'!$K$5,"EM ANDAMENTO","A INICIAR")))</f>
        <v/>
      </c>
    </row>
    <row r="4718">
      <c r="M4718" s="2">
        <f>IF(C4718="","",IFERROR(INDEX($S$5:$S$304,MATCH(C4718,$R$5:$R$304,0))&amp;"","?"))</f>
        <v/>
      </c>
      <c r="N4718" s="2">
        <f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>
        <f>IF(OR(F4718="",G4718=""),"",IF(G4718&lt;='RETRATO 2027'!$K$5,"CONCLUÍDA",IF(F4718&lt;='RETRATO 2027'!$K$5,"EM ANDAMENTO","A INICIAR")))</f>
        <v/>
      </c>
    </row>
    <row r="4719">
      <c r="M4719" s="2">
        <f>IF(C4719="","",IFERROR(INDEX($S$5:$S$304,MATCH(C4719,$R$5:$R$304,0))&amp;"","?"))</f>
        <v/>
      </c>
      <c r="N4719" s="2">
        <f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>
        <f>IF(OR(F4719="",G4719=""),"",IF(G4719&lt;='RETRATO 2027'!$K$5,"CONCLUÍDA",IF(F4719&lt;='RETRATO 2027'!$K$5,"EM ANDAMENTO","A INICIAR")))</f>
        <v/>
      </c>
    </row>
    <row r="4720">
      <c r="M4720" s="2">
        <f>IF(C4720="","",IFERROR(INDEX($S$5:$S$304,MATCH(C4720,$R$5:$R$304,0))&amp;"","?"))</f>
        <v/>
      </c>
      <c r="N4720" s="2">
        <f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>
        <f>IF(OR(F4720="",G4720=""),"",IF(G4720&lt;='RETRATO 2027'!$K$5,"CONCLUÍDA",IF(F4720&lt;='RETRATO 2027'!$K$5,"EM ANDAMENTO","A INICIAR")))</f>
        <v/>
      </c>
    </row>
    <row r="4721">
      <c r="M4721" s="2">
        <f>IF(C4721="","",IFERROR(INDEX($S$5:$S$304,MATCH(C4721,$R$5:$R$304,0))&amp;"","?"))</f>
        <v/>
      </c>
      <c r="N4721" s="2">
        <f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>
        <f>IF(OR(F4721="",G4721=""),"",IF(G4721&lt;='RETRATO 2027'!$K$5,"CONCLUÍDA",IF(F4721&lt;='RETRATO 2027'!$K$5,"EM ANDAMENTO","A INICIAR")))</f>
        <v/>
      </c>
    </row>
    <row r="4722">
      <c r="M4722" s="2">
        <f>IF(C4722="","",IFERROR(INDEX($S$5:$S$304,MATCH(C4722,$R$5:$R$304,0))&amp;"","?"))</f>
        <v/>
      </c>
      <c r="N4722" s="2">
        <f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>
        <f>IF(OR(F4722="",G4722=""),"",IF(G4722&lt;='RETRATO 2027'!$K$5,"CONCLUÍDA",IF(F4722&lt;='RETRATO 2027'!$K$5,"EM ANDAMENTO","A INICIAR")))</f>
        <v/>
      </c>
    </row>
    <row r="4723">
      <c r="M4723" s="2">
        <f>IF(C4723="","",IFERROR(INDEX($S$5:$S$304,MATCH(C4723,$R$5:$R$304,0))&amp;"","?"))</f>
        <v/>
      </c>
      <c r="N4723" s="2">
        <f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>
        <f>IF(OR(F4723="",G4723=""),"",IF(G4723&lt;='RETRATO 2027'!$K$5,"CONCLUÍDA",IF(F4723&lt;='RETRATO 2027'!$K$5,"EM ANDAMENTO","A INICIAR")))</f>
        <v/>
      </c>
    </row>
    <row r="4724">
      <c r="M4724" s="2">
        <f>IF(C4724="","",IFERROR(INDEX($S$5:$S$304,MATCH(C4724,$R$5:$R$304,0))&amp;"","?"))</f>
        <v/>
      </c>
      <c r="N4724" s="2">
        <f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>
        <f>IF(OR(F4724="",G4724=""),"",IF(G4724&lt;='RETRATO 2027'!$K$5,"CONCLUÍDA",IF(F4724&lt;='RETRATO 2027'!$K$5,"EM ANDAMENTO","A INICIAR")))</f>
        <v/>
      </c>
    </row>
    <row r="4725">
      <c r="M4725" s="2">
        <f>IF(C4725="","",IFERROR(INDEX($S$5:$S$304,MATCH(C4725,$R$5:$R$304,0))&amp;"","?"))</f>
        <v/>
      </c>
      <c r="N4725" s="2">
        <f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>
        <f>IF(OR(F4725="",G4725=""),"",IF(G4725&lt;='RETRATO 2027'!$K$5,"CONCLUÍDA",IF(F4725&lt;='RETRATO 2027'!$K$5,"EM ANDAMENTO","A INICIAR")))</f>
        <v/>
      </c>
    </row>
    <row r="4726">
      <c r="M4726" s="2">
        <f>IF(C4726="","",IFERROR(INDEX($S$5:$S$304,MATCH(C4726,$R$5:$R$304,0))&amp;"","?"))</f>
        <v/>
      </c>
      <c r="N4726" s="2">
        <f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>
        <f>IF(OR(F4726="",G4726=""),"",IF(G4726&lt;='RETRATO 2027'!$K$5,"CONCLUÍDA",IF(F4726&lt;='RETRATO 2027'!$K$5,"EM ANDAMENTO","A INICIAR")))</f>
        <v/>
      </c>
    </row>
    <row r="4727">
      <c r="M4727" s="2">
        <f>IF(C4727="","",IFERROR(INDEX($S$5:$S$304,MATCH(C4727,$R$5:$R$304,0))&amp;"","?"))</f>
        <v/>
      </c>
      <c r="N4727" s="2">
        <f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>
        <f>IF(OR(F4727="",G4727=""),"",IF(G4727&lt;='RETRATO 2027'!$K$5,"CONCLUÍDA",IF(F4727&lt;='RETRATO 2027'!$K$5,"EM ANDAMENTO","A INICIAR")))</f>
        <v/>
      </c>
    </row>
    <row r="4728">
      <c r="M4728" s="2">
        <f>IF(C4728="","",IFERROR(INDEX($S$5:$S$304,MATCH(C4728,$R$5:$R$304,0))&amp;"","?"))</f>
        <v/>
      </c>
      <c r="N4728" s="2">
        <f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>
        <f>IF(OR(F4728="",G4728=""),"",IF(G4728&lt;='RETRATO 2027'!$K$5,"CONCLUÍDA",IF(F4728&lt;='RETRATO 2027'!$K$5,"EM ANDAMENTO","A INICIAR")))</f>
        <v/>
      </c>
    </row>
    <row r="4729">
      <c r="M4729" s="2">
        <f>IF(C4729="","",IFERROR(INDEX($S$5:$S$304,MATCH(C4729,$R$5:$R$304,0))&amp;"","?"))</f>
        <v/>
      </c>
      <c r="N4729" s="2">
        <f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>
        <f>IF(OR(F4729="",G4729=""),"",IF(G4729&lt;='RETRATO 2027'!$K$5,"CONCLUÍDA",IF(F4729&lt;='RETRATO 2027'!$K$5,"EM ANDAMENTO","A INICIAR")))</f>
        <v/>
      </c>
    </row>
    <row r="4730">
      <c r="M4730" s="2">
        <f>IF(C4730="","",IFERROR(INDEX($S$5:$S$304,MATCH(C4730,$R$5:$R$304,0))&amp;"","?"))</f>
        <v/>
      </c>
      <c r="N4730" s="2">
        <f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>
        <f>IF(OR(F4730="",G4730=""),"",IF(G4730&lt;='RETRATO 2027'!$K$5,"CONCLUÍDA",IF(F4730&lt;='RETRATO 2027'!$K$5,"EM ANDAMENTO","A INICIAR")))</f>
        <v/>
      </c>
    </row>
    <row r="4731">
      <c r="M4731" s="2">
        <f>IF(C4731="","",IFERROR(INDEX($S$5:$S$304,MATCH(C4731,$R$5:$R$304,0))&amp;"","?"))</f>
        <v/>
      </c>
      <c r="N4731" s="2">
        <f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>
        <f>IF(OR(F4731="",G4731=""),"",IF(G4731&lt;='RETRATO 2027'!$K$5,"CONCLUÍDA",IF(F4731&lt;='RETRATO 2027'!$K$5,"EM ANDAMENTO","A INICIAR")))</f>
        <v/>
      </c>
    </row>
    <row r="4732">
      <c r="M4732" s="2">
        <f>IF(C4732="","",IFERROR(INDEX($S$5:$S$304,MATCH(C4732,$R$5:$R$304,0))&amp;"","?"))</f>
        <v/>
      </c>
      <c r="N4732" s="2">
        <f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>
        <f>IF(OR(F4732="",G4732=""),"",IF(G4732&lt;='RETRATO 2027'!$K$5,"CONCLUÍDA",IF(F4732&lt;='RETRATO 2027'!$K$5,"EM ANDAMENTO","A INICIAR")))</f>
        <v/>
      </c>
    </row>
    <row r="4733">
      <c r="M4733" s="2">
        <f>IF(C4733="","",IFERROR(INDEX($S$5:$S$304,MATCH(C4733,$R$5:$R$304,0))&amp;"","?"))</f>
        <v/>
      </c>
      <c r="N4733" s="2">
        <f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>
        <f>IF(OR(F4733="",G4733=""),"",IF(G4733&lt;='RETRATO 2027'!$K$5,"CONCLUÍDA",IF(F4733&lt;='RETRATO 2027'!$K$5,"EM ANDAMENTO","A INICIAR")))</f>
        <v/>
      </c>
    </row>
    <row r="4734">
      <c r="M4734" s="2">
        <f>IF(C4734="","",IFERROR(INDEX($S$5:$S$304,MATCH(C4734,$R$5:$R$304,0))&amp;"","?"))</f>
        <v/>
      </c>
      <c r="N4734" s="2">
        <f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>
        <f>IF(OR(F4734="",G4734=""),"",IF(G4734&lt;='RETRATO 2027'!$K$5,"CONCLUÍDA",IF(F4734&lt;='RETRATO 2027'!$K$5,"EM ANDAMENTO","A INICIAR")))</f>
        <v/>
      </c>
    </row>
    <row r="4735">
      <c r="M4735" s="2">
        <f>IF(C4735="","",IFERROR(INDEX($S$5:$S$304,MATCH(C4735,$R$5:$R$304,0))&amp;"","?"))</f>
        <v/>
      </c>
      <c r="N4735" s="2">
        <f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>
        <f>IF(OR(F4735="",G4735=""),"",IF(G4735&lt;='RETRATO 2027'!$K$5,"CONCLUÍDA",IF(F4735&lt;='RETRATO 2027'!$K$5,"EM ANDAMENTO","A INICIAR")))</f>
        <v/>
      </c>
    </row>
    <row r="4736">
      <c r="M4736" s="2">
        <f>IF(C4736="","",IFERROR(INDEX($S$5:$S$304,MATCH(C4736,$R$5:$R$304,0))&amp;"","?"))</f>
        <v/>
      </c>
      <c r="N4736" s="2">
        <f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>
        <f>IF(OR(F4736="",G4736=""),"",IF(G4736&lt;='RETRATO 2027'!$K$5,"CONCLUÍDA",IF(F4736&lt;='RETRATO 2027'!$K$5,"EM ANDAMENTO","A INICIAR")))</f>
        <v/>
      </c>
    </row>
    <row r="4737">
      <c r="M4737" s="2">
        <f>IF(C4737="","",IFERROR(INDEX($S$5:$S$304,MATCH(C4737,$R$5:$R$304,0))&amp;"","?"))</f>
        <v/>
      </c>
      <c r="N4737" s="2">
        <f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>
        <f>IF(OR(F4737="",G4737=""),"",IF(G4737&lt;='RETRATO 2027'!$K$5,"CONCLUÍDA",IF(F4737&lt;='RETRATO 2027'!$K$5,"EM ANDAMENTO","A INICIAR")))</f>
        <v/>
      </c>
    </row>
    <row r="4738">
      <c r="M4738" s="2">
        <f>IF(C4738="","",IFERROR(INDEX($S$5:$S$304,MATCH(C4738,$R$5:$R$304,0))&amp;"","?"))</f>
        <v/>
      </c>
      <c r="N4738" s="2">
        <f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>
        <f>IF(OR(F4738="",G4738=""),"",IF(G4738&lt;='RETRATO 2027'!$K$5,"CONCLUÍDA",IF(F4738&lt;='RETRATO 2027'!$K$5,"EM ANDAMENTO","A INICIAR")))</f>
        <v/>
      </c>
    </row>
    <row r="4739">
      <c r="M4739" s="2">
        <f>IF(C4739="","",IFERROR(INDEX($S$5:$S$304,MATCH(C4739,$R$5:$R$304,0))&amp;"","?"))</f>
        <v/>
      </c>
      <c r="N4739" s="2">
        <f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>
        <f>IF(OR(F4739="",G4739=""),"",IF(G4739&lt;='RETRATO 2027'!$K$5,"CONCLUÍDA",IF(F4739&lt;='RETRATO 2027'!$K$5,"EM ANDAMENTO","A INICIAR")))</f>
        <v/>
      </c>
    </row>
    <row r="4740">
      <c r="M4740" s="2">
        <f>IF(C4740="","",IFERROR(INDEX($S$5:$S$304,MATCH(C4740,$R$5:$R$304,0))&amp;"","?"))</f>
        <v/>
      </c>
      <c r="N4740" s="2">
        <f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>
        <f>IF(OR(F4740="",G4740=""),"",IF(G4740&lt;='RETRATO 2027'!$K$5,"CONCLUÍDA",IF(F4740&lt;='RETRATO 2027'!$K$5,"EM ANDAMENTO","A INICIAR")))</f>
        <v/>
      </c>
    </row>
    <row r="4741">
      <c r="M4741" s="2">
        <f>IF(C4741="","",IFERROR(INDEX($S$5:$S$304,MATCH(C4741,$R$5:$R$304,0))&amp;"","?"))</f>
        <v/>
      </c>
      <c r="N4741" s="2">
        <f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>
        <f>IF(OR(F4741="",G4741=""),"",IF(G4741&lt;='RETRATO 2027'!$K$5,"CONCLUÍDA",IF(F4741&lt;='RETRATO 2027'!$K$5,"EM ANDAMENTO","A INICIAR")))</f>
        <v/>
      </c>
    </row>
    <row r="4742">
      <c r="M4742" s="2">
        <f>IF(C4742="","",IFERROR(INDEX($S$5:$S$304,MATCH(C4742,$R$5:$R$304,0))&amp;"","?"))</f>
        <v/>
      </c>
      <c r="N4742" s="2">
        <f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>
        <f>IF(OR(F4742="",G4742=""),"",IF(G4742&lt;='RETRATO 2027'!$K$5,"CONCLUÍDA",IF(F4742&lt;='RETRATO 2027'!$K$5,"EM ANDAMENTO","A INICIAR")))</f>
        <v/>
      </c>
    </row>
    <row r="4743">
      <c r="M4743" s="2">
        <f>IF(C4743="","",IFERROR(INDEX($S$5:$S$304,MATCH(C4743,$R$5:$R$304,0))&amp;"","?"))</f>
        <v/>
      </c>
      <c r="N4743" s="2">
        <f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>
        <f>IF(OR(F4743="",G4743=""),"",IF(G4743&lt;='RETRATO 2027'!$K$5,"CONCLUÍDA",IF(F4743&lt;='RETRATO 2027'!$K$5,"EM ANDAMENTO","A INICIAR")))</f>
        <v/>
      </c>
    </row>
    <row r="4744">
      <c r="M4744" s="2">
        <f>IF(C4744="","",IFERROR(INDEX($S$5:$S$304,MATCH(C4744,$R$5:$R$304,0))&amp;"","?"))</f>
        <v/>
      </c>
      <c r="N4744" s="2">
        <f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>
        <f>IF(OR(F4744="",G4744=""),"",IF(G4744&lt;='RETRATO 2027'!$K$5,"CONCLUÍDA",IF(F4744&lt;='RETRATO 2027'!$K$5,"EM ANDAMENTO","A INICIAR")))</f>
        <v/>
      </c>
    </row>
    <row r="4745">
      <c r="M4745" s="2">
        <f>IF(C4745="","",IFERROR(INDEX($S$5:$S$304,MATCH(C4745,$R$5:$R$304,0))&amp;"","?"))</f>
        <v/>
      </c>
      <c r="N4745" s="2">
        <f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>
        <f>IF(OR(F4745="",G4745=""),"",IF(G4745&lt;='RETRATO 2027'!$K$5,"CONCLUÍDA",IF(F4745&lt;='RETRATO 2027'!$K$5,"EM ANDAMENTO","A INICIAR")))</f>
        <v/>
      </c>
    </row>
    <row r="4746">
      <c r="M4746" s="2">
        <f>IF(C4746="","",IFERROR(INDEX($S$5:$S$304,MATCH(C4746,$R$5:$R$304,0))&amp;"","?"))</f>
        <v/>
      </c>
      <c r="N4746" s="2">
        <f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>
        <f>IF(OR(F4746="",G4746=""),"",IF(G4746&lt;='RETRATO 2027'!$K$5,"CONCLUÍDA",IF(F4746&lt;='RETRATO 2027'!$K$5,"EM ANDAMENTO","A INICIAR")))</f>
        <v/>
      </c>
    </row>
    <row r="4747">
      <c r="M4747" s="2">
        <f>IF(C4747="","",IFERROR(INDEX($S$5:$S$304,MATCH(C4747,$R$5:$R$304,0))&amp;"","?"))</f>
        <v/>
      </c>
      <c r="N4747" s="2">
        <f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>
        <f>IF(OR(F4747="",G4747=""),"",IF(G4747&lt;='RETRATO 2027'!$K$5,"CONCLUÍDA",IF(F4747&lt;='RETRATO 2027'!$K$5,"EM ANDAMENTO","A INICIAR")))</f>
        <v/>
      </c>
    </row>
    <row r="4748">
      <c r="M4748" s="2">
        <f>IF(C4748="","",IFERROR(INDEX($S$5:$S$304,MATCH(C4748,$R$5:$R$304,0))&amp;"","?"))</f>
        <v/>
      </c>
      <c r="N4748" s="2">
        <f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>
        <f>IF(OR(F4748="",G4748=""),"",IF(G4748&lt;='RETRATO 2027'!$K$5,"CONCLUÍDA",IF(F4748&lt;='RETRATO 2027'!$K$5,"EM ANDAMENTO","A INICIAR")))</f>
        <v/>
      </c>
    </row>
    <row r="4749">
      <c r="M4749" s="2">
        <f>IF(C4749="","",IFERROR(INDEX($S$5:$S$304,MATCH(C4749,$R$5:$R$304,0))&amp;"","?"))</f>
        <v/>
      </c>
      <c r="N4749" s="2">
        <f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>
        <f>IF(OR(F4749="",G4749=""),"",IF(G4749&lt;='RETRATO 2027'!$K$5,"CONCLUÍDA",IF(F4749&lt;='RETRATO 2027'!$K$5,"EM ANDAMENTO","A INICIAR")))</f>
        <v/>
      </c>
    </row>
    <row r="4750">
      <c r="M4750" s="2">
        <f>IF(C4750="","",IFERROR(INDEX($S$5:$S$304,MATCH(C4750,$R$5:$R$304,0))&amp;"","?"))</f>
        <v/>
      </c>
      <c r="N4750" s="2">
        <f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>
        <f>IF(OR(F4750="",G4750=""),"",IF(G4750&lt;='RETRATO 2027'!$K$5,"CONCLUÍDA",IF(F4750&lt;='RETRATO 2027'!$K$5,"EM ANDAMENTO","A INICIAR")))</f>
        <v/>
      </c>
    </row>
    <row r="4751">
      <c r="M4751" s="2">
        <f>IF(C4751="","",IFERROR(INDEX($S$5:$S$304,MATCH(C4751,$R$5:$R$304,0))&amp;"","?"))</f>
        <v/>
      </c>
      <c r="N4751" s="2">
        <f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>
        <f>IF(OR(F4751="",G4751=""),"",IF(G4751&lt;='RETRATO 2027'!$K$5,"CONCLUÍDA",IF(F4751&lt;='RETRATO 2027'!$K$5,"EM ANDAMENTO","A INICIAR")))</f>
        <v/>
      </c>
    </row>
    <row r="4752">
      <c r="M4752" s="2">
        <f>IF(C4752="","",IFERROR(INDEX($S$5:$S$304,MATCH(C4752,$R$5:$R$304,0))&amp;"","?"))</f>
        <v/>
      </c>
      <c r="N4752" s="2">
        <f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>
        <f>IF(OR(F4752="",G4752=""),"",IF(G4752&lt;='RETRATO 2027'!$K$5,"CONCLUÍDA",IF(F4752&lt;='RETRATO 2027'!$K$5,"EM ANDAMENTO","A INICIAR")))</f>
        <v/>
      </c>
    </row>
    <row r="4753">
      <c r="M4753" s="2">
        <f>IF(C4753="","",IFERROR(INDEX($S$5:$S$304,MATCH(C4753,$R$5:$R$304,0))&amp;"","?"))</f>
        <v/>
      </c>
      <c r="N4753" s="2">
        <f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>
        <f>IF(OR(F4753="",G4753=""),"",IF(G4753&lt;='RETRATO 2027'!$K$5,"CONCLUÍDA",IF(F4753&lt;='RETRATO 2027'!$K$5,"EM ANDAMENTO","A INICIAR")))</f>
        <v/>
      </c>
    </row>
    <row r="4754">
      <c r="M4754" s="2">
        <f>IF(C4754="","",IFERROR(INDEX($S$5:$S$304,MATCH(C4754,$R$5:$R$304,0))&amp;"","?"))</f>
        <v/>
      </c>
      <c r="N4754" s="2">
        <f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>
        <f>IF(OR(F4754="",G4754=""),"",IF(G4754&lt;='RETRATO 2027'!$K$5,"CONCLUÍDA",IF(F4754&lt;='RETRATO 2027'!$K$5,"EM ANDAMENTO","A INICIAR")))</f>
        <v/>
      </c>
    </row>
    <row r="4755">
      <c r="M4755" s="2">
        <f>IF(C4755="","",IFERROR(INDEX($S$5:$S$304,MATCH(C4755,$R$5:$R$304,0))&amp;"","?"))</f>
        <v/>
      </c>
      <c r="N4755" s="2">
        <f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>
        <f>IF(OR(F4755="",G4755=""),"",IF(G4755&lt;='RETRATO 2027'!$K$5,"CONCLUÍDA",IF(F4755&lt;='RETRATO 2027'!$K$5,"EM ANDAMENTO","A INICIAR")))</f>
        <v/>
      </c>
    </row>
    <row r="4756">
      <c r="M4756" s="2">
        <f>IF(C4756="","",IFERROR(INDEX($S$5:$S$304,MATCH(C4756,$R$5:$R$304,0))&amp;"","?"))</f>
        <v/>
      </c>
      <c r="N4756" s="2">
        <f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>
        <f>IF(OR(F4756="",G4756=""),"",IF(G4756&lt;='RETRATO 2027'!$K$5,"CONCLUÍDA",IF(F4756&lt;='RETRATO 2027'!$K$5,"EM ANDAMENTO","A INICIAR")))</f>
        <v/>
      </c>
    </row>
    <row r="4757">
      <c r="M4757" s="2">
        <f>IF(C4757="","",IFERROR(INDEX($S$5:$S$304,MATCH(C4757,$R$5:$R$304,0))&amp;"","?"))</f>
        <v/>
      </c>
      <c r="N4757" s="2">
        <f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>
        <f>IF(OR(F4757="",G4757=""),"",IF(G4757&lt;='RETRATO 2027'!$K$5,"CONCLUÍDA",IF(F4757&lt;='RETRATO 2027'!$K$5,"EM ANDAMENTO","A INICIAR")))</f>
        <v/>
      </c>
    </row>
    <row r="4758">
      <c r="M4758" s="2">
        <f>IF(C4758="","",IFERROR(INDEX($S$5:$S$304,MATCH(C4758,$R$5:$R$304,0))&amp;"","?"))</f>
        <v/>
      </c>
      <c r="N4758" s="2">
        <f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>
        <f>IF(OR(F4758="",G4758=""),"",IF(G4758&lt;='RETRATO 2027'!$K$5,"CONCLUÍDA",IF(F4758&lt;='RETRATO 2027'!$K$5,"EM ANDAMENTO","A INICIAR")))</f>
        <v/>
      </c>
    </row>
    <row r="4759">
      <c r="M4759" s="2">
        <f>IF(C4759="","",IFERROR(INDEX($S$5:$S$304,MATCH(C4759,$R$5:$R$304,0))&amp;"","?"))</f>
        <v/>
      </c>
      <c r="N4759" s="2">
        <f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>
        <f>IF(OR(F4759="",G4759=""),"",IF(G4759&lt;='RETRATO 2027'!$K$5,"CONCLUÍDA",IF(F4759&lt;='RETRATO 2027'!$K$5,"EM ANDAMENTO","A INICIAR")))</f>
        <v/>
      </c>
    </row>
    <row r="4760">
      <c r="M4760" s="2">
        <f>IF(C4760="","",IFERROR(INDEX($S$5:$S$304,MATCH(C4760,$R$5:$R$304,0))&amp;"","?"))</f>
        <v/>
      </c>
      <c r="N4760" s="2">
        <f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>
        <f>IF(OR(F4760="",G4760=""),"",IF(G4760&lt;='RETRATO 2027'!$K$5,"CONCLUÍDA",IF(F4760&lt;='RETRATO 2027'!$K$5,"EM ANDAMENTO","A INICIAR")))</f>
        <v/>
      </c>
    </row>
    <row r="4761">
      <c r="M4761" s="2">
        <f>IF(C4761="","",IFERROR(INDEX($S$5:$S$304,MATCH(C4761,$R$5:$R$304,0))&amp;"","?"))</f>
        <v/>
      </c>
      <c r="N4761" s="2">
        <f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>
        <f>IF(OR(F4761="",G4761=""),"",IF(G4761&lt;='RETRATO 2027'!$K$5,"CONCLUÍDA",IF(F4761&lt;='RETRATO 2027'!$K$5,"EM ANDAMENTO","A INICIAR")))</f>
        <v/>
      </c>
    </row>
    <row r="4762">
      <c r="M4762" s="2">
        <f>IF(C4762="","",IFERROR(INDEX($S$5:$S$304,MATCH(C4762,$R$5:$R$304,0))&amp;"","?"))</f>
        <v/>
      </c>
      <c r="N4762" s="2">
        <f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>
        <f>IF(OR(F4762="",G4762=""),"",IF(G4762&lt;='RETRATO 2027'!$K$5,"CONCLUÍDA",IF(F4762&lt;='RETRATO 2027'!$K$5,"EM ANDAMENTO","A INICIAR")))</f>
        <v/>
      </c>
    </row>
    <row r="4763">
      <c r="M4763" s="2">
        <f>IF(C4763="","",IFERROR(INDEX($S$5:$S$304,MATCH(C4763,$R$5:$R$304,0))&amp;"","?"))</f>
        <v/>
      </c>
      <c r="N4763" s="2">
        <f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>
        <f>IF(OR(F4763="",G4763=""),"",IF(G4763&lt;='RETRATO 2027'!$K$5,"CONCLUÍDA",IF(F4763&lt;='RETRATO 2027'!$K$5,"EM ANDAMENTO","A INICIAR")))</f>
        <v/>
      </c>
    </row>
    <row r="4764">
      <c r="M4764" s="2">
        <f>IF(C4764="","",IFERROR(INDEX($S$5:$S$304,MATCH(C4764,$R$5:$R$304,0))&amp;"","?"))</f>
        <v/>
      </c>
      <c r="N4764" s="2">
        <f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>
        <f>IF(OR(F4764="",G4764=""),"",IF(G4764&lt;='RETRATO 2027'!$K$5,"CONCLUÍDA",IF(F4764&lt;='RETRATO 2027'!$K$5,"EM ANDAMENTO","A INICIAR")))</f>
        <v/>
      </c>
    </row>
    <row r="4765">
      <c r="M4765" s="2">
        <f>IF(C4765="","",IFERROR(INDEX($S$5:$S$304,MATCH(C4765,$R$5:$R$304,0))&amp;"","?"))</f>
        <v/>
      </c>
      <c r="N4765" s="2">
        <f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>
        <f>IF(OR(F4765="",G4765=""),"",IF(G4765&lt;='RETRATO 2027'!$K$5,"CONCLUÍDA",IF(F4765&lt;='RETRATO 2027'!$K$5,"EM ANDAMENTO","A INICIAR")))</f>
        <v/>
      </c>
    </row>
    <row r="4766">
      <c r="M4766" s="2">
        <f>IF(C4766="","",IFERROR(INDEX($S$5:$S$304,MATCH(C4766,$R$5:$R$304,0))&amp;"","?"))</f>
        <v/>
      </c>
      <c r="N4766" s="2">
        <f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>
        <f>IF(OR(F4766="",G4766=""),"",IF(G4766&lt;='RETRATO 2027'!$K$5,"CONCLUÍDA",IF(F4766&lt;='RETRATO 2027'!$K$5,"EM ANDAMENTO","A INICIAR")))</f>
        <v/>
      </c>
    </row>
    <row r="4767">
      <c r="M4767" s="2">
        <f>IF(C4767="","",IFERROR(INDEX($S$5:$S$304,MATCH(C4767,$R$5:$R$304,0))&amp;"","?"))</f>
        <v/>
      </c>
      <c r="N4767" s="2">
        <f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>
        <f>IF(OR(F4767="",G4767=""),"",IF(G4767&lt;='RETRATO 2027'!$K$5,"CONCLUÍDA",IF(F4767&lt;='RETRATO 2027'!$K$5,"EM ANDAMENTO","A INICIAR")))</f>
        <v/>
      </c>
    </row>
    <row r="4768">
      <c r="M4768" s="2">
        <f>IF(C4768="","",IFERROR(INDEX($S$5:$S$304,MATCH(C4768,$R$5:$R$304,0))&amp;"","?"))</f>
        <v/>
      </c>
      <c r="N4768" s="2">
        <f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>
        <f>IF(OR(F4768="",G4768=""),"",IF(G4768&lt;='RETRATO 2027'!$K$5,"CONCLUÍDA",IF(F4768&lt;='RETRATO 2027'!$K$5,"EM ANDAMENTO","A INICIAR")))</f>
        <v/>
      </c>
    </row>
    <row r="4769">
      <c r="M4769" s="2">
        <f>IF(C4769="","",IFERROR(INDEX($S$5:$S$304,MATCH(C4769,$R$5:$R$304,0))&amp;"","?"))</f>
        <v/>
      </c>
      <c r="N4769" s="2">
        <f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>
        <f>IF(OR(F4769="",G4769=""),"",IF(G4769&lt;='RETRATO 2027'!$K$5,"CONCLUÍDA",IF(F4769&lt;='RETRATO 2027'!$K$5,"EM ANDAMENTO","A INICIAR")))</f>
        <v/>
      </c>
    </row>
    <row r="4770">
      <c r="M4770" s="2">
        <f>IF(C4770="","",IFERROR(INDEX($S$5:$S$304,MATCH(C4770,$R$5:$R$304,0))&amp;"","?"))</f>
        <v/>
      </c>
      <c r="N4770" s="2">
        <f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>
        <f>IF(OR(F4770="",G4770=""),"",IF(G4770&lt;='RETRATO 2027'!$K$5,"CONCLUÍDA",IF(F4770&lt;='RETRATO 2027'!$K$5,"EM ANDAMENTO","A INICIAR")))</f>
        <v/>
      </c>
    </row>
    <row r="4771">
      <c r="M4771" s="2">
        <f>IF(C4771="","",IFERROR(INDEX($S$5:$S$304,MATCH(C4771,$R$5:$R$304,0))&amp;"","?"))</f>
        <v/>
      </c>
      <c r="N4771" s="2">
        <f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>
        <f>IF(OR(F4771="",G4771=""),"",IF(G4771&lt;='RETRATO 2027'!$K$5,"CONCLUÍDA",IF(F4771&lt;='RETRATO 2027'!$K$5,"EM ANDAMENTO","A INICIAR")))</f>
        <v/>
      </c>
    </row>
    <row r="4772">
      <c r="M4772" s="2">
        <f>IF(C4772="","",IFERROR(INDEX($S$5:$S$304,MATCH(C4772,$R$5:$R$304,0))&amp;"","?"))</f>
        <v/>
      </c>
      <c r="N4772" s="2">
        <f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>
        <f>IF(OR(F4772="",G4772=""),"",IF(G4772&lt;='RETRATO 2027'!$K$5,"CONCLUÍDA",IF(F4772&lt;='RETRATO 2027'!$K$5,"EM ANDAMENTO","A INICIAR")))</f>
        <v/>
      </c>
    </row>
    <row r="4773">
      <c r="M4773" s="2">
        <f>IF(C4773="","",IFERROR(INDEX($S$5:$S$304,MATCH(C4773,$R$5:$R$304,0))&amp;"","?"))</f>
        <v/>
      </c>
      <c r="N4773" s="2">
        <f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>
        <f>IF(OR(F4773="",G4773=""),"",IF(G4773&lt;='RETRATO 2027'!$K$5,"CONCLUÍDA",IF(F4773&lt;='RETRATO 2027'!$K$5,"EM ANDAMENTO","A INICIAR")))</f>
        <v/>
      </c>
    </row>
    <row r="4774">
      <c r="M4774" s="2">
        <f>IF(C4774="","",IFERROR(INDEX($S$5:$S$304,MATCH(C4774,$R$5:$R$304,0))&amp;"","?"))</f>
        <v/>
      </c>
      <c r="N4774" s="2">
        <f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>
        <f>IF(OR(F4774="",G4774=""),"",IF(G4774&lt;='RETRATO 2027'!$K$5,"CONCLUÍDA",IF(F4774&lt;='RETRATO 2027'!$K$5,"EM ANDAMENTO","A INICIAR")))</f>
        <v/>
      </c>
    </row>
    <row r="4775">
      <c r="M4775" s="2">
        <f>IF(C4775="","",IFERROR(INDEX($S$5:$S$304,MATCH(C4775,$R$5:$R$304,0))&amp;"","?"))</f>
        <v/>
      </c>
      <c r="N4775" s="2">
        <f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>
        <f>IF(OR(F4775="",G4775=""),"",IF(G4775&lt;='RETRATO 2027'!$K$5,"CONCLUÍDA",IF(F4775&lt;='RETRATO 2027'!$K$5,"EM ANDAMENTO","A INICIAR")))</f>
        <v/>
      </c>
    </row>
    <row r="4776">
      <c r="M4776" s="2">
        <f>IF(C4776="","",IFERROR(INDEX($S$5:$S$304,MATCH(C4776,$R$5:$R$304,0))&amp;"","?"))</f>
        <v/>
      </c>
      <c r="N4776" s="2">
        <f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>
        <f>IF(OR(F4776="",G4776=""),"",IF(G4776&lt;='RETRATO 2027'!$K$5,"CONCLUÍDA",IF(F4776&lt;='RETRATO 2027'!$K$5,"EM ANDAMENTO","A INICIAR")))</f>
        <v/>
      </c>
    </row>
    <row r="4777">
      <c r="M4777" s="2">
        <f>IF(C4777="","",IFERROR(INDEX($S$5:$S$304,MATCH(C4777,$R$5:$R$304,0))&amp;"","?"))</f>
        <v/>
      </c>
      <c r="N4777" s="2">
        <f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>
        <f>IF(OR(F4777="",G4777=""),"",IF(G4777&lt;='RETRATO 2027'!$K$5,"CONCLUÍDA",IF(F4777&lt;='RETRATO 2027'!$K$5,"EM ANDAMENTO","A INICIAR")))</f>
        <v/>
      </c>
    </row>
    <row r="4778">
      <c r="M4778" s="2">
        <f>IF(C4778="","",IFERROR(INDEX($S$5:$S$304,MATCH(C4778,$R$5:$R$304,0))&amp;"","?"))</f>
        <v/>
      </c>
      <c r="N4778" s="2">
        <f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>
        <f>IF(OR(F4778="",G4778=""),"",IF(G4778&lt;='RETRATO 2027'!$K$5,"CONCLUÍDA",IF(F4778&lt;='RETRATO 2027'!$K$5,"EM ANDAMENTO","A INICIAR")))</f>
        <v/>
      </c>
    </row>
    <row r="4779">
      <c r="M4779" s="2">
        <f>IF(C4779="","",IFERROR(INDEX($S$5:$S$304,MATCH(C4779,$R$5:$R$304,0))&amp;"","?"))</f>
        <v/>
      </c>
      <c r="N4779" s="2">
        <f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>
        <f>IF(OR(F4779="",G4779=""),"",IF(G4779&lt;='RETRATO 2027'!$K$5,"CONCLUÍDA",IF(F4779&lt;='RETRATO 2027'!$K$5,"EM ANDAMENTO","A INICIAR")))</f>
        <v/>
      </c>
    </row>
    <row r="4780">
      <c r="M4780" s="2">
        <f>IF(C4780="","",IFERROR(INDEX($S$5:$S$304,MATCH(C4780,$R$5:$R$304,0))&amp;"","?"))</f>
        <v/>
      </c>
      <c r="N4780" s="2">
        <f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>
        <f>IF(OR(F4780="",G4780=""),"",IF(G4780&lt;='RETRATO 2027'!$K$5,"CONCLUÍDA",IF(F4780&lt;='RETRATO 2027'!$K$5,"EM ANDAMENTO","A INICIAR")))</f>
        <v/>
      </c>
    </row>
    <row r="4781">
      <c r="M4781" s="2">
        <f>IF(C4781="","",IFERROR(INDEX($S$5:$S$304,MATCH(C4781,$R$5:$R$304,0))&amp;"","?"))</f>
        <v/>
      </c>
      <c r="N4781" s="2">
        <f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>
        <f>IF(OR(F4781="",G4781=""),"",IF(G4781&lt;='RETRATO 2027'!$K$5,"CONCLUÍDA",IF(F4781&lt;='RETRATO 2027'!$K$5,"EM ANDAMENTO","A INICIAR")))</f>
        <v/>
      </c>
    </row>
    <row r="4782">
      <c r="M4782" s="2">
        <f>IF(C4782="","",IFERROR(INDEX($S$5:$S$304,MATCH(C4782,$R$5:$R$304,0))&amp;"","?"))</f>
        <v/>
      </c>
      <c r="N4782" s="2">
        <f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>
        <f>IF(OR(F4782="",G4782=""),"",IF(G4782&lt;='RETRATO 2027'!$K$5,"CONCLUÍDA",IF(F4782&lt;='RETRATO 2027'!$K$5,"EM ANDAMENTO","A INICIAR")))</f>
        <v/>
      </c>
    </row>
    <row r="4783">
      <c r="M4783" s="2">
        <f>IF(C4783="","",IFERROR(INDEX($S$5:$S$304,MATCH(C4783,$R$5:$R$304,0))&amp;"","?"))</f>
        <v/>
      </c>
      <c r="N4783" s="2">
        <f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>
        <f>IF(OR(F4783="",G4783=""),"",IF(G4783&lt;='RETRATO 2027'!$K$5,"CONCLUÍDA",IF(F4783&lt;='RETRATO 2027'!$K$5,"EM ANDAMENTO","A INICIAR")))</f>
        <v/>
      </c>
    </row>
    <row r="4784">
      <c r="M4784" s="2">
        <f>IF(C4784="","",IFERROR(INDEX($S$5:$S$304,MATCH(C4784,$R$5:$R$304,0))&amp;"","?"))</f>
        <v/>
      </c>
      <c r="N4784" s="2">
        <f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>
        <f>IF(OR(F4784="",G4784=""),"",IF(G4784&lt;='RETRATO 2027'!$K$5,"CONCLUÍDA",IF(F4784&lt;='RETRATO 2027'!$K$5,"EM ANDAMENTO","A INICIAR")))</f>
        <v/>
      </c>
    </row>
    <row r="4785">
      <c r="M4785" s="2">
        <f>IF(C4785="","",IFERROR(INDEX($S$5:$S$304,MATCH(C4785,$R$5:$R$304,0))&amp;"","?"))</f>
        <v/>
      </c>
      <c r="N4785" s="2">
        <f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>
        <f>IF(OR(F4785="",G4785=""),"",IF(G4785&lt;='RETRATO 2027'!$K$5,"CONCLUÍDA",IF(F4785&lt;='RETRATO 2027'!$K$5,"EM ANDAMENTO","A INICIAR")))</f>
        <v/>
      </c>
    </row>
    <row r="4786">
      <c r="M4786" s="2">
        <f>IF(C4786="","",IFERROR(INDEX($S$5:$S$304,MATCH(C4786,$R$5:$R$304,0))&amp;"","?"))</f>
        <v/>
      </c>
      <c r="N4786" s="2">
        <f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>
        <f>IF(OR(F4786="",G4786=""),"",IF(G4786&lt;='RETRATO 2027'!$K$5,"CONCLUÍDA",IF(F4786&lt;='RETRATO 2027'!$K$5,"EM ANDAMENTO","A INICIAR")))</f>
        <v/>
      </c>
    </row>
    <row r="4787">
      <c r="M4787" s="2">
        <f>IF(C4787="","",IFERROR(INDEX($S$5:$S$304,MATCH(C4787,$R$5:$R$304,0))&amp;"","?"))</f>
        <v/>
      </c>
      <c r="N4787" s="2">
        <f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>
        <f>IF(OR(F4787="",G4787=""),"",IF(G4787&lt;='RETRATO 2027'!$K$5,"CONCLUÍDA",IF(F4787&lt;='RETRATO 2027'!$K$5,"EM ANDAMENTO","A INICIAR")))</f>
        <v/>
      </c>
    </row>
    <row r="4788">
      <c r="M4788" s="2">
        <f>IF(C4788="","",IFERROR(INDEX($S$5:$S$304,MATCH(C4788,$R$5:$R$304,0))&amp;"","?"))</f>
        <v/>
      </c>
      <c r="N4788" s="2">
        <f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>
        <f>IF(OR(F4788="",G4788=""),"",IF(G4788&lt;='RETRATO 2027'!$K$5,"CONCLUÍDA",IF(F4788&lt;='RETRATO 2027'!$K$5,"EM ANDAMENTO","A INICIAR")))</f>
        <v/>
      </c>
    </row>
    <row r="4789">
      <c r="M4789" s="2">
        <f>IF(C4789="","",IFERROR(INDEX($S$5:$S$304,MATCH(C4789,$R$5:$R$304,0))&amp;"","?"))</f>
        <v/>
      </c>
      <c r="N4789" s="2">
        <f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>
        <f>IF(OR(F4789="",G4789=""),"",IF(G4789&lt;='RETRATO 2027'!$K$5,"CONCLUÍDA",IF(F4789&lt;='RETRATO 2027'!$K$5,"EM ANDAMENTO","A INICIAR")))</f>
        <v/>
      </c>
    </row>
    <row r="4790">
      <c r="M4790" s="2">
        <f>IF(C4790="","",IFERROR(INDEX($S$5:$S$304,MATCH(C4790,$R$5:$R$304,0))&amp;"","?"))</f>
        <v/>
      </c>
      <c r="N4790" s="2">
        <f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>
        <f>IF(OR(F4790="",G4790=""),"",IF(G4790&lt;='RETRATO 2027'!$K$5,"CONCLUÍDA",IF(F4790&lt;='RETRATO 2027'!$K$5,"EM ANDAMENTO","A INICIAR")))</f>
        <v/>
      </c>
    </row>
    <row r="4791">
      <c r="M4791" s="2">
        <f>IF(C4791="","",IFERROR(INDEX($S$5:$S$304,MATCH(C4791,$R$5:$R$304,0))&amp;"","?"))</f>
        <v/>
      </c>
      <c r="N4791" s="2">
        <f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>
        <f>IF(OR(F4791="",G4791=""),"",IF(G4791&lt;='RETRATO 2027'!$K$5,"CONCLUÍDA",IF(F4791&lt;='RETRATO 2027'!$K$5,"EM ANDAMENTO","A INICIAR")))</f>
        <v/>
      </c>
    </row>
    <row r="4792">
      <c r="M4792" s="2">
        <f>IF(C4792="","",IFERROR(INDEX($S$5:$S$304,MATCH(C4792,$R$5:$R$304,0))&amp;"","?"))</f>
        <v/>
      </c>
      <c r="N4792" s="2">
        <f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>
        <f>IF(OR(F4792="",G4792=""),"",IF(G4792&lt;='RETRATO 2027'!$K$5,"CONCLUÍDA",IF(F4792&lt;='RETRATO 2027'!$K$5,"EM ANDAMENTO","A INICIAR")))</f>
        <v/>
      </c>
    </row>
    <row r="4793">
      <c r="M4793" s="2">
        <f>IF(C4793="","",IFERROR(INDEX($S$5:$S$304,MATCH(C4793,$R$5:$R$304,0))&amp;"","?"))</f>
        <v/>
      </c>
      <c r="N4793" s="2">
        <f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>
        <f>IF(OR(F4793="",G4793=""),"",IF(G4793&lt;='RETRATO 2027'!$K$5,"CONCLUÍDA",IF(F4793&lt;='RETRATO 2027'!$K$5,"EM ANDAMENTO","A INICIAR")))</f>
        <v/>
      </c>
    </row>
    <row r="4794">
      <c r="M4794" s="2">
        <f>IF(C4794="","",IFERROR(INDEX($S$5:$S$304,MATCH(C4794,$R$5:$R$304,0))&amp;"","?"))</f>
        <v/>
      </c>
      <c r="N4794" s="2">
        <f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>
        <f>IF(OR(F4794="",G4794=""),"",IF(G4794&lt;='RETRATO 2027'!$K$5,"CONCLUÍDA",IF(F4794&lt;='RETRATO 2027'!$K$5,"EM ANDAMENTO","A INICIAR")))</f>
        <v/>
      </c>
    </row>
    <row r="4795">
      <c r="M4795" s="2">
        <f>IF(C4795="","",IFERROR(INDEX($S$5:$S$304,MATCH(C4795,$R$5:$R$304,0))&amp;"","?"))</f>
        <v/>
      </c>
      <c r="N4795" s="2">
        <f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>
        <f>IF(OR(F4795="",G4795=""),"",IF(G4795&lt;='RETRATO 2027'!$K$5,"CONCLUÍDA",IF(F4795&lt;='RETRATO 2027'!$K$5,"EM ANDAMENTO","A INICIAR")))</f>
        <v/>
      </c>
    </row>
    <row r="4796">
      <c r="M4796" s="2">
        <f>IF(C4796="","",IFERROR(INDEX($S$5:$S$304,MATCH(C4796,$R$5:$R$304,0))&amp;"","?"))</f>
        <v/>
      </c>
      <c r="N4796" s="2">
        <f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>
        <f>IF(OR(F4796="",G4796=""),"",IF(G4796&lt;='RETRATO 2027'!$K$5,"CONCLUÍDA",IF(F4796&lt;='RETRATO 2027'!$K$5,"EM ANDAMENTO","A INICIAR")))</f>
        <v/>
      </c>
    </row>
    <row r="4797">
      <c r="M4797" s="2">
        <f>IF(C4797="","",IFERROR(INDEX($S$5:$S$304,MATCH(C4797,$R$5:$R$304,0))&amp;"","?"))</f>
        <v/>
      </c>
      <c r="N4797" s="2">
        <f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>
        <f>IF(OR(F4797="",G4797=""),"",IF(G4797&lt;='RETRATO 2027'!$K$5,"CONCLUÍDA",IF(F4797&lt;='RETRATO 2027'!$K$5,"EM ANDAMENTO","A INICIAR")))</f>
        <v/>
      </c>
    </row>
    <row r="4798">
      <c r="M4798" s="2">
        <f>IF(C4798="","",IFERROR(INDEX($S$5:$S$304,MATCH(C4798,$R$5:$R$304,0))&amp;"","?"))</f>
        <v/>
      </c>
      <c r="N4798" s="2">
        <f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>
        <f>IF(OR(F4798="",G4798=""),"",IF(G4798&lt;='RETRATO 2027'!$K$5,"CONCLUÍDA",IF(F4798&lt;='RETRATO 2027'!$K$5,"EM ANDAMENTO","A INICIAR")))</f>
        <v/>
      </c>
    </row>
    <row r="4799">
      <c r="M4799" s="2">
        <f>IF(C4799="","",IFERROR(INDEX($S$5:$S$304,MATCH(C4799,$R$5:$R$304,0))&amp;"","?"))</f>
        <v/>
      </c>
      <c r="N4799" s="2">
        <f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>
        <f>IF(OR(F4799="",G4799=""),"",IF(G4799&lt;='RETRATO 2027'!$K$5,"CONCLUÍDA",IF(F4799&lt;='RETRATO 2027'!$K$5,"EM ANDAMENTO","A INICIAR")))</f>
        <v/>
      </c>
    </row>
    <row r="4800">
      <c r="M4800" s="2">
        <f>IF(C4800="","",IFERROR(INDEX($S$5:$S$304,MATCH(C4800,$R$5:$R$304,0))&amp;"","?"))</f>
        <v/>
      </c>
      <c r="N4800" s="2">
        <f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>
        <f>IF(OR(F4800="",G4800=""),"",IF(G4800&lt;='RETRATO 2027'!$K$5,"CONCLUÍDA",IF(F4800&lt;='RETRATO 2027'!$K$5,"EM ANDAMENTO","A INICIAR")))</f>
        <v/>
      </c>
    </row>
    <row r="4801">
      <c r="M4801" s="2">
        <f>IF(C4801="","",IFERROR(INDEX($S$5:$S$304,MATCH(C4801,$R$5:$R$304,0))&amp;"","?"))</f>
        <v/>
      </c>
      <c r="N4801" s="2">
        <f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>
        <f>IF(OR(F4801="",G4801=""),"",IF(G4801&lt;='RETRATO 2027'!$K$5,"CONCLUÍDA",IF(F4801&lt;='RETRATO 2027'!$K$5,"EM ANDAMENTO","A INICIAR")))</f>
        <v/>
      </c>
    </row>
    <row r="4802">
      <c r="M4802" s="2">
        <f>IF(C4802="","",IFERROR(INDEX($S$5:$S$304,MATCH(C4802,$R$5:$R$304,0))&amp;"","?"))</f>
        <v/>
      </c>
      <c r="N4802" s="2">
        <f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>
        <f>IF(OR(F4802="",G4802=""),"",IF(G4802&lt;='RETRATO 2027'!$K$5,"CONCLUÍDA",IF(F4802&lt;='RETRATO 2027'!$K$5,"EM ANDAMENTO","A INICIAR")))</f>
        <v/>
      </c>
    </row>
    <row r="4803">
      <c r="M4803" s="2">
        <f>IF(C4803="","",IFERROR(INDEX($S$5:$S$304,MATCH(C4803,$R$5:$R$304,0))&amp;"","?"))</f>
        <v/>
      </c>
      <c r="N4803" s="2">
        <f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>
        <f>IF(OR(F4803="",G4803=""),"",IF(G4803&lt;='RETRATO 2027'!$K$5,"CONCLUÍDA",IF(F4803&lt;='RETRATO 2027'!$K$5,"EM ANDAMENTO","A INICIAR")))</f>
        <v/>
      </c>
    </row>
    <row r="4804">
      <c r="M4804" s="2">
        <f>IF(C4804="","",IFERROR(INDEX($S$5:$S$304,MATCH(C4804,$R$5:$R$304,0))&amp;"","?"))</f>
        <v/>
      </c>
      <c r="N4804" s="2">
        <f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>
        <f>IF(OR(F4804="",G4804=""),"",IF(G4804&lt;='RETRATO 2027'!$K$5,"CONCLUÍDA",IF(F4804&lt;='RETRATO 2027'!$K$5,"EM ANDAMENTO","A INICIAR")))</f>
        <v/>
      </c>
    </row>
    <row r="4805">
      <c r="M4805" s="2">
        <f>IF(C4805="","",IFERROR(INDEX($S$5:$S$304,MATCH(C4805,$R$5:$R$304,0))&amp;"","?"))</f>
        <v/>
      </c>
      <c r="N4805" s="2">
        <f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>
        <f>IF(OR(F4805="",G4805=""),"",IF(G4805&lt;='RETRATO 2027'!$K$5,"CONCLUÍDA",IF(F4805&lt;='RETRATO 2027'!$K$5,"EM ANDAMENTO","A INICIAR")))</f>
        <v/>
      </c>
    </row>
    <row r="4806">
      <c r="M4806" s="2">
        <f>IF(C4806="","",IFERROR(INDEX($S$5:$S$304,MATCH(C4806,$R$5:$R$304,0))&amp;"","?"))</f>
        <v/>
      </c>
      <c r="N4806" s="2">
        <f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>
        <f>IF(OR(F4806="",G4806=""),"",IF(G4806&lt;='RETRATO 2027'!$K$5,"CONCLUÍDA",IF(F4806&lt;='RETRATO 2027'!$K$5,"EM ANDAMENTO","A INICIAR")))</f>
        <v/>
      </c>
    </row>
    <row r="4807">
      <c r="M4807" s="2">
        <f>IF(C4807="","",IFERROR(INDEX($S$5:$S$304,MATCH(C4807,$R$5:$R$304,0))&amp;"","?"))</f>
        <v/>
      </c>
      <c r="N4807" s="2">
        <f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>
        <f>IF(OR(F4807="",G4807=""),"",IF(G4807&lt;='RETRATO 2027'!$K$5,"CONCLUÍDA",IF(F4807&lt;='RETRATO 2027'!$K$5,"EM ANDAMENTO","A INICIAR")))</f>
        <v/>
      </c>
    </row>
    <row r="4808">
      <c r="M4808" s="2">
        <f>IF(C4808="","",IFERROR(INDEX($S$5:$S$304,MATCH(C4808,$R$5:$R$304,0))&amp;"","?"))</f>
        <v/>
      </c>
      <c r="N4808" s="2">
        <f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>
        <f>IF(OR(F4808="",G4808=""),"",IF(G4808&lt;='RETRATO 2027'!$K$5,"CONCLUÍDA",IF(F4808&lt;='RETRATO 2027'!$K$5,"EM ANDAMENTO","A INICIAR")))</f>
        <v/>
      </c>
    </row>
    <row r="4809">
      <c r="M4809" s="2">
        <f>IF(C4809="","",IFERROR(INDEX($S$5:$S$304,MATCH(C4809,$R$5:$R$304,0))&amp;"","?"))</f>
        <v/>
      </c>
      <c r="N4809" s="2">
        <f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>
        <f>IF(OR(F4809="",G4809=""),"",IF(G4809&lt;='RETRATO 2027'!$K$5,"CONCLUÍDA",IF(F4809&lt;='RETRATO 2027'!$K$5,"EM ANDAMENTO","A INICIAR")))</f>
        <v/>
      </c>
    </row>
    <row r="4810">
      <c r="M4810" s="2">
        <f>IF(C4810="","",IFERROR(INDEX($S$5:$S$304,MATCH(C4810,$R$5:$R$304,0))&amp;"","?"))</f>
        <v/>
      </c>
      <c r="N4810" s="2">
        <f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>
        <f>IF(OR(F4810="",G4810=""),"",IF(G4810&lt;='RETRATO 2027'!$K$5,"CONCLUÍDA",IF(F4810&lt;='RETRATO 2027'!$K$5,"EM ANDAMENTO","A INICIAR")))</f>
        <v/>
      </c>
    </row>
    <row r="4811">
      <c r="M4811" s="2">
        <f>IF(C4811="","",IFERROR(INDEX($S$5:$S$304,MATCH(C4811,$R$5:$R$304,0))&amp;"","?"))</f>
        <v/>
      </c>
      <c r="N4811" s="2">
        <f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>
        <f>IF(OR(F4811="",G4811=""),"",IF(G4811&lt;='RETRATO 2027'!$K$5,"CONCLUÍDA",IF(F4811&lt;='RETRATO 2027'!$K$5,"EM ANDAMENTO","A INICIAR")))</f>
        <v/>
      </c>
    </row>
    <row r="4812">
      <c r="M4812" s="2">
        <f>IF(C4812="","",IFERROR(INDEX($S$5:$S$304,MATCH(C4812,$R$5:$R$304,0))&amp;"","?"))</f>
        <v/>
      </c>
      <c r="N4812" s="2">
        <f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>
        <f>IF(OR(F4812="",G4812=""),"",IF(G4812&lt;='RETRATO 2027'!$K$5,"CONCLUÍDA",IF(F4812&lt;='RETRATO 2027'!$K$5,"EM ANDAMENTO","A INICIAR")))</f>
        <v/>
      </c>
    </row>
    <row r="4813">
      <c r="M4813" s="2">
        <f>IF(C4813="","",IFERROR(INDEX($S$5:$S$304,MATCH(C4813,$R$5:$R$304,0))&amp;"","?"))</f>
        <v/>
      </c>
      <c r="N4813" s="2">
        <f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>
        <f>IF(OR(F4813="",G4813=""),"",IF(G4813&lt;='RETRATO 2027'!$K$5,"CONCLUÍDA",IF(F4813&lt;='RETRATO 2027'!$K$5,"EM ANDAMENTO","A INICIAR")))</f>
        <v/>
      </c>
    </row>
    <row r="4814">
      <c r="M4814" s="2">
        <f>IF(C4814="","",IFERROR(INDEX($S$5:$S$304,MATCH(C4814,$R$5:$R$304,0))&amp;"","?"))</f>
        <v/>
      </c>
      <c r="N4814" s="2">
        <f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>
        <f>IF(OR(F4814="",G4814=""),"",IF(G4814&lt;='RETRATO 2027'!$K$5,"CONCLUÍDA",IF(F4814&lt;='RETRATO 2027'!$K$5,"EM ANDAMENTO","A INICIAR")))</f>
        <v/>
      </c>
    </row>
    <row r="4815">
      <c r="M4815" s="2">
        <f>IF(C4815="","",IFERROR(INDEX($S$5:$S$304,MATCH(C4815,$R$5:$R$304,0))&amp;"","?"))</f>
        <v/>
      </c>
      <c r="N4815" s="2">
        <f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>
        <f>IF(OR(F4815="",G4815=""),"",IF(G4815&lt;='RETRATO 2027'!$K$5,"CONCLUÍDA",IF(F4815&lt;='RETRATO 2027'!$K$5,"EM ANDAMENTO","A INICIAR")))</f>
        <v/>
      </c>
    </row>
    <row r="4816">
      <c r="M4816" s="2">
        <f>IF(C4816="","",IFERROR(INDEX($S$5:$S$304,MATCH(C4816,$R$5:$R$304,0))&amp;"","?"))</f>
        <v/>
      </c>
      <c r="N4816" s="2">
        <f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>
        <f>IF(OR(F4816="",G4816=""),"",IF(G4816&lt;='RETRATO 2027'!$K$5,"CONCLUÍDA",IF(F4816&lt;='RETRATO 2027'!$K$5,"EM ANDAMENTO","A INICIAR")))</f>
        <v/>
      </c>
    </row>
    <row r="4817">
      <c r="M4817" s="2">
        <f>IF(C4817="","",IFERROR(INDEX($S$5:$S$304,MATCH(C4817,$R$5:$R$304,0))&amp;"","?"))</f>
        <v/>
      </c>
      <c r="N4817" s="2">
        <f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>
        <f>IF(OR(F4817="",G4817=""),"",IF(G4817&lt;='RETRATO 2027'!$K$5,"CONCLUÍDA",IF(F4817&lt;='RETRATO 2027'!$K$5,"EM ANDAMENTO","A INICIAR")))</f>
        <v/>
      </c>
    </row>
    <row r="4818">
      <c r="M4818" s="2">
        <f>IF(C4818="","",IFERROR(INDEX($S$5:$S$304,MATCH(C4818,$R$5:$R$304,0))&amp;"","?"))</f>
        <v/>
      </c>
      <c r="N4818" s="2">
        <f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>
        <f>IF(OR(F4818="",G4818=""),"",IF(G4818&lt;='RETRATO 2027'!$K$5,"CONCLUÍDA",IF(F4818&lt;='RETRATO 2027'!$K$5,"EM ANDAMENTO","A INICIAR")))</f>
        <v/>
      </c>
    </row>
    <row r="4819">
      <c r="M4819" s="2">
        <f>IF(C4819="","",IFERROR(INDEX($S$5:$S$304,MATCH(C4819,$R$5:$R$304,0))&amp;"","?"))</f>
        <v/>
      </c>
      <c r="N4819" s="2">
        <f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>
        <f>IF(OR(F4819="",G4819=""),"",IF(G4819&lt;='RETRATO 2027'!$K$5,"CONCLUÍDA",IF(F4819&lt;='RETRATO 2027'!$K$5,"EM ANDAMENTO","A INICIAR")))</f>
        <v/>
      </c>
    </row>
    <row r="4820">
      <c r="M4820" s="2">
        <f>IF(C4820="","",IFERROR(INDEX($S$5:$S$304,MATCH(C4820,$R$5:$R$304,0))&amp;"","?"))</f>
        <v/>
      </c>
      <c r="N4820" s="2">
        <f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>
        <f>IF(OR(F4820="",G4820=""),"",IF(G4820&lt;='RETRATO 2027'!$K$5,"CONCLUÍDA",IF(F4820&lt;='RETRATO 2027'!$K$5,"EM ANDAMENTO","A INICIAR")))</f>
        <v/>
      </c>
    </row>
    <row r="4821">
      <c r="M4821" s="2">
        <f>IF(C4821="","",IFERROR(INDEX($S$5:$S$304,MATCH(C4821,$R$5:$R$304,0))&amp;"","?"))</f>
        <v/>
      </c>
      <c r="N4821" s="2">
        <f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>
        <f>IF(OR(F4821="",G4821=""),"",IF(G4821&lt;='RETRATO 2027'!$K$5,"CONCLUÍDA",IF(F4821&lt;='RETRATO 2027'!$K$5,"EM ANDAMENTO","A INICIAR")))</f>
        <v/>
      </c>
    </row>
    <row r="4822">
      <c r="M4822" s="2">
        <f>IF(C4822="","",IFERROR(INDEX($S$5:$S$304,MATCH(C4822,$R$5:$R$304,0))&amp;"","?"))</f>
        <v/>
      </c>
      <c r="N4822" s="2">
        <f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>
        <f>IF(OR(F4822="",G4822=""),"",IF(G4822&lt;='RETRATO 2027'!$K$5,"CONCLUÍDA",IF(F4822&lt;='RETRATO 2027'!$K$5,"EM ANDAMENTO","A INICIAR")))</f>
        <v/>
      </c>
    </row>
    <row r="4823">
      <c r="M4823" s="2">
        <f>IF(C4823="","",IFERROR(INDEX($S$5:$S$304,MATCH(C4823,$R$5:$R$304,0))&amp;"","?"))</f>
        <v/>
      </c>
      <c r="N4823" s="2">
        <f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>
        <f>IF(OR(F4823="",G4823=""),"",IF(G4823&lt;='RETRATO 2027'!$K$5,"CONCLUÍDA",IF(F4823&lt;='RETRATO 2027'!$K$5,"EM ANDAMENTO","A INICIAR")))</f>
        <v/>
      </c>
    </row>
    <row r="4824">
      <c r="M4824" s="2">
        <f>IF(C4824="","",IFERROR(INDEX($S$5:$S$304,MATCH(C4824,$R$5:$R$304,0))&amp;"","?"))</f>
        <v/>
      </c>
      <c r="N4824" s="2">
        <f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>
        <f>IF(OR(F4824="",G4824=""),"",IF(G4824&lt;='RETRATO 2027'!$K$5,"CONCLUÍDA",IF(F4824&lt;='RETRATO 2027'!$K$5,"EM ANDAMENTO","A INICIAR")))</f>
        <v/>
      </c>
    </row>
    <row r="4825">
      <c r="M4825" s="2">
        <f>IF(C4825="","",IFERROR(INDEX($S$5:$S$304,MATCH(C4825,$R$5:$R$304,0))&amp;"","?"))</f>
        <v/>
      </c>
      <c r="N4825" s="2">
        <f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>
        <f>IF(OR(F4825="",G4825=""),"",IF(G4825&lt;='RETRATO 2027'!$K$5,"CONCLUÍDA",IF(F4825&lt;='RETRATO 2027'!$K$5,"EM ANDAMENTO","A INICIAR")))</f>
        <v/>
      </c>
    </row>
    <row r="4826">
      <c r="M4826" s="2">
        <f>IF(C4826="","",IFERROR(INDEX($S$5:$S$304,MATCH(C4826,$R$5:$R$304,0))&amp;"","?"))</f>
        <v/>
      </c>
      <c r="N4826" s="2">
        <f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>
        <f>IF(OR(F4826="",G4826=""),"",IF(G4826&lt;='RETRATO 2027'!$K$5,"CONCLUÍDA",IF(F4826&lt;='RETRATO 2027'!$K$5,"EM ANDAMENTO","A INICIAR")))</f>
        <v/>
      </c>
    </row>
    <row r="4827">
      <c r="M4827" s="2">
        <f>IF(C4827="","",IFERROR(INDEX($S$5:$S$304,MATCH(C4827,$R$5:$R$304,0))&amp;"","?"))</f>
        <v/>
      </c>
      <c r="N4827" s="2">
        <f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>
        <f>IF(OR(F4827="",G4827=""),"",IF(G4827&lt;='RETRATO 2027'!$K$5,"CONCLUÍDA",IF(F4827&lt;='RETRATO 2027'!$K$5,"EM ANDAMENTO","A INICIAR")))</f>
        <v/>
      </c>
    </row>
    <row r="4828">
      <c r="M4828" s="2">
        <f>IF(C4828="","",IFERROR(INDEX($S$5:$S$304,MATCH(C4828,$R$5:$R$304,0))&amp;"","?"))</f>
        <v/>
      </c>
      <c r="N4828" s="2">
        <f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>
        <f>IF(OR(F4828="",G4828=""),"",IF(G4828&lt;='RETRATO 2027'!$K$5,"CONCLUÍDA",IF(F4828&lt;='RETRATO 2027'!$K$5,"EM ANDAMENTO","A INICIAR")))</f>
        <v/>
      </c>
    </row>
    <row r="4829">
      <c r="M4829" s="2">
        <f>IF(C4829="","",IFERROR(INDEX($S$5:$S$304,MATCH(C4829,$R$5:$R$304,0))&amp;"","?"))</f>
        <v/>
      </c>
      <c r="N4829" s="2">
        <f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>
        <f>IF(OR(F4829="",G4829=""),"",IF(G4829&lt;='RETRATO 2027'!$K$5,"CONCLUÍDA",IF(F4829&lt;='RETRATO 2027'!$K$5,"EM ANDAMENTO","A INICIAR")))</f>
        <v/>
      </c>
    </row>
    <row r="4830">
      <c r="M4830" s="2">
        <f>IF(C4830="","",IFERROR(INDEX($S$5:$S$304,MATCH(C4830,$R$5:$R$304,0))&amp;"","?"))</f>
        <v/>
      </c>
      <c r="N4830" s="2">
        <f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>
        <f>IF(OR(F4830="",G4830=""),"",IF(G4830&lt;='RETRATO 2027'!$K$5,"CONCLUÍDA",IF(F4830&lt;='RETRATO 2027'!$K$5,"EM ANDAMENTO","A INICIAR")))</f>
        <v/>
      </c>
    </row>
    <row r="4831">
      <c r="M4831" s="2">
        <f>IF(C4831="","",IFERROR(INDEX($S$5:$S$304,MATCH(C4831,$R$5:$R$304,0))&amp;"","?"))</f>
        <v/>
      </c>
      <c r="N4831" s="2">
        <f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>
        <f>IF(OR(F4831="",G4831=""),"",IF(G4831&lt;='RETRATO 2027'!$K$5,"CONCLUÍDA",IF(F4831&lt;='RETRATO 2027'!$K$5,"EM ANDAMENTO","A INICIAR")))</f>
        <v/>
      </c>
    </row>
    <row r="4832">
      <c r="M4832" s="2">
        <f>IF(C4832="","",IFERROR(INDEX($S$5:$S$304,MATCH(C4832,$R$5:$R$304,0))&amp;"","?"))</f>
        <v/>
      </c>
      <c r="N4832" s="2">
        <f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>
        <f>IF(OR(F4832="",G4832=""),"",IF(G4832&lt;='RETRATO 2027'!$K$5,"CONCLUÍDA",IF(F4832&lt;='RETRATO 2027'!$K$5,"EM ANDAMENTO","A INICIAR")))</f>
        <v/>
      </c>
    </row>
    <row r="4833">
      <c r="M4833" s="2">
        <f>IF(C4833="","",IFERROR(INDEX($S$5:$S$304,MATCH(C4833,$R$5:$R$304,0))&amp;"","?"))</f>
        <v/>
      </c>
      <c r="N4833" s="2">
        <f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>
        <f>IF(OR(F4833="",G4833=""),"",IF(G4833&lt;='RETRATO 2027'!$K$5,"CONCLUÍDA",IF(F4833&lt;='RETRATO 2027'!$K$5,"EM ANDAMENTO","A INICIAR")))</f>
        <v/>
      </c>
    </row>
    <row r="4834">
      <c r="M4834" s="2">
        <f>IF(C4834="","",IFERROR(INDEX($S$5:$S$304,MATCH(C4834,$R$5:$R$304,0))&amp;"","?"))</f>
        <v/>
      </c>
      <c r="N4834" s="2">
        <f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>
        <f>IF(OR(F4834="",G4834=""),"",IF(G4834&lt;='RETRATO 2027'!$K$5,"CONCLUÍDA",IF(F4834&lt;='RETRATO 2027'!$K$5,"EM ANDAMENTO","A INICIAR")))</f>
        <v/>
      </c>
    </row>
    <row r="4835">
      <c r="M4835" s="2">
        <f>IF(C4835="","",IFERROR(INDEX($S$5:$S$304,MATCH(C4835,$R$5:$R$304,0))&amp;"","?"))</f>
        <v/>
      </c>
      <c r="N4835" s="2">
        <f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>
        <f>IF(OR(F4835="",G4835=""),"",IF(G4835&lt;='RETRATO 2027'!$K$5,"CONCLUÍDA",IF(F4835&lt;='RETRATO 2027'!$K$5,"EM ANDAMENTO","A INICIAR")))</f>
        <v/>
      </c>
    </row>
    <row r="4836">
      <c r="M4836" s="2">
        <f>IF(C4836="","",IFERROR(INDEX($S$5:$S$304,MATCH(C4836,$R$5:$R$304,0))&amp;"","?"))</f>
        <v/>
      </c>
      <c r="N4836" s="2">
        <f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>
        <f>IF(OR(F4836="",G4836=""),"",IF(G4836&lt;='RETRATO 2027'!$K$5,"CONCLUÍDA",IF(F4836&lt;='RETRATO 2027'!$K$5,"EM ANDAMENTO","A INICIAR")))</f>
        <v/>
      </c>
    </row>
    <row r="4837">
      <c r="M4837" s="2">
        <f>IF(C4837="","",IFERROR(INDEX($S$5:$S$304,MATCH(C4837,$R$5:$R$304,0))&amp;"","?"))</f>
        <v/>
      </c>
      <c r="N4837" s="2">
        <f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>
        <f>IF(OR(F4837="",G4837=""),"",IF(G4837&lt;='RETRATO 2027'!$K$5,"CONCLUÍDA",IF(F4837&lt;='RETRATO 2027'!$K$5,"EM ANDAMENTO","A INICIAR")))</f>
        <v/>
      </c>
    </row>
    <row r="4838">
      <c r="M4838" s="2">
        <f>IF(C4838="","",IFERROR(INDEX($S$5:$S$304,MATCH(C4838,$R$5:$R$304,0))&amp;"","?"))</f>
        <v/>
      </c>
      <c r="N4838" s="2">
        <f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>
        <f>IF(OR(F4838="",G4838=""),"",IF(G4838&lt;='RETRATO 2027'!$K$5,"CONCLUÍDA",IF(F4838&lt;='RETRATO 2027'!$K$5,"EM ANDAMENTO","A INICIAR")))</f>
        <v/>
      </c>
    </row>
    <row r="4839">
      <c r="M4839" s="2">
        <f>IF(C4839="","",IFERROR(INDEX($S$5:$S$304,MATCH(C4839,$R$5:$R$304,0))&amp;"","?"))</f>
        <v/>
      </c>
      <c r="N4839" s="2">
        <f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>
        <f>IF(OR(F4839="",G4839=""),"",IF(G4839&lt;='RETRATO 2027'!$K$5,"CONCLUÍDA",IF(F4839&lt;='RETRATO 2027'!$K$5,"EM ANDAMENTO","A INICIAR")))</f>
        <v/>
      </c>
    </row>
    <row r="4840">
      <c r="M4840" s="2">
        <f>IF(C4840="","",IFERROR(INDEX($S$5:$S$304,MATCH(C4840,$R$5:$R$304,0))&amp;"","?"))</f>
        <v/>
      </c>
      <c r="N4840" s="2">
        <f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>
        <f>IF(OR(F4840="",G4840=""),"",IF(G4840&lt;='RETRATO 2027'!$K$5,"CONCLUÍDA",IF(F4840&lt;='RETRATO 2027'!$K$5,"EM ANDAMENTO","A INICIAR")))</f>
        <v/>
      </c>
    </row>
    <row r="4841">
      <c r="M4841" s="2">
        <f>IF(C4841="","",IFERROR(INDEX($S$5:$S$304,MATCH(C4841,$R$5:$R$304,0))&amp;"","?"))</f>
        <v/>
      </c>
      <c r="N4841" s="2">
        <f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>
        <f>IF(OR(F4841="",G4841=""),"",IF(G4841&lt;='RETRATO 2027'!$K$5,"CONCLUÍDA",IF(F4841&lt;='RETRATO 2027'!$K$5,"EM ANDAMENTO","A INICIAR")))</f>
        <v/>
      </c>
    </row>
    <row r="4842">
      <c r="M4842" s="2">
        <f>IF(C4842="","",IFERROR(INDEX($S$5:$S$304,MATCH(C4842,$R$5:$R$304,0))&amp;"","?"))</f>
        <v/>
      </c>
      <c r="N4842" s="2">
        <f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>
        <f>IF(OR(F4842="",G4842=""),"",IF(G4842&lt;='RETRATO 2027'!$K$5,"CONCLUÍDA",IF(F4842&lt;='RETRATO 2027'!$K$5,"EM ANDAMENTO","A INICIAR")))</f>
        <v/>
      </c>
    </row>
    <row r="4843">
      <c r="M4843" s="2">
        <f>IF(C4843="","",IFERROR(INDEX($S$5:$S$304,MATCH(C4843,$R$5:$R$304,0))&amp;"","?"))</f>
        <v/>
      </c>
      <c r="N4843" s="2">
        <f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>
        <f>IF(OR(F4843="",G4843=""),"",IF(G4843&lt;='RETRATO 2027'!$K$5,"CONCLUÍDA",IF(F4843&lt;='RETRATO 2027'!$K$5,"EM ANDAMENTO","A INICIAR")))</f>
        <v/>
      </c>
    </row>
    <row r="4844">
      <c r="M4844" s="2">
        <f>IF(C4844="","",IFERROR(INDEX($S$5:$S$304,MATCH(C4844,$R$5:$R$304,0))&amp;"","?"))</f>
        <v/>
      </c>
      <c r="N4844" s="2">
        <f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>
        <f>IF(OR(F4844="",G4844=""),"",IF(G4844&lt;='RETRATO 2027'!$K$5,"CONCLUÍDA",IF(F4844&lt;='RETRATO 2027'!$K$5,"EM ANDAMENTO","A INICIAR")))</f>
        <v/>
      </c>
    </row>
    <row r="4845">
      <c r="M4845" s="2">
        <f>IF(C4845="","",IFERROR(INDEX($S$5:$S$304,MATCH(C4845,$R$5:$R$304,0))&amp;"","?"))</f>
        <v/>
      </c>
      <c r="N4845" s="2">
        <f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>
        <f>IF(OR(F4845="",G4845=""),"",IF(G4845&lt;='RETRATO 2027'!$K$5,"CONCLUÍDA",IF(F4845&lt;='RETRATO 2027'!$K$5,"EM ANDAMENTO","A INICIAR")))</f>
        <v/>
      </c>
    </row>
    <row r="4846">
      <c r="M4846" s="2">
        <f>IF(C4846="","",IFERROR(INDEX($S$5:$S$304,MATCH(C4846,$R$5:$R$304,0))&amp;"","?"))</f>
        <v/>
      </c>
      <c r="N4846" s="2">
        <f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>
        <f>IF(OR(F4846="",G4846=""),"",IF(G4846&lt;='RETRATO 2027'!$K$5,"CONCLUÍDA",IF(F4846&lt;='RETRATO 2027'!$K$5,"EM ANDAMENTO","A INICIAR")))</f>
        <v/>
      </c>
    </row>
    <row r="4847">
      <c r="M4847" s="2">
        <f>IF(C4847="","",IFERROR(INDEX($S$5:$S$304,MATCH(C4847,$R$5:$R$304,0))&amp;"","?"))</f>
        <v/>
      </c>
      <c r="N4847" s="2">
        <f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>
        <f>IF(OR(F4847="",G4847=""),"",IF(G4847&lt;='RETRATO 2027'!$K$5,"CONCLUÍDA",IF(F4847&lt;='RETRATO 2027'!$K$5,"EM ANDAMENTO","A INICIAR")))</f>
        <v/>
      </c>
    </row>
    <row r="4848">
      <c r="M4848" s="2">
        <f>IF(C4848="","",IFERROR(INDEX($S$5:$S$304,MATCH(C4848,$R$5:$R$304,0))&amp;"","?"))</f>
        <v/>
      </c>
      <c r="N4848" s="2">
        <f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>
        <f>IF(OR(F4848="",G4848=""),"",IF(G4848&lt;='RETRATO 2027'!$K$5,"CONCLUÍDA",IF(F4848&lt;='RETRATO 2027'!$K$5,"EM ANDAMENTO","A INICIAR")))</f>
        <v/>
      </c>
    </row>
    <row r="4849">
      <c r="M4849" s="2">
        <f>IF(C4849="","",IFERROR(INDEX($S$5:$S$304,MATCH(C4849,$R$5:$R$304,0))&amp;"","?"))</f>
        <v/>
      </c>
      <c r="N4849" s="2">
        <f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>
        <f>IF(OR(F4849="",G4849=""),"",IF(G4849&lt;='RETRATO 2027'!$K$5,"CONCLUÍDA",IF(F4849&lt;='RETRATO 2027'!$K$5,"EM ANDAMENTO","A INICIAR")))</f>
        <v/>
      </c>
    </row>
    <row r="4850">
      <c r="M4850" s="2">
        <f>IF(C4850="","",IFERROR(INDEX($S$5:$S$304,MATCH(C4850,$R$5:$R$304,0))&amp;"","?"))</f>
        <v/>
      </c>
      <c r="N4850" s="2">
        <f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>
        <f>IF(OR(F4850="",G4850=""),"",IF(G4850&lt;='RETRATO 2027'!$K$5,"CONCLUÍDA",IF(F4850&lt;='RETRATO 2027'!$K$5,"EM ANDAMENTO","A INICIAR")))</f>
        <v/>
      </c>
    </row>
    <row r="4851">
      <c r="M4851" s="2">
        <f>IF(C4851="","",IFERROR(INDEX($S$5:$S$304,MATCH(C4851,$R$5:$R$304,0))&amp;"","?"))</f>
        <v/>
      </c>
      <c r="N4851" s="2">
        <f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>
        <f>IF(OR(F4851="",G4851=""),"",IF(G4851&lt;='RETRATO 2027'!$K$5,"CONCLUÍDA",IF(F4851&lt;='RETRATO 2027'!$K$5,"EM ANDAMENTO","A INICIAR")))</f>
        <v/>
      </c>
    </row>
    <row r="4852">
      <c r="M4852" s="2">
        <f>IF(C4852="","",IFERROR(INDEX($S$5:$S$304,MATCH(C4852,$R$5:$R$304,0))&amp;"","?"))</f>
        <v/>
      </c>
      <c r="N4852" s="2">
        <f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>
        <f>IF(OR(F4852="",G4852=""),"",IF(G4852&lt;='RETRATO 2027'!$K$5,"CONCLUÍDA",IF(F4852&lt;='RETRATO 2027'!$K$5,"EM ANDAMENTO","A INICIAR")))</f>
        <v/>
      </c>
    </row>
    <row r="4853">
      <c r="M4853" s="2">
        <f>IF(C4853="","",IFERROR(INDEX($S$5:$S$304,MATCH(C4853,$R$5:$R$304,0))&amp;"","?"))</f>
        <v/>
      </c>
      <c r="N4853" s="2">
        <f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>
        <f>IF(OR(F4853="",G4853=""),"",IF(G4853&lt;='RETRATO 2027'!$K$5,"CONCLUÍDA",IF(F4853&lt;='RETRATO 2027'!$K$5,"EM ANDAMENTO","A INICIAR")))</f>
        <v/>
      </c>
    </row>
    <row r="4854">
      <c r="M4854" s="2">
        <f>IF(C4854="","",IFERROR(INDEX($S$5:$S$304,MATCH(C4854,$R$5:$R$304,0))&amp;"","?"))</f>
        <v/>
      </c>
      <c r="N4854" s="2">
        <f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>
        <f>IF(OR(F4854="",G4854=""),"",IF(G4854&lt;='RETRATO 2027'!$K$5,"CONCLUÍDA",IF(F4854&lt;='RETRATO 2027'!$K$5,"EM ANDAMENTO","A INICIAR")))</f>
        <v/>
      </c>
    </row>
    <row r="4855">
      <c r="M4855" s="2">
        <f>IF(C4855="","",IFERROR(INDEX($S$5:$S$304,MATCH(C4855,$R$5:$R$304,0))&amp;"","?"))</f>
        <v/>
      </c>
      <c r="N4855" s="2">
        <f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>
        <f>IF(OR(F4855="",G4855=""),"",IF(G4855&lt;='RETRATO 2027'!$K$5,"CONCLUÍDA",IF(F4855&lt;='RETRATO 2027'!$K$5,"EM ANDAMENTO","A INICIAR")))</f>
        <v/>
      </c>
    </row>
    <row r="4856">
      <c r="M4856" s="2">
        <f>IF(C4856="","",IFERROR(INDEX($S$5:$S$304,MATCH(C4856,$R$5:$R$304,0))&amp;"","?"))</f>
        <v/>
      </c>
      <c r="N4856" s="2">
        <f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>
        <f>IF(OR(F4856="",G4856=""),"",IF(G4856&lt;='RETRATO 2027'!$K$5,"CONCLUÍDA",IF(F4856&lt;='RETRATO 2027'!$K$5,"EM ANDAMENTO","A INICIAR")))</f>
        <v/>
      </c>
    </row>
    <row r="4857">
      <c r="M4857" s="2">
        <f>IF(C4857="","",IFERROR(INDEX($S$5:$S$304,MATCH(C4857,$R$5:$R$304,0))&amp;"","?"))</f>
        <v/>
      </c>
      <c r="N4857" s="2">
        <f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>
        <f>IF(OR(F4857="",G4857=""),"",IF(G4857&lt;='RETRATO 2027'!$K$5,"CONCLUÍDA",IF(F4857&lt;='RETRATO 2027'!$K$5,"EM ANDAMENTO","A INICIAR")))</f>
        <v/>
      </c>
    </row>
    <row r="4858">
      <c r="M4858" s="2">
        <f>IF(C4858="","",IFERROR(INDEX($S$5:$S$304,MATCH(C4858,$R$5:$R$304,0))&amp;"","?"))</f>
        <v/>
      </c>
      <c r="N4858" s="2">
        <f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>
        <f>IF(OR(F4858="",G4858=""),"",IF(G4858&lt;='RETRATO 2027'!$K$5,"CONCLUÍDA",IF(F4858&lt;='RETRATO 2027'!$K$5,"EM ANDAMENTO","A INICIAR")))</f>
        <v/>
      </c>
    </row>
    <row r="4859">
      <c r="M4859" s="2">
        <f>IF(C4859="","",IFERROR(INDEX($S$5:$S$304,MATCH(C4859,$R$5:$R$304,0))&amp;"","?"))</f>
        <v/>
      </c>
      <c r="N4859" s="2">
        <f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>
        <f>IF(OR(F4859="",G4859=""),"",IF(G4859&lt;='RETRATO 2027'!$K$5,"CONCLUÍDA",IF(F4859&lt;='RETRATO 2027'!$K$5,"EM ANDAMENTO","A INICIAR")))</f>
        <v/>
      </c>
    </row>
    <row r="4860">
      <c r="M4860" s="2">
        <f>IF(C4860="","",IFERROR(INDEX($S$5:$S$304,MATCH(C4860,$R$5:$R$304,0))&amp;"","?"))</f>
        <v/>
      </c>
      <c r="N4860" s="2">
        <f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>
        <f>IF(OR(F4860="",G4860=""),"",IF(G4860&lt;='RETRATO 2027'!$K$5,"CONCLUÍDA",IF(F4860&lt;='RETRATO 2027'!$K$5,"EM ANDAMENTO","A INICIAR")))</f>
        <v/>
      </c>
    </row>
    <row r="4861">
      <c r="M4861" s="2">
        <f>IF(C4861="","",IFERROR(INDEX($S$5:$S$304,MATCH(C4861,$R$5:$R$304,0))&amp;"","?"))</f>
        <v/>
      </c>
      <c r="N4861" s="2">
        <f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>
        <f>IF(OR(F4861="",G4861=""),"",IF(G4861&lt;='RETRATO 2027'!$K$5,"CONCLUÍDA",IF(F4861&lt;='RETRATO 2027'!$K$5,"EM ANDAMENTO","A INICIAR")))</f>
        <v/>
      </c>
    </row>
    <row r="4862">
      <c r="M4862" s="2">
        <f>IF(C4862="","",IFERROR(INDEX($S$5:$S$304,MATCH(C4862,$R$5:$R$304,0))&amp;"","?"))</f>
        <v/>
      </c>
      <c r="N4862" s="2">
        <f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>
        <f>IF(OR(F4862="",G4862=""),"",IF(G4862&lt;='RETRATO 2027'!$K$5,"CONCLUÍDA",IF(F4862&lt;='RETRATO 2027'!$K$5,"EM ANDAMENTO","A INICIAR")))</f>
        <v/>
      </c>
    </row>
    <row r="4863">
      <c r="M4863" s="2">
        <f>IF(C4863="","",IFERROR(INDEX($S$5:$S$304,MATCH(C4863,$R$5:$R$304,0))&amp;"","?"))</f>
        <v/>
      </c>
      <c r="N4863" s="2">
        <f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>
        <f>IF(OR(F4863="",G4863=""),"",IF(G4863&lt;='RETRATO 2027'!$K$5,"CONCLUÍDA",IF(F4863&lt;='RETRATO 2027'!$K$5,"EM ANDAMENTO","A INICIAR")))</f>
        <v/>
      </c>
    </row>
    <row r="4864">
      <c r="M4864" s="2">
        <f>IF(C4864="","",IFERROR(INDEX($S$5:$S$304,MATCH(C4864,$R$5:$R$304,0))&amp;"","?"))</f>
        <v/>
      </c>
      <c r="N4864" s="2">
        <f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>
        <f>IF(OR(F4864="",G4864=""),"",IF(G4864&lt;='RETRATO 2027'!$K$5,"CONCLUÍDA",IF(F4864&lt;='RETRATO 2027'!$K$5,"EM ANDAMENTO","A INICIAR")))</f>
        <v/>
      </c>
    </row>
    <row r="4865">
      <c r="M4865" s="2">
        <f>IF(C4865="","",IFERROR(INDEX($S$5:$S$304,MATCH(C4865,$R$5:$R$304,0))&amp;"","?"))</f>
        <v/>
      </c>
      <c r="N4865" s="2">
        <f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>
        <f>IF(OR(F4865="",G4865=""),"",IF(G4865&lt;='RETRATO 2027'!$K$5,"CONCLUÍDA",IF(F4865&lt;='RETRATO 2027'!$K$5,"EM ANDAMENTO","A INICIAR")))</f>
        <v/>
      </c>
    </row>
    <row r="4866">
      <c r="M4866" s="2">
        <f>IF(C4866="","",IFERROR(INDEX($S$5:$S$304,MATCH(C4866,$R$5:$R$304,0))&amp;"","?"))</f>
        <v/>
      </c>
      <c r="N4866" s="2">
        <f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>
        <f>IF(OR(F4866="",G4866=""),"",IF(G4866&lt;='RETRATO 2027'!$K$5,"CONCLUÍDA",IF(F4866&lt;='RETRATO 2027'!$K$5,"EM ANDAMENTO","A INICIAR")))</f>
        <v/>
      </c>
    </row>
    <row r="4867">
      <c r="M4867" s="2">
        <f>IF(C4867="","",IFERROR(INDEX($S$5:$S$304,MATCH(C4867,$R$5:$R$304,0))&amp;"","?"))</f>
        <v/>
      </c>
      <c r="N4867" s="2">
        <f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>
        <f>IF(OR(F4867="",G4867=""),"",IF(G4867&lt;='RETRATO 2027'!$K$5,"CONCLUÍDA",IF(F4867&lt;='RETRATO 2027'!$K$5,"EM ANDAMENTO","A INICIAR")))</f>
        <v/>
      </c>
    </row>
    <row r="4868">
      <c r="M4868" s="2">
        <f>IF(C4868="","",IFERROR(INDEX($S$5:$S$304,MATCH(C4868,$R$5:$R$304,0))&amp;"","?"))</f>
        <v/>
      </c>
      <c r="N4868" s="2">
        <f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>
        <f>IF(OR(F4868="",G4868=""),"",IF(G4868&lt;='RETRATO 2027'!$K$5,"CONCLUÍDA",IF(F4868&lt;='RETRATO 2027'!$K$5,"EM ANDAMENTO","A INICIAR")))</f>
        <v/>
      </c>
    </row>
    <row r="4869">
      <c r="M4869" s="2">
        <f>IF(C4869="","",IFERROR(INDEX($S$5:$S$304,MATCH(C4869,$R$5:$R$304,0))&amp;"","?"))</f>
        <v/>
      </c>
      <c r="N4869" s="2">
        <f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>
        <f>IF(OR(F4869="",G4869=""),"",IF(G4869&lt;='RETRATO 2027'!$K$5,"CONCLUÍDA",IF(F4869&lt;='RETRATO 2027'!$K$5,"EM ANDAMENTO","A INICIAR")))</f>
        <v/>
      </c>
    </row>
    <row r="4870">
      <c r="M4870" s="2">
        <f>IF(C4870="","",IFERROR(INDEX($S$5:$S$304,MATCH(C4870,$R$5:$R$304,0))&amp;"","?"))</f>
        <v/>
      </c>
      <c r="N4870" s="2">
        <f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>
        <f>IF(OR(F4870="",G4870=""),"",IF(G4870&lt;='RETRATO 2027'!$K$5,"CONCLUÍDA",IF(F4870&lt;='RETRATO 2027'!$K$5,"EM ANDAMENTO","A INICIAR")))</f>
        <v/>
      </c>
    </row>
    <row r="4871">
      <c r="M4871" s="2">
        <f>IF(C4871="","",IFERROR(INDEX($S$5:$S$304,MATCH(C4871,$R$5:$R$304,0))&amp;"","?"))</f>
        <v/>
      </c>
      <c r="N4871" s="2">
        <f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>
        <f>IF(OR(F4871="",G4871=""),"",IF(G4871&lt;='RETRATO 2027'!$K$5,"CONCLUÍDA",IF(F4871&lt;='RETRATO 2027'!$K$5,"EM ANDAMENTO","A INICIAR")))</f>
        <v/>
      </c>
    </row>
    <row r="4872">
      <c r="M4872" s="2">
        <f>IF(C4872="","",IFERROR(INDEX($S$5:$S$304,MATCH(C4872,$R$5:$R$304,0))&amp;"","?"))</f>
        <v/>
      </c>
      <c r="N4872" s="2">
        <f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>
        <f>IF(OR(F4872="",G4872=""),"",IF(G4872&lt;='RETRATO 2027'!$K$5,"CONCLUÍDA",IF(F4872&lt;='RETRATO 2027'!$K$5,"EM ANDAMENTO","A INICIAR")))</f>
        <v/>
      </c>
    </row>
    <row r="4873">
      <c r="M4873" s="2">
        <f>IF(C4873="","",IFERROR(INDEX($S$5:$S$304,MATCH(C4873,$R$5:$R$304,0))&amp;"","?"))</f>
        <v/>
      </c>
      <c r="N4873" s="2">
        <f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>
        <f>IF(OR(F4873="",G4873=""),"",IF(G4873&lt;='RETRATO 2027'!$K$5,"CONCLUÍDA",IF(F4873&lt;='RETRATO 2027'!$K$5,"EM ANDAMENTO","A INICIAR")))</f>
        <v/>
      </c>
    </row>
    <row r="4874">
      <c r="M4874" s="2">
        <f>IF(C4874="","",IFERROR(INDEX($S$5:$S$304,MATCH(C4874,$R$5:$R$304,0))&amp;"","?"))</f>
        <v/>
      </c>
      <c r="N4874" s="2">
        <f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>
        <f>IF(OR(F4874="",G4874=""),"",IF(G4874&lt;='RETRATO 2027'!$K$5,"CONCLUÍDA",IF(F4874&lt;='RETRATO 2027'!$K$5,"EM ANDAMENTO","A INICIAR")))</f>
        <v/>
      </c>
    </row>
    <row r="4875">
      <c r="M4875" s="2">
        <f>IF(C4875="","",IFERROR(INDEX($S$5:$S$304,MATCH(C4875,$R$5:$R$304,0))&amp;"","?"))</f>
        <v/>
      </c>
      <c r="N4875" s="2">
        <f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>
        <f>IF(OR(F4875="",G4875=""),"",IF(G4875&lt;='RETRATO 2027'!$K$5,"CONCLUÍDA",IF(F4875&lt;='RETRATO 2027'!$K$5,"EM ANDAMENTO","A INICIAR")))</f>
        <v/>
      </c>
    </row>
    <row r="4876">
      <c r="M4876" s="2">
        <f>IF(C4876="","",IFERROR(INDEX($S$5:$S$304,MATCH(C4876,$R$5:$R$304,0))&amp;"","?"))</f>
        <v/>
      </c>
      <c r="N4876" s="2">
        <f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>
        <f>IF(OR(F4876="",G4876=""),"",IF(G4876&lt;='RETRATO 2027'!$K$5,"CONCLUÍDA",IF(F4876&lt;='RETRATO 2027'!$K$5,"EM ANDAMENTO","A INICIAR")))</f>
        <v/>
      </c>
    </row>
    <row r="4877">
      <c r="M4877" s="2">
        <f>IF(C4877="","",IFERROR(INDEX($S$5:$S$304,MATCH(C4877,$R$5:$R$304,0))&amp;"","?"))</f>
        <v/>
      </c>
      <c r="N4877" s="2">
        <f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>
        <f>IF(OR(F4877="",G4877=""),"",IF(G4877&lt;='RETRATO 2027'!$K$5,"CONCLUÍDA",IF(F4877&lt;='RETRATO 2027'!$K$5,"EM ANDAMENTO","A INICIAR")))</f>
        <v/>
      </c>
    </row>
    <row r="4878">
      <c r="M4878" s="2">
        <f>IF(C4878="","",IFERROR(INDEX($S$5:$S$304,MATCH(C4878,$R$5:$R$304,0))&amp;"","?"))</f>
        <v/>
      </c>
      <c r="N4878" s="2">
        <f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>
        <f>IF(OR(F4878="",G4878=""),"",IF(G4878&lt;='RETRATO 2027'!$K$5,"CONCLUÍDA",IF(F4878&lt;='RETRATO 2027'!$K$5,"EM ANDAMENTO","A INICIAR")))</f>
        <v/>
      </c>
    </row>
    <row r="4879">
      <c r="M4879" s="2">
        <f>IF(C4879="","",IFERROR(INDEX($S$5:$S$304,MATCH(C4879,$R$5:$R$304,0))&amp;"","?"))</f>
        <v/>
      </c>
      <c r="N4879" s="2">
        <f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>
        <f>IF(OR(F4879="",G4879=""),"",IF(G4879&lt;='RETRATO 2027'!$K$5,"CONCLUÍDA",IF(F4879&lt;='RETRATO 2027'!$K$5,"EM ANDAMENTO","A INICIAR")))</f>
        <v/>
      </c>
    </row>
    <row r="4880">
      <c r="M4880" s="2">
        <f>IF(C4880="","",IFERROR(INDEX($S$5:$S$304,MATCH(C4880,$R$5:$R$304,0))&amp;"","?"))</f>
        <v/>
      </c>
      <c r="N4880" s="2">
        <f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>
        <f>IF(OR(F4880="",G4880=""),"",IF(G4880&lt;='RETRATO 2027'!$K$5,"CONCLUÍDA",IF(F4880&lt;='RETRATO 2027'!$K$5,"EM ANDAMENTO","A INICIAR")))</f>
        <v/>
      </c>
    </row>
    <row r="4881">
      <c r="M4881" s="2">
        <f>IF(C4881="","",IFERROR(INDEX($S$5:$S$304,MATCH(C4881,$R$5:$R$304,0))&amp;"","?"))</f>
        <v/>
      </c>
      <c r="N4881" s="2">
        <f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>
        <f>IF(OR(F4881="",G4881=""),"",IF(G4881&lt;='RETRATO 2027'!$K$5,"CONCLUÍDA",IF(F4881&lt;='RETRATO 2027'!$K$5,"EM ANDAMENTO","A INICIAR")))</f>
        <v/>
      </c>
    </row>
    <row r="4882">
      <c r="M4882" s="2">
        <f>IF(C4882="","",IFERROR(INDEX($S$5:$S$304,MATCH(C4882,$R$5:$R$304,0))&amp;"","?"))</f>
        <v/>
      </c>
      <c r="N4882" s="2">
        <f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>
        <f>IF(OR(F4882="",G4882=""),"",IF(G4882&lt;='RETRATO 2027'!$K$5,"CONCLUÍDA",IF(F4882&lt;='RETRATO 2027'!$K$5,"EM ANDAMENTO","A INICIAR")))</f>
        <v/>
      </c>
    </row>
    <row r="4883">
      <c r="M4883" s="2">
        <f>IF(C4883="","",IFERROR(INDEX($S$5:$S$304,MATCH(C4883,$R$5:$R$304,0))&amp;"","?"))</f>
        <v/>
      </c>
      <c r="N4883" s="2">
        <f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>
        <f>IF(OR(F4883="",G4883=""),"",IF(G4883&lt;='RETRATO 2027'!$K$5,"CONCLUÍDA",IF(F4883&lt;='RETRATO 2027'!$K$5,"EM ANDAMENTO","A INICIAR")))</f>
        <v/>
      </c>
    </row>
    <row r="4884">
      <c r="M4884" s="2">
        <f>IF(C4884="","",IFERROR(INDEX($S$5:$S$304,MATCH(C4884,$R$5:$R$304,0))&amp;"","?"))</f>
        <v/>
      </c>
      <c r="N4884" s="2">
        <f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>
        <f>IF(OR(F4884="",G4884=""),"",IF(G4884&lt;='RETRATO 2027'!$K$5,"CONCLUÍDA",IF(F4884&lt;='RETRATO 2027'!$K$5,"EM ANDAMENTO","A INICIAR")))</f>
        <v/>
      </c>
    </row>
    <row r="4885">
      <c r="M4885" s="2">
        <f>IF(C4885="","",IFERROR(INDEX($S$5:$S$304,MATCH(C4885,$R$5:$R$304,0))&amp;"","?"))</f>
        <v/>
      </c>
      <c r="N4885" s="2">
        <f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>
        <f>IF(OR(F4885="",G4885=""),"",IF(G4885&lt;='RETRATO 2027'!$K$5,"CONCLUÍDA",IF(F4885&lt;='RETRATO 2027'!$K$5,"EM ANDAMENTO","A INICIAR")))</f>
        <v/>
      </c>
    </row>
    <row r="4886">
      <c r="M4886" s="2">
        <f>IF(C4886="","",IFERROR(INDEX($S$5:$S$304,MATCH(C4886,$R$5:$R$304,0))&amp;"","?"))</f>
        <v/>
      </c>
      <c r="N4886" s="2">
        <f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>
        <f>IF(OR(F4886="",G4886=""),"",IF(G4886&lt;='RETRATO 2027'!$K$5,"CONCLUÍDA",IF(F4886&lt;='RETRATO 2027'!$K$5,"EM ANDAMENTO","A INICIAR")))</f>
        <v/>
      </c>
    </row>
    <row r="4887">
      <c r="M4887" s="2">
        <f>IF(C4887="","",IFERROR(INDEX($S$5:$S$304,MATCH(C4887,$R$5:$R$304,0))&amp;"","?"))</f>
        <v/>
      </c>
      <c r="N4887" s="2">
        <f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>
        <f>IF(OR(F4887="",G4887=""),"",IF(G4887&lt;='RETRATO 2027'!$K$5,"CONCLUÍDA",IF(F4887&lt;='RETRATO 2027'!$K$5,"EM ANDAMENTO","A INICIAR")))</f>
        <v/>
      </c>
    </row>
    <row r="4888">
      <c r="M4888" s="2">
        <f>IF(C4888="","",IFERROR(INDEX($S$5:$S$304,MATCH(C4888,$R$5:$R$304,0))&amp;"","?"))</f>
        <v/>
      </c>
      <c r="N4888" s="2">
        <f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>
        <f>IF(OR(F4888="",G4888=""),"",IF(G4888&lt;='RETRATO 2027'!$K$5,"CONCLUÍDA",IF(F4888&lt;='RETRATO 2027'!$K$5,"EM ANDAMENTO","A INICIAR")))</f>
        <v/>
      </c>
    </row>
    <row r="4889">
      <c r="M4889" s="2">
        <f>IF(C4889="","",IFERROR(INDEX($S$5:$S$304,MATCH(C4889,$R$5:$R$304,0))&amp;"","?"))</f>
        <v/>
      </c>
      <c r="N4889" s="2">
        <f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>
        <f>IF(OR(F4889="",G4889=""),"",IF(G4889&lt;='RETRATO 2027'!$K$5,"CONCLUÍDA",IF(F4889&lt;='RETRATO 2027'!$K$5,"EM ANDAMENTO","A INICIAR")))</f>
        <v/>
      </c>
    </row>
    <row r="4890">
      <c r="M4890" s="2">
        <f>IF(C4890="","",IFERROR(INDEX($S$5:$S$304,MATCH(C4890,$R$5:$R$304,0))&amp;"","?"))</f>
        <v/>
      </c>
      <c r="N4890" s="2">
        <f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>
        <f>IF(OR(F4890="",G4890=""),"",IF(G4890&lt;='RETRATO 2027'!$K$5,"CONCLUÍDA",IF(F4890&lt;='RETRATO 2027'!$K$5,"EM ANDAMENTO","A INICIAR")))</f>
        <v/>
      </c>
    </row>
    <row r="4891">
      <c r="M4891" s="2">
        <f>IF(C4891="","",IFERROR(INDEX($S$5:$S$304,MATCH(C4891,$R$5:$R$304,0))&amp;"","?"))</f>
        <v/>
      </c>
      <c r="N4891" s="2">
        <f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>
        <f>IF(OR(F4891="",G4891=""),"",IF(G4891&lt;='RETRATO 2027'!$K$5,"CONCLUÍDA",IF(F4891&lt;='RETRATO 2027'!$K$5,"EM ANDAMENTO","A INICIAR")))</f>
        <v/>
      </c>
    </row>
    <row r="4892">
      <c r="M4892" s="2">
        <f>IF(C4892="","",IFERROR(INDEX($S$5:$S$304,MATCH(C4892,$R$5:$R$304,0))&amp;"","?"))</f>
        <v/>
      </c>
      <c r="N4892" s="2">
        <f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>
        <f>IF(OR(F4892="",G4892=""),"",IF(G4892&lt;='RETRATO 2027'!$K$5,"CONCLUÍDA",IF(F4892&lt;='RETRATO 2027'!$K$5,"EM ANDAMENTO","A INICIAR")))</f>
        <v/>
      </c>
    </row>
    <row r="4893">
      <c r="M4893" s="2">
        <f>IF(C4893="","",IFERROR(INDEX($S$5:$S$304,MATCH(C4893,$R$5:$R$304,0))&amp;"","?"))</f>
        <v/>
      </c>
      <c r="N4893" s="2">
        <f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>
        <f>IF(OR(F4893="",G4893=""),"",IF(G4893&lt;='RETRATO 2027'!$K$5,"CONCLUÍDA",IF(F4893&lt;='RETRATO 2027'!$K$5,"EM ANDAMENTO","A INICIAR")))</f>
        <v/>
      </c>
    </row>
    <row r="4894">
      <c r="M4894" s="2">
        <f>IF(C4894="","",IFERROR(INDEX($S$5:$S$304,MATCH(C4894,$R$5:$R$304,0))&amp;"","?"))</f>
        <v/>
      </c>
      <c r="N4894" s="2">
        <f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>
        <f>IF(OR(F4894="",G4894=""),"",IF(G4894&lt;='RETRATO 2027'!$K$5,"CONCLUÍDA",IF(F4894&lt;='RETRATO 2027'!$K$5,"EM ANDAMENTO","A INICIAR")))</f>
        <v/>
      </c>
    </row>
    <row r="4895">
      <c r="M4895" s="2">
        <f>IF(C4895="","",IFERROR(INDEX($S$5:$S$304,MATCH(C4895,$R$5:$R$304,0))&amp;"","?"))</f>
        <v/>
      </c>
      <c r="N4895" s="2">
        <f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>
        <f>IF(OR(F4895="",G4895=""),"",IF(G4895&lt;='RETRATO 2027'!$K$5,"CONCLUÍDA",IF(F4895&lt;='RETRATO 2027'!$K$5,"EM ANDAMENTO","A INICIAR")))</f>
        <v/>
      </c>
    </row>
    <row r="4896">
      <c r="M4896" s="2">
        <f>IF(C4896="","",IFERROR(INDEX($S$5:$S$304,MATCH(C4896,$R$5:$R$304,0))&amp;"","?"))</f>
        <v/>
      </c>
      <c r="N4896" s="2">
        <f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>
        <f>IF(OR(F4896="",G4896=""),"",IF(G4896&lt;='RETRATO 2027'!$K$5,"CONCLUÍDA",IF(F4896&lt;='RETRATO 2027'!$K$5,"EM ANDAMENTO","A INICIAR")))</f>
        <v/>
      </c>
    </row>
    <row r="4897">
      <c r="M4897" s="2">
        <f>IF(C4897="","",IFERROR(INDEX($S$5:$S$304,MATCH(C4897,$R$5:$R$304,0))&amp;"","?"))</f>
        <v/>
      </c>
      <c r="N4897" s="2">
        <f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>
        <f>IF(OR(F4897="",G4897=""),"",IF(G4897&lt;='RETRATO 2027'!$K$5,"CONCLUÍDA",IF(F4897&lt;='RETRATO 2027'!$K$5,"EM ANDAMENTO","A INICIAR")))</f>
        <v/>
      </c>
    </row>
    <row r="4898">
      <c r="M4898" s="2">
        <f>IF(C4898="","",IFERROR(INDEX($S$5:$S$304,MATCH(C4898,$R$5:$R$304,0))&amp;"","?"))</f>
        <v/>
      </c>
      <c r="N4898" s="2">
        <f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>
        <f>IF(OR(F4898="",G4898=""),"",IF(G4898&lt;='RETRATO 2027'!$K$5,"CONCLUÍDA",IF(F4898&lt;='RETRATO 2027'!$K$5,"EM ANDAMENTO","A INICIAR")))</f>
        <v/>
      </c>
    </row>
    <row r="4899">
      <c r="M4899" s="2">
        <f>IF(C4899="","",IFERROR(INDEX($S$5:$S$304,MATCH(C4899,$R$5:$R$304,0))&amp;"","?"))</f>
        <v/>
      </c>
      <c r="N4899" s="2">
        <f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>
        <f>IF(OR(F4899="",G4899=""),"",IF(G4899&lt;='RETRATO 2027'!$K$5,"CONCLUÍDA",IF(F4899&lt;='RETRATO 2027'!$K$5,"EM ANDAMENTO","A INICIAR")))</f>
        <v/>
      </c>
    </row>
    <row r="4900">
      <c r="M4900" s="2">
        <f>IF(C4900="","",IFERROR(INDEX($S$5:$S$304,MATCH(C4900,$R$5:$R$304,0))&amp;"","?"))</f>
        <v/>
      </c>
      <c r="N4900" s="2">
        <f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>
        <f>IF(OR(F4900="",G4900=""),"",IF(G4900&lt;='RETRATO 2027'!$K$5,"CONCLUÍDA",IF(F4900&lt;='RETRATO 2027'!$K$5,"EM ANDAMENTO","A INICIAR")))</f>
        <v/>
      </c>
    </row>
    <row r="4901">
      <c r="M4901" s="2">
        <f>IF(C4901="","",IFERROR(INDEX($S$5:$S$304,MATCH(C4901,$R$5:$R$304,0))&amp;"","?"))</f>
        <v/>
      </c>
      <c r="N4901" s="2">
        <f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>
        <f>IF(OR(F4901="",G4901=""),"",IF(G4901&lt;='RETRATO 2027'!$K$5,"CONCLUÍDA",IF(F4901&lt;='RETRATO 2027'!$K$5,"EM ANDAMENTO","A INICIAR")))</f>
        <v/>
      </c>
    </row>
    <row r="4902">
      <c r="M4902" s="2">
        <f>IF(C4902="","",IFERROR(INDEX($S$5:$S$304,MATCH(C4902,$R$5:$R$304,0))&amp;"","?"))</f>
        <v/>
      </c>
      <c r="N4902" s="2">
        <f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>
        <f>IF(OR(F4902="",G4902=""),"",IF(G4902&lt;='RETRATO 2027'!$K$5,"CONCLUÍDA",IF(F4902&lt;='RETRATO 2027'!$K$5,"EM ANDAMENTO","A INICIAR")))</f>
        <v/>
      </c>
    </row>
    <row r="4903">
      <c r="M4903" s="2">
        <f>IF(C4903="","",IFERROR(INDEX($S$5:$S$304,MATCH(C4903,$R$5:$R$304,0))&amp;"","?"))</f>
        <v/>
      </c>
      <c r="N4903" s="2">
        <f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>
        <f>IF(OR(F4903="",G4903=""),"",IF(G4903&lt;='RETRATO 2027'!$K$5,"CONCLUÍDA",IF(F4903&lt;='RETRATO 2027'!$K$5,"EM ANDAMENTO","A INICIAR")))</f>
        <v/>
      </c>
    </row>
    <row r="4904">
      <c r="M4904" s="2">
        <f>IF(C4904="","",IFERROR(INDEX($S$5:$S$304,MATCH(C4904,$R$5:$R$304,0))&amp;"","?"))</f>
        <v/>
      </c>
      <c r="N4904" s="2">
        <f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>
        <f>IF(OR(F4904="",G4904=""),"",IF(G4904&lt;='RETRATO 2027'!$K$5,"CONCLUÍDA",IF(F4904&lt;='RETRATO 2027'!$K$5,"EM ANDAMENTO","A INICIAR")))</f>
        <v/>
      </c>
    </row>
    <row r="4905">
      <c r="M4905" s="2">
        <f>IF(C4905="","",IFERROR(INDEX($S$5:$S$304,MATCH(C4905,$R$5:$R$304,0))&amp;"","?"))</f>
        <v/>
      </c>
      <c r="N4905" s="2">
        <f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>
        <f>IF(OR(F4905="",G4905=""),"",IF(G4905&lt;='RETRATO 2027'!$K$5,"CONCLUÍDA",IF(F4905&lt;='RETRATO 2027'!$K$5,"EM ANDAMENTO","A INICIAR")))</f>
        <v/>
      </c>
    </row>
    <row r="4906">
      <c r="M4906" s="2">
        <f>IF(C4906="","",IFERROR(INDEX($S$5:$S$304,MATCH(C4906,$R$5:$R$304,0))&amp;"","?"))</f>
        <v/>
      </c>
      <c r="N4906" s="2">
        <f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>
        <f>IF(OR(F4906="",G4906=""),"",IF(G4906&lt;='RETRATO 2027'!$K$5,"CONCLUÍDA",IF(F4906&lt;='RETRATO 2027'!$K$5,"EM ANDAMENTO","A INICIAR")))</f>
        <v/>
      </c>
    </row>
    <row r="4907">
      <c r="M4907" s="2">
        <f>IF(C4907="","",IFERROR(INDEX($S$5:$S$304,MATCH(C4907,$R$5:$R$304,0))&amp;"","?"))</f>
        <v/>
      </c>
      <c r="N4907" s="2">
        <f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>
        <f>IF(OR(F4907="",G4907=""),"",IF(G4907&lt;='RETRATO 2027'!$K$5,"CONCLUÍDA",IF(F4907&lt;='RETRATO 2027'!$K$5,"EM ANDAMENTO","A INICIAR")))</f>
        <v/>
      </c>
    </row>
    <row r="4908">
      <c r="M4908" s="2">
        <f>IF(C4908="","",IFERROR(INDEX($S$5:$S$304,MATCH(C4908,$R$5:$R$304,0))&amp;"","?"))</f>
        <v/>
      </c>
      <c r="N4908" s="2">
        <f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>
        <f>IF(OR(F4908="",G4908=""),"",IF(G4908&lt;='RETRATO 2027'!$K$5,"CONCLUÍDA",IF(F4908&lt;='RETRATO 2027'!$K$5,"EM ANDAMENTO","A INICIAR")))</f>
        <v/>
      </c>
    </row>
    <row r="4909">
      <c r="M4909" s="2">
        <f>IF(C4909="","",IFERROR(INDEX($S$5:$S$304,MATCH(C4909,$R$5:$R$304,0))&amp;"","?"))</f>
        <v/>
      </c>
      <c r="N4909" s="2">
        <f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>
        <f>IF(OR(F4909="",G4909=""),"",IF(G4909&lt;='RETRATO 2027'!$K$5,"CONCLUÍDA",IF(F4909&lt;='RETRATO 2027'!$K$5,"EM ANDAMENTO","A INICIAR")))</f>
        <v/>
      </c>
    </row>
    <row r="4910">
      <c r="M4910" s="2">
        <f>IF(C4910="","",IFERROR(INDEX($S$5:$S$304,MATCH(C4910,$R$5:$R$304,0))&amp;"","?"))</f>
        <v/>
      </c>
      <c r="N4910" s="2">
        <f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>
        <f>IF(OR(F4910="",G4910=""),"",IF(G4910&lt;='RETRATO 2027'!$K$5,"CONCLUÍDA",IF(F4910&lt;='RETRATO 2027'!$K$5,"EM ANDAMENTO","A INICIAR")))</f>
        <v/>
      </c>
    </row>
    <row r="4911">
      <c r="M4911" s="2">
        <f>IF(C4911="","",IFERROR(INDEX($S$5:$S$304,MATCH(C4911,$R$5:$R$304,0))&amp;"","?"))</f>
        <v/>
      </c>
      <c r="N4911" s="2">
        <f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>
        <f>IF(OR(F4911="",G4911=""),"",IF(G4911&lt;='RETRATO 2027'!$K$5,"CONCLUÍDA",IF(F4911&lt;='RETRATO 2027'!$K$5,"EM ANDAMENTO","A INICIAR")))</f>
        <v/>
      </c>
    </row>
    <row r="4912">
      <c r="M4912" s="2">
        <f>IF(C4912="","",IFERROR(INDEX($S$5:$S$304,MATCH(C4912,$R$5:$R$304,0))&amp;"","?"))</f>
        <v/>
      </c>
      <c r="N4912" s="2">
        <f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>
        <f>IF(OR(F4912="",G4912=""),"",IF(G4912&lt;='RETRATO 2027'!$K$5,"CONCLUÍDA",IF(F4912&lt;='RETRATO 2027'!$K$5,"EM ANDAMENTO","A INICIAR")))</f>
        <v/>
      </c>
    </row>
    <row r="4913">
      <c r="M4913" s="2">
        <f>IF(C4913="","",IFERROR(INDEX($S$5:$S$304,MATCH(C4913,$R$5:$R$304,0))&amp;"","?"))</f>
        <v/>
      </c>
      <c r="N4913" s="2">
        <f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>
        <f>IF(OR(F4913="",G4913=""),"",IF(G4913&lt;='RETRATO 2027'!$K$5,"CONCLUÍDA",IF(F4913&lt;='RETRATO 2027'!$K$5,"EM ANDAMENTO","A INICIAR")))</f>
        <v/>
      </c>
    </row>
    <row r="4914">
      <c r="M4914" s="2">
        <f>IF(C4914="","",IFERROR(INDEX($S$5:$S$304,MATCH(C4914,$R$5:$R$304,0))&amp;"","?"))</f>
        <v/>
      </c>
      <c r="N4914" s="2">
        <f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>
        <f>IF(OR(F4914="",G4914=""),"",IF(G4914&lt;='RETRATO 2027'!$K$5,"CONCLUÍDA",IF(F4914&lt;='RETRATO 2027'!$K$5,"EM ANDAMENTO","A INICIAR")))</f>
        <v/>
      </c>
    </row>
    <row r="4915">
      <c r="M4915" s="2">
        <f>IF(C4915="","",IFERROR(INDEX($S$5:$S$304,MATCH(C4915,$R$5:$R$304,0))&amp;"","?"))</f>
        <v/>
      </c>
      <c r="N4915" s="2">
        <f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>
        <f>IF(OR(F4915="",G4915=""),"",IF(G4915&lt;='RETRATO 2027'!$K$5,"CONCLUÍDA",IF(F4915&lt;='RETRATO 2027'!$K$5,"EM ANDAMENTO","A INICIAR")))</f>
        <v/>
      </c>
    </row>
    <row r="4916">
      <c r="M4916" s="2">
        <f>IF(C4916="","",IFERROR(INDEX($S$5:$S$304,MATCH(C4916,$R$5:$R$304,0))&amp;"","?"))</f>
        <v/>
      </c>
      <c r="N4916" s="2">
        <f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>
        <f>IF(OR(F4916="",G4916=""),"",IF(G4916&lt;='RETRATO 2027'!$K$5,"CONCLUÍDA",IF(F4916&lt;='RETRATO 2027'!$K$5,"EM ANDAMENTO","A INICIAR")))</f>
        <v/>
      </c>
    </row>
    <row r="4917">
      <c r="M4917" s="2">
        <f>IF(C4917="","",IFERROR(INDEX($S$5:$S$304,MATCH(C4917,$R$5:$R$304,0))&amp;"","?"))</f>
        <v/>
      </c>
      <c r="N4917" s="2">
        <f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>
        <f>IF(OR(F4917="",G4917=""),"",IF(G4917&lt;='RETRATO 2027'!$K$5,"CONCLUÍDA",IF(F4917&lt;='RETRATO 2027'!$K$5,"EM ANDAMENTO","A INICIAR")))</f>
        <v/>
      </c>
    </row>
    <row r="4918">
      <c r="M4918" s="2">
        <f>IF(C4918="","",IFERROR(INDEX($S$5:$S$304,MATCH(C4918,$R$5:$R$304,0))&amp;"","?"))</f>
        <v/>
      </c>
      <c r="N4918" s="2">
        <f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>
        <f>IF(OR(F4918="",G4918=""),"",IF(G4918&lt;='RETRATO 2027'!$K$5,"CONCLUÍDA",IF(F4918&lt;='RETRATO 2027'!$K$5,"EM ANDAMENTO","A INICIAR")))</f>
        <v/>
      </c>
    </row>
    <row r="4919">
      <c r="M4919" s="2">
        <f>IF(C4919="","",IFERROR(INDEX($S$5:$S$304,MATCH(C4919,$R$5:$R$304,0))&amp;"","?"))</f>
        <v/>
      </c>
      <c r="N4919" s="2">
        <f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>
        <f>IF(OR(F4919="",G4919=""),"",IF(G4919&lt;='RETRATO 2027'!$K$5,"CONCLUÍDA",IF(F4919&lt;='RETRATO 2027'!$K$5,"EM ANDAMENTO","A INICIAR")))</f>
        <v/>
      </c>
    </row>
    <row r="4920">
      <c r="M4920" s="2">
        <f>IF(C4920="","",IFERROR(INDEX($S$5:$S$304,MATCH(C4920,$R$5:$R$304,0))&amp;"","?"))</f>
        <v/>
      </c>
      <c r="N4920" s="2">
        <f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>
        <f>IF(OR(F4920="",G4920=""),"",IF(G4920&lt;='RETRATO 2027'!$K$5,"CONCLUÍDA",IF(F4920&lt;='RETRATO 2027'!$K$5,"EM ANDAMENTO","A INICIAR")))</f>
        <v/>
      </c>
    </row>
    <row r="4921">
      <c r="M4921" s="2">
        <f>IF(C4921="","",IFERROR(INDEX($S$5:$S$304,MATCH(C4921,$R$5:$R$304,0))&amp;"","?"))</f>
        <v/>
      </c>
      <c r="N4921" s="2">
        <f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>
        <f>IF(OR(F4921="",G4921=""),"",IF(G4921&lt;='RETRATO 2027'!$K$5,"CONCLUÍDA",IF(F4921&lt;='RETRATO 2027'!$K$5,"EM ANDAMENTO","A INICIAR")))</f>
        <v/>
      </c>
    </row>
    <row r="4922">
      <c r="M4922" s="2">
        <f>IF(C4922="","",IFERROR(INDEX($S$5:$S$304,MATCH(C4922,$R$5:$R$304,0))&amp;"","?"))</f>
        <v/>
      </c>
      <c r="N4922" s="2">
        <f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>
        <f>IF(OR(F4922="",G4922=""),"",IF(G4922&lt;='RETRATO 2027'!$K$5,"CONCLUÍDA",IF(F4922&lt;='RETRATO 2027'!$K$5,"EM ANDAMENTO","A INICIAR")))</f>
        <v/>
      </c>
    </row>
    <row r="4923">
      <c r="M4923" s="2">
        <f>IF(C4923="","",IFERROR(INDEX($S$5:$S$304,MATCH(C4923,$R$5:$R$304,0))&amp;"","?"))</f>
        <v/>
      </c>
      <c r="N4923" s="2">
        <f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>
        <f>IF(OR(F4923="",G4923=""),"",IF(G4923&lt;='RETRATO 2027'!$K$5,"CONCLUÍDA",IF(F4923&lt;='RETRATO 2027'!$K$5,"EM ANDAMENTO","A INICIAR")))</f>
        <v/>
      </c>
    </row>
    <row r="4924">
      <c r="M4924" s="2">
        <f>IF(C4924="","",IFERROR(INDEX($S$5:$S$304,MATCH(C4924,$R$5:$R$304,0))&amp;"","?"))</f>
        <v/>
      </c>
      <c r="N4924" s="2">
        <f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>
        <f>IF(OR(F4924="",G4924=""),"",IF(G4924&lt;='RETRATO 2027'!$K$5,"CONCLUÍDA",IF(F4924&lt;='RETRATO 2027'!$K$5,"EM ANDAMENTO","A INICIAR")))</f>
        <v/>
      </c>
    </row>
    <row r="4925">
      <c r="M4925" s="2">
        <f>IF(C4925="","",IFERROR(INDEX($S$5:$S$304,MATCH(C4925,$R$5:$R$304,0))&amp;"","?"))</f>
        <v/>
      </c>
      <c r="N4925" s="2">
        <f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>
        <f>IF(OR(F4925="",G4925=""),"",IF(G4925&lt;='RETRATO 2027'!$K$5,"CONCLUÍDA",IF(F4925&lt;='RETRATO 2027'!$K$5,"EM ANDAMENTO","A INICIAR")))</f>
        <v/>
      </c>
    </row>
    <row r="4926">
      <c r="M4926" s="2">
        <f>IF(C4926="","",IFERROR(INDEX($S$5:$S$304,MATCH(C4926,$R$5:$R$304,0))&amp;"","?"))</f>
        <v/>
      </c>
      <c r="N4926" s="2">
        <f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>
        <f>IF(OR(F4926="",G4926=""),"",IF(G4926&lt;='RETRATO 2027'!$K$5,"CONCLUÍDA",IF(F4926&lt;='RETRATO 2027'!$K$5,"EM ANDAMENTO","A INICIAR")))</f>
        <v/>
      </c>
    </row>
    <row r="4927">
      <c r="M4927" s="2">
        <f>IF(C4927="","",IFERROR(INDEX($S$5:$S$304,MATCH(C4927,$R$5:$R$304,0))&amp;"","?"))</f>
        <v/>
      </c>
      <c r="N4927" s="2">
        <f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>
        <f>IF(OR(F4927="",G4927=""),"",IF(G4927&lt;='RETRATO 2027'!$K$5,"CONCLUÍDA",IF(F4927&lt;='RETRATO 2027'!$K$5,"EM ANDAMENTO","A INICIAR")))</f>
        <v/>
      </c>
    </row>
    <row r="4928">
      <c r="M4928" s="2">
        <f>IF(C4928="","",IFERROR(INDEX($S$5:$S$304,MATCH(C4928,$R$5:$R$304,0))&amp;"","?"))</f>
        <v/>
      </c>
      <c r="N4928" s="2">
        <f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>
        <f>IF(OR(F4928="",G4928=""),"",IF(G4928&lt;='RETRATO 2027'!$K$5,"CONCLUÍDA",IF(F4928&lt;='RETRATO 2027'!$K$5,"EM ANDAMENTO","A INICIAR")))</f>
        <v/>
      </c>
    </row>
    <row r="4929">
      <c r="M4929" s="2">
        <f>IF(C4929="","",IFERROR(INDEX($S$5:$S$304,MATCH(C4929,$R$5:$R$304,0))&amp;"","?"))</f>
        <v/>
      </c>
      <c r="N4929" s="2">
        <f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>
        <f>IF(OR(F4929="",G4929=""),"",IF(G4929&lt;='RETRATO 2027'!$K$5,"CONCLUÍDA",IF(F4929&lt;='RETRATO 2027'!$K$5,"EM ANDAMENTO","A INICIAR")))</f>
        <v/>
      </c>
    </row>
    <row r="4930">
      <c r="M4930" s="2">
        <f>IF(C4930="","",IFERROR(INDEX($S$5:$S$304,MATCH(C4930,$R$5:$R$304,0))&amp;"","?"))</f>
        <v/>
      </c>
      <c r="N4930" s="2">
        <f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>
        <f>IF(OR(F4930="",G4930=""),"",IF(G4930&lt;='RETRATO 2027'!$K$5,"CONCLUÍDA",IF(F4930&lt;='RETRATO 2027'!$K$5,"EM ANDAMENTO","A INICIAR")))</f>
        <v/>
      </c>
    </row>
    <row r="4931">
      <c r="M4931" s="2">
        <f>IF(C4931="","",IFERROR(INDEX($S$5:$S$304,MATCH(C4931,$R$5:$R$304,0))&amp;"","?"))</f>
        <v/>
      </c>
      <c r="N4931" s="2">
        <f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>
        <f>IF(OR(F4931="",G4931=""),"",IF(G4931&lt;='RETRATO 2027'!$K$5,"CONCLUÍDA",IF(F4931&lt;='RETRATO 2027'!$K$5,"EM ANDAMENTO","A INICIAR")))</f>
        <v/>
      </c>
    </row>
    <row r="4932">
      <c r="M4932" s="2">
        <f>IF(C4932="","",IFERROR(INDEX($S$5:$S$304,MATCH(C4932,$R$5:$R$304,0))&amp;"","?"))</f>
        <v/>
      </c>
      <c r="N4932" s="2">
        <f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>
        <f>IF(OR(F4932="",G4932=""),"",IF(G4932&lt;='RETRATO 2027'!$K$5,"CONCLUÍDA",IF(F4932&lt;='RETRATO 2027'!$K$5,"EM ANDAMENTO","A INICIAR")))</f>
        <v/>
      </c>
    </row>
    <row r="4933">
      <c r="M4933" s="2">
        <f>IF(C4933="","",IFERROR(INDEX($S$5:$S$304,MATCH(C4933,$R$5:$R$304,0))&amp;"","?"))</f>
        <v/>
      </c>
      <c r="N4933" s="2">
        <f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>
        <f>IF(OR(F4933="",G4933=""),"",IF(G4933&lt;='RETRATO 2027'!$K$5,"CONCLUÍDA",IF(F4933&lt;='RETRATO 2027'!$K$5,"EM ANDAMENTO","A INICIAR")))</f>
        <v/>
      </c>
    </row>
    <row r="4934">
      <c r="M4934" s="2">
        <f>IF(C4934="","",IFERROR(INDEX($S$5:$S$304,MATCH(C4934,$R$5:$R$304,0))&amp;"","?"))</f>
        <v/>
      </c>
      <c r="N4934" s="2">
        <f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>
        <f>IF(OR(F4934="",G4934=""),"",IF(G4934&lt;='RETRATO 2027'!$K$5,"CONCLUÍDA",IF(F4934&lt;='RETRATO 2027'!$K$5,"EM ANDAMENTO","A INICIAR")))</f>
        <v/>
      </c>
    </row>
    <row r="4935">
      <c r="M4935" s="2">
        <f>IF(C4935="","",IFERROR(INDEX($S$5:$S$304,MATCH(C4935,$R$5:$R$304,0))&amp;"","?"))</f>
        <v/>
      </c>
      <c r="N4935" s="2">
        <f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>
        <f>IF(OR(F4935="",G4935=""),"",IF(G4935&lt;='RETRATO 2027'!$K$5,"CONCLUÍDA",IF(F4935&lt;='RETRATO 2027'!$K$5,"EM ANDAMENTO","A INICIAR")))</f>
        <v/>
      </c>
    </row>
    <row r="4936">
      <c r="M4936" s="2">
        <f>IF(C4936="","",IFERROR(INDEX($S$5:$S$304,MATCH(C4936,$R$5:$R$304,0))&amp;"","?"))</f>
        <v/>
      </c>
      <c r="N4936" s="2">
        <f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>
        <f>IF(OR(F4936="",G4936=""),"",IF(G4936&lt;='RETRATO 2027'!$K$5,"CONCLUÍDA",IF(F4936&lt;='RETRATO 2027'!$K$5,"EM ANDAMENTO","A INICIAR")))</f>
        <v/>
      </c>
    </row>
    <row r="4937">
      <c r="M4937" s="2">
        <f>IF(C4937="","",IFERROR(INDEX($S$5:$S$304,MATCH(C4937,$R$5:$R$304,0))&amp;"","?"))</f>
        <v/>
      </c>
      <c r="N4937" s="2">
        <f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>
        <f>IF(OR(F4937="",G4937=""),"",IF(G4937&lt;='RETRATO 2027'!$K$5,"CONCLUÍDA",IF(F4937&lt;='RETRATO 2027'!$K$5,"EM ANDAMENTO","A INICIAR")))</f>
        <v/>
      </c>
    </row>
    <row r="4938">
      <c r="M4938" s="2">
        <f>IF(C4938="","",IFERROR(INDEX($S$5:$S$304,MATCH(C4938,$R$5:$R$304,0))&amp;"","?"))</f>
        <v/>
      </c>
      <c r="N4938" s="2">
        <f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>
        <f>IF(OR(F4938="",G4938=""),"",IF(G4938&lt;='RETRATO 2027'!$K$5,"CONCLUÍDA",IF(F4938&lt;='RETRATO 2027'!$K$5,"EM ANDAMENTO","A INICIAR")))</f>
        <v/>
      </c>
    </row>
    <row r="4939">
      <c r="M4939" s="2">
        <f>IF(C4939="","",IFERROR(INDEX($S$5:$S$304,MATCH(C4939,$R$5:$R$304,0))&amp;"","?"))</f>
        <v/>
      </c>
      <c r="N4939" s="2">
        <f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>
        <f>IF(OR(F4939="",G4939=""),"",IF(G4939&lt;='RETRATO 2027'!$K$5,"CONCLUÍDA",IF(F4939&lt;='RETRATO 2027'!$K$5,"EM ANDAMENTO","A INICIAR")))</f>
        <v/>
      </c>
    </row>
    <row r="4940">
      <c r="M4940" s="2">
        <f>IF(C4940="","",IFERROR(INDEX($S$5:$S$304,MATCH(C4940,$R$5:$R$304,0))&amp;"","?"))</f>
        <v/>
      </c>
      <c r="N4940" s="2">
        <f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>
        <f>IF(OR(F4940="",G4940=""),"",IF(G4940&lt;='RETRATO 2027'!$K$5,"CONCLUÍDA",IF(F4940&lt;='RETRATO 2027'!$K$5,"EM ANDAMENTO","A INICIAR")))</f>
        <v/>
      </c>
    </row>
    <row r="4941">
      <c r="M4941" s="2">
        <f>IF(C4941="","",IFERROR(INDEX($S$5:$S$304,MATCH(C4941,$R$5:$R$304,0))&amp;"","?"))</f>
        <v/>
      </c>
      <c r="N4941" s="2">
        <f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>
        <f>IF(OR(F4941="",G4941=""),"",IF(G4941&lt;='RETRATO 2027'!$K$5,"CONCLUÍDA",IF(F4941&lt;='RETRATO 2027'!$K$5,"EM ANDAMENTO","A INICIAR")))</f>
        <v/>
      </c>
    </row>
    <row r="4942">
      <c r="M4942" s="2">
        <f>IF(C4942="","",IFERROR(INDEX($S$5:$S$304,MATCH(C4942,$R$5:$R$304,0))&amp;"","?"))</f>
        <v/>
      </c>
      <c r="N4942" s="2">
        <f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>
        <f>IF(OR(F4942="",G4942=""),"",IF(G4942&lt;='RETRATO 2027'!$K$5,"CONCLUÍDA",IF(F4942&lt;='RETRATO 2027'!$K$5,"EM ANDAMENTO","A INICIAR")))</f>
        <v/>
      </c>
    </row>
    <row r="4943">
      <c r="M4943" s="2">
        <f>IF(C4943="","",IFERROR(INDEX($S$5:$S$304,MATCH(C4943,$R$5:$R$304,0))&amp;"","?"))</f>
        <v/>
      </c>
      <c r="N4943" s="2">
        <f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>
        <f>IF(OR(F4943="",G4943=""),"",IF(G4943&lt;='RETRATO 2027'!$K$5,"CONCLUÍDA",IF(F4943&lt;='RETRATO 2027'!$K$5,"EM ANDAMENTO","A INICIAR")))</f>
        <v/>
      </c>
    </row>
    <row r="4944">
      <c r="M4944" s="2">
        <f>IF(C4944="","",IFERROR(INDEX($S$5:$S$304,MATCH(C4944,$R$5:$R$304,0))&amp;"","?"))</f>
        <v/>
      </c>
      <c r="N4944" s="2">
        <f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>
        <f>IF(OR(F4944="",G4944=""),"",IF(G4944&lt;='RETRATO 2027'!$K$5,"CONCLUÍDA",IF(F4944&lt;='RETRATO 2027'!$K$5,"EM ANDAMENTO","A INICIAR")))</f>
        <v/>
      </c>
    </row>
    <row r="4945">
      <c r="M4945" s="2">
        <f>IF(C4945="","",IFERROR(INDEX($S$5:$S$304,MATCH(C4945,$R$5:$R$304,0))&amp;"","?"))</f>
        <v/>
      </c>
      <c r="N4945" s="2">
        <f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>
        <f>IF(OR(F4945="",G4945=""),"",IF(G4945&lt;='RETRATO 2027'!$K$5,"CONCLUÍDA",IF(F4945&lt;='RETRATO 2027'!$K$5,"EM ANDAMENTO","A INICIAR")))</f>
        <v/>
      </c>
    </row>
    <row r="4946">
      <c r="M4946" s="2">
        <f>IF(C4946="","",IFERROR(INDEX($S$5:$S$304,MATCH(C4946,$R$5:$R$304,0))&amp;"","?"))</f>
        <v/>
      </c>
      <c r="N4946" s="2">
        <f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>
        <f>IF(OR(F4946="",G4946=""),"",IF(G4946&lt;='RETRATO 2027'!$K$5,"CONCLUÍDA",IF(F4946&lt;='RETRATO 2027'!$K$5,"EM ANDAMENTO","A INICIAR")))</f>
        <v/>
      </c>
    </row>
    <row r="4947">
      <c r="M4947" s="2">
        <f>IF(C4947="","",IFERROR(INDEX($S$5:$S$304,MATCH(C4947,$R$5:$R$304,0))&amp;"","?"))</f>
        <v/>
      </c>
      <c r="N4947" s="2">
        <f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>
        <f>IF(OR(F4947="",G4947=""),"",IF(G4947&lt;='RETRATO 2027'!$K$5,"CONCLUÍDA",IF(F4947&lt;='RETRATO 2027'!$K$5,"EM ANDAMENTO","A INICIAR")))</f>
        <v/>
      </c>
    </row>
    <row r="4948">
      <c r="M4948" s="2">
        <f>IF(C4948="","",IFERROR(INDEX($S$5:$S$304,MATCH(C4948,$R$5:$R$304,0))&amp;"","?"))</f>
        <v/>
      </c>
      <c r="N4948" s="2">
        <f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>
        <f>IF(OR(F4948="",G4948=""),"",IF(G4948&lt;='RETRATO 2027'!$K$5,"CONCLUÍDA",IF(F4948&lt;='RETRATO 2027'!$K$5,"EM ANDAMENTO","A INICIAR")))</f>
        <v/>
      </c>
    </row>
    <row r="4949">
      <c r="M4949" s="2">
        <f>IF(C4949="","",IFERROR(INDEX($S$5:$S$304,MATCH(C4949,$R$5:$R$304,0))&amp;"","?"))</f>
        <v/>
      </c>
      <c r="N4949" s="2">
        <f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>
        <f>IF(OR(F4949="",G4949=""),"",IF(G4949&lt;='RETRATO 2027'!$K$5,"CONCLUÍDA",IF(F4949&lt;='RETRATO 2027'!$K$5,"EM ANDAMENTO","A INICIAR")))</f>
        <v/>
      </c>
    </row>
    <row r="4950">
      <c r="M4950" s="2">
        <f>IF(C4950="","",IFERROR(INDEX($S$5:$S$304,MATCH(C4950,$R$5:$R$304,0))&amp;"","?"))</f>
        <v/>
      </c>
      <c r="N4950" s="2">
        <f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>
        <f>IF(OR(F4950="",G4950=""),"",IF(G4950&lt;='RETRATO 2027'!$K$5,"CONCLUÍDA",IF(F4950&lt;='RETRATO 2027'!$K$5,"EM ANDAMENTO","A INICIAR")))</f>
        <v/>
      </c>
    </row>
    <row r="4951">
      <c r="M4951" s="2">
        <f>IF(C4951="","",IFERROR(INDEX($S$5:$S$304,MATCH(C4951,$R$5:$R$304,0))&amp;"","?"))</f>
        <v/>
      </c>
      <c r="N4951" s="2">
        <f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>
        <f>IF(OR(F4951="",G4951=""),"",IF(G4951&lt;='RETRATO 2027'!$K$5,"CONCLUÍDA",IF(F4951&lt;='RETRATO 2027'!$K$5,"EM ANDAMENTO","A INICIAR")))</f>
        <v/>
      </c>
    </row>
    <row r="4952">
      <c r="M4952" s="2">
        <f>IF(C4952="","",IFERROR(INDEX($S$5:$S$304,MATCH(C4952,$R$5:$R$304,0))&amp;"","?"))</f>
        <v/>
      </c>
      <c r="N4952" s="2">
        <f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>
        <f>IF(OR(F4952="",G4952=""),"",IF(G4952&lt;='RETRATO 2027'!$K$5,"CONCLUÍDA",IF(F4952&lt;='RETRATO 2027'!$K$5,"EM ANDAMENTO","A INICIAR")))</f>
        <v/>
      </c>
    </row>
    <row r="4953">
      <c r="M4953" s="2">
        <f>IF(C4953="","",IFERROR(INDEX($S$5:$S$304,MATCH(C4953,$R$5:$R$304,0))&amp;"","?"))</f>
        <v/>
      </c>
      <c r="N4953" s="2">
        <f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>
        <f>IF(OR(F4953="",G4953=""),"",IF(G4953&lt;='RETRATO 2027'!$K$5,"CONCLUÍDA",IF(F4953&lt;='RETRATO 2027'!$K$5,"EM ANDAMENTO","A INICIAR")))</f>
        <v/>
      </c>
    </row>
    <row r="4954">
      <c r="M4954" s="2">
        <f>IF(C4954="","",IFERROR(INDEX($S$5:$S$304,MATCH(C4954,$R$5:$R$304,0))&amp;"","?"))</f>
        <v/>
      </c>
      <c r="N4954" s="2">
        <f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>
        <f>IF(OR(F4954="",G4954=""),"",IF(G4954&lt;='RETRATO 2027'!$K$5,"CONCLUÍDA",IF(F4954&lt;='RETRATO 2027'!$K$5,"EM ANDAMENTO","A INICIAR")))</f>
        <v/>
      </c>
    </row>
    <row r="4955">
      <c r="M4955" s="2">
        <f>IF(C4955="","",IFERROR(INDEX($S$5:$S$304,MATCH(C4955,$R$5:$R$304,0))&amp;"","?"))</f>
        <v/>
      </c>
      <c r="N4955" s="2">
        <f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>
        <f>IF(OR(F4955="",G4955=""),"",IF(G4955&lt;='RETRATO 2027'!$K$5,"CONCLUÍDA",IF(F4955&lt;='RETRATO 2027'!$K$5,"EM ANDAMENTO","A INICIAR")))</f>
        <v/>
      </c>
    </row>
    <row r="4956">
      <c r="M4956" s="2">
        <f>IF(C4956="","",IFERROR(INDEX($S$5:$S$304,MATCH(C4956,$R$5:$R$304,0))&amp;"","?"))</f>
        <v/>
      </c>
      <c r="N4956" s="2">
        <f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>
        <f>IF(OR(F4956="",G4956=""),"",IF(G4956&lt;='RETRATO 2027'!$K$5,"CONCLUÍDA",IF(F4956&lt;='RETRATO 2027'!$K$5,"EM ANDAMENTO","A INICIAR")))</f>
        <v/>
      </c>
    </row>
    <row r="4957">
      <c r="M4957" s="2">
        <f>IF(C4957="","",IFERROR(INDEX($S$5:$S$304,MATCH(C4957,$R$5:$R$304,0))&amp;"","?"))</f>
        <v/>
      </c>
      <c r="N4957" s="2">
        <f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>
        <f>IF(OR(F4957="",G4957=""),"",IF(G4957&lt;='RETRATO 2027'!$K$5,"CONCLUÍDA",IF(F4957&lt;='RETRATO 2027'!$K$5,"EM ANDAMENTO","A INICIAR")))</f>
        <v/>
      </c>
    </row>
    <row r="4958">
      <c r="M4958" s="2">
        <f>IF(C4958="","",IFERROR(INDEX($S$5:$S$304,MATCH(C4958,$R$5:$R$304,0))&amp;"","?"))</f>
        <v/>
      </c>
      <c r="N4958" s="2">
        <f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>
        <f>IF(OR(F4958="",G4958=""),"",IF(G4958&lt;='RETRATO 2027'!$K$5,"CONCLUÍDA",IF(F4958&lt;='RETRATO 2027'!$K$5,"EM ANDAMENTO","A INICIAR")))</f>
        <v/>
      </c>
    </row>
    <row r="4959">
      <c r="M4959" s="2">
        <f>IF(C4959="","",IFERROR(INDEX($S$5:$S$304,MATCH(C4959,$R$5:$R$304,0))&amp;"","?"))</f>
        <v/>
      </c>
      <c r="N4959" s="2">
        <f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>
        <f>IF(OR(F4959="",G4959=""),"",IF(G4959&lt;='RETRATO 2027'!$K$5,"CONCLUÍDA",IF(F4959&lt;='RETRATO 2027'!$K$5,"EM ANDAMENTO","A INICIAR")))</f>
        <v/>
      </c>
    </row>
    <row r="4960">
      <c r="M4960" s="2">
        <f>IF(C4960="","",IFERROR(INDEX($S$5:$S$304,MATCH(C4960,$R$5:$R$304,0))&amp;"","?"))</f>
        <v/>
      </c>
      <c r="N4960" s="2">
        <f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>
        <f>IF(OR(F4960="",G4960=""),"",IF(G4960&lt;='RETRATO 2027'!$K$5,"CONCLUÍDA",IF(F4960&lt;='RETRATO 2027'!$K$5,"EM ANDAMENTO","A INICIAR")))</f>
        <v/>
      </c>
    </row>
    <row r="4961">
      <c r="M4961" s="2">
        <f>IF(C4961="","",IFERROR(INDEX($S$5:$S$304,MATCH(C4961,$R$5:$R$304,0))&amp;"","?"))</f>
        <v/>
      </c>
      <c r="N4961" s="2">
        <f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>
        <f>IF(OR(F4961="",G4961=""),"",IF(G4961&lt;='RETRATO 2027'!$K$5,"CONCLUÍDA",IF(F4961&lt;='RETRATO 2027'!$K$5,"EM ANDAMENTO","A INICIAR")))</f>
        <v/>
      </c>
    </row>
    <row r="4962">
      <c r="M4962" s="2">
        <f>IF(C4962="","",IFERROR(INDEX($S$5:$S$304,MATCH(C4962,$R$5:$R$304,0))&amp;"","?"))</f>
        <v/>
      </c>
      <c r="N4962" s="2">
        <f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>
        <f>IF(OR(F4962="",G4962=""),"",IF(G4962&lt;='RETRATO 2027'!$K$5,"CONCLUÍDA",IF(F4962&lt;='RETRATO 2027'!$K$5,"EM ANDAMENTO","A INICIAR")))</f>
        <v/>
      </c>
    </row>
    <row r="4963">
      <c r="M4963" s="2">
        <f>IF(C4963="","",IFERROR(INDEX($S$5:$S$304,MATCH(C4963,$R$5:$R$304,0))&amp;"","?"))</f>
        <v/>
      </c>
      <c r="N4963" s="2">
        <f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>
        <f>IF(OR(F4963="",G4963=""),"",IF(G4963&lt;='RETRATO 2027'!$K$5,"CONCLUÍDA",IF(F4963&lt;='RETRATO 2027'!$K$5,"EM ANDAMENTO","A INICIAR")))</f>
        <v/>
      </c>
    </row>
    <row r="4964">
      <c r="M4964" s="2">
        <f>IF(C4964="","",IFERROR(INDEX($S$5:$S$304,MATCH(C4964,$R$5:$R$304,0))&amp;"","?"))</f>
        <v/>
      </c>
      <c r="N4964" s="2">
        <f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>
        <f>IF(OR(F4964="",G4964=""),"",IF(G4964&lt;='RETRATO 2027'!$K$5,"CONCLUÍDA",IF(F4964&lt;='RETRATO 2027'!$K$5,"EM ANDAMENTO","A INICIAR")))</f>
        <v/>
      </c>
    </row>
    <row r="4965">
      <c r="M4965" s="2">
        <f>IF(C4965="","",IFERROR(INDEX($S$5:$S$304,MATCH(C4965,$R$5:$R$304,0))&amp;"","?"))</f>
        <v/>
      </c>
      <c r="N4965" s="2">
        <f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>
        <f>IF(OR(F4965="",G4965=""),"",IF(G4965&lt;='RETRATO 2027'!$K$5,"CONCLUÍDA",IF(F4965&lt;='RETRATO 2027'!$K$5,"EM ANDAMENTO","A INICIAR")))</f>
        <v/>
      </c>
    </row>
    <row r="4966">
      <c r="M4966" s="2">
        <f>IF(C4966="","",IFERROR(INDEX($S$5:$S$304,MATCH(C4966,$R$5:$R$304,0))&amp;"","?"))</f>
        <v/>
      </c>
      <c r="N4966" s="2">
        <f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>
        <f>IF(OR(F4966="",G4966=""),"",IF(G4966&lt;='RETRATO 2027'!$K$5,"CONCLUÍDA",IF(F4966&lt;='RETRATO 2027'!$K$5,"EM ANDAMENTO","A INICIAR")))</f>
        <v/>
      </c>
    </row>
    <row r="4967">
      <c r="M4967" s="2">
        <f>IF(C4967="","",IFERROR(INDEX($S$5:$S$304,MATCH(C4967,$R$5:$R$304,0))&amp;"","?"))</f>
        <v/>
      </c>
      <c r="N4967" s="2">
        <f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>
        <f>IF(OR(F4967="",G4967=""),"",IF(G4967&lt;='RETRATO 2027'!$K$5,"CONCLUÍDA",IF(F4967&lt;='RETRATO 2027'!$K$5,"EM ANDAMENTO","A INICIAR")))</f>
        <v/>
      </c>
    </row>
    <row r="4968">
      <c r="M4968" s="2">
        <f>IF(C4968="","",IFERROR(INDEX($S$5:$S$304,MATCH(C4968,$R$5:$R$304,0))&amp;"","?"))</f>
        <v/>
      </c>
      <c r="N4968" s="2">
        <f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>
        <f>IF(OR(F4968="",G4968=""),"",IF(G4968&lt;='RETRATO 2027'!$K$5,"CONCLUÍDA",IF(F4968&lt;='RETRATO 2027'!$K$5,"EM ANDAMENTO","A INICIAR")))</f>
        <v/>
      </c>
    </row>
    <row r="4969">
      <c r="M4969" s="2">
        <f>IF(C4969="","",IFERROR(INDEX($S$5:$S$304,MATCH(C4969,$R$5:$R$304,0))&amp;"","?"))</f>
        <v/>
      </c>
      <c r="N4969" s="2">
        <f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>
        <f>IF(OR(F4969="",G4969=""),"",IF(G4969&lt;='RETRATO 2027'!$K$5,"CONCLUÍDA",IF(F4969&lt;='RETRATO 2027'!$K$5,"EM ANDAMENTO","A INICIAR")))</f>
        <v/>
      </c>
    </row>
    <row r="4970">
      <c r="M4970" s="2">
        <f>IF(C4970="","",IFERROR(INDEX($S$5:$S$304,MATCH(C4970,$R$5:$R$304,0))&amp;"","?"))</f>
        <v/>
      </c>
      <c r="N4970" s="2">
        <f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>
        <f>IF(OR(F4970="",G4970=""),"",IF(G4970&lt;='RETRATO 2027'!$K$5,"CONCLUÍDA",IF(F4970&lt;='RETRATO 2027'!$K$5,"EM ANDAMENTO","A INICIAR")))</f>
        <v/>
      </c>
    </row>
    <row r="4971">
      <c r="M4971" s="2">
        <f>IF(C4971="","",IFERROR(INDEX($S$5:$S$304,MATCH(C4971,$R$5:$R$304,0))&amp;"","?"))</f>
        <v/>
      </c>
      <c r="N4971" s="2">
        <f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>
        <f>IF(OR(F4971="",G4971=""),"",IF(G4971&lt;='RETRATO 2027'!$K$5,"CONCLUÍDA",IF(F4971&lt;='RETRATO 2027'!$K$5,"EM ANDAMENTO","A INICIAR")))</f>
        <v/>
      </c>
    </row>
    <row r="4972">
      <c r="M4972" s="2">
        <f>IF(C4972="","",IFERROR(INDEX($S$5:$S$304,MATCH(C4972,$R$5:$R$304,0))&amp;"","?"))</f>
        <v/>
      </c>
      <c r="N4972" s="2">
        <f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>
        <f>IF(OR(F4972="",G4972=""),"",IF(G4972&lt;='RETRATO 2027'!$K$5,"CONCLUÍDA",IF(F4972&lt;='RETRATO 2027'!$K$5,"EM ANDAMENTO","A INICIAR")))</f>
        <v/>
      </c>
    </row>
    <row r="4973">
      <c r="M4973" s="2">
        <f>IF(C4973="","",IFERROR(INDEX($S$5:$S$304,MATCH(C4973,$R$5:$R$304,0))&amp;"","?"))</f>
        <v/>
      </c>
      <c r="N4973" s="2">
        <f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>
        <f>IF(OR(F4973="",G4973=""),"",IF(G4973&lt;='RETRATO 2027'!$K$5,"CONCLUÍDA",IF(F4973&lt;='RETRATO 2027'!$K$5,"EM ANDAMENTO","A INICIAR")))</f>
        <v/>
      </c>
    </row>
    <row r="4974">
      <c r="M4974" s="2">
        <f>IF(C4974="","",IFERROR(INDEX($S$5:$S$304,MATCH(C4974,$R$5:$R$304,0))&amp;"","?"))</f>
        <v/>
      </c>
      <c r="N4974" s="2">
        <f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>
        <f>IF(OR(F4974="",G4974=""),"",IF(G4974&lt;='RETRATO 2027'!$K$5,"CONCLUÍDA",IF(F4974&lt;='RETRATO 2027'!$K$5,"EM ANDAMENTO","A INICIAR")))</f>
        <v/>
      </c>
    </row>
    <row r="4975">
      <c r="M4975" s="2">
        <f>IF(C4975="","",IFERROR(INDEX($S$5:$S$304,MATCH(C4975,$R$5:$R$304,0))&amp;"","?"))</f>
        <v/>
      </c>
      <c r="N4975" s="2">
        <f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>
        <f>IF(OR(F4975="",G4975=""),"",IF(G4975&lt;='RETRATO 2027'!$K$5,"CONCLUÍDA",IF(F4975&lt;='RETRATO 2027'!$K$5,"EM ANDAMENTO","A INICIAR")))</f>
        <v/>
      </c>
    </row>
    <row r="4976">
      <c r="M4976" s="2">
        <f>IF(C4976="","",IFERROR(INDEX($S$5:$S$304,MATCH(C4976,$R$5:$R$304,0))&amp;"","?"))</f>
        <v/>
      </c>
      <c r="N4976" s="2">
        <f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>
        <f>IF(OR(F4976="",G4976=""),"",IF(G4976&lt;='RETRATO 2027'!$K$5,"CONCLUÍDA",IF(F4976&lt;='RETRATO 2027'!$K$5,"EM ANDAMENTO","A INICIAR")))</f>
        <v/>
      </c>
    </row>
    <row r="4977">
      <c r="M4977" s="2">
        <f>IF(C4977="","",IFERROR(INDEX($S$5:$S$304,MATCH(C4977,$R$5:$R$304,0))&amp;"","?"))</f>
        <v/>
      </c>
      <c r="N4977" s="2">
        <f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>
        <f>IF(OR(F4977="",G4977=""),"",IF(G4977&lt;='RETRATO 2027'!$K$5,"CONCLUÍDA",IF(F4977&lt;='RETRATO 2027'!$K$5,"EM ANDAMENTO","A INICIAR")))</f>
        <v/>
      </c>
    </row>
    <row r="4978">
      <c r="M4978" s="2">
        <f>IF(C4978="","",IFERROR(INDEX($S$5:$S$304,MATCH(C4978,$R$5:$R$304,0))&amp;"","?"))</f>
        <v/>
      </c>
      <c r="N4978" s="2">
        <f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>
        <f>IF(OR(F4978="",G4978=""),"",IF(G4978&lt;='RETRATO 2027'!$K$5,"CONCLUÍDA",IF(F4978&lt;='RETRATO 2027'!$K$5,"EM ANDAMENTO","A INICIAR")))</f>
        <v/>
      </c>
    </row>
    <row r="4979">
      <c r="M4979" s="2">
        <f>IF(C4979="","",IFERROR(INDEX($S$5:$S$304,MATCH(C4979,$R$5:$R$304,0))&amp;"","?"))</f>
        <v/>
      </c>
      <c r="N4979" s="2">
        <f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>
        <f>IF(OR(F4979="",G4979=""),"",IF(G4979&lt;='RETRATO 2027'!$K$5,"CONCLUÍDA",IF(F4979&lt;='RETRATO 2027'!$K$5,"EM ANDAMENTO","A INICIAR")))</f>
        <v/>
      </c>
    </row>
    <row r="4980">
      <c r="M4980" s="2">
        <f>IF(C4980="","",IFERROR(INDEX($S$5:$S$304,MATCH(C4980,$R$5:$R$304,0))&amp;"","?"))</f>
        <v/>
      </c>
      <c r="N4980" s="2">
        <f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>
        <f>IF(OR(F4980="",G4980=""),"",IF(G4980&lt;='RETRATO 2027'!$K$5,"CONCLUÍDA",IF(F4980&lt;='RETRATO 2027'!$K$5,"EM ANDAMENTO","A INICIAR")))</f>
        <v/>
      </c>
    </row>
    <row r="4981">
      <c r="M4981" s="2">
        <f>IF(C4981="","",IFERROR(INDEX($S$5:$S$304,MATCH(C4981,$R$5:$R$304,0))&amp;"","?"))</f>
        <v/>
      </c>
      <c r="N4981" s="2">
        <f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>
        <f>IF(OR(F4981="",G4981=""),"",IF(G4981&lt;='RETRATO 2027'!$K$5,"CONCLUÍDA",IF(F4981&lt;='RETRATO 2027'!$K$5,"EM ANDAMENTO","A INICIAR")))</f>
        <v/>
      </c>
    </row>
    <row r="4982">
      <c r="M4982" s="2">
        <f>IF(C4982="","",IFERROR(INDEX($S$5:$S$304,MATCH(C4982,$R$5:$R$304,0))&amp;"","?"))</f>
        <v/>
      </c>
      <c r="N4982" s="2">
        <f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>
        <f>IF(OR(F4982="",G4982=""),"",IF(G4982&lt;='RETRATO 2027'!$K$5,"CONCLUÍDA",IF(F4982&lt;='RETRATO 2027'!$K$5,"EM ANDAMENTO","A INICIAR")))</f>
        <v/>
      </c>
    </row>
    <row r="4983">
      <c r="M4983" s="2">
        <f>IF(C4983="","",IFERROR(INDEX($S$5:$S$304,MATCH(C4983,$R$5:$R$304,0))&amp;"","?"))</f>
        <v/>
      </c>
      <c r="N4983" s="2">
        <f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>
        <f>IF(OR(F4983="",G4983=""),"",IF(G4983&lt;='RETRATO 2027'!$K$5,"CONCLUÍDA",IF(F4983&lt;='RETRATO 2027'!$K$5,"EM ANDAMENTO","A INICIAR")))</f>
        <v/>
      </c>
    </row>
    <row r="4984">
      <c r="M4984" s="2">
        <f>IF(C4984="","",IFERROR(INDEX($S$5:$S$304,MATCH(C4984,$R$5:$R$304,0))&amp;"","?"))</f>
        <v/>
      </c>
      <c r="N4984" s="2">
        <f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>
        <f>IF(OR(F4984="",G4984=""),"",IF(G4984&lt;='RETRATO 2027'!$K$5,"CONCLUÍDA",IF(F4984&lt;='RETRATO 2027'!$K$5,"EM ANDAMENTO","A INICIAR")))</f>
        <v/>
      </c>
    </row>
    <row r="4985">
      <c r="M4985" s="2">
        <f>IF(C4985="","",IFERROR(INDEX($S$5:$S$304,MATCH(C4985,$R$5:$R$304,0))&amp;"","?"))</f>
        <v/>
      </c>
      <c r="N4985" s="2">
        <f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>
        <f>IF(OR(F4985="",G4985=""),"",IF(G4985&lt;='RETRATO 2027'!$K$5,"CONCLUÍDA",IF(F4985&lt;='RETRATO 2027'!$K$5,"EM ANDAMENTO","A INICIAR")))</f>
        <v/>
      </c>
    </row>
    <row r="4986">
      <c r="M4986" s="2">
        <f>IF(C4986="","",IFERROR(INDEX($S$5:$S$304,MATCH(C4986,$R$5:$R$304,0))&amp;"","?"))</f>
        <v/>
      </c>
      <c r="N4986" s="2">
        <f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>
        <f>IF(OR(F4986="",G4986=""),"",IF(G4986&lt;='RETRATO 2027'!$K$5,"CONCLUÍDA",IF(F4986&lt;='RETRATO 2027'!$K$5,"EM ANDAMENTO","A INICIAR")))</f>
        <v/>
      </c>
    </row>
    <row r="4987">
      <c r="M4987" s="2">
        <f>IF(C4987="","",IFERROR(INDEX($S$5:$S$304,MATCH(C4987,$R$5:$R$304,0))&amp;"","?"))</f>
        <v/>
      </c>
      <c r="N4987" s="2">
        <f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>
        <f>IF(OR(F4987="",G4987=""),"",IF(G4987&lt;='RETRATO 2027'!$K$5,"CONCLUÍDA",IF(F4987&lt;='RETRATO 2027'!$K$5,"EM ANDAMENTO","A INICIAR")))</f>
        <v/>
      </c>
    </row>
    <row r="4988">
      <c r="M4988" s="2">
        <f>IF(C4988="","",IFERROR(INDEX($S$5:$S$304,MATCH(C4988,$R$5:$R$304,0))&amp;"","?"))</f>
        <v/>
      </c>
      <c r="N4988" s="2">
        <f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>
        <f>IF(OR(F4988="",G4988=""),"",IF(G4988&lt;='RETRATO 2027'!$K$5,"CONCLUÍDA",IF(F4988&lt;='RETRATO 2027'!$K$5,"EM ANDAMENTO","A INICIAR")))</f>
        <v/>
      </c>
    </row>
    <row r="4989">
      <c r="M4989" s="2">
        <f>IF(C4989="","",IFERROR(INDEX($S$5:$S$304,MATCH(C4989,$R$5:$R$304,0))&amp;"","?"))</f>
        <v/>
      </c>
      <c r="N4989" s="2">
        <f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>
        <f>IF(OR(F4989="",G4989=""),"",IF(G4989&lt;='RETRATO 2027'!$K$5,"CONCLUÍDA",IF(F4989&lt;='RETRATO 2027'!$K$5,"EM ANDAMENTO","A INICIAR")))</f>
        <v/>
      </c>
    </row>
    <row r="4990">
      <c r="M4990" s="2">
        <f>IF(C4990="","",IFERROR(INDEX($S$5:$S$304,MATCH(C4990,$R$5:$R$304,0))&amp;"","?"))</f>
        <v/>
      </c>
      <c r="N4990" s="2">
        <f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>
        <f>IF(OR(F4990="",G4990=""),"",IF(G4990&lt;='RETRATO 2027'!$K$5,"CONCLUÍDA",IF(F4990&lt;='RETRATO 2027'!$K$5,"EM ANDAMENTO","A INICIAR")))</f>
        <v/>
      </c>
    </row>
    <row r="4991">
      <c r="M4991" s="2">
        <f>IF(C4991="","",IFERROR(INDEX($S$5:$S$304,MATCH(C4991,$R$5:$R$304,0))&amp;"","?"))</f>
        <v/>
      </c>
      <c r="N4991" s="2">
        <f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>
        <f>IF(OR(F4991="",G4991=""),"",IF(G4991&lt;='RETRATO 2027'!$K$5,"CONCLUÍDA",IF(F4991&lt;='RETRATO 2027'!$K$5,"EM ANDAMENTO","A INICIAR")))</f>
        <v/>
      </c>
    </row>
    <row r="4992">
      <c r="M4992" s="2">
        <f>IF(C4992="","",IFERROR(INDEX($S$5:$S$304,MATCH(C4992,$R$5:$R$304,0))&amp;"","?"))</f>
        <v/>
      </c>
      <c r="N4992" s="2">
        <f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>
        <f>IF(OR(F4992="",G4992=""),"",IF(G4992&lt;='RETRATO 2027'!$K$5,"CONCLUÍDA",IF(F4992&lt;='RETRATO 2027'!$K$5,"EM ANDAMENTO","A INICIAR")))</f>
        <v/>
      </c>
    </row>
    <row r="4993">
      <c r="M4993" s="2">
        <f>IF(C4993="","",IFERROR(INDEX($S$5:$S$304,MATCH(C4993,$R$5:$R$304,0))&amp;"","?"))</f>
        <v/>
      </c>
      <c r="N4993" s="2">
        <f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>
        <f>IF(OR(F4993="",G4993=""),"",IF(G4993&lt;='RETRATO 2027'!$K$5,"CONCLUÍDA",IF(F4993&lt;='RETRATO 2027'!$K$5,"EM ANDAMENTO","A INICIAR")))</f>
        <v/>
      </c>
    </row>
    <row r="4994">
      <c r="M4994" s="2">
        <f>IF(C4994="","",IFERROR(INDEX($S$5:$S$304,MATCH(C4994,$R$5:$R$304,0))&amp;"","?"))</f>
        <v/>
      </c>
      <c r="N4994" s="2">
        <f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>
        <f>IF(OR(F4994="",G4994=""),"",IF(G4994&lt;='RETRATO 2027'!$K$5,"CONCLUÍDA",IF(F4994&lt;='RETRATO 2027'!$K$5,"EM ANDAMENTO","A INICIAR")))</f>
        <v/>
      </c>
    </row>
    <row r="4995">
      <c r="M4995" s="2">
        <f>IF(C4995="","",IFERROR(INDEX($S$5:$S$304,MATCH(C4995,$R$5:$R$304,0))&amp;"","?"))</f>
        <v/>
      </c>
      <c r="N4995" s="2">
        <f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>
        <f>IF(OR(F4995="",G4995=""),"",IF(G4995&lt;='RETRATO 2027'!$K$5,"CONCLUÍDA",IF(F4995&lt;='RETRATO 2027'!$K$5,"EM ANDAMENTO","A INICIAR")))</f>
        <v/>
      </c>
    </row>
    <row r="4996">
      <c r="M4996" s="2">
        <f>IF(C4996="","",IFERROR(INDEX($S$5:$S$304,MATCH(C4996,$R$5:$R$304,0))&amp;"","?"))</f>
        <v/>
      </c>
      <c r="N4996" s="2">
        <f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>
        <f>IF(OR(F4996="",G4996=""),"",IF(G4996&lt;='RETRATO 2027'!$K$5,"CONCLUÍDA",IF(F4996&lt;='RETRATO 2027'!$K$5,"EM ANDAMENTO","A INICIAR")))</f>
        <v/>
      </c>
    </row>
    <row r="4997">
      <c r="M4997" s="2">
        <f>IF(C4997="","",IFERROR(INDEX($S$5:$S$304,MATCH(C4997,$R$5:$R$304,0))&amp;"","?"))</f>
        <v/>
      </c>
      <c r="N4997" s="2">
        <f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>
        <f>IF(OR(F4997="",G4997=""),"",IF(G4997&lt;='RETRATO 2027'!$K$5,"CONCLUÍDA",IF(F4997&lt;='RETRATO 2027'!$K$5,"EM ANDAMENTO","A INICIAR")))</f>
        <v/>
      </c>
    </row>
    <row r="4998">
      <c r="M4998" s="2">
        <f>IF(C4998="","",IFERROR(INDEX($S$5:$S$304,MATCH(C4998,$R$5:$R$304,0))&amp;"","?"))</f>
        <v/>
      </c>
      <c r="N4998" s="2">
        <f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>
        <f>IF(OR(F4998="",G4998=""),"",IF(G4998&lt;='RETRATO 2027'!$K$5,"CONCLUÍDA",IF(F4998&lt;='RETRATO 2027'!$K$5,"EM ANDAMENTO","A INICIAR")))</f>
        <v/>
      </c>
    </row>
    <row r="4999">
      <c r="M4999" s="2">
        <f>IF(C4999="","",IFERROR(INDEX($S$5:$S$304,MATCH(C4999,$R$5:$R$304,0))&amp;"","?"))</f>
        <v/>
      </c>
      <c r="N4999" s="2">
        <f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>
        <f>IF(OR(F4999="",G4999=""),"",IF(G4999&lt;='RETRATO 2027'!$K$5,"CONCLUÍDA",IF(F4999&lt;='RETRATO 2027'!$K$5,"EM ANDAMENTO","A INICIAR")))</f>
        <v/>
      </c>
    </row>
    <row r="5000">
      <c r="M5000" s="2">
        <f>IF(C5000="","",IFERROR(INDEX($S$5:$S$304,MATCH(C5000,$R$5:$R$304,0))&amp;"","?"))</f>
        <v/>
      </c>
      <c r="N5000" s="2">
        <f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>
        <f>IF(OR(F5000="",G5000=""),"",IF(G5000&lt;='RETRATO 2027'!$K$5,"CONCLUÍDA",IF(F5000&lt;='RETRATO 2027'!$K$5,"EM ANDAMENTO","A INICIAR")))</f>
        <v/>
      </c>
    </row>
    <row r="5001">
      <c r="M5001" s="2">
        <f>IF(C5001="","",IFERROR(INDEX($S$5:$S$304,MATCH(C5001,$R$5:$R$304,0))&amp;"","?"))</f>
        <v/>
      </c>
      <c r="N5001" s="2">
        <f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>
        <f>IF(OR(F5001="",G5001=""),"",IF(G5001&lt;='RETRATO 2027'!$K$5,"CONCLUÍDA",IF(F5001&lt;='RETRATO 2027'!$K$5,"EM ANDAMENTO","A INICIAR")))</f>
        <v/>
      </c>
    </row>
    <row r="5002">
      <c r="M5002" s="2">
        <f>IF(C5002="","",IFERROR(INDEX($S$5:$S$304,MATCH(C5002,$R$5:$R$304,0))&amp;"","?"))</f>
        <v/>
      </c>
      <c r="N5002" s="2">
        <f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>
        <f>IF(OR(F5002="",G5002=""),"",IF(G5002&lt;='RETRATO 2027'!$K$5,"CONCLUÍDA",IF(F5002&lt;='RETRATO 2027'!$K$5,"EM ANDAMENTO","A INICIAR")))</f>
        <v/>
      </c>
    </row>
    <row r="5003">
      <c r="M5003" s="2">
        <f>IF(C5003="","",IFERROR(INDEX($S$5:$S$304,MATCH(C5003,$R$5:$R$304,0))&amp;"","?"))</f>
        <v/>
      </c>
      <c r="N5003" s="2">
        <f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>
        <f>IF(OR(F5003="",G5003=""),"",IF(G5003&lt;='RETRATO 2027'!$K$5,"CONCLUÍDA",IF(F5003&lt;='RETRATO 2027'!$K$5,"EM ANDAMENTO","A INICIAR")))</f>
        <v/>
      </c>
    </row>
    <row r="5004">
      <c r="M5004" s="2">
        <f>IF(C5004="","",IFERROR(INDEX($S$5:$S$304,MATCH(C5004,$R$5:$R$304,0))&amp;"","?"))</f>
        <v/>
      </c>
      <c r="N5004" s="2">
        <f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>
        <f>IF(OR(F5004="",G5004=""),"",IF(G5004&lt;='RETRATO 2027'!$K$5,"CONCLUÍDA",IF(F5004&lt;='RETRATO 2027'!$K$5,"EM ANDAMENTO","A INICIAR")))</f>
        <v/>
      </c>
    </row>
    <row r="5005">
      <c r="M5005" s="2">
        <f>IF(C5005="","",IFERROR(INDEX($S$5:$S$304,MATCH(C5005,$R$5:$R$304,0))&amp;"","?"))</f>
        <v/>
      </c>
      <c r="N5005" s="2">
        <f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>
        <f>IF(OR(F5005="",G5005=""),"",IF(G5005&lt;='RETRATO 2027'!$K$5,"CONCLUÍDA",IF(F5005&lt;='RETRATO 2027'!$K$5,"EM ANDAMENTO","A INICIAR")))</f>
        <v/>
      </c>
    </row>
    <row r="5006">
      <c r="M5006" s="2">
        <f>IF(C5006="","",IFERROR(INDEX($S$5:$S$304,MATCH(C5006,$R$5:$R$304,0))&amp;"","?"))</f>
        <v/>
      </c>
      <c r="N5006" s="2">
        <f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>
        <f>IF(OR(F5006="",G5006=""),"",IF(G5006&lt;='RETRATO 2027'!$K$5,"CONCLUÍDA",IF(F5006&lt;='RETRATO 2027'!$K$5,"EM ANDAMENTO","A INICIAR")))</f>
        <v/>
      </c>
    </row>
    <row r="5007">
      <c r="M5007" s="2">
        <f>IF(C5007="","",IFERROR(INDEX($S$5:$S$304,MATCH(C5007,$R$5:$R$304,0))&amp;"","?"))</f>
        <v/>
      </c>
      <c r="N5007" s="2">
        <f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>
        <f>IF(OR(F5007="",G5007=""),"",IF(G5007&lt;='RETRATO 2027'!$K$5,"CONCLUÍDA",IF(F5007&lt;='RETRATO 2027'!$K$5,"EM ANDAMENTO","A INICIAR")))</f>
        <v/>
      </c>
    </row>
    <row r="5008">
      <c r="M5008" s="2">
        <f>IF(C5008="","",IFERROR(INDEX($S$5:$S$304,MATCH(C5008,$R$5:$R$304,0))&amp;"","?"))</f>
        <v/>
      </c>
      <c r="N5008" s="2">
        <f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>
        <f>IF(OR(F5008="",G5008=""),"",IF(G5008&lt;='RETRATO 2027'!$K$5,"CONCLUÍDA",IF(F5008&lt;='RETRATO 2027'!$K$5,"EM ANDAMENTO","A INICIAR")))</f>
        <v/>
      </c>
    </row>
    <row r="5009">
      <c r="M5009" s="2">
        <f>IF(C5009="","",IFERROR(INDEX($S$5:$S$304,MATCH(C5009,$R$5:$R$304,0))&amp;"","?"))</f>
        <v/>
      </c>
      <c r="N5009" s="2">
        <f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>
        <f>IF(OR(F5009="",G5009=""),"",IF(G5009&lt;='RETRATO 2027'!$K$5,"CONCLUÍDA",IF(F5009&lt;='RETRATO 2027'!$K$5,"EM ANDAMENTO","A INICIAR")))</f>
        <v/>
      </c>
    </row>
    <row r="5010">
      <c r="M5010" s="2">
        <f>IF(C5010="","",IFERROR(INDEX($S$5:$S$304,MATCH(C5010,$R$5:$R$304,0))&amp;"","?"))</f>
        <v/>
      </c>
      <c r="N5010" s="2">
        <f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>
        <f>IF(OR(F5010="",G5010=""),"",IF(G5010&lt;='RETRATO 2027'!$K$5,"CONCLUÍDA",IF(F5010&lt;='RETRATO 2027'!$K$5,"EM ANDAMENTO","A INICIAR")))</f>
        <v/>
      </c>
    </row>
    <row r="5011">
      <c r="M5011" s="2">
        <f>IF(C5011="","",IFERROR(INDEX($S$5:$S$304,MATCH(C5011,$R$5:$R$304,0))&amp;"","?"))</f>
        <v/>
      </c>
      <c r="N5011" s="2">
        <f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>
        <f>IF(OR(F5011="",G5011=""),"",IF(G5011&lt;='RETRATO 2027'!$K$5,"CONCLUÍDA",IF(F5011&lt;='RETRATO 2027'!$K$5,"EM ANDAMENTO","A INICIAR")))</f>
        <v/>
      </c>
    </row>
    <row r="5012">
      <c r="M5012" s="2">
        <f>IF(C5012="","",IFERROR(INDEX($S$5:$S$304,MATCH(C5012,$R$5:$R$304,0))&amp;"","?"))</f>
        <v/>
      </c>
      <c r="N5012" s="2">
        <f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>
        <f>IF(OR(F5012="",G5012=""),"",IF(G5012&lt;='RETRATO 2027'!$K$5,"CONCLUÍDA",IF(F5012&lt;='RETRATO 2027'!$K$5,"EM ANDAMENTO","A INICIAR")))</f>
        <v/>
      </c>
    </row>
    <row r="5013">
      <c r="M5013" s="2">
        <f>IF(C5013="","",IFERROR(INDEX($S$5:$S$304,MATCH(C5013,$R$5:$R$304,0))&amp;"","?"))</f>
        <v/>
      </c>
      <c r="N5013" s="2">
        <f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>
        <f>IF(OR(F5013="",G5013=""),"",IF(G5013&lt;='RETRATO 2027'!$K$5,"CONCLUÍDA",IF(F5013&lt;='RETRATO 2027'!$K$5,"EM ANDAMENTO","A INICIAR")))</f>
        <v/>
      </c>
    </row>
    <row r="5014">
      <c r="M5014" s="2">
        <f>IF(C5014="","",IFERROR(INDEX($S$5:$S$304,MATCH(C5014,$R$5:$R$304,0))&amp;"","?"))</f>
        <v/>
      </c>
      <c r="N5014" s="2">
        <f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>
        <f>IF(OR(F5014="",G5014=""),"",IF(G5014&lt;='RETRATO 2027'!$K$5,"CONCLUÍDA",IF(F5014&lt;='RETRATO 2027'!$K$5,"EM ANDAMENTO","A INICIAR")))</f>
        <v/>
      </c>
    </row>
    <row r="5015">
      <c r="M5015" s="2">
        <f>IF(C5015="","",IFERROR(INDEX($S$5:$S$304,MATCH(C5015,$R$5:$R$304,0))&amp;"","?"))</f>
        <v/>
      </c>
      <c r="N5015" s="2">
        <f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>
        <f>IF(OR(F5015="",G5015=""),"",IF(G5015&lt;='RETRATO 2027'!$K$5,"CONCLUÍDA",IF(F5015&lt;='RETRATO 2027'!$K$5,"EM ANDAMENTO","A INICIAR")))</f>
        <v/>
      </c>
    </row>
    <row r="5016">
      <c r="M5016" s="2">
        <f>IF(C5016="","",IFERROR(INDEX($S$5:$S$304,MATCH(C5016,$R$5:$R$304,0))&amp;"","?"))</f>
        <v/>
      </c>
      <c r="N5016" s="2">
        <f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>
        <f>IF(OR(F5016="",G5016=""),"",IF(G5016&lt;='RETRATO 2027'!$K$5,"CONCLUÍDA",IF(F5016&lt;='RETRATO 2027'!$K$5,"EM ANDAMENTO","A INICIAR")))</f>
        <v/>
      </c>
    </row>
    <row r="5017">
      <c r="M5017" s="2">
        <f>IF(C5017="","",IFERROR(INDEX($S$5:$S$304,MATCH(C5017,$R$5:$R$304,0))&amp;"","?"))</f>
        <v/>
      </c>
      <c r="N5017" s="2">
        <f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>
        <f>IF(OR(F5017="",G5017=""),"",IF(G5017&lt;='RETRATO 2027'!$K$5,"CONCLUÍDA",IF(F5017&lt;='RETRATO 2027'!$K$5,"EM ANDAMENTO","A INICIAR")))</f>
        <v/>
      </c>
    </row>
    <row r="5018">
      <c r="M5018" s="2">
        <f>IF(C5018="","",IFERROR(INDEX($S$5:$S$304,MATCH(C5018,$R$5:$R$304,0))&amp;"","?"))</f>
        <v/>
      </c>
      <c r="N5018" s="2">
        <f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>
        <f>IF(OR(F5018="",G5018=""),"",IF(G5018&lt;='RETRATO 2027'!$K$5,"CONCLUÍDA",IF(F5018&lt;='RETRATO 2027'!$K$5,"EM ANDAMENTO","A INICIAR")))</f>
        <v/>
      </c>
    </row>
    <row r="5019">
      <c r="M5019" s="2">
        <f>IF(C5019="","",IFERROR(INDEX($S$5:$S$304,MATCH(C5019,$R$5:$R$304,0))&amp;"","?"))</f>
        <v/>
      </c>
      <c r="N5019" s="2">
        <f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>
        <f>IF(OR(F5019="",G5019=""),"",IF(G5019&lt;='RETRATO 2027'!$K$5,"CONCLUÍDA",IF(F5019&lt;='RETRATO 2027'!$K$5,"EM ANDAMENTO","A INICIAR")))</f>
        <v/>
      </c>
    </row>
    <row r="5020">
      <c r="M5020" s="2">
        <f>IF(C5020="","",IFERROR(INDEX($S$5:$S$304,MATCH(C5020,$R$5:$R$304,0))&amp;"","?"))</f>
        <v/>
      </c>
      <c r="N5020" s="2">
        <f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>
        <f>IF(OR(F5020="",G5020=""),"",IF(G5020&lt;='RETRATO 2027'!$K$5,"CONCLUÍDA",IF(F5020&lt;='RETRATO 2027'!$K$5,"EM ANDAMENTO","A INICIAR")))</f>
        <v/>
      </c>
    </row>
    <row r="5021">
      <c r="M5021" s="2">
        <f>IF(C5021="","",IFERROR(INDEX($S$5:$S$304,MATCH(C5021,$R$5:$R$304,0))&amp;"","?"))</f>
        <v/>
      </c>
      <c r="N5021" s="2">
        <f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>
        <f>IF(OR(F5021="",G5021=""),"",IF(G5021&lt;='RETRATO 2027'!$K$5,"CONCLUÍDA",IF(F5021&lt;='RETRATO 2027'!$K$5,"EM ANDAMENTO","A INICIAR")))</f>
        <v/>
      </c>
    </row>
    <row r="5022">
      <c r="M5022" s="2">
        <f>IF(C5022="","",IFERROR(INDEX($S$5:$S$304,MATCH(C5022,$R$5:$R$304,0))&amp;"","?"))</f>
        <v/>
      </c>
      <c r="N5022" s="2">
        <f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>
        <f>IF(OR(F5022="",G5022=""),"",IF(G5022&lt;='RETRATO 2027'!$K$5,"CONCLUÍDA",IF(F5022&lt;='RETRATO 2027'!$K$5,"EM ANDAMENTO","A INICIAR")))</f>
        <v/>
      </c>
    </row>
    <row r="5023">
      <c r="M5023" s="2">
        <f>IF(C5023="","",IFERROR(INDEX($S$5:$S$304,MATCH(C5023,$R$5:$R$304,0))&amp;"","?"))</f>
        <v/>
      </c>
      <c r="N5023" s="2">
        <f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>
        <f>IF(OR(F5023="",G5023=""),"",IF(G5023&lt;='RETRATO 2027'!$K$5,"CONCLUÍDA",IF(F5023&lt;='RETRATO 2027'!$K$5,"EM ANDAMENTO","A INICIAR")))</f>
        <v/>
      </c>
    </row>
    <row r="5024">
      <c r="M5024" s="2">
        <f>IF(C5024="","",IFERROR(INDEX($S$5:$S$304,MATCH(C5024,$R$5:$R$304,0))&amp;"","?"))</f>
        <v/>
      </c>
      <c r="N5024" s="2">
        <f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>
        <f>IF(OR(F5024="",G5024=""),"",IF(G5024&lt;='RETRATO 2027'!$K$5,"CONCLUÍDA",IF(F5024&lt;='RETRATO 2027'!$K$5,"EM ANDAMENTO","A INICIAR")))</f>
        <v/>
      </c>
    </row>
    <row r="5025">
      <c r="M5025" s="2">
        <f>IF(C5025="","",IFERROR(INDEX($S$5:$S$304,MATCH(C5025,$R$5:$R$304,0))&amp;"","?"))</f>
        <v/>
      </c>
      <c r="N5025" s="2">
        <f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>
        <f>IF(OR(F5025="",G5025=""),"",IF(G5025&lt;='RETRATO 2027'!$K$5,"CONCLUÍDA",IF(F5025&lt;='RETRATO 2027'!$K$5,"EM ANDAMENTO","A INICIAR")))</f>
        <v/>
      </c>
    </row>
    <row r="5026">
      <c r="M5026" s="2">
        <f>IF(C5026="","",IFERROR(INDEX($S$5:$S$304,MATCH(C5026,$R$5:$R$304,0))&amp;"","?"))</f>
        <v/>
      </c>
      <c r="N5026" s="2">
        <f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>
        <f>IF(OR(F5026="",G5026=""),"",IF(G5026&lt;='RETRATO 2027'!$K$5,"CONCLUÍDA",IF(F5026&lt;='RETRATO 2027'!$K$5,"EM ANDAMENTO","A INICIAR")))</f>
        <v/>
      </c>
    </row>
    <row r="5027">
      <c r="M5027" s="2">
        <f>IF(C5027="","",IFERROR(INDEX($S$5:$S$304,MATCH(C5027,$R$5:$R$304,0))&amp;"","?"))</f>
        <v/>
      </c>
      <c r="N5027" s="2">
        <f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>
        <f>IF(OR(F5027="",G5027=""),"",IF(G5027&lt;='RETRATO 2027'!$K$5,"CONCLUÍDA",IF(F5027&lt;='RETRATO 2027'!$K$5,"EM ANDAMENTO","A INICIAR")))</f>
        <v/>
      </c>
    </row>
    <row r="5028">
      <c r="M5028" s="2">
        <f>IF(C5028="","",IFERROR(INDEX($S$5:$S$304,MATCH(C5028,$R$5:$R$304,0))&amp;"","?"))</f>
        <v/>
      </c>
      <c r="N5028" s="2">
        <f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>
        <f>IF(OR(F5028="",G5028=""),"",IF(G5028&lt;='RETRATO 2027'!$K$5,"CONCLUÍDA",IF(F5028&lt;='RETRATO 2027'!$K$5,"EM ANDAMENTO","A INICIAR")))</f>
        <v/>
      </c>
    </row>
    <row r="5029">
      <c r="M5029" s="2">
        <f>IF(C5029="","",IFERROR(INDEX($S$5:$S$304,MATCH(C5029,$R$5:$R$304,0))&amp;"","?"))</f>
        <v/>
      </c>
      <c r="N5029" s="2">
        <f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>
        <f>IF(OR(F5029="",G5029=""),"",IF(G5029&lt;='RETRATO 2027'!$K$5,"CONCLUÍDA",IF(F5029&lt;='RETRATO 2027'!$K$5,"EM ANDAMENTO","A INICIAR")))</f>
        <v/>
      </c>
    </row>
    <row r="5030">
      <c r="M5030" s="2">
        <f>IF(C5030="","",IFERROR(INDEX($S$5:$S$304,MATCH(C5030,$R$5:$R$304,0))&amp;"","?"))</f>
        <v/>
      </c>
      <c r="N5030" s="2">
        <f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>
        <f>IF(OR(F5030="",G5030=""),"",IF(G5030&lt;='RETRATO 2027'!$K$5,"CONCLUÍDA",IF(F5030&lt;='RETRATO 2027'!$K$5,"EM ANDAMENTO","A INICIAR")))</f>
        <v/>
      </c>
    </row>
    <row r="5031">
      <c r="M5031" s="2">
        <f>IF(C5031="","",IFERROR(INDEX($S$5:$S$304,MATCH(C5031,$R$5:$R$304,0))&amp;"","?"))</f>
        <v/>
      </c>
      <c r="N5031" s="2">
        <f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>
        <f>IF(OR(F5031="",G5031=""),"",IF(G5031&lt;='RETRATO 2027'!$K$5,"CONCLUÍDA",IF(F5031&lt;='RETRATO 2027'!$K$5,"EM ANDAMENTO","A INICIAR")))</f>
        <v/>
      </c>
    </row>
    <row r="5032">
      <c r="M5032" s="2">
        <f>IF(C5032="","",IFERROR(INDEX($S$5:$S$304,MATCH(C5032,$R$5:$R$304,0))&amp;"","?"))</f>
        <v/>
      </c>
      <c r="N5032" s="2">
        <f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>
        <f>IF(OR(F5032="",G5032=""),"",IF(G5032&lt;='RETRATO 2027'!$K$5,"CONCLUÍDA",IF(F5032&lt;='RETRATO 2027'!$K$5,"EM ANDAMENTO","A INICIAR")))</f>
        <v/>
      </c>
    </row>
    <row r="5033">
      <c r="M5033" s="2">
        <f>IF(C5033="","",IFERROR(INDEX($S$5:$S$304,MATCH(C5033,$R$5:$R$304,0))&amp;"","?"))</f>
        <v/>
      </c>
      <c r="N5033" s="2">
        <f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>
        <f>IF(OR(F5033="",G5033=""),"",IF(G5033&lt;='RETRATO 2027'!$K$5,"CONCLUÍDA",IF(F5033&lt;='RETRATO 2027'!$K$5,"EM ANDAMENTO","A INICIAR")))</f>
        <v/>
      </c>
    </row>
    <row r="5034">
      <c r="M5034" s="2">
        <f>IF(C5034="","",IFERROR(INDEX($S$5:$S$304,MATCH(C5034,$R$5:$R$304,0))&amp;"","?"))</f>
        <v/>
      </c>
      <c r="N5034" s="2">
        <f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>
        <f>IF(OR(F5034="",G5034=""),"",IF(G5034&lt;='RETRATO 2027'!$K$5,"CONCLUÍDA",IF(F5034&lt;='RETRATO 2027'!$K$5,"EM ANDAMENTO","A INICIAR")))</f>
        <v/>
      </c>
    </row>
    <row r="5035">
      <c r="M5035" s="2">
        <f>IF(C5035="","",IFERROR(INDEX($S$5:$S$304,MATCH(C5035,$R$5:$R$304,0))&amp;"","?"))</f>
        <v/>
      </c>
      <c r="N5035" s="2">
        <f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>
        <f>IF(OR(F5035="",G5035=""),"",IF(G5035&lt;='RETRATO 2027'!$K$5,"CONCLUÍDA",IF(F5035&lt;='RETRATO 2027'!$K$5,"EM ANDAMENTO","A INICIAR")))</f>
        <v/>
      </c>
    </row>
    <row r="5036">
      <c r="M5036" s="2">
        <f>IF(C5036="","",IFERROR(INDEX($S$5:$S$304,MATCH(C5036,$R$5:$R$304,0))&amp;"","?"))</f>
        <v/>
      </c>
      <c r="N5036" s="2">
        <f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>
        <f>IF(OR(F5036="",G5036=""),"",IF(G5036&lt;='RETRATO 2027'!$K$5,"CONCLUÍDA",IF(F5036&lt;='RETRATO 2027'!$K$5,"EM ANDAMENTO","A INICIAR")))</f>
        <v/>
      </c>
    </row>
    <row r="5037">
      <c r="M5037" s="2">
        <f>IF(C5037="","",IFERROR(INDEX($S$5:$S$304,MATCH(C5037,$R$5:$R$304,0))&amp;"","?"))</f>
        <v/>
      </c>
      <c r="N5037" s="2">
        <f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>
        <f>IF(OR(F5037="",G5037=""),"",IF(G5037&lt;='RETRATO 2027'!$K$5,"CONCLUÍDA",IF(F5037&lt;='RETRATO 2027'!$K$5,"EM ANDAMENTO","A INICIAR")))</f>
        <v/>
      </c>
    </row>
    <row r="5038">
      <c r="M5038" s="2">
        <f>IF(C5038="","",IFERROR(INDEX($S$5:$S$304,MATCH(C5038,$R$5:$R$304,0))&amp;"","?"))</f>
        <v/>
      </c>
      <c r="N5038" s="2">
        <f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>
        <f>IF(OR(F5038="",G5038=""),"",IF(G5038&lt;='RETRATO 2027'!$K$5,"CONCLUÍDA",IF(F5038&lt;='RETRATO 2027'!$K$5,"EM ANDAMENTO","A INICIAR")))</f>
        <v/>
      </c>
    </row>
    <row r="5039">
      <c r="M5039" s="2">
        <f>IF(C5039="","",IFERROR(INDEX($S$5:$S$304,MATCH(C5039,$R$5:$R$304,0))&amp;"","?"))</f>
        <v/>
      </c>
      <c r="N5039" s="2">
        <f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>
        <f>IF(OR(F5039="",G5039=""),"",IF(G5039&lt;='RETRATO 2027'!$K$5,"CONCLUÍDA",IF(F5039&lt;='RETRATO 2027'!$K$5,"EM ANDAMENTO","A INICIAR")))</f>
        <v/>
      </c>
    </row>
    <row r="5040">
      <c r="M5040" s="2">
        <f>IF(C5040="","",IFERROR(INDEX($S$5:$S$304,MATCH(C5040,$R$5:$R$304,0))&amp;"","?"))</f>
        <v/>
      </c>
      <c r="N5040" s="2">
        <f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>
        <f>IF(OR(F5040="",G5040=""),"",IF(G5040&lt;='RETRATO 2027'!$K$5,"CONCLUÍDA",IF(F5040&lt;='RETRATO 2027'!$K$5,"EM ANDAMENTO","A INICIAR")))</f>
        <v/>
      </c>
    </row>
    <row r="5041">
      <c r="M5041" s="2">
        <f>IF(C5041="","",IFERROR(INDEX($S$5:$S$304,MATCH(C5041,$R$5:$R$304,0))&amp;"","?"))</f>
        <v/>
      </c>
      <c r="N5041" s="2">
        <f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>
        <f>IF(OR(F5041="",G5041=""),"",IF(G5041&lt;='RETRATO 2027'!$K$5,"CONCLUÍDA",IF(F5041&lt;='RETRATO 2027'!$K$5,"EM ANDAMENTO","A INICIAR")))</f>
        <v/>
      </c>
    </row>
    <row r="5042">
      <c r="M5042" s="2">
        <f>IF(C5042="","",IFERROR(INDEX($S$5:$S$304,MATCH(C5042,$R$5:$R$304,0))&amp;"","?"))</f>
        <v/>
      </c>
      <c r="N5042" s="2">
        <f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>
        <f>IF(OR(F5042="",G5042=""),"",IF(G5042&lt;='RETRATO 2027'!$K$5,"CONCLUÍDA",IF(F5042&lt;='RETRATO 2027'!$K$5,"EM ANDAMENTO","A INICIAR")))</f>
        <v/>
      </c>
    </row>
    <row r="5043">
      <c r="M5043" s="2">
        <f>IF(C5043="","",IFERROR(INDEX($S$5:$S$304,MATCH(C5043,$R$5:$R$304,0))&amp;"","?"))</f>
        <v/>
      </c>
      <c r="N5043" s="2">
        <f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>
        <f>IF(OR(F5043="",G5043=""),"",IF(G5043&lt;='RETRATO 2027'!$K$5,"CONCLUÍDA",IF(F5043&lt;='RETRATO 2027'!$K$5,"EM ANDAMENTO","A INICIAR")))</f>
        <v/>
      </c>
    </row>
    <row r="5044">
      <c r="M5044" s="2">
        <f>IF(C5044="","",IFERROR(INDEX($S$5:$S$304,MATCH(C5044,$R$5:$R$304,0))&amp;"","?"))</f>
        <v/>
      </c>
      <c r="N5044" s="2">
        <f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>
        <f>IF(OR(F5044="",G5044=""),"",IF(G5044&lt;='RETRATO 2027'!$K$5,"CONCLUÍDA",IF(F5044&lt;='RETRATO 2027'!$K$5,"EM ANDAMENTO","A INICIAR")))</f>
        <v/>
      </c>
    </row>
    <row r="5045">
      <c r="M5045" s="2">
        <f>IF(C5045="","",IFERROR(INDEX($S$5:$S$304,MATCH(C5045,$R$5:$R$304,0))&amp;"","?"))</f>
        <v/>
      </c>
      <c r="N5045" s="2">
        <f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>
        <f>IF(OR(F5045="",G5045=""),"",IF(G5045&lt;='RETRATO 2027'!$K$5,"CONCLUÍDA",IF(F5045&lt;='RETRATO 2027'!$K$5,"EM ANDAMENTO","A INICIAR")))</f>
        <v/>
      </c>
    </row>
    <row r="5046">
      <c r="M5046" s="2">
        <f>IF(C5046="","",IFERROR(INDEX($S$5:$S$304,MATCH(C5046,$R$5:$R$304,0))&amp;"","?"))</f>
        <v/>
      </c>
      <c r="N5046" s="2">
        <f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>
        <f>IF(OR(F5046="",G5046=""),"",IF(G5046&lt;='RETRATO 2027'!$K$5,"CONCLUÍDA",IF(F5046&lt;='RETRATO 2027'!$K$5,"EM ANDAMENTO","A INICIAR")))</f>
        <v/>
      </c>
    </row>
    <row r="5047">
      <c r="M5047" s="2">
        <f>IF(C5047="","",IFERROR(INDEX($S$5:$S$304,MATCH(C5047,$R$5:$R$304,0))&amp;"","?"))</f>
        <v/>
      </c>
      <c r="N5047" s="2">
        <f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>
        <f>IF(OR(F5047="",G5047=""),"",IF(G5047&lt;='RETRATO 2027'!$K$5,"CONCLUÍDA",IF(F5047&lt;='RETRATO 2027'!$K$5,"EM ANDAMENTO","A INICIAR")))</f>
        <v/>
      </c>
    </row>
    <row r="5048">
      <c r="M5048" s="2">
        <f>IF(C5048="","",IFERROR(INDEX($S$5:$S$304,MATCH(C5048,$R$5:$R$304,0))&amp;"","?"))</f>
        <v/>
      </c>
      <c r="N5048" s="2">
        <f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>
        <f>IF(OR(F5048="",G5048=""),"",IF(G5048&lt;='RETRATO 2027'!$K$5,"CONCLUÍDA",IF(F5048&lt;='RETRATO 2027'!$K$5,"EM ANDAMENTO","A INICIAR")))</f>
        <v/>
      </c>
    </row>
    <row r="5049">
      <c r="M5049" s="2">
        <f>IF(C5049="","",IFERROR(INDEX($S$5:$S$304,MATCH(C5049,$R$5:$R$304,0))&amp;"","?"))</f>
        <v/>
      </c>
      <c r="N5049" s="2">
        <f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>
        <f>IF(OR(F5049="",G5049=""),"",IF(G5049&lt;='RETRATO 2027'!$K$5,"CONCLUÍDA",IF(F5049&lt;='RETRATO 2027'!$K$5,"EM ANDAMENTO","A INICIAR")))</f>
        <v/>
      </c>
    </row>
    <row r="5050">
      <c r="M5050" s="2">
        <f>IF(C5050="","",IFERROR(INDEX($S$5:$S$304,MATCH(C5050,$R$5:$R$304,0))&amp;"","?"))</f>
        <v/>
      </c>
      <c r="N5050" s="2">
        <f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>
        <f>IF(OR(F5050="",G5050=""),"",IF(G5050&lt;='RETRATO 2027'!$K$5,"CONCLUÍDA",IF(F5050&lt;='RETRATO 2027'!$K$5,"EM ANDAMENTO","A INICIAR")))</f>
        <v/>
      </c>
    </row>
    <row r="5051">
      <c r="M5051" s="2">
        <f>IF(C5051="","",IFERROR(INDEX($S$5:$S$304,MATCH(C5051,$R$5:$R$304,0))&amp;"","?"))</f>
        <v/>
      </c>
      <c r="N5051" s="2">
        <f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>
        <f>IF(OR(F5051="",G5051=""),"",IF(G5051&lt;='RETRATO 2027'!$K$5,"CONCLUÍDA",IF(F5051&lt;='RETRATO 2027'!$K$5,"EM ANDAMENTO","A INICIAR")))</f>
        <v/>
      </c>
    </row>
    <row r="5052">
      <c r="M5052" s="2">
        <f>IF(C5052="","",IFERROR(INDEX($S$5:$S$304,MATCH(C5052,$R$5:$R$304,0))&amp;"","?"))</f>
        <v/>
      </c>
      <c r="N5052" s="2">
        <f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>
        <f>IF(OR(F5052="",G5052=""),"",IF(G5052&lt;='RETRATO 2027'!$K$5,"CONCLUÍDA",IF(F5052&lt;='RETRATO 2027'!$K$5,"EM ANDAMENTO","A INICIAR")))</f>
        <v/>
      </c>
    </row>
    <row r="5053">
      <c r="M5053" s="2">
        <f>IF(C5053="","",IFERROR(INDEX($S$5:$S$304,MATCH(C5053,$R$5:$R$304,0))&amp;"","?"))</f>
        <v/>
      </c>
      <c r="N5053" s="2">
        <f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>
        <f>IF(OR(F5053="",G5053=""),"",IF(G5053&lt;='RETRATO 2027'!$K$5,"CONCLUÍDA",IF(F5053&lt;='RETRATO 2027'!$K$5,"EM ANDAMENTO","A INICIAR")))</f>
        <v/>
      </c>
    </row>
    <row r="5054">
      <c r="M5054" s="2">
        <f>IF(C5054="","",IFERROR(INDEX($S$5:$S$304,MATCH(C5054,$R$5:$R$304,0))&amp;"","?"))</f>
        <v/>
      </c>
      <c r="N5054" s="2">
        <f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>
        <f>IF(OR(F5054="",G5054=""),"",IF(G5054&lt;='RETRATO 2027'!$K$5,"CONCLUÍDA",IF(F5054&lt;='RETRATO 2027'!$K$5,"EM ANDAMENTO","A INICIAR")))</f>
        <v/>
      </c>
    </row>
    <row r="5055">
      <c r="M5055" s="2">
        <f>IF(C5055="","",IFERROR(INDEX($S$5:$S$304,MATCH(C5055,$R$5:$R$304,0))&amp;"","?"))</f>
        <v/>
      </c>
      <c r="N5055" s="2">
        <f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>
        <f>IF(OR(F5055="",G5055=""),"",IF(G5055&lt;='RETRATO 2027'!$K$5,"CONCLUÍDA",IF(F5055&lt;='RETRATO 2027'!$K$5,"EM ANDAMENTO","A INICIAR")))</f>
        <v/>
      </c>
    </row>
    <row r="5056">
      <c r="M5056" s="2">
        <f>IF(C5056="","",IFERROR(INDEX($S$5:$S$304,MATCH(C5056,$R$5:$R$304,0))&amp;"","?"))</f>
        <v/>
      </c>
      <c r="N5056" s="2">
        <f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>
        <f>IF(OR(F5056="",G5056=""),"",IF(G5056&lt;='RETRATO 2027'!$K$5,"CONCLUÍDA",IF(F5056&lt;='RETRATO 2027'!$K$5,"EM ANDAMENTO","A INICIAR")))</f>
        <v/>
      </c>
    </row>
    <row r="5057">
      <c r="M5057" s="2">
        <f>IF(C5057="","",IFERROR(INDEX($S$5:$S$304,MATCH(C5057,$R$5:$R$304,0))&amp;"","?"))</f>
        <v/>
      </c>
      <c r="N5057" s="2">
        <f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>
        <f>IF(OR(F5057="",G5057=""),"",IF(G5057&lt;='RETRATO 2027'!$K$5,"CONCLUÍDA",IF(F5057&lt;='RETRATO 2027'!$K$5,"EM ANDAMENTO","A INICIAR")))</f>
        <v/>
      </c>
    </row>
    <row r="5058">
      <c r="M5058" s="2">
        <f>IF(C5058="","",IFERROR(INDEX($S$5:$S$304,MATCH(C5058,$R$5:$R$304,0))&amp;"","?"))</f>
        <v/>
      </c>
      <c r="N5058" s="2">
        <f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>
        <f>IF(OR(F5058="",G5058=""),"",IF(G5058&lt;='RETRATO 2027'!$K$5,"CONCLUÍDA",IF(F5058&lt;='RETRATO 2027'!$K$5,"EM ANDAMENTO","A INICIAR")))</f>
        <v/>
      </c>
    </row>
    <row r="5059">
      <c r="M5059" s="2">
        <f>IF(C5059="","",IFERROR(INDEX($S$5:$S$304,MATCH(C5059,$R$5:$R$304,0))&amp;"","?"))</f>
        <v/>
      </c>
      <c r="N5059" s="2">
        <f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>
        <f>IF(OR(F5059="",G5059=""),"",IF(G5059&lt;='RETRATO 2027'!$K$5,"CONCLUÍDA",IF(F5059&lt;='RETRATO 2027'!$K$5,"EM ANDAMENTO","A INICIAR")))</f>
        <v/>
      </c>
    </row>
    <row r="5060">
      <c r="M5060" s="2">
        <f>IF(C5060="","",IFERROR(INDEX($S$5:$S$304,MATCH(C5060,$R$5:$R$304,0))&amp;"","?"))</f>
        <v/>
      </c>
      <c r="N5060" s="2">
        <f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>
        <f>IF(OR(F5060="",G5060=""),"",IF(G5060&lt;='RETRATO 2027'!$K$5,"CONCLUÍDA",IF(F5060&lt;='RETRATO 2027'!$K$5,"EM ANDAMENTO","A INICIAR")))</f>
        <v/>
      </c>
    </row>
    <row r="5061">
      <c r="M5061" s="2">
        <f>IF(C5061="","",IFERROR(INDEX($S$5:$S$304,MATCH(C5061,$R$5:$R$304,0))&amp;"","?"))</f>
        <v/>
      </c>
      <c r="N5061" s="2">
        <f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>
        <f>IF(OR(F5061="",G5061=""),"",IF(G5061&lt;='RETRATO 2027'!$K$5,"CONCLUÍDA",IF(F5061&lt;='RETRATO 2027'!$K$5,"EM ANDAMENTO","A INICIAR")))</f>
        <v/>
      </c>
    </row>
    <row r="5062">
      <c r="M5062" s="2">
        <f>IF(C5062="","",IFERROR(INDEX($S$5:$S$304,MATCH(C5062,$R$5:$R$304,0))&amp;"","?"))</f>
        <v/>
      </c>
      <c r="N5062" s="2">
        <f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>
        <f>IF(OR(F5062="",G5062=""),"",IF(G5062&lt;='RETRATO 2027'!$K$5,"CONCLUÍDA",IF(F5062&lt;='RETRATO 2027'!$K$5,"EM ANDAMENTO","A INICIAR")))</f>
        <v/>
      </c>
    </row>
    <row r="5063">
      <c r="M5063" s="2">
        <f>IF(C5063="","",IFERROR(INDEX($S$5:$S$304,MATCH(C5063,$R$5:$R$304,0))&amp;"","?"))</f>
        <v/>
      </c>
      <c r="N5063" s="2">
        <f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>
        <f>IF(OR(F5063="",G5063=""),"",IF(G5063&lt;='RETRATO 2027'!$K$5,"CONCLUÍDA",IF(F5063&lt;='RETRATO 2027'!$K$5,"EM ANDAMENTO","A INICIAR")))</f>
        <v/>
      </c>
    </row>
    <row r="5064">
      <c r="M5064" s="2">
        <f>IF(C5064="","",IFERROR(INDEX($S$5:$S$304,MATCH(C5064,$R$5:$R$304,0))&amp;"","?"))</f>
        <v/>
      </c>
      <c r="N5064" s="2">
        <f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>
        <f>IF(OR(F5064="",G5064=""),"",IF(G5064&lt;='RETRATO 2027'!$K$5,"CONCLUÍDA",IF(F5064&lt;='RETRATO 2027'!$K$5,"EM ANDAMENTO","A INICIAR")))</f>
        <v/>
      </c>
    </row>
    <row r="5065">
      <c r="M5065" s="2">
        <f>IF(C5065="","",IFERROR(INDEX($S$5:$S$304,MATCH(C5065,$R$5:$R$304,0))&amp;"","?"))</f>
        <v/>
      </c>
      <c r="N5065" s="2">
        <f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>
        <f>IF(OR(F5065="",G5065=""),"",IF(G5065&lt;='RETRATO 2027'!$K$5,"CONCLUÍDA",IF(F5065&lt;='RETRATO 2027'!$K$5,"EM ANDAMENTO","A INICIAR")))</f>
        <v/>
      </c>
    </row>
    <row r="5066">
      <c r="M5066" s="2">
        <f>IF(C5066="","",IFERROR(INDEX($S$5:$S$304,MATCH(C5066,$R$5:$R$304,0))&amp;"","?"))</f>
        <v/>
      </c>
      <c r="N5066" s="2">
        <f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>
        <f>IF(OR(F5066="",G5066=""),"",IF(G5066&lt;='RETRATO 2027'!$K$5,"CONCLUÍDA",IF(F5066&lt;='RETRATO 2027'!$K$5,"EM ANDAMENTO","A INICIAR")))</f>
        <v/>
      </c>
    </row>
    <row r="5067">
      <c r="M5067" s="2">
        <f>IF(C5067="","",IFERROR(INDEX($S$5:$S$304,MATCH(C5067,$R$5:$R$304,0))&amp;"","?"))</f>
        <v/>
      </c>
      <c r="N5067" s="2">
        <f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>
        <f>IF(OR(F5067="",G5067=""),"",IF(G5067&lt;='RETRATO 2027'!$K$5,"CONCLUÍDA",IF(F5067&lt;='RETRATO 2027'!$K$5,"EM ANDAMENTO","A INICIAR")))</f>
        <v/>
      </c>
    </row>
    <row r="5068">
      <c r="M5068" s="2">
        <f>IF(C5068="","",IFERROR(INDEX($S$5:$S$304,MATCH(C5068,$R$5:$R$304,0))&amp;"","?"))</f>
        <v/>
      </c>
      <c r="N5068" s="2">
        <f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>
        <f>IF(OR(F5068="",G5068=""),"",IF(G5068&lt;='RETRATO 2027'!$K$5,"CONCLUÍDA",IF(F5068&lt;='RETRATO 2027'!$K$5,"EM ANDAMENTO","A INICIAR")))</f>
        <v/>
      </c>
    </row>
    <row r="5069">
      <c r="M5069" s="2">
        <f>IF(C5069="","",IFERROR(INDEX($S$5:$S$304,MATCH(C5069,$R$5:$R$304,0))&amp;"","?"))</f>
        <v/>
      </c>
      <c r="N5069" s="2">
        <f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>
        <f>IF(OR(F5069="",G5069=""),"",IF(G5069&lt;='RETRATO 2027'!$K$5,"CONCLUÍDA",IF(F5069&lt;='RETRATO 2027'!$K$5,"EM ANDAMENTO","A INICIAR")))</f>
        <v/>
      </c>
    </row>
    <row r="5070">
      <c r="M5070" s="2">
        <f>IF(C5070="","",IFERROR(INDEX($S$5:$S$304,MATCH(C5070,$R$5:$R$304,0))&amp;"","?"))</f>
        <v/>
      </c>
      <c r="N5070" s="2">
        <f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>
        <f>IF(OR(F5070="",G5070=""),"",IF(G5070&lt;='RETRATO 2027'!$K$5,"CONCLUÍDA",IF(F5070&lt;='RETRATO 2027'!$K$5,"EM ANDAMENTO","A INICIAR")))</f>
        <v/>
      </c>
    </row>
    <row r="5071">
      <c r="M5071" s="2">
        <f>IF(C5071="","",IFERROR(INDEX($S$5:$S$304,MATCH(C5071,$R$5:$R$304,0))&amp;"","?"))</f>
        <v/>
      </c>
      <c r="N5071" s="2">
        <f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>
        <f>IF(OR(F5071="",G5071=""),"",IF(G5071&lt;='RETRATO 2027'!$K$5,"CONCLUÍDA",IF(F5071&lt;='RETRATO 2027'!$K$5,"EM ANDAMENTO","A INICIAR")))</f>
        <v/>
      </c>
    </row>
    <row r="5072">
      <c r="M5072" s="2">
        <f>IF(C5072="","",IFERROR(INDEX($S$5:$S$304,MATCH(C5072,$R$5:$R$304,0))&amp;"","?"))</f>
        <v/>
      </c>
      <c r="N5072" s="2">
        <f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>
        <f>IF(OR(F5072="",G5072=""),"",IF(G5072&lt;='RETRATO 2027'!$K$5,"CONCLUÍDA",IF(F5072&lt;='RETRATO 2027'!$K$5,"EM ANDAMENTO","A INICIAR")))</f>
        <v/>
      </c>
    </row>
    <row r="5073">
      <c r="M5073" s="2">
        <f>IF(C5073="","",IFERROR(INDEX($S$5:$S$304,MATCH(C5073,$R$5:$R$304,0))&amp;"","?"))</f>
        <v/>
      </c>
      <c r="N5073" s="2">
        <f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>
        <f>IF(OR(F5073="",G5073=""),"",IF(G5073&lt;='RETRATO 2027'!$K$5,"CONCLUÍDA",IF(F5073&lt;='RETRATO 2027'!$K$5,"EM ANDAMENTO","A INICIAR")))</f>
        <v/>
      </c>
    </row>
    <row r="5074">
      <c r="M5074" s="2">
        <f>IF(C5074="","",IFERROR(INDEX($S$5:$S$304,MATCH(C5074,$R$5:$R$304,0))&amp;"","?"))</f>
        <v/>
      </c>
      <c r="N5074" s="2">
        <f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>
        <f>IF(OR(F5074="",G5074=""),"",IF(G5074&lt;='RETRATO 2027'!$K$5,"CONCLUÍDA",IF(F5074&lt;='RETRATO 2027'!$K$5,"EM ANDAMENTO","A INICIAR")))</f>
        <v/>
      </c>
    </row>
    <row r="5075">
      <c r="M5075" s="2">
        <f>IF(C5075="","",IFERROR(INDEX($S$5:$S$304,MATCH(C5075,$R$5:$R$304,0))&amp;"","?"))</f>
        <v/>
      </c>
      <c r="N5075" s="2">
        <f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>
        <f>IF(OR(F5075="",G5075=""),"",IF(G5075&lt;='RETRATO 2027'!$K$5,"CONCLUÍDA",IF(F5075&lt;='RETRATO 2027'!$K$5,"EM ANDAMENTO","A INICIAR")))</f>
        <v/>
      </c>
    </row>
    <row r="5076">
      <c r="M5076" s="2">
        <f>IF(C5076="","",IFERROR(INDEX($S$5:$S$304,MATCH(C5076,$R$5:$R$304,0))&amp;"","?"))</f>
        <v/>
      </c>
      <c r="N5076" s="2">
        <f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>
        <f>IF(OR(F5076="",G5076=""),"",IF(G5076&lt;='RETRATO 2027'!$K$5,"CONCLUÍDA",IF(F5076&lt;='RETRATO 2027'!$K$5,"EM ANDAMENTO","A INICIAR")))</f>
        <v/>
      </c>
    </row>
    <row r="5077">
      <c r="M5077" s="2">
        <f>IF(C5077="","",IFERROR(INDEX($S$5:$S$304,MATCH(C5077,$R$5:$R$304,0))&amp;"","?"))</f>
        <v/>
      </c>
      <c r="N5077" s="2">
        <f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>
        <f>IF(OR(F5077="",G5077=""),"",IF(G5077&lt;='RETRATO 2027'!$K$5,"CONCLUÍDA",IF(F5077&lt;='RETRATO 2027'!$K$5,"EM ANDAMENTO","A INICIAR")))</f>
        <v/>
      </c>
    </row>
    <row r="5078">
      <c r="M5078" s="2">
        <f>IF(C5078="","",IFERROR(INDEX($S$5:$S$304,MATCH(C5078,$R$5:$R$304,0))&amp;"","?"))</f>
        <v/>
      </c>
      <c r="N5078" s="2">
        <f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>
        <f>IF(OR(F5078="",G5078=""),"",IF(G5078&lt;='RETRATO 2027'!$K$5,"CONCLUÍDA",IF(F5078&lt;='RETRATO 2027'!$K$5,"EM ANDAMENTO","A INICIAR")))</f>
        <v/>
      </c>
    </row>
    <row r="5079">
      <c r="M5079" s="2">
        <f>IF(C5079="","",IFERROR(INDEX($S$5:$S$304,MATCH(C5079,$R$5:$R$304,0))&amp;"","?"))</f>
        <v/>
      </c>
      <c r="N5079" s="2">
        <f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>
        <f>IF(OR(F5079="",G5079=""),"",IF(G5079&lt;='RETRATO 2027'!$K$5,"CONCLUÍDA",IF(F5079&lt;='RETRATO 2027'!$K$5,"EM ANDAMENTO","A INICIAR")))</f>
        <v/>
      </c>
    </row>
    <row r="5080">
      <c r="M5080" s="2">
        <f>IF(C5080="","",IFERROR(INDEX($S$5:$S$304,MATCH(C5080,$R$5:$R$304,0))&amp;"","?"))</f>
        <v/>
      </c>
      <c r="N5080" s="2">
        <f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>
        <f>IF(OR(F5080="",G5080=""),"",IF(G5080&lt;='RETRATO 2027'!$K$5,"CONCLUÍDA",IF(F5080&lt;='RETRATO 2027'!$K$5,"EM ANDAMENTO","A INICIAR")))</f>
        <v/>
      </c>
    </row>
    <row r="5081">
      <c r="M5081" s="2">
        <f>IF(C5081="","",IFERROR(INDEX($S$5:$S$304,MATCH(C5081,$R$5:$R$304,0))&amp;"","?"))</f>
        <v/>
      </c>
      <c r="N5081" s="2">
        <f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>
        <f>IF(OR(F5081="",G5081=""),"",IF(G5081&lt;='RETRATO 2027'!$K$5,"CONCLUÍDA",IF(F5081&lt;='RETRATO 2027'!$K$5,"EM ANDAMENTO","A INICIAR")))</f>
        <v/>
      </c>
    </row>
    <row r="5082">
      <c r="M5082" s="2">
        <f>IF(C5082="","",IFERROR(INDEX($S$5:$S$304,MATCH(C5082,$R$5:$R$304,0))&amp;"","?"))</f>
        <v/>
      </c>
      <c r="N5082" s="2">
        <f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>
        <f>IF(OR(F5082="",G5082=""),"",IF(G5082&lt;='RETRATO 2027'!$K$5,"CONCLUÍDA",IF(F5082&lt;='RETRATO 2027'!$K$5,"EM ANDAMENTO","A INICIAR")))</f>
        <v/>
      </c>
    </row>
    <row r="5083">
      <c r="M5083" s="2">
        <f>IF(C5083="","",IFERROR(INDEX($S$5:$S$304,MATCH(C5083,$R$5:$R$304,0))&amp;"","?"))</f>
        <v/>
      </c>
      <c r="N5083" s="2">
        <f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>
        <f>IF(OR(F5083="",G5083=""),"",IF(G5083&lt;='RETRATO 2027'!$K$5,"CONCLUÍDA",IF(F5083&lt;='RETRATO 2027'!$K$5,"EM ANDAMENTO","A INICIAR")))</f>
        <v/>
      </c>
    </row>
    <row r="5084">
      <c r="M5084" s="2">
        <f>IF(C5084="","",IFERROR(INDEX($S$5:$S$304,MATCH(C5084,$R$5:$R$304,0))&amp;"","?"))</f>
        <v/>
      </c>
      <c r="N5084" s="2">
        <f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>
        <f>IF(OR(F5084="",G5084=""),"",IF(G5084&lt;='RETRATO 2027'!$K$5,"CONCLUÍDA",IF(F5084&lt;='RETRATO 2027'!$K$5,"EM ANDAMENTO","A INICIAR")))</f>
        <v/>
      </c>
    </row>
    <row r="5085">
      <c r="M5085" s="2">
        <f>IF(C5085="","",IFERROR(INDEX($S$5:$S$304,MATCH(C5085,$R$5:$R$304,0))&amp;"","?"))</f>
        <v/>
      </c>
      <c r="N5085" s="2">
        <f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>
        <f>IF(OR(F5085="",G5085=""),"",IF(G5085&lt;='RETRATO 2027'!$K$5,"CONCLUÍDA",IF(F5085&lt;='RETRATO 2027'!$K$5,"EM ANDAMENTO","A INICIAR")))</f>
        <v/>
      </c>
    </row>
    <row r="5086">
      <c r="M5086" s="2">
        <f>IF(C5086="","",IFERROR(INDEX($S$5:$S$304,MATCH(C5086,$R$5:$R$304,0))&amp;"","?"))</f>
        <v/>
      </c>
      <c r="N5086" s="2">
        <f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>
        <f>IF(OR(F5086="",G5086=""),"",IF(G5086&lt;='RETRATO 2027'!$K$5,"CONCLUÍDA",IF(F5086&lt;='RETRATO 2027'!$K$5,"EM ANDAMENTO","A INICIAR")))</f>
        <v/>
      </c>
    </row>
    <row r="5087">
      <c r="M5087" s="2">
        <f>IF(C5087="","",IFERROR(INDEX($S$5:$S$304,MATCH(C5087,$R$5:$R$304,0))&amp;"","?"))</f>
        <v/>
      </c>
      <c r="N5087" s="2">
        <f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>
        <f>IF(OR(F5087="",G5087=""),"",IF(G5087&lt;='RETRATO 2027'!$K$5,"CONCLUÍDA",IF(F5087&lt;='RETRATO 2027'!$K$5,"EM ANDAMENTO","A INICIAR")))</f>
        <v/>
      </c>
    </row>
    <row r="5088">
      <c r="M5088" s="2">
        <f>IF(C5088="","",IFERROR(INDEX($S$5:$S$304,MATCH(C5088,$R$5:$R$304,0))&amp;"","?"))</f>
        <v/>
      </c>
      <c r="N5088" s="2">
        <f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>
        <f>IF(OR(F5088="",G5088=""),"",IF(G5088&lt;='RETRATO 2027'!$K$5,"CONCLUÍDA",IF(F5088&lt;='RETRATO 2027'!$K$5,"EM ANDAMENTO","A INICIAR")))</f>
        <v/>
      </c>
    </row>
    <row r="5089">
      <c r="M5089" s="2">
        <f>IF(C5089="","",IFERROR(INDEX($S$5:$S$304,MATCH(C5089,$R$5:$R$304,0))&amp;"","?"))</f>
        <v/>
      </c>
      <c r="N5089" s="2">
        <f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>
        <f>IF(OR(F5089="",G5089=""),"",IF(G5089&lt;='RETRATO 2027'!$K$5,"CONCLUÍDA",IF(F5089&lt;='RETRATO 2027'!$K$5,"EM ANDAMENTO","A INICIAR")))</f>
        <v/>
      </c>
    </row>
    <row r="5090">
      <c r="M5090" s="2">
        <f>IF(C5090="","",IFERROR(INDEX($S$5:$S$304,MATCH(C5090,$R$5:$R$304,0))&amp;"","?"))</f>
        <v/>
      </c>
      <c r="N5090" s="2">
        <f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>
        <f>IF(OR(F5090="",G5090=""),"",IF(G5090&lt;='RETRATO 2027'!$K$5,"CONCLUÍDA",IF(F5090&lt;='RETRATO 2027'!$K$5,"EM ANDAMENTO","A INICIAR")))</f>
        <v/>
      </c>
    </row>
    <row r="5091">
      <c r="M5091" s="2">
        <f>IF(C5091="","",IFERROR(INDEX($S$5:$S$304,MATCH(C5091,$R$5:$R$304,0))&amp;"","?"))</f>
        <v/>
      </c>
      <c r="N5091" s="2">
        <f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>
        <f>IF(OR(F5091="",G5091=""),"",IF(G5091&lt;='RETRATO 2027'!$K$5,"CONCLUÍDA",IF(F5091&lt;='RETRATO 2027'!$K$5,"EM ANDAMENTO","A INICIAR")))</f>
        <v/>
      </c>
    </row>
    <row r="5092">
      <c r="M5092" s="2">
        <f>IF(C5092="","",IFERROR(INDEX($S$5:$S$304,MATCH(C5092,$R$5:$R$304,0))&amp;"","?"))</f>
        <v/>
      </c>
      <c r="N5092" s="2">
        <f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>
        <f>IF(OR(F5092="",G5092=""),"",IF(G5092&lt;='RETRATO 2027'!$K$5,"CONCLUÍDA",IF(F5092&lt;='RETRATO 2027'!$K$5,"EM ANDAMENTO","A INICIAR")))</f>
        <v/>
      </c>
    </row>
    <row r="5093">
      <c r="M5093" s="2">
        <f>IF(C5093="","",IFERROR(INDEX($S$5:$S$304,MATCH(C5093,$R$5:$R$304,0))&amp;"","?"))</f>
        <v/>
      </c>
      <c r="N5093" s="2">
        <f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>
        <f>IF(OR(F5093="",G5093=""),"",IF(G5093&lt;='RETRATO 2027'!$K$5,"CONCLUÍDA",IF(F5093&lt;='RETRATO 2027'!$K$5,"EM ANDAMENTO","A INICIAR")))</f>
        <v/>
      </c>
    </row>
    <row r="5094">
      <c r="M5094" s="2">
        <f>IF(C5094="","",IFERROR(INDEX($S$5:$S$304,MATCH(C5094,$R$5:$R$304,0))&amp;"","?"))</f>
        <v/>
      </c>
      <c r="N5094" s="2">
        <f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>
        <f>IF(OR(F5094="",G5094=""),"",IF(G5094&lt;='RETRATO 2027'!$K$5,"CONCLUÍDA",IF(F5094&lt;='RETRATO 2027'!$K$5,"EM ANDAMENTO","A INICIAR")))</f>
        <v/>
      </c>
    </row>
    <row r="5095">
      <c r="M5095" s="2">
        <f>IF(C5095="","",IFERROR(INDEX($S$5:$S$304,MATCH(C5095,$R$5:$R$304,0))&amp;"","?"))</f>
        <v/>
      </c>
      <c r="N5095" s="2">
        <f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>
        <f>IF(OR(F5095="",G5095=""),"",IF(G5095&lt;='RETRATO 2027'!$K$5,"CONCLUÍDA",IF(F5095&lt;='RETRATO 2027'!$K$5,"EM ANDAMENTO","A INICIAR")))</f>
        <v/>
      </c>
    </row>
    <row r="5096">
      <c r="M5096" s="2">
        <f>IF(C5096="","",IFERROR(INDEX($S$5:$S$304,MATCH(C5096,$R$5:$R$304,0))&amp;"","?"))</f>
        <v/>
      </c>
      <c r="N5096" s="2">
        <f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>
        <f>IF(OR(F5096="",G5096=""),"",IF(G5096&lt;='RETRATO 2027'!$K$5,"CONCLUÍDA",IF(F5096&lt;='RETRATO 2027'!$K$5,"EM ANDAMENTO","A INICIAR")))</f>
        <v/>
      </c>
    </row>
    <row r="5097">
      <c r="M5097" s="2">
        <f>IF(C5097="","",IFERROR(INDEX($S$5:$S$304,MATCH(C5097,$R$5:$R$304,0))&amp;"","?"))</f>
        <v/>
      </c>
      <c r="N5097" s="2">
        <f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>
        <f>IF(OR(F5097="",G5097=""),"",IF(G5097&lt;='RETRATO 2027'!$K$5,"CONCLUÍDA",IF(F5097&lt;='RETRATO 2027'!$K$5,"EM ANDAMENTO","A INICIAR")))</f>
        <v/>
      </c>
    </row>
    <row r="5098">
      <c r="M5098" s="2">
        <f>IF(C5098="","",IFERROR(INDEX($S$5:$S$304,MATCH(C5098,$R$5:$R$304,0))&amp;"","?"))</f>
        <v/>
      </c>
      <c r="N5098" s="2">
        <f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>
        <f>IF(OR(F5098="",G5098=""),"",IF(G5098&lt;='RETRATO 2027'!$K$5,"CONCLUÍDA",IF(F5098&lt;='RETRATO 2027'!$K$5,"EM ANDAMENTO","A INICIAR")))</f>
        <v/>
      </c>
    </row>
    <row r="5099">
      <c r="M5099" s="2">
        <f>IF(C5099="","",IFERROR(INDEX($S$5:$S$304,MATCH(C5099,$R$5:$R$304,0))&amp;"","?"))</f>
        <v/>
      </c>
      <c r="N5099" s="2">
        <f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>
        <f>IF(OR(F5099="",G5099=""),"",IF(G5099&lt;='RETRATO 2027'!$K$5,"CONCLUÍDA",IF(F5099&lt;='RETRATO 2027'!$K$5,"EM ANDAMENTO","A INICIAR")))</f>
        <v/>
      </c>
    </row>
    <row r="5100">
      <c r="M5100" s="2">
        <f>IF(C5100="","",IFERROR(INDEX($S$5:$S$304,MATCH(C5100,$R$5:$R$304,0))&amp;"","?"))</f>
        <v/>
      </c>
      <c r="N5100" s="2">
        <f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>
        <f>IF(OR(F5100="",G5100=""),"",IF(G5100&lt;='RETRATO 2027'!$K$5,"CONCLUÍDA",IF(F5100&lt;='RETRATO 2027'!$K$5,"EM ANDAMENTO","A INICIAR")))</f>
        <v/>
      </c>
    </row>
    <row r="5101">
      <c r="M5101" s="2">
        <f>IF(C5101="","",IFERROR(INDEX($S$5:$S$304,MATCH(C5101,$R$5:$R$304,0))&amp;"","?"))</f>
        <v/>
      </c>
      <c r="N5101" s="2">
        <f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>
        <f>IF(OR(F5101="",G5101=""),"",IF(G5101&lt;='RETRATO 2027'!$K$5,"CONCLUÍDA",IF(F5101&lt;='RETRATO 2027'!$K$5,"EM ANDAMENTO","A INICIAR")))</f>
        <v/>
      </c>
    </row>
    <row r="5102">
      <c r="M5102" s="2">
        <f>IF(C5102="","",IFERROR(INDEX($S$5:$S$304,MATCH(C5102,$R$5:$R$304,0))&amp;"","?"))</f>
        <v/>
      </c>
      <c r="N5102" s="2">
        <f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>
        <f>IF(OR(F5102="",G5102=""),"",IF(G5102&lt;='RETRATO 2027'!$K$5,"CONCLUÍDA",IF(F5102&lt;='RETRATO 2027'!$K$5,"EM ANDAMENTO","A INICIAR")))</f>
        <v/>
      </c>
    </row>
    <row r="5103">
      <c r="M5103" s="2">
        <f>IF(C5103="","",IFERROR(INDEX($S$5:$S$304,MATCH(C5103,$R$5:$R$304,0))&amp;"","?"))</f>
        <v/>
      </c>
      <c r="N5103" s="2">
        <f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>
        <f>IF(OR(F5103="",G5103=""),"",IF(G5103&lt;='RETRATO 2027'!$K$5,"CONCLUÍDA",IF(F5103&lt;='RETRATO 2027'!$K$5,"EM ANDAMENTO","A INICIAR")))</f>
        <v/>
      </c>
    </row>
    <row r="5104">
      <c r="M5104" s="2">
        <f>IF(C5104="","",IFERROR(INDEX($S$5:$S$304,MATCH(C5104,$R$5:$R$304,0))&amp;"","?"))</f>
        <v/>
      </c>
      <c r="N5104" s="2">
        <f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>
        <f>IF(OR(F5104="",G5104=""),"",IF(G5104&lt;='RETRATO 2027'!$K$5,"CONCLUÍDA",IF(F5104&lt;='RETRATO 2027'!$K$5,"EM ANDAMENTO","A INICIAR")))</f>
        <v/>
      </c>
    </row>
    <row r="5105">
      <c r="M5105" s="2">
        <f>IF(C5105="","",IFERROR(INDEX($S$5:$S$304,MATCH(C5105,$R$5:$R$304,0))&amp;"","?"))</f>
        <v/>
      </c>
      <c r="N5105" s="2">
        <f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>
        <f>IF(OR(F5105="",G5105=""),"",IF(G5105&lt;='RETRATO 2027'!$K$5,"CONCLUÍDA",IF(F5105&lt;='RETRATO 2027'!$K$5,"EM ANDAMENTO","A INICIAR")))</f>
        <v/>
      </c>
    </row>
    <row r="5106">
      <c r="M5106" s="2">
        <f>IF(C5106="","",IFERROR(INDEX($S$5:$S$304,MATCH(C5106,$R$5:$R$304,0))&amp;"","?"))</f>
        <v/>
      </c>
      <c r="N5106" s="2">
        <f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>
        <f>IF(OR(F5106="",G5106=""),"",IF(G5106&lt;='RETRATO 2027'!$K$5,"CONCLUÍDA",IF(F5106&lt;='RETRATO 2027'!$K$5,"EM ANDAMENTO","A INICIAR")))</f>
        <v/>
      </c>
    </row>
    <row r="5107">
      <c r="M5107" s="2">
        <f>IF(C5107="","",IFERROR(INDEX($S$5:$S$304,MATCH(C5107,$R$5:$R$304,0))&amp;"","?"))</f>
        <v/>
      </c>
      <c r="N5107" s="2">
        <f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>
        <f>IF(OR(F5107="",G5107=""),"",IF(G5107&lt;='RETRATO 2027'!$K$5,"CONCLUÍDA",IF(F5107&lt;='RETRATO 2027'!$K$5,"EM ANDAMENTO","A INICIAR")))</f>
        <v/>
      </c>
    </row>
    <row r="5108">
      <c r="M5108" s="2">
        <f>IF(C5108="","",IFERROR(INDEX($S$5:$S$304,MATCH(C5108,$R$5:$R$304,0))&amp;"","?"))</f>
        <v/>
      </c>
      <c r="N5108" s="2">
        <f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>
        <f>IF(OR(F5108="",G5108=""),"",IF(G5108&lt;='RETRATO 2027'!$K$5,"CONCLUÍDA",IF(F5108&lt;='RETRATO 2027'!$K$5,"EM ANDAMENTO","A INICIAR")))</f>
        <v/>
      </c>
    </row>
    <row r="5109">
      <c r="M5109" s="2">
        <f>IF(C5109="","",IFERROR(INDEX($S$5:$S$304,MATCH(C5109,$R$5:$R$304,0))&amp;"","?"))</f>
        <v/>
      </c>
      <c r="N5109" s="2">
        <f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>
        <f>IF(OR(F5109="",G5109=""),"",IF(G5109&lt;='RETRATO 2027'!$K$5,"CONCLUÍDA",IF(F5109&lt;='RETRATO 2027'!$K$5,"EM ANDAMENTO","A INICIAR")))</f>
        <v/>
      </c>
    </row>
    <row r="5110">
      <c r="M5110" s="2">
        <f>IF(C5110="","",IFERROR(INDEX($S$5:$S$304,MATCH(C5110,$R$5:$R$304,0))&amp;"","?"))</f>
        <v/>
      </c>
      <c r="N5110" s="2">
        <f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>
        <f>IF(OR(F5110="",G5110=""),"",IF(G5110&lt;='RETRATO 2027'!$K$5,"CONCLUÍDA",IF(F5110&lt;='RETRATO 2027'!$K$5,"EM ANDAMENTO","A INICIAR")))</f>
        <v/>
      </c>
    </row>
    <row r="5111">
      <c r="M5111" s="2">
        <f>IF(C5111="","",IFERROR(INDEX($S$5:$S$304,MATCH(C5111,$R$5:$R$304,0))&amp;"","?"))</f>
        <v/>
      </c>
      <c r="N5111" s="2">
        <f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>
        <f>IF(OR(F5111="",G5111=""),"",IF(G5111&lt;='RETRATO 2027'!$K$5,"CONCLUÍDA",IF(F5111&lt;='RETRATO 2027'!$K$5,"EM ANDAMENTO","A INICIAR")))</f>
        <v/>
      </c>
    </row>
    <row r="5112">
      <c r="M5112" s="2">
        <f>IF(C5112="","",IFERROR(INDEX($S$5:$S$304,MATCH(C5112,$R$5:$R$304,0))&amp;"","?"))</f>
        <v/>
      </c>
      <c r="N5112" s="2">
        <f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>
        <f>IF(OR(F5112="",G5112=""),"",IF(G5112&lt;='RETRATO 2027'!$K$5,"CONCLUÍDA",IF(F5112&lt;='RETRATO 2027'!$K$5,"EM ANDAMENTO","A INICIAR")))</f>
        <v/>
      </c>
    </row>
    <row r="5113">
      <c r="M5113" s="2">
        <f>IF(C5113="","",IFERROR(INDEX($S$5:$S$304,MATCH(C5113,$R$5:$R$304,0))&amp;"","?"))</f>
        <v/>
      </c>
      <c r="N5113" s="2">
        <f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>
        <f>IF(OR(F5113="",G5113=""),"",IF(G5113&lt;='RETRATO 2027'!$K$5,"CONCLUÍDA",IF(F5113&lt;='RETRATO 2027'!$K$5,"EM ANDAMENTO","A INICIAR")))</f>
        <v/>
      </c>
    </row>
    <row r="5114">
      <c r="M5114" s="2">
        <f>IF(C5114="","",IFERROR(INDEX($S$5:$S$304,MATCH(C5114,$R$5:$R$304,0))&amp;"","?"))</f>
        <v/>
      </c>
      <c r="N5114" s="2">
        <f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>
        <f>IF(OR(F5114="",G5114=""),"",IF(G5114&lt;='RETRATO 2027'!$K$5,"CONCLUÍDA",IF(F5114&lt;='RETRATO 2027'!$K$5,"EM ANDAMENTO","A INICIAR")))</f>
        <v/>
      </c>
    </row>
    <row r="5115">
      <c r="M5115" s="2">
        <f>IF(C5115="","",IFERROR(INDEX($S$5:$S$304,MATCH(C5115,$R$5:$R$304,0))&amp;"","?"))</f>
        <v/>
      </c>
      <c r="N5115" s="2">
        <f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>
        <f>IF(OR(F5115="",G5115=""),"",IF(G5115&lt;='RETRATO 2027'!$K$5,"CONCLUÍDA",IF(F5115&lt;='RETRATO 2027'!$K$5,"EM ANDAMENTO","A INICIAR")))</f>
        <v/>
      </c>
    </row>
    <row r="5116">
      <c r="M5116" s="2">
        <f>IF(C5116="","",IFERROR(INDEX($S$5:$S$304,MATCH(C5116,$R$5:$R$304,0))&amp;"","?"))</f>
        <v/>
      </c>
      <c r="N5116" s="2">
        <f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>
        <f>IF(OR(F5116="",G5116=""),"",IF(G5116&lt;='RETRATO 2027'!$K$5,"CONCLUÍDA",IF(F5116&lt;='RETRATO 2027'!$K$5,"EM ANDAMENTO","A INICIAR")))</f>
        <v/>
      </c>
    </row>
    <row r="5117">
      <c r="M5117" s="2">
        <f>IF(C5117="","",IFERROR(INDEX($S$5:$S$304,MATCH(C5117,$R$5:$R$304,0))&amp;"","?"))</f>
        <v/>
      </c>
      <c r="N5117" s="2">
        <f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>
        <f>IF(OR(F5117="",G5117=""),"",IF(G5117&lt;='RETRATO 2027'!$K$5,"CONCLUÍDA",IF(F5117&lt;='RETRATO 2027'!$K$5,"EM ANDAMENTO","A INICIAR")))</f>
        <v/>
      </c>
    </row>
    <row r="5118">
      <c r="M5118" s="2">
        <f>IF(C5118="","",IFERROR(INDEX($S$5:$S$304,MATCH(C5118,$R$5:$R$304,0))&amp;"","?"))</f>
        <v/>
      </c>
      <c r="N5118" s="2">
        <f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>
        <f>IF(OR(F5118="",G5118=""),"",IF(G5118&lt;='RETRATO 2027'!$K$5,"CONCLUÍDA",IF(F5118&lt;='RETRATO 2027'!$K$5,"EM ANDAMENTO","A INICIAR")))</f>
        <v/>
      </c>
    </row>
    <row r="5119">
      <c r="M5119" s="2">
        <f>IF(C5119="","",IFERROR(INDEX($S$5:$S$304,MATCH(C5119,$R$5:$R$304,0))&amp;"","?"))</f>
        <v/>
      </c>
      <c r="N5119" s="2">
        <f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>
        <f>IF(OR(F5119="",G5119=""),"",IF(G5119&lt;='RETRATO 2027'!$K$5,"CONCLUÍDA",IF(F5119&lt;='RETRATO 2027'!$K$5,"EM ANDAMENTO","A INICIAR")))</f>
        <v/>
      </c>
    </row>
    <row r="5120">
      <c r="M5120" s="2">
        <f>IF(C5120="","",IFERROR(INDEX($S$5:$S$304,MATCH(C5120,$R$5:$R$304,0))&amp;"","?"))</f>
        <v/>
      </c>
      <c r="N5120" s="2">
        <f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>
        <f>IF(OR(F5120="",G5120=""),"",IF(G5120&lt;='RETRATO 2027'!$K$5,"CONCLUÍDA",IF(F5120&lt;='RETRATO 2027'!$K$5,"EM ANDAMENTO","A INICIAR")))</f>
        <v/>
      </c>
    </row>
    <row r="5121">
      <c r="M5121" s="2">
        <f>IF(C5121="","",IFERROR(INDEX($S$5:$S$304,MATCH(C5121,$R$5:$R$304,0))&amp;"","?"))</f>
        <v/>
      </c>
      <c r="N5121" s="2">
        <f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>
        <f>IF(OR(F5121="",G5121=""),"",IF(G5121&lt;='RETRATO 2027'!$K$5,"CONCLUÍDA",IF(F5121&lt;='RETRATO 2027'!$K$5,"EM ANDAMENTO","A INICIAR")))</f>
        <v/>
      </c>
    </row>
    <row r="5122">
      <c r="M5122" s="2">
        <f>IF(C5122="","",IFERROR(INDEX($S$5:$S$304,MATCH(C5122,$R$5:$R$304,0))&amp;"","?"))</f>
        <v/>
      </c>
      <c r="N5122" s="2">
        <f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>
        <f>IF(OR(F5122="",G5122=""),"",IF(G5122&lt;='RETRATO 2027'!$K$5,"CONCLUÍDA",IF(F5122&lt;='RETRATO 2027'!$K$5,"EM ANDAMENTO","A INICIAR")))</f>
        <v/>
      </c>
    </row>
    <row r="5123">
      <c r="M5123" s="2">
        <f>IF(C5123="","",IFERROR(INDEX($S$5:$S$304,MATCH(C5123,$R$5:$R$304,0))&amp;"","?"))</f>
        <v/>
      </c>
      <c r="N5123" s="2">
        <f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>
        <f>IF(OR(F5123="",G5123=""),"",IF(G5123&lt;='RETRATO 2027'!$K$5,"CONCLUÍDA",IF(F5123&lt;='RETRATO 2027'!$K$5,"EM ANDAMENTO","A INICIAR")))</f>
        <v/>
      </c>
    </row>
    <row r="5124">
      <c r="M5124" s="2">
        <f>IF(C5124="","",IFERROR(INDEX($S$5:$S$304,MATCH(C5124,$R$5:$R$304,0))&amp;"","?"))</f>
        <v/>
      </c>
      <c r="N5124" s="2">
        <f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>
        <f>IF(OR(F5124="",G5124=""),"",IF(G5124&lt;='RETRATO 2027'!$K$5,"CONCLUÍDA",IF(F5124&lt;='RETRATO 2027'!$K$5,"EM ANDAMENTO","A INICIAR")))</f>
        <v/>
      </c>
    </row>
    <row r="5125">
      <c r="M5125" s="2">
        <f>IF(C5125="","",IFERROR(INDEX($S$5:$S$304,MATCH(C5125,$R$5:$R$304,0))&amp;"","?"))</f>
        <v/>
      </c>
      <c r="N5125" s="2">
        <f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>
        <f>IF(OR(F5125="",G5125=""),"",IF(G5125&lt;='RETRATO 2027'!$K$5,"CONCLUÍDA",IF(F5125&lt;='RETRATO 2027'!$K$5,"EM ANDAMENTO","A INICIAR")))</f>
        <v/>
      </c>
    </row>
    <row r="5126">
      <c r="M5126" s="2">
        <f>IF(C5126="","",IFERROR(INDEX($S$5:$S$304,MATCH(C5126,$R$5:$R$304,0))&amp;"","?"))</f>
        <v/>
      </c>
      <c r="N5126" s="2">
        <f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>
        <f>IF(OR(F5126="",G5126=""),"",IF(G5126&lt;='RETRATO 2027'!$K$5,"CONCLUÍDA",IF(F5126&lt;='RETRATO 2027'!$K$5,"EM ANDAMENTO","A INICIAR")))</f>
        <v/>
      </c>
    </row>
    <row r="5127">
      <c r="M5127" s="2">
        <f>IF(C5127="","",IFERROR(INDEX($S$5:$S$304,MATCH(C5127,$R$5:$R$304,0))&amp;"","?"))</f>
        <v/>
      </c>
      <c r="N5127" s="2">
        <f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>
        <f>IF(OR(F5127="",G5127=""),"",IF(G5127&lt;='RETRATO 2027'!$K$5,"CONCLUÍDA",IF(F5127&lt;='RETRATO 2027'!$K$5,"EM ANDAMENTO","A INICIAR")))</f>
        <v/>
      </c>
    </row>
    <row r="5128">
      <c r="M5128" s="2">
        <f>IF(C5128="","",IFERROR(INDEX($S$5:$S$304,MATCH(C5128,$R$5:$R$304,0))&amp;"","?"))</f>
        <v/>
      </c>
      <c r="N5128" s="2">
        <f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>
        <f>IF(OR(F5128="",G5128=""),"",IF(G5128&lt;='RETRATO 2027'!$K$5,"CONCLUÍDA",IF(F5128&lt;='RETRATO 2027'!$K$5,"EM ANDAMENTO","A INICIAR")))</f>
        <v/>
      </c>
    </row>
    <row r="5129">
      <c r="M5129" s="2">
        <f>IF(C5129="","",IFERROR(INDEX($S$5:$S$304,MATCH(C5129,$R$5:$R$304,0))&amp;"","?"))</f>
        <v/>
      </c>
      <c r="N5129" s="2">
        <f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>
        <f>IF(OR(F5129="",G5129=""),"",IF(G5129&lt;='RETRATO 2027'!$K$5,"CONCLUÍDA",IF(F5129&lt;='RETRATO 2027'!$K$5,"EM ANDAMENTO","A INICIAR")))</f>
        <v/>
      </c>
    </row>
    <row r="5130">
      <c r="M5130" s="2">
        <f>IF(C5130="","",IFERROR(INDEX($S$5:$S$304,MATCH(C5130,$R$5:$R$304,0))&amp;"","?"))</f>
        <v/>
      </c>
      <c r="N5130" s="2">
        <f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>
        <f>IF(OR(F5130="",G5130=""),"",IF(G5130&lt;='RETRATO 2027'!$K$5,"CONCLUÍDA",IF(F5130&lt;='RETRATO 2027'!$K$5,"EM ANDAMENTO","A INICIAR")))</f>
        <v/>
      </c>
    </row>
    <row r="5131">
      <c r="M5131" s="2">
        <f>IF(C5131="","",IFERROR(INDEX($S$5:$S$304,MATCH(C5131,$R$5:$R$304,0))&amp;"","?"))</f>
        <v/>
      </c>
      <c r="N5131" s="2">
        <f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>
        <f>IF(OR(F5131="",G5131=""),"",IF(G5131&lt;='RETRATO 2027'!$K$5,"CONCLUÍDA",IF(F5131&lt;='RETRATO 2027'!$K$5,"EM ANDAMENTO","A INICIAR")))</f>
        <v/>
      </c>
    </row>
    <row r="5132">
      <c r="M5132" s="2">
        <f>IF(C5132="","",IFERROR(INDEX($S$5:$S$304,MATCH(C5132,$R$5:$R$304,0))&amp;"","?"))</f>
        <v/>
      </c>
      <c r="N5132" s="2">
        <f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>
        <f>IF(OR(F5132="",G5132=""),"",IF(G5132&lt;='RETRATO 2027'!$K$5,"CONCLUÍDA",IF(F5132&lt;='RETRATO 2027'!$K$5,"EM ANDAMENTO","A INICIAR")))</f>
        <v/>
      </c>
    </row>
    <row r="5133">
      <c r="M5133" s="2">
        <f>IF(C5133="","",IFERROR(INDEX($S$5:$S$304,MATCH(C5133,$R$5:$R$304,0))&amp;"","?"))</f>
        <v/>
      </c>
      <c r="N5133" s="2">
        <f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>
        <f>IF(OR(F5133="",G5133=""),"",IF(G5133&lt;='RETRATO 2027'!$K$5,"CONCLUÍDA",IF(F5133&lt;='RETRATO 2027'!$K$5,"EM ANDAMENTO","A INICIAR")))</f>
        <v/>
      </c>
    </row>
    <row r="5134">
      <c r="M5134" s="2">
        <f>IF(C5134="","",IFERROR(INDEX($S$5:$S$304,MATCH(C5134,$R$5:$R$304,0))&amp;"","?"))</f>
        <v/>
      </c>
      <c r="N5134" s="2">
        <f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>
        <f>IF(OR(F5134="",G5134=""),"",IF(G5134&lt;='RETRATO 2027'!$K$5,"CONCLUÍDA",IF(F5134&lt;='RETRATO 2027'!$K$5,"EM ANDAMENTO","A INICIAR")))</f>
        <v/>
      </c>
    </row>
    <row r="5135">
      <c r="M5135" s="2">
        <f>IF(C5135="","",IFERROR(INDEX($S$5:$S$304,MATCH(C5135,$R$5:$R$304,0))&amp;"","?"))</f>
        <v/>
      </c>
      <c r="N5135" s="2">
        <f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>
        <f>IF(OR(F5135="",G5135=""),"",IF(G5135&lt;='RETRATO 2027'!$K$5,"CONCLUÍDA",IF(F5135&lt;='RETRATO 2027'!$K$5,"EM ANDAMENTO","A INICIAR")))</f>
        <v/>
      </c>
    </row>
    <row r="5136">
      <c r="M5136" s="2">
        <f>IF(C5136="","",IFERROR(INDEX($S$5:$S$304,MATCH(C5136,$R$5:$R$304,0))&amp;"","?"))</f>
        <v/>
      </c>
      <c r="N5136" s="2">
        <f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>
        <f>IF(OR(F5136="",G5136=""),"",IF(G5136&lt;='RETRATO 2027'!$K$5,"CONCLUÍDA",IF(F5136&lt;='RETRATO 2027'!$K$5,"EM ANDAMENTO","A INICIAR")))</f>
        <v/>
      </c>
    </row>
    <row r="5137">
      <c r="M5137" s="2">
        <f>IF(C5137="","",IFERROR(INDEX($S$5:$S$304,MATCH(C5137,$R$5:$R$304,0))&amp;"","?"))</f>
        <v/>
      </c>
      <c r="N5137" s="2">
        <f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>
        <f>IF(OR(F5137="",G5137=""),"",IF(G5137&lt;='RETRATO 2027'!$K$5,"CONCLUÍDA",IF(F5137&lt;='RETRATO 2027'!$K$5,"EM ANDAMENTO","A INICIAR")))</f>
        <v/>
      </c>
    </row>
    <row r="5138">
      <c r="M5138" s="2">
        <f>IF(C5138="","",IFERROR(INDEX($S$5:$S$304,MATCH(C5138,$R$5:$R$304,0))&amp;"","?"))</f>
        <v/>
      </c>
      <c r="N5138" s="2">
        <f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>
        <f>IF(OR(F5138="",G5138=""),"",IF(G5138&lt;='RETRATO 2027'!$K$5,"CONCLUÍDA",IF(F5138&lt;='RETRATO 2027'!$K$5,"EM ANDAMENTO","A INICIAR")))</f>
        <v/>
      </c>
    </row>
    <row r="5139">
      <c r="M5139" s="2">
        <f>IF(C5139="","",IFERROR(INDEX($S$5:$S$304,MATCH(C5139,$R$5:$R$304,0))&amp;"","?"))</f>
        <v/>
      </c>
      <c r="N5139" s="2">
        <f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>
        <f>IF(OR(F5139="",G5139=""),"",IF(G5139&lt;='RETRATO 2027'!$K$5,"CONCLUÍDA",IF(F5139&lt;='RETRATO 2027'!$K$5,"EM ANDAMENTO","A INICIAR")))</f>
        <v/>
      </c>
    </row>
    <row r="5140">
      <c r="M5140" s="2">
        <f>IF(C5140="","",IFERROR(INDEX($S$5:$S$304,MATCH(C5140,$R$5:$R$304,0))&amp;"","?"))</f>
        <v/>
      </c>
      <c r="N5140" s="2">
        <f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>
        <f>IF(OR(F5140="",G5140=""),"",IF(G5140&lt;='RETRATO 2027'!$K$5,"CONCLUÍDA",IF(F5140&lt;='RETRATO 2027'!$K$5,"EM ANDAMENTO","A INICIAR")))</f>
        <v/>
      </c>
    </row>
    <row r="5141">
      <c r="M5141" s="2">
        <f>IF(C5141="","",IFERROR(INDEX($S$5:$S$304,MATCH(C5141,$R$5:$R$304,0))&amp;"","?"))</f>
        <v/>
      </c>
      <c r="N5141" s="2">
        <f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>
        <f>IF(OR(F5141="",G5141=""),"",IF(G5141&lt;='RETRATO 2027'!$K$5,"CONCLUÍDA",IF(F5141&lt;='RETRATO 2027'!$K$5,"EM ANDAMENTO","A INICIAR")))</f>
        <v/>
      </c>
    </row>
    <row r="5142">
      <c r="M5142" s="2">
        <f>IF(C5142="","",IFERROR(INDEX($S$5:$S$304,MATCH(C5142,$R$5:$R$304,0))&amp;"","?"))</f>
        <v/>
      </c>
      <c r="N5142" s="2">
        <f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>
        <f>IF(OR(F5142="",G5142=""),"",IF(G5142&lt;='RETRATO 2027'!$K$5,"CONCLUÍDA",IF(F5142&lt;='RETRATO 2027'!$K$5,"EM ANDAMENTO","A INICIAR")))</f>
        <v/>
      </c>
    </row>
    <row r="5143">
      <c r="M5143" s="2">
        <f>IF(C5143="","",IFERROR(INDEX($S$5:$S$304,MATCH(C5143,$R$5:$R$304,0))&amp;"","?"))</f>
        <v/>
      </c>
      <c r="N5143" s="2">
        <f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>
        <f>IF(OR(F5143="",G5143=""),"",IF(G5143&lt;='RETRATO 2027'!$K$5,"CONCLUÍDA",IF(F5143&lt;='RETRATO 2027'!$K$5,"EM ANDAMENTO","A INICIAR")))</f>
        <v/>
      </c>
    </row>
    <row r="5144">
      <c r="M5144" s="2">
        <f>IF(C5144="","",IFERROR(INDEX($S$5:$S$304,MATCH(C5144,$R$5:$R$304,0))&amp;"","?"))</f>
        <v/>
      </c>
      <c r="N5144" s="2">
        <f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>
        <f>IF(OR(F5144="",G5144=""),"",IF(G5144&lt;='RETRATO 2027'!$K$5,"CONCLUÍDA",IF(F5144&lt;='RETRATO 2027'!$K$5,"EM ANDAMENTO","A INICIAR")))</f>
        <v/>
      </c>
    </row>
    <row r="5145">
      <c r="M5145" s="2">
        <f>IF(C5145="","",IFERROR(INDEX($S$5:$S$304,MATCH(C5145,$R$5:$R$304,0))&amp;"","?"))</f>
        <v/>
      </c>
      <c r="N5145" s="2">
        <f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>
        <f>IF(OR(F5145="",G5145=""),"",IF(G5145&lt;='RETRATO 2027'!$K$5,"CONCLUÍDA",IF(F5145&lt;='RETRATO 2027'!$K$5,"EM ANDAMENTO","A INICIAR")))</f>
        <v/>
      </c>
    </row>
    <row r="5146">
      <c r="M5146" s="2">
        <f>IF(C5146="","",IFERROR(INDEX($S$5:$S$304,MATCH(C5146,$R$5:$R$304,0))&amp;"","?"))</f>
        <v/>
      </c>
      <c r="N5146" s="2">
        <f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>
        <f>IF(OR(F5146="",G5146=""),"",IF(G5146&lt;='RETRATO 2027'!$K$5,"CONCLUÍDA",IF(F5146&lt;='RETRATO 2027'!$K$5,"EM ANDAMENTO","A INICIAR")))</f>
        <v/>
      </c>
    </row>
    <row r="5147">
      <c r="M5147" s="2">
        <f>IF(C5147="","",IFERROR(INDEX($S$5:$S$304,MATCH(C5147,$R$5:$R$304,0))&amp;"","?"))</f>
        <v/>
      </c>
      <c r="N5147" s="2">
        <f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>
        <f>IF(OR(F5147="",G5147=""),"",IF(G5147&lt;='RETRATO 2027'!$K$5,"CONCLUÍDA",IF(F5147&lt;='RETRATO 2027'!$K$5,"EM ANDAMENTO","A INICIAR")))</f>
        <v/>
      </c>
    </row>
    <row r="5148">
      <c r="M5148" s="2">
        <f>IF(C5148="","",IFERROR(INDEX($S$5:$S$304,MATCH(C5148,$R$5:$R$304,0))&amp;"","?"))</f>
        <v/>
      </c>
      <c r="N5148" s="2">
        <f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>
        <f>IF(OR(F5148="",G5148=""),"",IF(G5148&lt;='RETRATO 2027'!$K$5,"CONCLUÍDA",IF(F5148&lt;='RETRATO 2027'!$K$5,"EM ANDAMENTO","A INICIAR")))</f>
        <v/>
      </c>
    </row>
    <row r="5149">
      <c r="M5149" s="2">
        <f>IF(C5149="","",IFERROR(INDEX($S$5:$S$304,MATCH(C5149,$R$5:$R$304,0))&amp;"","?"))</f>
        <v/>
      </c>
      <c r="N5149" s="2">
        <f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>
        <f>IF(OR(F5149="",G5149=""),"",IF(G5149&lt;='RETRATO 2027'!$K$5,"CONCLUÍDA",IF(F5149&lt;='RETRATO 2027'!$K$5,"EM ANDAMENTO","A INICIAR")))</f>
        <v/>
      </c>
    </row>
    <row r="5150">
      <c r="M5150" s="2">
        <f>IF(C5150="","",IFERROR(INDEX($S$5:$S$304,MATCH(C5150,$R$5:$R$304,0))&amp;"","?"))</f>
        <v/>
      </c>
      <c r="N5150" s="2">
        <f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>
        <f>IF(OR(F5150="",G5150=""),"",IF(G5150&lt;='RETRATO 2027'!$K$5,"CONCLUÍDA",IF(F5150&lt;='RETRATO 2027'!$K$5,"EM ANDAMENTO","A INICIAR")))</f>
        <v/>
      </c>
    </row>
    <row r="5151">
      <c r="M5151" s="2">
        <f>IF(C5151="","",IFERROR(INDEX($S$5:$S$304,MATCH(C5151,$R$5:$R$304,0))&amp;"","?"))</f>
        <v/>
      </c>
      <c r="N5151" s="2">
        <f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>
        <f>IF(OR(F5151="",G5151=""),"",IF(G5151&lt;='RETRATO 2027'!$K$5,"CONCLUÍDA",IF(F5151&lt;='RETRATO 2027'!$K$5,"EM ANDAMENTO","A INICIAR")))</f>
        <v/>
      </c>
    </row>
    <row r="5152">
      <c r="M5152" s="2">
        <f>IF(C5152="","",IFERROR(INDEX($S$5:$S$304,MATCH(C5152,$R$5:$R$304,0))&amp;"","?"))</f>
        <v/>
      </c>
      <c r="N5152" s="2">
        <f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>
        <f>IF(OR(F5152="",G5152=""),"",IF(G5152&lt;='RETRATO 2027'!$K$5,"CONCLUÍDA",IF(F5152&lt;='RETRATO 2027'!$K$5,"EM ANDAMENTO","A INICIAR")))</f>
        <v/>
      </c>
    </row>
    <row r="5153">
      <c r="M5153" s="2">
        <f>IF(C5153="","",IFERROR(INDEX($S$5:$S$304,MATCH(C5153,$R$5:$R$304,0))&amp;"","?"))</f>
        <v/>
      </c>
      <c r="N5153" s="2">
        <f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>
        <f>IF(OR(F5153="",G5153=""),"",IF(G5153&lt;='RETRATO 2027'!$K$5,"CONCLUÍDA",IF(F5153&lt;='RETRATO 2027'!$K$5,"EM ANDAMENTO","A INICIAR")))</f>
        <v/>
      </c>
    </row>
    <row r="5154">
      <c r="M5154" s="2">
        <f>IF(C5154="","",IFERROR(INDEX($S$5:$S$304,MATCH(C5154,$R$5:$R$304,0))&amp;"","?"))</f>
        <v/>
      </c>
      <c r="N5154" s="2">
        <f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>
        <f>IF(OR(F5154="",G5154=""),"",IF(G5154&lt;='RETRATO 2027'!$K$5,"CONCLUÍDA",IF(F5154&lt;='RETRATO 2027'!$K$5,"EM ANDAMENTO","A INICIAR")))</f>
        <v/>
      </c>
    </row>
    <row r="5155">
      <c r="M5155" s="2">
        <f>IF(C5155="","",IFERROR(INDEX($S$5:$S$304,MATCH(C5155,$R$5:$R$304,0))&amp;"","?"))</f>
        <v/>
      </c>
      <c r="N5155" s="2">
        <f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>
        <f>IF(OR(F5155="",G5155=""),"",IF(G5155&lt;='RETRATO 2027'!$K$5,"CONCLUÍDA",IF(F5155&lt;='RETRATO 2027'!$K$5,"EM ANDAMENTO","A INICIAR")))</f>
        <v/>
      </c>
    </row>
    <row r="5156">
      <c r="M5156" s="2">
        <f>IF(C5156="","",IFERROR(INDEX($S$5:$S$304,MATCH(C5156,$R$5:$R$304,0))&amp;"","?"))</f>
        <v/>
      </c>
      <c r="N5156" s="2">
        <f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>
        <f>IF(OR(F5156="",G5156=""),"",IF(G5156&lt;='RETRATO 2027'!$K$5,"CONCLUÍDA",IF(F5156&lt;='RETRATO 2027'!$K$5,"EM ANDAMENTO","A INICIAR")))</f>
        <v/>
      </c>
    </row>
    <row r="5157">
      <c r="M5157" s="2">
        <f>IF(C5157="","",IFERROR(INDEX($S$5:$S$304,MATCH(C5157,$R$5:$R$304,0))&amp;"","?"))</f>
        <v/>
      </c>
      <c r="N5157" s="2">
        <f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>
        <f>IF(OR(F5157="",G5157=""),"",IF(G5157&lt;='RETRATO 2027'!$K$5,"CONCLUÍDA",IF(F5157&lt;='RETRATO 2027'!$K$5,"EM ANDAMENTO","A INICIAR")))</f>
        <v/>
      </c>
    </row>
    <row r="5158">
      <c r="M5158" s="2">
        <f>IF(C5158="","",IFERROR(INDEX($S$5:$S$304,MATCH(C5158,$R$5:$R$304,0))&amp;"","?"))</f>
        <v/>
      </c>
      <c r="N5158" s="2">
        <f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>
        <f>IF(OR(F5158="",G5158=""),"",IF(G5158&lt;='RETRATO 2027'!$K$5,"CONCLUÍDA",IF(F5158&lt;='RETRATO 2027'!$K$5,"EM ANDAMENTO","A INICIAR")))</f>
        <v/>
      </c>
    </row>
    <row r="5159">
      <c r="M5159" s="2">
        <f>IF(C5159="","",IFERROR(INDEX($S$5:$S$304,MATCH(C5159,$R$5:$R$304,0))&amp;"","?"))</f>
        <v/>
      </c>
      <c r="N5159" s="2">
        <f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>
        <f>IF(OR(F5159="",G5159=""),"",IF(G5159&lt;='RETRATO 2027'!$K$5,"CONCLUÍDA",IF(F5159&lt;='RETRATO 2027'!$K$5,"EM ANDAMENTO","A INICIAR")))</f>
        <v/>
      </c>
    </row>
    <row r="5160">
      <c r="M5160" s="2">
        <f>IF(C5160="","",IFERROR(INDEX($S$5:$S$304,MATCH(C5160,$R$5:$R$304,0))&amp;"","?"))</f>
        <v/>
      </c>
      <c r="N5160" s="2">
        <f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>
        <f>IF(OR(F5160="",G5160=""),"",IF(G5160&lt;='RETRATO 2027'!$K$5,"CONCLUÍDA",IF(F5160&lt;='RETRATO 2027'!$K$5,"EM ANDAMENTO","A INICIAR")))</f>
        <v/>
      </c>
    </row>
    <row r="5161">
      <c r="M5161" s="2">
        <f>IF(C5161="","",IFERROR(INDEX($S$5:$S$304,MATCH(C5161,$R$5:$R$304,0))&amp;"","?"))</f>
        <v/>
      </c>
      <c r="N5161" s="2">
        <f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>
        <f>IF(OR(F5161="",G5161=""),"",IF(G5161&lt;='RETRATO 2027'!$K$5,"CONCLUÍDA",IF(F5161&lt;='RETRATO 2027'!$K$5,"EM ANDAMENTO","A INICIAR")))</f>
        <v/>
      </c>
    </row>
    <row r="5162">
      <c r="M5162" s="2">
        <f>IF(C5162="","",IFERROR(INDEX($S$5:$S$304,MATCH(C5162,$R$5:$R$304,0))&amp;"","?"))</f>
        <v/>
      </c>
      <c r="N5162" s="2">
        <f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>
        <f>IF(OR(F5162="",G5162=""),"",IF(G5162&lt;='RETRATO 2027'!$K$5,"CONCLUÍDA",IF(F5162&lt;='RETRATO 2027'!$K$5,"EM ANDAMENTO","A INICIAR")))</f>
        <v/>
      </c>
    </row>
    <row r="5163">
      <c r="M5163" s="2">
        <f>IF(C5163="","",IFERROR(INDEX($S$5:$S$304,MATCH(C5163,$R$5:$R$304,0))&amp;"","?"))</f>
        <v/>
      </c>
      <c r="N5163" s="2">
        <f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>
        <f>IF(OR(F5163="",G5163=""),"",IF(G5163&lt;='RETRATO 2027'!$K$5,"CONCLUÍDA",IF(F5163&lt;='RETRATO 2027'!$K$5,"EM ANDAMENTO","A INICIAR")))</f>
        <v/>
      </c>
    </row>
    <row r="5164">
      <c r="M5164" s="2">
        <f>IF(C5164="","",IFERROR(INDEX($S$5:$S$304,MATCH(C5164,$R$5:$R$304,0))&amp;"","?"))</f>
        <v/>
      </c>
      <c r="N5164" s="2">
        <f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>
        <f>IF(OR(F5164="",G5164=""),"",IF(G5164&lt;='RETRATO 2027'!$K$5,"CONCLUÍDA",IF(F5164&lt;='RETRATO 2027'!$K$5,"EM ANDAMENTO","A INICIAR")))</f>
        <v/>
      </c>
    </row>
    <row r="5165">
      <c r="M5165" s="2">
        <f>IF(C5165="","",IFERROR(INDEX($S$5:$S$304,MATCH(C5165,$R$5:$R$304,0))&amp;"","?"))</f>
        <v/>
      </c>
      <c r="N5165" s="2">
        <f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>
        <f>IF(OR(F5165="",G5165=""),"",IF(G5165&lt;='RETRATO 2027'!$K$5,"CONCLUÍDA",IF(F5165&lt;='RETRATO 2027'!$K$5,"EM ANDAMENTO","A INICIAR")))</f>
        <v/>
      </c>
    </row>
    <row r="5166">
      <c r="M5166" s="2">
        <f>IF(C5166="","",IFERROR(INDEX($S$5:$S$304,MATCH(C5166,$R$5:$R$304,0))&amp;"","?"))</f>
        <v/>
      </c>
      <c r="N5166" s="2">
        <f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>
        <f>IF(OR(F5166="",G5166=""),"",IF(G5166&lt;='RETRATO 2027'!$K$5,"CONCLUÍDA",IF(F5166&lt;='RETRATO 2027'!$K$5,"EM ANDAMENTO","A INICIAR")))</f>
        <v/>
      </c>
    </row>
    <row r="5167">
      <c r="M5167" s="2">
        <f>IF(C5167="","",IFERROR(INDEX($S$5:$S$304,MATCH(C5167,$R$5:$R$304,0))&amp;"","?"))</f>
        <v/>
      </c>
      <c r="N5167" s="2">
        <f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>
        <f>IF(OR(F5167="",G5167=""),"",IF(G5167&lt;='RETRATO 2027'!$K$5,"CONCLUÍDA",IF(F5167&lt;='RETRATO 2027'!$K$5,"EM ANDAMENTO","A INICIAR")))</f>
        <v/>
      </c>
    </row>
    <row r="5168">
      <c r="M5168" s="2">
        <f>IF(C5168="","",IFERROR(INDEX($S$5:$S$304,MATCH(C5168,$R$5:$R$304,0))&amp;"","?"))</f>
        <v/>
      </c>
      <c r="N5168" s="2">
        <f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>
        <f>IF(OR(F5168="",G5168=""),"",IF(G5168&lt;='RETRATO 2027'!$K$5,"CONCLUÍDA",IF(F5168&lt;='RETRATO 2027'!$K$5,"EM ANDAMENTO","A INICIAR")))</f>
        <v/>
      </c>
    </row>
    <row r="5169">
      <c r="M5169" s="2">
        <f>IF(C5169="","",IFERROR(INDEX($S$5:$S$304,MATCH(C5169,$R$5:$R$304,0))&amp;"","?"))</f>
        <v/>
      </c>
      <c r="N5169" s="2">
        <f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>
        <f>IF(OR(F5169="",G5169=""),"",IF(G5169&lt;='RETRATO 2027'!$K$5,"CONCLUÍDA",IF(F5169&lt;='RETRATO 2027'!$K$5,"EM ANDAMENTO","A INICIAR")))</f>
        <v/>
      </c>
    </row>
    <row r="5170">
      <c r="M5170" s="2">
        <f>IF(C5170="","",IFERROR(INDEX($S$5:$S$304,MATCH(C5170,$R$5:$R$304,0))&amp;"","?"))</f>
        <v/>
      </c>
      <c r="N5170" s="2">
        <f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>
        <f>IF(OR(F5170="",G5170=""),"",IF(G5170&lt;='RETRATO 2027'!$K$5,"CONCLUÍDA",IF(F5170&lt;='RETRATO 2027'!$K$5,"EM ANDAMENTO","A INICIAR")))</f>
        <v/>
      </c>
    </row>
    <row r="5171">
      <c r="M5171" s="2">
        <f>IF(C5171="","",IFERROR(INDEX($S$5:$S$304,MATCH(C5171,$R$5:$R$304,0))&amp;"","?"))</f>
        <v/>
      </c>
      <c r="N5171" s="2">
        <f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>
        <f>IF(OR(F5171="",G5171=""),"",IF(G5171&lt;='RETRATO 2027'!$K$5,"CONCLUÍDA",IF(F5171&lt;='RETRATO 2027'!$K$5,"EM ANDAMENTO","A INICIAR")))</f>
        <v/>
      </c>
    </row>
    <row r="5172">
      <c r="M5172" s="2">
        <f>IF(C5172="","",IFERROR(INDEX($S$5:$S$304,MATCH(C5172,$R$5:$R$304,0))&amp;"","?"))</f>
        <v/>
      </c>
      <c r="N5172" s="2">
        <f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>
        <f>IF(OR(F5172="",G5172=""),"",IF(G5172&lt;='RETRATO 2027'!$K$5,"CONCLUÍDA",IF(F5172&lt;='RETRATO 2027'!$K$5,"EM ANDAMENTO","A INICIAR")))</f>
        <v/>
      </c>
    </row>
    <row r="5173">
      <c r="M5173" s="2">
        <f>IF(C5173="","",IFERROR(INDEX($S$5:$S$304,MATCH(C5173,$R$5:$R$304,0))&amp;"","?"))</f>
        <v/>
      </c>
      <c r="N5173" s="2">
        <f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>
        <f>IF(OR(F5173="",G5173=""),"",IF(G5173&lt;='RETRATO 2027'!$K$5,"CONCLUÍDA",IF(F5173&lt;='RETRATO 2027'!$K$5,"EM ANDAMENTO","A INICIAR")))</f>
        <v/>
      </c>
    </row>
    <row r="5174">
      <c r="M5174" s="2">
        <f>IF(C5174="","",IFERROR(INDEX($S$5:$S$304,MATCH(C5174,$R$5:$R$304,0))&amp;"","?"))</f>
        <v/>
      </c>
      <c r="N5174" s="2">
        <f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>
        <f>IF(OR(F5174="",G5174=""),"",IF(G5174&lt;='RETRATO 2027'!$K$5,"CONCLUÍDA",IF(F5174&lt;='RETRATO 2027'!$K$5,"EM ANDAMENTO","A INICIAR")))</f>
        <v/>
      </c>
    </row>
    <row r="5175">
      <c r="M5175" s="2">
        <f>IF(C5175="","",IFERROR(INDEX($S$5:$S$304,MATCH(C5175,$R$5:$R$304,0))&amp;"","?"))</f>
        <v/>
      </c>
      <c r="N5175" s="2">
        <f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>
        <f>IF(OR(F5175="",G5175=""),"",IF(G5175&lt;='RETRATO 2027'!$K$5,"CONCLUÍDA",IF(F5175&lt;='RETRATO 2027'!$K$5,"EM ANDAMENTO","A INICIAR")))</f>
        <v/>
      </c>
    </row>
    <row r="5176">
      <c r="M5176" s="2">
        <f>IF(C5176="","",IFERROR(INDEX($S$5:$S$304,MATCH(C5176,$R$5:$R$304,0))&amp;"","?"))</f>
        <v/>
      </c>
      <c r="N5176" s="2">
        <f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>
        <f>IF(OR(F5176="",G5176=""),"",IF(G5176&lt;='RETRATO 2027'!$K$5,"CONCLUÍDA",IF(F5176&lt;='RETRATO 2027'!$K$5,"EM ANDAMENTO","A INICIAR")))</f>
        <v/>
      </c>
    </row>
    <row r="5177">
      <c r="M5177" s="2">
        <f>IF(C5177="","",IFERROR(INDEX($S$5:$S$304,MATCH(C5177,$R$5:$R$304,0))&amp;"","?"))</f>
        <v/>
      </c>
      <c r="N5177" s="2">
        <f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>
        <f>IF(OR(F5177="",G5177=""),"",IF(G5177&lt;='RETRATO 2027'!$K$5,"CONCLUÍDA",IF(F5177&lt;='RETRATO 2027'!$K$5,"EM ANDAMENTO","A INICIAR")))</f>
        <v/>
      </c>
    </row>
    <row r="5178">
      <c r="M5178" s="2">
        <f>IF(C5178="","",IFERROR(INDEX($S$5:$S$304,MATCH(C5178,$R$5:$R$304,0))&amp;"","?"))</f>
        <v/>
      </c>
      <c r="N5178" s="2">
        <f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>
        <f>IF(OR(F5178="",G5178=""),"",IF(G5178&lt;='RETRATO 2027'!$K$5,"CONCLUÍDA",IF(F5178&lt;='RETRATO 2027'!$K$5,"EM ANDAMENTO","A INICIAR")))</f>
        <v/>
      </c>
    </row>
    <row r="5179">
      <c r="M5179" s="2">
        <f>IF(C5179="","",IFERROR(INDEX($S$5:$S$304,MATCH(C5179,$R$5:$R$304,0))&amp;"","?"))</f>
        <v/>
      </c>
      <c r="N5179" s="2">
        <f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>
        <f>IF(OR(F5179="",G5179=""),"",IF(G5179&lt;='RETRATO 2027'!$K$5,"CONCLUÍDA",IF(F5179&lt;='RETRATO 2027'!$K$5,"EM ANDAMENTO","A INICIAR")))</f>
        <v/>
      </c>
    </row>
    <row r="5180">
      <c r="M5180" s="2">
        <f>IF(C5180="","",IFERROR(INDEX($S$5:$S$304,MATCH(C5180,$R$5:$R$304,0))&amp;"","?"))</f>
        <v/>
      </c>
      <c r="N5180" s="2">
        <f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>
        <f>IF(OR(F5180="",G5180=""),"",IF(G5180&lt;='RETRATO 2027'!$K$5,"CONCLUÍDA",IF(F5180&lt;='RETRATO 2027'!$K$5,"EM ANDAMENTO","A INICIAR")))</f>
        <v/>
      </c>
    </row>
    <row r="5181">
      <c r="M5181" s="2">
        <f>IF(C5181="","",IFERROR(INDEX($S$5:$S$304,MATCH(C5181,$R$5:$R$304,0))&amp;"","?"))</f>
        <v/>
      </c>
      <c r="N5181" s="2">
        <f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>
        <f>IF(OR(F5181="",G5181=""),"",IF(G5181&lt;='RETRATO 2027'!$K$5,"CONCLUÍDA",IF(F5181&lt;='RETRATO 2027'!$K$5,"EM ANDAMENTO","A INICIAR")))</f>
        <v/>
      </c>
    </row>
    <row r="5182">
      <c r="M5182" s="2">
        <f>IF(C5182="","",IFERROR(INDEX($S$5:$S$304,MATCH(C5182,$R$5:$R$304,0))&amp;"","?"))</f>
        <v/>
      </c>
      <c r="N5182" s="2">
        <f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>
        <f>IF(OR(F5182="",G5182=""),"",IF(G5182&lt;='RETRATO 2027'!$K$5,"CONCLUÍDA",IF(F5182&lt;='RETRATO 2027'!$K$5,"EM ANDAMENTO","A INICIAR")))</f>
        <v/>
      </c>
    </row>
    <row r="5183">
      <c r="M5183" s="2">
        <f>IF(C5183="","",IFERROR(INDEX($S$5:$S$304,MATCH(C5183,$R$5:$R$304,0))&amp;"","?"))</f>
        <v/>
      </c>
      <c r="N5183" s="2">
        <f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>
        <f>IF(OR(F5183="",G5183=""),"",IF(G5183&lt;='RETRATO 2027'!$K$5,"CONCLUÍDA",IF(F5183&lt;='RETRATO 2027'!$K$5,"EM ANDAMENTO","A INICIAR")))</f>
        <v/>
      </c>
    </row>
    <row r="5184">
      <c r="M5184" s="2">
        <f>IF(C5184="","",IFERROR(INDEX($S$5:$S$304,MATCH(C5184,$R$5:$R$304,0))&amp;"","?"))</f>
        <v/>
      </c>
      <c r="N5184" s="2">
        <f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>
        <f>IF(OR(F5184="",G5184=""),"",IF(G5184&lt;='RETRATO 2027'!$K$5,"CONCLUÍDA",IF(F5184&lt;='RETRATO 2027'!$K$5,"EM ANDAMENTO","A INICIAR")))</f>
        <v/>
      </c>
    </row>
    <row r="5185">
      <c r="M5185" s="2">
        <f>IF(C5185="","",IFERROR(INDEX($S$5:$S$304,MATCH(C5185,$R$5:$R$304,0))&amp;"","?"))</f>
        <v/>
      </c>
      <c r="N5185" s="2">
        <f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>
        <f>IF(OR(F5185="",G5185=""),"",IF(G5185&lt;='RETRATO 2027'!$K$5,"CONCLUÍDA",IF(F5185&lt;='RETRATO 2027'!$K$5,"EM ANDAMENTO","A INICIAR")))</f>
        <v/>
      </c>
    </row>
    <row r="5186">
      <c r="M5186" s="2">
        <f>IF(C5186="","",IFERROR(INDEX($S$5:$S$304,MATCH(C5186,$R$5:$R$304,0))&amp;"","?"))</f>
        <v/>
      </c>
      <c r="N5186" s="2">
        <f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>
        <f>IF(OR(F5186="",G5186=""),"",IF(G5186&lt;='RETRATO 2027'!$K$5,"CONCLUÍDA",IF(F5186&lt;='RETRATO 2027'!$K$5,"EM ANDAMENTO","A INICIAR")))</f>
        <v/>
      </c>
    </row>
    <row r="5187">
      <c r="M5187" s="2">
        <f>IF(C5187="","",IFERROR(INDEX($S$5:$S$304,MATCH(C5187,$R$5:$R$304,0))&amp;"","?"))</f>
        <v/>
      </c>
      <c r="N5187" s="2">
        <f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>
        <f>IF(OR(F5187="",G5187=""),"",IF(G5187&lt;='RETRATO 2027'!$K$5,"CONCLUÍDA",IF(F5187&lt;='RETRATO 2027'!$K$5,"EM ANDAMENTO","A INICIAR")))</f>
        <v/>
      </c>
    </row>
    <row r="5188">
      <c r="M5188" s="2">
        <f>IF(C5188="","",IFERROR(INDEX($S$5:$S$304,MATCH(C5188,$R$5:$R$304,0))&amp;"","?"))</f>
        <v/>
      </c>
      <c r="N5188" s="2">
        <f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>
        <f>IF(OR(F5188="",G5188=""),"",IF(G5188&lt;='RETRATO 2027'!$K$5,"CONCLUÍDA",IF(F5188&lt;='RETRATO 2027'!$K$5,"EM ANDAMENTO","A INICIAR")))</f>
        <v/>
      </c>
    </row>
    <row r="5189">
      <c r="M5189" s="2">
        <f>IF(C5189="","",IFERROR(INDEX($S$5:$S$304,MATCH(C5189,$R$5:$R$304,0))&amp;"","?"))</f>
        <v/>
      </c>
      <c r="N5189" s="2">
        <f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>
        <f>IF(OR(F5189="",G5189=""),"",IF(G5189&lt;='RETRATO 2027'!$K$5,"CONCLUÍDA",IF(F5189&lt;='RETRATO 2027'!$K$5,"EM ANDAMENTO","A INICIAR")))</f>
        <v/>
      </c>
    </row>
    <row r="5190">
      <c r="M5190" s="2">
        <f>IF(C5190="","",IFERROR(INDEX($S$5:$S$304,MATCH(C5190,$R$5:$R$304,0))&amp;"","?"))</f>
        <v/>
      </c>
      <c r="N5190" s="2">
        <f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>
        <f>IF(OR(F5190="",G5190=""),"",IF(G5190&lt;='RETRATO 2027'!$K$5,"CONCLUÍDA",IF(F5190&lt;='RETRATO 2027'!$K$5,"EM ANDAMENTO","A INICIAR")))</f>
        <v/>
      </c>
    </row>
    <row r="5191">
      <c r="M5191" s="2">
        <f>IF(C5191="","",IFERROR(INDEX($S$5:$S$304,MATCH(C5191,$R$5:$R$304,0))&amp;"","?"))</f>
        <v/>
      </c>
      <c r="N5191" s="2">
        <f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>
        <f>IF(OR(F5191="",G5191=""),"",IF(G5191&lt;='RETRATO 2027'!$K$5,"CONCLUÍDA",IF(F5191&lt;='RETRATO 2027'!$K$5,"EM ANDAMENTO","A INICIAR")))</f>
        <v/>
      </c>
    </row>
    <row r="5192">
      <c r="M5192" s="2">
        <f>IF(C5192="","",IFERROR(INDEX($S$5:$S$304,MATCH(C5192,$R$5:$R$304,0))&amp;"","?"))</f>
        <v/>
      </c>
      <c r="N5192" s="2">
        <f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>
        <f>IF(OR(F5192="",G5192=""),"",IF(G5192&lt;='RETRATO 2027'!$K$5,"CONCLUÍDA",IF(F5192&lt;='RETRATO 2027'!$K$5,"EM ANDAMENTO","A INICIAR")))</f>
        <v/>
      </c>
    </row>
    <row r="5193">
      <c r="M5193" s="2">
        <f>IF(C5193="","",IFERROR(INDEX($S$5:$S$304,MATCH(C5193,$R$5:$R$304,0))&amp;"","?"))</f>
        <v/>
      </c>
      <c r="N5193" s="2">
        <f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>
        <f>IF(OR(F5193="",G5193=""),"",IF(G5193&lt;='RETRATO 2027'!$K$5,"CONCLUÍDA",IF(F5193&lt;='RETRATO 2027'!$K$5,"EM ANDAMENTO","A INICIAR")))</f>
        <v/>
      </c>
    </row>
    <row r="5194">
      <c r="M5194" s="2">
        <f>IF(C5194="","",IFERROR(INDEX($S$5:$S$304,MATCH(C5194,$R$5:$R$304,0))&amp;"","?"))</f>
        <v/>
      </c>
      <c r="N5194" s="2">
        <f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>
        <f>IF(OR(F5194="",G5194=""),"",IF(G5194&lt;='RETRATO 2027'!$K$5,"CONCLUÍDA",IF(F5194&lt;='RETRATO 2027'!$K$5,"EM ANDAMENTO","A INICIAR")))</f>
        <v/>
      </c>
    </row>
    <row r="5195">
      <c r="M5195" s="2">
        <f>IF(C5195="","",IFERROR(INDEX($S$5:$S$304,MATCH(C5195,$R$5:$R$304,0))&amp;"","?"))</f>
        <v/>
      </c>
      <c r="N5195" s="2">
        <f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>
        <f>IF(OR(F5195="",G5195=""),"",IF(G5195&lt;='RETRATO 2027'!$K$5,"CONCLUÍDA",IF(F5195&lt;='RETRATO 2027'!$K$5,"EM ANDAMENTO","A INICIAR")))</f>
        <v/>
      </c>
    </row>
    <row r="5196">
      <c r="M5196" s="2">
        <f>IF(C5196="","",IFERROR(INDEX($S$5:$S$304,MATCH(C5196,$R$5:$R$304,0))&amp;"","?"))</f>
        <v/>
      </c>
      <c r="N5196" s="2">
        <f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>
        <f>IF(OR(F5196="",G5196=""),"",IF(G5196&lt;='RETRATO 2027'!$K$5,"CONCLUÍDA",IF(F5196&lt;='RETRATO 2027'!$K$5,"EM ANDAMENTO","A INICIAR")))</f>
        <v/>
      </c>
    </row>
    <row r="5197">
      <c r="M5197" s="2">
        <f>IF(C5197="","",IFERROR(INDEX($S$5:$S$304,MATCH(C5197,$R$5:$R$304,0))&amp;"","?"))</f>
        <v/>
      </c>
      <c r="N5197" s="2">
        <f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>
        <f>IF(OR(F5197="",G5197=""),"",IF(G5197&lt;='RETRATO 2027'!$K$5,"CONCLUÍDA",IF(F5197&lt;='RETRATO 2027'!$K$5,"EM ANDAMENTO","A INICIAR")))</f>
        <v/>
      </c>
    </row>
    <row r="5198">
      <c r="M5198" s="2">
        <f>IF(C5198="","",IFERROR(INDEX($S$5:$S$304,MATCH(C5198,$R$5:$R$304,0))&amp;"","?"))</f>
        <v/>
      </c>
      <c r="N5198" s="2">
        <f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>
        <f>IF(OR(F5198="",G5198=""),"",IF(G5198&lt;='RETRATO 2027'!$K$5,"CONCLUÍDA",IF(F5198&lt;='RETRATO 2027'!$K$5,"EM ANDAMENTO","A INICIAR")))</f>
        <v/>
      </c>
    </row>
    <row r="5199">
      <c r="M5199" s="2">
        <f>IF(C5199="","",IFERROR(INDEX($S$5:$S$304,MATCH(C5199,$R$5:$R$304,0))&amp;"","?"))</f>
        <v/>
      </c>
      <c r="N5199" s="2">
        <f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>
        <f>IF(OR(F5199="",G5199=""),"",IF(G5199&lt;='RETRATO 2027'!$K$5,"CONCLUÍDA",IF(F5199&lt;='RETRATO 2027'!$K$5,"EM ANDAMENTO","A INICIAR")))</f>
        <v/>
      </c>
    </row>
    <row r="5200">
      <c r="M5200" s="2">
        <f>IF(C5200="","",IFERROR(INDEX($S$5:$S$304,MATCH(C5200,$R$5:$R$304,0))&amp;"","?"))</f>
        <v/>
      </c>
      <c r="N5200" s="2">
        <f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>
        <f>IF(OR(F5200="",G5200=""),"",IF(G5200&lt;='RETRATO 2027'!$K$5,"CONCLUÍDA",IF(F5200&lt;='RETRATO 2027'!$K$5,"EM ANDAMENTO","A INICIAR")))</f>
        <v/>
      </c>
    </row>
    <row r="5201">
      <c r="M5201" s="2">
        <f>IF(C5201="","",IFERROR(INDEX($S$5:$S$304,MATCH(C5201,$R$5:$R$304,0))&amp;"","?"))</f>
        <v/>
      </c>
      <c r="N5201" s="2">
        <f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>
        <f>IF(OR(F5201="",G5201=""),"",IF(G5201&lt;='RETRATO 2027'!$K$5,"CONCLUÍDA",IF(F5201&lt;='RETRATO 2027'!$K$5,"EM ANDAMENTO","A INICIAR")))</f>
        <v/>
      </c>
    </row>
    <row r="5202">
      <c r="M5202" s="2">
        <f>IF(C5202="","",IFERROR(INDEX($S$5:$S$304,MATCH(C5202,$R$5:$R$304,0))&amp;"","?"))</f>
        <v/>
      </c>
      <c r="N5202" s="2">
        <f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>
        <f>IF(OR(F5202="",G5202=""),"",IF(G5202&lt;='RETRATO 2027'!$K$5,"CONCLUÍDA",IF(F5202&lt;='RETRATO 2027'!$K$5,"EM ANDAMENTO","A INICIAR")))</f>
        <v/>
      </c>
    </row>
    <row r="5203">
      <c r="M5203" s="2">
        <f>IF(C5203="","",IFERROR(INDEX($S$5:$S$304,MATCH(C5203,$R$5:$R$304,0))&amp;"","?"))</f>
        <v/>
      </c>
      <c r="N5203" s="2">
        <f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>
        <f>IF(OR(F5203="",G5203=""),"",IF(G5203&lt;='RETRATO 2027'!$K$5,"CONCLUÍDA",IF(F5203&lt;='RETRATO 2027'!$K$5,"EM ANDAMENTO","A INICIAR")))</f>
        <v/>
      </c>
    </row>
    <row r="5204">
      <c r="M5204" s="2">
        <f>IF(C5204="","",IFERROR(INDEX($S$5:$S$304,MATCH(C5204,$R$5:$R$304,0))&amp;"","?"))</f>
        <v/>
      </c>
      <c r="N5204" s="2">
        <f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>
        <f>IF(OR(F5204="",G5204=""),"",IF(G5204&lt;='RETRATO 2027'!$K$5,"CONCLUÍDA",IF(F5204&lt;='RETRATO 2027'!$K$5,"EM ANDAMENTO","A INICIAR")))</f>
        <v/>
      </c>
    </row>
    <row r="5205">
      <c r="M5205" s="2">
        <f>IF(C5205="","",IFERROR(INDEX($S$5:$S$304,MATCH(C5205,$R$5:$R$304,0))&amp;"","?"))</f>
        <v/>
      </c>
      <c r="N5205" s="2">
        <f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>
        <f>IF(OR(F5205="",G5205=""),"",IF(G5205&lt;='RETRATO 2027'!$K$5,"CONCLUÍDA",IF(F5205&lt;='RETRATO 2027'!$K$5,"EM ANDAMENTO","A INICIAR")))</f>
        <v/>
      </c>
    </row>
    <row r="5206">
      <c r="M5206" s="2">
        <f>IF(C5206="","",IFERROR(INDEX($S$5:$S$304,MATCH(C5206,$R$5:$R$304,0))&amp;"","?"))</f>
        <v/>
      </c>
      <c r="N5206" s="2">
        <f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>
        <f>IF(OR(F5206="",G5206=""),"",IF(G5206&lt;='RETRATO 2027'!$K$5,"CONCLUÍDA",IF(F5206&lt;='RETRATO 2027'!$K$5,"EM ANDAMENTO","A INICIAR")))</f>
        <v/>
      </c>
    </row>
    <row r="5207">
      <c r="M5207" s="2">
        <f>IF(C5207="","",IFERROR(INDEX($S$5:$S$304,MATCH(C5207,$R$5:$R$304,0))&amp;"","?"))</f>
        <v/>
      </c>
      <c r="N5207" s="2">
        <f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>
        <f>IF(OR(F5207="",G5207=""),"",IF(G5207&lt;='RETRATO 2027'!$K$5,"CONCLUÍDA",IF(F5207&lt;='RETRATO 2027'!$K$5,"EM ANDAMENTO","A INICIAR")))</f>
        <v/>
      </c>
    </row>
    <row r="5208">
      <c r="M5208" s="2">
        <f>IF(C5208="","",IFERROR(INDEX($S$5:$S$304,MATCH(C5208,$R$5:$R$304,0))&amp;"","?"))</f>
        <v/>
      </c>
      <c r="N5208" s="2">
        <f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>
        <f>IF(OR(F5208="",G5208=""),"",IF(G5208&lt;='RETRATO 2027'!$K$5,"CONCLUÍDA",IF(F5208&lt;='RETRATO 2027'!$K$5,"EM ANDAMENTO","A INICIAR")))</f>
        <v/>
      </c>
    </row>
    <row r="5209">
      <c r="M5209" s="2">
        <f>IF(C5209="","",IFERROR(INDEX($S$5:$S$304,MATCH(C5209,$R$5:$R$304,0))&amp;"","?"))</f>
        <v/>
      </c>
      <c r="N5209" s="2">
        <f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>
        <f>IF(OR(F5209="",G5209=""),"",IF(G5209&lt;='RETRATO 2027'!$K$5,"CONCLUÍDA",IF(F5209&lt;='RETRATO 2027'!$K$5,"EM ANDAMENTO","A INICIAR")))</f>
        <v/>
      </c>
    </row>
    <row r="5210">
      <c r="M5210" s="2">
        <f>IF(C5210="","",IFERROR(INDEX($S$5:$S$304,MATCH(C5210,$R$5:$R$304,0))&amp;"","?"))</f>
        <v/>
      </c>
      <c r="N5210" s="2">
        <f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>
        <f>IF(OR(F5210="",G5210=""),"",IF(G5210&lt;='RETRATO 2027'!$K$5,"CONCLUÍDA",IF(F5210&lt;='RETRATO 2027'!$K$5,"EM ANDAMENTO","A INICIAR")))</f>
        <v/>
      </c>
    </row>
    <row r="5211">
      <c r="M5211" s="2">
        <f>IF(C5211="","",IFERROR(INDEX($S$5:$S$304,MATCH(C5211,$R$5:$R$304,0))&amp;"","?"))</f>
        <v/>
      </c>
      <c r="N5211" s="2">
        <f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>
        <f>IF(OR(F5211="",G5211=""),"",IF(G5211&lt;='RETRATO 2027'!$K$5,"CONCLUÍDA",IF(F5211&lt;='RETRATO 2027'!$K$5,"EM ANDAMENTO","A INICIAR")))</f>
        <v/>
      </c>
    </row>
    <row r="5212">
      <c r="M5212" s="2">
        <f>IF(C5212="","",IFERROR(INDEX($S$5:$S$304,MATCH(C5212,$R$5:$R$304,0))&amp;"","?"))</f>
        <v/>
      </c>
      <c r="N5212" s="2">
        <f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>
        <f>IF(OR(F5212="",G5212=""),"",IF(G5212&lt;='RETRATO 2027'!$K$5,"CONCLUÍDA",IF(F5212&lt;='RETRATO 2027'!$K$5,"EM ANDAMENTO","A INICIAR")))</f>
        <v/>
      </c>
    </row>
    <row r="5213">
      <c r="M5213" s="2">
        <f>IF(C5213="","",IFERROR(INDEX($S$5:$S$304,MATCH(C5213,$R$5:$R$304,0))&amp;"","?"))</f>
        <v/>
      </c>
      <c r="N5213" s="2">
        <f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>
        <f>IF(OR(F5213="",G5213=""),"",IF(G5213&lt;='RETRATO 2027'!$K$5,"CONCLUÍDA",IF(F5213&lt;='RETRATO 2027'!$K$5,"EM ANDAMENTO","A INICIAR")))</f>
        <v/>
      </c>
    </row>
    <row r="5214">
      <c r="M5214" s="2">
        <f>IF(C5214="","",IFERROR(INDEX($S$5:$S$304,MATCH(C5214,$R$5:$R$304,0))&amp;"","?"))</f>
        <v/>
      </c>
      <c r="N5214" s="2">
        <f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>
        <f>IF(OR(F5214="",G5214=""),"",IF(G5214&lt;='RETRATO 2027'!$K$5,"CONCLUÍDA",IF(F5214&lt;='RETRATO 2027'!$K$5,"EM ANDAMENTO","A INICIAR")))</f>
        <v/>
      </c>
    </row>
    <row r="5215">
      <c r="M5215" s="2">
        <f>IF(C5215="","",IFERROR(INDEX($S$5:$S$304,MATCH(C5215,$R$5:$R$304,0))&amp;"","?"))</f>
        <v/>
      </c>
      <c r="N5215" s="2">
        <f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>
        <f>IF(OR(F5215="",G5215=""),"",IF(G5215&lt;='RETRATO 2027'!$K$5,"CONCLUÍDA",IF(F5215&lt;='RETRATO 2027'!$K$5,"EM ANDAMENTO","A INICIAR")))</f>
        <v/>
      </c>
    </row>
    <row r="5216">
      <c r="M5216" s="2">
        <f>IF(C5216="","",IFERROR(INDEX($S$5:$S$304,MATCH(C5216,$R$5:$R$304,0))&amp;"","?"))</f>
        <v/>
      </c>
      <c r="N5216" s="2">
        <f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>
        <f>IF(OR(F5216="",G5216=""),"",IF(G5216&lt;='RETRATO 2027'!$K$5,"CONCLUÍDA",IF(F5216&lt;='RETRATO 2027'!$K$5,"EM ANDAMENTO","A INICIAR")))</f>
        <v/>
      </c>
    </row>
    <row r="5217">
      <c r="M5217" s="2">
        <f>IF(C5217="","",IFERROR(INDEX($S$5:$S$304,MATCH(C5217,$R$5:$R$304,0))&amp;"","?"))</f>
        <v/>
      </c>
      <c r="N5217" s="2">
        <f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>
        <f>IF(OR(F5217="",G5217=""),"",IF(G5217&lt;='RETRATO 2027'!$K$5,"CONCLUÍDA",IF(F5217&lt;='RETRATO 2027'!$K$5,"EM ANDAMENTO","A INICIAR")))</f>
        <v/>
      </c>
    </row>
    <row r="5218">
      <c r="M5218" s="2">
        <f>IF(C5218="","",IFERROR(INDEX($S$5:$S$304,MATCH(C5218,$R$5:$R$304,0))&amp;"","?"))</f>
        <v/>
      </c>
      <c r="N5218" s="2">
        <f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>
        <f>IF(OR(F5218="",G5218=""),"",IF(G5218&lt;='RETRATO 2027'!$K$5,"CONCLUÍDA",IF(F5218&lt;='RETRATO 2027'!$K$5,"EM ANDAMENTO","A INICIAR")))</f>
        <v/>
      </c>
    </row>
    <row r="5219">
      <c r="M5219" s="2">
        <f>IF(C5219="","",IFERROR(INDEX($S$5:$S$304,MATCH(C5219,$R$5:$R$304,0))&amp;"","?"))</f>
        <v/>
      </c>
      <c r="N5219" s="2">
        <f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>
        <f>IF(OR(F5219="",G5219=""),"",IF(G5219&lt;='RETRATO 2027'!$K$5,"CONCLUÍDA",IF(F5219&lt;='RETRATO 2027'!$K$5,"EM ANDAMENTO","A INICIAR")))</f>
        <v/>
      </c>
    </row>
    <row r="5220">
      <c r="M5220" s="2">
        <f>IF(C5220="","",IFERROR(INDEX($S$5:$S$304,MATCH(C5220,$R$5:$R$304,0))&amp;"","?"))</f>
        <v/>
      </c>
      <c r="N5220" s="2">
        <f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>
        <f>IF(OR(F5220="",G5220=""),"",IF(G5220&lt;='RETRATO 2027'!$K$5,"CONCLUÍDA",IF(F5220&lt;='RETRATO 2027'!$K$5,"EM ANDAMENTO","A INICIAR")))</f>
        <v/>
      </c>
    </row>
    <row r="5221">
      <c r="M5221" s="2">
        <f>IF(C5221="","",IFERROR(INDEX($S$5:$S$304,MATCH(C5221,$R$5:$R$304,0))&amp;"","?"))</f>
        <v/>
      </c>
      <c r="N5221" s="2">
        <f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>
        <f>IF(OR(F5221="",G5221=""),"",IF(G5221&lt;='RETRATO 2027'!$K$5,"CONCLUÍDA",IF(F5221&lt;='RETRATO 2027'!$K$5,"EM ANDAMENTO","A INICIAR")))</f>
        <v/>
      </c>
    </row>
    <row r="5222">
      <c r="M5222" s="2">
        <f>IF(C5222="","",IFERROR(INDEX($S$5:$S$304,MATCH(C5222,$R$5:$R$304,0))&amp;"","?"))</f>
        <v/>
      </c>
      <c r="N5222" s="2">
        <f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>
        <f>IF(OR(F5222="",G5222=""),"",IF(G5222&lt;='RETRATO 2027'!$K$5,"CONCLUÍDA",IF(F5222&lt;='RETRATO 2027'!$K$5,"EM ANDAMENTO","A INICIAR")))</f>
        <v/>
      </c>
    </row>
    <row r="5223">
      <c r="M5223" s="2">
        <f>IF(C5223="","",IFERROR(INDEX($S$5:$S$304,MATCH(C5223,$R$5:$R$304,0))&amp;"","?"))</f>
        <v/>
      </c>
      <c r="N5223" s="2">
        <f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>
        <f>IF(OR(F5223="",G5223=""),"",IF(G5223&lt;='RETRATO 2027'!$K$5,"CONCLUÍDA",IF(F5223&lt;='RETRATO 2027'!$K$5,"EM ANDAMENTO","A INICIAR")))</f>
        <v/>
      </c>
    </row>
    <row r="5224">
      <c r="M5224" s="2">
        <f>IF(C5224="","",IFERROR(INDEX($S$5:$S$304,MATCH(C5224,$R$5:$R$304,0))&amp;"","?"))</f>
        <v/>
      </c>
      <c r="N5224" s="2">
        <f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>
        <f>IF(OR(F5224="",G5224=""),"",IF(G5224&lt;='RETRATO 2027'!$K$5,"CONCLUÍDA",IF(F5224&lt;='RETRATO 2027'!$K$5,"EM ANDAMENTO","A INICIAR")))</f>
        <v/>
      </c>
    </row>
    <row r="5225">
      <c r="M5225" s="2">
        <f>IF(C5225="","",IFERROR(INDEX($S$5:$S$304,MATCH(C5225,$R$5:$R$304,0))&amp;"","?"))</f>
        <v/>
      </c>
      <c r="N5225" s="2">
        <f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>
        <f>IF(OR(F5225="",G5225=""),"",IF(G5225&lt;='RETRATO 2027'!$K$5,"CONCLUÍDA",IF(F5225&lt;='RETRATO 2027'!$K$5,"EM ANDAMENTO","A INICIAR")))</f>
        <v/>
      </c>
    </row>
    <row r="5226">
      <c r="M5226" s="2">
        <f>IF(C5226="","",IFERROR(INDEX($S$5:$S$304,MATCH(C5226,$R$5:$R$304,0))&amp;"","?"))</f>
        <v/>
      </c>
      <c r="N5226" s="2">
        <f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>
        <f>IF(OR(F5226="",G5226=""),"",IF(G5226&lt;='RETRATO 2027'!$K$5,"CONCLUÍDA",IF(F5226&lt;='RETRATO 2027'!$K$5,"EM ANDAMENTO","A INICIAR")))</f>
        <v/>
      </c>
    </row>
    <row r="5227">
      <c r="M5227" s="2">
        <f>IF(C5227="","",IFERROR(INDEX($S$5:$S$304,MATCH(C5227,$R$5:$R$304,0))&amp;"","?"))</f>
        <v/>
      </c>
      <c r="N5227" s="2">
        <f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>
        <f>IF(OR(F5227="",G5227=""),"",IF(G5227&lt;='RETRATO 2027'!$K$5,"CONCLUÍDA",IF(F5227&lt;='RETRATO 2027'!$K$5,"EM ANDAMENTO","A INICIAR")))</f>
        <v/>
      </c>
    </row>
    <row r="5228">
      <c r="M5228" s="2">
        <f>IF(C5228="","",IFERROR(INDEX($S$5:$S$304,MATCH(C5228,$R$5:$R$304,0))&amp;"","?"))</f>
        <v/>
      </c>
      <c r="N5228" s="2">
        <f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>
        <f>IF(OR(F5228="",G5228=""),"",IF(G5228&lt;='RETRATO 2027'!$K$5,"CONCLUÍDA",IF(F5228&lt;='RETRATO 2027'!$K$5,"EM ANDAMENTO","A INICIAR")))</f>
        <v/>
      </c>
    </row>
    <row r="5229">
      <c r="M5229" s="2">
        <f>IF(C5229="","",IFERROR(INDEX($S$5:$S$304,MATCH(C5229,$R$5:$R$304,0))&amp;"","?"))</f>
        <v/>
      </c>
      <c r="N5229" s="2">
        <f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>
        <f>IF(OR(F5229="",G5229=""),"",IF(G5229&lt;='RETRATO 2027'!$K$5,"CONCLUÍDA",IF(F5229&lt;='RETRATO 2027'!$K$5,"EM ANDAMENTO","A INICIAR")))</f>
        <v/>
      </c>
    </row>
    <row r="5230">
      <c r="M5230" s="2">
        <f>IF(C5230="","",IFERROR(INDEX($S$5:$S$304,MATCH(C5230,$R$5:$R$304,0))&amp;"","?"))</f>
        <v/>
      </c>
      <c r="N5230" s="2">
        <f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>
        <f>IF(OR(F5230="",G5230=""),"",IF(G5230&lt;='RETRATO 2027'!$K$5,"CONCLUÍDA",IF(F5230&lt;='RETRATO 2027'!$K$5,"EM ANDAMENTO","A INICIAR")))</f>
        <v/>
      </c>
    </row>
    <row r="5231">
      <c r="M5231" s="2">
        <f>IF(C5231="","",IFERROR(INDEX($S$5:$S$304,MATCH(C5231,$R$5:$R$304,0))&amp;"","?"))</f>
        <v/>
      </c>
      <c r="N5231" s="2">
        <f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>
        <f>IF(OR(F5231="",G5231=""),"",IF(G5231&lt;='RETRATO 2027'!$K$5,"CONCLUÍDA",IF(F5231&lt;='RETRATO 2027'!$K$5,"EM ANDAMENTO","A INICIAR")))</f>
        <v/>
      </c>
    </row>
    <row r="5232">
      <c r="M5232" s="2">
        <f>IF(C5232="","",IFERROR(INDEX($S$5:$S$304,MATCH(C5232,$R$5:$R$304,0))&amp;"","?"))</f>
        <v/>
      </c>
      <c r="N5232" s="2">
        <f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>
        <f>IF(OR(F5232="",G5232=""),"",IF(G5232&lt;='RETRATO 2027'!$K$5,"CONCLUÍDA",IF(F5232&lt;='RETRATO 2027'!$K$5,"EM ANDAMENTO","A INICIAR")))</f>
        <v/>
      </c>
    </row>
    <row r="5233">
      <c r="M5233" s="2">
        <f>IF(C5233="","",IFERROR(INDEX($S$5:$S$304,MATCH(C5233,$R$5:$R$304,0))&amp;"","?"))</f>
        <v/>
      </c>
      <c r="N5233" s="2">
        <f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>
        <f>IF(OR(F5233="",G5233=""),"",IF(G5233&lt;='RETRATO 2027'!$K$5,"CONCLUÍDA",IF(F5233&lt;='RETRATO 2027'!$K$5,"EM ANDAMENTO","A INICIAR")))</f>
        <v/>
      </c>
    </row>
    <row r="5234">
      <c r="M5234" s="2">
        <f>IF(C5234="","",IFERROR(INDEX($S$5:$S$304,MATCH(C5234,$R$5:$R$304,0))&amp;"","?"))</f>
        <v/>
      </c>
      <c r="N5234" s="2">
        <f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>
        <f>IF(OR(F5234="",G5234=""),"",IF(G5234&lt;='RETRATO 2027'!$K$5,"CONCLUÍDA",IF(F5234&lt;='RETRATO 2027'!$K$5,"EM ANDAMENTO","A INICIAR")))</f>
        <v/>
      </c>
    </row>
    <row r="5235">
      <c r="M5235" s="2">
        <f>IF(C5235="","",IFERROR(INDEX($S$5:$S$304,MATCH(C5235,$R$5:$R$304,0))&amp;"","?"))</f>
        <v/>
      </c>
      <c r="N5235" s="2">
        <f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>
        <f>IF(OR(F5235="",G5235=""),"",IF(G5235&lt;='RETRATO 2027'!$K$5,"CONCLUÍDA",IF(F5235&lt;='RETRATO 2027'!$K$5,"EM ANDAMENTO","A INICIAR")))</f>
        <v/>
      </c>
    </row>
    <row r="5236">
      <c r="M5236" s="2">
        <f>IF(C5236="","",IFERROR(INDEX($S$5:$S$304,MATCH(C5236,$R$5:$R$304,0))&amp;"","?"))</f>
        <v/>
      </c>
      <c r="N5236" s="2">
        <f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>
        <f>IF(OR(F5236="",G5236=""),"",IF(G5236&lt;='RETRATO 2027'!$K$5,"CONCLUÍDA",IF(F5236&lt;='RETRATO 2027'!$K$5,"EM ANDAMENTO","A INICIAR")))</f>
        <v/>
      </c>
    </row>
    <row r="5237">
      <c r="M5237" s="2">
        <f>IF(C5237="","",IFERROR(INDEX($S$5:$S$304,MATCH(C5237,$R$5:$R$304,0))&amp;"","?"))</f>
        <v/>
      </c>
      <c r="N5237" s="2">
        <f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>
        <f>IF(OR(F5237="",G5237=""),"",IF(G5237&lt;='RETRATO 2027'!$K$5,"CONCLUÍDA",IF(F5237&lt;='RETRATO 2027'!$K$5,"EM ANDAMENTO","A INICIAR")))</f>
        <v/>
      </c>
    </row>
    <row r="5238">
      <c r="M5238" s="2">
        <f>IF(C5238="","",IFERROR(INDEX($S$5:$S$304,MATCH(C5238,$R$5:$R$304,0))&amp;"","?"))</f>
        <v/>
      </c>
      <c r="N5238" s="2">
        <f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>
        <f>IF(OR(F5238="",G5238=""),"",IF(G5238&lt;='RETRATO 2027'!$K$5,"CONCLUÍDA",IF(F5238&lt;='RETRATO 2027'!$K$5,"EM ANDAMENTO","A INICIAR")))</f>
        <v/>
      </c>
    </row>
    <row r="5239">
      <c r="M5239" s="2">
        <f>IF(C5239="","",IFERROR(INDEX($S$5:$S$304,MATCH(C5239,$R$5:$R$304,0))&amp;"","?"))</f>
        <v/>
      </c>
      <c r="N5239" s="2">
        <f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>
        <f>IF(OR(F5239="",G5239=""),"",IF(G5239&lt;='RETRATO 2027'!$K$5,"CONCLUÍDA",IF(F5239&lt;='RETRATO 2027'!$K$5,"EM ANDAMENTO","A INICIAR")))</f>
        <v/>
      </c>
    </row>
    <row r="5240">
      <c r="M5240" s="2">
        <f>IF(C5240="","",IFERROR(INDEX($S$5:$S$304,MATCH(C5240,$R$5:$R$304,0))&amp;"","?"))</f>
        <v/>
      </c>
      <c r="N5240" s="2">
        <f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>
        <f>IF(OR(F5240="",G5240=""),"",IF(G5240&lt;='RETRATO 2027'!$K$5,"CONCLUÍDA",IF(F5240&lt;='RETRATO 2027'!$K$5,"EM ANDAMENTO","A INICIAR")))</f>
        <v/>
      </c>
    </row>
    <row r="5241">
      <c r="M5241" s="2">
        <f>IF(C5241="","",IFERROR(INDEX($S$5:$S$304,MATCH(C5241,$R$5:$R$304,0))&amp;"","?"))</f>
        <v/>
      </c>
      <c r="N5241" s="2">
        <f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>
        <f>IF(OR(F5241="",G5241=""),"",IF(G5241&lt;='RETRATO 2027'!$K$5,"CONCLUÍDA",IF(F5241&lt;='RETRATO 2027'!$K$5,"EM ANDAMENTO","A INICIAR")))</f>
        <v/>
      </c>
    </row>
    <row r="5242">
      <c r="M5242" s="2">
        <f>IF(C5242="","",IFERROR(INDEX($S$5:$S$304,MATCH(C5242,$R$5:$R$304,0))&amp;"","?"))</f>
        <v/>
      </c>
      <c r="N5242" s="2">
        <f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>
        <f>IF(OR(F5242="",G5242=""),"",IF(G5242&lt;='RETRATO 2027'!$K$5,"CONCLUÍDA",IF(F5242&lt;='RETRATO 2027'!$K$5,"EM ANDAMENTO","A INICIAR")))</f>
        <v/>
      </c>
    </row>
    <row r="5243">
      <c r="M5243" s="2">
        <f>IF(C5243="","",IFERROR(INDEX($S$5:$S$304,MATCH(C5243,$R$5:$R$304,0))&amp;"","?"))</f>
        <v/>
      </c>
      <c r="N5243" s="2">
        <f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>
        <f>IF(OR(F5243="",G5243=""),"",IF(G5243&lt;='RETRATO 2027'!$K$5,"CONCLUÍDA",IF(F5243&lt;='RETRATO 2027'!$K$5,"EM ANDAMENTO","A INICIAR")))</f>
        <v/>
      </c>
    </row>
    <row r="5244">
      <c r="M5244" s="2">
        <f>IF(C5244="","",IFERROR(INDEX($S$5:$S$304,MATCH(C5244,$R$5:$R$304,0))&amp;"","?"))</f>
        <v/>
      </c>
      <c r="N5244" s="2">
        <f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>
        <f>IF(OR(F5244="",G5244=""),"",IF(G5244&lt;='RETRATO 2027'!$K$5,"CONCLUÍDA",IF(F5244&lt;='RETRATO 2027'!$K$5,"EM ANDAMENTO","A INICIAR")))</f>
        <v/>
      </c>
    </row>
    <row r="5245">
      <c r="M5245" s="2">
        <f>IF(C5245="","",IFERROR(INDEX($S$5:$S$304,MATCH(C5245,$R$5:$R$304,0))&amp;"","?"))</f>
        <v/>
      </c>
      <c r="N5245" s="2">
        <f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>
        <f>IF(OR(F5245="",G5245=""),"",IF(G5245&lt;='RETRATO 2027'!$K$5,"CONCLUÍDA",IF(F5245&lt;='RETRATO 2027'!$K$5,"EM ANDAMENTO","A INICIAR")))</f>
        <v/>
      </c>
    </row>
    <row r="5246">
      <c r="M5246" s="2">
        <f>IF(C5246="","",IFERROR(INDEX($S$5:$S$304,MATCH(C5246,$R$5:$R$304,0))&amp;"","?"))</f>
        <v/>
      </c>
      <c r="N5246" s="2">
        <f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>
        <f>IF(OR(F5246="",G5246=""),"",IF(G5246&lt;='RETRATO 2027'!$K$5,"CONCLUÍDA",IF(F5246&lt;='RETRATO 2027'!$K$5,"EM ANDAMENTO","A INICIAR")))</f>
        <v/>
      </c>
    </row>
    <row r="5247">
      <c r="M5247" s="2">
        <f>IF(C5247="","",IFERROR(INDEX($S$5:$S$304,MATCH(C5247,$R$5:$R$304,0))&amp;"","?"))</f>
        <v/>
      </c>
      <c r="N5247" s="2">
        <f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>
        <f>IF(OR(F5247="",G5247=""),"",IF(G5247&lt;='RETRATO 2027'!$K$5,"CONCLUÍDA",IF(F5247&lt;='RETRATO 2027'!$K$5,"EM ANDAMENTO","A INICIAR")))</f>
        <v/>
      </c>
    </row>
    <row r="5248">
      <c r="M5248" s="2">
        <f>IF(C5248="","",IFERROR(INDEX($S$5:$S$304,MATCH(C5248,$R$5:$R$304,0))&amp;"","?"))</f>
        <v/>
      </c>
      <c r="N5248" s="2">
        <f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>
        <f>IF(OR(F5248="",G5248=""),"",IF(G5248&lt;='RETRATO 2027'!$K$5,"CONCLUÍDA",IF(F5248&lt;='RETRATO 2027'!$K$5,"EM ANDAMENTO","A INICIAR")))</f>
        <v/>
      </c>
    </row>
    <row r="5249">
      <c r="M5249" s="2">
        <f>IF(C5249="","",IFERROR(INDEX($S$5:$S$304,MATCH(C5249,$R$5:$R$304,0))&amp;"","?"))</f>
        <v/>
      </c>
      <c r="N5249" s="2">
        <f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>
        <f>IF(OR(F5249="",G5249=""),"",IF(G5249&lt;='RETRATO 2027'!$K$5,"CONCLUÍDA",IF(F5249&lt;='RETRATO 2027'!$K$5,"EM ANDAMENTO","A INICIAR")))</f>
        <v/>
      </c>
    </row>
    <row r="5250">
      <c r="M5250" s="2">
        <f>IF(C5250="","",IFERROR(INDEX($S$5:$S$304,MATCH(C5250,$R$5:$R$304,0))&amp;"","?"))</f>
        <v/>
      </c>
      <c r="N5250" s="2">
        <f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>
        <f>IF(OR(F5250="",G5250=""),"",IF(G5250&lt;='RETRATO 2027'!$K$5,"CONCLUÍDA",IF(F5250&lt;='RETRATO 2027'!$K$5,"EM ANDAMENTO","A INICIAR")))</f>
        <v/>
      </c>
    </row>
    <row r="5251">
      <c r="M5251" s="2">
        <f>IF(C5251="","",IFERROR(INDEX($S$5:$S$304,MATCH(C5251,$R$5:$R$304,0))&amp;"","?"))</f>
        <v/>
      </c>
      <c r="N5251" s="2">
        <f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>
        <f>IF(OR(F5251="",G5251=""),"",IF(G5251&lt;='RETRATO 2027'!$K$5,"CONCLUÍDA",IF(F5251&lt;='RETRATO 2027'!$K$5,"EM ANDAMENTO","A INICIAR")))</f>
        <v/>
      </c>
    </row>
    <row r="5252">
      <c r="M5252" s="2">
        <f>IF(C5252="","",IFERROR(INDEX($S$5:$S$304,MATCH(C5252,$R$5:$R$304,0))&amp;"","?"))</f>
        <v/>
      </c>
      <c r="N5252" s="2">
        <f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>
        <f>IF(OR(F5252="",G5252=""),"",IF(G5252&lt;='RETRATO 2027'!$K$5,"CONCLUÍDA",IF(F5252&lt;='RETRATO 2027'!$K$5,"EM ANDAMENTO","A INICIAR")))</f>
        <v/>
      </c>
    </row>
    <row r="5253">
      <c r="M5253" s="2">
        <f>IF(C5253="","",IFERROR(INDEX($S$5:$S$304,MATCH(C5253,$R$5:$R$304,0))&amp;"","?"))</f>
        <v/>
      </c>
      <c r="N5253" s="2">
        <f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>
        <f>IF(OR(F5253="",G5253=""),"",IF(G5253&lt;='RETRATO 2027'!$K$5,"CONCLUÍDA",IF(F5253&lt;='RETRATO 2027'!$K$5,"EM ANDAMENTO","A INICIAR")))</f>
        <v/>
      </c>
    </row>
    <row r="5254">
      <c r="M5254" s="2">
        <f>IF(C5254="","",IFERROR(INDEX($S$5:$S$304,MATCH(C5254,$R$5:$R$304,0))&amp;"","?"))</f>
        <v/>
      </c>
      <c r="N5254" s="2">
        <f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>
        <f>IF(OR(F5254="",G5254=""),"",IF(G5254&lt;='RETRATO 2027'!$K$5,"CONCLUÍDA",IF(F5254&lt;='RETRATO 2027'!$K$5,"EM ANDAMENTO","A INICIAR")))</f>
        <v/>
      </c>
    </row>
    <row r="5255">
      <c r="M5255" s="2">
        <f>IF(C5255="","",IFERROR(INDEX($S$5:$S$304,MATCH(C5255,$R$5:$R$304,0))&amp;"","?"))</f>
        <v/>
      </c>
      <c r="N5255" s="2">
        <f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>
        <f>IF(OR(F5255="",G5255=""),"",IF(G5255&lt;='RETRATO 2027'!$K$5,"CONCLUÍDA",IF(F5255&lt;='RETRATO 2027'!$K$5,"EM ANDAMENTO","A INICIAR")))</f>
        <v/>
      </c>
    </row>
    <row r="5256">
      <c r="M5256" s="2">
        <f>IF(C5256="","",IFERROR(INDEX($S$5:$S$304,MATCH(C5256,$R$5:$R$304,0))&amp;"","?"))</f>
        <v/>
      </c>
      <c r="N5256" s="2">
        <f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>
        <f>IF(OR(F5256="",G5256=""),"",IF(G5256&lt;='RETRATO 2027'!$K$5,"CONCLUÍDA",IF(F5256&lt;='RETRATO 2027'!$K$5,"EM ANDAMENTO","A INICIAR")))</f>
        <v/>
      </c>
    </row>
    <row r="5257">
      <c r="M5257" s="2">
        <f>IF(C5257="","",IFERROR(INDEX($S$5:$S$304,MATCH(C5257,$R$5:$R$304,0))&amp;"","?"))</f>
        <v/>
      </c>
      <c r="N5257" s="2">
        <f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>
        <f>IF(OR(F5257="",G5257=""),"",IF(G5257&lt;='RETRATO 2027'!$K$5,"CONCLUÍDA",IF(F5257&lt;='RETRATO 2027'!$K$5,"EM ANDAMENTO","A INICIAR")))</f>
        <v/>
      </c>
    </row>
    <row r="5258">
      <c r="M5258" s="2">
        <f>IF(C5258="","",IFERROR(INDEX($S$5:$S$304,MATCH(C5258,$R$5:$R$304,0))&amp;"","?"))</f>
        <v/>
      </c>
      <c r="N5258" s="2">
        <f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>
        <f>IF(OR(F5258="",G5258=""),"",IF(G5258&lt;='RETRATO 2027'!$K$5,"CONCLUÍDA",IF(F5258&lt;='RETRATO 2027'!$K$5,"EM ANDAMENTO","A INICIAR")))</f>
        <v/>
      </c>
    </row>
    <row r="5259">
      <c r="M5259" s="2">
        <f>IF(C5259="","",IFERROR(INDEX($S$5:$S$304,MATCH(C5259,$R$5:$R$304,0))&amp;"","?"))</f>
        <v/>
      </c>
      <c r="N5259" s="2">
        <f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>
        <f>IF(OR(F5259="",G5259=""),"",IF(G5259&lt;='RETRATO 2027'!$K$5,"CONCLUÍDA",IF(F5259&lt;='RETRATO 2027'!$K$5,"EM ANDAMENTO","A INICIAR")))</f>
        <v/>
      </c>
    </row>
    <row r="5260">
      <c r="M5260" s="2">
        <f>IF(C5260="","",IFERROR(INDEX($S$5:$S$304,MATCH(C5260,$R$5:$R$304,0))&amp;"","?"))</f>
        <v/>
      </c>
      <c r="N5260" s="2">
        <f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>
        <f>IF(OR(F5260="",G5260=""),"",IF(G5260&lt;='RETRATO 2027'!$K$5,"CONCLUÍDA",IF(F5260&lt;='RETRATO 2027'!$K$5,"EM ANDAMENTO","A INICIAR")))</f>
        <v/>
      </c>
    </row>
    <row r="5261">
      <c r="M5261" s="2">
        <f>IF(C5261="","",IFERROR(INDEX($S$5:$S$304,MATCH(C5261,$R$5:$R$304,0))&amp;"","?"))</f>
        <v/>
      </c>
      <c r="N5261" s="2">
        <f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>
        <f>IF(OR(F5261="",G5261=""),"",IF(G5261&lt;='RETRATO 2027'!$K$5,"CONCLUÍDA",IF(F5261&lt;='RETRATO 2027'!$K$5,"EM ANDAMENTO","A INICIAR")))</f>
        <v/>
      </c>
    </row>
    <row r="5262">
      <c r="M5262" s="2">
        <f>IF(C5262="","",IFERROR(INDEX($S$5:$S$304,MATCH(C5262,$R$5:$R$304,0))&amp;"","?"))</f>
        <v/>
      </c>
      <c r="N5262" s="2">
        <f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>
        <f>IF(OR(F5262="",G5262=""),"",IF(G5262&lt;='RETRATO 2027'!$K$5,"CONCLUÍDA",IF(F5262&lt;='RETRATO 2027'!$K$5,"EM ANDAMENTO","A INICIAR")))</f>
        <v/>
      </c>
    </row>
    <row r="5263">
      <c r="M5263" s="2">
        <f>IF(C5263="","",IFERROR(INDEX($S$5:$S$304,MATCH(C5263,$R$5:$R$304,0))&amp;"","?"))</f>
        <v/>
      </c>
      <c r="N5263" s="2">
        <f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>
        <f>IF(OR(F5263="",G5263=""),"",IF(G5263&lt;='RETRATO 2027'!$K$5,"CONCLUÍDA",IF(F5263&lt;='RETRATO 2027'!$K$5,"EM ANDAMENTO","A INICIAR")))</f>
        <v/>
      </c>
    </row>
    <row r="5264">
      <c r="M5264" s="2">
        <f>IF(C5264="","",IFERROR(INDEX($S$5:$S$304,MATCH(C5264,$R$5:$R$304,0))&amp;"","?"))</f>
        <v/>
      </c>
      <c r="N5264" s="2">
        <f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>
        <f>IF(OR(F5264="",G5264=""),"",IF(G5264&lt;='RETRATO 2027'!$K$5,"CONCLUÍDA",IF(F5264&lt;='RETRATO 2027'!$K$5,"EM ANDAMENTO","A INICIAR")))</f>
        <v/>
      </c>
    </row>
    <row r="5265">
      <c r="M5265" s="2">
        <f>IF(C5265="","",IFERROR(INDEX($S$5:$S$304,MATCH(C5265,$R$5:$R$304,0))&amp;"","?"))</f>
        <v/>
      </c>
      <c r="N5265" s="2">
        <f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>
        <f>IF(OR(F5265="",G5265=""),"",IF(G5265&lt;='RETRATO 2027'!$K$5,"CONCLUÍDA",IF(F5265&lt;='RETRATO 2027'!$K$5,"EM ANDAMENTO","A INICIAR")))</f>
        <v/>
      </c>
    </row>
    <row r="5266">
      <c r="M5266" s="2">
        <f>IF(C5266="","",IFERROR(INDEX($S$5:$S$304,MATCH(C5266,$R$5:$R$304,0))&amp;"","?"))</f>
        <v/>
      </c>
      <c r="N5266" s="2">
        <f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>
        <f>IF(OR(F5266="",G5266=""),"",IF(G5266&lt;='RETRATO 2027'!$K$5,"CONCLUÍDA",IF(F5266&lt;='RETRATO 2027'!$K$5,"EM ANDAMENTO","A INICIAR")))</f>
        <v/>
      </c>
    </row>
    <row r="5267">
      <c r="M5267" s="2">
        <f>IF(C5267="","",IFERROR(INDEX($S$5:$S$304,MATCH(C5267,$R$5:$R$304,0))&amp;"","?"))</f>
        <v/>
      </c>
      <c r="N5267" s="2">
        <f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>
        <f>IF(OR(F5267="",G5267=""),"",IF(G5267&lt;='RETRATO 2027'!$K$5,"CONCLUÍDA",IF(F5267&lt;='RETRATO 2027'!$K$5,"EM ANDAMENTO","A INICIAR")))</f>
        <v/>
      </c>
    </row>
    <row r="5268">
      <c r="M5268" s="2">
        <f>IF(C5268="","",IFERROR(INDEX($S$5:$S$304,MATCH(C5268,$R$5:$R$304,0))&amp;"","?"))</f>
        <v/>
      </c>
      <c r="N5268" s="2">
        <f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>
        <f>IF(OR(F5268="",G5268=""),"",IF(G5268&lt;='RETRATO 2027'!$K$5,"CONCLUÍDA",IF(F5268&lt;='RETRATO 2027'!$K$5,"EM ANDAMENTO","A INICIAR")))</f>
        <v/>
      </c>
    </row>
    <row r="5269">
      <c r="M5269" s="2">
        <f>IF(C5269="","",IFERROR(INDEX($S$5:$S$304,MATCH(C5269,$R$5:$R$304,0))&amp;"","?"))</f>
        <v/>
      </c>
      <c r="N5269" s="2">
        <f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>
        <f>IF(OR(F5269="",G5269=""),"",IF(G5269&lt;='RETRATO 2027'!$K$5,"CONCLUÍDA",IF(F5269&lt;='RETRATO 2027'!$K$5,"EM ANDAMENTO","A INICIAR")))</f>
        <v/>
      </c>
    </row>
    <row r="5270">
      <c r="M5270" s="2">
        <f>IF(C5270="","",IFERROR(INDEX($S$5:$S$304,MATCH(C5270,$R$5:$R$304,0))&amp;"","?"))</f>
        <v/>
      </c>
      <c r="N5270" s="2">
        <f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>
        <f>IF(OR(F5270="",G5270=""),"",IF(G5270&lt;='RETRATO 2027'!$K$5,"CONCLUÍDA",IF(F5270&lt;='RETRATO 2027'!$K$5,"EM ANDAMENTO","A INICIAR")))</f>
        <v/>
      </c>
    </row>
    <row r="5271">
      <c r="M5271" s="2">
        <f>IF(C5271="","",IFERROR(INDEX($S$5:$S$304,MATCH(C5271,$R$5:$R$304,0))&amp;"","?"))</f>
        <v/>
      </c>
      <c r="N5271" s="2">
        <f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>
        <f>IF(OR(F5271="",G5271=""),"",IF(G5271&lt;='RETRATO 2027'!$K$5,"CONCLUÍDA",IF(F5271&lt;='RETRATO 2027'!$K$5,"EM ANDAMENTO","A INICIAR")))</f>
        <v/>
      </c>
    </row>
    <row r="5272">
      <c r="M5272" s="2">
        <f>IF(C5272="","",IFERROR(INDEX($S$5:$S$304,MATCH(C5272,$R$5:$R$304,0))&amp;"","?"))</f>
        <v/>
      </c>
      <c r="N5272" s="2">
        <f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>
        <f>IF(OR(F5272="",G5272=""),"",IF(G5272&lt;='RETRATO 2027'!$K$5,"CONCLUÍDA",IF(F5272&lt;='RETRATO 2027'!$K$5,"EM ANDAMENTO","A INICIAR")))</f>
        <v/>
      </c>
    </row>
    <row r="5273">
      <c r="M5273" s="2">
        <f>IF(C5273="","",IFERROR(INDEX($S$5:$S$304,MATCH(C5273,$R$5:$R$304,0))&amp;"","?"))</f>
        <v/>
      </c>
      <c r="N5273" s="2">
        <f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>
        <f>IF(OR(F5273="",G5273=""),"",IF(G5273&lt;='RETRATO 2027'!$K$5,"CONCLUÍDA",IF(F5273&lt;='RETRATO 2027'!$K$5,"EM ANDAMENTO","A INICIAR")))</f>
        <v/>
      </c>
    </row>
    <row r="5274">
      <c r="M5274" s="2">
        <f>IF(C5274="","",IFERROR(INDEX($S$5:$S$304,MATCH(C5274,$R$5:$R$304,0))&amp;"","?"))</f>
        <v/>
      </c>
      <c r="N5274" s="2">
        <f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>
        <f>IF(OR(F5274="",G5274=""),"",IF(G5274&lt;='RETRATO 2027'!$K$5,"CONCLUÍDA",IF(F5274&lt;='RETRATO 2027'!$K$5,"EM ANDAMENTO","A INICIAR")))</f>
        <v/>
      </c>
    </row>
    <row r="5275">
      <c r="M5275" s="2">
        <f>IF(C5275="","",IFERROR(INDEX($S$5:$S$304,MATCH(C5275,$R$5:$R$304,0))&amp;"","?"))</f>
        <v/>
      </c>
      <c r="N5275" s="2">
        <f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>
        <f>IF(OR(F5275="",G5275=""),"",IF(G5275&lt;='RETRATO 2027'!$K$5,"CONCLUÍDA",IF(F5275&lt;='RETRATO 2027'!$K$5,"EM ANDAMENTO","A INICIAR")))</f>
        <v/>
      </c>
    </row>
    <row r="5276">
      <c r="M5276" s="2">
        <f>IF(C5276="","",IFERROR(INDEX($S$5:$S$304,MATCH(C5276,$R$5:$R$304,0))&amp;"","?"))</f>
        <v/>
      </c>
      <c r="N5276" s="2">
        <f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>
        <f>IF(OR(F5276="",G5276=""),"",IF(G5276&lt;='RETRATO 2027'!$K$5,"CONCLUÍDA",IF(F5276&lt;='RETRATO 2027'!$K$5,"EM ANDAMENTO","A INICIAR")))</f>
        <v/>
      </c>
    </row>
    <row r="5277">
      <c r="M5277" s="2">
        <f>IF(C5277="","",IFERROR(INDEX($S$5:$S$304,MATCH(C5277,$R$5:$R$304,0))&amp;"","?"))</f>
        <v/>
      </c>
      <c r="N5277" s="2">
        <f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>
        <f>IF(OR(F5277="",G5277=""),"",IF(G5277&lt;='RETRATO 2027'!$K$5,"CONCLUÍDA",IF(F5277&lt;='RETRATO 2027'!$K$5,"EM ANDAMENTO","A INICIAR")))</f>
        <v/>
      </c>
    </row>
    <row r="5278">
      <c r="M5278" s="2">
        <f>IF(C5278="","",IFERROR(INDEX($S$5:$S$304,MATCH(C5278,$R$5:$R$304,0))&amp;"","?"))</f>
        <v/>
      </c>
      <c r="N5278" s="2">
        <f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>
        <f>IF(OR(F5278="",G5278=""),"",IF(G5278&lt;='RETRATO 2027'!$K$5,"CONCLUÍDA",IF(F5278&lt;='RETRATO 2027'!$K$5,"EM ANDAMENTO","A INICIAR")))</f>
        <v/>
      </c>
    </row>
    <row r="5279">
      <c r="M5279" s="2">
        <f>IF(C5279="","",IFERROR(INDEX($S$5:$S$304,MATCH(C5279,$R$5:$R$304,0))&amp;"","?"))</f>
        <v/>
      </c>
      <c r="N5279" s="2">
        <f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>
        <f>IF(OR(F5279="",G5279=""),"",IF(G5279&lt;='RETRATO 2027'!$K$5,"CONCLUÍDA",IF(F5279&lt;='RETRATO 2027'!$K$5,"EM ANDAMENTO","A INICIAR")))</f>
        <v/>
      </c>
    </row>
    <row r="5280">
      <c r="M5280" s="2">
        <f>IF(C5280="","",IFERROR(INDEX($S$5:$S$304,MATCH(C5280,$R$5:$R$304,0))&amp;"","?"))</f>
        <v/>
      </c>
      <c r="N5280" s="2">
        <f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>
        <f>IF(OR(F5280="",G5280=""),"",IF(G5280&lt;='RETRATO 2027'!$K$5,"CONCLUÍDA",IF(F5280&lt;='RETRATO 2027'!$K$5,"EM ANDAMENTO","A INICIAR")))</f>
        <v/>
      </c>
    </row>
    <row r="5281">
      <c r="M5281" s="2">
        <f>IF(C5281="","",IFERROR(INDEX($S$5:$S$304,MATCH(C5281,$R$5:$R$304,0))&amp;"","?"))</f>
        <v/>
      </c>
      <c r="N5281" s="2">
        <f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>
        <f>IF(OR(F5281="",G5281=""),"",IF(G5281&lt;='RETRATO 2027'!$K$5,"CONCLUÍDA",IF(F5281&lt;='RETRATO 2027'!$K$5,"EM ANDAMENTO","A INICIAR")))</f>
        <v/>
      </c>
    </row>
    <row r="5282">
      <c r="M5282" s="2">
        <f>IF(C5282="","",IFERROR(INDEX($S$5:$S$304,MATCH(C5282,$R$5:$R$304,0))&amp;"","?"))</f>
        <v/>
      </c>
      <c r="N5282" s="2">
        <f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>
        <f>IF(OR(F5282="",G5282=""),"",IF(G5282&lt;='RETRATO 2027'!$K$5,"CONCLUÍDA",IF(F5282&lt;='RETRATO 2027'!$K$5,"EM ANDAMENTO","A INICIAR")))</f>
        <v/>
      </c>
    </row>
    <row r="5283">
      <c r="M5283" s="2">
        <f>IF(C5283="","",IFERROR(INDEX($S$5:$S$304,MATCH(C5283,$R$5:$R$304,0))&amp;"","?"))</f>
        <v/>
      </c>
      <c r="N5283" s="2">
        <f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>
        <f>IF(OR(F5283="",G5283=""),"",IF(G5283&lt;='RETRATO 2027'!$K$5,"CONCLUÍDA",IF(F5283&lt;='RETRATO 2027'!$K$5,"EM ANDAMENTO","A INICIAR")))</f>
        <v/>
      </c>
    </row>
    <row r="5284">
      <c r="M5284" s="2">
        <f>IF(C5284="","",IFERROR(INDEX($S$5:$S$304,MATCH(C5284,$R$5:$R$304,0))&amp;"","?"))</f>
        <v/>
      </c>
      <c r="N5284" s="2">
        <f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>
        <f>IF(OR(F5284="",G5284=""),"",IF(G5284&lt;='RETRATO 2027'!$K$5,"CONCLUÍDA",IF(F5284&lt;='RETRATO 2027'!$K$5,"EM ANDAMENTO","A INICIAR")))</f>
        <v/>
      </c>
    </row>
    <row r="5285">
      <c r="M5285" s="2">
        <f>IF(C5285="","",IFERROR(INDEX($S$5:$S$304,MATCH(C5285,$R$5:$R$304,0))&amp;"","?"))</f>
        <v/>
      </c>
      <c r="N5285" s="2">
        <f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>
        <f>IF(OR(F5285="",G5285=""),"",IF(G5285&lt;='RETRATO 2027'!$K$5,"CONCLUÍDA",IF(F5285&lt;='RETRATO 2027'!$K$5,"EM ANDAMENTO","A INICIAR")))</f>
        <v/>
      </c>
    </row>
    <row r="5286">
      <c r="M5286" s="2">
        <f>IF(C5286="","",IFERROR(INDEX($S$5:$S$304,MATCH(C5286,$R$5:$R$304,0))&amp;"","?"))</f>
        <v/>
      </c>
      <c r="N5286" s="2">
        <f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>
        <f>IF(OR(F5286="",G5286=""),"",IF(G5286&lt;='RETRATO 2027'!$K$5,"CONCLUÍDA",IF(F5286&lt;='RETRATO 2027'!$K$5,"EM ANDAMENTO","A INICIAR")))</f>
        <v/>
      </c>
    </row>
    <row r="5287">
      <c r="M5287" s="2">
        <f>IF(C5287="","",IFERROR(INDEX($S$5:$S$304,MATCH(C5287,$R$5:$R$304,0))&amp;"","?"))</f>
        <v/>
      </c>
      <c r="N5287" s="2">
        <f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>
        <f>IF(OR(F5287="",G5287=""),"",IF(G5287&lt;='RETRATO 2027'!$K$5,"CONCLUÍDA",IF(F5287&lt;='RETRATO 2027'!$K$5,"EM ANDAMENTO","A INICIAR")))</f>
        <v/>
      </c>
    </row>
    <row r="5288">
      <c r="M5288" s="2">
        <f>IF(C5288="","",IFERROR(INDEX($S$5:$S$304,MATCH(C5288,$R$5:$R$304,0))&amp;"","?"))</f>
        <v/>
      </c>
      <c r="N5288" s="2">
        <f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>
        <f>IF(OR(F5288="",G5288=""),"",IF(G5288&lt;='RETRATO 2027'!$K$5,"CONCLUÍDA",IF(F5288&lt;='RETRATO 2027'!$K$5,"EM ANDAMENTO","A INICIAR")))</f>
        <v/>
      </c>
    </row>
    <row r="5289">
      <c r="M5289" s="2">
        <f>IF(C5289="","",IFERROR(INDEX($S$5:$S$304,MATCH(C5289,$R$5:$R$304,0))&amp;"","?"))</f>
        <v/>
      </c>
      <c r="N5289" s="2">
        <f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>
        <f>IF(OR(F5289="",G5289=""),"",IF(G5289&lt;='RETRATO 2027'!$K$5,"CONCLUÍDA",IF(F5289&lt;='RETRATO 2027'!$K$5,"EM ANDAMENTO","A INICIAR")))</f>
        <v/>
      </c>
    </row>
    <row r="5290">
      <c r="M5290" s="2">
        <f>IF(C5290="","",IFERROR(INDEX($S$5:$S$304,MATCH(C5290,$R$5:$R$304,0))&amp;"","?"))</f>
        <v/>
      </c>
      <c r="N5290" s="2">
        <f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>
        <f>IF(OR(F5290="",G5290=""),"",IF(G5290&lt;='RETRATO 2027'!$K$5,"CONCLUÍDA",IF(F5290&lt;='RETRATO 2027'!$K$5,"EM ANDAMENTO","A INICIAR")))</f>
        <v/>
      </c>
    </row>
    <row r="5291">
      <c r="M5291" s="2">
        <f>IF(C5291="","",IFERROR(INDEX($S$5:$S$304,MATCH(C5291,$R$5:$R$304,0))&amp;"","?"))</f>
        <v/>
      </c>
      <c r="N5291" s="2">
        <f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>
        <f>IF(OR(F5291="",G5291=""),"",IF(G5291&lt;='RETRATO 2027'!$K$5,"CONCLUÍDA",IF(F5291&lt;='RETRATO 2027'!$K$5,"EM ANDAMENTO","A INICIAR")))</f>
        <v/>
      </c>
    </row>
    <row r="5292">
      <c r="M5292" s="2">
        <f>IF(C5292="","",IFERROR(INDEX($S$5:$S$304,MATCH(C5292,$R$5:$R$304,0))&amp;"","?"))</f>
        <v/>
      </c>
      <c r="N5292" s="2">
        <f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>
        <f>IF(OR(F5292="",G5292=""),"",IF(G5292&lt;='RETRATO 2027'!$K$5,"CONCLUÍDA",IF(F5292&lt;='RETRATO 2027'!$K$5,"EM ANDAMENTO","A INICIAR")))</f>
        <v/>
      </c>
    </row>
    <row r="5293">
      <c r="M5293" s="2">
        <f>IF(C5293="","",IFERROR(INDEX($S$5:$S$304,MATCH(C5293,$R$5:$R$304,0))&amp;"","?"))</f>
        <v/>
      </c>
      <c r="N5293" s="2">
        <f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>
        <f>IF(OR(F5293="",G5293=""),"",IF(G5293&lt;='RETRATO 2027'!$K$5,"CONCLUÍDA",IF(F5293&lt;='RETRATO 2027'!$K$5,"EM ANDAMENTO","A INICIAR")))</f>
        <v/>
      </c>
    </row>
    <row r="5294">
      <c r="M5294" s="2">
        <f>IF(C5294="","",IFERROR(INDEX($S$5:$S$304,MATCH(C5294,$R$5:$R$304,0))&amp;"","?"))</f>
        <v/>
      </c>
      <c r="N5294" s="2">
        <f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>
        <f>IF(OR(F5294="",G5294=""),"",IF(G5294&lt;='RETRATO 2027'!$K$5,"CONCLUÍDA",IF(F5294&lt;='RETRATO 2027'!$K$5,"EM ANDAMENTO","A INICIAR")))</f>
        <v/>
      </c>
    </row>
    <row r="5295">
      <c r="M5295" s="2">
        <f>IF(C5295="","",IFERROR(INDEX($S$5:$S$304,MATCH(C5295,$R$5:$R$304,0))&amp;"","?"))</f>
        <v/>
      </c>
      <c r="N5295" s="2">
        <f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>
        <f>IF(OR(F5295="",G5295=""),"",IF(G5295&lt;='RETRATO 2027'!$K$5,"CONCLUÍDA",IF(F5295&lt;='RETRATO 2027'!$K$5,"EM ANDAMENTO","A INICIAR")))</f>
        <v/>
      </c>
    </row>
    <row r="5296">
      <c r="M5296" s="2">
        <f>IF(C5296="","",IFERROR(INDEX($S$5:$S$304,MATCH(C5296,$R$5:$R$304,0))&amp;"","?"))</f>
        <v/>
      </c>
      <c r="N5296" s="2">
        <f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>
        <f>IF(OR(F5296="",G5296=""),"",IF(G5296&lt;='RETRATO 2027'!$K$5,"CONCLUÍDA",IF(F5296&lt;='RETRATO 2027'!$K$5,"EM ANDAMENTO","A INICIAR")))</f>
        <v/>
      </c>
    </row>
    <row r="5297">
      <c r="M5297" s="2">
        <f>IF(C5297="","",IFERROR(INDEX($S$5:$S$304,MATCH(C5297,$R$5:$R$304,0))&amp;"","?"))</f>
        <v/>
      </c>
      <c r="N5297" s="2">
        <f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>
        <f>IF(OR(F5297="",G5297=""),"",IF(G5297&lt;='RETRATO 2027'!$K$5,"CONCLUÍDA",IF(F5297&lt;='RETRATO 2027'!$K$5,"EM ANDAMENTO","A INICIAR")))</f>
        <v/>
      </c>
    </row>
    <row r="5298">
      <c r="M5298" s="2">
        <f>IF(C5298="","",IFERROR(INDEX($S$5:$S$304,MATCH(C5298,$R$5:$R$304,0))&amp;"","?"))</f>
        <v/>
      </c>
      <c r="N5298" s="2">
        <f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>
        <f>IF(OR(F5298="",G5298=""),"",IF(G5298&lt;='RETRATO 2027'!$K$5,"CONCLUÍDA",IF(F5298&lt;='RETRATO 2027'!$K$5,"EM ANDAMENTO","A INICIAR")))</f>
        <v/>
      </c>
    </row>
    <row r="5299">
      <c r="M5299" s="2">
        <f>IF(C5299="","",IFERROR(INDEX($S$5:$S$304,MATCH(C5299,$R$5:$R$304,0))&amp;"","?"))</f>
        <v/>
      </c>
      <c r="N5299" s="2">
        <f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>
        <f>IF(OR(F5299="",G5299=""),"",IF(G5299&lt;='RETRATO 2027'!$K$5,"CONCLUÍDA",IF(F5299&lt;='RETRATO 2027'!$K$5,"EM ANDAMENTO","A INICIAR")))</f>
        <v/>
      </c>
    </row>
    <row r="5300">
      <c r="M5300" s="2">
        <f>IF(C5300="","",IFERROR(INDEX($S$5:$S$304,MATCH(C5300,$R$5:$R$304,0))&amp;"","?"))</f>
        <v/>
      </c>
      <c r="N5300" s="2">
        <f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>
        <f>IF(OR(F5300="",G5300=""),"",IF(G5300&lt;='RETRATO 2027'!$K$5,"CONCLUÍDA",IF(F5300&lt;='RETRATO 2027'!$K$5,"EM ANDAMENTO","A INICIAR")))</f>
        <v/>
      </c>
    </row>
    <row r="5301">
      <c r="M5301" s="2">
        <f>IF(C5301="","",IFERROR(INDEX($S$5:$S$304,MATCH(C5301,$R$5:$R$304,0))&amp;"","?"))</f>
        <v/>
      </c>
      <c r="N5301" s="2">
        <f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>
        <f>IF(OR(F5301="",G5301=""),"",IF(G5301&lt;='RETRATO 2027'!$K$5,"CONCLUÍDA",IF(F5301&lt;='RETRATO 2027'!$K$5,"EM ANDAMENTO","A INICIAR")))</f>
        <v/>
      </c>
    </row>
    <row r="5302">
      <c r="M5302" s="2">
        <f>IF(C5302="","",IFERROR(INDEX($S$5:$S$304,MATCH(C5302,$R$5:$R$304,0))&amp;"","?"))</f>
        <v/>
      </c>
      <c r="N5302" s="2">
        <f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>
        <f>IF(OR(F5302="",G5302=""),"",IF(G5302&lt;='RETRATO 2027'!$K$5,"CONCLUÍDA",IF(F5302&lt;='RETRATO 2027'!$K$5,"EM ANDAMENTO","A INICIAR")))</f>
        <v/>
      </c>
    </row>
    <row r="5303">
      <c r="M5303" s="2">
        <f>IF(C5303="","",IFERROR(INDEX($S$5:$S$304,MATCH(C5303,$R$5:$R$304,0))&amp;"","?"))</f>
        <v/>
      </c>
      <c r="N5303" s="2">
        <f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>
        <f>IF(OR(F5303="",G5303=""),"",IF(G5303&lt;='RETRATO 2027'!$K$5,"CONCLUÍDA",IF(F5303&lt;='RETRATO 2027'!$K$5,"EM ANDAMENTO","A INICIAR")))</f>
        <v/>
      </c>
    </row>
    <row r="5304">
      <c r="M5304" s="2">
        <f>IF(C5304="","",IFERROR(INDEX($S$5:$S$304,MATCH(C5304,$R$5:$R$304,0))&amp;"","?"))</f>
        <v/>
      </c>
      <c r="N5304" s="2">
        <f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>
        <f>IF(OR(F5304="",G5304=""),"",IF(G5304&lt;='RETRATO 2027'!$K$5,"CONCLUÍDA",IF(F5304&lt;='RETRATO 2027'!$K$5,"EM ANDAMENTO","A INICIAR")))</f>
        <v/>
      </c>
    </row>
    <row r="5305">
      <c r="M5305" s="2">
        <f>IF(C5305="","",IFERROR(INDEX($S$5:$S$304,MATCH(C5305,$R$5:$R$304,0))&amp;"","?"))</f>
        <v/>
      </c>
      <c r="N5305" s="2">
        <f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>
        <f>IF(OR(F5305="",G5305=""),"",IF(G5305&lt;='RETRATO 2027'!$K$5,"CONCLUÍDA",IF(F5305&lt;='RETRATO 2027'!$K$5,"EM ANDAMENTO","A INICIAR")))</f>
        <v/>
      </c>
    </row>
    <row r="5306">
      <c r="M5306" s="2">
        <f>IF(C5306="","",IFERROR(INDEX($S$5:$S$304,MATCH(C5306,$R$5:$R$304,0))&amp;"","?"))</f>
        <v/>
      </c>
      <c r="N5306" s="2">
        <f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>
        <f>IF(OR(F5306="",G5306=""),"",IF(G5306&lt;='RETRATO 2027'!$K$5,"CONCLUÍDA",IF(F5306&lt;='RETRATO 2027'!$K$5,"EM ANDAMENTO","A INICIAR")))</f>
        <v/>
      </c>
    </row>
    <row r="5307">
      <c r="M5307" s="2">
        <f>IF(C5307="","",IFERROR(INDEX($S$5:$S$304,MATCH(C5307,$R$5:$R$304,0))&amp;"","?"))</f>
        <v/>
      </c>
      <c r="N5307" s="2">
        <f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>
        <f>IF(OR(F5307="",G5307=""),"",IF(G5307&lt;='RETRATO 2027'!$K$5,"CONCLUÍDA",IF(F5307&lt;='RETRATO 2027'!$K$5,"EM ANDAMENTO","A INICIAR")))</f>
        <v/>
      </c>
    </row>
    <row r="5308">
      <c r="M5308" s="2">
        <f>IF(C5308="","",IFERROR(INDEX($S$5:$S$304,MATCH(C5308,$R$5:$R$304,0))&amp;"","?"))</f>
        <v/>
      </c>
      <c r="N5308" s="2">
        <f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>
        <f>IF(OR(F5308="",G5308=""),"",IF(G5308&lt;='RETRATO 2027'!$K$5,"CONCLUÍDA",IF(F5308&lt;='RETRATO 2027'!$K$5,"EM ANDAMENTO","A INICIAR")))</f>
        <v/>
      </c>
    </row>
    <row r="5309">
      <c r="M5309" s="2">
        <f>IF(C5309="","",IFERROR(INDEX($S$5:$S$304,MATCH(C5309,$R$5:$R$304,0))&amp;"","?"))</f>
        <v/>
      </c>
      <c r="N5309" s="2">
        <f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>
        <f>IF(OR(F5309="",G5309=""),"",IF(G5309&lt;='RETRATO 2027'!$K$5,"CONCLUÍDA",IF(F5309&lt;='RETRATO 2027'!$K$5,"EM ANDAMENTO","A INICIAR")))</f>
        <v/>
      </c>
    </row>
    <row r="5310">
      <c r="M5310" s="2">
        <f>IF(C5310="","",IFERROR(INDEX($S$5:$S$304,MATCH(C5310,$R$5:$R$304,0))&amp;"","?"))</f>
        <v/>
      </c>
      <c r="N5310" s="2">
        <f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>
        <f>IF(OR(F5310="",G5310=""),"",IF(G5310&lt;='RETRATO 2027'!$K$5,"CONCLUÍDA",IF(F5310&lt;='RETRATO 2027'!$K$5,"EM ANDAMENTO","A INICIAR")))</f>
        <v/>
      </c>
    </row>
    <row r="5311">
      <c r="M5311" s="2">
        <f>IF(C5311="","",IFERROR(INDEX($S$5:$S$304,MATCH(C5311,$R$5:$R$304,0))&amp;"","?"))</f>
        <v/>
      </c>
      <c r="N5311" s="2">
        <f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>
        <f>IF(OR(F5311="",G5311=""),"",IF(G5311&lt;='RETRATO 2027'!$K$5,"CONCLUÍDA",IF(F5311&lt;='RETRATO 2027'!$K$5,"EM ANDAMENTO","A INICIAR")))</f>
        <v/>
      </c>
    </row>
    <row r="5312">
      <c r="M5312" s="2">
        <f>IF(C5312="","",IFERROR(INDEX($S$5:$S$304,MATCH(C5312,$R$5:$R$304,0))&amp;"","?"))</f>
        <v/>
      </c>
      <c r="N5312" s="2">
        <f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>
        <f>IF(OR(F5312="",G5312=""),"",IF(G5312&lt;='RETRATO 2027'!$K$5,"CONCLUÍDA",IF(F5312&lt;='RETRATO 2027'!$K$5,"EM ANDAMENTO","A INICIAR")))</f>
        <v/>
      </c>
    </row>
    <row r="5313">
      <c r="M5313" s="2">
        <f>IF(C5313="","",IFERROR(INDEX($S$5:$S$304,MATCH(C5313,$R$5:$R$304,0))&amp;"","?"))</f>
        <v/>
      </c>
      <c r="N5313" s="2">
        <f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>
        <f>IF(OR(F5313="",G5313=""),"",IF(G5313&lt;='RETRATO 2027'!$K$5,"CONCLUÍDA",IF(F5313&lt;='RETRATO 2027'!$K$5,"EM ANDAMENTO","A INICIAR")))</f>
        <v/>
      </c>
    </row>
    <row r="5314">
      <c r="M5314" s="2">
        <f>IF(C5314="","",IFERROR(INDEX($S$5:$S$304,MATCH(C5314,$R$5:$R$304,0))&amp;"","?"))</f>
        <v/>
      </c>
      <c r="N5314" s="2">
        <f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>
        <f>IF(OR(F5314="",G5314=""),"",IF(G5314&lt;='RETRATO 2027'!$K$5,"CONCLUÍDA",IF(F5314&lt;='RETRATO 2027'!$K$5,"EM ANDAMENTO","A INICIAR")))</f>
        <v/>
      </c>
    </row>
    <row r="5315">
      <c r="M5315" s="2">
        <f>IF(C5315="","",IFERROR(INDEX($S$5:$S$304,MATCH(C5315,$R$5:$R$304,0))&amp;"","?"))</f>
        <v/>
      </c>
      <c r="N5315" s="2">
        <f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>
        <f>IF(OR(F5315="",G5315=""),"",IF(G5315&lt;='RETRATO 2027'!$K$5,"CONCLUÍDA",IF(F5315&lt;='RETRATO 2027'!$K$5,"EM ANDAMENTO","A INICIAR")))</f>
        <v/>
      </c>
    </row>
    <row r="5316">
      <c r="M5316" s="2">
        <f>IF(C5316="","",IFERROR(INDEX($S$5:$S$304,MATCH(C5316,$R$5:$R$304,0))&amp;"","?"))</f>
        <v/>
      </c>
      <c r="N5316" s="2">
        <f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>
        <f>IF(OR(F5316="",G5316=""),"",IF(G5316&lt;='RETRATO 2027'!$K$5,"CONCLUÍDA",IF(F5316&lt;='RETRATO 2027'!$K$5,"EM ANDAMENTO","A INICIAR")))</f>
        <v/>
      </c>
    </row>
    <row r="5317">
      <c r="M5317" s="2">
        <f>IF(C5317="","",IFERROR(INDEX($S$5:$S$304,MATCH(C5317,$R$5:$R$304,0))&amp;"","?"))</f>
        <v/>
      </c>
      <c r="N5317" s="2">
        <f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>
        <f>IF(OR(F5317="",G5317=""),"",IF(G5317&lt;='RETRATO 2027'!$K$5,"CONCLUÍDA",IF(F5317&lt;='RETRATO 2027'!$K$5,"EM ANDAMENTO","A INICIAR")))</f>
        <v/>
      </c>
    </row>
    <row r="5318">
      <c r="M5318" s="2">
        <f>IF(C5318="","",IFERROR(INDEX($S$5:$S$304,MATCH(C5318,$R$5:$R$304,0))&amp;"","?"))</f>
        <v/>
      </c>
      <c r="N5318" s="2">
        <f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>
        <f>IF(OR(F5318="",G5318=""),"",IF(G5318&lt;='RETRATO 2027'!$K$5,"CONCLUÍDA",IF(F5318&lt;='RETRATO 2027'!$K$5,"EM ANDAMENTO","A INICIAR")))</f>
        <v/>
      </c>
    </row>
    <row r="5319">
      <c r="M5319" s="2">
        <f>IF(C5319="","",IFERROR(INDEX($S$5:$S$304,MATCH(C5319,$R$5:$R$304,0))&amp;"","?"))</f>
        <v/>
      </c>
      <c r="N5319" s="2">
        <f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>
        <f>IF(OR(F5319="",G5319=""),"",IF(G5319&lt;='RETRATO 2027'!$K$5,"CONCLUÍDA",IF(F5319&lt;='RETRATO 2027'!$K$5,"EM ANDAMENTO","A INICIAR")))</f>
        <v/>
      </c>
    </row>
    <row r="5320">
      <c r="M5320" s="2">
        <f>IF(C5320="","",IFERROR(INDEX($S$5:$S$304,MATCH(C5320,$R$5:$R$304,0))&amp;"","?"))</f>
        <v/>
      </c>
      <c r="N5320" s="2">
        <f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>
        <f>IF(OR(F5320="",G5320=""),"",IF(G5320&lt;='RETRATO 2027'!$K$5,"CONCLUÍDA",IF(F5320&lt;='RETRATO 2027'!$K$5,"EM ANDAMENTO","A INICIAR")))</f>
        <v/>
      </c>
    </row>
    <row r="5321">
      <c r="M5321" s="2">
        <f>IF(C5321="","",IFERROR(INDEX($S$5:$S$304,MATCH(C5321,$R$5:$R$304,0))&amp;"","?"))</f>
        <v/>
      </c>
      <c r="N5321" s="2">
        <f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>
        <f>IF(OR(F5321="",G5321=""),"",IF(G5321&lt;='RETRATO 2027'!$K$5,"CONCLUÍDA",IF(F5321&lt;='RETRATO 2027'!$K$5,"EM ANDAMENTO","A INICIAR")))</f>
        <v/>
      </c>
    </row>
    <row r="5322">
      <c r="M5322" s="2">
        <f>IF(C5322="","",IFERROR(INDEX($S$5:$S$304,MATCH(C5322,$R$5:$R$304,0))&amp;"","?"))</f>
        <v/>
      </c>
      <c r="N5322" s="2">
        <f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>
        <f>IF(OR(F5322="",G5322=""),"",IF(G5322&lt;='RETRATO 2027'!$K$5,"CONCLUÍDA",IF(F5322&lt;='RETRATO 2027'!$K$5,"EM ANDAMENTO","A INICIAR")))</f>
        <v/>
      </c>
    </row>
    <row r="5323">
      <c r="M5323" s="2">
        <f>IF(C5323="","",IFERROR(INDEX($S$5:$S$304,MATCH(C5323,$R$5:$R$304,0))&amp;"","?"))</f>
        <v/>
      </c>
      <c r="N5323" s="2">
        <f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>
        <f>IF(OR(F5323="",G5323=""),"",IF(G5323&lt;='RETRATO 2027'!$K$5,"CONCLUÍDA",IF(F5323&lt;='RETRATO 2027'!$K$5,"EM ANDAMENTO","A INICIAR")))</f>
        <v/>
      </c>
    </row>
    <row r="5324">
      <c r="M5324" s="2">
        <f>IF(C5324="","",IFERROR(INDEX($S$5:$S$304,MATCH(C5324,$R$5:$R$304,0))&amp;"","?"))</f>
        <v/>
      </c>
      <c r="N5324" s="2">
        <f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>
        <f>IF(OR(F5324="",G5324=""),"",IF(G5324&lt;='RETRATO 2027'!$K$5,"CONCLUÍDA",IF(F5324&lt;='RETRATO 2027'!$K$5,"EM ANDAMENTO","A INICIAR")))</f>
        <v/>
      </c>
    </row>
    <row r="5325">
      <c r="M5325" s="2">
        <f>IF(C5325="","",IFERROR(INDEX($S$5:$S$304,MATCH(C5325,$R$5:$R$304,0))&amp;"","?"))</f>
        <v/>
      </c>
      <c r="N5325" s="2">
        <f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>
        <f>IF(OR(F5325="",G5325=""),"",IF(G5325&lt;='RETRATO 2027'!$K$5,"CONCLUÍDA",IF(F5325&lt;='RETRATO 2027'!$K$5,"EM ANDAMENTO","A INICIAR")))</f>
        <v/>
      </c>
    </row>
    <row r="5326">
      <c r="M5326" s="2">
        <f>IF(C5326="","",IFERROR(INDEX($S$5:$S$304,MATCH(C5326,$R$5:$R$304,0))&amp;"","?"))</f>
        <v/>
      </c>
      <c r="N5326" s="2">
        <f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>
        <f>IF(OR(F5326="",G5326=""),"",IF(G5326&lt;='RETRATO 2027'!$K$5,"CONCLUÍDA",IF(F5326&lt;='RETRATO 2027'!$K$5,"EM ANDAMENTO","A INICIAR")))</f>
        <v/>
      </c>
    </row>
    <row r="5327">
      <c r="M5327" s="2">
        <f>IF(C5327="","",IFERROR(INDEX($S$5:$S$304,MATCH(C5327,$R$5:$R$304,0))&amp;"","?"))</f>
        <v/>
      </c>
      <c r="N5327" s="2">
        <f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>
        <f>IF(OR(F5327="",G5327=""),"",IF(G5327&lt;='RETRATO 2027'!$K$5,"CONCLUÍDA",IF(F5327&lt;='RETRATO 2027'!$K$5,"EM ANDAMENTO","A INICIAR")))</f>
        <v/>
      </c>
    </row>
    <row r="5328">
      <c r="M5328" s="2">
        <f>IF(C5328="","",IFERROR(INDEX($S$5:$S$304,MATCH(C5328,$R$5:$R$304,0))&amp;"","?"))</f>
        <v/>
      </c>
      <c r="N5328" s="2">
        <f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>
        <f>IF(OR(F5328="",G5328=""),"",IF(G5328&lt;='RETRATO 2027'!$K$5,"CONCLUÍDA",IF(F5328&lt;='RETRATO 2027'!$K$5,"EM ANDAMENTO","A INICIAR")))</f>
        <v/>
      </c>
    </row>
    <row r="5329">
      <c r="M5329" s="2">
        <f>IF(C5329="","",IFERROR(INDEX($S$5:$S$304,MATCH(C5329,$R$5:$R$304,0))&amp;"","?"))</f>
        <v/>
      </c>
      <c r="N5329" s="2">
        <f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>
        <f>IF(OR(F5329="",G5329=""),"",IF(G5329&lt;='RETRATO 2027'!$K$5,"CONCLUÍDA",IF(F5329&lt;='RETRATO 2027'!$K$5,"EM ANDAMENTO","A INICIAR")))</f>
        <v/>
      </c>
    </row>
    <row r="5330">
      <c r="M5330" s="2">
        <f>IF(C5330="","",IFERROR(INDEX($S$5:$S$304,MATCH(C5330,$R$5:$R$304,0))&amp;"","?"))</f>
        <v/>
      </c>
      <c r="N5330" s="2">
        <f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>
        <f>IF(OR(F5330="",G5330=""),"",IF(G5330&lt;='RETRATO 2027'!$K$5,"CONCLUÍDA",IF(F5330&lt;='RETRATO 2027'!$K$5,"EM ANDAMENTO","A INICIAR")))</f>
        <v/>
      </c>
    </row>
    <row r="5331">
      <c r="M5331" s="2">
        <f>IF(C5331="","",IFERROR(INDEX($S$5:$S$304,MATCH(C5331,$R$5:$R$304,0))&amp;"","?"))</f>
        <v/>
      </c>
      <c r="N5331" s="2">
        <f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>
        <f>IF(OR(F5331="",G5331=""),"",IF(G5331&lt;='RETRATO 2027'!$K$5,"CONCLUÍDA",IF(F5331&lt;='RETRATO 2027'!$K$5,"EM ANDAMENTO","A INICIAR")))</f>
        <v/>
      </c>
    </row>
    <row r="5332">
      <c r="M5332" s="2">
        <f>IF(C5332="","",IFERROR(INDEX($S$5:$S$304,MATCH(C5332,$R$5:$R$304,0))&amp;"","?"))</f>
        <v/>
      </c>
      <c r="N5332" s="2">
        <f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>
        <f>IF(OR(F5332="",G5332=""),"",IF(G5332&lt;='RETRATO 2027'!$K$5,"CONCLUÍDA",IF(F5332&lt;='RETRATO 2027'!$K$5,"EM ANDAMENTO","A INICIAR")))</f>
        <v/>
      </c>
    </row>
    <row r="5333">
      <c r="M5333" s="2">
        <f>IF(C5333="","",IFERROR(INDEX($S$5:$S$304,MATCH(C5333,$R$5:$R$304,0))&amp;"","?"))</f>
        <v/>
      </c>
      <c r="N5333" s="2">
        <f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>
        <f>IF(OR(F5333="",G5333=""),"",IF(G5333&lt;='RETRATO 2027'!$K$5,"CONCLUÍDA",IF(F5333&lt;='RETRATO 2027'!$K$5,"EM ANDAMENTO","A INICIAR")))</f>
        <v/>
      </c>
    </row>
    <row r="5334">
      <c r="M5334" s="2">
        <f>IF(C5334="","",IFERROR(INDEX($S$5:$S$304,MATCH(C5334,$R$5:$R$304,0))&amp;"","?"))</f>
        <v/>
      </c>
      <c r="N5334" s="2">
        <f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>
        <f>IF(OR(F5334="",G5334=""),"",IF(G5334&lt;='RETRATO 2027'!$K$5,"CONCLUÍDA",IF(F5334&lt;='RETRATO 2027'!$K$5,"EM ANDAMENTO","A INICIAR")))</f>
        <v/>
      </c>
    </row>
    <row r="5335">
      <c r="M5335" s="2">
        <f>IF(C5335="","",IFERROR(INDEX($S$5:$S$304,MATCH(C5335,$R$5:$R$304,0))&amp;"","?"))</f>
        <v/>
      </c>
      <c r="N5335" s="2">
        <f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>
        <f>IF(OR(F5335="",G5335=""),"",IF(G5335&lt;='RETRATO 2027'!$K$5,"CONCLUÍDA",IF(F5335&lt;='RETRATO 2027'!$K$5,"EM ANDAMENTO","A INICIAR")))</f>
        <v/>
      </c>
    </row>
    <row r="5336">
      <c r="M5336" s="2">
        <f>IF(C5336="","",IFERROR(INDEX($S$5:$S$304,MATCH(C5336,$R$5:$R$304,0))&amp;"","?"))</f>
        <v/>
      </c>
      <c r="N5336" s="2">
        <f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>
        <f>IF(OR(F5336="",G5336=""),"",IF(G5336&lt;='RETRATO 2027'!$K$5,"CONCLUÍDA",IF(F5336&lt;='RETRATO 2027'!$K$5,"EM ANDAMENTO","A INICIAR")))</f>
        <v/>
      </c>
    </row>
    <row r="5337">
      <c r="M5337" s="2">
        <f>IF(C5337="","",IFERROR(INDEX($S$5:$S$304,MATCH(C5337,$R$5:$R$304,0))&amp;"","?"))</f>
        <v/>
      </c>
      <c r="N5337" s="2">
        <f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>
        <f>IF(OR(F5337="",G5337=""),"",IF(G5337&lt;='RETRATO 2027'!$K$5,"CONCLUÍDA",IF(F5337&lt;='RETRATO 2027'!$K$5,"EM ANDAMENTO","A INICIAR")))</f>
        <v/>
      </c>
    </row>
    <row r="5338">
      <c r="M5338" s="2">
        <f>IF(C5338="","",IFERROR(INDEX($S$5:$S$304,MATCH(C5338,$R$5:$R$304,0))&amp;"","?"))</f>
        <v/>
      </c>
      <c r="N5338" s="2">
        <f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>
        <f>IF(OR(F5338="",G5338=""),"",IF(G5338&lt;='RETRATO 2027'!$K$5,"CONCLUÍDA",IF(F5338&lt;='RETRATO 2027'!$K$5,"EM ANDAMENTO","A INICIAR")))</f>
        <v/>
      </c>
    </row>
    <row r="5339">
      <c r="M5339" s="2">
        <f>IF(C5339="","",IFERROR(INDEX($S$5:$S$304,MATCH(C5339,$R$5:$R$304,0))&amp;"","?"))</f>
        <v/>
      </c>
      <c r="N5339" s="2">
        <f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>
        <f>IF(OR(F5339="",G5339=""),"",IF(G5339&lt;='RETRATO 2027'!$K$5,"CONCLUÍDA",IF(F5339&lt;='RETRATO 2027'!$K$5,"EM ANDAMENTO","A INICIAR")))</f>
        <v/>
      </c>
    </row>
    <row r="5340">
      <c r="M5340" s="2">
        <f>IF(C5340="","",IFERROR(INDEX($S$5:$S$304,MATCH(C5340,$R$5:$R$304,0))&amp;"","?"))</f>
        <v/>
      </c>
      <c r="N5340" s="2">
        <f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>
        <f>IF(OR(F5340="",G5340=""),"",IF(G5340&lt;='RETRATO 2027'!$K$5,"CONCLUÍDA",IF(F5340&lt;='RETRATO 2027'!$K$5,"EM ANDAMENTO","A INICIAR")))</f>
        <v/>
      </c>
    </row>
    <row r="5341">
      <c r="M5341" s="2">
        <f>IF(C5341="","",IFERROR(INDEX($S$5:$S$304,MATCH(C5341,$R$5:$R$304,0))&amp;"","?"))</f>
        <v/>
      </c>
      <c r="N5341" s="2">
        <f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>
        <f>IF(OR(F5341="",G5341=""),"",IF(G5341&lt;='RETRATO 2027'!$K$5,"CONCLUÍDA",IF(F5341&lt;='RETRATO 2027'!$K$5,"EM ANDAMENTO","A INICIAR")))</f>
        <v/>
      </c>
    </row>
    <row r="5342">
      <c r="M5342" s="2">
        <f>IF(C5342="","",IFERROR(INDEX($S$5:$S$304,MATCH(C5342,$R$5:$R$304,0))&amp;"","?"))</f>
        <v/>
      </c>
      <c r="N5342" s="2">
        <f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>
        <f>IF(OR(F5342="",G5342=""),"",IF(G5342&lt;='RETRATO 2027'!$K$5,"CONCLUÍDA",IF(F5342&lt;='RETRATO 2027'!$K$5,"EM ANDAMENTO","A INICIAR")))</f>
        <v/>
      </c>
    </row>
    <row r="5343">
      <c r="M5343" s="2">
        <f>IF(C5343="","",IFERROR(INDEX($S$5:$S$304,MATCH(C5343,$R$5:$R$304,0))&amp;"","?"))</f>
        <v/>
      </c>
      <c r="N5343" s="2">
        <f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>
        <f>IF(OR(F5343="",G5343=""),"",IF(G5343&lt;='RETRATO 2027'!$K$5,"CONCLUÍDA",IF(F5343&lt;='RETRATO 2027'!$K$5,"EM ANDAMENTO","A INICIAR")))</f>
        <v/>
      </c>
    </row>
    <row r="5344">
      <c r="M5344" s="2">
        <f>IF(C5344="","",IFERROR(INDEX($S$5:$S$304,MATCH(C5344,$R$5:$R$304,0))&amp;"","?"))</f>
        <v/>
      </c>
      <c r="N5344" s="2">
        <f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>
        <f>IF(OR(F5344="",G5344=""),"",IF(G5344&lt;='RETRATO 2027'!$K$5,"CONCLUÍDA",IF(F5344&lt;='RETRATO 2027'!$K$5,"EM ANDAMENTO","A INICIAR")))</f>
        <v/>
      </c>
    </row>
    <row r="5345">
      <c r="M5345" s="2">
        <f>IF(C5345="","",IFERROR(INDEX($S$5:$S$304,MATCH(C5345,$R$5:$R$304,0))&amp;"","?"))</f>
        <v/>
      </c>
      <c r="N5345" s="2">
        <f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>
        <f>IF(OR(F5345="",G5345=""),"",IF(G5345&lt;='RETRATO 2027'!$K$5,"CONCLUÍDA",IF(F5345&lt;='RETRATO 2027'!$K$5,"EM ANDAMENTO","A INICIAR")))</f>
        <v/>
      </c>
    </row>
    <row r="5346">
      <c r="M5346" s="2">
        <f>IF(C5346="","",IFERROR(INDEX($S$5:$S$304,MATCH(C5346,$R$5:$R$304,0))&amp;"","?"))</f>
        <v/>
      </c>
      <c r="N5346" s="2">
        <f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>
        <f>IF(OR(F5346="",G5346=""),"",IF(G5346&lt;='RETRATO 2027'!$K$5,"CONCLUÍDA",IF(F5346&lt;='RETRATO 2027'!$K$5,"EM ANDAMENTO","A INICIAR")))</f>
        <v/>
      </c>
    </row>
    <row r="5347">
      <c r="M5347" s="2">
        <f>IF(C5347="","",IFERROR(INDEX($S$5:$S$304,MATCH(C5347,$R$5:$R$304,0))&amp;"","?"))</f>
        <v/>
      </c>
      <c r="N5347" s="2">
        <f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>
        <f>IF(OR(F5347="",G5347=""),"",IF(G5347&lt;='RETRATO 2027'!$K$5,"CONCLUÍDA",IF(F5347&lt;='RETRATO 2027'!$K$5,"EM ANDAMENTO","A INICIAR")))</f>
        <v/>
      </c>
    </row>
    <row r="5348">
      <c r="M5348" s="2">
        <f>IF(C5348="","",IFERROR(INDEX($S$5:$S$304,MATCH(C5348,$R$5:$R$304,0))&amp;"","?"))</f>
        <v/>
      </c>
      <c r="N5348" s="2">
        <f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>
        <f>IF(OR(F5348="",G5348=""),"",IF(G5348&lt;='RETRATO 2027'!$K$5,"CONCLUÍDA",IF(F5348&lt;='RETRATO 2027'!$K$5,"EM ANDAMENTO","A INICIAR")))</f>
        <v/>
      </c>
    </row>
    <row r="5349">
      <c r="M5349" s="2">
        <f>IF(C5349="","",IFERROR(INDEX($S$5:$S$304,MATCH(C5349,$R$5:$R$304,0))&amp;"","?"))</f>
        <v/>
      </c>
      <c r="N5349" s="2">
        <f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>
        <f>IF(OR(F5349="",G5349=""),"",IF(G5349&lt;='RETRATO 2027'!$K$5,"CONCLUÍDA",IF(F5349&lt;='RETRATO 2027'!$K$5,"EM ANDAMENTO","A INICIAR")))</f>
        <v/>
      </c>
    </row>
    <row r="5350">
      <c r="M5350" s="2">
        <f>IF(C5350="","",IFERROR(INDEX($S$5:$S$304,MATCH(C5350,$R$5:$R$304,0))&amp;"","?"))</f>
        <v/>
      </c>
      <c r="N5350" s="2">
        <f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>
        <f>IF(OR(F5350="",G5350=""),"",IF(G5350&lt;='RETRATO 2027'!$K$5,"CONCLUÍDA",IF(F5350&lt;='RETRATO 2027'!$K$5,"EM ANDAMENTO","A INICIAR")))</f>
        <v/>
      </c>
    </row>
    <row r="5351">
      <c r="M5351" s="2">
        <f>IF(C5351="","",IFERROR(INDEX($S$5:$S$304,MATCH(C5351,$R$5:$R$304,0))&amp;"","?"))</f>
        <v/>
      </c>
      <c r="N5351" s="2">
        <f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>
        <f>IF(OR(F5351="",G5351=""),"",IF(G5351&lt;='RETRATO 2027'!$K$5,"CONCLUÍDA",IF(F5351&lt;='RETRATO 2027'!$K$5,"EM ANDAMENTO","A INICIAR")))</f>
        <v/>
      </c>
    </row>
    <row r="5352">
      <c r="M5352" s="2">
        <f>IF(C5352="","",IFERROR(INDEX($S$5:$S$304,MATCH(C5352,$R$5:$R$304,0))&amp;"","?"))</f>
        <v/>
      </c>
      <c r="N5352" s="2">
        <f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>
        <f>IF(OR(F5352="",G5352=""),"",IF(G5352&lt;='RETRATO 2027'!$K$5,"CONCLUÍDA",IF(F5352&lt;='RETRATO 2027'!$K$5,"EM ANDAMENTO","A INICIAR")))</f>
        <v/>
      </c>
    </row>
    <row r="5353">
      <c r="M5353" s="2">
        <f>IF(C5353="","",IFERROR(INDEX($S$5:$S$304,MATCH(C5353,$R$5:$R$304,0))&amp;"","?"))</f>
        <v/>
      </c>
      <c r="N5353" s="2">
        <f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>
        <f>IF(OR(F5353="",G5353=""),"",IF(G5353&lt;='RETRATO 2027'!$K$5,"CONCLUÍDA",IF(F5353&lt;='RETRATO 2027'!$K$5,"EM ANDAMENTO","A INICIAR")))</f>
        <v/>
      </c>
    </row>
    <row r="5354">
      <c r="M5354" s="2">
        <f>IF(C5354="","",IFERROR(INDEX($S$5:$S$304,MATCH(C5354,$R$5:$R$304,0))&amp;"","?"))</f>
        <v/>
      </c>
      <c r="N5354" s="2">
        <f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>
        <f>IF(OR(F5354="",G5354=""),"",IF(G5354&lt;='RETRATO 2027'!$K$5,"CONCLUÍDA",IF(F5354&lt;='RETRATO 2027'!$K$5,"EM ANDAMENTO","A INICIAR")))</f>
        <v/>
      </c>
    </row>
    <row r="5355">
      <c r="M5355" s="2">
        <f>IF(C5355="","",IFERROR(INDEX($S$5:$S$304,MATCH(C5355,$R$5:$R$304,0))&amp;"","?"))</f>
        <v/>
      </c>
      <c r="N5355" s="2">
        <f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>
        <f>IF(OR(F5355="",G5355=""),"",IF(G5355&lt;='RETRATO 2027'!$K$5,"CONCLUÍDA",IF(F5355&lt;='RETRATO 2027'!$K$5,"EM ANDAMENTO","A INICIAR")))</f>
        <v/>
      </c>
    </row>
    <row r="5356">
      <c r="M5356" s="2">
        <f>IF(C5356="","",IFERROR(INDEX($S$5:$S$304,MATCH(C5356,$R$5:$R$304,0))&amp;"","?"))</f>
        <v/>
      </c>
      <c r="N5356" s="2">
        <f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>
        <f>IF(OR(F5356="",G5356=""),"",IF(G5356&lt;='RETRATO 2027'!$K$5,"CONCLUÍDA",IF(F5356&lt;='RETRATO 2027'!$K$5,"EM ANDAMENTO","A INICIAR")))</f>
        <v/>
      </c>
    </row>
    <row r="5357">
      <c r="M5357" s="2">
        <f>IF(C5357="","",IFERROR(INDEX($S$5:$S$304,MATCH(C5357,$R$5:$R$304,0))&amp;"","?"))</f>
        <v/>
      </c>
      <c r="N5357" s="2">
        <f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>
        <f>IF(OR(F5357="",G5357=""),"",IF(G5357&lt;='RETRATO 2027'!$K$5,"CONCLUÍDA",IF(F5357&lt;='RETRATO 2027'!$K$5,"EM ANDAMENTO","A INICIAR")))</f>
        <v/>
      </c>
    </row>
    <row r="5358">
      <c r="M5358" s="2">
        <f>IF(C5358="","",IFERROR(INDEX($S$5:$S$304,MATCH(C5358,$R$5:$R$304,0))&amp;"","?"))</f>
        <v/>
      </c>
      <c r="N5358" s="2">
        <f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>
        <f>IF(OR(F5358="",G5358=""),"",IF(G5358&lt;='RETRATO 2027'!$K$5,"CONCLUÍDA",IF(F5358&lt;='RETRATO 2027'!$K$5,"EM ANDAMENTO","A INICIAR")))</f>
        <v/>
      </c>
    </row>
    <row r="5359">
      <c r="M5359" s="2">
        <f>IF(C5359="","",IFERROR(INDEX($S$5:$S$304,MATCH(C5359,$R$5:$R$304,0))&amp;"","?"))</f>
        <v/>
      </c>
      <c r="N5359" s="2">
        <f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>
        <f>IF(OR(F5359="",G5359=""),"",IF(G5359&lt;='RETRATO 2027'!$K$5,"CONCLUÍDA",IF(F5359&lt;='RETRATO 2027'!$K$5,"EM ANDAMENTO","A INICIAR")))</f>
        <v/>
      </c>
    </row>
    <row r="5360">
      <c r="M5360" s="2">
        <f>IF(C5360="","",IFERROR(INDEX($S$5:$S$304,MATCH(C5360,$R$5:$R$304,0))&amp;"","?"))</f>
        <v/>
      </c>
      <c r="N5360" s="2">
        <f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>
        <f>IF(OR(F5360="",G5360=""),"",IF(G5360&lt;='RETRATO 2027'!$K$5,"CONCLUÍDA",IF(F5360&lt;='RETRATO 2027'!$K$5,"EM ANDAMENTO","A INICIAR")))</f>
        <v/>
      </c>
    </row>
    <row r="5361">
      <c r="M5361" s="2">
        <f>IF(C5361="","",IFERROR(INDEX($S$5:$S$304,MATCH(C5361,$R$5:$R$304,0))&amp;"","?"))</f>
        <v/>
      </c>
      <c r="N5361" s="2">
        <f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>
        <f>IF(OR(F5361="",G5361=""),"",IF(G5361&lt;='RETRATO 2027'!$K$5,"CONCLUÍDA",IF(F5361&lt;='RETRATO 2027'!$K$5,"EM ANDAMENTO","A INICIAR")))</f>
        <v/>
      </c>
    </row>
    <row r="5362">
      <c r="M5362" s="2">
        <f>IF(C5362="","",IFERROR(INDEX($S$5:$S$304,MATCH(C5362,$R$5:$R$304,0))&amp;"","?"))</f>
        <v/>
      </c>
      <c r="N5362" s="2">
        <f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>
        <f>IF(OR(F5362="",G5362=""),"",IF(G5362&lt;='RETRATO 2027'!$K$5,"CONCLUÍDA",IF(F5362&lt;='RETRATO 2027'!$K$5,"EM ANDAMENTO","A INICIAR")))</f>
        <v/>
      </c>
    </row>
    <row r="5363">
      <c r="M5363" s="2">
        <f>IF(C5363="","",IFERROR(INDEX($S$5:$S$304,MATCH(C5363,$R$5:$R$304,0))&amp;"","?"))</f>
        <v/>
      </c>
      <c r="N5363" s="2">
        <f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>
        <f>IF(OR(F5363="",G5363=""),"",IF(G5363&lt;='RETRATO 2027'!$K$5,"CONCLUÍDA",IF(F5363&lt;='RETRATO 2027'!$K$5,"EM ANDAMENTO","A INICIAR")))</f>
        <v/>
      </c>
    </row>
    <row r="5364">
      <c r="M5364" s="2">
        <f>IF(C5364="","",IFERROR(INDEX($S$5:$S$304,MATCH(C5364,$R$5:$R$304,0))&amp;"","?"))</f>
        <v/>
      </c>
      <c r="N5364" s="2">
        <f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>
        <f>IF(OR(F5364="",G5364=""),"",IF(G5364&lt;='RETRATO 2027'!$K$5,"CONCLUÍDA",IF(F5364&lt;='RETRATO 2027'!$K$5,"EM ANDAMENTO","A INICIAR")))</f>
        <v/>
      </c>
    </row>
    <row r="5365">
      <c r="M5365" s="2">
        <f>IF(C5365="","",IFERROR(INDEX($S$5:$S$304,MATCH(C5365,$R$5:$R$304,0))&amp;"","?"))</f>
        <v/>
      </c>
      <c r="N5365" s="2">
        <f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>
        <f>IF(OR(F5365="",G5365=""),"",IF(G5365&lt;='RETRATO 2027'!$K$5,"CONCLUÍDA",IF(F5365&lt;='RETRATO 2027'!$K$5,"EM ANDAMENTO","A INICIAR")))</f>
        <v/>
      </c>
    </row>
    <row r="5366">
      <c r="M5366" s="2">
        <f>IF(C5366="","",IFERROR(INDEX($S$5:$S$304,MATCH(C5366,$R$5:$R$304,0))&amp;"","?"))</f>
        <v/>
      </c>
      <c r="N5366" s="2">
        <f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>
        <f>IF(OR(F5366="",G5366=""),"",IF(G5366&lt;='RETRATO 2027'!$K$5,"CONCLUÍDA",IF(F5366&lt;='RETRATO 2027'!$K$5,"EM ANDAMENTO","A INICIAR")))</f>
        <v/>
      </c>
    </row>
    <row r="5367">
      <c r="M5367" s="2">
        <f>IF(C5367="","",IFERROR(INDEX($S$5:$S$304,MATCH(C5367,$R$5:$R$304,0))&amp;"","?"))</f>
        <v/>
      </c>
      <c r="N5367" s="2">
        <f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>
        <f>IF(OR(F5367="",G5367=""),"",IF(G5367&lt;='RETRATO 2027'!$K$5,"CONCLUÍDA",IF(F5367&lt;='RETRATO 2027'!$K$5,"EM ANDAMENTO","A INICIAR")))</f>
        <v/>
      </c>
    </row>
    <row r="5368">
      <c r="M5368" s="2">
        <f>IF(C5368="","",IFERROR(INDEX($S$5:$S$304,MATCH(C5368,$R$5:$R$304,0))&amp;"","?"))</f>
        <v/>
      </c>
      <c r="N5368" s="2">
        <f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>
        <f>IF(OR(F5368="",G5368=""),"",IF(G5368&lt;='RETRATO 2027'!$K$5,"CONCLUÍDA",IF(F5368&lt;='RETRATO 2027'!$K$5,"EM ANDAMENTO","A INICIAR")))</f>
        <v/>
      </c>
    </row>
    <row r="5369">
      <c r="M5369" s="2">
        <f>IF(C5369="","",IFERROR(INDEX($S$5:$S$304,MATCH(C5369,$R$5:$R$304,0))&amp;"","?"))</f>
        <v/>
      </c>
      <c r="N5369" s="2">
        <f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>
        <f>IF(OR(F5369="",G5369=""),"",IF(G5369&lt;='RETRATO 2027'!$K$5,"CONCLUÍDA",IF(F5369&lt;='RETRATO 2027'!$K$5,"EM ANDAMENTO","A INICIAR")))</f>
        <v/>
      </c>
    </row>
    <row r="5370">
      <c r="M5370" s="2">
        <f>IF(C5370="","",IFERROR(INDEX($S$5:$S$304,MATCH(C5370,$R$5:$R$304,0))&amp;"","?"))</f>
        <v/>
      </c>
      <c r="N5370" s="2">
        <f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>
        <f>IF(OR(F5370="",G5370=""),"",IF(G5370&lt;='RETRATO 2027'!$K$5,"CONCLUÍDA",IF(F5370&lt;='RETRATO 2027'!$K$5,"EM ANDAMENTO","A INICIAR")))</f>
        <v/>
      </c>
    </row>
    <row r="5371">
      <c r="M5371" s="2">
        <f>IF(C5371="","",IFERROR(INDEX($S$5:$S$304,MATCH(C5371,$R$5:$R$304,0))&amp;"","?"))</f>
        <v/>
      </c>
      <c r="N5371" s="2">
        <f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>
        <f>IF(OR(F5371="",G5371=""),"",IF(G5371&lt;='RETRATO 2027'!$K$5,"CONCLUÍDA",IF(F5371&lt;='RETRATO 2027'!$K$5,"EM ANDAMENTO","A INICIAR")))</f>
        <v/>
      </c>
    </row>
    <row r="5372">
      <c r="M5372" s="2">
        <f>IF(C5372="","",IFERROR(INDEX($S$5:$S$304,MATCH(C5372,$R$5:$R$304,0))&amp;"","?"))</f>
        <v/>
      </c>
      <c r="N5372" s="2">
        <f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>
        <f>IF(OR(F5372="",G5372=""),"",IF(G5372&lt;='RETRATO 2027'!$K$5,"CONCLUÍDA",IF(F5372&lt;='RETRATO 2027'!$K$5,"EM ANDAMENTO","A INICIAR")))</f>
        <v/>
      </c>
    </row>
    <row r="5373">
      <c r="M5373" s="2">
        <f>IF(C5373="","",IFERROR(INDEX($S$5:$S$304,MATCH(C5373,$R$5:$R$304,0))&amp;"","?"))</f>
        <v/>
      </c>
      <c r="N5373" s="2">
        <f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>
        <f>IF(OR(F5373="",G5373=""),"",IF(G5373&lt;='RETRATO 2027'!$K$5,"CONCLUÍDA",IF(F5373&lt;='RETRATO 2027'!$K$5,"EM ANDAMENTO","A INICIAR")))</f>
        <v/>
      </c>
    </row>
    <row r="5374">
      <c r="M5374" s="2">
        <f>IF(C5374="","",IFERROR(INDEX($S$5:$S$304,MATCH(C5374,$R$5:$R$304,0))&amp;"","?"))</f>
        <v/>
      </c>
      <c r="N5374" s="2">
        <f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>
        <f>IF(OR(F5374="",G5374=""),"",IF(G5374&lt;='RETRATO 2027'!$K$5,"CONCLUÍDA",IF(F5374&lt;='RETRATO 2027'!$K$5,"EM ANDAMENTO","A INICIAR")))</f>
        <v/>
      </c>
    </row>
    <row r="5375">
      <c r="M5375" s="2">
        <f>IF(C5375="","",IFERROR(INDEX($S$5:$S$304,MATCH(C5375,$R$5:$R$304,0))&amp;"","?"))</f>
        <v/>
      </c>
      <c r="N5375" s="2">
        <f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>
        <f>IF(OR(F5375="",G5375=""),"",IF(G5375&lt;='RETRATO 2027'!$K$5,"CONCLUÍDA",IF(F5375&lt;='RETRATO 2027'!$K$5,"EM ANDAMENTO","A INICIAR")))</f>
        <v/>
      </c>
    </row>
    <row r="5376">
      <c r="M5376" s="2">
        <f>IF(C5376="","",IFERROR(INDEX($S$5:$S$304,MATCH(C5376,$R$5:$R$304,0))&amp;"","?"))</f>
        <v/>
      </c>
      <c r="N5376" s="2">
        <f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>
        <f>IF(OR(F5376="",G5376=""),"",IF(G5376&lt;='RETRATO 2027'!$K$5,"CONCLUÍDA",IF(F5376&lt;='RETRATO 2027'!$K$5,"EM ANDAMENTO","A INICIAR")))</f>
        <v/>
      </c>
    </row>
    <row r="5377">
      <c r="M5377" s="2">
        <f>IF(C5377="","",IFERROR(INDEX($S$5:$S$304,MATCH(C5377,$R$5:$R$304,0))&amp;"","?"))</f>
        <v/>
      </c>
      <c r="N5377" s="2">
        <f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>
        <f>IF(OR(F5377="",G5377=""),"",IF(G5377&lt;='RETRATO 2027'!$K$5,"CONCLUÍDA",IF(F5377&lt;='RETRATO 2027'!$K$5,"EM ANDAMENTO","A INICIAR")))</f>
        <v/>
      </c>
    </row>
    <row r="5378">
      <c r="M5378" s="2">
        <f>IF(C5378="","",IFERROR(INDEX($S$5:$S$304,MATCH(C5378,$R$5:$R$304,0))&amp;"","?"))</f>
        <v/>
      </c>
      <c r="N5378" s="2">
        <f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>
        <f>IF(OR(F5378="",G5378=""),"",IF(G5378&lt;='RETRATO 2027'!$K$5,"CONCLUÍDA",IF(F5378&lt;='RETRATO 2027'!$K$5,"EM ANDAMENTO","A INICIAR")))</f>
        <v/>
      </c>
    </row>
    <row r="5379">
      <c r="M5379" s="2">
        <f>IF(C5379="","",IFERROR(INDEX($S$5:$S$304,MATCH(C5379,$R$5:$R$304,0))&amp;"","?"))</f>
        <v/>
      </c>
      <c r="N5379" s="2">
        <f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>
        <f>IF(OR(F5379="",G5379=""),"",IF(G5379&lt;='RETRATO 2027'!$K$5,"CONCLUÍDA",IF(F5379&lt;='RETRATO 2027'!$K$5,"EM ANDAMENTO","A INICIAR")))</f>
        <v/>
      </c>
    </row>
    <row r="5380">
      <c r="M5380" s="2">
        <f>IF(C5380="","",IFERROR(INDEX($S$5:$S$304,MATCH(C5380,$R$5:$R$304,0))&amp;"","?"))</f>
        <v/>
      </c>
      <c r="N5380" s="2">
        <f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>
        <f>IF(OR(F5380="",G5380=""),"",IF(G5380&lt;='RETRATO 2027'!$K$5,"CONCLUÍDA",IF(F5380&lt;='RETRATO 2027'!$K$5,"EM ANDAMENTO","A INICIAR")))</f>
        <v/>
      </c>
    </row>
    <row r="5381">
      <c r="M5381" s="2">
        <f>IF(C5381="","",IFERROR(INDEX($S$5:$S$304,MATCH(C5381,$R$5:$R$304,0))&amp;"","?"))</f>
        <v/>
      </c>
      <c r="N5381" s="2">
        <f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>
        <f>IF(OR(F5381="",G5381=""),"",IF(G5381&lt;='RETRATO 2027'!$K$5,"CONCLUÍDA",IF(F5381&lt;='RETRATO 2027'!$K$5,"EM ANDAMENTO","A INICIAR")))</f>
        <v/>
      </c>
    </row>
    <row r="5382">
      <c r="M5382" s="2">
        <f>IF(C5382="","",IFERROR(INDEX($S$5:$S$304,MATCH(C5382,$R$5:$R$304,0))&amp;"","?"))</f>
        <v/>
      </c>
      <c r="N5382" s="2">
        <f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>
        <f>IF(OR(F5382="",G5382=""),"",IF(G5382&lt;='RETRATO 2027'!$K$5,"CONCLUÍDA",IF(F5382&lt;='RETRATO 2027'!$K$5,"EM ANDAMENTO","A INICIAR")))</f>
        <v/>
      </c>
    </row>
    <row r="5383">
      <c r="M5383" s="2">
        <f>IF(C5383="","",IFERROR(INDEX($S$5:$S$304,MATCH(C5383,$R$5:$R$304,0))&amp;"","?"))</f>
        <v/>
      </c>
      <c r="N5383" s="2">
        <f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>
        <f>IF(OR(F5383="",G5383=""),"",IF(G5383&lt;='RETRATO 2027'!$K$5,"CONCLUÍDA",IF(F5383&lt;='RETRATO 2027'!$K$5,"EM ANDAMENTO","A INICIAR")))</f>
        <v/>
      </c>
    </row>
    <row r="5384">
      <c r="M5384" s="2">
        <f>IF(C5384="","",IFERROR(INDEX($S$5:$S$304,MATCH(C5384,$R$5:$R$304,0))&amp;"","?"))</f>
        <v/>
      </c>
      <c r="N5384" s="2">
        <f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>
        <f>IF(OR(F5384="",G5384=""),"",IF(G5384&lt;='RETRATO 2027'!$K$5,"CONCLUÍDA",IF(F5384&lt;='RETRATO 2027'!$K$5,"EM ANDAMENTO","A INICIAR")))</f>
        <v/>
      </c>
    </row>
    <row r="5385">
      <c r="M5385" s="2">
        <f>IF(C5385="","",IFERROR(INDEX($S$5:$S$304,MATCH(C5385,$R$5:$R$304,0))&amp;"","?"))</f>
        <v/>
      </c>
      <c r="N5385" s="2">
        <f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>
        <f>IF(OR(F5385="",G5385=""),"",IF(G5385&lt;='RETRATO 2027'!$K$5,"CONCLUÍDA",IF(F5385&lt;='RETRATO 2027'!$K$5,"EM ANDAMENTO","A INICIAR")))</f>
        <v/>
      </c>
    </row>
    <row r="5386">
      <c r="M5386" s="2">
        <f>IF(C5386="","",IFERROR(INDEX($S$5:$S$304,MATCH(C5386,$R$5:$R$304,0))&amp;"","?"))</f>
        <v/>
      </c>
      <c r="N5386" s="2">
        <f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>
        <f>IF(OR(F5386="",G5386=""),"",IF(G5386&lt;='RETRATO 2027'!$K$5,"CONCLUÍDA",IF(F5386&lt;='RETRATO 2027'!$K$5,"EM ANDAMENTO","A INICIAR")))</f>
        <v/>
      </c>
    </row>
    <row r="5387">
      <c r="M5387" s="2">
        <f>IF(C5387="","",IFERROR(INDEX($S$5:$S$304,MATCH(C5387,$R$5:$R$304,0))&amp;"","?"))</f>
        <v/>
      </c>
      <c r="N5387" s="2">
        <f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>
        <f>IF(OR(F5387="",G5387=""),"",IF(G5387&lt;='RETRATO 2027'!$K$5,"CONCLUÍDA",IF(F5387&lt;='RETRATO 2027'!$K$5,"EM ANDAMENTO","A INICIAR")))</f>
        <v/>
      </c>
    </row>
    <row r="5388">
      <c r="M5388" s="2">
        <f>IF(C5388="","",IFERROR(INDEX($S$5:$S$304,MATCH(C5388,$R$5:$R$304,0))&amp;"","?"))</f>
        <v/>
      </c>
      <c r="N5388" s="2">
        <f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>
        <f>IF(OR(F5388="",G5388=""),"",IF(G5388&lt;='RETRATO 2027'!$K$5,"CONCLUÍDA",IF(F5388&lt;='RETRATO 2027'!$K$5,"EM ANDAMENTO","A INICIAR")))</f>
        <v/>
      </c>
    </row>
    <row r="5389">
      <c r="M5389" s="2">
        <f>IF(C5389="","",IFERROR(INDEX($S$5:$S$304,MATCH(C5389,$R$5:$R$304,0))&amp;"","?"))</f>
        <v/>
      </c>
      <c r="N5389" s="2">
        <f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>
        <f>IF(OR(F5389="",G5389=""),"",IF(G5389&lt;='RETRATO 2027'!$K$5,"CONCLUÍDA",IF(F5389&lt;='RETRATO 2027'!$K$5,"EM ANDAMENTO","A INICIAR")))</f>
        <v/>
      </c>
    </row>
    <row r="5390">
      <c r="M5390" s="2">
        <f>IF(C5390="","",IFERROR(INDEX($S$5:$S$304,MATCH(C5390,$R$5:$R$304,0))&amp;"","?"))</f>
        <v/>
      </c>
      <c r="N5390" s="2">
        <f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>
        <f>IF(OR(F5390="",G5390=""),"",IF(G5390&lt;='RETRATO 2027'!$K$5,"CONCLUÍDA",IF(F5390&lt;='RETRATO 2027'!$K$5,"EM ANDAMENTO","A INICIAR")))</f>
        <v/>
      </c>
    </row>
    <row r="5391">
      <c r="M5391" s="2">
        <f>IF(C5391="","",IFERROR(INDEX($S$5:$S$304,MATCH(C5391,$R$5:$R$304,0))&amp;"","?"))</f>
        <v/>
      </c>
      <c r="N5391" s="2">
        <f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>
        <f>IF(OR(F5391="",G5391=""),"",IF(G5391&lt;='RETRATO 2027'!$K$5,"CONCLUÍDA",IF(F5391&lt;='RETRATO 2027'!$K$5,"EM ANDAMENTO","A INICIAR")))</f>
        <v/>
      </c>
    </row>
    <row r="5392">
      <c r="M5392" s="2">
        <f>IF(C5392="","",IFERROR(INDEX($S$5:$S$304,MATCH(C5392,$R$5:$R$304,0))&amp;"","?"))</f>
        <v/>
      </c>
      <c r="N5392" s="2">
        <f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>
        <f>IF(OR(F5392="",G5392=""),"",IF(G5392&lt;='RETRATO 2027'!$K$5,"CONCLUÍDA",IF(F5392&lt;='RETRATO 2027'!$K$5,"EM ANDAMENTO","A INICIAR")))</f>
        <v/>
      </c>
    </row>
    <row r="5393">
      <c r="M5393" s="2">
        <f>IF(C5393="","",IFERROR(INDEX($S$5:$S$304,MATCH(C5393,$R$5:$R$304,0))&amp;"","?"))</f>
        <v/>
      </c>
      <c r="N5393" s="2">
        <f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>
        <f>IF(OR(F5393="",G5393=""),"",IF(G5393&lt;='RETRATO 2027'!$K$5,"CONCLUÍDA",IF(F5393&lt;='RETRATO 2027'!$K$5,"EM ANDAMENTO","A INICIAR")))</f>
        <v/>
      </c>
    </row>
    <row r="5394">
      <c r="M5394" s="2">
        <f>IF(C5394="","",IFERROR(INDEX($S$5:$S$304,MATCH(C5394,$R$5:$R$304,0))&amp;"","?"))</f>
        <v/>
      </c>
      <c r="N5394" s="2">
        <f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>
        <f>IF(OR(F5394="",G5394=""),"",IF(G5394&lt;='RETRATO 2027'!$K$5,"CONCLUÍDA",IF(F5394&lt;='RETRATO 2027'!$K$5,"EM ANDAMENTO","A INICIAR")))</f>
        <v/>
      </c>
    </row>
    <row r="5395">
      <c r="M5395" s="2">
        <f>IF(C5395="","",IFERROR(INDEX($S$5:$S$304,MATCH(C5395,$R$5:$R$304,0))&amp;"","?"))</f>
        <v/>
      </c>
      <c r="N5395" s="2">
        <f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>
        <f>IF(OR(F5395="",G5395=""),"",IF(G5395&lt;='RETRATO 2027'!$K$5,"CONCLUÍDA",IF(F5395&lt;='RETRATO 2027'!$K$5,"EM ANDAMENTO","A INICIAR")))</f>
        <v/>
      </c>
    </row>
    <row r="5396">
      <c r="M5396" s="2">
        <f>IF(C5396="","",IFERROR(INDEX($S$5:$S$304,MATCH(C5396,$R$5:$R$304,0))&amp;"","?"))</f>
        <v/>
      </c>
      <c r="N5396" s="2">
        <f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>
        <f>IF(OR(F5396="",G5396=""),"",IF(G5396&lt;='RETRATO 2027'!$K$5,"CONCLUÍDA",IF(F5396&lt;='RETRATO 2027'!$K$5,"EM ANDAMENTO","A INICIAR")))</f>
        <v/>
      </c>
    </row>
    <row r="5397">
      <c r="M5397" s="2">
        <f>IF(C5397="","",IFERROR(INDEX($S$5:$S$304,MATCH(C5397,$R$5:$R$304,0))&amp;"","?"))</f>
        <v/>
      </c>
      <c r="N5397" s="2">
        <f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>
        <f>IF(OR(F5397="",G5397=""),"",IF(G5397&lt;='RETRATO 2027'!$K$5,"CONCLUÍDA",IF(F5397&lt;='RETRATO 2027'!$K$5,"EM ANDAMENTO","A INICIAR")))</f>
        <v/>
      </c>
    </row>
    <row r="5398">
      <c r="M5398" s="2">
        <f>IF(C5398="","",IFERROR(INDEX($S$5:$S$304,MATCH(C5398,$R$5:$R$304,0))&amp;"","?"))</f>
        <v/>
      </c>
      <c r="N5398" s="2">
        <f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>
        <f>IF(OR(F5398="",G5398=""),"",IF(G5398&lt;='RETRATO 2027'!$K$5,"CONCLUÍDA",IF(F5398&lt;='RETRATO 2027'!$K$5,"EM ANDAMENTO","A INICIAR")))</f>
        <v/>
      </c>
    </row>
    <row r="5399">
      <c r="M5399" s="2">
        <f>IF(C5399="","",IFERROR(INDEX($S$5:$S$304,MATCH(C5399,$R$5:$R$304,0))&amp;"","?"))</f>
        <v/>
      </c>
      <c r="N5399" s="2">
        <f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>
        <f>IF(OR(F5399="",G5399=""),"",IF(G5399&lt;='RETRATO 2027'!$K$5,"CONCLUÍDA",IF(F5399&lt;='RETRATO 2027'!$K$5,"EM ANDAMENTO","A INICIAR")))</f>
        <v/>
      </c>
    </row>
    <row r="5400">
      <c r="M5400" s="2">
        <f>IF(C5400="","",IFERROR(INDEX($S$5:$S$304,MATCH(C5400,$R$5:$R$304,0))&amp;"","?"))</f>
        <v/>
      </c>
      <c r="N5400" s="2">
        <f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>
        <f>IF(OR(F5400="",G5400=""),"",IF(G5400&lt;='RETRATO 2027'!$K$5,"CONCLUÍDA",IF(F5400&lt;='RETRATO 2027'!$K$5,"EM ANDAMENTO","A INICIAR")))</f>
        <v/>
      </c>
    </row>
    <row r="5401">
      <c r="M5401" s="2">
        <f>IF(C5401="","",IFERROR(INDEX($S$5:$S$304,MATCH(C5401,$R$5:$R$304,0))&amp;"","?"))</f>
        <v/>
      </c>
      <c r="N5401" s="2">
        <f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>
        <f>IF(OR(F5401="",G5401=""),"",IF(G5401&lt;='RETRATO 2027'!$K$5,"CONCLUÍDA",IF(F5401&lt;='RETRATO 2027'!$K$5,"EM ANDAMENTO","A INICIAR")))</f>
        <v/>
      </c>
    </row>
    <row r="5402">
      <c r="M5402" s="2">
        <f>IF(C5402="","",IFERROR(INDEX($S$5:$S$304,MATCH(C5402,$R$5:$R$304,0))&amp;"","?"))</f>
        <v/>
      </c>
      <c r="N5402" s="2">
        <f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>
        <f>IF(OR(F5402="",G5402=""),"",IF(G5402&lt;='RETRATO 2027'!$K$5,"CONCLUÍDA",IF(F5402&lt;='RETRATO 2027'!$K$5,"EM ANDAMENTO","A INICIAR")))</f>
        <v/>
      </c>
    </row>
    <row r="5403">
      <c r="M5403" s="2">
        <f>IF(C5403="","",IFERROR(INDEX($S$5:$S$304,MATCH(C5403,$R$5:$R$304,0))&amp;"","?"))</f>
        <v/>
      </c>
      <c r="N5403" s="2">
        <f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>
        <f>IF(OR(F5403="",G5403=""),"",IF(G5403&lt;='RETRATO 2027'!$K$5,"CONCLUÍDA",IF(F5403&lt;='RETRATO 2027'!$K$5,"EM ANDAMENTO","A INICIAR")))</f>
        <v/>
      </c>
    </row>
    <row r="5404">
      <c r="M5404" s="2">
        <f>IF(C5404="","",IFERROR(INDEX($S$5:$S$304,MATCH(C5404,$R$5:$R$304,0))&amp;"","?"))</f>
        <v/>
      </c>
      <c r="N5404" s="2">
        <f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>
        <f>IF(OR(F5404="",G5404=""),"",IF(G5404&lt;='RETRATO 2027'!$K$5,"CONCLUÍDA",IF(F5404&lt;='RETRATO 2027'!$K$5,"EM ANDAMENTO","A INICIAR")))</f>
        <v/>
      </c>
    </row>
    <row r="5405">
      <c r="M5405" s="2">
        <f>IF(C5405="","",IFERROR(INDEX($S$5:$S$304,MATCH(C5405,$R$5:$R$304,0))&amp;"","?"))</f>
        <v/>
      </c>
      <c r="N5405" s="2">
        <f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>
        <f>IF(OR(F5405="",G5405=""),"",IF(G5405&lt;='RETRATO 2027'!$K$5,"CONCLUÍDA",IF(F5405&lt;='RETRATO 2027'!$K$5,"EM ANDAMENTO","A INICIAR")))</f>
        <v/>
      </c>
    </row>
    <row r="5406">
      <c r="M5406" s="2">
        <f>IF(C5406="","",IFERROR(INDEX($S$5:$S$304,MATCH(C5406,$R$5:$R$304,0))&amp;"","?"))</f>
        <v/>
      </c>
      <c r="N5406" s="2">
        <f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>
        <f>IF(OR(F5406="",G5406=""),"",IF(G5406&lt;='RETRATO 2027'!$K$5,"CONCLUÍDA",IF(F5406&lt;='RETRATO 2027'!$K$5,"EM ANDAMENTO","A INICIAR")))</f>
        <v/>
      </c>
    </row>
    <row r="5407">
      <c r="M5407" s="2">
        <f>IF(C5407="","",IFERROR(INDEX($S$5:$S$304,MATCH(C5407,$R$5:$R$304,0))&amp;"","?"))</f>
        <v/>
      </c>
      <c r="N5407" s="2">
        <f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>
        <f>IF(OR(F5407="",G5407=""),"",IF(G5407&lt;='RETRATO 2027'!$K$5,"CONCLUÍDA",IF(F5407&lt;='RETRATO 2027'!$K$5,"EM ANDAMENTO","A INICIAR")))</f>
        <v/>
      </c>
    </row>
    <row r="5408">
      <c r="M5408" s="2">
        <f>IF(C5408="","",IFERROR(INDEX($S$5:$S$304,MATCH(C5408,$R$5:$R$304,0))&amp;"","?"))</f>
        <v/>
      </c>
      <c r="N5408" s="2">
        <f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>
        <f>IF(OR(F5408="",G5408=""),"",IF(G5408&lt;='RETRATO 2027'!$K$5,"CONCLUÍDA",IF(F5408&lt;='RETRATO 2027'!$K$5,"EM ANDAMENTO","A INICIAR")))</f>
        <v/>
      </c>
    </row>
    <row r="5409">
      <c r="M5409" s="2">
        <f>IF(C5409="","",IFERROR(INDEX($S$5:$S$304,MATCH(C5409,$R$5:$R$304,0))&amp;"","?"))</f>
        <v/>
      </c>
      <c r="N5409" s="2">
        <f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>
        <f>IF(OR(F5409="",G5409=""),"",IF(G5409&lt;='RETRATO 2027'!$K$5,"CONCLUÍDA",IF(F5409&lt;='RETRATO 2027'!$K$5,"EM ANDAMENTO","A INICIAR")))</f>
        <v/>
      </c>
    </row>
    <row r="5410">
      <c r="M5410" s="2">
        <f>IF(C5410="","",IFERROR(INDEX($S$5:$S$304,MATCH(C5410,$R$5:$R$304,0))&amp;"","?"))</f>
        <v/>
      </c>
      <c r="N5410" s="2">
        <f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>
        <f>IF(OR(F5410="",G5410=""),"",IF(G5410&lt;='RETRATO 2027'!$K$5,"CONCLUÍDA",IF(F5410&lt;='RETRATO 2027'!$K$5,"EM ANDAMENTO","A INICIAR")))</f>
        <v/>
      </c>
    </row>
    <row r="5411">
      <c r="M5411" s="2">
        <f>IF(C5411="","",IFERROR(INDEX($S$5:$S$304,MATCH(C5411,$R$5:$R$304,0))&amp;"","?"))</f>
        <v/>
      </c>
      <c r="N5411" s="2">
        <f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>
        <f>IF(OR(F5411="",G5411=""),"",IF(G5411&lt;='RETRATO 2027'!$K$5,"CONCLUÍDA",IF(F5411&lt;='RETRATO 2027'!$K$5,"EM ANDAMENTO","A INICIAR")))</f>
        <v/>
      </c>
    </row>
    <row r="5412">
      <c r="M5412" s="2">
        <f>IF(C5412="","",IFERROR(INDEX($S$5:$S$304,MATCH(C5412,$R$5:$R$304,0))&amp;"","?"))</f>
        <v/>
      </c>
      <c r="N5412" s="2">
        <f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>
        <f>IF(OR(F5412="",G5412=""),"",IF(G5412&lt;='RETRATO 2027'!$K$5,"CONCLUÍDA",IF(F5412&lt;='RETRATO 2027'!$K$5,"EM ANDAMENTO","A INICIAR")))</f>
        <v/>
      </c>
    </row>
    <row r="5413">
      <c r="M5413" s="2">
        <f>IF(C5413="","",IFERROR(INDEX($S$5:$S$304,MATCH(C5413,$R$5:$R$304,0))&amp;"","?"))</f>
        <v/>
      </c>
      <c r="N5413" s="2">
        <f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>
        <f>IF(OR(F5413="",G5413=""),"",IF(G5413&lt;='RETRATO 2027'!$K$5,"CONCLUÍDA",IF(F5413&lt;='RETRATO 2027'!$K$5,"EM ANDAMENTO","A INICIAR")))</f>
        <v/>
      </c>
    </row>
    <row r="5414">
      <c r="M5414" s="2">
        <f>IF(C5414="","",IFERROR(INDEX($S$5:$S$304,MATCH(C5414,$R$5:$R$304,0))&amp;"","?"))</f>
        <v/>
      </c>
      <c r="N5414" s="2">
        <f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>
        <f>IF(OR(F5414="",G5414=""),"",IF(G5414&lt;='RETRATO 2027'!$K$5,"CONCLUÍDA",IF(F5414&lt;='RETRATO 2027'!$K$5,"EM ANDAMENTO","A INICIAR")))</f>
        <v/>
      </c>
    </row>
    <row r="5415">
      <c r="M5415" s="2">
        <f>IF(C5415="","",IFERROR(INDEX($S$5:$S$304,MATCH(C5415,$R$5:$R$304,0))&amp;"","?"))</f>
        <v/>
      </c>
      <c r="N5415" s="2">
        <f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>
        <f>IF(OR(F5415="",G5415=""),"",IF(G5415&lt;='RETRATO 2027'!$K$5,"CONCLUÍDA",IF(F5415&lt;='RETRATO 2027'!$K$5,"EM ANDAMENTO","A INICIAR")))</f>
        <v/>
      </c>
    </row>
    <row r="5416">
      <c r="M5416" s="2">
        <f>IF(C5416="","",IFERROR(INDEX($S$5:$S$304,MATCH(C5416,$R$5:$R$304,0))&amp;"","?"))</f>
        <v/>
      </c>
      <c r="N5416" s="2">
        <f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>
        <f>IF(OR(F5416="",G5416=""),"",IF(G5416&lt;='RETRATO 2027'!$K$5,"CONCLUÍDA",IF(F5416&lt;='RETRATO 2027'!$K$5,"EM ANDAMENTO","A INICIAR")))</f>
        <v/>
      </c>
    </row>
    <row r="5417">
      <c r="M5417" s="2">
        <f>IF(C5417="","",IFERROR(INDEX($S$5:$S$304,MATCH(C5417,$R$5:$R$304,0))&amp;"","?"))</f>
        <v/>
      </c>
      <c r="N5417" s="2">
        <f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>
        <f>IF(OR(F5417="",G5417=""),"",IF(G5417&lt;='RETRATO 2027'!$K$5,"CONCLUÍDA",IF(F5417&lt;='RETRATO 2027'!$K$5,"EM ANDAMENTO","A INICIAR")))</f>
        <v/>
      </c>
    </row>
    <row r="5418">
      <c r="M5418" s="2">
        <f>IF(C5418="","",IFERROR(INDEX($S$5:$S$304,MATCH(C5418,$R$5:$R$304,0))&amp;"","?"))</f>
        <v/>
      </c>
      <c r="N5418" s="2">
        <f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>
        <f>IF(OR(F5418="",G5418=""),"",IF(G5418&lt;='RETRATO 2027'!$K$5,"CONCLUÍDA",IF(F5418&lt;='RETRATO 2027'!$K$5,"EM ANDAMENTO","A INICIAR")))</f>
        <v/>
      </c>
    </row>
    <row r="5419">
      <c r="M5419" s="2">
        <f>IF(C5419="","",IFERROR(INDEX($S$5:$S$304,MATCH(C5419,$R$5:$R$304,0))&amp;"","?"))</f>
        <v/>
      </c>
      <c r="N5419" s="2">
        <f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>
        <f>IF(OR(F5419="",G5419=""),"",IF(G5419&lt;='RETRATO 2027'!$K$5,"CONCLUÍDA",IF(F5419&lt;='RETRATO 2027'!$K$5,"EM ANDAMENTO","A INICIAR")))</f>
        <v/>
      </c>
    </row>
    <row r="5420">
      <c r="M5420" s="2">
        <f>IF(C5420="","",IFERROR(INDEX($S$5:$S$304,MATCH(C5420,$R$5:$R$304,0))&amp;"","?"))</f>
        <v/>
      </c>
      <c r="N5420" s="2">
        <f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>
        <f>IF(OR(F5420="",G5420=""),"",IF(G5420&lt;='RETRATO 2027'!$K$5,"CONCLUÍDA",IF(F5420&lt;='RETRATO 2027'!$K$5,"EM ANDAMENTO","A INICIAR")))</f>
        <v/>
      </c>
    </row>
    <row r="5421">
      <c r="M5421" s="2">
        <f>IF(C5421="","",IFERROR(INDEX($S$5:$S$304,MATCH(C5421,$R$5:$R$304,0))&amp;"","?"))</f>
        <v/>
      </c>
      <c r="N5421" s="2">
        <f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>
        <f>IF(OR(F5421="",G5421=""),"",IF(G5421&lt;='RETRATO 2027'!$K$5,"CONCLUÍDA",IF(F5421&lt;='RETRATO 2027'!$K$5,"EM ANDAMENTO","A INICIAR")))</f>
        <v/>
      </c>
    </row>
    <row r="5422">
      <c r="M5422" s="2">
        <f>IF(C5422="","",IFERROR(INDEX($S$5:$S$304,MATCH(C5422,$R$5:$R$304,0))&amp;"","?"))</f>
        <v/>
      </c>
      <c r="N5422" s="2">
        <f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>
        <f>IF(OR(F5422="",G5422=""),"",IF(G5422&lt;='RETRATO 2027'!$K$5,"CONCLUÍDA",IF(F5422&lt;='RETRATO 2027'!$K$5,"EM ANDAMENTO","A INICIAR")))</f>
        <v/>
      </c>
    </row>
    <row r="5423">
      <c r="M5423" s="2">
        <f>IF(C5423="","",IFERROR(INDEX($S$5:$S$304,MATCH(C5423,$R$5:$R$304,0))&amp;"","?"))</f>
        <v/>
      </c>
      <c r="N5423" s="2">
        <f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>
        <f>IF(OR(F5423="",G5423=""),"",IF(G5423&lt;='RETRATO 2027'!$K$5,"CONCLUÍDA",IF(F5423&lt;='RETRATO 2027'!$K$5,"EM ANDAMENTO","A INICIAR")))</f>
        <v/>
      </c>
    </row>
    <row r="5424">
      <c r="M5424" s="2">
        <f>IF(C5424="","",IFERROR(INDEX($S$5:$S$304,MATCH(C5424,$R$5:$R$304,0))&amp;"","?"))</f>
        <v/>
      </c>
      <c r="N5424" s="2">
        <f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>
        <f>IF(OR(F5424="",G5424=""),"",IF(G5424&lt;='RETRATO 2027'!$K$5,"CONCLUÍDA",IF(F5424&lt;='RETRATO 2027'!$K$5,"EM ANDAMENTO","A INICIAR")))</f>
        <v/>
      </c>
    </row>
    <row r="5425">
      <c r="M5425" s="2">
        <f>IF(C5425="","",IFERROR(INDEX($S$5:$S$304,MATCH(C5425,$R$5:$R$304,0))&amp;"","?"))</f>
        <v/>
      </c>
      <c r="N5425" s="2">
        <f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>
        <f>IF(OR(F5425="",G5425=""),"",IF(G5425&lt;='RETRATO 2027'!$K$5,"CONCLUÍDA",IF(F5425&lt;='RETRATO 2027'!$K$5,"EM ANDAMENTO","A INICIAR")))</f>
        <v/>
      </c>
    </row>
    <row r="5426">
      <c r="M5426" s="2">
        <f>IF(C5426="","",IFERROR(INDEX($S$5:$S$304,MATCH(C5426,$R$5:$R$304,0))&amp;"","?"))</f>
        <v/>
      </c>
      <c r="N5426" s="2">
        <f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>
        <f>IF(OR(F5426="",G5426=""),"",IF(G5426&lt;='RETRATO 2027'!$K$5,"CONCLUÍDA",IF(F5426&lt;='RETRATO 2027'!$K$5,"EM ANDAMENTO","A INICIAR")))</f>
        <v/>
      </c>
    </row>
    <row r="5427">
      <c r="M5427" s="2">
        <f>IF(C5427="","",IFERROR(INDEX($S$5:$S$304,MATCH(C5427,$R$5:$R$304,0))&amp;"","?"))</f>
        <v/>
      </c>
      <c r="N5427" s="2">
        <f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>
        <f>IF(OR(F5427="",G5427=""),"",IF(G5427&lt;='RETRATO 2027'!$K$5,"CONCLUÍDA",IF(F5427&lt;='RETRATO 2027'!$K$5,"EM ANDAMENTO","A INICIAR")))</f>
        <v/>
      </c>
    </row>
    <row r="5428">
      <c r="M5428" s="2">
        <f>IF(C5428="","",IFERROR(INDEX($S$5:$S$304,MATCH(C5428,$R$5:$R$304,0))&amp;"","?"))</f>
        <v/>
      </c>
      <c r="N5428" s="2">
        <f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>
        <f>IF(OR(F5428="",G5428=""),"",IF(G5428&lt;='RETRATO 2027'!$K$5,"CONCLUÍDA",IF(F5428&lt;='RETRATO 2027'!$K$5,"EM ANDAMENTO","A INICIAR")))</f>
        <v/>
      </c>
    </row>
    <row r="5429">
      <c r="M5429" s="2">
        <f>IF(C5429="","",IFERROR(INDEX($S$5:$S$304,MATCH(C5429,$R$5:$R$304,0))&amp;"","?"))</f>
        <v/>
      </c>
      <c r="N5429" s="2">
        <f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>
        <f>IF(OR(F5429="",G5429=""),"",IF(G5429&lt;='RETRATO 2027'!$K$5,"CONCLUÍDA",IF(F5429&lt;='RETRATO 2027'!$K$5,"EM ANDAMENTO","A INICIAR")))</f>
        <v/>
      </c>
    </row>
    <row r="5430">
      <c r="M5430" s="2">
        <f>IF(C5430="","",IFERROR(INDEX($S$5:$S$304,MATCH(C5430,$R$5:$R$304,0))&amp;"","?"))</f>
        <v/>
      </c>
      <c r="N5430" s="2">
        <f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>
        <f>IF(OR(F5430="",G5430=""),"",IF(G5430&lt;='RETRATO 2027'!$K$5,"CONCLUÍDA",IF(F5430&lt;='RETRATO 2027'!$K$5,"EM ANDAMENTO","A INICIAR")))</f>
        <v/>
      </c>
    </row>
    <row r="5431">
      <c r="M5431" s="2">
        <f>IF(C5431="","",IFERROR(INDEX($S$5:$S$304,MATCH(C5431,$R$5:$R$304,0))&amp;"","?"))</f>
        <v/>
      </c>
      <c r="N5431" s="2">
        <f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>
        <f>IF(OR(F5431="",G5431=""),"",IF(G5431&lt;='RETRATO 2027'!$K$5,"CONCLUÍDA",IF(F5431&lt;='RETRATO 2027'!$K$5,"EM ANDAMENTO","A INICIAR")))</f>
        <v/>
      </c>
    </row>
    <row r="5432">
      <c r="M5432" s="2">
        <f>IF(C5432="","",IFERROR(INDEX($S$5:$S$304,MATCH(C5432,$R$5:$R$304,0))&amp;"","?"))</f>
        <v/>
      </c>
      <c r="N5432" s="2">
        <f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>
        <f>IF(OR(F5432="",G5432=""),"",IF(G5432&lt;='RETRATO 2027'!$K$5,"CONCLUÍDA",IF(F5432&lt;='RETRATO 2027'!$K$5,"EM ANDAMENTO","A INICIAR")))</f>
        <v/>
      </c>
    </row>
    <row r="5433">
      <c r="M5433" s="2">
        <f>IF(C5433="","",IFERROR(INDEX($S$5:$S$304,MATCH(C5433,$R$5:$R$304,0))&amp;"","?"))</f>
        <v/>
      </c>
      <c r="N5433" s="2">
        <f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>
        <f>IF(OR(F5433="",G5433=""),"",IF(G5433&lt;='RETRATO 2027'!$K$5,"CONCLUÍDA",IF(F5433&lt;='RETRATO 2027'!$K$5,"EM ANDAMENTO","A INICIAR")))</f>
        <v/>
      </c>
    </row>
    <row r="5434">
      <c r="M5434" s="2">
        <f>IF(C5434="","",IFERROR(INDEX($S$5:$S$304,MATCH(C5434,$R$5:$R$304,0))&amp;"","?"))</f>
        <v/>
      </c>
      <c r="N5434" s="2">
        <f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>
        <f>IF(OR(F5434="",G5434=""),"",IF(G5434&lt;='RETRATO 2027'!$K$5,"CONCLUÍDA",IF(F5434&lt;='RETRATO 2027'!$K$5,"EM ANDAMENTO","A INICIAR")))</f>
        <v/>
      </c>
    </row>
    <row r="5435">
      <c r="M5435" s="2">
        <f>IF(C5435="","",IFERROR(INDEX($S$5:$S$304,MATCH(C5435,$R$5:$R$304,0))&amp;"","?"))</f>
        <v/>
      </c>
      <c r="N5435" s="2">
        <f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>
        <f>IF(OR(F5435="",G5435=""),"",IF(G5435&lt;='RETRATO 2027'!$K$5,"CONCLUÍDA",IF(F5435&lt;='RETRATO 2027'!$K$5,"EM ANDAMENTO","A INICIAR")))</f>
        <v/>
      </c>
    </row>
    <row r="5436">
      <c r="M5436" s="2">
        <f>IF(C5436="","",IFERROR(INDEX($S$5:$S$304,MATCH(C5436,$R$5:$R$304,0))&amp;"","?"))</f>
        <v/>
      </c>
      <c r="N5436" s="2">
        <f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>
        <f>IF(OR(F5436="",G5436=""),"",IF(G5436&lt;='RETRATO 2027'!$K$5,"CONCLUÍDA",IF(F5436&lt;='RETRATO 2027'!$K$5,"EM ANDAMENTO","A INICIAR")))</f>
        <v/>
      </c>
    </row>
    <row r="5437">
      <c r="M5437" s="2">
        <f>IF(C5437="","",IFERROR(INDEX($S$5:$S$304,MATCH(C5437,$R$5:$R$304,0))&amp;"","?"))</f>
        <v/>
      </c>
      <c r="N5437" s="2">
        <f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>
        <f>IF(OR(F5437="",G5437=""),"",IF(G5437&lt;='RETRATO 2027'!$K$5,"CONCLUÍDA",IF(F5437&lt;='RETRATO 2027'!$K$5,"EM ANDAMENTO","A INICIAR")))</f>
        <v/>
      </c>
    </row>
    <row r="5438">
      <c r="M5438" s="2">
        <f>IF(C5438="","",IFERROR(INDEX($S$5:$S$304,MATCH(C5438,$R$5:$R$304,0))&amp;"","?"))</f>
        <v/>
      </c>
      <c r="N5438" s="2">
        <f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>
        <f>IF(OR(F5438="",G5438=""),"",IF(G5438&lt;='RETRATO 2027'!$K$5,"CONCLUÍDA",IF(F5438&lt;='RETRATO 2027'!$K$5,"EM ANDAMENTO","A INICIAR")))</f>
        <v/>
      </c>
    </row>
    <row r="5439">
      <c r="M5439" s="2">
        <f>IF(C5439="","",IFERROR(INDEX($S$5:$S$304,MATCH(C5439,$R$5:$R$304,0))&amp;"","?"))</f>
        <v/>
      </c>
      <c r="N5439" s="2">
        <f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>
        <f>IF(OR(F5439="",G5439=""),"",IF(G5439&lt;='RETRATO 2027'!$K$5,"CONCLUÍDA",IF(F5439&lt;='RETRATO 2027'!$K$5,"EM ANDAMENTO","A INICIAR")))</f>
        <v/>
      </c>
    </row>
    <row r="5440">
      <c r="M5440" s="2">
        <f>IF(C5440="","",IFERROR(INDEX($S$5:$S$304,MATCH(C5440,$R$5:$R$304,0))&amp;"","?"))</f>
        <v/>
      </c>
      <c r="N5440" s="2">
        <f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>
        <f>IF(OR(F5440="",G5440=""),"",IF(G5440&lt;='RETRATO 2027'!$K$5,"CONCLUÍDA",IF(F5440&lt;='RETRATO 2027'!$K$5,"EM ANDAMENTO","A INICIAR")))</f>
        <v/>
      </c>
    </row>
    <row r="5441">
      <c r="M5441" s="2">
        <f>IF(C5441="","",IFERROR(INDEX($S$5:$S$304,MATCH(C5441,$R$5:$R$304,0))&amp;"","?"))</f>
        <v/>
      </c>
      <c r="N5441" s="2">
        <f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>
        <f>IF(OR(F5441="",G5441=""),"",IF(G5441&lt;='RETRATO 2027'!$K$5,"CONCLUÍDA",IF(F5441&lt;='RETRATO 2027'!$K$5,"EM ANDAMENTO","A INICIAR")))</f>
        <v/>
      </c>
    </row>
    <row r="5442">
      <c r="M5442" s="2">
        <f>IF(C5442="","",IFERROR(INDEX($S$5:$S$304,MATCH(C5442,$R$5:$R$304,0))&amp;"","?"))</f>
        <v/>
      </c>
      <c r="N5442" s="2">
        <f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>
        <f>IF(OR(F5442="",G5442=""),"",IF(G5442&lt;='RETRATO 2027'!$K$5,"CONCLUÍDA",IF(F5442&lt;='RETRATO 2027'!$K$5,"EM ANDAMENTO","A INICIAR")))</f>
        <v/>
      </c>
    </row>
    <row r="5443">
      <c r="M5443" s="2">
        <f>IF(C5443="","",IFERROR(INDEX($S$5:$S$304,MATCH(C5443,$R$5:$R$304,0))&amp;"","?"))</f>
        <v/>
      </c>
      <c r="N5443" s="2">
        <f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>
        <f>IF(OR(F5443="",G5443=""),"",IF(G5443&lt;='RETRATO 2027'!$K$5,"CONCLUÍDA",IF(F5443&lt;='RETRATO 2027'!$K$5,"EM ANDAMENTO","A INICIAR")))</f>
        <v/>
      </c>
    </row>
    <row r="5444">
      <c r="M5444" s="2">
        <f>IF(C5444="","",IFERROR(INDEX($S$5:$S$304,MATCH(C5444,$R$5:$R$304,0))&amp;"","?"))</f>
        <v/>
      </c>
      <c r="N5444" s="2">
        <f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>
        <f>IF(OR(F5444="",G5444=""),"",IF(G5444&lt;='RETRATO 2027'!$K$5,"CONCLUÍDA",IF(F5444&lt;='RETRATO 2027'!$K$5,"EM ANDAMENTO","A INICIAR")))</f>
        <v/>
      </c>
    </row>
    <row r="5445">
      <c r="M5445" s="2">
        <f>IF(C5445="","",IFERROR(INDEX($S$5:$S$304,MATCH(C5445,$R$5:$R$304,0))&amp;"","?"))</f>
        <v/>
      </c>
      <c r="N5445" s="2">
        <f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>
        <f>IF(OR(F5445="",G5445=""),"",IF(G5445&lt;='RETRATO 2027'!$K$5,"CONCLUÍDA",IF(F5445&lt;='RETRATO 2027'!$K$5,"EM ANDAMENTO","A INICIAR")))</f>
        <v/>
      </c>
    </row>
    <row r="5446">
      <c r="M5446" s="2">
        <f>IF(C5446="","",IFERROR(INDEX($S$5:$S$304,MATCH(C5446,$R$5:$R$304,0))&amp;"","?"))</f>
        <v/>
      </c>
      <c r="N5446" s="2">
        <f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>
        <f>IF(OR(F5446="",G5446=""),"",IF(G5446&lt;='RETRATO 2027'!$K$5,"CONCLUÍDA",IF(F5446&lt;='RETRATO 2027'!$K$5,"EM ANDAMENTO","A INICIAR")))</f>
        <v/>
      </c>
    </row>
    <row r="5447">
      <c r="M5447" s="2">
        <f>IF(C5447="","",IFERROR(INDEX($S$5:$S$304,MATCH(C5447,$R$5:$R$304,0))&amp;"","?"))</f>
        <v/>
      </c>
      <c r="N5447" s="2">
        <f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>
        <f>IF(OR(F5447="",G5447=""),"",IF(G5447&lt;='RETRATO 2027'!$K$5,"CONCLUÍDA",IF(F5447&lt;='RETRATO 2027'!$K$5,"EM ANDAMENTO","A INICIAR")))</f>
        <v/>
      </c>
    </row>
    <row r="5448">
      <c r="M5448" s="2">
        <f>IF(C5448="","",IFERROR(INDEX($S$5:$S$304,MATCH(C5448,$R$5:$R$304,0))&amp;"","?"))</f>
        <v/>
      </c>
      <c r="N5448" s="2">
        <f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>
        <f>IF(OR(F5448="",G5448=""),"",IF(G5448&lt;='RETRATO 2027'!$K$5,"CONCLUÍDA",IF(F5448&lt;='RETRATO 2027'!$K$5,"EM ANDAMENTO","A INICIAR")))</f>
        <v/>
      </c>
    </row>
    <row r="5449">
      <c r="M5449" s="2">
        <f>IF(C5449="","",IFERROR(INDEX($S$5:$S$304,MATCH(C5449,$R$5:$R$304,0))&amp;"","?"))</f>
        <v/>
      </c>
      <c r="N5449" s="2">
        <f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>
        <f>IF(OR(F5449="",G5449=""),"",IF(G5449&lt;='RETRATO 2027'!$K$5,"CONCLUÍDA",IF(F5449&lt;='RETRATO 2027'!$K$5,"EM ANDAMENTO","A INICIAR")))</f>
        <v/>
      </c>
    </row>
    <row r="5450">
      <c r="M5450" s="2">
        <f>IF(C5450="","",IFERROR(INDEX($S$5:$S$304,MATCH(C5450,$R$5:$R$304,0))&amp;"","?"))</f>
        <v/>
      </c>
      <c r="N5450" s="2">
        <f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>
        <f>IF(OR(F5450="",G5450=""),"",IF(G5450&lt;='RETRATO 2027'!$K$5,"CONCLUÍDA",IF(F5450&lt;='RETRATO 2027'!$K$5,"EM ANDAMENTO","A INICIAR")))</f>
        <v/>
      </c>
    </row>
    <row r="5451">
      <c r="M5451" s="2">
        <f>IF(C5451="","",IFERROR(INDEX($S$5:$S$304,MATCH(C5451,$R$5:$R$304,0))&amp;"","?"))</f>
        <v/>
      </c>
      <c r="N5451" s="2">
        <f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>
        <f>IF(OR(F5451="",G5451=""),"",IF(G5451&lt;='RETRATO 2027'!$K$5,"CONCLUÍDA",IF(F5451&lt;='RETRATO 2027'!$K$5,"EM ANDAMENTO","A INICIAR")))</f>
        <v/>
      </c>
    </row>
    <row r="5452">
      <c r="M5452" s="2">
        <f>IF(C5452="","",IFERROR(INDEX($S$5:$S$304,MATCH(C5452,$R$5:$R$304,0))&amp;"","?"))</f>
        <v/>
      </c>
      <c r="N5452" s="2">
        <f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>
        <f>IF(OR(F5452="",G5452=""),"",IF(G5452&lt;='RETRATO 2027'!$K$5,"CONCLUÍDA",IF(F5452&lt;='RETRATO 2027'!$K$5,"EM ANDAMENTO","A INICIAR")))</f>
        <v/>
      </c>
    </row>
    <row r="5453">
      <c r="M5453" s="2">
        <f>IF(C5453="","",IFERROR(INDEX($S$5:$S$304,MATCH(C5453,$R$5:$R$304,0))&amp;"","?"))</f>
        <v/>
      </c>
      <c r="N5453" s="2">
        <f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>
        <f>IF(OR(F5453="",G5453=""),"",IF(G5453&lt;='RETRATO 2027'!$K$5,"CONCLUÍDA",IF(F5453&lt;='RETRATO 2027'!$K$5,"EM ANDAMENTO","A INICIAR")))</f>
        <v/>
      </c>
    </row>
    <row r="5454">
      <c r="M5454" s="2">
        <f>IF(C5454="","",IFERROR(INDEX($S$5:$S$304,MATCH(C5454,$R$5:$R$304,0))&amp;"","?"))</f>
        <v/>
      </c>
      <c r="N5454" s="2">
        <f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>
        <f>IF(OR(F5454="",G5454=""),"",IF(G5454&lt;='RETRATO 2027'!$K$5,"CONCLUÍDA",IF(F5454&lt;='RETRATO 2027'!$K$5,"EM ANDAMENTO","A INICIAR")))</f>
        <v/>
      </c>
    </row>
    <row r="5455">
      <c r="M5455" s="2">
        <f>IF(C5455="","",IFERROR(INDEX($S$5:$S$304,MATCH(C5455,$R$5:$R$304,0))&amp;"","?"))</f>
        <v/>
      </c>
      <c r="N5455" s="2">
        <f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>
        <f>IF(OR(F5455="",G5455=""),"",IF(G5455&lt;='RETRATO 2027'!$K$5,"CONCLUÍDA",IF(F5455&lt;='RETRATO 2027'!$K$5,"EM ANDAMENTO","A INICIAR")))</f>
        <v/>
      </c>
    </row>
    <row r="5456">
      <c r="M5456" s="2">
        <f>IF(C5456="","",IFERROR(INDEX($S$5:$S$304,MATCH(C5456,$R$5:$R$304,0))&amp;"","?"))</f>
        <v/>
      </c>
      <c r="N5456" s="2">
        <f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>
        <f>IF(OR(F5456="",G5456=""),"",IF(G5456&lt;='RETRATO 2027'!$K$5,"CONCLUÍDA",IF(F5456&lt;='RETRATO 2027'!$K$5,"EM ANDAMENTO","A INICIAR")))</f>
        <v/>
      </c>
    </row>
    <row r="5457">
      <c r="M5457" s="2">
        <f>IF(C5457="","",IFERROR(INDEX($S$5:$S$304,MATCH(C5457,$R$5:$R$304,0))&amp;"","?"))</f>
        <v/>
      </c>
      <c r="N5457" s="2">
        <f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>
        <f>IF(OR(F5457="",G5457=""),"",IF(G5457&lt;='RETRATO 2027'!$K$5,"CONCLUÍDA",IF(F5457&lt;='RETRATO 2027'!$K$5,"EM ANDAMENTO","A INICIAR")))</f>
        <v/>
      </c>
    </row>
    <row r="5458">
      <c r="M5458" s="2">
        <f>IF(C5458="","",IFERROR(INDEX($S$5:$S$304,MATCH(C5458,$R$5:$R$304,0))&amp;"","?"))</f>
        <v/>
      </c>
      <c r="N5458" s="2">
        <f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>
        <f>IF(OR(F5458="",G5458=""),"",IF(G5458&lt;='RETRATO 2027'!$K$5,"CONCLUÍDA",IF(F5458&lt;='RETRATO 2027'!$K$5,"EM ANDAMENTO","A INICIAR")))</f>
        <v/>
      </c>
    </row>
    <row r="5459">
      <c r="M5459" s="2">
        <f>IF(C5459="","",IFERROR(INDEX($S$5:$S$304,MATCH(C5459,$R$5:$R$304,0))&amp;"","?"))</f>
        <v/>
      </c>
      <c r="N5459" s="2">
        <f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>
        <f>IF(OR(F5459="",G5459=""),"",IF(G5459&lt;='RETRATO 2027'!$K$5,"CONCLUÍDA",IF(F5459&lt;='RETRATO 2027'!$K$5,"EM ANDAMENTO","A INICIAR")))</f>
        <v/>
      </c>
    </row>
    <row r="5460">
      <c r="M5460" s="2">
        <f>IF(C5460="","",IFERROR(INDEX($S$5:$S$304,MATCH(C5460,$R$5:$R$304,0))&amp;"","?"))</f>
        <v/>
      </c>
      <c r="N5460" s="2">
        <f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>
        <f>IF(OR(F5460="",G5460=""),"",IF(G5460&lt;='RETRATO 2027'!$K$5,"CONCLUÍDA",IF(F5460&lt;='RETRATO 2027'!$K$5,"EM ANDAMENTO","A INICIAR")))</f>
        <v/>
      </c>
    </row>
    <row r="5461">
      <c r="M5461" s="2">
        <f>IF(C5461="","",IFERROR(INDEX($S$5:$S$304,MATCH(C5461,$R$5:$R$304,0))&amp;"","?"))</f>
        <v/>
      </c>
      <c r="N5461" s="2">
        <f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>
        <f>IF(OR(F5461="",G5461=""),"",IF(G5461&lt;='RETRATO 2027'!$K$5,"CONCLUÍDA",IF(F5461&lt;='RETRATO 2027'!$K$5,"EM ANDAMENTO","A INICIAR")))</f>
        <v/>
      </c>
    </row>
    <row r="5462">
      <c r="M5462" s="2">
        <f>IF(C5462="","",IFERROR(INDEX($S$5:$S$304,MATCH(C5462,$R$5:$R$304,0))&amp;"","?"))</f>
        <v/>
      </c>
      <c r="N5462" s="2">
        <f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>
        <f>IF(OR(F5462="",G5462=""),"",IF(G5462&lt;='RETRATO 2027'!$K$5,"CONCLUÍDA",IF(F5462&lt;='RETRATO 2027'!$K$5,"EM ANDAMENTO","A INICIAR")))</f>
        <v/>
      </c>
    </row>
    <row r="5463">
      <c r="M5463" s="2">
        <f>IF(C5463="","",IFERROR(INDEX($S$5:$S$304,MATCH(C5463,$R$5:$R$304,0))&amp;"","?"))</f>
        <v/>
      </c>
      <c r="N5463" s="2">
        <f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>
        <f>IF(OR(F5463="",G5463=""),"",IF(G5463&lt;='RETRATO 2027'!$K$5,"CONCLUÍDA",IF(F5463&lt;='RETRATO 2027'!$K$5,"EM ANDAMENTO","A INICIAR")))</f>
        <v/>
      </c>
    </row>
    <row r="5464">
      <c r="M5464" s="2">
        <f>IF(C5464="","",IFERROR(INDEX($S$5:$S$304,MATCH(C5464,$R$5:$R$304,0))&amp;"","?"))</f>
        <v/>
      </c>
      <c r="N5464" s="2">
        <f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>
        <f>IF(OR(F5464="",G5464=""),"",IF(G5464&lt;='RETRATO 2027'!$K$5,"CONCLUÍDA",IF(F5464&lt;='RETRATO 2027'!$K$5,"EM ANDAMENTO","A INICIAR")))</f>
        <v/>
      </c>
    </row>
    <row r="5465">
      <c r="M5465" s="2">
        <f>IF(C5465="","",IFERROR(INDEX($S$5:$S$304,MATCH(C5465,$R$5:$R$304,0))&amp;"","?"))</f>
        <v/>
      </c>
      <c r="N5465" s="2">
        <f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>
        <f>IF(OR(F5465="",G5465=""),"",IF(G5465&lt;='RETRATO 2027'!$K$5,"CONCLUÍDA",IF(F5465&lt;='RETRATO 2027'!$K$5,"EM ANDAMENTO","A INICIAR")))</f>
        <v/>
      </c>
    </row>
    <row r="5466">
      <c r="M5466" s="2">
        <f>IF(C5466="","",IFERROR(INDEX($S$5:$S$304,MATCH(C5466,$R$5:$R$304,0))&amp;"","?"))</f>
        <v/>
      </c>
      <c r="N5466" s="2">
        <f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>
        <f>IF(OR(F5466="",G5466=""),"",IF(G5466&lt;='RETRATO 2027'!$K$5,"CONCLUÍDA",IF(F5466&lt;='RETRATO 2027'!$K$5,"EM ANDAMENTO","A INICIAR")))</f>
        <v/>
      </c>
    </row>
    <row r="5467">
      <c r="M5467" s="2">
        <f>IF(C5467="","",IFERROR(INDEX($S$5:$S$304,MATCH(C5467,$R$5:$R$304,0))&amp;"","?"))</f>
        <v/>
      </c>
      <c r="N5467" s="2">
        <f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>
        <f>IF(OR(F5467="",G5467=""),"",IF(G5467&lt;='RETRATO 2027'!$K$5,"CONCLUÍDA",IF(F5467&lt;='RETRATO 2027'!$K$5,"EM ANDAMENTO","A INICIAR")))</f>
        <v/>
      </c>
    </row>
    <row r="5468">
      <c r="M5468" s="2">
        <f>IF(C5468="","",IFERROR(INDEX($S$5:$S$304,MATCH(C5468,$R$5:$R$304,0))&amp;"","?"))</f>
        <v/>
      </c>
      <c r="N5468" s="2">
        <f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>
        <f>IF(OR(F5468="",G5468=""),"",IF(G5468&lt;='RETRATO 2027'!$K$5,"CONCLUÍDA",IF(F5468&lt;='RETRATO 2027'!$K$5,"EM ANDAMENTO","A INICIAR")))</f>
        <v/>
      </c>
    </row>
    <row r="5469">
      <c r="M5469" s="2">
        <f>IF(C5469="","",IFERROR(INDEX($S$5:$S$304,MATCH(C5469,$R$5:$R$304,0))&amp;"","?"))</f>
        <v/>
      </c>
      <c r="N5469" s="2">
        <f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>
        <f>IF(OR(F5469="",G5469=""),"",IF(G5469&lt;='RETRATO 2027'!$K$5,"CONCLUÍDA",IF(F5469&lt;='RETRATO 2027'!$K$5,"EM ANDAMENTO","A INICIAR")))</f>
        <v/>
      </c>
    </row>
    <row r="5470">
      <c r="M5470" s="2">
        <f>IF(C5470="","",IFERROR(INDEX($S$5:$S$304,MATCH(C5470,$R$5:$R$304,0))&amp;"","?"))</f>
        <v/>
      </c>
      <c r="N5470" s="2">
        <f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>
        <f>IF(OR(F5470="",G5470=""),"",IF(G5470&lt;='RETRATO 2027'!$K$5,"CONCLUÍDA",IF(F5470&lt;='RETRATO 2027'!$K$5,"EM ANDAMENTO","A INICIAR")))</f>
        <v/>
      </c>
    </row>
    <row r="5471">
      <c r="M5471" s="2">
        <f>IF(C5471="","",IFERROR(INDEX($S$5:$S$304,MATCH(C5471,$R$5:$R$304,0))&amp;"","?"))</f>
        <v/>
      </c>
      <c r="N5471" s="2">
        <f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>
        <f>IF(OR(F5471="",G5471=""),"",IF(G5471&lt;='RETRATO 2027'!$K$5,"CONCLUÍDA",IF(F5471&lt;='RETRATO 2027'!$K$5,"EM ANDAMENTO","A INICIAR")))</f>
        <v/>
      </c>
    </row>
    <row r="5472">
      <c r="M5472" s="2">
        <f>IF(C5472="","",IFERROR(INDEX($S$5:$S$304,MATCH(C5472,$R$5:$R$304,0))&amp;"","?"))</f>
        <v/>
      </c>
      <c r="N5472" s="2">
        <f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>
        <f>IF(OR(F5472="",G5472=""),"",IF(G5472&lt;='RETRATO 2027'!$K$5,"CONCLUÍDA",IF(F5472&lt;='RETRATO 2027'!$K$5,"EM ANDAMENTO","A INICIAR")))</f>
        <v/>
      </c>
    </row>
    <row r="5473">
      <c r="M5473" s="2">
        <f>IF(C5473="","",IFERROR(INDEX($S$5:$S$304,MATCH(C5473,$R$5:$R$304,0))&amp;"","?"))</f>
        <v/>
      </c>
      <c r="N5473" s="2">
        <f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>
        <f>IF(OR(F5473="",G5473=""),"",IF(G5473&lt;='RETRATO 2027'!$K$5,"CONCLUÍDA",IF(F5473&lt;='RETRATO 2027'!$K$5,"EM ANDAMENTO","A INICIAR")))</f>
        <v/>
      </c>
    </row>
    <row r="5474">
      <c r="M5474" s="2">
        <f>IF(C5474="","",IFERROR(INDEX($S$5:$S$304,MATCH(C5474,$R$5:$R$304,0))&amp;"","?"))</f>
        <v/>
      </c>
      <c r="N5474" s="2">
        <f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>
        <f>IF(OR(F5474="",G5474=""),"",IF(G5474&lt;='RETRATO 2027'!$K$5,"CONCLUÍDA",IF(F5474&lt;='RETRATO 2027'!$K$5,"EM ANDAMENTO","A INICIAR")))</f>
        <v/>
      </c>
    </row>
    <row r="5475">
      <c r="M5475" s="2">
        <f>IF(C5475="","",IFERROR(INDEX($S$5:$S$304,MATCH(C5475,$R$5:$R$304,0))&amp;"","?"))</f>
        <v/>
      </c>
      <c r="N5475" s="2">
        <f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>
        <f>IF(OR(F5475="",G5475=""),"",IF(G5475&lt;='RETRATO 2027'!$K$5,"CONCLUÍDA",IF(F5475&lt;='RETRATO 2027'!$K$5,"EM ANDAMENTO","A INICIAR")))</f>
        <v/>
      </c>
    </row>
    <row r="5476">
      <c r="M5476" s="2">
        <f>IF(C5476="","",IFERROR(INDEX($S$5:$S$304,MATCH(C5476,$R$5:$R$304,0))&amp;"","?"))</f>
        <v/>
      </c>
      <c r="N5476" s="2">
        <f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>
        <f>IF(OR(F5476="",G5476=""),"",IF(G5476&lt;='RETRATO 2027'!$K$5,"CONCLUÍDA",IF(F5476&lt;='RETRATO 2027'!$K$5,"EM ANDAMENTO","A INICIAR")))</f>
        <v/>
      </c>
    </row>
    <row r="5477">
      <c r="M5477" s="2">
        <f>IF(C5477="","",IFERROR(INDEX($S$5:$S$304,MATCH(C5477,$R$5:$R$304,0))&amp;"","?"))</f>
        <v/>
      </c>
      <c r="N5477" s="2">
        <f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>
        <f>IF(OR(F5477="",G5477=""),"",IF(G5477&lt;='RETRATO 2027'!$K$5,"CONCLUÍDA",IF(F5477&lt;='RETRATO 2027'!$K$5,"EM ANDAMENTO","A INICIAR")))</f>
        <v/>
      </c>
    </row>
    <row r="5478">
      <c r="M5478" s="2">
        <f>IF(C5478="","",IFERROR(INDEX($S$5:$S$304,MATCH(C5478,$R$5:$R$304,0))&amp;"","?"))</f>
        <v/>
      </c>
      <c r="N5478" s="2">
        <f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>
        <f>IF(OR(F5478="",G5478=""),"",IF(G5478&lt;='RETRATO 2027'!$K$5,"CONCLUÍDA",IF(F5478&lt;='RETRATO 2027'!$K$5,"EM ANDAMENTO","A INICIAR")))</f>
        <v/>
      </c>
    </row>
    <row r="5479">
      <c r="M5479" s="2">
        <f>IF(C5479="","",IFERROR(INDEX($S$5:$S$304,MATCH(C5479,$R$5:$R$304,0))&amp;"","?"))</f>
        <v/>
      </c>
      <c r="N5479" s="2">
        <f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>
        <f>IF(OR(F5479="",G5479=""),"",IF(G5479&lt;='RETRATO 2027'!$K$5,"CONCLUÍDA",IF(F5479&lt;='RETRATO 2027'!$K$5,"EM ANDAMENTO","A INICIAR")))</f>
        <v/>
      </c>
    </row>
    <row r="5480">
      <c r="M5480" s="2">
        <f>IF(C5480="","",IFERROR(INDEX($S$5:$S$304,MATCH(C5480,$R$5:$R$304,0))&amp;"","?"))</f>
        <v/>
      </c>
      <c r="N5480" s="2">
        <f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>
        <f>IF(OR(F5480="",G5480=""),"",IF(G5480&lt;='RETRATO 2027'!$K$5,"CONCLUÍDA",IF(F5480&lt;='RETRATO 2027'!$K$5,"EM ANDAMENTO","A INICIAR")))</f>
        <v/>
      </c>
    </row>
    <row r="5481">
      <c r="M5481" s="2">
        <f>IF(C5481="","",IFERROR(INDEX($S$5:$S$304,MATCH(C5481,$R$5:$R$304,0))&amp;"","?"))</f>
        <v/>
      </c>
      <c r="N5481" s="2">
        <f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>
        <f>IF(OR(F5481="",G5481=""),"",IF(G5481&lt;='RETRATO 2027'!$K$5,"CONCLUÍDA",IF(F5481&lt;='RETRATO 2027'!$K$5,"EM ANDAMENTO","A INICIAR")))</f>
        <v/>
      </c>
    </row>
    <row r="5482">
      <c r="M5482" s="2">
        <f>IF(C5482="","",IFERROR(INDEX($S$5:$S$304,MATCH(C5482,$R$5:$R$304,0))&amp;"","?"))</f>
        <v/>
      </c>
      <c r="N5482" s="2">
        <f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>
        <f>IF(OR(F5482="",G5482=""),"",IF(G5482&lt;='RETRATO 2027'!$K$5,"CONCLUÍDA",IF(F5482&lt;='RETRATO 2027'!$K$5,"EM ANDAMENTO","A INICIAR")))</f>
        <v/>
      </c>
    </row>
    <row r="5483">
      <c r="M5483" s="2">
        <f>IF(C5483="","",IFERROR(INDEX($S$5:$S$304,MATCH(C5483,$R$5:$R$304,0))&amp;"","?"))</f>
        <v/>
      </c>
      <c r="N5483" s="2">
        <f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>
        <f>IF(OR(F5483="",G5483=""),"",IF(G5483&lt;='RETRATO 2027'!$K$5,"CONCLUÍDA",IF(F5483&lt;='RETRATO 2027'!$K$5,"EM ANDAMENTO","A INICIAR")))</f>
        <v/>
      </c>
    </row>
    <row r="5484">
      <c r="M5484" s="2">
        <f>IF(C5484="","",IFERROR(INDEX($S$5:$S$304,MATCH(C5484,$R$5:$R$304,0))&amp;"","?"))</f>
        <v/>
      </c>
      <c r="N5484" s="2">
        <f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>
        <f>IF(OR(F5484="",G5484=""),"",IF(G5484&lt;='RETRATO 2027'!$K$5,"CONCLUÍDA",IF(F5484&lt;='RETRATO 2027'!$K$5,"EM ANDAMENTO","A INICIAR")))</f>
        <v/>
      </c>
    </row>
    <row r="5485">
      <c r="M5485" s="2">
        <f>IF(C5485="","",IFERROR(INDEX($S$5:$S$304,MATCH(C5485,$R$5:$R$304,0))&amp;"","?"))</f>
        <v/>
      </c>
      <c r="N5485" s="2">
        <f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>
        <f>IF(OR(F5485="",G5485=""),"",IF(G5485&lt;='RETRATO 2027'!$K$5,"CONCLUÍDA",IF(F5485&lt;='RETRATO 2027'!$K$5,"EM ANDAMENTO","A INICIAR")))</f>
        <v/>
      </c>
    </row>
    <row r="5486">
      <c r="M5486" s="2">
        <f>IF(C5486="","",IFERROR(INDEX($S$5:$S$304,MATCH(C5486,$R$5:$R$304,0))&amp;"","?"))</f>
        <v/>
      </c>
      <c r="N5486" s="2">
        <f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>
        <f>IF(OR(F5486="",G5486=""),"",IF(G5486&lt;='RETRATO 2027'!$K$5,"CONCLUÍDA",IF(F5486&lt;='RETRATO 2027'!$K$5,"EM ANDAMENTO","A INICIAR")))</f>
        <v/>
      </c>
    </row>
    <row r="5487">
      <c r="M5487" s="2">
        <f>IF(C5487="","",IFERROR(INDEX($S$5:$S$304,MATCH(C5487,$R$5:$R$304,0))&amp;"","?"))</f>
        <v/>
      </c>
      <c r="N5487" s="2">
        <f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>
        <f>IF(OR(F5487="",G5487=""),"",IF(G5487&lt;='RETRATO 2027'!$K$5,"CONCLUÍDA",IF(F5487&lt;='RETRATO 2027'!$K$5,"EM ANDAMENTO","A INICIAR")))</f>
        <v/>
      </c>
    </row>
    <row r="5488">
      <c r="M5488" s="2">
        <f>IF(C5488="","",IFERROR(INDEX($S$5:$S$304,MATCH(C5488,$R$5:$R$304,0))&amp;"","?"))</f>
        <v/>
      </c>
      <c r="N5488" s="2">
        <f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>
        <f>IF(OR(F5488="",G5488=""),"",IF(G5488&lt;='RETRATO 2027'!$K$5,"CONCLUÍDA",IF(F5488&lt;='RETRATO 2027'!$K$5,"EM ANDAMENTO","A INICIAR")))</f>
        <v/>
      </c>
    </row>
    <row r="5489">
      <c r="M5489" s="2">
        <f>IF(C5489="","",IFERROR(INDEX($S$5:$S$304,MATCH(C5489,$R$5:$R$304,0))&amp;"","?"))</f>
        <v/>
      </c>
      <c r="N5489" s="2">
        <f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>
        <f>IF(OR(F5489="",G5489=""),"",IF(G5489&lt;='RETRATO 2027'!$K$5,"CONCLUÍDA",IF(F5489&lt;='RETRATO 2027'!$K$5,"EM ANDAMENTO","A INICIAR")))</f>
        <v/>
      </c>
    </row>
    <row r="5490">
      <c r="M5490" s="2">
        <f>IF(C5490="","",IFERROR(INDEX($S$5:$S$304,MATCH(C5490,$R$5:$R$304,0))&amp;"","?"))</f>
        <v/>
      </c>
      <c r="N5490" s="2">
        <f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>
        <f>IF(OR(F5490="",G5490=""),"",IF(G5490&lt;='RETRATO 2027'!$K$5,"CONCLUÍDA",IF(F5490&lt;='RETRATO 2027'!$K$5,"EM ANDAMENTO","A INICIAR")))</f>
        <v/>
      </c>
    </row>
    <row r="5491">
      <c r="M5491" s="2">
        <f>IF(C5491="","",IFERROR(INDEX($S$5:$S$304,MATCH(C5491,$R$5:$R$304,0))&amp;"","?"))</f>
        <v/>
      </c>
      <c r="N5491" s="2">
        <f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>
        <f>IF(OR(F5491="",G5491=""),"",IF(G5491&lt;='RETRATO 2027'!$K$5,"CONCLUÍDA",IF(F5491&lt;='RETRATO 2027'!$K$5,"EM ANDAMENTO","A INICIAR")))</f>
        <v/>
      </c>
    </row>
    <row r="5492">
      <c r="M5492" s="2">
        <f>IF(C5492="","",IFERROR(INDEX($S$5:$S$304,MATCH(C5492,$R$5:$R$304,0))&amp;"","?"))</f>
        <v/>
      </c>
      <c r="N5492" s="2">
        <f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>
        <f>IF(OR(F5492="",G5492=""),"",IF(G5492&lt;='RETRATO 2027'!$K$5,"CONCLUÍDA",IF(F5492&lt;='RETRATO 2027'!$K$5,"EM ANDAMENTO","A INICIAR")))</f>
        <v/>
      </c>
    </row>
    <row r="5493">
      <c r="M5493" s="2">
        <f>IF(C5493="","",IFERROR(INDEX($S$5:$S$304,MATCH(C5493,$R$5:$R$304,0))&amp;"","?"))</f>
        <v/>
      </c>
      <c r="N5493" s="2">
        <f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>
        <f>IF(OR(F5493="",G5493=""),"",IF(G5493&lt;='RETRATO 2027'!$K$5,"CONCLUÍDA",IF(F5493&lt;='RETRATO 2027'!$K$5,"EM ANDAMENTO","A INICIAR")))</f>
        <v/>
      </c>
    </row>
    <row r="5494">
      <c r="M5494" s="2">
        <f>IF(C5494="","",IFERROR(INDEX($S$5:$S$304,MATCH(C5494,$R$5:$R$304,0))&amp;"","?"))</f>
        <v/>
      </c>
      <c r="N5494" s="2">
        <f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>
        <f>IF(OR(F5494="",G5494=""),"",IF(G5494&lt;='RETRATO 2027'!$K$5,"CONCLUÍDA",IF(F5494&lt;='RETRATO 2027'!$K$5,"EM ANDAMENTO","A INICIAR")))</f>
        <v/>
      </c>
    </row>
    <row r="5495">
      <c r="M5495" s="2">
        <f>IF(C5495="","",IFERROR(INDEX($S$5:$S$304,MATCH(C5495,$R$5:$R$304,0))&amp;"","?"))</f>
        <v/>
      </c>
      <c r="N5495" s="2">
        <f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>
        <f>IF(OR(F5495="",G5495=""),"",IF(G5495&lt;='RETRATO 2027'!$K$5,"CONCLUÍDA",IF(F5495&lt;='RETRATO 2027'!$K$5,"EM ANDAMENTO","A INICIAR")))</f>
        <v/>
      </c>
    </row>
    <row r="5496">
      <c r="M5496" s="2">
        <f>IF(C5496="","",IFERROR(INDEX($S$5:$S$304,MATCH(C5496,$R$5:$R$304,0))&amp;"","?"))</f>
        <v/>
      </c>
      <c r="N5496" s="2">
        <f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>
        <f>IF(OR(F5496="",G5496=""),"",IF(G5496&lt;='RETRATO 2027'!$K$5,"CONCLUÍDA",IF(F5496&lt;='RETRATO 2027'!$K$5,"EM ANDAMENTO","A INICIAR")))</f>
        <v/>
      </c>
    </row>
    <row r="5497">
      <c r="M5497" s="2">
        <f>IF(C5497="","",IFERROR(INDEX($S$5:$S$304,MATCH(C5497,$R$5:$R$304,0))&amp;"","?"))</f>
        <v/>
      </c>
      <c r="N5497" s="2">
        <f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>
        <f>IF(OR(F5497="",G5497=""),"",IF(G5497&lt;='RETRATO 2027'!$K$5,"CONCLUÍDA",IF(F5497&lt;='RETRATO 2027'!$K$5,"EM ANDAMENTO","A INICIAR")))</f>
        <v/>
      </c>
    </row>
    <row r="5498">
      <c r="M5498" s="2">
        <f>IF(C5498="","",IFERROR(INDEX($S$5:$S$304,MATCH(C5498,$R$5:$R$304,0))&amp;"","?"))</f>
        <v/>
      </c>
      <c r="N5498" s="2">
        <f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>
        <f>IF(OR(F5498="",G5498=""),"",IF(G5498&lt;='RETRATO 2027'!$K$5,"CONCLUÍDA",IF(F5498&lt;='RETRATO 2027'!$K$5,"EM ANDAMENTO","A INICIAR")))</f>
        <v/>
      </c>
    </row>
    <row r="5499">
      <c r="M5499" s="2">
        <f>IF(C5499="","",IFERROR(INDEX($S$5:$S$304,MATCH(C5499,$R$5:$R$304,0))&amp;"","?"))</f>
        <v/>
      </c>
      <c r="N5499" s="2">
        <f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>
        <f>IF(OR(F5499="",G5499=""),"",IF(G5499&lt;='RETRATO 2027'!$K$5,"CONCLUÍDA",IF(F5499&lt;='RETRATO 2027'!$K$5,"EM ANDAMENTO","A INICIAR")))</f>
        <v/>
      </c>
    </row>
    <row r="5500">
      <c r="M5500" s="2">
        <f>IF(C5500="","",IFERROR(INDEX($S$5:$S$304,MATCH(C5500,$R$5:$R$304,0))&amp;"","?"))</f>
        <v/>
      </c>
      <c r="N5500" s="2">
        <f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>
        <f>IF(OR(F5500="",G5500=""),"",IF(G5500&lt;='RETRATO 2027'!$K$5,"CONCLUÍDA",IF(F5500&lt;='RETRATO 2027'!$K$5,"EM ANDAMENTO","A INICIAR")))</f>
        <v/>
      </c>
    </row>
    <row r="5501">
      <c r="M5501" s="2">
        <f>IF(C5501="","",IFERROR(INDEX($S$5:$S$304,MATCH(C5501,$R$5:$R$304,0))&amp;"","?"))</f>
        <v/>
      </c>
      <c r="N5501" s="2">
        <f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>
        <f>IF(OR(F5501="",G5501=""),"",IF(G5501&lt;='RETRATO 2027'!$K$5,"CONCLUÍDA",IF(F5501&lt;='RETRATO 2027'!$K$5,"EM ANDAMENTO","A INICIAR")))</f>
        <v/>
      </c>
    </row>
    <row r="5502">
      <c r="M5502" s="2">
        <f>IF(C5502="","",IFERROR(INDEX($S$5:$S$304,MATCH(C5502,$R$5:$R$304,0))&amp;"","?"))</f>
        <v/>
      </c>
      <c r="N5502" s="2">
        <f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>
        <f>IF(OR(F5502="",G5502=""),"",IF(G5502&lt;='RETRATO 2027'!$K$5,"CONCLUÍDA",IF(F5502&lt;='RETRATO 2027'!$K$5,"EM ANDAMENTO","A INICIAR")))</f>
        <v/>
      </c>
    </row>
    <row r="5503">
      <c r="M5503" s="2">
        <f>IF(C5503="","",IFERROR(INDEX($S$5:$S$304,MATCH(C5503,$R$5:$R$304,0))&amp;"","?"))</f>
        <v/>
      </c>
      <c r="N5503" s="2">
        <f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>
        <f>IF(OR(F5503="",G5503=""),"",IF(G5503&lt;='RETRATO 2027'!$K$5,"CONCLUÍDA",IF(F5503&lt;='RETRATO 2027'!$K$5,"EM ANDAMENTO","A INICIAR")))</f>
        <v/>
      </c>
    </row>
    <row r="5504">
      <c r="M5504" s="2">
        <f>IF(C5504="","",IFERROR(INDEX($S$5:$S$304,MATCH(C5504,$R$5:$R$304,0))&amp;"","?"))</f>
        <v/>
      </c>
      <c r="N5504" s="2">
        <f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>
        <f>IF(OR(F5504="",G5504=""),"",IF(G5504&lt;='RETRATO 2027'!$K$5,"CONCLUÍDA",IF(F5504&lt;='RETRATO 2027'!$K$5,"EM ANDAMENTO","A INICIAR")))</f>
        <v/>
      </c>
    </row>
    <row r="5505">
      <c r="M5505" s="2">
        <f>IF(C5505="","",IFERROR(INDEX($S$5:$S$304,MATCH(C5505,$R$5:$R$304,0))&amp;"","?"))</f>
        <v/>
      </c>
      <c r="N5505" s="2">
        <f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>
        <f>IF(OR(F5505="",G5505=""),"",IF(G5505&lt;='RETRATO 2027'!$K$5,"CONCLUÍDA",IF(F5505&lt;='RETRATO 2027'!$K$5,"EM ANDAMENTO","A INICIAR")))</f>
        <v/>
      </c>
    </row>
    <row r="5506">
      <c r="M5506" s="2">
        <f>IF(C5506="","",IFERROR(INDEX($S$5:$S$304,MATCH(C5506,$R$5:$R$304,0))&amp;"","?"))</f>
        <v/>
      </c>
      <c r="N5506" s="2">
        <f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>
        <f>IF(OR(F5506="",G5506=""),"",IF(G5506&lt;='RETRATO 2027'!$K$5,"CONCLUÍDA",IF(F5506&lt;='RETRATO 2027'!$K$5,"EM ANDAMENTO","A INICIAR")))</f>
        <v/>
      </c>
    </row>
    <row r="5507">
      <c r="M5507" s="2">
        <f>IF(C5507="","",IFERROR(INDEX($S$5:$S$304,MATCH(C5507,$R$5:$R$304,0))&amp;"","?"))</f>
        <v/>
      </c>
      <c r="N5507" s="2">
        <f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>
        <f>IF(OR(F5507="",G5507=""),"",IF(G5507&lt;='RETRATO 2027'!$K$5,"CONCLUÍDA",IF(F5507&lt;='RETRATO 2027'!$K$5,"EM ANDAMENTO","A INICIAR")))</f>
        <v/>
      </c>
    </row>
    <row r="5508">
      <c r="M5508" s="2">
        <f>IF(C5508="","",IFERROR(INDEX($S$5:$S$304,MATCH(C5508,$R$5:$R$304,0))&amp;"","?"))</f>
        <v/>
      </c>
      <c r="N5508" s="2">
        <f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>
        <f>IF(OR(F5508="",G5508=""),"",IF(G5508&lt;='RETRATO 2027'!$K$5,"CONCLUÍDA",IF(F5508&lt;='RETRATO 2027'!$K$5,"EM ANDAMENTO","A INICIAR")))</f>
        <v/>
      </c>
    </row>
    <row r="5509">
      <c r="M5509" s="2">
        <f>IF(C5509="","",IFERROR(INDEX($S$5:$S$304,MATCH(C5509,$R$5:$R$304,0))&amp;"","?"))</f>
        <v/>
      </c>
      <c r="N5509" s="2">
        <f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>
        <f>IF(OR(F5509="",G5509=""),"",IF(G5509&lt;='RETRATO 2027'!$K$5,"CONCLUÍDA",IF(F5509&lt;='RETRATO 2027'!$K$5,"EM ANDAMENTO","A INICIAR")))</f>
        <v/>
      </c>
    </row>
    <row r="5510">
      <c r="M5510" s="2">
        <f>IF(C5510="","",IFERROR(INDEX($S$5:$S$304,MATCH(C5510,$R$5:$R$304,0))&amp;"","?"))</f>
        <v/>
      </c>
      <c r="N5510" s="2">
        <f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>
        <f>IF(OR(F5510="",G5510=""),"",IF(G5510&lt;='RETRATO 2027'!$K$5,"CONCLUÍDA",IF(F5510&lt;='RETRATO 2027'!$K$5,"EM ANDAMENTO","A INICIAR")))</f>
        <v/>
      </c>
    </row>
    <row r="5511">
      <c r="M5511" s="2">
        <f>IF(C5511="","",IFERROR(INDEX($S$5:$S$304,MATCH(C5511,$R$5:$R$304,0))&amp;"","?"))</f>
        <v/>
      </c>
      <c r="N5511" s="2">
        <f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>
        <f>IF(OR(F5511="",G5511=""),"",IF(G5511&lt;='RETRATO 2027'!$K$5,"CONCLUÍDA",IF(F5511&lt;='RETRATO 2027'!$K$5,"EM ANDAMENTO","A INICIAR")))</f>
        <v/>
      </c>
    </row>
    <row r="5512">
      <c r="M5512" s="2">
        <f>IF(C5512="","",IFERROR(INDEX($S$5:$S$304,MATCH(C5512,$R$5:$R$304,0))&amp;"","?"))</f>
        <v/>
      </c>
      <c r="N5512" s="2">
        <f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>
        <f>IF(OR(F5512="",G5512=""),"",IF(G5512&lt;='RETRATO 2027'!$K$5,"CONCLUÍDA",IF(F5512&lt;='RETRATO 2027'!$K$5,"EM ANDAMENTO","A INICIAR")))</f>
        <v/>
      </c>
    </row>
    <row r="5513">
      <c r="M5513" s="2">
        <f>IF(C5513="","",IFERROR(INDEX($S$5:$S$304,MATCH(C5513,$R$5:$R$304,0))&amp;"","?"))</f>
        <v/>
      </c>
      <c r="N5513" s="2">
        <f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>
        <f>IF(OR(F5513="",G5513=""),"",IF(G5513&lt;='RETRATO 2027'!$K$5,"CONCLUÍDA",IF(F5513&lt;='RETRATO 2027'!$K$5,"EM ANDAMENTO","A INICIAR")))</f>
        <v/>
      </c>
    </row>
    <row r="5514">
      <c r="M5514" s="2">
        <f>IF(C5514="","",IFERROR(INDEX($S$5:$S$304,MATCH(C5514,$R$5:$R$304,0))&amp;"","?"))</f>
        <v/>
      </c>
      <c r="N5514" s="2">
        <f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>
        <f>IF(OR(F5514="",G5514=""),"",IF(G5514&lt;='RETRATO 2027'!$K$5,"CONCLUÍDA",IF(F5514&lt;='RETRATO 2027'!$K$5,"EM ANDAMENTO","A INICIAR")))</f>
        <v/>
      </c>
    </row>
    <row r="5515">
      <c r="M5515" s="2">
        <f>IF(C5515="","",IFERROR(INDEX($S$5:$S$304,MATCH(C5515,$R$5:$R$304,0))&amp;"","?"))</f>
        <v/>
      </c>
      <c r="N5515" s="2">
        <f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>
        <f>IF(OR(F5515="",G5515=""),"",IF(G5515&lt;='RETRATO 2027'!$K$5,"CONCLUÍDA",IF(F5515&lt;='RETRATO 2027'!$K$5,"EM ANDAMENTO","A INICIAR")))</f>
        <v/>
      </c>
    </row>
    <row r="5516">
      <c r="M5516" s="2">
        <f>IF(C5516="","",IFERROR(INDEX($S$5:$S$304,MATCH(C5516,$R$5:$R$304,0))&amp;"","?"))</f>
        <v/>
      </c>
      <c r="N5516" s="2">
        <f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>
        <f>IF(OR(F5516="",G5516=""),"",IF(G5516&lt;='RETRATO 2027'!$K$5,"CONCLUÍDA",IF(F5516&lt;='RETRATO 2027'!$K$5,"EM ANDAMENTO","A INICIAR")))</f>
        <v/>
      </c>
    </row>
    <row r="5517">
      <c r="M5517" s="2">
        <f>IF(C5517="","",IFERROR(INDEX($S$5:$S$304,MATCH(C5517,$R$5:$R$304,0))&amp;"","?"))</f>
        <v/>
      </c>
      <c r="N5517" s="2">
        <f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>
        <f>IF(OR(F5517="",G5517=""),"",IF(G5517&lt;='RETRATO 2027'!$K$5,"CONCLUÍDA",IF(F5517&lt;='RETRATO 2027'!$K$5,"EM ANDAMENTO","A INICIAR")))</f>
        <v/>
      </c>
    </row>
    <row r="5518">
      <c r="M5518" s="2">
        <f>IF(C5518="","",IFERROR(INDEX($S$5:$S$304,MATCH(C5518,$R$5:$R$304,0))&amp;"","?"))</f>
        <v/>
      </c>
      <c r="N5518" s="2">
        <f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>
        <f>IF(OR(F5518="",G5518=""),"",IF(G5518&lt;='RETRATO 2027'!$K$5,"CONCLUÍDA",IF(F5518&lt;='RETRATO 2027'!$K$5,"EM ANDAMENTO","A INICIAR")))</f>
        <v/>
      </c>
    </row>
    <row r="5519">
      <c r="M5519" s="2">
        <f>IF(C5519="","",IFERROR(INDEX($S$5:$S$304,MATCH(C5519,$R$5:$R$304,0))&amp;"","?"))</f>
        <v/>
      </c>
      <c r="N5519" s="2">
        <f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>
        <f>IF(OR(F5519="",G5519=""),"",IF(G5519&lt;='RETRATO 2027'!$K$5,"CONCLUÍDA",IF(F5519&lt;='RETRATO 2027'!$K$5,"EM ANDAMENTO","A INICIAR")))</f>
        <v/>
      </c>
    </row>
    <row r="5520">
      <c r="M5520" s="2">
        <f>IF(C5520="","",IFERROR(INDEX($S$5:$S$304,MATCH(C5520,$R$5:$R$304,0))&amp;"","?"))</f>
        <v/>
      </c>
      <c r="N5520" s="2">
        <f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>
        <f>IF(OR(F5520="",G5520=""),"",IF(G5520&lt;='RETRATO 2027'!$K$5,"CONCLUÍDA",IF(F5520&lt;='RETRATO 2027'!$K$5,"EM ANDAMENTO","A INICIAR")))</f>
        <v/>
      </c>
    </row>
    <row r="5521">
      <c r="M5521" s="2">
        <f>IF(C5521="","",IFERROR(INDEX($S$5:$S$304,MATCH(C5521,$R$5:$R$304,0))&amp;"","?"))</f>
        <v/>
      </c>
      <c r="N5521" s="2">
        <f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>
        <f>IF(OR(F5521="",G5521=""),"",IF(G5521&lt;='RETRATO 2027'!$K$5,"CONCLUÍDA",IF(F5521&lt;='RETRATO 2027'!$K$5,"EM ANDAMENTO","A INICIAR")))</f>
        <v/>
      </c>
    </row>
    <row r="5522">
      <c r="M5522" s="2">
        <f>IF(C5522="","",IFERROR(INDEX($S$5:$S$304,MATCH(C5522,$R$5:$R$304,0))&amp;"","?"))</f>
        <v/>
      </c>
      <c r="N5522" s="2">
        <f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>
        <f>IF(OR(F5522="",G5522=""),"",IF(G5522&lt;='RETRATO 2027'!$K$5,"CONCLUÍDA",IF(F5522&lt;='RETRATO 2027'!$K$5,"EM ANDAMENTO","A INICIAR")))</f>
        <v/>
      </c>
    </row>
    <row r="5523">
      <c r="M5523" s="2">
        <f>IF(C5523="","",IFERROR(INDEX($S$5:$S$304,MATCH(C5523,$R$5:$R$304,0))&amp;"","?"))</f>
        <v/>
      </c>
      <c r="N5523" s="2">
        <f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>
        <f>IF(OR(F5523="",G5523=""),"",IF(G5523&lt;='RETRATO 2027'!$K$5,"CONCLUÍDA",IF(F5523&lt;='RETRATO 2027'!$K$5,"EM ANDAMENTO","A INICIAR")))</f>
        <v/>
      </c>
    </row>
    <row r="5524">
      <c r="M5524" s="2">
        <f>IF(C5524="","",IFERROR(INDEX($S$5:$S$304,MATCH(C5524,$R$5:$R$304,0))&amp;"","?"))</f>
        <v/>
      </c>
      <c r="N5524" s="2">
        <f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>
        <f>IF(OR(F5524="",G5524=""),"",IF(G5524&lt;='RETRATO 2027'!$K$5,"CONCLUÍDA",IF(F5524&lt;='RETRATO 2027'!$K$5,"EM ANDAMENTO","A INICIAR")))</f>
        <v/>
      </c>
    </row>
    <row r="5525">
      <c r="M5525" s="2">
        <f>IF(C5525="","",IFERROR(INDEX($S$5:$S$304,MATCH(C5525,$R$5:$R$304,0))&amp;"","?"))</f>
        <v/>
      </c>
      <c r="N5525" s="2">
        <f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>
        <f>IF(OR(F5525="",G5525=""),"",IF(G5525&lt;='RETRATO 2027'!$K$5,"CONCLUÍDA",IF(F5525&lt;='RETRATO 2027'!$K$5,"EM ANDAMENTO","A INICIAR")))</f>
        <v/>
      </c>
    </row>
    <row r="5526">
      <c r="M5526" s="2">
        <f>IF(C5526="","",IFERROR(INDEX($S$5:$S$304,MATCH(C5526,$R$5:$R$304,0))&amp;"","?"))</f>
        <v/>
      </c>
      <c r="N5526" s="2">
        <f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>
        <f>IF(OR(F5526="",G5526=""),"",IF(G5526&lt;='RETRATO 2027'!$K$5,"CONCLUÍDA",IF(F5526&lt;='RETRATO 2027'!$K$5,"EM ANDAMENTO","A INICIAR")))</f>
        <v/>
      </c>
    </row>
    <row r="5527">
      <c r="M5527" s="2">
        <f>IF(C5527="","",IFERROR(INDEX($S$5:$S$304,MATCH(C5527,$R$5:$R$304,0))&amp;"","?"))</f>
        <v/>
      </c>
      <c r="N5527" s="2">
        <f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>
        <f>IF(OR(F5527="",G5527=""),"",IF(G5527&lt;='RETRATO 2027'!$K$5,"CONCLUÍDA",IF(F5527&lt;='RETRATO 2027'!$K$5,"EM ANDAMENTO","A INICIAR")))</f>
        <v/>
      </c>
    </row>
    <row r="5528">
      <c r="M5528" s="2">
        <f>IF(C5528="","",IFERROR(INDEX($S$5:$S$304,MATCH(C5528,$R$5:$R$304,0))&amp;"","?"))</f>
        <v/>
      </c>
      <c r="N5528" s="2">
        <f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>
        <f>IF(OR(F5528="",G5528=""),"",IF(G5528&lt;='RETRATO 2027'!$K$5,"CONCLUÍDA",IF(F5528&lt;='RETRATO 2027'!$K$5,"EM ANDAMENTO","A INICIAR")))</f>
        <v/>
      </c>
    </row>
    <row r="5529">
      <c r="M5529" s="2">
        <f>IF(C5529="","",IFERROR(INDEX($S$5:$S$304,MATCH(C5529,$R$5:$R$304,0))&amp;"","?"))</f>
        <v/>
      </c>
      <c r="N5529" s="2">
        <f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>
        <f>IF(OR(F5529="",G5529=""),"",IF(G5529&lt;='RETRATO 2027'!$K$5,"CONCLUÍDA",IF(F5529&lt;='RETRATO 2027'!$K$5,"EM ANDAMENTO","A INICIAR")))</f>
        <v/>
      </c>
    </row>
    <row r="5530">
      <c r="M5530" s="2">
        <f>IF(C5530="","",IFERROR(INDEX($S$5:$S$304,MATCH(C5530,$R$5:$R$304,0))&amp;"","?"))</f>
        <v/>
      </c>
      <c r="N5530" s="2">
        <f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>
        <f>IF(OR(F5530="",G5530=""),"",IF(G5530&lt;='RETRATO 2027'!$K$5,"CONCLUÍDA",IF(F5530&lt;='RETRATO 2027'!$K$5,"EM ANDAMENTO","A INICIAR")))</f>
        <v/>
      </c>
    </row>
    <row r="5531">
      <c r="M5531" s="2">
        <f>IF(C5531="","",IFERROR(INDEX($S$5:$S$304,MATCH(C5531,$R$5:$R$304,0))&amp;"","?"))</f>
        <v/>
      </c>
      <c r="N5531" s="2">
        <f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>
        <f>IF(OR(F5531="",G5531=""),"",IF(G5531&lt;='RETRATO 2027'!$K$5,"CONCLUÍDA",IF(F5531&lt;='RETRATO 2027'!$K$5,"EM ANDAMENTO","A INICIAR")))</f>
        <v/>
      </c>
    </row>
    <row r="5532">
      <c r="M5532" s="2">
        <f>IF(C5532="","",IFERROR(INDEX($S$5:$S$304,MATCH(C5532,$R$5:$R$304,0))&amp;"","?"))</f>
        <v/>
      </c>
      <c r="N5532" s="2">
        <f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>
        <f>IF(OR(F5532="",G5532=""),"",IF(G5532&lt;='RETRATO 2027'!$K$5,"CONCLUÍDA",IF(F5532&lt;='RETRATO 2027'!$K$5,"EM ANDAMENTO","A INICIAR")))</f>
        <v/>
      </c>
    </row>
    <row r="5533">
      <c r="M5533" s="2">
        <f>IF(C5533="","",IFERROR(INDEX($S$5:$S$304,MATCH(C5533,$R$5:$R$304,0))&amp;"","?"))</f>
        <v/>
      </c>
      <c r="N5533" s="2">
        <f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>
        <f>IF(OR(F5533="",G5533=""),"",IF(G5533&lt;='RETRATO 2027'!$K$5,"CONCLUÍDA",IF(F5533&lt;='RETRATO 2027'!$K$5,"EM ANDAMENTO","A INICIAR")))</f>
        <v/>
      </c>
    </row>
    <row r="5534">
      <c r="M5534" s="2">
        <f>IF(C5534="","",IFERROR(INDEX($S$5:$S$304,MATCH(C5534,$R$5:$R$304,0))&amp;"","?"))</f>
        <v/>
      </c>
      <c r="N5534" s="2">
        <f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>
        <f>IF(OR(F5534="",G5534=""),"",IF(G5534&lt;='RETRATO 2027'!$K$5,"CONCLUÍDA",IF(F5534&lt;='RETRATO 2027'!$K$5,"EM ANDAMENTO","A INICIAR")))</f>
        <v/>
      </c>
    </row>
    <row r="5535">
      <c r="M5535" s="2">
        <f>IF(C5535="","",IFERROR(INDEX($S$5:$S$304,MATCH(C5535,$R$5:$R$304,0))&amp;"","?"))</f>
        <v/>
      </c>
      <c r="N5535" s="2">
        <f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>
        <f>IF(OR(F5535="",G5535=""),"",IF(G5535&lt;='RETRATO 2027'!$K$5,"CONCLUÍDA",IF(F5535&lt;='RETRATO 2027'!$K$5,"EM ANDAMENTO","A INICIAR")))</f>
        <v/>
      </c>
    </row>
    <row r="5536">
      <c r="M5536" s="2">
        <f>IF(C5536="","",IFERROR(INDEX($S$5:$S$304,MATCH(C5536,$R$5:$R$304,0))&amp;"","?"))</f>
        <v/>
      </c>
      <c r="N5536" s="2">
        <f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>
        <f>IF(OR(F5536="",G5536=""),"",IF(G5536&lt;='RETRATO 2027'!$K$5,"CONCLUÍDA",IF(F5536&lt;='RETRATO 2027'!$K$5,"EM ANDAMENTO","A INICIAR")))</f>
        <v/>
      </c>
    </row>
    <row r="5537">
      <c r="M5537" s="2">
        <f>IF(C5537="","",IFERROR(INDEX($S$5:$S$304,MATCH(C5537,$R$5:$R$304,0))&amp;"","?"))</f>
        <v/>
      </c>
      <c r="N5537" s="2">
        <f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>
        <f>IF(OR(F5537="",G5537=""),"",IF(G5537&lt;='RETRATO 2027'!$K$5,"CONCLUÍDA",IF(F5537&lt;='RETRATO 2027'!$K$5,"EM ANDAMENTO","A INICIAR")))</f>
        <v/>
      </c>
    </row>
    <row r="5538">
      <c r="M5538" s="2">
        <f>IF(C5538="","",IFERROR(INDEX($S$5:$S$304,MATCH(C5538,$R$5:$R$304,0))&amp;"","?"))</f>
        <v/>
      </c>
      <c r="N5538" s="2">
        <f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>
        <f>IF(OR(F5538="",G5538=""),"",IF(G5538&lt;='RETRATO 2027'!$K$5,"CONCLUÍDA",IF(F5538&lt;='RETRATO 2027'!$K$5,"EM ANDAMENTO","A INICIAR")))</f>
        <v/>
      </c>
    </row>
    <row r="5539">
      <c r="M5539" s="2">
        <f>IF(C5539="","",IFERROR(INDEX($S$5:$S$304,MATCH(C5539,$R$5:$R$304,0))&amp;"","?"))</f>
        <v/>
      </c>
      <c r="N5539" s="2">
        <f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>
        <f>IF(OR(F5539="",G5539=""),"",IF(G5539&lt;='RETRATO 2027'!$K$5,"CONCLUÍDA",IF(F5539&lt;='RETRATO 2027'!$K$5,"EM ANDAMENTO","A INICIAR")))</f>
        <v/>
      </c>
    </row>
    <row r="5540">
      <c r="M5540" s="2">
        <f>IF(C5540="","",IFERROR(INDEX($S$5:$S$304,MATCH(C5540,$R$5:$R$304,0))&amp;"","?"))</f>
        <v/>
      </c>
      <c r="N5540" s="2">
        <f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>
        <f>IF(OR(F5540="",G5540=""),"",IF(G5540&lt;='RETRATO 2027'!$K$5,"CONCLUÍDA",IF(F5540&lt;='RETRATO 2027'!$K$5,"EM ANDAMENTO","A INICIAR")))</f>
        <v/>
      </c>
    </row>
    <row r="5541">
      <c r="M5541" s="2">
        <f>IF(C5541="","",IFERROR(INDEX($S$5:$S$304,MATCH(C5541,$R$5:$R$304,0))&amp;"","?"))</f>
        <v/>
      </c>
      <c r="N5541" s="2">
        <f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>
        <f>IF(OR(F5541="",G5541=""),"",IF(G5541&lt;='RETRATO 2027'!$K$5,"CONCLUÍDA",IF(F5541&lt;='RETRATO 2027'!$K$5,"EM ANDAMENTO","A INICIAR")))</f>
        <v/>
      </c>
    </row>
    <row r="5542">
      <c r="M5542" s="2">
        <f>IF(C5542="","",IFERROR(INDEX($S$5:$S$304,MATCH(C5542,$R$5:$R$304,0))&amp;"","?"))</f>
        <v/>
      </c>
      <c r="N5542" s="2">
        <f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>
        <f>IF(OR(F5542="",G5542=""),"",IF(G5542&lt;='RETRATO 2027'!$K$5,"CONCLUÍDA",IF(F5542&lt;='RETRATO 2027'!$K$5,"EM ANDAMENTO","A INICIAR")))</f>
        <v/>
      </c>
    </row>
    <row r="5543">
      <c r="M5543" s="2">
        <f>IF(C5543="","",IFERROR(INDEX($S$5:$S$304,MATCH(C5543,$R$5:$R$304,0))&amp;"","?"))</f>
        <v/>
      </c>
      <c r="N5543" s="2">
        <f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>
        <f>IF(OR(F5543="",G5543=""),"",IF(G5543&lt;='RETRATO 2027'!$K$5,"CONCLUÍDA",IF(F5543&lt;='RETRATO 2027'!$K$5,"EM ANDAMENTO","A INICIAR")))</f>
        <v/>
      </c>
    </row>
    <row r="5544">
      <c r="M5544" s="2">
        <f>IF(C5544="","",IFERROR(INDEX($S$5:$S$304,MATCH(C5544,$R$5:$R$304,0))&amp;"","?"))</f>
        <v/>
      </c>
      <c r="N5544" s="2">
        <f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>
        <f>IF(OR(F5544="",G5544=""),"",IF(G5544&lt;='RETRATO 2027'!$K$5,"CONCLUÍDA",IF(F5544&lt;='RETRATO 2027'!$K$5,"EM ANDAMENTO","A INICIAR")))</f>
        <v/>
      </c>
    </row>
    <row r="5545">
      <c r="M5545" s="2">
        <f>IF(C5545="","",IFERROR(INDEX($S$5:$S$304,MATCH(C5545,$R$5:$R$304,0))&amp;"","?"))</f>
        <v/>
      </c>
      <c r="N5545" s="2">
        <f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>
        <f>IF(OR(F5545="",G5545=""),"",IF(G5545&lt;='RETRATO 2027'!$K$5,"CONCLUÍDA",IF(F5545&lt;='RETRATO 2027'!$K$5,"EM ANDAMENTO","A INICIAR")))</f>
        <v/>
      </c>
    </row>
    <row r="5546">
      <c r="M5546" s="2">
        <f>IF(C5546="","",IFERROR(INDEX($S$5:$S$304,MATCH(C5546,$R$5:$R$304,0))&amp;"","?"))</f>
        <v/>
      </c>
      <c r="N5546" s="2">
        <f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>
        <f>IF(OR(F5546="",G5546=""),"",IF(G5546&lt;='RETRATO 2027'!$K$5,"CONCLUÍDA",IF(F5546&lt;='RETRATO 2027'!$K$5,"EM ANDAMENTO","A INICIAR")))</f>
        <v/>
      </c>
    </row>
    <row r="5547">
      <c r="M5547" s="2">
        <f>IF(C5547="","",IFERROR(INDEX($S$5:$S$304,MATCH(C5547,$R$5:$R$304,0))&amp;"","?"))</f>
        <v/>
      </c>
      <c r="N5547" s="2">
        <f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>
        <f>IF(OR(F5547="",G5547=""),"",IF(G5547&lt;='RETRATO 2027'!$K$5,"CONCLUÍDA",IF(F5547&lt;='RETRATO 2027'!$K$5,"EM ANDAMENTO","A INICIAR")))</f>
        <v/>
      </c>
    </row>
    <row r="5548">
      <c r="M5548" s="2">
        <f>IF(C5548="","",IFERROR(INDEX($S$5:$S$304,MATCH(C5548,$R$5:$R$304,0))&amp;"","?"))</f>
        <v/>
      </c>
      <c r="N5548" s="2">
        <f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>
        <f>IF(OR(F5548="",G5548=""),"",IF(G5548&lt;='RETRATO 2027'!$K$5,"CONCLUÍDA",IF(F5548&lt;='RETRATO 2027'!$K$5,"EM ANDAMENTO","A INICIAR")))</f>
        <v/>
      </c>
    </row>
    <row r="5549">
      <c r="M5549" s="2">
        <f>IF(C5549="","",IFERROR(INDEX($S$5:$S$304,MATCH(C5549,$R$5:$R$304,0))&amp;"","?"))</f>
        <v/>
      </c>
      <c r="N5549" s="2">
        <f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>
        <f>IF(OR(F5549="",G5549=""),"",IF(G5549&lt;='RETRATO 2027'!$K$5,"CONCLUÍDA",IF(F5549&lt;='RETRATO 2027'!$K$5,"EM ANDAMENTO","A INICIAR")))</f>
        <v/>
      </c>
    </row>
    <row r="5550">
      <c r="M5550" s="2">
        <f>IF(C5550="","",IFERROR(INDEX($S$5:$S$304,MATCH(C5550,$R$5:$R$304,0))&amp;"","?"))</f>
        <v/>
      </c>
      <c r="N5550" s="2">
        <f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>
        <f>IF(OR(F5550="",G5550=""),"",IF(G5550&lt;='RETRATO 2027'!$K$5,"CONCLUÍDA",IF(F5550&lt;='RETRATO 2027'!$K$5,"EM ANDAMENTO","A INICIAR")))</f>
        <v/>
      </c>
    </row>
    <row r="5551">
      <c r="M5551" s="2">
        <f>IF(C5551="","",IFERROR(INDEX($S$5:$S$304,MATCH(C5551,$R$5:$R$304,0))&amp;"","?"))</f>
        <v/>
      </c>
      <c r="N5551" s="2">
        <f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>
        <f>IF(OR(F5551="",G5551=""),"",IF(G5551&lt;='RETRATO 2027'!$K$5,"CONCLUÍDA",IF(F5551&lt;='RETRATO 2027'!$K$5,"EM ANDAMENTO","A INICIAR")))</f>
        <v/>
      </c>
    </row>
    <row r="5552">
      <c r="M5552" s="2">
        <f>IF(C5552="","",IFERROR(INDEX($S$5:$S$304,MATCH(C5552,$R$5:$R$304,0))&amp;"","?"))</f>
        <v/>
      </c>
      <c r="N5552" s="2">
        <f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>
        <f>IF(OR(F5552="",G5552=""),"",IF(G5552&lt;='RETRATO 2027'!$K$5,"CONCLUÍDA",IF(F5552&lt;='RETRATO 2027'!$K$5,"EM ANDAMENTO","A INICIAR")))</f>
        <v/>
      </c>
    </row>
    <row r="5553">
      <c r="M5553" s="2">
        <f>IF(C5553="","",IFERROR(INDEX($S$5:$S$304,MATCH(C5553,$R$5:$R$304,0))&amp;"","?"))</f>
        <v/>
      </c>
      <c r="N5553" s="2">
        <f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>
        <f>IF(OR(F5553="",G5553=""),"",IF(G5553&lt;='RETRATO 2027'!$K$5,"CONCLUÍDA",IF(F5553&lt;='RETRATO 2027'!$K$5,"EM ANDAMENTO","A INICIAR")))</f>
        <v/>
      </c>
    </row>
    <row r="5554">
      <c r="M5554" s="2">
        <f>IF(C5554="","",IFERROR(INDEX($S$5:$S$304,MATCH(C5554,$R$5:$R$304,0))&amp;"","?"))</f>
        <v/>
      </c>
      <c r="N5554" s="2">
        <f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>
        <f>IF(OR(F5554="",G5554=""),"",IF(G5554&lt;='RETRATO 2027'!$K$5,"CONCLUÍDA",IF(F5554&lt;='RETRATO 2027'!$K$5,"EM ANDAMENTO","A INICIAR")))</f>
        <v/>
      </c>
    </row>
    <row r="5555">
      <c r="M5555" s="2">
        <f>IF(C5555="","",IFERROR(INDEX($S$5:$S$304,MATCH(C5555,$R$5:$R$304,0))&amp;"","?"))</f>
        <v/>
      </c>
      <c r="N5555" s="2">
        <f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>
        <f>IF(OR(F5555="",G5555=""),"",IF(G5555&lt;='RETRATO 2027'!$K$5,"CONCLUÍDA",IF(F5555&lt;='RETRATO 2027'!$K$5,"EM ANDAMENTO","A INICIAR")))</f>
        <v/>
      </c>
    </row>
    <row r="5556">
      <c r="M5556" s="2">
        <f>IF(C5556="","",IFERROR(INDEX($S$5:$S$304,MATCH(C5556,$R$5:$R$304,0))&amp;"","?"))</f>
        <v/>
      </c>
      <c r="N5556" s="2">
        <f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>
        <f>IF(OR(F5556="",G5556=""),"",IF(G5556&lt;='RETRATO 2027'!$K$5,"CONCLUÍDA",IF(F5556&lt;='RETRATO 2027'!$K$5,"EM ANDAMENTO","A INICIAR")))</f>
        <v/>
      </c>
    </row>
    <row r="5557">
      <c r="M5557" s="2">
        <f>IF(C5557="","",IFERROR(INDEX($S$5:$S$304,MATCH(C5557,$R$5:$R$304,0))&amp;"","?"))</f>
        <v/>
      </c>
      <c r="N5557" s="2">
        <f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>
        <f>IF(OR(F5557="",G5557=""),"",IF(G5557&lt;='RETRATO 2027'!$K$5,"CONCLUÍDA",IF(F5557&lt;='RETRATO 2027'!$K$5,"EM ANDAMENTO","A INICIAR")))</f>
        <v/>
      </c>
    </row>
    <row r="5558">
      <c r="M5558" s="2">
        <f>IF(C5558="","",IFERROR(INDEX($S$5:$S$304,MATCH(C5558,$R$5:$R$304,0))&amp;"","?"))</f>
        <v/>
      </c>
      <c r="N5558" s="2">
        <f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>
        <f>IF(OR(F5558="",G5558=""),"",IF(G5558&lt;='RETRATO 2027'!$K$5,"CONCLUÍDA",IF(F5558&lt;='RETRATO 2027'!$K$5,"EM ANDAMENTO","A INICIAR")))</f>
        <v/>
      </c>
    </row>
    <row r="5559">
      <c r="M5559" s="2">
        <f>IF(C5559="","",IFERROR(INDEX($S$5:$S$304,MATCH(C5559,$R$5:$R$304,0))&amp;"","?"))</f>
        <v/>
      </c>
      <c r="N5559" s="2">
        <f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>
        <f>IF(OR(F5559="",G5559=""),"",IF(G5559&lt;='RETRATO 2027'!$K$5,"CONCLUÍDA",IF(F5559&lt;='RETRATO 2027'!$K$5,"EM ANDAMENTO","A INICIAR")))</f>
        <v/>
      </c>
    </row>
    <row r="5560">
      <c r="M5560" s="2">
        <f>IF(C5560="","",IFERROR(INDEX($S$5:$S$304,MATCH(C5560,$R$5:$R$304,0))&amp;"","?"))</f>
        <v/>
      </c>
      <c r="N5560" s="2">
        <f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>
        <f>IF(OR(F5560="",G5560=""),"",IF(G5560&lt;='RETRATO 2027'!$K$5,"CONCLUÍDA",IF(F5560&lt;='RETRATO 2027'!$K$5,"EM ANDAMENTO","A INICIAR")))</f>
        <v/>
      </c>
    </row>
    <row r="5561">
      <c r="M5561" s="2">
        <f>IF(C5561="","",IFERROR(INDEX($S$5:$S$304,MATCH(C5561,$R$5:$R$304,0))&amp;"","?"))</f>
        <v/>
      </c>
      <c r="N5561" s="2">
        <f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>
        <f>IF(OR(F5561="",G5561=""),"",IF(G5561&lt;='RETRATO 2027'!$K$5,"CONCLUÍDA",IF(F5561&lt;='RETRATO 2027'!$K$5,"EM ANDAMENTO","A INICIAR")))</f>
        <v/>
      </c>
    </row>
    <row r="5562">
      <c r="M5562" s="2">
        <f>IF(C5562="","",IFERROR(INDEX($S$5:$S$304,MATCH(C5562,$R$5:$R$304,0))&amp;"","?"))</f>
        <v/>
      </c>
      <c r="N5562" s="2">
        <f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>
        <f>IF(OR(F5562="",G5562=""),"",IF(G5562&lt;='RETRATO 2027'!$K$5,"CONCLUÍDA",IF(F5562&lt;='RETRATO 2027'!$K$5,"EM ANDAMENTO","A INICIAR")))</f>
        <v/>
      </c>
    </row>
    <row r="5563">
      <c r="M5563" s="2">
        <f>IF(C5563="","",IFERROR(INDEX($S$5:$S$304,MATCH(C5563,$R$5:$R$304,0))&amp;"","?"))</f>
        <v/>
      </c>
      <c r="N5563" s="2">
        <f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>
        <f>IF(OR(F5563="",G5563=""),"",IF(G5563&lt;='RETRATO 2027'!$K$5,"CONCLUÍDA",IF(F5563&lt;='RETRATO 2027'!$K$5,"EM ANDAMENTO","A INICIAR")))</f>
        <v/>
      </c>
    </row>
    <row r="5564">
      <c r="M5564" s="2">
        <f>IF(C5564="","",IFERROR(INDEX($S$5:$S$304,MATCH(C5564,$R$5:$R$304,0))&amp;"","?"))</f>
        <v/>
      </c>
      <c r="N5564" s="2">
        <f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>
        <f>IF(OR(F5564="",G5564=""),"",IF(G5564&lt;='RETRATO 2027'!$K$5,"CONCLUÍDA",IF(F5564&lt;='RETRATO 2027'!$K$5,"EM ANDAMENTO","A INICIAR")))</f>
        <v/>
      </c>
    </row>
    <row r="5565">
      <c r="M5565" s="2">
        <f>IF(C5565="","",IFERROR(INDEX($S$5:$S$304,MATCH(C5565,$R$5:$R$304,0))&amp;"","?"))</f>
        <v/>
      </c>
      <c r="N5565" s="2">
        <f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>
        <f>IF(OR(F5565="",G5565=""),"",IF(G5565&lt;='RETRATO 2027'!$K$5,"CONCLUÍDA",IF(F5565&lt;='RETRATO 2027'!$K$5,"EM ANDAMENTO","A INICIAR")))</f>
        <v/>
      </c>
    </row>
    <row r="5566">
      <c r="M5566" s="2">
        <f>IF(C5566="","",IFERROR(INDEX($S$5:$S$304,MATCH(C5566,$R$5:$R$304,0))&amp;"","?"))</f>
        <v/>
      </c>
      <c r="N5566" s="2">
        <f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>
        <f>IF(OR(F5566="",G5566=""),"",IF(G5566&lt;='RETRATO 2027'!$K$5,"CONCLUÍDA",IF(F5566&lt;='RETRATO 2027'!$K$5,"EM ANDAMENTO","A INICIAR")))</f>
        <v/>
      </c>
    </row>
    <row r="5567">
      <c r="M5567" s="2">
        <f>IF(C5567="","",IFERROR(INDEX($S$5:$S$304,MATCH(C5567,$R$5:$R$304,0))&amp;"","?"))</f>
        <v/>
      </c>
      <c r="N5567" s="2">
        <f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>
        <f>IF(OR(F5567="",G5567=""),"",IF(G5567&lt;='RETRATO 2027'!$K$5,"CONCLUÍDA",IF(F5567&lt;='RETRATO 2027'!$K$5,"EM ANDAMENTO","A INICIAR")))</f>
        <v/>
      </c>
    </row>
    <row r="5568">
      <c r="M5568" s="2">
        <f>IF(C5568="","",IFERROR(INDEX($S$5:$S$304,MATCH(C5568,$R$5:$R$304,0))&amp;"","?"))</f>
        <v/>
      </c>
      <c r="N5568" s="2">
        <f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>
        <f>IF(OR(F5568="",G5568=""),"",IF(G5568&lt;='RETRATO 2027'!$K$5,"CONCLUÍDA",IF(F5568&lt;='RETRATO 2027'!$K$5,"EM ANDAMENTO","A INICIAR")))</f>
        <v/>
      </c>
    </row>
    <row r="5569">
      <c r="M5569" s="2">
        <f>IF(C5569="","",IFERROR(INDEX($S$5:$S$304,MATCH(C5569,$R$5:$R$304,0))&amp;"","?"))</f>
        <v/>
      </c>
      <c r="N5569" s="2">
        <f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>
        <f>IF(OR(F5569="",G5569=""),"",IF(G5569&lt;='RETRATO 2027'!$K$5,"CONCLUÍDA",IF(F5569&lt;='RETRATO 2027'!$K$5,"EM ANDAMENTO","A INICIAR")))</f>
        <v/>
      </c>
    </row>
    <row r="5570">
      <c r="M5570" s="2">
        <f>IF(C5570="","",IFERROR(INDEX($S$5:$S$304,MATCH(C5570,$R$5:$R$304,0))&amp;"","?"))</f>
        <v/>
      </c>
      <c r="N5570" s="2">
        <f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>
        <f>IF(OR(F5570="",G5570=""),"",IF(G5570&lt;='RETRATO 2027'!$K$5,"CONCLUÍDA",IF(F5570&lt;='RETRATO 2027'!$K$5,"EM ANDAMENTO","A INICIAR")))</f>
        <v/>
      </c>
    </row>
    <row r="5571">
      <c r="M5571" s="2">
        <f>IF(C5571="","",IFERROR(INDEX($S$5:$S$304,MATCH(C5571,$R$5:$R$304,0))&amp;"","?"))</f>
        <v/>
      </c>
      <c r="N5571" s="2">
        <f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>
        <f>IF(OR(F5571="",G5571=""),"",IF(G5571&lt;='RETRATO 2027'!$K$5,"CONCLUÍDA",IF(F5571&lt;='RETRATO 2027'!$K$5,"EM ANDAMENTO","A INICIAR")))</f>
        <v/>
      </c>
    </row>
    <row r="5572">
      <c r="M5572" s="2">
        <f>IF(C5572="","",IFERROR(INDEX($S$5:$S$304,MATCH(C5572,$R$5:$R$304,0))&amp;"","?"))</f>
        <v/>
      </c>
      <c r="N5572" s="2">
        <f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>
        <f>IF(OR(F5572="",G5572=""),"",IF(G5572&lt;='RETRATO 2027'!$K$5,"CONCLUÍDA",IF(F5572&lt;='RETRATO 2027'!$K$5,"EM ANDAMENTO","A INICIAR")))</f>
        <v/>
      </c>
    </row>
    <row r="5573">
      <c r="M5573" s="2">
        <f>IF(C5573="","",IFERROR(INDEX($S$5:$S$304,MATCH(C5573,$R$5:$R$304,0))&amp;"","?"))</f>
        <v/>
      </c>
      <c r="N5573" s="2">
        <f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>
        <f>IF(OR(F5573="",G5573=""),"",IF(G5573&lt;='RETRATO 2027'!$K$5,"CONCLUÍDA",IF(F5573&lt;='RETRATO 2027'!$K$5,"EM ANDAMENTO","A INICIAR")))</f>
        <v/>
      </c>
    </row>
    <row r="5574">
      <c r="M5574" s="2">
        <f>IF(C5574="","",IFERROR(INDEX($S$5:$S$304,MATCH(C5574,$R$5:$R$304,0))&amp;"","?"))</f>
        <v/>
      </c>
      <c r="N5574" s="2">
        <f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>
        <f>IF(OR(F5574="",G5574=""),"",IF(G5574&lt;='RETRATO 2027'!$K$5,"CONCLUÍDA",IF(F5574&lt;='RETRATO 2027'!$K$5,"EM ANDAMENTO","A INICIAR")))</f>
        <v/>
      </c>
    </row>
    <row r="5575">
      <c r="M5575" s="2">
        <f>IF(C5575="","",IFERROR(INDEX($S$5:$S$304,MATCH(C5575,$R$5:$R$304,0))&amp;"","?"))</f>
        <v/>
      </c>
      <c r="N5575" s="2">
        <f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>
        <f>IF(OR(F5575="",G5575=""),"",IF(G5575&lt;='RETRATO 2027'!$K$5,"CONCLUÍDA",IF(F5575&lt;='RETRATO 2027'!$K$5,"EM ANDAMENTO","A INICIAR")))</f>
        <v/>
      </c>
    </row>
    <row r="5576">
      <c r="M5576" s="2">
        <f>IF(C5576="","",IFERROR(INDEX($S$5:$S$304,MATCH(C5576,$R$5:$R$304,0))&amp;"","?"))</f>
        <v/>
      </c>
      <c r="N5576" s="2">
        <f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>
        <f>IF(OR(F5576="",G5576=""),"",IF(G5576&lt;='RETRATO 2027'!$K$5,"CONCLUÍDA",IF(F5576&lt;='RETRATO 2027'!$K$5,"EM ANDAMENTO","A INICIAR")))</f>
        <v/>
      </c>
    </row>
    <row r="5577">
      <c r="M5577" s="2">
        <f>IF(C5577="","",IFERROR(INDEX($S$5:$S$304,MATCH(C5577,$R$5:$R$304,0))&amp;"","?"))</f>
        <v/>
      </c>
      <c r="N5577" s="2">
        <f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>
        <f>IF(OR(F5577="",G5577=""),"",IF(G5577&lt;='RETRATO 2027'!$K$5,"CONCLUÍDA",IF(F5577&lt;='RETRATO 2027'!$K$5,"EM ANDAMENTO","A INICIAR")))</f>
        <v/>
      </c>
    </row>
    <row r="5578">
      <c r="M5578" s="2">
        <f>IF(C5578="","",IFERROR(INDEX($S$5:$S$304,MATCH(C5578,$R$5:$R$304,0))&amp;"","?"))</f>
        <v/>
      </c>
      <c r="N5578" s="2">
        <f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>
        <f>IF(OR(F5578="",G5578=""),"",IF(G5578&lt;='RETRATO 2027'!$K$5,"CONCLUÍDA",IF(F5578&lt;='RETRATO 2027'!$K$5,"EM ANDAMENTO","A INICIAR")))</f>
        <v/>
      </c>
    </row>
    <row r="5579">
      <c r="M5579" s="2">
        <f>IF(C5579="","",IFERROR(INDEX($S$5:$S$304,MATCH(C5579,$R$5:$R$304,0))&amp;"","?"))</f>
        <v/>
      </c>
      <c r="N5579" s="2">
        <f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>
        <f>IF(OR(F5579="",G5579=""),"",IF(G5579&lt;='RETRATO 2027'!$K$5,"CONCLUÍDA",IF(F5579&lt;='RETRATO 2027'!$K$5,"EM ANDAMENTO","A INICIAR")))</f>
        <v/>
      </c>
    </row>
    <row r="5580">
      <c r="M5580" s="2">
        <f>IF(C5580="","",IFERROR(INDEX($S$5:$S$304,MATCH(C5580,$R$5:$R$304,0))&amp;"","?"))</f>
        <v/>
      </c>
      <c r="N5580" s="2">
        <f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>
        <f>IF(OR(F5580="",G5580=""),"",IF(G5580&lt;='RETRATO 2027'!$K$5,"CONCLUÍDA",IF(F5580&lt;='RETRATO 2027'!$K$5,"EM ANDAMENTO","A INICIAR")))</f>
        <v/>
      </c>
    </row>
    <row r="5581">
      <c r="M5581" s="2">
        <f>IF(C5581="","",IFERROR(INDEX($S$5:$S$304,MATCH(C5581,$R$5:$R$304,0))&amp;"","?"))</f>
        <v/>
      </c>
      <c r="N5581" s="2">
        <f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>
        <f>IF(OR(F5581="",G5581=""),"",IF(G5581&lt;='RETRATO 2027'!$K$5,"CONCLUÍDA",IF(F5581&lt;='RETRATO 2027'!$K$5,"EM ANDAMENTO","A INICIAR")))</f>
        <v/>
      </c>
    </row>
    <row r="5582">
      <c r="M5582" s="2">
        <f>IF(C5582="","",IFERROR(INDEX($S$5:$S$304,MATCH(C5582,$R$5:$R$304,0))&amp;"","?"))</f>
        <v/>
      </c>
      <c r="N5582" s="2">
        <f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>
        <f>IF(OR(F5582="",G5582=""),"",IF(G5582&lt;='RETRATO 2027'!$K$5,"CONCLUÍDA",IF(F5582&lt;='RETRATO 2027'!$K$5,"EM ANDAMENTO","A INICIAR")))</f>
        <v/>
      </c>
    </row>
    <row r="5583">
      <c r="M5583" s="2">
        <f>IF(C5583="","",IFERROR(INDEX($S$5:$S$304,MATCH(C5583,$R$5:$R$304,0))&amp;"","?"))</f>
        <v/>
      </c>
      <c r="N5583" s="2">
        <f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>
        <f>IF(OR(F5583="",G5583=""),"",IF(G5583&lt;='RETRATO 2027'!$K$5,"CONCLUÍDA",IF(F5583&lt;='RETRATO 2027'!$K$5,"EM ANDAMENTO","A INICIAR")))</f>
        <v/>
      </c>
    </row>
    <row r="5584">
      <c r="M5584" s="2">
        <f>IF(C5584="","",IFERROR(INDEX($S$5:$S$304,MATCH(C5584,$R$5:$R$304,0))&amp;"","?"))</f>
        <v/>
      </c>
      <c r="N5584" s="2">
        <f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>
        <f>IF(OR(F5584="",G5584=""),"",IF(G5584&lt;='RETRATO 2027'!$K$5,"CONCLUÍDA",IF(F5584&lt;='RETRATO 2027'!$K$5,"EM ANDAMENTO","A INICIAR")))</f>
        <v/>
      </c>
    </row>
    <row r="5585">
      <c r="M5585" s="2">
        <f>IF(C5585="","",IFERROR(INDEX($S$5:$S$304,MATCH(C5585,$R$5:$R$304,0))&amp;"","?"))</f>
        <v/>
      </c>
      <c r="N5585" s="2">
        <f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>
        <f>IF(OR(F5585="",G5585=""),"",IF(G5585&lt;='RETRATO 2027'!$K$5,"CONCLUÍDA",IF(F5585&lt;='RETRATO 2027'!$K$5,"EM ANDAMENTO","A INICIAR")))</f>
        <v/>
      </c>
    </row>
    <row r="5586">
      <c r="M5586" s="2">
        <f>IF(C5586="","",IFERROR(INDEX($S$5:$S$304,MATCH(C5586,$R$5:$R$304,0))&amp;"","?"))</f>
        <v/>
      </c>
      <c r="N5586" s="2">
        <f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>
        <f>IF(OR(F5586="",G5586=""),"",IF(G5586&lt;='RETRATO 2027'!$K$5,"CONCLUÍDA",IF(F5586&lt;='RETRATO 2027'!$K$5,"EM ANDAMENTO","A INICIAR")))</f>
        <v/>
      </c>
    </row>
    <row r="5587">
      <c r="M5587" s="2">
        <f>IF(C5587="","",IFERROR(INDEX($S$5:$S$304,MATCH(C5587,$R$5:$R$304,0))&amp;"","?"))</f>
        <v/>
      </c>
      <c r="N5587" s="2">
        <f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>
        <f>IF(OR(F5587="",G5587=""),"",IF(G5587&lt;='RETRATO 2027'!$K$5,"CONCLUÍDA",IF(F5587&lt;='RETRATO 2027'!$K$5,"EM ANDAMENTO","A INICIAR")))</f>
        <v/>
      </c>
    </row>
    <row r="5588">
      <c r="M5588" s="2">
        <f>IF(C5588="","",IFERROR(INDEX($S$5:$S$304,MATCH(C5588,$R$5:$R$304,0))&amp;"","?"))</f>
        <v/>
      </c>
      <c r="N5588" s="2">
        <f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>
        <f>IF(OR(F5588="",G5588=""),"",IF(G5588&lt;='RETRATO 2027'!$K$5,"CONCLUÍDA",IF(F5588&lt;='RETRATO 2027'!$K$5,"EM ANDAMENTO","A INICIAR")))</f>
        <v/>
      </c>
    </row>
    <row r="5589">
      <c r="M5589" s="2">
        <f>IF(C5589="","",IFERROR(INDEX($S$5:$S$304,MATCH(C5589,$R$5:$R$304,0))&amp;"","?"))</f>
        <v/>
      </c>
      <c r="N5589" s="2">
        <f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>
        <f>IF(OR(F5589="",G5589=""),"",IF(G5589&lt;='RETRATO 2027'!$K$5,"CONCLUÍDA",IF(F5589&lt;='RETRATO 2027'!$K$5,"EM ANDAMENTO","A INICIAR")))</f>
        <v/>
      </c>
    </row>
    <row r="5590">
      <c r="M5590" s="2">
        <f>IF(C5590="","",IFERROR(INDEX($S$5:$S$304,MATCH(C5590,$R$5:$R$304,0))&amp;"","?"))</f>
        <v/>
      </c>
      <c r="N5590" s="2">
        <f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>
        <f>IF(OR(F5590="",G5590=""),"",IF(G5590&lt;='RETRATO 2027'!$K$5,"CONCLUÍDA",IF(F5590&lt;='RETRATO 2027'!$K$5,"EM ANDAMENTO","A INICIAR")))</f>
        <v/>
      </c>
    </row>
    <row r="5591">
      <c r="M5591" s="2">
        <f>IF(C5591="","",IFERROR(INDEX($S$5:$S$304,MATCH(C5591,$R$5:$R$304,0))&amp;"","?"))</f>
        <v/>
      </c>
      <c r="N5591" s="2">
        <f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>
        <f>IF(OR(F5591="",G5591=""),"",IF(G5591&lt;='RETRATO 2027'!$K$5,"CONCLUÍDA",IF(F5591&lt;='RETRATO 2027'!$K$5,"EM ANDAMENTO","A INICIAR")))</f>
        <v/>
      </c>
    </row>
    <row r="5592">
      <c r="M5592" s="2">
        <f>IF(C5592="","",IFERROR(INDEX($S$5:$S$304,MATCH(C5592,$R$5:$R$304,0))&amp;"","?"))</f>
        <v/>
      </c>
      <c r="N5592" s="2">
        <f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>
        <f>IF(OR(F5592="",G5592=""),"",IF(G5592&lt;='RETRATO 2027'!$K$5,"CONCLUÍDA",IF(F5592&lt;='RETRATO 2027'!$K$5,"EM ANDAMENTO","A INICIAR")))</f>
        <v/>
      </c>
    </row>
    <row r="5593">
      <c r="M5593" s="2">
        <f>IF(C5593="","",IFERROR(INDEX($S$5:$S$304,MATCH(C5593,$R$5:$R$304,0))&amp;"","?"))</f>
        <v/>
      </c>
      <c r="N5593" s="2">
        <f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>
        <f>IF(OR(F5593="",G5593=""),"",IF(G5593&lt;='RETRATO 2027'!$K$5,"CONCLUÍDA",IF(F5593&lt;='RETRATO 2027'!$K$5,"EM ANDAMENTO","A INICIAR")))</f>
        <v/>
      </c>
    </row>
    <row r="5594">
      <c r="M5594" s="2">
        <f>IF(C5594="","",IFERROR(INDEX($S$5:$S$304,MATCH(C5594,$R$5:$R$304,0))&amp;"","?"))</f>
        <v/>
      </c>
      <c r="N5594" s="2">
        <f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>
        <f>IF(OR(F5594="",G5594=""),"",IF(G5594&lt;='RETRATO 2027'!$K$5,"CONCLUÍDA",IF(F5594&lt;='RETRATO 2027'!$K$5,"EM ANDAMENTO","A INICIAR")))</f>
        <v/>
      </c>
    </row>
    <row r="5595">
      <c r="M5595" s="2">
        <f>IF(C5595="","",IFERROR(INDEX($S$5:$S$304,MATCH(C5595,$R$5:$R$304,0))&amp;"","?"))</f>
        <v/>
      </c>
      <c r="N5595" s="2">
        <f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>
        <f>IF(OR(F5595="",G5595=""),"",IF(G5595&lt;='RETRATO 2027'!$K$5,"CONCLUÍDA",IF(F5595&lt;='RETRATO 2027'!$K$5,"EM ANDAMENTO","A INICIAR")))</f>
        <v/>
      </c>
    </row>
    <row r="5596">
      <c r="M5596" s="2">
        <f>IF(C5596="","",IFERROR(INDEX($S$5:$S$304,MATCH(C5596,$R$5:$R$304,0))&amp;"","?"))</f>
        <v/>
      </c>
      <c r="N5596" s="2">
        <f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>
        <f>IF(OR(F5596="",G5596=""),"",IF(G5596&lt;='RETRATO 2027'!$K$5,"CONCLUÍDA",IF(F5596&lt;='RETRATO 2027'!$K$5,"EM ANDAMENTO","A INICIAR")))</f>
        <v/>
      </c>
    </row>
    <row r="5597">
      <c r="M5597" s="2">
        <f>IF(C5597="","",IFERROR(INDEX($S$5:$S$304,MATCH(C5597,$R$5:$R$304,0))&amp;"","?"))</f>
        <v/>
      </c>
      <c r="N5597" s="2">
        <f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>
        <f>IF(OR(F5597="",G5597=""),"",IF(G5597&lt;='RETRATO 2027'!$K$5,"CONCLUÍDA",IF(F5597&lt;='RETRATO 2027'!$K$5,"EM ANDAMENTO","A INICIAR")))</f>
        <v/>
      </c>
    </row>
    <row r="5598">
      <c r="M5598" s="2">
        <f>IF(C5598="","",IFERROR(INDEX($S$5:$S$304,MATCH(C5598,$R$5:$R$304,0))&amp;"","?"))</f>
        <v/>
      </c>
      <c r="N5598" s="2">
        <f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>
        <f>IF(OR(F5598="",G5598=""),"",IF(G5598&lt;='RETRATO 2027'!$K$5,"CONCLUÍDA",IF(F5598&lt;='RETRATO 2027'!$K$5,"EM ANDAMENTO","A INICIAR")))</f>
        <v/>
      </c>
    </row>
    <row r="5599">
      <c r="M5599" s="2">
        <f>IF(C5599="","",IFERROR(INDEX($S$5:$S$304,MATCH(C5599,$R$5:$R$304,0))&amp;"","?"))</f>
        <v/>
      </c>
      <c r="N5599" s="2">
        <f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>
        <f>IF(OR(F5599="",G5599=""),"",IF(G5599&lt;='RETRATO 2027'!$K$5,"CONCLUÍDA",IF(F5599&lt;='RETRATO 2027'!$K$5,"EM ANDAMENTO","A INICIAR")))</f>
        <v/>
      </c>
    </row>
    <row r="5600">
      <c r="M5600" s="2">
        <f>IF(C5600="","",IFERROR(INDEX($S$5:$S$304,MATCH(C5600,$R$5:$R$304,0))&amp;"","?"))</f>
        <v/>
      </c>
      <c r="N5600" s="2">
        <f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>
        <f>IF(OR(F5600="",G5600=""),"",IF(G5600&lt;='RETRATO 2027'!$K$5,"CONCLUÍDA",IF(F5600&lt;='RETRATO 2027'!$K$5,"EM ANDAMENTO","A INICIAR")))</f>
        <v/>
      </c>
    </row>
    <row r="5601">
      <c r="M5601" s="2">
        <f>IF(C5601="","",IFERROR(INDEX($S$5:$S$304,MATCH(C5601,$R$5:$R$304,0))&amp;"","?"))</f>
        <v/>
      </c>
      <c r="N5601" s="2">
        <f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>
        <f>IF(OR(F5601="",G5601=""),"",IF(G5601&lt;='RETRATO 2027'!$K$5,"CONCLUÍDA",IF(F5601&lt;='RETRATO 2027'!$K$5,"EM ANDAMENTO","A INICIAR")))</f>
        <v/>
      </c>
    </row>
    <row r="5602">
      <c r="M5602" s="2">
        <f>IF(C5602="","",IFERROR(INDEX($S$5:$S$304,MATCH(C5602,$R$5:$R$304,0))&amp;"","?"))</f>
        <v/>
      </c>
      <c r="N5602" s="2">
        <f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>
        <f>IF(OR(F5602="",G5602=""),"",IF(G5602&lt;='RETRATO 2027'!$K$5,"CONCLUÍDA",IF(F5602&lt;='RETRATO 2027'!$K$5,"EM ANDAMENTO","A INICIAR")))</f>
        <v/>
      </c>
    </row>
    <row r="5603">
      <c r="M5603" s="2">
        <f>IF(C5603="","",IFERROR(INDEX($S$5:$S$304,MATCH(C5603,$R$5:$R$304,0))&amp;"","?"))</f>
        <v/>
      </c>
      <c r="N5603" s="2">
        <f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>
        <f>IF(OR(F5603="",G5603=""),"",IF(G5603&lt;='RETRATO 2027'!$K$5,"CONCLUÍDA",IF(F5603&lt;='RETRATO 2027'!$K$5,"EM ANDAMENTO","A INICIAR")))</f>
        <v/>
      </c>
    </row>
    <row r="5604">
      <c r="M5604" s="2">
        <f>IF(C5604="","",IFERROR(INDEX($S$5:$S$304,MATCH(C5604,$R$5:$R$304,0))&amp;"","?"))</f>
        <v/>
      </c>
      <c r="N5604" s="2">
        <f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>
        <f>IF(OR(F5604="",G5604=""),"",IF(G5604&lt;='RETRATO 2027'!$K$5,"CONCLUÍDA",IF(F5604&lt;='RETRATO 2027'!$K$5,"EM ANDAMENTO","A INICIAR")))</f>
        <v/>
      </c>
    </row>
    <row r="5605">
      <c r="M5605" s="2">
        <f>IF(C5605="","",IFERROR(INDEX($S$5:$S$304,MATCH(C5605,$R$5:$R$304,0))&amp;"","?"))</f>
        <v/>
      </c>
      <c r="N5605" s="2">
        <f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>
        <f>IF(OR(F5605="",G5605=""),"",IF(G5605&lt;='RETRATO 2027'!$K$5,"CONCLUÍDA",IF(F5605&lt;='RETRATO 2027'!$K$5,"EM ANDAMENTO","A INICIAR")))</f>
        <v/>
      </c>
    </row>
    <row r="5606">
      <c r="M5606" s="2">
        <f>IF(C5606="","",IFERROR(INDEX($S$5:$S$304,MATCH(C5606,$R$5:$R$304,0))&amp;"","?"))</f>
        <v/>
      </c>
      <c r="N5606" s="2">
        <f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>
        <f>IF(OR(F5606="",G5606=""),"",IF(G5606&lt;='RETRATO 2027'!$K$5,"CONCLUÍDA",IF(F5606&lt;='RETRATO 2027'!$K$5,"EM ANDAMENTO","A INICIAR")))</f>
        <v/>
      </c>
    </row>
    <row r="5607">
      <c r="M5607" s="2">
        <f>IF(C5607="","",IFERROR(INDEX($S$5:$S$304,MATCH(C5607,$R$5:$R$304,0))&amp;"","?"))</f>
        <v/>
      </c>
      <c r="N5607" s="2">
        <f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>
        <f>IF(OR(F5607="",G5607=""),"",IF(G5607&lt;='RETRATO 2027'!$K$5,"CONCLUÍDA",IF(F5607&lt;='RETRATO 2027'!$K$5,"EM ANDAMENTO","A INICIAR")))</f>
        <v/>
      </c>
    </row>
    <row r="5608">
      <c r="M5608" s="2">
        <f>IF(C5608="","",IFERROR(INDEX($S$5:$S$304,MATCH(C5608,$R$5:$R$304,0))&amp;"","?"))</f>
        <v/>
      </c>
      <c r="N5608" s="2">
        <f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>
        <f>IF(OR(F5608="",G5608=""),"",IF(G5608&lt;='RETRATO 2027'!$K$5,"CONCLUÍDA",IF(F5608&lt;='RETRATO 2027'!$K$5,"EM ANDAMENTO","A INICIAR")))</f>
        <v/>
      </c>
    </row>
    <row r="5609">
      <c r="M5609" s="2">
        <f>IF(C5609="","",IFERROR(INDEX($S$5:$S$304,MATCH(C5609,$R$5:$R$304,0))&amp;"","?"))</f>
        <v/>
      </c>
      <c r="N5609" s="2">
        <f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>
        <f>IF(OR(F5609="",G5609=""),"",IF(G5609&lt;='RETRATO 2027'!$K$5,"CONCLUÍDA",IF(F5609&lt;='RETRATO 2027'!$K$5,"EM ANDAMENTO","A INICIAR")))</f>
        <v/>
      </c>
    </row>
    <row r="5610">
      <c r="M5610" s="2">
        <f>IF(C5610="","",IFERROR(INDEX($S$5:$S$304,MATCH(C5610,$R$5:$R$304,0))&amp;"","?"))</f>
        <v/>
      </c>
      <c r="N5610" s="2">
        <f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>
        <f>IF(OR(F5610="",G5610=""),"",IF(G5610&lt;='RETRATO 2027'!$K$5,"CONCLUÍDA",IF(F5610&lt;='RETRATO 2027'!$K$5,"EM ANDAMENTO","A INICIAR")))</f>
        <v/>
      </c>
    </row>
    <row r="5611">
      <c r="M5611" s="2">
        <f>IF(C5611="","",IFERROR(INDEX($S$5:$S$304,MATCH(C5611,$R$5:$R$304,0))&amp;"","?"))</f>
        <v/>
      </c>
      <c r="N5611" s="2">
        <f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>
        <f>IF(OR(F5611="",G5611=""),"",IF(G5611&lt;='RETRATO 2027'!$K$5,"CONCLUÍDA",IF(F5611&lt;='RETRATO 2027'!$K$5,"EM ANDAMENTO","A INICIAR")))</f>
        <v/>
      </c>
    </row>
    <row r="5612">
      <c r="M5612" s="2">
        <f>IF(C5612="","",IFERROR(INDEX($S$5:$S$304,MATCH(C5612,$R$5:$R$304,0))&amp;"","?"))</f>
        <v/>
      </c>
      <c r="N5612" s="2">
        <f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>
        <f>IF(OR(F5612="",G5612=""),"",IF(G5612&lt;='RETRATO 2027'!$K$5,"CONCLUÍDA",IF(F5612&lt;='RETRATO 2027'!$K$5,"EM ANDAMENTO","A INICIAR")))</f>
        <v/>
      </c>
    </row>
    <row r="5613">
      <c r="M5613" s="2">
        <f>IF(C5613="","",IFERROR(INDEX($S$5:$S$304,MATCH(C5613,$R$5:$R$304,0))&amp;"","?"))</f>
        <v/>
      </c>
      <c r="N5613" s="2">
        <f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>
        <f>IF(OR(F5613="",G5613=""),"",IF(G5613&lt;='RETRATO 2027'!$K$5,"CONCLUÍDA",IF(F5613&lt;='RETRATO 2027'!$K$5,"EM ANDAMENTO","A INICIAR")))</f>
        <v/>
      </c>
    </row>
    <row r="5614">
      <c r="M5614" s="2">
        <f>IF(C5614="","",IFERROR(INDEX($S$5:$S$304,MATCH(C5614,$R$5:$R$304,0))&amp;"","?"))</f>
        <v/>
      </c>
      <c r="N5614" s="2">
        <f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>
        <f>IF(OR(F5614="",G5614=""),"",IF(G5614&lt;='RETRATO 2027'!$K$5,"CONCLUÍDA",IF(F5614&lt;='RETRATO 2027'!$K$5,"EM ANDAMENTO","A INICIAR")))</f>
        <v/>
      </c>
    </row>
    <row r="5615">
      <c r="M5615" s="2">
        <f>IF(C5615="","",IFERROR(INDEX($S$5:$S$304,MATCH(C5615,$R$5:$R$304,0))&amp;"","?"))</f>
        <v/>
      </c>
      <c r="N5615" s="2">
        <f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>
        <f>IF(OR(F5615="",G5615=""),"",IF(G5615&lt;='RETRATO 2027'!$K$5,"CONCLUÍDA",IF(F5615&lt;='RETRATO 2027'!$K$5,"EM ANDAMENTO","A INICIAR")))</f>
        <v/>
      </c>
    </row>
    <row r="5616">
      <c r="M5616" s="2">
        <f>IF(C5616="","",IFERROR(INDEX($S$5:$S$304,MATCH(C5616,$R$5:$R$304,0))&amp;"","?"))</f>
        <v/>
      </c>
      <c r="N5616" s="2">
        <f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>
        <f>IF(OR(F5616="",G5616=""),"",IF(G5616&lt;='RETRATO 2027'!$K$5,"CONCLUÍDA",IF(F5616&lt;='RETRATO 2027'!$K$5,"EM ANDAMENTO","A INICIAR")))</f>
        <v/>
      </c>
    </row>
    <row r="5617">
      <c r="M5617" s="2">
        <f>IF(C5617="","",IFERROR(INDEX($S$5:$S$304,MATCH(C5617,$R$5:$R$304,0))&amp;"","?"))</f>
        <v/>
      </c>
      <c r="N5617" s="2">
        <f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>
        <f>IF(OR(F5617="",G5617=""),"",IF(G5617&lt;='RETRATO 2027'!$K$5,"CONCLUÍDA",IF(F5617&lt;='RETRATO 2027'!$K$5,"EM ANDAMENTO","A INICIAR")))</f>
        <v/>
      </c>
    </row>
    <row r="5618">
      <c r="M5618" s="2">
        <f>IF(C5618="","",IFERROR(INDEX($S$5:$S$304,MATCH(C5618,$R$5:$R$304,0))&amp;"","?"))</f>
        <v/>
      </c>
      <c r="N5618" s="2">
        <f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>
        <f>IF(OR(F5618="",G5618=""),"",IF(G5618&lt;='RETRATO 2027'!$K$5,"CONCLUÍDA",IF(F5618&lt;='RETRATO 2027'!$K$5,"EM ANDAMENTO","A INICIAR")))</f>
        <v/>
      </c>
    </row>
    <row r="5619">
      <c r="M5619" s="2">
        <f>IF(C5619="","",IFERROR(INDEX($S$5:$S$304,MATCH(C5619,$R$5:$R$304,0))&amp;"","?"))</f>
        <v/>
      </c>
      <c r="N5619" s="2">
        <f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>
        <f>IF(OR(F5619="",G5619=""),"",IF(G5619&lt;='RETRATO 2027'!$K$5,"CONCLUÍDA",IF(F5619&lt;='RETRATO 2027'!$K$5,"EM ANDAMENTO","A INICIAR")))</f>
        <v/>
      </c>
    </row>
    <row r="5620">
      <c r="M5620" s="2">
        <f>IF(C5620="","",IFERROR(INDEX($S$5:$S$304,MATCH(C5620,$R$5:$R$304,0))&amp;"","?"))</f>
        <v/>
      </c>
      <c r="N5620" s="2">
        <f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>
        <f>IF(OR(F5620="",G5620=""),"",IF(G5620&lt;='RETRATO 2027'!$K$5,"CONCLUÍDA",IF(F5620&lt;='RETRATO 2027'!$K$5,"EM ANDAMENTO","A INICIAR")))</f>
        <v/>
      </c>
    </row>
    <row r="5621">
      <c r="M5621" s="2">
        <f>IF(C5621="","",IFERROR(INDEX($S$5:$S$304,MATCH(C5621,$R$5:$R$304,0))&amp;"","?"))</f>
        <v/>
      </c>
      <c r="N5621" s="2">
        <f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>
        <f>IF(OR(F5621="",G5621=""),"",IF(G5621&lt;='RETRATO 2027'!$K$5,"CONCLUÍDA",IF(F5621&lt;='RETRATO 2027'!$K$5,"EM ANDAMENTO","A INICIAR")))</f>
        <v/>
      </c>
    </row>
    <row r="5622">
      <c r="M5622" s="2">
        <f>IF(C5622="","",IFERROR(INDEX($S$5:$S$304,MATCH(C5622,$R$5:$R$304,0))&amp;"","?"))</f>
        <v/>
      </c>
      <c r="N5622" s="2">
        <f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>
        <f>IF(OR(F5622="",G5622=""),"",IF(G5622&lt;='RETRATO 2027'!$K$5,"CONCLUÍDA",IF(F5622&lt;='RETRATO 2027'!$K$5,"EM ANDAMENTO","A INICIAR")))</f>
        <v/>
      </c>
    </row>
    <row r="5623">
      <c r="M5623" s="2">
        <f>IF(C5623="","",IFERROR(INDEX($S$5:$S$304,MATCH(C5623,$R$5:$R$304,0))&amp;"","?"))</f>
        <v/>
      </c>
      <c r="N5623" s="2">
        <f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>
        <f>IF(OR(F5623="",G5623=""),"",IF(G5623&lt;='RETRATO 2027'!$K$5,"CONCLUÍDA",IF(F5623&lt;='RETRATO 2027'!$K$5,"EM ANDAMENTO","A INICIAR")))</f>
        <v/>
      </c>
    </row>
    <row r="5624">
      <c r="M5624" s="2">
        <f>IF(C5624="","",IFERROR(INDEX($S$5:$S$304,MATCH(C5624,$R$5:$R$304,0))&amp;"","?"))</f>
        <v/>
      </c>
      <c r="N5624" s="2">
        <f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>
        <f>IF(OR(F5624="",G5624=""),"",IF(G5624&lt;='RETRATO 2027'!$K$5,"CONCLUÍDA",IF(F5624&lt;='RETRATO 2027'!$K$5,"EM ANDAMENTO","A INICIAR")))</f>
        <v/>
      </c>
    </row>
    <row r="5625">
      <c r="M5625" s="2">
        <f>IF(C5625="","",IFERROR(INDEX($S$5:$S$304,MATCH(C5625,$R$5:$R$304,0))&amp;"","?"))</f>
        <v/>
      </c>
      <c r="N5625" s="2">
        <f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>
        <f>IF(OR(F5625="",G5625=""),"",IF(G5625&lt;='RETRATO 2027'!$K$5,"CONCLUÍDA",IF(F5625&lt;='RETRATO 2027'!$K$5,"EM ANDAMENTO","A INICIAR")))</f>
        <v/>
      </c>
    </row>
    <row r="5626">
      <c r="M5626" s="2">
        <f>IF(C5626="","",IFERROR(INDEX($S$5:$S$304,MATCH(C5626,$R$5:$R$304,0))&amp;"","?"))</f>
        <v/>
      </c>
      <c r="N5626" s="2">
        <f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>
        <f>IF(OR(F5626="",G5626=""),"",IF(G5626&lt;='RETRATO 2027'!$K$5,"CONCLUÍDA",IF(F5626&lt;='RETRATO 2027'!$K$5,"EM ANDAMENTO","A INICIAR")))</f>
        <v/>
      </c>
    </row>
    <row r="5627">
      <c r="M5627" s="2">
        <f>IF(C5627="","",IFERROR(INDEX($S$5:$S$304,MATCH(C5627,$R$5:$R$304,0))&amp;"","?"))</f>
        <v/>
      </c>
      <c r="N5627" s="2">
        <f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>
        <f>IF(OR(F5627="",G5627=""),"",IF(G5627&lt;='RETRATO 2027'!$K$5,"CONCLUÍDA",IF(F5627&lt;='RETRATO 2027'!$K$5,"EM ANDAMENTO","A INICIAR")))</f>
        <v/>
      </c>
    </row>
    <row r="5628">
      <c r="M5628" s="2">
        <f>IF(C5628="","",IFERROR(INDEX($S$5:$S$304,MATCH(C5628,$R$5:$R$304,0))&amp;"","?"))</f>
        <v/>
      </c>
      <c r="N5628" s="2">
        <f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>
        <f>IF(OR(F5628="",G5628=""),"",IF(G5628&lt;='RETRATO 2027'!$K$5,"CONCLUÍDA",IF(F5628&lt;='RETRATO 2027'!$K$5,"EM ANDAMENTO","A INICIAR")))</f>
        <v/>
      </c>
    </row>
    <row r="5629">
      <c r="M5629" s="2">
        <f>IF(C5629="","",IFERROR(INDEX($S$5:$S$304,MATCH(C5629,$R$5:$R$304,0))&amp;"","?"))</f>
        <v/>
      </c>
      <c r="N5629" s="2">
        <f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>
        <f>IF(OR(F5629="",G5629=""),"",IF(G5629&lt;='RETRATO 2027'!$K$5,"CONCLUÍDA",IF(F5629&lt;='RETRATO 2027'!$K$5,"EM ANDAMENTO","A INICIAR")))</f>
        <v/>
      </c>
    </row>
    <row r="5630">
      <c r="M5630" s="2">
        <f>IF(C5630="","",IFERROR(INDEX($S$5:$S$304,MATCH(C5630,$R$5:$R$304,0))&amp;"","?"))</f>
        <v/>
      </c>
      <c r="N5630" s="2">
        <f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>
        <f>IF(OR(F5630="",G5630=""),"",IF(G5630&lt;='RETRATO 2027'!$K$5,"CONCLUÍDA",IF(F5630&lt;='RETRATO 2027'!$K$5,"EM ANDAMENTO","A INICIAR")))</f>
        <v/>
      </c>
    </row>
    <row r="5631">
      <c r="M5631" s="2">
        <f>IF(C5631="","",IFERROR(INDEX($S$5:$S$304,MATCH(C5631,$R$5:$R$304,0))&amp;"","?"))</f>
        <v/>
      </c>
      <c r="N5631" s="2">
        <f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>
        <f>IF(OR(F5631="",G5631=""),"",IF(G5631&lt;='RETRATO 2027'!$K$5,"CONCLUÍDA",IF(F5631&lt;='RETRATO 2027'!$K$5,"EM ANDAMENTO","A INICIAR")))</f>
        <v/>
      </c>
    </row>
    <row r="5632">
      <c r="M5632" s="2">
        <f>IF(C5632="","",IFERROR(INDEX($S$5:$S$304,MATCH(C5632,$R$5:$R$304,0))&amp;"","?"))</f>
        <v/>
      </c>
      <c r="N5632" s="2">
        <f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>
        <f>IF(OR(F5632="",G5632=""),"",IF(G5632&lt;='RETRATO 2027'!$K$5,"CONCLUÍDA",IF(F5632&lt;='RETRATO 2027'!$K$5,"EM ANDAMENTO","A INICIAR")))</f>
        <v/>
      </c>
    </row>
    <row r="5633">
      <c r="M5633" s="2">
        <f>IF(C5633="","",IFERROR(INDEX($S$5:$S$304,MATCH(C5633,$R$5:$R$304,0))&amp;"","?"))</f>
        <v/>
      </c>
      <c r="N5633" s="2">
        <f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>
        <f>IF(OR(F5633="",G5633=""),"",IF(G5633&lt;='RETRATO 2027'!$K$5,"CONCLUÍDA",IF(F5633&lt;='RETRATO 2027'!$K$5,"EM ANDAMENTO","A INICIAR")))</f>
        <v/>
      </c>
    </row>
    <row r="5634">
      <c r="M5634" s="2">
        <f>IF(C5634="","",IFERROR(INDEX($S$5:$S$304,MATCH(C5634,$R$5:$R$304,0))&amp;"","?"))</f>
        <v/>
      </c>
      <c r="N5634" s="2">
        <f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>
        <f>IF(OR(F5634="",G5634=""),"",IF(G5634&lt;='RETRATO 2027'!$K$5,"CONCLUÍDA",IF(F5634&lt;='RETRATO 2027'!$K$5,"EM ANDAMENTO","A INICIAR")))</f>
        <v/>
      </c>
    </row>
    <row r="5635">
      <c r="M5635" s="2">
        <f>IF(C5635="","",IFERROR(INDEX($S$5:$S$304,MATCH(C5635,$R$5:$R$304,0))&amp;"","?"))</f>
        <v/>
      </c>
      <c r="N5635" s="2">
        <f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>
        <f>IF(OR(F5635="",G5635=""),"",IF(G5635&lt;='RETRATO 2027'!$K$5,"CONCLUÍDA",IF(F5635&lt;='RETRATO 2027'!$K$5,"EM ANDAMENTO","A INICIAR")))</f>
        <v/>
      </c>
    </row>
    <row r="5636">
      <c r="M5636" s="2">
        <f>IF(C5636="","",IFERROR(INDEX($S$5:$S$304,MATCH(C5636,$R$5:$R$304,0))&amp;"","?"))</f>
        <v/>
      </c>
      <c r="N5636" s="2">
        <f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>
        <f>IF(OR(F5636="",G5636=""),"",IF(G5636&lt;='RETRATO 2027'!$K$5,"CONCLUÍDA",IF(F5636&lt;='RETRATO 2027'!$K$5,"EM ANDAMENTO","A INICIAR")))</f>
        <v/>
      </c>
    </row>
    <row r="5637">
      <c r="M5637" s="2">
        <f>IF(C5637="","",IFERROR(INDEX($S$5:$S$304,MATCH(C5637,$R$5:$R$304,0))&amp;"","?"))</f>
        <v/>
      </c>
      <c r="N5637" s="2">
        <f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>
        <f>IF(OR(F5637="",G5637=""),"",IF(G5637&lt;='RETRATO 2027'!$K$5,"CONCLUÍDA",IF(F5637&lt;='RETRATO 2027'!$K$5,"EM ANDAMENTO","A INICIAR")))</f>
        <v/>
      </c>
    </row>
    <row r="5638">
      <c r="M5638" s="2">
        <f>IF(C5638="","",IFERROR(INDEX($S$5:$S$304,MATCH(C5638,$R$5:$R$304,0))&amp;"","?"))</f>
        <v/>
      </c>
      <c r="N5638" s="2">
        <f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>
        <f>IF(OR(F5638="",G5638=""),"",IF(G5638&lt;='RETRATO 2027'!$K$5,"CONCLUÍDA",IF(F5638&lt;='RETRATO 2027'!$K$5,"EM ANDAMENTO","A INICIAR")))</f>
        <v/>
      </c>
    </row>
    <row r="5639">
      <c r="M5639" s="2">
        <f>IF(C5639="","",IFERROR(INDEX($S$5:$S$304,MATCH(C5639,$R$5:$R$304,0))&amp;"","?"))</f>
        <v/>
      </c>
      <c r="N5639" s="2">
        <f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>
        <f>IF(OR(F5639="",G5639=""),"",IF(G5639&lt;='RETRATO 2027'!$K$5,"CONCLUÍDA",IF(F5639&lt;='RETRATO 2027'!$K$5,"EM ANDAMENTO","A INICIAR")))</f>
        <v/>
      </c>
    </row>
    <row r="5640">
      <c r="M5640" s="2">
        <f>IF(C5640="","",IFERROR(INDEX($S$5:$S$304,MATCH(C5640,$R$5:$R$304,0))&amp;"","?"))</f>
        <v/>
      </c>
      <c r="N5640" s="2">
        <f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>
        <f>IF(OR(F5640="",G5640=""),"",IF(G5640&lt;='RETRATO 2027'!$K$5,"CONCLUÍDA",IF(F5640&lt;='RETRATO 2027'!$K$5,"EM ANDAMENTO","A INICIAR")))</f>
        <v/>
      </c>
    </row>
    <row r="5641">
      <c r="M5641" s="2">
        <f>IF(C5641="","",IFERROR(INDEX($S$5:$S$304,MATCH(C5641,$R$5:$R$304,0))&amp;"","?"))</f>
        <v/>
      </c>
      <c r="N5641" s="2">
        <f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>
        <f>IF(OR(F5641="",G5641=""),"",IF(G5641&lt;='RETRATO 2027'!$K$5,"CONCLUÍDA",IF(F5641&lt;='RETRATO 2027'!$K$5,"EM ANDAMENTO","A INICIAR")))</f>
        <v/>
      </c>
    </row>
    <row r="5642">
      <c r="M5642" s="2">
        <f>IF(C5642="","",IFERROR(INDEX($S$5:$S$304,MATCH(C5642,$R$5:$R$304,0))&amp;"","?"))</f>
        <v/>
      </c>
      <c r="N5642" s="2">
        <f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>
        <f>IF(OR(F5642="",G5642=""),"",IF(G5642&lt;='RETRATO 2027'!$K$5,"CONCLUÍDA",IF(F5642&lt;='RETRATO 2027'!$K$5,"EM ANDAMENTO","A INICIAR")))</f>
        <v/>
      </c>
    </row>
    <row r="5643">
      <c r="M5643" s="2">
        <f>IF(C5643="","",IFERROR(INDEX($S$5:$S$304,MATCH(C5643,$R$5:$R$304,0))&amp;"","?"))</f>
        <v/>
      </c>
      <c r="N5643" s="2">
        <f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>
        <f>IF(OR(F5643="",G5643=""),"",IF(G5643&lt;='RETRATO 2027'!$K$5,"CONCLUÍDA",IF(F5643&lt;='RETRATO 2027'!$K$5,"EM ANDAMENTO","A INICIAR")))</f>
        <v/>
      </c>
    </row>
    <row r="5644">
      <c r="M5644" s="2">
        <f>IF(C5644="","",IFERROR(INDEX($S$5:$S$304,MATCH(C5644,$R$5:$R$304,0))&amp;"","?"))</f>
        <v/>
      </c>
      <c r="N5644" s="2">
        <f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>
        <f>IF(OR(F5644="",G5644=""),"",IF(G5644&lt;='RETRATO 2027'!$K$5,"CONCLUÍDA",IF(F5644&lt;='RETRATO 2027'!$K$5,"EM ANDAMENTO","A INICIAR")))</f>
        <v/>
      </c>
    </row>
    <row r="5645">
      <c r="M5645" s="2">
        <f>IF(C5645="","",IFERROR(INDEX($S$5:$S$304,MATCH(C5645,$R$5:$R$304,0))&amp;"","?"))</f>
        <v/>
      </c>
      <c r="N5645" s="2">
        <f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>
        <f>IF(OR(F5645="",G5645=""),"",IF(G5645&lt;='RETRATO 2027'!$K$5,"CONCLUÍDA",IF(F5645&lt;='RETRATO 2027'!$K$5,"EM ANDAMENTO","A INICIAR")))</f>
        <v/>
      </c>
    </row>
    <row r="5646">
      <c r="M5646" s="2">
        <f>IF(C5646="","",IFERROR(INDEX($S$5:$S$304,MATCH(C5646,$R$5:$R$304,0))&amp;"","?"))</f>
        <v/>
      </c>
      <c r="N5646" s="2">
        <f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>
        <f>IF(OR(F5646="",G5646=""),"",IF(G5646&lt;='RETRATO 2027'!$K$5,"CONCLUÍDA",IF(F5646&lt;='RETRATO 2027'!$K$5,"EM ANDAMENTO","A INICIAR")))</f>
        <v/>
      </c>
    </row>
    <row r="5647">
      <c r="M5647" s="2">
        <f>IF(C5647="","",IFERROR(INDEX($S$5:$S$304,MATCH(C5647,$R$5:$R$304,0))&amp;"","?"))</f>
        <v/>
      </c>
      <c r="N5647" s="2">
        <f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>
        <f>IF(OR(F5647="",G5647=""),"",IF(G5647&lt;='RETRATO 2027'!$K$5,"CONCLUÍDA",IF(F5647&lt;='RETRATO 2027'!$K$5,"EM ANDAMENTO","A INICIAR")))</f>
        <v/>
      </c>
    </row>
    <row r="5648">
      <c r="M5648" s="2">
        <f>IF(C5648="","",IFERROR(INDEX($S$5:$S$304,MATCH(C5648,$R$5:$R$304,0))&amp;"","?"))</f>
        <v/>
      </c>
      <c r="N5648" s="2">
        <f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>
        <f>IF(OR(F5648="",G5648=""),"",IF(G5648&lt;='RETRATO 2027'!$K$5,"CONCLUÍDA",IF(F5648&lt;='RETRATO 2027'!$K$5,"EM ANDAMENTO","A INICIAR")))</f>
        <v/>
      </c>
    </row>
    <row r="5649">
      <c r="M5649" s="2">
        <f>IF(C5649="","",IFERROR(INDEX($S$5:$S$304,MATCH(C5649,$R$5:$R$304,0))&amp;"","?"))</f>
        <v/>
      </c>
      <c r="N5649" s="2">
        <f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>
        <f>IF(OR(F5649="",G5649=""),"",IF(G5649&lt;='RETRATO 2027'!$K$5,"CONCLUÍDA",IF(F5649&lt;='RETRATO 2027'!$K$5,"EM ANDAMENTO","A INICIAR")))</f>
        <v/>
      </c>
    </row>
    <row r="5650">
      <c r="M5650" s="2">
        <f>IF(C5650="","",IFERROR(INDEX($S$5:$S$304,MATCH(C5650,$R$5:$R$304,0))&amp;"","?"))</f>
        <v/>
      </c>
      <c r="N5650" s="2">
        <f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>
        <f>IF(OR(F5650="",G5650=""),"",IF(G5650&lt;='RETRATO 2027'!$K$5,"CONCLUÍDA",IF(F5650&lt;='RETRATO 2027'!$K$5,"EM ANDAMENTO","A INICIAR")))</f>
        <v/>
      </c>
    </row>
    <row r="5651">
      <c r="M5651" s="2">
        <f>IF(C5651="","",IFERROR(INDEX($S$5:$S$304,MATCH(C5651,$R$5:$R$304,0))&amp;"","?"))</f>
        <v/>
      </c>
      <c r="N5651" s="2">
        <f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>
        <f>IF(OR(F5651="",G5651=""),"",IF(G5651&lt;='RETRATO 2027'!$K$5,"CONCLUÍDA",IF(F5651&lt;='RETRATO 2027'!$K$5,"EM ANDAMENTO","A INICIAR")))</f>
        <v/>
      </c>
    </row>
    <row r="5652">
      <c r="M5652" s="2">
        <f>IF(C5652="","",IFERROR(INDEX($S$5:$S$304,MATCH(C5652,$R$5:$R$304,0))&amp;"","?"))</f>
        <v/>
      </c>
      <c r="N5652" s="2">
        <f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>
        <f>IF(OR(F5652="",G5652=""),"",IF(G5652&lt;='RETRATO 2027'!$K$5,"CONCLUÍDA",IF(F5652&lt;='RETRATO 2027'!$K$5,"EM ANDAMENTO","A INICIAR")))</f>
        <v/>
      </c>
    </row>
    <row r="5653">
      <c r="M5653" s="2">
        <f>IF(C5653="","",IFERROR(INDEX($S$5:$S$304,MATCH(C5653,$R$5:$R$304,0))&amp;"","?"))</f>
        <v/>
      </c>
      <c r="N5653" s="2">
        <f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>
        <f>IF(OR(F5653="",G5653=""),"",IF(G5653&lt;='RETRATO 2027'!$K$5,"CONCLUÍDA",IF(F5653&lt;='RETRATO 2027'!$K$5,"EM ANDAMENTO","A INICIAR")))</f>
        <v/>
      </c>
    </row>
    <row r="5654">
      <c r="M5654" s="2">
        <f>IF(C5654="","",IFERROR(INDEX($S$5:$S$304,MATCH(C5654,$R$5:$R$304,0))&amp;"","?"))</f>
        <v/>
      </c>
      <c r="N5654" s="2">
        <f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>
        <f>IF(OR(F5654="",G5654=""),"",IF(G5654&lt;='RETRATO 2027'!$K$5,"CONCLUÍDA",IF(F5654&lt;='RETRATO 2027'!$K$5,"EM ANDAMENTO","A INICIAR")))</f>
        <v/>
      </c>
    </row>
    <row r="5655">
      <c r="M5655" s="2">
        <f>IF(C5655="","",IFERROR(INDEX($S$5:$S$304,MATCH(C5655,$R$5:$R$304,0))&amp;"","?"))</f>
        <v/>
      </c>
      <c r="N5655" s="2">
        <f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>
        <f>IF(OR(F5655="",G5655=""),"",IF(G5655&lt;='RETRATO 2027'!$K$5,"CONCLUÍDA",IF(F5655&lt;='RETRATO 2027'!$K$5,"EM ANDAMENTO","A INICIAR")))</f>
        <v/>
      </c>
    </row>
    <row r="5656">
      <c r="M5656" s="2">
        <f>IF(C5656="","",IFERROR(INDEX($S$5:$S$304,MATCH(C5656,$R$5:$R$304,0))&amp;"","?"))</f>
        <v/>
      </c>
      <c r="N5656" s="2">
        <f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>
        <f>IF(OR(F5656="",G5656=""),"",IF(G5656&lt;='RETRATO 2027'!$K$5,"CONCLUÍDA",IF(F5656&lt;='RETRATO 2027'!$K$5,"EM ANDAMENTO","A INICIAR")))</f>
        <v/>
      </c>
    </row>
    <row r="5657">
      <c r="M5657" s="2">
        <f>IF(C5657="","",IFERROR(INDEX($S$5:$S$304,MATCH(C5657,$R$5:$R$304,0))&amp;"","?"))</f>
        <v/>
      </c>
      <c r="N5657" s="2">
        <f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>
        <f>IF(OR(F5657="",G5657=""),"",IF(G5657&lt;='RETRATO 2027'!$K$5,"CONCLUÍDA",IF(F5657&lt;='RETRATO 2027'!$K$5,"EM ANDAMENTO","A INICIAR")))</f>
        <v/>
      </c>
    </row>
    <row r="5658">
      <c r="M5658" s="2">
        <f>IF(C5658="","",IFERROR(INDEX($S$5:$S$304,MATCH(C5658,$R$5:$R$304,0))&amp;"","?"))</f>
        <v/>
      </c>
      <c r="N5658" s="2">
        <f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>
        <f>IF(OR(F5658="",G5658=""),"",IF(G5658&lt;='RETRATO 2027'!$K$5,"CONCLUÍDA",IF(F5658&lt;='RETRATO 2027'!$K$5,"EM ANDAMENTO","A INICIAR")))</f>
        <v/>
      </c>
    </row>
    <row r="5659">
      <c r="M5659" s="2">
        <f>IF(C5659="","",IFERROR(INDEX($S$5:$S$304,MATCH(C5659,$R$5:$R$304,0))&amp;"","?"))</f>
        <v/>
      </c>
      <c r="N5659" s="2">
        <f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>
        <f>IF(OR(F5659="",G5659=""),"",IF(G5659&lt;='RETRATO 2027'!$K$5,"CONCLUÍDA",IF(F5659&lt;='RETRATO 2027'!$K$5,"EM ANDAMENTO","A INICIAR")))</f>
        <v/>
      </c>
    </row>
    <row r="5660">
      <c r="M5660" s="2">
        <f>IF(C5660="","",IFERROR(INDEX($S$5:$S$304,MATCH(C5660,$R$5:$R$304,0))&amp;"","?"))</f>
        <v/>
      </c>
      <c r="N5660" s="2">
        <f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>
        <f>IF(OR(F5660="",G5660=""),"",IF(G5660&lt;='RETRATO 2027'!$K$5,"CONCLUÍDA",IF(F5660&lt;='RETRATO 2027'!$K$5,"EM ANDAMENTO","A INICIAR")))</f>
        <v/>
      </c>
    </row>
    <row r="5661">
      <c r="M5661" s="2">
        <f>IF(C5661="","",IFERROR(INDEX($S$5:$S$304,MATCH(C5661,$R$5:$R$304,0))&amp;"","?"))</f>
        <v/>
      </c>
      <c r="N5661" s="2">
        <f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>
        <f>IF(OR(F5661="",G5661=""),"",IF(G5661&lt;='RETRATO 2027'!$K$5,"CONCLUÍDA",IF(F5661&lt;='RETRATO 2027'!$K$5,"EM ANDAMENTO","A INICIAR")))</f>
        <v/>
      </c>
    </row>
    <row r="5662">
      <c r="M5662" s="2">
        <f>IF(C5662="","",IFERROR(INDEX($S$5:$S$304,MATCH(C5662,$R$5:$R$304,0))&amp;"","?"))</f>
        <v/>
      </c>
      <c r="N5662" s="2">
        <f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>
        <f>IF(OR(F5662="",G5662=""),"",IF(G5662&lt;='RETRATO 2027'!$K$5,"CONCLUÍDA",IF(F5662&lt;='RETRATO 2027'!$K$5,"EM ANDAMENTO","A INICIAR")))</f>
        <v/>
      </c>
    </row>
    <row r="5663">
      <c r="M5663" s="2">
        <f>IF(C5663="","",IFERROR(INDEX($S$5:$S$304,MATCH(C5663,$R$5:$R$304,0))&amp;"","?"))</f>
        <v/>
      </c>
      <c r="N5663" s="2">
        <f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>
        <f>IF(OR(F5663="",G5663=""),"",IF(G5663&lt;='RETRATO 2027'!$K$5,"CONCLUÍDA",IF(F5663&lt;='RETRATO 2027'!$K$5,"EM ANDAMENTO","A INICIAR")))</f>
        <v/>
      </c>
    </row>
    <row r="5664">
      <c r="M5664" s="2">
        <f>IF(C5664="","",IFERROR(INDEX($S$5:$S$304,MATCH(C5664,$R$5:$R$304,0))&amp;"","?"))</f>
        <v/>
      </c>
      <c r="N5664" s="2">
        <f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>
        <f>IF(OR(F5664="",G5664=""),"",IF(G5664&lt;='RETRATO 2027'!$K$5,"CONCLUÍDA",IF(F5664&lt;='RETRATO 2027'!$K$5,"EM ANDAMENTO","A INICIAR")))</f>
        <v/>
      </c>
    </row>
    <row r="5665">
      <c r="M5665" s="2">
        <f>IF(C5665="","",IFERROR(INDEX($S$5:$S$304,MATCH(C5665,$R$5:$R$304,0))&amp;"","?"))</f>
        <v/>
      </c>
      <c r="N5665" s="2">
        <f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>
        <f>IF(OR(F5665="",G5665=""),"",IF(G5665&lt;='RETRATO 2027'!$K$5,"CONCLUÍDA",IF(F5665&lt;='RETRATO 2027'!$K$5,"EM ANDAMENTO","A INICIAR")))</f>
        <v/>
      </c>
    </row>
    <row r="5666">
      <c r="M5666" s="2">
        <f>IF(C5666="","",IFERROR(INDEX($S$5:$S$304,MATCH(C5666,$R$5:$R$304,0))&amp;"","?"))</f>
        <v/>
      </c>
      <c r="N5666" s="2">
        <f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>
        <f>IF(OR(F5666="",G5666=""),"",IF(G5666&lt;='RETRATO 2027'!$K$5,"CONCLUÍDA",IF(F5666&lt;='RETRATO 2027'!$K$5,"EM ANDAMENTO","A INICIAR")))</f>
        <v/>
      </c>
    </row>
    <row r="5667">
      <c r="M5667" s="2">
        <f>IF(C5667="","",IFERROR(INDEX($S$5:$S$304,MATCH(C5667,$R$5:$R$304,0))&amp;"","?"))</f>
        <v/>
      </c>
      <c r="N5667" s="2">
        <f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>
        <f>IF(OR(F5667="",G5667=""),"",IF(G5667&lt;='RETRATO 2027'!$K$5,"CONCLUÍDA",IF(F5667&lt;='RETRATO 2027'!$K$5,"EM ANDAMENTO","A INICIAR")))</f>
        <v/>
      </c>
    </row>
    <row r="5668">
      <c r="M5668" s="2">
        <f>IF(C5668="","",IFERROR(INDEX($S$5:$S$304,MATCH(C5668,$R$5:$R$304,0))&amp;"","?"))</f>
        <v/>
      </c>
      <c r="N5668" s="2">
        <f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>
        <f>IF(OR(F5668="",G5668=""),"",IF(G5668&lt;='RETRATO 2027'!$K$5,"CONCLUÍDA",IF(F5668&lt;='RETRATO 2027'!$K$5,"EM ANDAMENTO","A INICIAR")))</f>
        <v/>
      </c>
    </row>
    <row r="5669">
      <c r="M5669" s="2">
        <f>IF(C5669="","",IFERROR(INDEX($S$5:$S$304,MATCH(C5669,$R$5:$R$304,0))&amp;"","?"))</f>
        <v/>
      </c>
      <c r="N5669" s="2">
        <f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>
        <f>IF(OR(F5669="",G5669=""),"",IF(G5669&lt;='RETRATO 2027'!$K$5,"CONCLUÍDA",IF(F5669&lt;='RETRATO 2027'!$K$5,"EM ANDAMENTO","A INICIAR")))</f>
        <v/>
      </c>
    </row>
    <row r="5670">
      <c r="M5670" s="2">
        <f>IF(C5670="","",IFERROR(INDEX($S$5:$S$304,MATCH(C5670,$R$5:$R$304,0))&amp;"","?"))</f>
        <v/>
      </c>
      <c r="N5670" s="2">
        <f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>
        <f>IF(OR(F5670="",G5670=""),"",IF(G5670&lt;='RETRATO 2027'!$K$5,"CONCLUÍDA",IF(F5670&lt;='RETRATO 2027'!$K$5,"EM ANDAMENTO","A INICIAR")))</f>
        <v/>
      </c>
    </row>
    <row r="5671">
      <c r="M5671" s="2">
        <f>IF(C5671="","",IFERROR(INDEX($S$5:$S$304,MATCH(C5671,$R$5:$R$304,0))&amp;"","?"))</f>
        <v/>
      </c>
      <c r="N5671" s="2">
        <f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>
        <f>IF(OR(F5671="",G5671=""),"",IF(G5671&lt;='RETRATO 2027'!$K$5,"CONCLUÍDA",IF(F5671&lt;='RETRATO 2027'!$K$5,"EM ANDAMENTO","A INICIAR")))</f>
        <v/>
      </c>
    </row>
    <row r="5672">
      <c r="M5672" s="2">
        <f>IF(C5672="","",IFERROR(INDEX($S$5:$S$304,MATCH(C5672,$R$5:$R$304,0))&amp;"","?"))</f>
        <v/>
      </c>
      <c r="N5672" s="2">
        <f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>
        <f>IF(OR(F5672="",G5672=""),"",IF(G5672&lt;='RETRATO 2027'!$K$5,"CONCLUÍDA",IF(F5672&lt;='RETRATO 2027'!$K$5,"EM ANDAMENTO","A INICIAR")))</f>
        <v/>
      </c>
    </row>
    <row r="5673">
      <c r="M5673" s="2">
        <f>IF(C5673="","",IFERROR(INDEX($S$5:$S$304,MATCH(C5673,$R$5:$R$304,0))&amp;"","?"))</f>
        <v/>
      </c>
      <c r="N5673" s="2">
        <f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>
        <f>IF(OR(F5673="",G5673=""),"",IF(G5673&lt;='RETRATO 2027'!$K$5,"CONCLUÍDA",IF(F5673&lt;='RETRATO 2027'!$K$5,"EM ANDAMENTO","A INICIAR")))</f>
        <v/>
      </c>
    </row>
    <row r="5674">
      <c r="M5674" s="2">
        <f>IF(C5674="","",IFERROR(INDEX($S$5:$S$304,MATCH(C5674,$R$5:$R$304,0))&amp;"","?"))</f>
        <v/>
      </c>
      <c r="N5674" s="2">
        <f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>
        <f>IF(OR(F5674="",G5674=""),"",IF(G5674&lt;='RETRATO 2027'!$K$5,"CONCLUÍDA",IF(F5674&lt;='RETRATO 2027'!$K$5,"EM ANDAMENTO","A INICIAR")))</f>
        <v/>
      </c>
    </row>
    <row r="5675">
      <c r="M5675" s="2">
        <f>IF(C5675="","",IFERROR(INDEX($S$5:$S$304,MATCH(C5675,$R$5:$R$304,0))&amp;"","?"))</f>
        <v/>
      </c>
      <c r="N5675" s="2">
        <f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>
        <f>IF(OR(F5675="",G5675=""),"",IF(G5675&lt;='RETRATO 2027'!$K$5,"CONCLUÍDA",IF(F5675&lt;='RETRATO 2027'!$K$5,"EM ANDAMENTO","A INICIAR")))</f>
        <v/>
      </c>
    </row>
    <row r="5676">
      <c r="M5676" s="2">
        <f>IF(C5676="","",IFERROR(INDEX($S$5:$S$304,MATCH(C5676,$R$5:$R$304,0))&amp;"","?"))</f>
        <v/>
      </c>
      <c r="N5676" s="2">
        <f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>
        <f>IF(OR(F5676="",G5676=""),"",IF(G5676&lt;='RETRATO 2027'!$K$5,"CONCLUÍDA",IF(F5676&lt;='RETRATO 2027'!$K$5,"EM ANDAMENTO","A INICIAR")))</f>
        <v/>
      </c>
    </row>
    <row r="5677">
      <c r="M5677" s="2">
        <f>IF(C5677="","",IFERROR(INDEX($S$5:$S$304,MATCH(C5677,$R$5:$R$304,0))&amp;"","?"))</f>
        <v/>
      </c>
      <c r="N5677" s="2">
        <f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>
        <f>IF(OR(F5677="",G5677=""),"",IF(G5677&lt;='RETRATO 2027'!$K$5,"CONCLUÍDA",IF(F5677&lt;='RETRATO 2027'!$K$5,"EM ANDAMENTO","A INICIAR")))</f>
        <v/>
      </c>
    </row>
    <row r="5678">
      <c r="M5678" s="2">
        <f>IF(C5678="","",IFERROR(INDEX($S$5:$S$304,MATCH(C5678,$R$5:$R$304,0))&amp;"","?"))</f>
        <v/>
      </c>
      <c r="N5678" s="2">
        <f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>
        <f>IF(OR(F5678="",G5678=""),"",IF(G5678&lt;='RETRATO 2027'!$K$5,"CONCLUÍDA",IF(F5678&lt;='RETRATO 2027'!$K$5,"EM ANDAMENTO","A INICIAR")))</f>
        <v/>
      </c>
    </row>
    <row r="5679">
      <c r="M5679" s="2">
        <f>IF(C5679="","",IFERROR(INDEX($S$5:$S$304,MATCH(C5679,$R$5:$R$304,0))&amp;"","?"))</f>
        <v/>
      </c>
      <c r="N5679" s="2">
        <f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>
        <f>IF(OR(F5679="",G5679=""),"",IF(G5679&lt;='RETRATO 2027'!$K$5,"CONCLUÍDA",IF(F5679&lt;='RETRATO 2027'!$K$5,"EM ANDAMENTO","A INICIAR")))</f>
        <v/>
      </c>
    </row>
    <row r="5680">
      <c r="M5680" s="2">
        <f>IF(C5680="","",IFERROR(INDEX($S$5:$S$304,MATCH(C5680,$R$5:$R$304,0))&amp;"","?"))</f>
        <v/>
      </c>
      <c r="N5680" s="2">
        <f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>
        <f>IF(OR(F5680="",G5680=""),"",IF(G5680&lt;='RETRATO 2027'!$K$5,"CONCLUÍDA",IF(F5680&lt;='RETRATO 2027'!$K$5,"EM ANDAMENTO","A INICIAR")))</f>
        <v/>
      </c>
    </row>
    <row r="5681">
      <c r="M5681" s="2">
        <f>IF(C5681="","",IFERROR(INDEX($S$5:$S$304,MATCH(C5681,$R$5:$R$304,0))&amp;"","?"))</f>
        <v/>
      </c>
      <c r="N5681" s="2">
        <f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>
        <f>IF(OR(F5681="",G5681=""),"",IF(G5681&lt;='RETRATO 2027'!$K$5,"CONCLUÍDA",IF(F5681&lt;='RETRATO 2027'!$K$5,"EM ANDAMENTO","A INICIAR")))</f>
        <v/>
      </c>
    </row>
    <row r="5682">
      <c r="M5682" s="2">
        <f>IF(C5682="","",IFERROR(INDEX($S$5:$S$304,MATCH(C5682,$R$5:$R$304,0))&amp;"","?"))</f>
        <v/>
      </c>
      <c r="N5682" s="2">
        <f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>
        <f>IF(OR(F5682="",G5682=""),"",IF(G5682&lt;='RETRATO 2027'!$K$5,"CONCLUÍDA",IF(F5682&lt;='RETRATO 2027'!$K$5,"EM ANDAMENTO","A INICIAR")))</f>
        <v/>
      </c>
    </row>
    <row r="5683">
      <c r="M5683" s="2">
        <f>IF(C5683="","",IFERROR(INDEX($S$5:$S$304,MATCH(C5683,$R$5:$R$304,0))&amp;"","?"))</f>
        <v/>
      </c>
      <c r="N5683" s="2">
        <f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>
        <f>IF(OR(F5683="",G5683=""),"",IF(G5683&lt;='RETRATO 2027'!$K$5,"CONCLUÍDA",IF(F5683&lt;='RETRATO 2027'!$K$5,"EM ANDAMENTO","A INICIAR")))</f>
        <v/>
      </c>
    </row>
    <row r="5684">
      <c r="M5684" s="2">
        <f>IF(C5684="","",IFERROR(INDEX($S$5:$S$304,MATCH(C5684,$R$5:$R$304,0))&amp;"","?"))</f>
        <v/>
      </c>
      <c r="N5684" s="2">
        <f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>
        <f>IF(OR(F5684="",G5684=""),"",IF(G5684&lt;='RETRATO 2027'!$K$5,"CONCLUÍDA",IF(F5684&lt;='RETRATO 2027'!$K$5,"EM ANDAMENTO","A INICIAR")))</f>
        <v/>
      </c>
    </row>
    <row r="5685">
      <c r="M5685" s="2">
        <f>IF(C5685="","",IFERROR(INDEX($S$5:$S$304,MATCH(C5685,$R$5:$R$304,0))&amp;"","?"))</f>
        <v/>
      </c>
      <c r="N5685" s="2">
        <f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>
        <f>IF(OR(F5685="",G5685=""),"",IF(G5685&lt;='RETRATO 2027'!$K$5,"CONCLUÍDA",IF(F5685&lt;='RETRATO 2027'!$K$5,"EM ANDAMENTO","A INICIAR")))</f>
        <v/>
      </c>
    </row>
    <row r="5686">
      <c r="M5686" s="2">
        <f>IF(C5686="","",IFERROR(INDEX($S$5:$S$304,MATCH(C5686,$R$5:$R$304,0))&amp;"","?"))</f>
        <v/>
      </c>
      <c r="N5686" s="2">
        <f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>
        <f>IF(OR(F5686="",G5686=""),"",IF(G5686&lt;='RETRATO 2027'!$K$5,"CONCLUÍDA",IF(F5686&lt;='RETRATO 2027'!$K$5,"EM ANDAMENTO","A INICIAR")))</f>
        <v/>
      </c>
    </row>
    <row r="5687">
      <c r="M5687" s="2">
        <f>IF(C5687="","",IFERROR(INDEX($S$5:$S$304,MATCH(C5687,$R$5:$R$304,0))&amp;"","?"))</f>
        <v/>
      </c>
      <c r="N5687" s="2">
        <f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>
        <f>IF(OR(F5687="",G5687=""),"",IF(G5687&lt;='RETRATO 2027'!$K$5,"CONCLUÍDA",IF(F5687&lt;='RETRATO 2027'!$K$5,"EM ANDAMENTO","A INICIAR")))</f>
        <v/>
      </c>
    </row>
    <row r="5688">
      <c r="M5688" s="2">
        <f>IF(C5688="","",IFERROR(INDEX($S$5:$S$304,MATCH(C5688,$R$5:$R$304,0))&amp;"","?"))</f>
        <v/>
      </c>
      <c r="N5688" s="2">
        <f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>
        <f>IF(OR(F5688="",G5688=""),"",IF(G5688&lt;='RETRATO 2027'!$K$5,"CONCLUÍDA",IF(F5688&lt;='RETRATO 2027'!$K$5,"EM ANDAMENTO","A INICIAR")))</f>
        <v/>
      </c>
    </row>
    <row r="5689">
      <c r="M5689" s="2">
        <f>IF(C5689="","",IFERROR(INDEX($S$5:$S$304,MATCH(C5689,$R$5:$R$304,0))&amp;"","?"))</f>
        <v/>
      </c>
      <c r="N5689" s="2">
        <f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>
        <f>IF(OR(F5689="",G5689=""),"",IF(G5689&lt;='RETRATO 2027'!$K$5,"CONCLUÍDA",IF(F5689&lt;='RETRATO 2027'!$K$5,"EM ANDAMENTO","A INICIAR")))</f>
        <v/>
      </c>
    </row>
    <row r="5690">
      <c r="M5690" s="2">
        <f>IF(C5690="","",IFERROR(INDEX($S$5:$S$304,MATCH(C5690,$R$5:$R$304,0))&amp;"","?"))</f>
        <v/>
      </c>
      <c r="N5690" s="2">
        <f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>
        <f>IF(OR(F5690="",G5690=""),"",IF(G5690&lt;='RETRATO 2027'!$K$5,"CONCLUÍDA",IF(F5690&lt;='RETRATO 2027'!$K$5,"EM ANDAMENTO","A INICIAR")))</f>
        <v/>
      </c>
    </row>
    <row r="5691">
      <c r="M5691" s="2">
        <f>IF(C5691="","",IFERROR(INDEX($S$5:$S$304,MATCH(C5691,$R$5:$R$304,0))&amp;"","?"))</f>
        <v/>
      </c>
      <c r="N5691" s="2">
        <f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>
        <f>IF(OR(F5691="",G5691=""),"",IF(G5691&lt;='RETRATO 2027'!$K$5,"CONCLUÍDA",IF(F5691&lt;='RETRATO 2027'!$K$5,"EM ANDAMENTO","A INICIAR")))</f>
        <v/>
      </c>
    </row>
    <row r="5692">
      <c r="M5692" s="2">
        <f>IF(C5692="","",IFERROR(INDEX($S$5:$S$304,MATCH(C5692,$R$5:$R$304,0))&amp;"","?"))</f>
        <v/>
      </c>
      <c r="N5692" s="2">
        <f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>
        <f>IF(OR(F5692="",G5692=""),"",IF(G5692&lt;='RETRATO 2027'!$K$5,"CONCLUÍDA",IF(F5692&lt;='RETRATO 2027'!$K$5,"EM ANDAMENTO","A INICIAR")))</f>
        <v/>
      </c>
    </row>
    <row r="5693">
      <c r="M5693" s="2">
        <f>IF(C5693="","",IFERROR(INDEX($S$5:$S$304,MATCH(C5693,$R$5:$R$304,0))&amp;"","?"))</f>
        <v/>
      </c>
      <c r="N5693" s="2">
        <f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>
        <f>IF(OR(F5693="",G5693=""),"",IF(G5693&lt;='RETRATO 2027'!$K$5,"CONCLUÍDA",IF(F5693&lt;='RETRATO 2027'!$K$5,"EM ANDAMENTO","A INICIAR")))</f>
        <v/>
      </c>
    </row>
    <row r="5694">
      <c r="M5694" s="2">
        <f>IF(C5694="","",IFERROR(INDEX($S$5:$S$304,MATCH(C5694,$R$5:$R$304,0))&amp;"","?"))</f>
        <v/>
      </c>
      <c r="N5694" s="2">
        <f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>
        <f>IF(OR(F5694="",G5694=""),"",IF(G5694&lt;='RETRATO 2027'!$K$5,"CONCLUÍDA",IF(F5694&lt;='RETRATO 2027'!$K$5,"EM ANDAMENTO","A INICIAR")))</f>
        <v/>
      </c>
    </row>
    <row r="5695">
      <c r="M5695" s="2">
        <f>IF(C5695="","",IFERROR(INDEX($S$5:$S$304,MATCH(C5695,$R$5:$R$304,0))&amp;"","?"))</f>
        <v/>
      </c>
      <c r="N5695" s="2">
        <f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>
        <f>IF(OR(F5695="",G5695=""),"",IF(G5695&lt;='RETRATO 2027'!$K$5,"CONCLUÍDA",IF(F5695&lt;='RETRATO 2027'!$K$5,"EM ANDAMENTO","A INICIAR")))</f>
        <v/>
      </c>
    </row>
    <row r="5696">
      <c r="M5696" s="2">
        <f>IF(C5696="","",IFERROR(INDEX($S$5:$S$304,MATCH(C5696,$R$5:$R$304,0))&amp;"","?"))</f>
        <v/>
      </c>
      <c r="N5696" s="2">
        <f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>
        <f>IF(OR(F5696="",G5696=""),"",IF(G5696&lt;='RETRATO 2027'!$K$5,"CONCLUÍDA",IF(F5696&lt;='RETRATO 2027'!$K$5,"EM ANDAMENTO","A INICIAR")))</f>
        <v/>
      </c>
    </row>
    <row r="5697">
      <c r="M5697" s="2">
        <f>IF(C5697="","",IFERROR(INDEX($S$5:$S$304,MATCH(C5697,$R$5:$R$304,0))&amp;"","?"))</f>
        <v/>
      </c>
      <c r="N5697" s="2">
        <f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>
        <f>IF(OR(F5697="",G5697=""),"",IF(G5697&lt;='RETRATO 2027'!$K$5,"CONCLUÍDA",IF(F5697&lt;='RETRATO 2027'!$K$5,"EM ANDAMENTO","A INICIAR")))</f>
        <v/>
      </c>
    </row>
    <row r="5698">
      <c r="M5698" s="2">
        <f>IF(C5698="","",IFERROR(INDEX($S$5:$S$304,MATCH(C5698,$R$5:$R$304,0))&amp;"","?"))</f>
        <v/>
      </c>
      <c r="N5698" s="2">
        <f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>
        <f>IF(OR(F5698="",G5698=""),"",IF(G5698&lt;='RETRATO 2027'!$K$5,"CONCLUÍDA",IF(F5698&lt;='RETRATO 2027'!$K$5,"EM ANDAMENTO","A INICIAR")))</f>
        <v/>
      </c>
    </row>
    <row r="5699">
      <c r="M5699" s="2">
        <f>IF(C5699="","",IFERROR(INDEX($S$5:$S$304,MATCH(C5699,$R$5:$R$304,0))&amp;"","?"))</f>
        <v/>
      </c>
      <c r="N5699" s="2">
        <f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>
        <f>IF(OR(F5699="",G5699=""),"",IF(G5699&lt;='RETRATO 2027'!$K$5,"CONCLUÍDA",IF(F5699&lt;='RETRATO 2027'!$K$5,"EM ANDAMENTO","A INICIAR")))</f>
        <v/>
      </c>
    </row>
    <row r="5700">
      <c r="M5700" s="2">
        <f>IF(C5700="","",IFERROR(INDEX($S$5:$S$304,MATCH(C5700,$R$5:$R$304,0))&amp;"","?"))</f>
        <v/>
      </c>
      <c r="N5700" s="2">
        <f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>
        <f>IF(OR(F5700="",G5700=""),"",IF(G5700&lt;='RETRATO 2027'!$K$5,"CONCLUÍDA",IF(F5700&lt;='RETRATO 2027'!$K$5,"EM ANDAMENTO","A INICIAR")))</f>
        <v/>
      </c>
    </row>
    <row r="5701">
      <c r="M5701" s="2">
        <f>IF(C5701="","",IFERROR(INDEX($S$5:$S$304,MATCH(C5701,$R$5:$R$304,0))&amp;"","?"))</f>
        <v/>
      </c>
      <c r="N5701" s="2">
        <f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>
        <f>IF(OR(F5701="",G5701=""),"",IF(G5701&lt;='RETRATO 2027'!$K$5,"CONCLUÍDA",IF(F5701&lt;='RETRATO 2027'!$K$5,"EM ANDAMENTO","A INICIAR")))</f>
        <v/>
      </c>
    </row>
    <row r="5702">
      <c r="M5702" s="2">
        <f>IF(C5702="","",IFERROR(INDEX($S$5:$S$304,MATCH(C5702,$R$5:$R$304,0))&amp;"","?"))</f>
        <v/>
      </c>
      <c r="N5702" s="2">
        <f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>
        <f>IF(OR(F5702="",G5702=""),"",IF(G5702&lt;='RETRATO 2027'!$K$5,"CONCLUÍDA",IF(F5702&lt;='RETRATO 2027'!$K$5,"EM ANDAMENTO","A INICIAR")))</f>
        <v/>
      </c>
    </row>
    <row r="5703">
      <c r="M5703" s="2">
        <f>IF(C5703="","",IFERROR(INDEX($S$5:$S$304,MATCH(C5703,$R$5:$R$304,0))&amp;"","?"))</f>
        <v/>
      </c>
      <c r="N5703" s="2">
        <f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>
        <f>IF(OR(F5703="",G5703=""),"",IF(G5703&lt;='RETRATO 2027'!$K$5,"CONCLUÍDA",IF(F5703&lt;='RETRATO 2027'!$K$5,"EM ANDAMENTO","A INICIAR")))</f>
        <v/>
      </c>
    </row>
    <row r="5704">
      <c r="M5704" s="2">
        <f>IF(C5704="","",IFERROR(INDEX($S$5:$S$304,MATCH(C5704,$R$5:$R$304,0))&amp;"","?"))</f>
        <v/>
      </c>
      <c r="N5704" s="2">
        <f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>
        <f>IF(OR(F5704="",G5704=""),"",IF(G5704&lt;='RETRATO 2027'!$K$5,"CONCLUÍDA",IF(F5704&lt;='RETRATO 2027'!$K$5,"EM ANDAMENTO","A INICIAR")))</f>
        <v/>
      </c>
    </row>
    <row r="5705">
      <c r="M5705" s="2">
        <f>IF(C5705="","",IFERROR(INDEX($S$5:$S$304,MATCH(C5705,$R$5:$R$304,0))&amp;"","?"))</f>
        <v/>
      </c>
      <c r="N5705" s="2">
        <f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>
        <f>IF(OR(F5705="",G5705=""),"",IF(G5705&lt;='RETRATO 2027'!$K$5,"CONCLUÍDA",IF(F5705&lt;='RETRATO 2027'!$K$5,"EM ANDAMENTO","A INICIAR")))</f>
        <v/>
      </c>
    </row>
    <row r="5706">
      <c r="M5706" s="2">
        <f>IF(C5706="","",IFERROR(INDEX($S$5:$S$304,MATCH(C5706,$R$5:$R$304,0))&amp;"","?"))</f>
        <v/>
      </c>
      <c r="N5706" s="2">
        <f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>
        <f>IF(OR(F5706="",G5706=""),"",IF(G5706&lt;='RETRATO 2027'!$K$5,"CONCLUÍDA",IF(F5706&lt;='RETRATO 2027'!$K$5,"EM ANDAMENTO","A INICIAR")))</f>
        <v/>
      </c>
    </row>
    <row r="5707">
      <c r="M5707" s="2">
        <f>IF(C5707="","",IFERROR(INDEX($S$5:$S$304,MATCH(C5707,$R$5:$R$304,0))&amp;"","?"))</f>
        <v/>
      </c>
      <c r="N5707" s="2">
        <f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>
        <f>IF(OR(F5707="",G5707=""),"",IF(G5707&lt;='RETRATO 2027'!$K$5,"CONCLUÍDA",IF(F5707&lt;='RETRATO 2027'!$K$5,"EM ANDAMENTO","A INICIAR")))</f>
        <v/>
      </c>
    </row>
    <row r="5708">
      <c r="M5708" s="2">
        <f>IF(C5708="","",IFERROR(INDEX($S$5:$S$304,MATCH(C5708,$R$5:$R$304,0))&amp;"","?"))</f>
        <v/>
      </c>
      <c r="N5708" s="2">
        <f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>
        <f>IF(OR(F5708="",G5708=""),"",IF(G5708&lt;='RETRATO 2027'!$K$5,"CONCLUÍDA",IF(F5708&lt;='RETRATO 2027'!$K$5,"EM ANDAMENTO","A INICIAR")))</f>
        <v/>
      </c>
    </row>
    <row r="5709">
      <c r="M5709" s="2">
        <f>IF(C5709="","",IFERROR(INDEX($S$5:$S$304,MATCH(C5709,$R$5:$R$304,0))&amp;"","?"))</f>
        <v/>
      </c>
      <c r="N5709" s="2">
        <f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>
        <f>IF(OR(F5709="",G5709=""),"",IF(G5709&lt;='RETRATO 2027'!$K$5,"CONCLUÍDA",IF(F5709&lt;='RETRATO 2027'!$K$5,"EM ANDAMENTO","A INICIAR")))</f>
        <v/>
      </c>
    </row>
    <row r="5710">
      <c r="M5710" s="2">
        <f>IF(C5710="","",IFERROR(INDEX($S$5:$S$304,MATCH(C5710,$R$5:$R$304,0))&amp;"","?"))</f>
        <v/>
      </c>
      <c r="N5710" s="2">
        <f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>
        <f>IF(OR(F5710="",G5710=""),"",IF(G5710&lt;='RETRATO 2027'!$K$5,"CONCLUÍDA",IF(F5710&lt;='RETRATO 2027'!$K$5,"EM ANDAMENTO","A INICIAR")))</f>
        <v/>
      </c>
    </row>
    <row r="5711">
      <c r="M5711" s="2">
        <f>IF(C5711="","",IFERROR(INDEX($S$5:$S$304,MATCH(C5711,$R$5:$R$304,0))&amp;"","?"))</f>
        <v/>
      </c>
      <c r="N5711" s="2">
        <f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>
        <f>IF(OR(F5711="",G5711=""),"",IF(G5711&lt;='RETRATO 2027'!$K$5,"CONCLUÍDA",IF(F5711&lt;='RETRATO 2027'!$K$5,"EM ANDAMENTO","A INICIAR")))</f>
        <v/>
      </c>
    </row>
    <row r="5712">
      <c r="M5712" s="2">
        <f>IF(C5712="","",IFERROR(INDEX($S$5:$S$304,MATCH(C5712,$R$5:$R$304,0))&amp;"","?"))</f>
        <v/>
      </c>
      <c r="N5712" s="2">
        <f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>
        <f>IF(OR(F5712="",G5712=""),"",IF(G5712&lt;='RETRATO 2027'!$K$5,"CONCLUÍDA",IF(F5712&lt;='RETRATO 2027'!$K$5,"EM ANDAMENTO","A INICIAR")))</f>
        <v/>
      </c>
    </row>
    <row r="5713">
      <c r="M5713" s="2">
        <f>IF(C5713="","",IFERROR(INDEX($S$5:$S$304,MATCH(C5713,$R$5:$R$304,0))&amp;"","?"))</f>
        <v/>
      </c>
      <c r="N5713" s="2">
        <f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>
        <f>IF(OR(F5713="",G5713=""),"",IF(G5713&lt;='RETRATO 2027'!$K$5,"CONCLUÍDA",IF(F5713&lt;='RETRATO 2027'!$K$5,"EM ANDAMENTO","A INICIAR")))</f>
        <v/>
      </c>
    </row>
    <row r="5714">
      <c r="M5714" s="2">
        <f>IF(C5714="","",IFERROR(INDEX($S$5:$S$304,MATCH(C5714,$R$5:$R$304,0))&amp;"","?"))</f>
        <v/>
      </c>
      <c r="N5714" s="2">
        <f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>
        <f>IF(OR(F5714="",G5714=""),"",IF(G5714&lt;='RETRATO 2027'!$K$5,"CONCLUÍDA",IF(F5714&lt;='RETRATO 2027'!$K$5,"EM ANDAMENTO","A INICIAR")))</f>
        <v/>
      </c>
    </row>
    <row r="5715">
      <c r="M5715" s="2">
        <f>IF(C5715="","",IFERROR(INDEX($S$5:$S$304,MATCH(C5715,$R$5:$R$304,0))&amp;"","?"))</f>
        <v/>
      </c>
      <c r="N5715" s="2">
        <f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>
        <f>IF(OR(F5715="",G5715=""),"",IF(G5715&lt;='RETRATO 2027'!$K$5,"CONCLUÍDA",IF(F5715&lt;='RETRATO 2027'!$K$5,"EM ANDAMENTO","A INICIAR")))</f>
        <v/>
      </c>
    </row>
    <row r="5716">
      <c r="M5716" s="2">
        <f>IF(C5716="","",IFERROR(INDEX($S$5:$S$304,MATCH(C5716,$R$5:$R$304,0))&amp;"","?"))</f>
        <v/>
      </c>
      <c r="N5716" s="2">
        <f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>
        <f>IF(OR(F5716="",G5716=""),"",IF(G5716&lt;='RETRATO 2027'!$K$5,"CONCLUÍDA",IF(F5716&lt;='RETRATO 2027'!$K$5,"EM ANDAMENTO","A INICIAR")))</f>
        <v/>
      </c>
    </row>
    <row r="5717">
      <c r="M5717" s="2">
        <f>IF(C5717="","",IFERROR(INDEX($S$5:$S$304,MATCH(C5717,$R$5:$R$304,0))&amp;"","?"))</f>
        <v/>
      </c>
      <c r="N5717" s="2">
        <f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>
        <f>IF(OR(F5717="",G5717=""),"",IF(G5717&lt;='RETRATO 2027'!$K$5,"CONCLUÍDA",IF(F5717&lt;='RETRATO 2027'!$K$5,"EM ANDAMENTO","A INICIAR")))</f>
        <v/>
      </c>
    </row>
    <row r="5718">
      <c r="M5718" s="2">
        <f>IF(C5718="","",IFERROR(INDEX($S$5:$S$304,MATCH(C5718,$R$5:$R$304,0))&amp;"","?"))</f>
        <v/>
      </c>
      <c r="N5718" s="2">
        <f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>
        <f>IF(OR(F5718="",G5718=""),"",IF(G5718&lt;='RETRATO 2027'!$K$5,"CONCLUÍDA",IF(F5718&lt;='RETRATO 2027'!$K$5,"EM ANDAMENTO","A INICIAR")))</f>
        <v/>
      </c>
    </row>
    <row r="5719">
      <c r="M5719" s="2">
        <f>IF(C5719="","",IFERROR(INDEX($S$5:$S$304,MATCH(C5719,$R$5:$R$304,0))&amp;"","?"))</f>
        <v/>
      </c>
      <c r="N5719" s="2">
        <f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>
        <f>IF(OR(F5719="",G5719=""),"",IF(G5719&lt;='RETRATO 2027'!$K$5,"CONCLUÍDA",IF(F5719&lt;='RETRATO 2027'!$K$5,"EM ANDAMENTO","A INICIAR")))</f>
        <v/>
      </c>
    </row>
    <row r="5720">
      <c r="M5720" s="2">
        <f>IF(C5720="","",IFERROR(INDEX($S$5:$S$304,MATCH(C5720,$R$5:$R$304,0))&amp;"","?"))</f>
        <v/>
      </c>
      <c r="N5720" s="2">
        <f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>
        <f>IF(OR(F5720="",G5720=""),"",IF(G5720&lt;='RETRATO 2027'!$K$5,"CONCLUÍDA",IF(F5720&lt;='RETRATO 2027'!$K$5,"EM ANDAMENTO","A INICIAR")))</f>
        <v/>
      </c>
    </row>
    <row r="5721">
      <c r="M5721" s="2">
        <f>IF(C5721="","",IFERROR(INDEX($S$5:$S$304,MATCH(C5721,$R$5:$R$304,0))&amp;"","?"))</f>
        <v/>
      </c>
      <c r="N5721" s="2">
        <f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>
        <f>IF(OR(F5721="",G5721=""),"",IF(G5721&lt;='RETRATO 2027'!$K$5,"CONCLUÍDA",IF(F5721&lt;='RETRATO 2027'!$K$5,"EM ANDAMENTO","A INICIAR")))</f>
        <v/>
      </c>
    </row>
    <row r="5722">
      <c r="M5722" s="2">
        <f>IF(C5722="","",IFERROR(INDEX($S$5:$S$304,MATCH(C5722,$R$5:$R$304,0))&amp;"","?"))</f>
        <v/>
      </c>
      <c r="N5722" s="2">
        <f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>
        <f>IF(OR(F5722="",G5722=""),"",IF(G5722&lt;='RETRATO 2027'!$K$5,"CONCLUÍDA",IF(F5722&lt;='RETRATO 2027'!$K$5,"EM ANDAMENTO","A INICIAR")))</f>
        <v/>
      </c>
    </row>
    <row r="5723">
      <c r="M5723" s="2">
        <f>IF(C5723="","",IFERROR(INDEX($S$5:$S$304,MATCH(C5723,$R$5:$R$304,0))&amp;"","?"))</f>
        <v/>
      </c>
      <c r="N5723" s="2">
        <f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>
        <f>IF(OR(F5723="",G5723=""),"",IF(G5723&lt;='RETRATO 2027'!$K$5,"CONCLUÍDA",IF(F5723&lt;='RETRATO 2027'!$K$5,"EM ANDAMENTO","A INICIAR")))</f>
        <v/>
      </c>
    </row>
    <row r="5724">
      <c r="M5724" s="2">
        <f>IF(C5724="","",IFERROR(INDEX($S$5:$S$304,MATCH(C5724,$R$5:$R$304,0))&amp;"","?"))</f>
        <v/>
      </c>
      <c r="N5724" s="2">
        <f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>
        <f>IF(OR(F5724="",G5724=""),"",IF(G5724&lt;='RETRATO 2027'!$K$5,"CONCLUÍDA",IF(F5724&lt;='RETRATO 2027'!$K$5,"EM ANDAMENTO","A INICIAR")))</f>
        <v/>
      </c>
    </row>
    <row r="5725">
      <c r="M5725" s="2">
        <f>IF(C5725="","",IFERROR(INDEX($S$5:$S$304,MATCH(C5725,$R$5:$R$304,0))&amp;"","?"))</f>
        <v/>
      </c>
      <c r="N5725" s="2">
        <f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>
        <f>IF(OR(F5725="",G5725=""),"",IF(G5725&lt;='RETRATO 2027'!$K$5,"CONCLUÍDA",IF(F5725&lt;='RETRATO 2027'!$K$5,"EM ANDAMENTO","A INICIAR")))</f>
        <v/>
      </c>
    </row>
    <row r="5726">
      <c r="M5726" s="2">
        <f>IF(C5726="","",IFERROR(INDEX($S$5:$S$304,MATCH(C5726,$R$5:$R$304,0))&amp;"","?"))</f>
        <v/>
      </c>
      <c r="N5726" s="2">
        <f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>
        <f>IF(OR(F5726="",G5726=""),"",IF(G5726&lt;='RETRATO 2027'!$K$5,"CONCLUÍDA",IF(F5726&lt;='RETRATO 2027'!$K$5,"EM ANDAMENTO","A INICIAR")))</f>
        <v/>
      </c>
    </row>
    <row r="5727">
      <c r="M5727" s="2">
        <f>IF(C5727="","",IFERROR(INDEX($S$5:$S$304,MATCH(C5727,$R$5:$R$304,0))&amp;"","?"))</f>
        <v/>
      </c>
      <c r="N5727" s="2">
        <f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>
        <f>IF(OR(F5727="",G5727=""),"",IF(G5727&lt;='RETRATO 2027'!$K$5,"CONCLUÍDA",IF(F5727&lt;='RETRATO 2027'!$K$5,"EM ANDAMENTO","A INICIAR")))</f>
        <v/>
      </c>
    </row>
    <row r="5728">
      <c r="M5728" s="2">
        <f>IF(C5728="","",IFERROR(INDEX($S$5:$S$304,MATCH(C5728,$R$5:$R$304,0))&amp;"","?"))</f>
        <v/>
      </c>
      <c r="N5728" s="2">
        <f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>
        <f>IF(OR(F5728="",G5728=""),"",IF(G5728&lt;='RETRATO 2027'!$K$5,"CONCLUÍDA",IF(F5728&lt;='RETRATO 2027'!$K$5,"EM ANDAMENTO","A INICIAR")))</f>
        <v/>
      </c>
    </row>
    <row r="5729">
      <c r="M5729" s="2">
        <f>IF(C5729="","",IFERROR(INDEX($S$5:$S$304,MATCH(C5729,$R$5:$R$304,0))&amp;"","?"))</f>
        <v/>
      </c>
      <c r="N5729" s="2">
        <f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>
        <f>IF(OR(F5729="",G5729=""),"",IF(G5729&lt;='RETRATO 2027'!$K$5,"CONCLUÍDA",IF(F5729&lt;='RETRATO 2027'!$K$5,"EM ANDAMENTO","A INICIAR")))</f>
        <v/>
      </c>
    </row>
    <row r="5730">
      <c r="M5730" s="2">
        <f>IF(C5730="","",IFERROR(INDEX($S$5:$S$304,MATCH(C5730,$R$5:$R$304,0))&amp;"","?"))</f>
        <v/>
      </c>
      <c r="N5730" s="2">
        <f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>
        <f>IF(OR(F5730="",G5730=""),"",IF(G5730&lt;='RETRATO 2027'!$K$5,"CONCLUÍDA",IF(F5730&lt;='RETRATO 2027'!$K$5,"EM ANDAMENTO","A INICIAR")))</f>
        <v/>
      </c>
    </row>
    <row r="5731">
      <c r="M5731" s="2">
        <f>IF(C5731="","",IFERROR(INDEX($S$5:$S$304,MATCH(C5731,$R$5:$R$304,0))&amp;"","?"))</f>
        <v/>
      </c>
      <c r="N5731" s="2">
        <f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>
        <f>IF(OR(F5731="",G5731=""),"",IF(G5731&lt;='RETRATO 2027'!$K$5,"CONCLUÍDA",IF(F5731&lt;='RETRATO 2027'!$K$5,"EM ANDAMENTO","A INICIAR")))</f>
        <v/>
      </c>
    </row>
    <row r="5732">
      <c r="M5732" s="2">
        <f>IF(C5732="","",IFERROR(INDEX($S$5:$S$304,MATCH(C5732,$R$5:$R$304,0))&amp;"","?"))</f>
        <v/>
      </c>
      <c r="N5732" s="2">
        <f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>
        <f>IF(OR(F5732="",G5732=""),"",IF(G5732&lt;='RETRATO 2027'!$K$5,"CONCLUÍDA",IF(F5732&lt;='RETRATO 2027'!$K$5,"EM ANDAMENTO","A INICIAR")))</f>
        <v/>
      </c>
    </row>
    <row r="5733">
      <c r="M5733" s="2">
        <f>IF(C5733="","",IFERROR(INDEX($S$5:$S$304,MATCH(C5733,$R$5:$R$304,0))&amp;"","?"))</f>
        <v/>
      </c>
      <c r="N5733" s="2">
        <f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>
        <f>IF(OR(F5733="",G5733=""),"",IF(G5733&lt;='RETRATO 2027'!$K$5,"CONCLUÍDA",IF(F5733&lt;='RETRATO 2027'!$K$5,"EM ANDAMENTO","A INICIAR")))</f>
        <v/>
      </c>
    </row>
    <row r="5734">
      <c r="M5734" s="2">
        <f>IF(C5734="","",IFERROR(INDEX($S$5:$S$304,MATCH(C5734,$R$5:$R$304,0))&amp;"","?"))</f>
        <v/>
      </c>
      <c r="N5734" s="2">
        <f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>
        <f>IF(OR(F5734="",G5734=""),"",IF(G5734&lt;='RETRATO 2027'!$K$5,"CONCLUÍDA",IF(F5734&lt;='RETRATO 2027'!$K$5,"EM ANDAMENTO","A INICIAR")))</f>
        <v/>
      </c>
    </row>
    <row r="5735">
      <c r="M5735" s="2">
        <f>IF(C5735="","",IFERROR(INDEX($S$5:$S$304,MATCH(C5735,$R$5:$R$304,0))&amp;"","?"))</f>
        <v/>
      </c>
      <c r="N5735" s="2">
        <f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>
        <f>IF(OR(F5735="",G5735=""),"",IF(G5735&lt;='RETRATO 2027'!$K$5,"CONCLUÍDA",IF(F5735&lt;='RETRATO 2027'!$K$5,"EM ANDAMENTO","A INICIAR")))</f>
        <v/>
      </c>
    </row>
    <row r="5736">
      <c r="M5736" s="2">
        <f>IF(C5736="","",IFERROR(INDEX($S$5:$S$304,MATCH(C5736,$R$5:$R$304,0))&amp;"","?"))</f>
        <v/>
      </c>
      <c r="N5736" s="2">
        <f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>
        <f>IF(OR(F5736="",G5736=""),"",IF(G5736&lt;='RETRATO 2027'!$K$5,"CONCLUÍDA",IF(F5736&lt;='RETRATO 2027'!$K$5,"EM ANDAMENTO","A INICIAR")))</f>
        <v/>
      </c>
    </row>
    <row r="5737">
      <c r="M5737" s="2">
        <f>IF(C5737="","",IFERROR(INDEX($S$5:$S$304,MATCH(C5737,$R$5:$R$304,0))&amp;"","?"))</f>
        <v/>
      </c>
      <c r="N5737" s="2">
        <f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>
        <f>IF(OR(F5737="",G5737=""),"",IF(G5737&lt;='RETRATO 2027'!$K$5,"CONCLUÍDA",IF(F5737&lt;='RETRATO 2027'!$K$5,"EM ANDAMENTO","A INICIAR")))</f>
        <v/>
      </c>
    </row>
    <row r="5738">
      <c r="M5738" s="2">
        <f>IF(C5738="","",IFERROR(INDEX($S$5:$S$304,MATCH(C5738,$R$5:$R$304,0))&amp;"","?"))</f>
        <v/>
      </c>
      <c r="N5738" s="2">
        <f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>
        <f>IF(OR(F5738="",G5738=""),"",IF(G5738&lt;='RETRATO 2027'!$K$5,"CONCLUÍDA",IF(F5738&lt;='RETRATO 2027'!$K$5,"EM ANDAMENTO","A INICIAR")))</f>
        <v/>
      </c>
    </row>
    <row r="5739">
      <c r="M5739" s="2">
        <f>IF(C5739="","",IFERROR(INDEX($S$5:$S$304,MATCH(C5739,$R$5:$R$304,0))&amp;"","?"))</f>
        <v/>
      </c>
      <c r="N5739" s="2">
        <f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>
        <f>IF(OR(F5739="",G5739=""),"",IF(G5739&lt;='RETRATO 2027'!$K$5,"CONCLUÍDA",IF(F5739&lt;='RETRATO 2027'!$K$5,"EM ANDAMENTO","A INICIAR")))</f>
        <v/>
      </c>
    </row>
    <row r="5740">
      <c r="M5740" s="2">
        <f>IF(C5740="","",IFERROR(INDEX($S$5:$S$304,MATCH(C5740,$R$5:$R$304,0))&amp;"","?"))</f>
        <v/>
      </c>
      <c r="N5740" s="2">
        <f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>
        <f>IF(OR(F5740="",G5740=""),"",IF(G5740&lt;='RETRATO 2027'!$K$5,"CONCLUÍDA",IF(F5740&lt;='RETRATO 2027'!$K$5,"EM ANDAMENTO","A INICIAR")))</f>
        <v/>
      </c>
    </row>
    <row r="5741">
      <c r="M5741" s="2">
        <f>IF(C5741="","",IFERROR(INDEX($S$5:$S$304,MATCH(C5741,$R$5:$R$304,0))&amp;"","?"))</f>
        <v/>
      </c>
      <c r="N5741" s="2">
        <f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>
        <f>IF(OR(F5741="",G5741=""),"",IF(G5741&lt;='RETRATO 2027'!$K$5,"CONCLUÍDA",IF(F5741&lt;='RETRATO 2027'!$K$5,"EM ANDAMENTO","A INICIAR")))</f>
        <v/>
      </c>
    </row>
    <row r="5742">
      <c r="M5742" s="2">
        <f>IF(C5742="","",IFERROR(INDEX($S$5:$S$304,MATCH(C5742,$R$5:$R$304,0))&amp;"","?"))</f>
        <v/>
      </c>
      <c r="N5742" s="2">
        <f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>
        <f>IF(OR(F5742="",G5742=""),"",IF(G5742&lt;='RETRATO 2027'!$K$5,"CONCLUÍDA",IF(F5742&lt;='RETRATO 2027'!$K$5,"EM ANDAMENTO","A INICIAR")))</f>
        <v/>
      </c>
    </row>
    <row r="5743">
      <c r="M5743" s="2">
        <f>IF(C5743="","",IFERROR(INDEX($S$5:$S$304,MATCH(C5743,$R$5:$R$304,0))&amp;"","?"))</f>
        <v/>
      </c>
      <c r="N5743" s="2">
        <f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>
        <f>IF(OR(F5743="",G5743=""),"",IF(G5743&lt;='RETRATO 2027'!$K$5,"CONCLUÍDA",IF(F5743&lt;='RETRATO 2027'!$K$5,"EM ANDAMENTO","A INICIAR")))</f>
        <v/>
      </c>
    </row>
    <row r="5744">
      <c r="M5744" s="2">
        <f>IF(C5744="","",IFERROR(INDEX($S$5:$S$304,MATCH(C5744,$R$5:$R$304,0))&amp;"","?"))</f>
        <v/>
      </c>
      <c r="N5744" s="2">
        <f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>
        <f>IF(OR(F5744="",G5744=""),"",IF(G5744&lt;='RETRATO 2027'!$K$5,"CONCLUÍDA",IF(F5744&lt;='RETRATO 2027'!$K$5,"EM ANDAMENTO","A INICIAR")))</f>
        <v/>
      </c>
    </row>
    <row r="5745">
      <c r="M5745" s="2">
        <f>IF(C5745="","",IFERROR(INDEX($S$5:$S$304,MATCH(C5745,$R$5:$R$304,0))&amp;"","?"))</f>
        <v/>
      </c>
      <c r="N5745" s="2">
        <f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>
        <f>IF(OR(F5745="",G5745=""),"",IF(G5745&lt;='RETRATO 2027'!$K$5,"CONCLUÍDA",IF(F5745&lt;='RETRATO 2027'!$K$5,"EM ANDAMENTO","A INICIAR")))</f>
        <v/>
      </c>
    </row>
    <row r="5746">
      <c r="M5746" s="2">
        <f>IF(C5746="","",IFERROR(INDEX($S$5:$S$304,MATCH(C5746,$R$5:$R$304,0))&amp;"","?"))</f>
        <v/>
      </c>
      <c r="N5746" s="2">
        <f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>
        <f>IF(OR(F5746="",G5746=""),"",IF(G5746&lt;='RETRATO 2027'!$K$5,"CONCLUÍDA",IF(F5746&lt;='RETRATO 2027'!$K$5,"EM ANDAMENTO","A INICIAR")))</f>
        <v/>
      </c>
    </row>
    <row r="5747">
      <c r="M5747" s="2">
        <f>IF(C5747="","",IFERROR(INDEX($S$5:$S$304,MATCH(C5747,$R$5:$R$304,0))&amp;"","?"))</f>
        <v/>
      </c>
      <c r="N5747" s="2">
        <f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>
        <f>IF(OR(F5747="",G5747=""),"",IF(G5747&lt;='RETRATO 2027'!$K$5,"CONCLUÍDA",IF(F5747&lt;='RETRATO 2027'!$K$5,"EM ANDAMENTO","A INICIAR")))</f>
        <v/>
      </c>
    </row>
    <row r="5748">
      <c r="M5748" s="2">
        <f>IF(C5748="","",IFERROR(INDEX($S$5:$S$304,MATCH(C5748,$R$5:$R$304,0))&amp;"","?"))</f>
        <v/>
      </c>
      <c r="N5748" s="2">
        <f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>
        <f>IF(OR(F5748="",G5748=""),"",IF(G5748&lt;='RETRATO 2027'!$K$5,"CONCLUÍDA",IF(F5748&lt;='RETRATO 2027'!$K$5,"EM ANDAMENTO","A INICIAR")))</f>
        <v/>
      </c>
    </row>
    <row r="5749">
      <c r="M5749" s="2">
        <f>IF(C5749="","",IFERROR(INDEX($S$5:$S$304,MATCH(C5749,$R$5:$R$304,0))&amp;"","?"))</f>
        <v/>
      </c>
      <c r="N5749" s="2">
        <f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>
        <f>IF(OR(F5749="",G5749=""),"",IF(G5749&lt;='RETRATO 2027'!$K$5,"CONCLUÍDA",IF(F5749&lt;='RETRATO 2027'!$K$5,"EM ANDAMENTO","A INICIAR")))</f>
        <v/>
      </c>
    </row>
    <row r="5750">
      <c r="M5750" s="2">
        <f>IF(C5750="","",IFERROR(INDEX($S$5:$S$304,MATCH(C5750,$R$5:$R$304,0))&amp;"","?"))</f>
        <v/>
      </c>
      <c r="N5750" s="2">
        <f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>
        <f>IF(OR(F5750="",G5750=""),"",IF(G5750&lt;='RETRATO 2027'!$K$5,"CONCLUÍDA",IF(F5750&lt;='RETRATO 2027'!$K$5,"EM ANDAMENTO","A INICIAR")))</f>
        <v/>
      </c>
    </row>
    <row r="5751">
      <c r="M5751" s="2">
        <f>IF(C5751="","",IFERROR(INDEX($S$5:$S$304,MATCH(C5751,$R$5:$R$304,0))&amp;"","?"))</f>
        <v/>
      </c>
      <c r="N5751" s="2">
        <f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>
        <f>IF(OR(F5751="",G5751=""),"",IF(G5751&lt;='RETRATO 2027'!$K$5,"CONCLUÍDA",IF(F5751&lt;='RETRATO 2027'!$K$5,"EM ANDAMENTO","A INICIAR")))</f>
        <v/>
      </c>
    </row>
    <row r="5752">
      <c r="M5752" s="2">
        <f>IF(C5752="","",IFERROR(INDEX($S$5:$S$304,MATCH(C5752,$R$5:$R$304,0))&amp;"","?"))</f>
        <v/>
      </c>
      <c r="N5752" s="2">
        <f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>
        <f>IF(OR(F5752="",G5752=""),"",IF(G5752&lt;='RETRATO 2027'!$K$5,"CONCLUÍDA",IF(F5752&lt;='RETRATO 2027'!$K$5,"EM ANDAMENTO","A INICIAR")))</f>
        <v/>
      </c>
    </row>
    <row r="5753">
      <c r="M5753" s="2">
        <f>IF(C5753="","",IFERROR(INDEX($S$5:$S$304,MATCH(C5753,$R$5:$R$304,0))&amp;"","?"))</f>
        <v/>
      </c>
      <c r="N5753" s="2">
        <f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>
        <f>IF(OR(F5753="",G5753=""),"",IF(G5753&lt;='RETRATO 2027'!$K$5,"CONCLUÍDA",IF(F5753&lt;='RETRATO 2027'!$K$5,"EM ANDAMENTO","A INICIAR")))</f>
        <v/>
      </c>
    </row>
    <row r="5754">
      <c r="M5754" s="2">
        <f>IF(C5754="","",IFERROR(INDEX($S$5:$S$304,MATCH(C5754,$R$5:$R$304,0))&amp;"","?"))</f>
        <v/>
      </c>
      <c r="N5754" s="2">
        <f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>
        <f>IF(OR(F5754="",G5754=""),"",IF(G5754&lt;='RETRATO 2027'!$K$5,"CONCLUÍDA",IF(F5754&lt;='RETRATO 2027'!$K$5,"EM ANDAMENTO","A INICIAR")))</f>
        <v/>
      </c>
    </row>
    <row r="5755">
      <c r="M5755" s="2">
        <f>IF(C5755="","",IFERROR(INDEX($S$5:$S$304,MATCH(C5755,$R$5:$R$304,0))&amp;"","?"))</f>
        <v/>
      </c>
      <c r="N5755" s="2">
        <f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>
        <f>IF(OR(F5755="",G5755=""),"",IF(G5755&lt;='RETRATO 2027'!$K$5,"CONCLUÍDA",IF(F5755&lt;='RETRATO 2027'!$K$5,"EM ANDAMENTO","A INICIAR")))</f>
        <v/>
      </c>
    </row>
    <row r="5756">
      <c r="M5756" s="2">
        <f>IF(C5756="","",IFERROR(INDEX($S$5:$S$304,MATCH(C5756,$R$5:$R$304,0))&amp;"","?"))</f>
        <v/>
      </c>
      <c r="N5756" s="2">
        <f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>
        <f>IF(OR(F5756="",G5756=""),"",IF(G5756&lt;='RETRATO 2027'!$K$5,"CONCLUÍDA",IF(F5756&lt;='RETRATO 2027'!$K$5,"EM ANDAMENTO","A INICIAR")))</f>
        <v/>
      </c>
    </row>
    <row r="5757">
      <c r="M5757" s="2">
        <f>IF(C5757="","",IFERROR(INDEX($S$5:$S$304,MATCH(C5757,$R$5:$R$304,0))&amp;"","?"))</f>
        <v/>
      </c>
      <c r="N5757" s="2">
        <f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>
        <f>IF(OR(F5757="",G5757=""),"",IF(G5757&lt;='RETRATO 2027'!$K$5,"CONCLUÍDA",IF(F5757&lt;='RETRATO 2027'!$K$5,"EM ANDAMENTO","A INICIAR")))</f>
        <v/>
      </c>
    </row>
    <row r="5758">
      <c r="M5758" s="2">
        <f>IF(C5758="","",IFERROR(INDEX($S$5:$S$304,MATCH(C5758,$R$5:$R$304,0))&amp;"","?"))</f>
        <v/>
      </c>
      <c r="N5758" s="2">
        <f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>
        <f>IF(OR(F5758="",G5758=""),"",IF(G5758&lt;='RETRATO 2027'!$K$5,"CONCLUÍDA",IF(F5758&lt;='RETRATO 2027'!$K$5,"EM ANDAMENTO","A INICIAR")))</f>
        <v/>
      </c>
    </row>
    <row r="5759">
      <c r="M5759" s="2">
        <f>IF(C5759="","",IFERROR(INDEX($S$5:$S$304,MATCH(C5759,$R$5:$R$304,0))&amp;"","?"))</f>
        <v/>
      </c>
      <c r="N5759" s="2">
        <f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>
        <f>IF(OR(F5759="",G5759=""),"",IF(G5759&lt;='RETRATO 2027'!$K$5,"CONCLUÍDA",IF(F5759&lt;='RETRATO 2027'!$K$5,"EM ANDAMENTO","A INICIAR")))</f>
        <v/>
      </c>
    </row>
    <row r="5760">
      <c r="M5760" s="2">
        <f>IF(C5760="","",IFERROR(INDEX($S$5:$S$304,MATCH(C5760,$R$5:$R$304,0))&amp;"","?"))</f>
        <v/>
      </c>
      <c r="N5760" s="2">
        <f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>
        <f>IF(OR(F5760="",G5760=""),"",IF(G5760&lt;='RETRATO 2027'!$K$5,"CONCLUÍDA",IF(F5760&lt;='RETRATO 2027'!$K$5,"EM ANDAMENTO","A INICIAR")))</f>
        <v/>
      </c>
    </row>
    <row r="5761">
      <c r="M5761" s="2">
        <f>IF(C5761="","",IFERROR(INDEX($S$5:$S$304,MATCH(C5761,$R$5:$R$304,0))&amp;"","?"))</f>
        <v/>
      </c>
      <c r="N5761" s="2">
        <f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>
        <f>IF(OR(F5761="",G5761=""),"",IF(G5761&lt;='RETRATO 2027'!$K$5,"CONCLUÍDA",IF(F5761&lt;='RETRATO 2027'!$K$5,"EM ANDAMENTO","A INICIAR")))</f>
        <v/>
      </c>
    </row>
    <row r="5762">
      <c r="M5762" s="2">
        <f>IF(C5762="","",IFERROR(INDEX($S$5:$S$304,MATCH(C5762,$R$5:$R$304,0))&amp;"","?"))</f>
        <v/>
      </c>
      <c r="N5762" s="2">
        <f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>
        <f>IF(OR(F5762="",G5762=""),"",IF(G5762&lt;='RETRATO 2027'!$K$5,"CONCLUÍDA",IF(F5762&lt;='RETRATO 2027'!$K$5,"EM ANDAMENTO","A INICIAR")))</f>
        <v/>
      </c>
    </row>
    <row r="5763">
      <c r="M5763" s="2">
        <f>IF(C5763="","",IFERROR(INDEX($S$5:$S$304,MATCH(C5763,$R$5:$R$304,0))&amp;"","?"))</f>
        <v/>
      </c>
      <c r="N5763" s="2">
        <f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>
        <f>IF(OR(F5763="",G5763=""),"",IF(G5763&lt;='RETRATO 2027'!$K$5,"CONCLUÍDA",IF(F5763&lt;='RETRATO 2027'!$K$5,"EM ANDAMENTO","A INICIAR")))</f>
        <v/>
      </c>
    </row>
    <row r="5764">
      <c r="M5764" s="2">
        <f>IF(C5764="","",IFERROR(INDEX($S$5:$S$304,MATCH(C5764,$R$5:$R$304,0))&amp;"","?"))</f>
        <v/>
      </c>
      <c r="N5764" s="2">
        <f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>
        <f>IF(OR(F5764="",G5764=""),"",IF(G5764&lt;='RETRATO 2027'!$K$5,"CONCLUÍDA",IF(F5764&lt;='RETRATO 2027'!$K$5,"EM ANDAMENTO","A INICIAR")))</f>
        <v/>
      </c>
    </row>
    <row r="5765">
      <c r="M5765" s="2">
        <f>IF(C5765="","",IFERROR(INDEX($S$5:$S$304,MATCH(C5765,$R$5:$R$304,0))&amp;"","?"))</f>
        <v/>
      </c>
      <c r="N5765" s="2">
        <f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>
        <f>IF(OR(F5765="",G5765=""),"",IF(G5765&lt;='RETRATO 2027'!$K$5,"CONCLUÍDA",IF(F5765&lt;='RETRATO 2027'!$K$5,"EM ANDAMENTO","A INICIAR")))</f>
        <v/>
      </c>
    </row>
    <row r="5766">
      <c r="M5766" s="2">
        <f>IF(C5766="","",IFERROR(INDEX($S$5:$S$304,MATCH(C5766,$R$5:$R$304,0))&amp;"","?"))</f>
        <v/>
      </c>
      <c r="N5766" s="2">
        <f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>
        <f>IF(OR(F5766="",G5766=""),"",IF(G5766&lt;='RETRATO 2027'!$K$5,"CONCLUÍDA",IF(F5766&lt;='RETRATO 2027'!$K$5,"EM ANDAMENTO","A INICIAR")))</f>
        <v/>
      </c>
    </row>
    <row r="5767">
      <c r="M5767" s="2">
        <f>IF(C5767="","",IFERROR(INDEX($S$5:$S$304,MATCH(C5767,$R$5:$R$304,0))&amp;"","?"))</f>
        <v/>
      </c>
      <c r="N5767" s="2">
        <f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>
        <f>IF(OR(F5767="",G5767=""),"",IF(G5767&lt;='RETRATO 2027'!$K$5,"CONCLUÍDA",IF(F5767&lt;='RETRATO 2027'!$K$5,"EM ANDAMENTO","A INICIAR")))</f>
        <v/>
      </c>
    </row>
    <row r="5768">
      <c r="M5768" s="2">
        <f>IF(C5768="","",IFERROR(INDEX($S$5:$S$304,MATCH(C5768,$R$5:$R$304,0))&amp;"","?"))</f>
        <v/>
      </c>
      <c r="N5768" s="2">
        <f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>
        <f>IF(OR(F5768="",G5768=""),"",IF(G5768&lt;='RETRATO 2027'!$K$5,"CONCLUÍDA",IF(F5768&lt;='RETRATO 2027'!$K$5,"EM ANDAMENTO","A INICIAR")))</f>
        <v/>
      </c>
    </row>
    <row r="5769">
      <c r="M5769" s="2">
        <f>IF(C5769="","",IFERROR(INDEX($S$5:$S$304,MATCH(C5769,$R$5:$R$304,0))&amp;"","?"))</f>
        <v/>
      </c>
      <c r="N5769" s="2">
        <f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>
        <f>IF(OR(F5769="",G5769=""),"",IF(G5769&lt;='RETRATO 2027'!$K$5,"CONCLUÍDA",IF(F5769&lt;='RETRATO 2027'!$K$5,"EM ANDAMENTO","A INICIAR")))</f>
        <v/>
      </c>
    </row>
    <row r="5770">
      <c r="M5770" s="2">
        <f>IF(C5770="","",IFERROR(INDEX($S$5:$S$304,MATCH(C5770,$R$5:$R$304,0))&amp;"","?"))</f>
        <v/>
      </c>
      <c r="N5770" s="2">
        <f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>
        <f>IF(OR(F5770="",G5770=""),"",IF(G5770&lt;='RETRATO 2027'!$K$5,"CONCLUÍDA",IF(F5770&lt;='RETRATO 2027'!$K$5,"EM ANDAMENTO","A INICIAR")))</f>
        <v/>
      </c>
    </row>
    <row r="5771">
      <c r="M5771" s="2">
        <f>IF(C5771="","",IFERROR(INDEX($S$5:$S$304,MATCH(C5771,$R$5:$R$304,0))&amp;"","?"))</f>
        <v/>
      </c>
      <c r="N5771" s="2">
        <f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>
        <f>IF(OR(F5771="",G5771=""),"",IF(G5771&lt;='RETRATO 2027'!$K$5,"CONCLUÍDA",IF(F5771&lt;='RETRATO 2027'!$K$5,"EM ANDAMENTO","A INICIAR")))</f>
        <v/>
      </c>
    </row>
    <row r="5772">
      <c r="M5772" s="2">
        <f>IF(C5772="","",IFERROR(INDEX($S$5:$S$304,MATCH(C5772,$R$5:$R$304,0))&amp;"","?"))</f>
        <v/>
      </c>
      <c r="N5772" s="2">
        <f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>
        <f>IF(OR(F5772="",G5772=""),"",IF(G5772&lt;='RETRATO 2027'!$K$5,"CONCLUÍDA",IF(F5772&lt;='RETRATO 2027'!$K$5,"EM ANDAMENTO","A INICIAR")))</f>
        <v/>
      </c>
    </row>
    <row r="5773">
      <c r="M5773" s="2">
        <f>IF(C5773="","",IFERROR(INDEX($S$5:$S$304,MATCH(C5773,$R$5:$R$304,0))&amp;"","?"))</f>
        <v/>
      </c>
      <c r="N5773" s="2">
        <f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>
        <f>IF(OR(F5773="",G5773=""),"",IF(G5773&lt;='RETRATO 2027'!$K$5,"CONCLUÍDA",IF(F5773&lt;='RETRATO 2027'!$K$5,"EM ANDAMENTO","A INICIAR")))</f>
        <v/>
      </c>
    </row>
    <row r="5774">
      <c r="M5774" s="2">
        <f>IF(C5774="","",IFERROR(INDEX($S$5:$S$304,MATCH(C5774,$R$5:$R$304,0))&amp;"","?"))</f>
        <v/>
      </c>
      <c r="N5774" s="2">
        <f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>
        <f>IF(OR(F5774="",G5774=""),"",IF(G5774&lt;='RETRATO 2027'!$K$5,"CONCLUÍDA",IF(F5774&lt;='RETRATO 2027'!$K$5,"EM ANDAMENTO","A INICIAR")))</f>
        <v/>
      </c>
    </row>
    <row r="5775">
      <c r="M5775" s="2">
        <f>IF(C5775="","",IFERROR(INDEX($S$5:$S$304,MATCH(C5775,$R$5:$R$304,0))&amp;"","?"))</f>
        <v/>
      </c>
      <c r="N5775" s="2">
        <f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>
        <f>IF(OR(F5775="",G5775=""),"",IF(G5775&lt;='RETRATO 2027'!$K$5,"CONCLUÍDA",IF(F5775&lt;='RETRATO 2027'!$K$5,"EM ANDAMENTO","A INICIAR")))</f>
        <v/>
      </c>
    </row>
    <row r="5776">
      <c r="M5776" s="2">
        <f>IF(C5776="","",IFERROR(INDEX($S$5:$S$304,MATCH(C5776,$R$5:$R$304,0))&amp;"","?"))</f>
        <v/>
      </c>
      <c r="N5776" s="2">
        <f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>
        <f>IF(OR(F5776="",G5776=""),"",IF(G5776&lt;='RETRATO 2027'!$K$5,"CONCLUÍDA",IF(F5776&lt;='RETRATO 2027'!$K$5,"EM ANDAMENTO","A INICIAR")))</f>
        <v/>
      </c>
    </row>
    <row r="5777">
      <c r="M5777" s="2">
        <f>IF(C5777="","",IFERROR(INDEX($S$5:$S$304,MATCH(C5777,$R$5:$R$304,0))&amp;"","?"))</f>
        <v/>
      </c>
      <c r="N5777" s="2">
        <f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>
        <f>IF(OR(F5777="",G5777=""),"",IF(G5777&lt;='RETRATO 2027'!$K$5,"CONCLUÍDA",IF(F5777&lt;='RETRATO 2027'!$K$5,"EM ANDAMENTO","A INICIAR")))</f>
        <v/>
      </c>
    </row>
    <row r="5778">
      <c r="M5778" s="2">
        <f>IF(C5778="","",IFERROR(INDEX($S$5:$S$304,MATCH(C5778,$R$5:$R$304,0))&amp;"","?"))</f>
        <v/>
      </c>
      <c r="N5778" s="2">
        <f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>
        <f>IF(OR(F5778="",G5778=""),"",IF(G5778&lt;='RETRATO 2027'!$K$5,"CONCLUÍDA",IF(F5778&lt;='RETRATO 2027'!$K$5,"EM ANDAMENTO","A INICIAR")))</f>
        <v/>
      </c>
    </row>
    <row r="5779">
      <c r="M5779" s="2">
        <f>IF(C5779="","",IFERROR(INDEX($S$5:$S$304,MATCH(C5779,$R$5:$R$304,0))&amp;"","?"))</f>
        <v/>
      </c>
      <c r="N5779" s="2">
        <f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>
        <f>IF(OR(F5779="",G5779=""),"",IF(G5779&lt;='RETRATO 2027'!$K$5,"CONCLUÍDA",IF(F5779&lt;='RETRATO 2027'!$K$5,"EM ANDAMENTO","A INICIAR")))</f>
        <v/>
      </c>
    </row>
    <row r="5780">
      <c r="M5780" s="2">
        <f>IF(C5780="","",IFERROR(INDEX($S$5:$S$304,MATCH(C5780,$R$5:$R$304,0))&amp;"","?"))</f>
        <v/>
      </c>
      <c r="N5780" s="2">
        <f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>
        <f>IF(OR(F5780="",G5780=""),"",IF(G5780&lt;='RETRATO 2027'!$K$5,"CONCLUÍDA",IF(F5780&lt;='RETRATO 2027'!$K$5,"EM ANDAMENTO","A INICIAR")))</f>
        <v/>
      </c>
    </row>
    <row r="5781">
      <c r="M5781" s="2">
        <f>IF(C5781="","",IFERROR(INDEX($S$5:$S$304,MATCH(C5781,$R$5:$R$304,0))&amp;"","?"))</f>
        <v/>
      </c>
      <c r="N5781" s="2">
        <f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>
        <f>IF(OR(F5781="",G5781=""),"",IF(G5781&lt;='RETRATO 2027'!$K$5,"CONCLUÍDA",IF(F5781&lt;='RETRATO 2027'!$K$5,"EM ANDAMENTO","A INICIAR")))</f>
        <v/>
      </c>
    </row>
    <row r="5782">
      <c r="M5782" s="2">
        <f>IF(C5782="","",IFERROR(INDEX($S$5:$S$304,MATCH(C5782,$R$5:$R$304,0))&amp;"","?"))</f>
        <v/>
      </c>
      <c r="N5782" s="2">
        <f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>
        <f>IF(OR(F5782="",G5782=""),"",IF(G5782&lt;='RETRATO 2027'!$K$5,"CONCLUÍDA",IF(F5782&lt;='RETRATO 2027'!$K$5,"EM ANDAMENTO","A INICIAR")))</f>
        <v/>
      </c>
    </row>
    <row r="5783">
      <c r="M5783" s="2">
        <f>IF(C5783="","",IFERROR(INDEX($S$5:$S$304,MATCH(C5783,$R$5:$R$304,0))&amp;"","?"))</f>
        <v/>
      </c>
      <c r="N5783" s="2">
        <f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>
        <f>IF(OR(F5783="",G5783=""),"",IF(G5783&lt;='RETRATO 2027'!$K$5,"CONCLUÍDA",IF(F5783&lt;='RETRATO 2027'!$K$5,"EM ANDAMENTO","A INICIAR")))</f>
        <v/>
      </c>
    </row>
    <row r="5784">
      <c r="M5784" s="2">
        <f>IF(C5784="","",IFERROR(INDEX($S$5:$S$304,MATCH(C5784,$R$5:$R$304,0))&amp;"","?"))</f>
        <v/>
      </c>
      <c r="N5784" s="2">
        <f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>
        <f>IF(OR(F5784="",G5784=""),"",IF(G5784&lt;='RETRATO 2027'!$K$5,"CONCLUÍDA",IF(F5784&lt;='RETRATO 2027'!$K$5,"EM ANDAMENTO","A INICIAR")))</f>
        <v/>
      </c>
    </row>
    <row r="5785">
      <c r="M5785" s="2">
        <f>IF(C5785="","",IFERROR(INDEX($S$5:$S$304,MATCH(C5785,$R$5:$R$304,0))&amp;"","?"))</f>
        <v/>
      </c>
      <c r="N5785" s="2">
        <f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>
        <f>IF(OR(F5785="",G5785=""),"",IF(G5785&lt;='RETRATO 2027'!$K$5,"CONCLUÍDA",IF(F5785&lt;='RETRATO 2027'!$K$5,"EM ANDAMENTO","A INICIAR")))</f>
        <v/>
      </c>
    </row>
    <row r="5786">
      <c r="M5786" s="2">
        <f>IF(C5786="","",IFERROR(INDEX($S$5:$S$304,MATCH(C5786,$R$5:$R$304,0))&amp;"","?"))</f>
        <v/>
      </c>
      <c r="N5786" s="2">
        <f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>
        <f>IF(OR(F5786="",G5786=""),"",IF(G5786&lt;='RETRATO 2027'!$K$5,"CONCLUÍDA",IF(F5786&lt;='RETRATO 2027'!$K$5,"EM ANDAMENTO","A INICIAR")))</f>
        <v/>
      </c>
    </row>
    <row r="5787">
      <c r="M5787" s="2">
        <f>IF(C5787="","",IFERROR(INDEX($S$5:$S$304,MATCH(C5787,$R$5:$R$304,0))&amp;"","?"))</f>
        <v/>
      </c>
      <c r="N5787" s="2">
        <f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>
        <f>IF(OR(F5787="",G5787=""),"",IF(G5787&lt;='RETRATO 2027'!$K$5,"CONCLUÍDA",IF(F5787&lt;='RETRATO 2027'!$K$5,"EM ANDAMENTO","A INICIAR")))</f>
        <v/>
      </c>
    </row>
    <row r="5788">
      <c r="M5788" s="2">
        <f>IF(C5788="","",IFERROR(INDEX($S$5:$S$304,MATCH(C5788,$R$5:$R$304,0))&amp;"","?"))</f>
        <v/>
      </c>
      <c r="N5788" s="2">
        <f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>
        <f>IF(OR(F5788="",G5788=""),"",IF(G5788&lt;='RETRATO 2027'!$K$5,"CONCLUÍDA",IF(F5788&lt;='RETRATO 2027'!$K$5,"EM ANDAMENTO","A INICIAR")))</f>
        <v/>
      </c>
    </row>
    <row r="5789">
      <c r="M5789" s="2">
        <f>IF(C5789="","",IFERROR(INDEX($S$5:$S$304,MATCH(C5789,$R$5:$R$304,0))&amp;"","?"))</f>
        <v/>
      </c>
      <c r="N5789" s="2">
        <f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>
        <f>IF(OR(F5789="",G5789=""),"",IF(G5789&lt;='RETRATO 2027'!$K$5,"CONCLUÍDA",IF(F5789&lt;='RETRATO 2027'!$K$5,"EM ANDAMENTO","A INICIAR")))</f>
        <v/>
      </c>
    </row>
    <row r="5790">
      <c r="M5790" s="2">
        <f>IF(C5790="","",IFERROR(INDEX($S$5:$S$304,MATCH(C5790,$R$5:$R$304,0))&amp;"","?"))</f>
        <v/>
      </c>
      <c r="N5790" s="2">
        <f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>
        <f>IF(OR(F5790="",G5790=""),"",IF(G5790&lt;='RETRATO 2027'!$K$5,"CONCLUÍDA",IF(F5790&lt;='RETRATO 2027'!$K$5,"EM ANDAMENTO","A INICIAR")))</f>
        <v/>
      </c>
    </row>
    <row r="5791">
      <c r="M5791" s="2">
        <f>IF(C5791="","",IFERROR(INDEX($S$5:$S$304,MATCH(C5791,$R$5:$R$304,0))&amp;"","?"))</f>
        <v/>
      </c>
      <c r="N5791" s="2">
        <f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>
        <f>IF(OR(F5791="",G5791=""),"",IF(G5791&lt;='RETRATO 2027'!$K$5,"CONCLUÍDA",IF(F5791&lt;='RETRATO 2027'!$K$5,"EM ANDAMENTO","A INICIAR")))</f>
        <v/>
      </c>
    </row>
    <row r="5792">
      <c r="M5792" s="2">
        <f>IF(C5792="","",IFERROR(INDEX($S$5:$S$304,MATCH(C5792,$R$5:$R$304,0))&amp;"","?"))</f>
        <v/>
      </c>
      <c r="N5792" s="2">
        <f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>
        <f>IF(OR(F5792="",G5792=""),"",IF(G5792&lt;='RETRATO 2027'!$K$5,"CONCLUÍDA",IF(F5792&lt;='RETRATO 2027'!$K$5,"EM ANDAMENTO","A INICIAR")))</f>
        <v/>
      </c>
    </row>
    <row r="5793">
      <c r="M5793" s="2">
        <f>IF(C5793="","",IFERROR(INDEX($S$5:$S$304,MATCH(C5793,$R$5:$R$304,0))&amp;"","?"))</f>
        <v/>
      </c>
      <c r="N5793" s="2">
        <f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>
        <f>IF(OR(F5793="",G5793=""),"",IF(G5793&lt;='RETRATO 2027'!$K$5,"CONCLUÍDA",IF(F5793&lt;='RETRATO 2027'!$K$5,"EM ANDAMENTO","A INICIAR")))</f>
        <v/>
      </c>
    </row>
    <row r="5794">
      <c r="M5794" s="2">
        <f>IF(C5794="","",IFERROR(INDEX($S$5:$S$304,MATCH(C5794,$R$5:$R$304,0))&amp;"","?"))</f>
        <v/>
      </c>
      <c r="N5794" s="2">
        <f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>
        <f>IF(OR(F5794="",G5794=""),"",IF(G5794&lt;='RETRATO 2027'!$K$5,"CONCLUÍDA",IF(F5794&lt;='RETRATO 2027'!$K$5,"EM ANDAMENTO","A INICIAR")))</f>
        <v/>
      </c>
    </row>
    <row r="5795">
      <c r="M5795" s="2">
        <f>IF(C5795="","",IFERROR(INDEX($S$5:$S$304,MATCH(C5795,$R$5:$R$304,0))&amp;"","?"))</f>
        <v/>
      </c>
      <c r="N5795" s="2">
        <f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>
        <f>IF(OR(F5795="",G5795=""),"",IF(G5795&lt;='RETRATO 2027'!$K$5,"CONCLUÍDA",IF(F5795&lt;='RETRATO 2027'!$K$5,"EM ANDAMENTO","A INICIAR")))</f>
        <v/>
      </c>
    </row>
    <row r="5796">
      <c r="M5796" s="2">
        <f>IF(C5796="","",IFERROR(INDEX($S$5:$S$304,MATCH(C5796,$R$5:$R$304,0))&amp;"","?"))</f>
        <v/>
      </c>
      <c r="N5796" s="2">
        <f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>
        <f>IF(OR(F5796="",G5796=""),"",IF(G5796&lt;='RETRATO 2027'!$K$5,"CONCLUÍDA",IF(F5796&lt;='RETRATO 2027'!$K$5,"EM ANDAMENTO","A INICIAR")))</f>
        <v/>
      </c>
    </row>
    <row r="5797">
      <c r="M5797" s="2">
        <f>IF(C5797="","",IFERROR(INDEX($S$5:$S$304,MATCH(C5797,$R$5:$R$304,0))&amp;"","?"))</f>
        <v/>
      </c>
      <c r="N5797" s="2">
        <f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>
        <f>IF(OR(F5797="",G5797=""),"",IF(G5797&lt;='RETRATO 2027'!$K$5,"CONCLUÍDA",IF(F5797&lt;='RETRATO 2027'!$K$5,"EM ANDAMENTO","A INICIAR")))</f>
        <v/>
      </c>
    </row>
    <row r="5798">
      <c r="M5798" s="2">
        <f>IF(C5798="","",IFERROR(INDEX($S$5:$S$304,MATCH(C5798,$R$5:$R$304,0))&amp;"","?"))</f>
        <v/>
      </c>
      <c r="N5798" s="2">
        <f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>
        <f>IF(OR(F5798="",G5798=""),"",IF(G5798&lt;='RETRATO 2027'!$K$5,"CONCLUÍDA",IF(F5798&lt;='RETRATO 2027'!$K$5,"EM ANDAMENTO","A INICIAR")))</f>
        <v/>
      </c>
    </row>
    <row r="5799">
      <c r="M5799" s="2">
        <f>IF(C5799="","",IFERROR(INDEX($S$5:$S$304,MATCH(C5799,$R$5:$R$304,0))&amp;"","?"))</f>
        <v/>
      </c>
      <c r="N5799" s="2">
        <f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>
        <f>IF(OR(F5799="",G5799=""),"",IF(G5799&lt;='RETRATO 2027'!$K$5,"CONCLUÍDA",IF(F5799&lt;='RETRATO 2027'!$K$5,"EM ANDAMENTO","A INICIAR")))</f>
        <v/>
      </c>
    </row>
    <row r="5800">
      <c r="M5800" s="2">
        <f>IF(C5800="","",IFERROR(INDEX($S$5:$S$304,MATCH(C5800,$R$5:$R$304,0))&amp;"","?"))</f>
        <v/>
      </c>
      <c r="N5800" s="2">
        <f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>
        <f>IF(OR(F5800="",G5800=""),"",IF(G5800&lt;='RETRATO 2027'!$K$5,"CONCLUÍDA",IF(F5800&lt;='RETRATO 2027'!$K$5,"EM ANDAMENTO","A INICIAR")))</f>
        <v/>
      </c>
    </row>
    <row r="5801">
      <c r="M5801" s="2">
        <f>IF(C5801="","",IFERROR(INDEX($S$5:$S$304,MATCH(C5801,$R$5:$R$304,0))&amp;"","?"))</f>
        <v/>
      </c>
      <c r="N5801" s="2">
        <f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>
        <f>IF(OR(F5801="",G5801=""),"",IF(G5801&lt;='RETRATO 2027'!$K$5,"CONCLUÍDA",IF(F5801&lt;='RETRATO 2027'!$K$5,"EM ANDAMENTO","A INICIAR")))</f>
        <v/>
      </c>
    </row>
    <row r="5802">
      <c r="M5802" s="2">
        <f>IF(C5802="","",IFERROR(INDEX($S$5:$S$304,MATCH(C5802,$R$5:$R$304,0))&amp;"","?"))</f>
        <v/>
      </c>
      <c r="N5802" s="2">
        <f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>
        <f>IF(OR(F5802="",G5802=""),"",IF(G5802&lt;='RETRATO 2027'!$K$5,"CONCLUÍDA",IF(F5802&lt;='RETRATO 2027'!$K$5,"EM ANDAMENTO","A INICIAR")))</f>
        <v/>
      </c>
    </row>
    <row r="5803">
      <c r="M5803" s="2">
        <f>IF(C5803="","",IFERROR(INDEX($S$5:$S$304,MATCH(C5803,$R$5:$R$304,0))&amp;"","?"))</f>
        <v/>
      </c>
      <c r="N5803" s="2">
        <f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>
        <f>IF(OR(F5803="",G5803=""),"",IF(G5803&lt;='RETRATO 2027'!$K$5,"CONCLUÍDA",IF(F5803&lt;='RETRATO 2027'!$K$5,"EM ANDAMENTO","A INICIAR")))</f>
        <v/>
      </c>
    </row>
    <row r="5804">
      <c r="M5804" s="2">
        <f>IF(C5804="","",IFERROR(INDEX($S$5:$S$304,MATCH(C5804,$R$5:$R$304,0))&amp;"","?"))</f>
        <v/>
      </c>
      <c r="N5804" s="2">
        <f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>
        <f>IF(OR(F5804="",G5804=""),"",IF(G5804&lt;='RETRATO 2027'!$K$5,"CONCLUÍDA",IF(F5804&lt;='RETRATO 2027'!$K$5,"EM ANDAMENTO","A INICIAR")))</f>
        <v/>
      </c>
    </row>
    <row r="5805">
      <c r="M5805" s="2">
        <f>IF(C5805="","",IFERROR(INDEX($S$5:$S$304,MATCH(C5805,$R$5:$R$304,0))&amp;"","?"))</f>
        <v/>
      </c>
      <c r="N5805" s="2">
        <f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>
        <f>IF(OR(F5805="",G5805=""),"",IF(G5805&lt;='RETRATO 2027'!$K$5,"CONCLUÍDA",IF(F5805&lt;='RETRATO 2027'!$K$5,"EM ANDAMENTO","A INICIAR")))</f>
        <v/>
      </c>
    </row>
    <row r="5806">
      <c r="M5806" s="2">
        <f>IF(C5806="","",IFERROR(INDEX($S$5:$S$304,MATCH(C5806,$R$5:$R$304,0))&amp;"","?"))</f>
        <v/>
      </c>
      <c r="N5806" s="2">
        <f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>
        <f>IF(OR(F5806="",G5806=""),"",IF(G5806&lt;='RETRATO 2027'!$K$5,"CONCLUÍDA",IF(F5806&lt;='RETRATO 2027'!$K$5,"EM ANDAMENTO","A INICIAR")))</f>
        <v/>
      </c>
    </row>
    <row r="5807">
      <c r="M5807" s="2">
        <f>IF(C5807="","",IFERROR(INDEX($S$5:$S$304,MATCH(C5807,$R$5:$R$304,0))&amp;"","?"))</f>
        <v/>
      </c>
      <c r="N5807" s="2">
        <f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>
        <f>IF(OR(F5807="",G5807=""),"",IF(G5807&lt;='RETRATO 2027'!$K$5,"CONCLUÍDA",IF(F5807&lt;='RETRATO 2027'!$K$5,"EM ANDAMENTO","A INICIAR")))</f>
        <v/>
      </c>
    </row>
    <row r="5808">
      <c r="M5808" s="2">
        <f>IF(C5808="","",IFERROR(INDEX($S$5:$S$304,MATCH(C5808,$R$5:$R$304,0))&amp;"","?"))</f>
        <v/>
      </c>
      <c r="N5808" s="2">
        <f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>
        <f>IF(OR(F5808="",G5808=""),"",IF(G5808&lt;='RETRATO 2027'!$K$5,"CONCLUÍDA",IF(F5808&lt;='RETRATO 2027'!$K$5,"EM ANDAMENTO","A INICIAR")))</f>
        <v/>
      </c>
    </row>
    <row r="5809">
      <c r="M5809" s="2">
        <f>IF(C5809="","",IFERROR(INDEX($S$5:$S$304,MATCH(C5809,$R$5:$R$304,0))&amp;"","?"))</f>
        <v/>
      </c>
      <c r="N5809" s="2">
        <f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>
        <f>IF(OR(F5809="",G5809=""),"",IF(G5809&lt;='RETRATO 2027'!$K$5,"CONCLUÍDA",IF(F5809&lt;='RETRATO 2027'!$K$5,"EM ANDAMENTO","A INICIAR")))</f>
        <v/>
      </c>
    </row>
    <row r="5810">
      <c r="M5810" s="2">
        <f>IF(C5810="","",IFERROR(INDEX($S$5:$S$304,MATCH(C5810,$R$5:$R$304,0))&amp;"","?"))</f>
        <v/>
      </c>
      <c r="N5810" s="2">
        <f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>
        <f>IF(OR(F5810="",G5810=""),"",IF(G5810&lt;='RETRATO 2027'!$K$5,"CONCLUÍDA",IF(F5810&lt;='RETRATO 2027'!$K$5,"EM ANDAMENTO","A INICIAR")))</f>
        <v/>
      </c>
    </row>
    <row r="5811">
      <c r="M5811" s="2">
        <f>IF(C5811="","",IFERROR(INDEX($S$5:$S$304,MATCH(C5811,$R$5:$R$304,0))&amp;"","?"))</f>
        <v/>
      </c>
      <c r="N5811" s="2">
        <f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>
        <f>IF(OR(F5811="",G5811=""),"",IF(G5811&lt;='RETRATO 2027'!$K$5,"CONCLUÍDA",IF(F5811&lt;='RETRATO 2027'!$K$5,"EM ANDAMENTO","A INICIAR")))</f>
        <v/>
      </c>
    </row>
    <row r="5812">
      <c r="M5812" s="2">
        <f>IF(C5812="","",IFERROR(INDEX($S$5:$S$304,MATCH(C5812,$R$5:$R$304,0))&amp;"","?"))</f>
        <v/>
      </c>
      <c r="N5812" s="2">
        <f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>
        <f>IF(OR(F5812="",G5812=""),"",IF(G5812&lt;='RETRATO 2027'!$K$5,"CONCLUÍDA",IF(F5812&lt;='RETRATO 2027'!$K$5,"EM ANDAMENTO","A INICIAR")))</f>
        <v/>
      </c>
    </row>
    <row r="5813">
      <c r="M5813" s="2">
        <f>IF(C5813="","",IFERROR(INDEX($S$5:$S$304,MATCH(C5813,$R$5:$R$304,0))&amp;"","?"))</f>
        <v/>
      </c>
      <c r="N5813" s="2">
        <f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>
        <f>IF(OR(F5813="",G5813=""),"",IF(G5813&lt;='RETRATO 2027'!$K$5,"CONCLUÍDA",IF(F5813&lt;='RETRATO 2027'!$K$5,"EM ANDAMENTO","A INICIAR")))</f>
        <v/>
      </c>
    </row>
    <row r="5814">
      <c r="M5814" s="2">
        <f>IF(C5814="","",IFERROR(INDEX($S$5:$S$304,MATCH(C5814,$R$5:$R$304,0))&amp;"","?"))</f>
        <v/>
      </c>
      <c r="N5814" s="2">
        <f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>
        <f>IF(OR(F5814="",G5814=""),"",IF(G5814&lt;='RETRATO 2027'!$K$5,"CONCLUÍDA",IF(F5814&lt;='RETRATO 2027'!$K$5,"EM ANDAMENTO","A INICIAR")))</f>
        <v/>
      </c>
    </row>
    <row r="5815">
      <c r="M5815" s="2">
        <f>IF(C5815="","",IFERROR(INDEX($S$5:$S$304,MATCH(C5815,$R$5:$R$304,0))&amp;"","?"))</f>
        <v/>
      </c>
      <c r="N5815" s="2">
        <f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>
        <f>IF(OR(F5815="",G5815=""),"",IF(G5815&lt;='RETRATO 2027'!$K$5,"CONCLUÍDA",IF(F5815&lt;='RETRATO 2027'!$K$5,"EM ANDAMENTO","A INICIAR")))</f>
        <v/>
      </c>
    </row>
    <row r="5816">
      <c r="M5816" s="2">
        <f>IF(C5816="","",IFERROR(INDEX($S$5:$S$304,MATCH(C5816,$R$5:$R$304,0))&amp;"","?"))</f>
        <v/>
      </c>
      <c r="N5816" s="2">
        <f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>
        <f>IF(OR(F5816="",G5816=""),"",IF(G5816&lt;='RETRATO 2027'!$K$5,"CONCLUÍDA",IF(F5816&lt;='RETRATO 2027'!$K$5,"EM ANDAMENTO","A INICIAR")))</f>
        <v/>
      </c>
    </row>
    <row r="5817">
      <c r="M5817" s="2">
        <f>IF(C5817="","",IFERROR(INDEX($S$5:$S$304,MATCH(C5817,$R$5:$R$304,0))&amp;"","?"))</f>
        <v/>
      </c>
      <c r="N5817" s="2">
        <f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>
        <f>IF(OR(F5817="",G5817=""),"",IF(G5817&lt;='RETRATO 2027'!$K$5,"CONCLUÍDA",IF(F5817&lt;='RETRATO 2027'!$K$5,"EM ANDAMENTO","A INICIAR")))</f>
        <v/>
      </c>
    </row>
    <row r="5818">
      <c r="M5818" s="2">
        <f>IF(C5818="","",IFERROR(INDEX($S$5:$S$304,MATCH(C5818,$R$5:$R$304,0))&amp;"","?"))</f>
        <v/>
      </c>
      <c r="N5818" s="2">
        <f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>
        <f>IF(OR(F5818="",G5818=""),"",IF(G5818&lt;='RETRATO 2027'!$K$5,"CONCLUÍDA",IF(F5818&lt;='RETRATO 2027'!$K$5,"EM ANDAMENTO","A INICIAR")))</f>
        <v/>
      </c>
    </row>
    <row r="5819">
      <c r="M5819" s="2">
        <f>IF(C5819="","",IFERROR(INDEX($S$5:$S$304,MATCH(C5819,$R$5:$R$304,0))&amp;"","?"))</f>
        <v/>
      </c>
      <c r="N5819" s="2">
        <f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>
        <f>IF(OR(F5819="",G5819=""),"",IF(G5819&lt;='RETRATO 2027'!$K$5,"CONCLUÍDA",IF(F5819&lt;='RETRATO 2027'!$K$5,"EM ANDAMENTO","A INICIAR")))</f>
        <v/>
      </c>
    </row>
    <row r="5820">
      <c r="M5820" s="2">
        <f>IF(C5820="","",IFERROR(INDEX($S$5:$S$304,MATCH(C5820,$R$5:$R$304,0))&amp;"","?"))</f>
        <v/>
      </c>
      <c r="N5820" s="2">
        <f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>
        <f>IF(OR(F5820="",G5820=""),"",IF(G5820&lt;='RETRATO 2027'!$K$5,"CONCLUÍDA",IF(F5820&lt;='RETRATO 2027'!$K$5,"EM ANDAMENTO","A INICIAR")))</f>
        <v/>
      </c>
    </row>
    <row r="5821">
      <c r="M5821" s="2">
        <f>IF(C5821="","",IFERROR(INDEX($S$5:$S$304,MATCH(C5821,$R$5:$R$304,0))&amp;"","?"))</f>
        <v/>
      </c>
      <c r="N5821" s="2">
        <f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>
        <f>IF(OR(F5821="",G5821=""),"",IF(G5821&lt;='RETRATO 2027'!$K$5,"CONCLUÍDA",IF(F5821&lt;='RETRATO 2027'!$K$5,"EM ANDAMENTO","A INICIAR")))</f>
        <v/>
      </c>
    </row>
    <row r="5822">
      <c r="M5822" s="2">
        <f>IF(C5822="","",IFERROR(INDEX($S$5:$S$304,MATCH(C5822,$R$5:$R$304,0))&amp;"","?"))</f>
        <v/>
      </c>
      <c r="N5822" s="2">
        <f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>
        <f>IF(OR(F5822="",G5822=""),"",IF(G5822&lt;='RETRATO 2027'!$K$5,"CONCLUÍDA",IF(F5822&lt;='RETRATO 2027'!$K$5,"EM ANDAMENTO","A INICIAR")))</f>
        <v/>
      </c>
    </row>
    <row r="5823">
      <c r="M5823" s="2">
        <f>IF(C5823="","",IFERROR(INDEX($S$5:$S$304,MATCH(C5823,$R$5:$R$304,0))&amp;"","?"))</f>
        <v/>
      </c>
      <c r="N5823" s="2">
        <f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>
        <f>IF(OR(F5823="",G5823=""),"",IF(G5823&lt;='RETRATO 2027'!$K$5,"CONCLUÍDA",IF(F5823&lt;='RETRATO 2027'!$K$5,"EM ANDAMENTO","A INICIAR")))</f>
        <v/>
      </c>
    </row>
    <row r="5824">
      <c r="M5824" s="2">
        <f>IF(C5824="","",IFERROR(INDEX($S$5:$S$304,MATCH(C5824,$R$5:$R$304,0))&amp;"","?"))</f>
        <v/>
      </c>
      <c r="N5824" s="2">
        <f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>
        <f>IF(OR(F5824="",G5824=""),"",IF(G5824&lt;='RETRATO 2027'!$K$5,"CONCLUÍDA",IF(F5824&lt;='RETRATO 2027'!$K$5,"EM ANDAMENTO","A INICIAR")))</f>
        <v/>
      </c>
    </row>
    <row r="5825">
      <c r="M5825" s="2">
        <f>IF(C5825="","",IFERROR(INDEX($S$5:$S$304,MATCH(C5825,$R$5:$R$304,0))&amp;"","?"))</f>
        <v/>
      </c>
      <c r="N5825" s="2">
        <f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>
        <f>IF(OR(F5825="",G5825=""),"",IF(G5825&lt;='RETRATO 2027'!$K$5,"CONCLUÍDA",IF(F5825&lt;='RETRATO 2027'!$K$5,"EM ANDAMENTO","A INICIAR")))</f>
        <v/>
      </c>
    </row>
    <row r="5826">
      <c r="M5826" s="2">
        <f>IF(C5826="","",IFERROR(INDEX($S$5:$S$304,MATCH(C5826,$R$5:$R$304,0))&amp;"","?"))</f>
        <v/>
      </c>
      <c r="N5826" s="2">
        <f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>
        <f>IF(OR(F5826="",G5826=""),"",IF(G5826&lt;='RETRATO 2027'!$K$5,"CONCLUÍDA",IF(F5826&lt;='RETRATO 2027'!$K$5,"EM ANDAMENTO","A INICIAR")))</f>
        <v/>
      </c>
    </row>
    <row r="5827">
      <c r="M5827" s="2">
        <f>IF(C5827="","",IFERROR(INDEX($S$5:$S$304,MATCH(C5827,$R$5:$R$304,0))&amp;"","?"))</f>
        <v/>
      </c>
      <c r="N5827" s="2">
        <f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>
        <f>IF(OR(F5827="",G5827=""),"",IF(G5827&lt;='RETRATO 2027'!$K$5,"CONCLUÍDA",IF(F5827&lt;='RETRATO 2027'!$K$5,"EM ANDAMENTO","A INICIAR")))</f>
        <v/>
      </c>
    </row>
    <row r="5828">
      <c r="M5828" s="2">
        <f>IF(C5828="","",IFERROR(INDEX($S$5:$S$304,MATCH(C5828,$R$5:$R$304,0))&amp;"","?"))</f>
        <v/>
      </c>
      <c r="N5828" s="2">
        <f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>
        <f>IF(OR(F5828="",G5828=""),"",IF(G5828&lt;='RETRATO 2027'!$K$5,"CONCLUÍDA",IF(F5828&lt;='RETRATO 2027'!$K$5,"EM ANDAMENTO","A INICIAR")))</f>
        <v/>
      </c>
    </row>
    <row r="5829">
      <c r="M5829" s="2">
        <f>IF(C5829="","",IFERROR(INDEX($S$5:$S$304,MATCH(C5829,$R$5:$R$304,0))&amp;"","?"))</f>
        <v/>
      </c>
      <c r="N5829" s="2">
        <f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>
        <f>IF(OR(F5829="",G5829=""),"",IF(G5829&lt;='RETRATO 2027'!$K$5,"CONCLUÍDA",IF(F5829&lt;='RETRATO 2027'!$K$5,"EM ANDAMENTO","A INICIAR")))</f>
        <v/>
      </c>
    </row>
    <row r="5830">
      <c r="M5830" s="2">
        <f>IF(C5830="","",IFERROR(INDEX($S$5:$S$304,MATCH(C5830,$R$5:$R$304,0))&amp;"","?"))</f>
        <v/>
      </c>
      <c r="N5830" s="2">
        <f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>
        <f>IF(OR(F5830="",G5830=""),"",IF(G5830&lt;='RETRATO 2027'!$K$5,"CONCLUÍDA",IF(F5830&lt;='RETRATO 2027'!$K$5,"EM ANDAMENTO","A INICIAR")))</f>
        <v/>
      </c>
    </row>
    <row r="5831">
      <c r="M5831" s="2">
        <f>IF(C5831="","",IFERROR(INDEX($S$5:$S$304,MATCH(C5831,$R$5:$R$304,0))&amp;"","?"))</f>
        <v/>
      </c>
      <c r="N5831" s="2">
        <f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>
        <f>IF(OR(F5831="",G5831=""),"",IF(G5831&lt;='RETRATO 2027'!$K$5,"CONCLUÍDA",IF(F5831&lt;='RETRATO 2027'!$K$5,"EM ANDAMENTO","A INICIAR")))</f>
        <v/>
      </c>
    </row>
    <row r="5832">
      <c r="M5832" s="2">
        <f>IF(C5832="","",IFERROR(INDEX($S$5:$S$304,MATCH(C5832,$R$5:$R$304,0))&amp;"","?"))</f>
        <v/>
      </c>
      <c r="N5832" s="2">
        <f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>
        <f>IF(OR(F5832="",G5832=""),"",IF(G5832&lt;='RETRATO 2027'!$K$5,"CONCLUÍDA",IF(F5832&lt;='RETRATO 2027'!$K$5,"EM ANDAMENTO","A INICIAR")))</f>
        <v/>
      </c>
    </row>
    <row r="5833">
      <c r="M5833" s="2">
        <f>IF(C5833="","",IFERROR(INDEX($S$5:$S$304,MATCH(C5833,$R$5:$R$304,0))&amp;"","?"))</f>
        <v/>
      </c>
      <c r="N5833" s="2">
        <f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>
        <f>IF(OR(F5833="",G5833=""),"",IF(G5833&lt;='RETRATO 2027'!$K$5,"CONCLUÍDA",IF(F5833&lt;='RETRATO 2027'!$K$5,"EM ANDAMENTO","A INICIAR")))</f>
        <v/>
      </c>
    </row>
    <row r="5834">
      <c r="M5834" s="2">
        <f>IF(C5834="","",IFERROR(INDEX($S$5:$S$304,MATCH(C5834,$R$5:$R$304,0))&amp;"","?"))</f>
        <v/>
      </c>
      <c r="N5834" s="2">
        <f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>
        <f>IF(OR(F5834="",G5834=""),"",IF(G5834&lt;='RETRATO 2027'!$K$5,"CONCLUÍDA",IF(F5834&lt;='RETRATO 2027'!$K$5,"EM ANDAMENTO","A INICIAR")))</f>
        <v/>
      </c>
    </row>
    <row r="5835">
      <c r="M5835" s="2">
        <f>IF(C5835="","",IFERROR(INDEX($S$5:$S$304,MATCH(C5835,$R$5:$R$304,0))&amp;"","?"))</f>
        <v/>
      </c>
      <c r="N5835" s="2">
        <f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>
        <f>IF(OR(F5835="",G5835=""),"",IF(G5835&lt;='RETRATO 2027'!$K$5,"CONCLUÍDA",IF(F5835&lt;='RETRATO 2027'!$K$5,"EM ANDAMENTO","A INICIAR")))</f>
        <v/>
      </c>
    </row>
    <row r="5836">
      <c r="M5836" s="2">
        <f>IF(C5836="","",IFERROR(INDEX($S$5:$S$304,MATCH(C5836,$R$5:$R$304,0))&amp;"","?"))</f>
        <v/>
      </c>
      <c r="N5836" s="2">
        <f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>
        <f>IF(OR(F5836="",G5836=""),"",IF(G5836&lt;='RETRATO 2027'!$K$5,"CONCLUÍDA",IF(F5836&lt;='RETRATO 2027'!$K$5,"EM ANDAMENTO","A INICIAR")))</f>
        <v/>
      </c>
    </row>
    <row r="5837">
      <c r="M5837" s="2">
        <f>IF(C5837="","",IFERROR(INDEX($S$5:$S$304,MATCH(C5837,$R$5:$R$304,0))&amp;"","?"))</f>
        <v/>
      </c>
      <c r="N5837" s="2">
        <f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>
        <f>IF(OR(F5837="",G5837=""),"",IF(G5837&lt;='RETRATO 2027'!$K$5,"CONCLUÍDA",IF(F5837&lt;='RETRATO 2027'!$K$5,"EM ANDAMENTO","A INICIAR")))</f>
        <v/>
      </c>
    </row>
    <row r="5838">
      <c r="M5838" s="2">
        <f>IF(C5838="","",IFERROR(INDEX($S$5:$S$304,MATCH(C5838,$R$5:$R$304,0))&amp;"","?"))</f>
        <v/>
      </c>
      <c r="N5838" s="2">
        <f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>
        <f>IF(OR(F5838="",G5838=""),"",IF(G5838&lt;='RETRATO 2027'!$K$5,"CONCLUÍDA",IF(F5838&lt;='RETRATO 2027'!$K$5,"EM ANDAMENTO","A INICIAR")))</f>
        <v/>
      </c>
    </row>
    <row r="5839">
      <c r="M5839" s="2">
        <f>IF(C5839="","",IFERROR(INDEX($S$5:$S$304,MATCH(C5839,$R$5:$R$304,0))&amp;"","?"))</f>
        <v/>
      </c>
      <c r="N5839" s="2">
        <f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>
        <f>IF(OR(F5839="",G5839=""),"",IF(G5839&lt;='RETRATO 2027'!$K$5,"CONCLUÍDA",IF(F5839&lt;='RETRATO 2027'!$K$5,"EM ANDAMENTO","A INICIAR")))</f>
        <v/>
      </c>
    </row>
    <row r="5840">
      <c r="M5840" s="2">
        <f>IF(C5840="","",IFERROR(INDEX($S$5:$S$304,MATCH(C5840,$R$5:$R$304,0))&amp;"","?"))</f>
        <v/>
      </c>
      <c r="N5840" s="2">
        <f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>
        <f>IF(OR(F5840="",G5840=""),"",IF(G5840&lt;='RETRATO 2027'!$K$5,"CONCLUÍDA",IF(F5840&lt;='RETRATO 2027'!$K$5,"EM ANDAMENTO","A INICIAR")))</f>
        <v/>
      </c>
    </row>
    <row r="5841">
      <c r="M5841" s="2">
        <f>IF(C5841="","",IFERROR(INDEX($S$5:$S$304,MATCH(C5841,$R$5:$R$304,0))&amp;"","?"))</f>
        <v/>
      </c>
      <c r="N5841" s="2">
        <f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>
        <f>IF(OR(F5841="",G5841=""),"",IF(G5841&lt;='RETRATO 2027'!$K$5,"CONCLUÍDA",IF(F5841&lt;='RETRATO 2027'!$K$5,"EM ANDAMENTO","A INICIAR")))</f>
        <v/>
      </c>
    </row>
    <row r="5842">
      <c r="M5842" s="2">
        <f>IF(C5842="","",IFERROR(INDEX($S$5:$S$304,MATCH(C5842,$R$5:$R$304,0))&amp;"","?"))</f>
        <v/>
      </c>
      <c r="N5842" s="2">
        <f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>
        <f>IF(OR(F5842="",G5842=""),"",IF(G5842&lt;='RETRATO 2027'!$K$5,"CONCLUÍDA",IF(F5842&lt;='RETRATO 2027'!$K$5,"EM ANDAMENTO","A INICIAR")))</f>
        <v/>
      </c>
    </row>
    <row r="5843">
      <c r="M5843" s="2">
        <f>IF(C5843="","",IFERROR(INDEX($S$5:$S$304,MATCH(C5843,$R$5:$R$304,0))&amp;"","?"))</f>
        <v/>
      </c>
      <c r="N5843" s="2">
        <f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>
        <f>IF(OR(F5843="",G5843=""),"",IF(G5843&lt;='RETRATO 2027'!$K$5,"CONCLUÍDA",IF(F5843&lt;='RETRATO 2027'!$K$5,"EM ANDAMENTO","A INICIAR")))</f>
        <v/>
      </c>
    </row>
    <row r="5844">
      <c r="M5844" s="2">
        <f>IF(C5844="","",IFERROR(INDEX($S$5:$S$304,MATCH(C5844,$R$5:$R$304,0))&amp;"","?"))</f>
        <v/>
      </c>
      <c r="N5844" s="2">
        <f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>
        <f>IF(OR(F5844="",G5844=""),"",IF(G5844&lt;='RETRATO 2027'!$K$5,"CONCLUÍDA",IF(F5844&lt;='RETRATO 2027'!$K$5,"EM ANDAMENTO","A INICIAR")))</f>
        <v/>
      </c>
    </row>
    <row r="5845">
      <c r="M5845" s="2">
        <f>IF(C5845="","",IFERROR(INDEX($S$5:$S$304,MATCH(C5845,$R$5:$R$304,0))&amp;"","?"))</f>
        <v/>
      </c>
      <c r="N5845" s="2">
        <f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>
        <f>IF(OR(F5845="",G5845=""),"",IF(G5845&lt;='RETRATO 2027'!$K$5,"CONCLUÍDA",IF(F5845&lt;='RETRATO 2027'!$K$5,"EM ANDAMENTO","A INICIAR")))</f>
        <v/>
      </c>
    </row>
    <row r="5846">
      <c r="M5846" s="2">
        <f>IF(C5846="","",IFERROR(INDEX($S$5:$S$304,MATCH(C5846,$R$5:$R$304,0))&amp;"","?"))</f>
        <v/>
      </c>
      <c r="N5846" s="2">
        <f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>
        <f>IF(OR(F5846="",G5846=""),"",IF(G5846&lt;='RETRATO 2027'!$K$5,"CONCLUÍDA",IF(F5846&lt;='RETRATO 2027'!$K$5,"EM ANDAMENTO","A INICIAR")))</f>
        <v/>
      </c>
    </row>
    <row r="5847">
      <c r="M5847" s="2">
        <f>IF(C5847="","",IFERROR(INDEX($S$5:$S$304,MATCH(C5847,$R$5:$R$304,0))&amp;"","?"))</f>
        <v/>
      </c>
      <c r="N5847" s="2">
        <f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>
        <f>IF(OR(F5847="",G5847=""),"",IF(G5847&lt;='RETRATO 2027'!$K$5,"CONCLUÍDA",IF(F5847&lt;='RETRATO 2027'!$K$5,"EM ANDAMENTO","A INICIAR")))</f>
        <v/>
      </c>
    </row>
    <row r="5848">
      <c r="M5848" s="2">
        <f>IF(C5848="","",IFERROR(INDEX($S$5:$S$304,MATCH(C5848,$R$5:$R$304,0))&amp;"","?"))</f>
        <v/>
      </c>
      <c r="N5848" s="2">
        <f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>
        <f>IF(OR(F5848="",G5848=""),"",IF(G5848&lt;='RETRATO 2027'!$K$5,"CONCLUÍDA",IF(F5848&lt;='RETRATO 2027'!$K$5,"EM ANDAMENTO","A INICIAR")))</f>
        <v/>
      </c>
    </row>
    <row r="5849">
      <c r="M5849" s="2">
        <f>IF(C5849="","",IFERROR(INDEX($S$5:$S$304,MATCH(C5849,$R$5:$R$304,0))&amp;"","?"))</f>
        <v/>
      </c>
      <c r="N5849" s="2">
        <f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>
        <f>IF(OR(F5849="",G5849=""),"",IF(G5849&lt;='RETRATO 2027'!$K$5,"CONCLUÍDA",IF(F5849&lt;='RETRATO 2027'!$K$5,"EM ANDAMENTO","A INICIAR")))</f>
        <v/>
      </c>
    </row>
    <row r="5850">
      <c r="M5850" s="2">
        <f>IF(C5850="","",IFERROR(INDEX($S$5:$S$304,MATCH(C5850,$R$5:$R$304,0))&amp;"","?"))</f>
        <v/>
      </c>
      <c r="N5850" s="2">
        <f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>
        <f>IF(OR(F5850="",G5850=""),"",IF(G5850&lt;='RETRATO 2027'!$K$5,"CONCLUÍDA",IF(F5850&lt;='RETRATO 2027'!$K$5,"EM ANDAMENTO","A INICIAR")))</f>
        <v/>
      </c>
    </row>
    <row r="5851">
      <c r="M5851" s="2">
        <f>IF(C5851="","",IFERROR(INDEX($S$5:$S$304,MATCH(C5851,$R$5:$R$304,0))&amp;"","?"))</f>
        <v/>
      </c>
      <c r="N5851" s="2">
        <f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>
        <f>IF(OR(F5851="",G5851=""),"",IF(G5851&lt;='RETRATO 2027'!$K$5,"CONCLUÍDA",IF(F5851&lt;='RETRATO 2027'!$K$5,"EM ANDAMENTO","A INICIAR")))</f>
        <v/>
      </c>
    </row>
    <row r="5852">
      <c r="M5852" s="2">
        <f>IF(C5852="","",IFERROR(INDEX($S$5:$S$304,MATCH(C5852,$R$5:$R$304,0))&amp;"","?"))</f>
        <v/>
      </c>
      <c r="N5852" s="2">
        <f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>
        <f>IF(OR(F5852="",G5852=""),"",IF(G5852&lt;='RETRATO 2027'!$K$5,"CONCLUÍDA",IF(F5852&lt;='RETRATO 2027'!$K$5,"EM ANDAMENTO","A INICIAR")))</f>
        <v/>
      </c>
    </row>
    <row r="5853">
      <c r="M5853" s="2">
        <f>IF(C5853="","",IFERROR(INDEX($S$5:$S$304,MATCH(C5853,$R$5:$R$304,0))&amp;"","?"))</f>
        <v/>
      </c>
      <c r="N5853" s="2">
        <f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>
        <f>IF(OR(F5853="",G5853=""),"",IF(G5853&lt;='RETRATO 2027'!$K$5,"CONCLUÍDA",IF(F5853&lt;='RETRATO 2027'!$K$5,"EM ANDAMENTO","A INICIAR")))</f>
        <v/>
      </c>
    </row>
    <row r="5854">
      <c r="M5854" s="2">
        <f>IF(C5854="","",IFERROR(INDEX($S$5:$S$304,MATCH(C5854,$R$5:$R$304,0))&amp;"","?"))</f>
        <v/>
      </c>
      <c r="N5854" s="2">
        <f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>
        <f>IF(OR(F5854="",G5854=""),"",IF(G5854&lt;='RETRATO 2027'!$K$5,"CONCLUÍDA",IF(F5854&lt;='RETRATO 2027'!$K$5,"EM ANDAMENTO","A INICIAR")))</f>
        <v/>
      </c>
    </row>
    <row r="5855">
      <c r="M5855" s="2">
        <f>IF(C5855="","",IFERROR(INDEX($S$5:$S$304,MATCH(C5855,$R$5:$R$304,0))&amp;"","?"))</f>
        <v/>
      </c>
      <c r="N5855" s="2">
        <f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>
        <f>IF(OR(F5855="",G5855=""),"",IF(G5855&lt;='RETRATO 2027'!$K$5,"CONCLUÍDA",IF(F5855&lt;='RETRATO 2027'!$K$5,"EM ANDAMENTO","A INICIAR")))</f>
        <v/>
      </c>
    </row>
    <row r="5856">
      <c r="M5856" s="2">
        <f>IF(C5856="","",IFERROR(INDEX($S$5:$S$304,MATCH(C5856,$R$5:$R$304,0))&amp;"","?"))</f>
        <v/>
      </c>
      <c r="N5856" s="2">
        <f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>
        <f>IF(OR(F5856="",G5856=""),"",IF(G5856&lt;='RETRATO 2027'!$K$5,"CONCLUÍDA",IF(F5856&lt;='RETRATO 2027'!$K$5,"EM ANDAMENTO","A INICIAR")))</f>
        <v/>
      </c>
    </row>
    <row r="5857">
      <c r="M5857" s="2">
        <f>IF(C5857="","",IFERROR(INDEX($S$5:$S$304,MATCH(C5857,$R$5:$R$304,0))&amp;"","?"))</f>
        <v/>
      </c>
      <c r="N5857" s="2">
        <f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>
        <f>IF(OR(F5857="",G5857=""),"",IF(G5857&lt;='RETRATO 2027'!$K$5,"CONCLUÍDA",IF(F5857&lt;='RETRATO 2027'!$K$5,"EM ANDAMENTO","A INICIAR")))</f>
        <v/>
      </c>
    </row>
    <row r="5858">
      <c r="M5858" s="2">
        <f>IF(C5858="","",IFERROR(INDEX($S$5:$S$304,MATCH(C5858,$R$5:$R$304,0))&amp;"","?"))</f>
        <v/>
      </c>
      <c r="N5858" s="2">
        <f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>
        <f>IF(OR(F5858="",G5858=""),"",IF(G5858&lt;='RETRATO 2027'!$K$5,"CONCLUÍDA",IF(F5858&lt;='RETRATO 2027'!$K$5,"EM ANDAMENTO","A INICIAR")))</f>
        <v/>
      </c>
    </row>
    <row r="5859">
      <c r="M5859" s="2">
        <f>IF(C5859="","",IFERROR(INDEX($S$5:$S$304,MATCH(C5859,$R$5:$R$304,0))&amp;"","?"))</f>
        <v/>
      </c>
      <c r="N5859" s="2">
        <f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>
        <f>IF(OR(F5859="",G5859=""),"",IF(G5859&lt;='RETRATO 2027'!$K$5,"CONCLUÍDA",IF(F5859&lt;='RETRATO 2027'!$K$5,"EM ANDAMENTO","A INICIAR")))</f>
        <v/>
      </c>
    </row>
    <row r="5860">
      <c r="M5860" s="2">
        <f>IF(C5860="","",IFERROR(INDEX($S$5:$S$304,MATCH(C5860,$R$5:$R$304,0))&amp;"","?"))</f>
        <v/>
      </c>
      <c r="N5860" s="2">
        <f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>
        <f>IF(OR(F5860="",G5860=""),"",IF(G5860&lt;='RETRATO 2027'!$K$5,"CONCLUÍDA",IF(F5860&lt;='RETRATO 2027'!$K$5,"EM ANDAMENTO","A INICIAR")))</f>
        <v/>
      </c>
    </row>
    <row r="5861">
      <c r="M5861" s="2">
        <f>IF(C5861="","",IFERROR(INDEX($S$5:$S$304,MATCH(C5861,$R$5:$R$304,0))&amp;"","?"))</f>
        <v/>
      </c>
      <c r="N5861" s="2">
        <f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>
        <f>IF(OR(F5861="",G5861=""),"",IF(G5861&lt;='RETRATO 2027'!$K$5,"CONCLUÍDA",IF(F5861&lt;='RETRATO 2027'!$K$5,"EM ANDAMENTO","A INICIAR")))</f>
        <v/>
      </c>
    </row>
    <row r="5862">
      <c r="M5862" s="2">
        <f>IF(C5862="","",IFERROR(INDEX($S$5:$S$304,MATCH(C5862,$R$5:$R$304,0))&amp;"","?"))</f>
        <v/>
      </c>
      <c r="N5862" s="2">
        <f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>
        <f>IF(OR(F5862="",G5862=""),"",IF(G5862&lt;='RETRATO 2027'!$K$5,"CONCLUÍDA",IF(F5862&lt;='RETRATO 2027'!$K$5,"EM ANDAMENTO","A INICIAR")))</f>
        <v/>
      </c>
    </row>
    <row r="5863">
      <c r="M5863" s="2">
        <f>IF(C5863="","",IFERROR(INDEX($S$5:$S$304,MATCH(C5863,$R$5:$R$304,0))&amp;"","?"))</f>
        <v/>
      </c>
      <c r="N5863" s="2">
        <f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>
        <f>IF(OR(F5863="",G5863=""),"",IF(G5863&lt;='RETRATO 2027'!$K$5,"CONCLUÍDA",IF(F5863&lt;='RETRATO 2027'!$K$5,"EM ANDAMENTO","A INICIAR")))</f>
        <v/>
      </c>
    </row>
    <row r="5864">
      <c r="M5864" s="2">
        <f>IF(C5864="","",IFERROR(INDEX($S$5:$S$304,MATCH(C5864,$R$5:$R$304,0))&amp;"","?"))</f>
        <v/>
      </c>
      <c r="N5864" s="2">
        <f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>
        <f>IF(OR(F5864="",G5864=""),"",IF(G5864&lt;='RETRATO 2027'!$K$5,"CONCLUÍDA",IF(F5864&lt;='RETRATO 2027'!$K$5,"EM ANDAMENTO","A INICIAR")))</f>
        <v/>
      </c>
    </row>
    <row r="5865">
      <c r="M5865" s="2">
        <f>IF(C5865="","",IFERROR(INDEX($S$5:$S$304,MATCH(C5865,$R$5:$R$304,0))&amp;"","?"))</f>
        <v/>
      </c>
      <c r="N5865" s="2">
        <f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>
        <f>IF(OR(F5865="",G5865=""),"",IF(G5865&lt;='RETRATO 2027'!$K$5,"CONCLUÍDA",IF(F5865&lt;='RETRATO 2027'!$K$5,"EM ANDAMENTO","A INICIAR")))</f>
        <v/>
      </c>
    </row>
    <row r="5866">
      <c r="M5866" s="2">
        <f>IF(C5866="","",IFERROR(INDEX($S$5:$S$304,MATCH(C5866,$R$5:$R$304,0))&amp;"","?"))</f>
        <v/>
      </c>
      <c r="N5866" s="2">
        <f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>
        <f>IF(OR(F5866="",G5866=""),"",IF(G5866&lt;='RETRATO 2027'!$K$5,"CONCLUÍDA",IF(F5866&lt;='RETRATO 2027'!$K$5,"EM ANDAMENTO","A INICIAR")))</f>
        <v/>
      </c>
    </row>
    <row r="5867">
      <c r="M5867" s="2">
        <f>IF(C5867="","",IFERROR(INDEX($S$5:$S$304,MATCH(C5867,$R$5:$R$304,0))&amp;"","?"))</f>
        <v/>
      </c>
      <c r="N5867" s="2">
        <f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>
        <f>IF(OR(F5867="",G5867=""),"",IF(G5867&lt;='RETRATO 2027'!$K$5,"CONCLUÍDA",IF(F5867&lt;='RETRATO 2027'!$K$5,"EM ANDAMENTO","A INICIAR")))</f>
        <v/>
      </c>
    </row>
    <row r="5868">
      <c r="M5868" s="2">
        <f>IF(C5868="","",IFERROR(INDEX($S$5:$S$304,MATCH(C5868,$R$5:$R$304,0))&amp;"","?"))</f>
        <v/>
      </c>
      <c r="N5868" s="2">
        <f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>
        <f>IF(OR(F5868="",G5868=""),"",IF(G5868&lt;='RETRATO 2027'!$K$5,"CONCLUÍDA",IF(F5868&lt;='RETRATO 2027'!$K$5,"EM ANDAMENTO","A INICIAR")))</f>
        <v/>
      </c>
    </row>
    <row r="5869">
      <c r="M5869" s="2">
        <f>IF(C5869="","",IFERROR(INDEX($S$5:$S$304,MATCH(C5869,$R$5:$R$304,0))&amp;"","?"))</f>
        <v/>
      </c>
      <c r="N5869" s="2">
        <f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>
        <f>IF(OR(F5869="",G5869=""),"",IF(G5869&lt;='RETRATO 2027'!$K$5,"CONCLUÍDA",IF(F5869&lt;='RETRATO 2027'!$K$5,"EM ANDAMENTO","A INICIAR")))</f>
        <v/>
      </c>
    </row>
    <row r="5870">
      <c r="M5870" s="2">
        <f>IF(C5870="","",IFERROR(INDEX($S$5:$S$304,MATCH(C5870,$R$5:$R$304,0))&amp;"","?"))</f>
        <v/>
      </c>
      <c r="N5870" s="2">
        <f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>
        <f>IF(OR(F5870="",G5870=""),"",IF(G5870&lt;='RETRATO 2027'!$K$5,"CONCLUÍDA",IF(F5870&lt;='RETRATO 2027'!$K$5,"EM ANDAMENTO","A INICIAR")))</f>
        <v/>
      </c>
    </row>
    <row r="5871">
      <c r="M5871" s="2">
        <f>IF(C5871="","",IFERROR(INDEX($S$5:$S$304,MATCH(C5871,$R$5:$R$304,0))&amp;"","?"))</f>
        <v/>
      </c>
      <c r="N5871" s="2">
        <f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>
        <f>IF(OR(F5871="",G5871=""),"",IF(G5871&lt;='RETRATO 2027'!$K$5,"CONCLUÍDA",IF(F5871&lt;='RETRATO 2027'!$K$5,"EM ANDAMENTO","A INICIAR")))</f>
        <v/>
      </c>
    </row>
    <row r="5872">
      <c r="M5872" s="2">
        <f>IF(C5872="","",IFERROR(INDEX($S$5:$S$304,MATCH(C5872,$R$5:$R$304,0))&amp;"","?"))</f>
        <v/>
      </c>
      <c r="N5872" s="2">
        <f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>
        <f>IF(OR(F5872="",G5872=""),"",IF(G5872&lt;='RETRATO 2027'!$K$5,"CONCLUÍDA",IF(F5872&lt;='RETRATO 2027'!$K$5,"EM ANDAMENTO","A INICIAR")))</f>
        <v/>
      </c>
    </row>
    <row r="5873">
      <c r="M5873" s="2">
        <f>IF(C5873="","",IFERROR(INDEX($S$5:$S$304,MATCH(C5873,$R$5:$R$304,0))&amp;"","?"))</f>
        <v/>
      </c>
      <c r="N5873" s="2">
        <f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>
        <f>IF(OR(F5873="",G5873=""),"",IF(G5873&lt;='RETRATO 2027'!$K$5,"CONCLUÍDA",IF(F5873&lt;='RETRATO 2027'!$K$5,"EM ANDAMENTO","A INICIAR")))</f>
        <v/>
      </c>
    </row>
    <row r="5874">
      <c r="M5874" s="2">
        <f>IF(C5874="","",IFERROR(INDEX($S$5:$S$304,MATCH(C5874,$R$5:$R$304,0))&amp;"","?"))</f>
        <v/>
      </c>
      <c r="N5874" s="2">
        <f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>
        <f>IF(OR(F5874="",G5874=""),"",IF(G5874&lt;='RETRATO 2027'!$K$5,"CONCLUÍDA",IF(F5874&lt;='RETRATO 2027'!$K$5,"EM ANDAMENTO","A INICIAR")))</f>
        <v/>
      </c>
    </row>
    <row r="5875">
      <c r="M5875" s="2">
        <f>IF(C5875="","",IFERROR(INDEX($S$5:$S$304,MATCH(C5875,$R$5:$R$304,0))&amp;"","?"))</f>
        <v/>
      </c>
      <c r="N5875" s="2">
        <f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>
        <f>IF(OR(F5875="",G5875=""),"",IF(G5875&lt;='RETRATO 2027'!$K$5,"CONCLUÍDA",IF(F5875&lt;='RETRATO 2027'!$K$5,"EM ANDAMENTO","A INICIAR")))</f>
        <v/>
      </c>
    </row>
    <row r="5876">
      <c r="M5876" s="2">
        <f>IF(C5876="","",IFERROR(INDEX($S$5:$S$304,MATCH(C5876,$R$5:$R$304,0))&amp;"","?"))</f>
        <v/>
      </c>
      <c r="N5876" s="2">
        <f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>
        <f>IF(OR(F5876="",G5876=""),"",IF(G5876&lt;='RETRATO 2027'!$K$5,"CONCLUÍDA",IF(F5876&lt;='RETRATO 2027'!$K$5,"EM ANDAMENTO","A INICIAR")))</f>
        <v/>
      </c>
    </row>
    <row r="5877">
      <c r="M5877" s="2">
        <f>IF(C5877="","",IFERROR(INDEX($S$5:$S$304,MATCH(C5877,$R$5:$R$304,0))&amp;"","?"))</f>
        <v/>
      </c>
      <c r="N5877" s="2">
        <f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>
        <f>IF(OR(F5877="",G5877=""),"",IF(G5877&lt;='RETRATO 2027'!$K$5,"CONCLUÍDA",IF(F5877&lt;='RETRATO 2027'!$K$5,"EM ANDAMENTO","A INICIAR")))</f>
        <v/>
      </c>
    </row>
    <row r="5878">
      <c r="M5878" s="2">
        <f>IF(C5878="","",IFERROR(INDEX($S$5:$S$304,MATCH(C5878,$R$5:$R$304,0))&amp;"","?"))</f>
        <v/>
      </c>
      <c r="N5878" s="2">
        <f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>
        <f>IF(OR(F5878="",G5878=""),"",IF(G5878&lt;='RETRATO 2027'!$K$5,"CONCLUÍDA",IF(F5878&lt;='RETRATO 2027'!$K$5,"EM ANDAMENTO","A INICIAR")))</f>
        <v/>
      </c>
    </row>
    <row r="5879">
      <c r="M5879" s="2">
        <f>IF(C5879="","",IFERROR(INDEX($S$5:$S$304,MATCH(C5879,$R$5:$R$304,0))&amp;"","?"))</f>
        <v/>
      </c>
      <c r="N5879" s="2">
        <f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>
        <f>IF(OR(F5879="",G5879=""),"",IF(G5879&lt;='RETRATO 2027'!$K$5,"CONCLUÍDA",IF(F5879&lt;='RETRATO 2027'!$K$5,"EM ANDAMENTO","A INICIAR")))</f>
        <v/>
      </c>
    </row>
    <row r="5880">
      <c r="M5880" s="2">
        <f>IF(C5880="","",IFERROR(INDEX($S$5:$S$304,MATCH(C5880,$R$5:$R$304,0))&amp;"","?"))</f>
        <v/>
      </c>
      <c r="N5880" s="2">
        <f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>
        <f>IF(OR(F5880="",G5880=""),"",IF(G5880&lt;='RETRATO 2027'!$K$5,"CONCLUÍDA",IF(F5880&lt;='RETRATO 2027'!$K$5,"EM ANDAMENTO","A INICIAR")))</f>
        <v/>
      </c>
    </row>
    <row r="5881">
      <c r="M5881" s="2">
        <f>IF(C5881="","",IFERROR(INDEX($S$5:$S$304,MATCH(C5881,$R$5:$R$304,0))&amp;"","?"))</f>
        <v/>
      </c>
      <c r="N5881" s="2">
        <f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>
        <f>IF(OR(F5881="",G5881=""),"",IF(G5881&lt;='RETRATO 2027'!$K$5,"CONCLUÍDA",IF(F5881&lt;='RETRATO 2027'!$K$5,"EM ANDAMENTO","A INICIAR")))</f>
        <v/>
      </c>
    </row>
    <row r="5882">
      <c r="M5882" s="2">
        <f>IF(C5882="","",IFERROR(INDEX($S$5:$S$304,MATCH(C5882,$R$5:$R$304,0))&amp;"","?"))</f>
        <v/>
      </c>
      <c r="N5882" s="2">
        <f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>
        <f>IF(OR(F5882="",G5882=""),"",IF(G5882&lt;='RETRATO 2027'!$K$5,"CONCLUÍDA",IF(F5882&lt;='RETRATO 2027'!$K$5,"EM ANDAMENTO","A INICIAR")))</f>
        <v/>
      </c>
    </row>
    <row r="5883">
      <c r="M5883" s="2">
        <f>IF(C5883="","",IFERROR(INDEX($S$5:$S$304,MATCH(C5883,$R$5:$R$304,0))&amp;"","?"))</f>
        <v/>
      </c>
      <c r="N5883" s="2">
        <f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>
        <f>IF(OR(F5883="",G5883=""),"",IF(G5883&lt;='RETRATO 2027'!$K$5,"CONCLUÍDA",IF(F5883&lt;='RETRATO 2027'!$K$5,"EM ANDAMENTO","A INICIAR")))</f>
        <v/>
      </c>
    </row>
    <row r="5884">
      <c r="M5884" s="2">
        <f>IF(C5884="","",IFERROR(INDEX($S$5:$S$304,MATCH(C5884,$R$5:$R$304,0))&amp;"","?"))</f>
        <v/>
      </c>
      <c r="N5884" s="2">
        <f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>
        <f>IF(OR(F5884="",G5884=""),"",IF(G5884&lt;='RETRATO 2027'!$K$5,"CONCLUÍDA",IF(F5884&lt;='RETRATO 2027'!$K$5,"EM ANDAMENTO","A INICIAR")))</f>
        <v/>
      </c>
    </row>
    <row r="5885">
      <c r="M5885" s="2">
        <f>IF(C5885="","",IFERROR(INDEX($S$5:$S$304,MATCH(C5885,$R$5:$R$304,0))&amp;"","?"))</f>
        <v/>
      </c>
      <c r="N5885" s="2">
        <f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>
        <f>IF(OR(F5885="",G5885=""),"",IF(G5885&lt;='RETRATO 2027'!$K$5,"CONCLUÍDA",IF(F5885&lt;='RETRATO 2027'!$K$5,"EM ANDAMENTO","A INICIAR")))</f>
        <v/>
      </c>
    </row>
    <row r="5886">
      <c r="M5886" s="2">
        <f>IF(C5886="","",IFERROR(INDEX($S$5:$S$304,MATCH(C5886,$R$5:$R$304,0))&amp;"","?"))</f>
        <v/>
      </c>
      <c r="N5886" s="2">
        <f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>
        <f>IF(OR(F5886="",G5886=""),"",IF(G5886&lt;='RETRATO 2027'!$K$5,"CONCLUÍDA",IF(F5886&lt;='RETRATO 2027'!$K$5,"EM ANDAMENTO","A INICIAR")))</f>
        <v/>
      </c>
    </row>
    <row r="5887">
      <c r="M5887" s="2">
        <f>IF(C5887="","",IFERROR(INDEX($S$5:$S$304,MATCH(C5887,$R$5:$R$304,0))&amp;"","?"))</f>
        <v/>
      </c>
      <c r="N5887" s="2">
        <f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>
        <f>IF(OR(F5887="",G5887=""),"",IF(G5887&lt;='RETRATO 2027'!$K$5,"CONCLUÍDA",IF(F5887&lt;='RETRATO 2027'!$K$5,"EM ANDAMENTO","A INICIAR")))</f>
        <v/>
      </c>
    </row>
    <row r="5888">
      <c r="M5888" s="2">
        <f>IF(C5888="","",IFERROR(INDEX($S$5:$S$304,MATCH(C5888,$R$5:$R$304,0))&amp;"","?"))</f>
        <v/>
      </c>
      <c r="N5888" s="2">
        <f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>
        <f>IF(OR(F5888="",G5888=""),"",IF(G5888&lt;='RETRATO 2027'!$K$5,"CONCLUÍDA",IF(F5888&lt;='RETRATO 2027'!$K$5,"EM ANDAMENTO","A INICIAR")))</f>
        <v/>
      </c>
    </row>
    <row r="5889">
      <c r="M5889" s="2">
        <f>IF(C5889="","",IFERROR(INDEX($S$5:$S$304,MATCH(C5889,$R$5:$R$304,0))&amp;"","?"))</f>
        <v/>
      </c>
      <c r="N5889" s="2">
        <f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>
        <f>IF(OR(F5889="",G5889=""),"",IF(G5889&lt;='RETRATO 2027'!$K$5,"CONCLUÍDA",IF(F5889&lt;='RETRATO 2027'!$K$5,"EM ANDAMENTO","A INICIAR")))</f>
        <v/>
      </c>
    </row>
    <row r="5890">
      <c r="M5890" s="2">
        <f>IF(C5890="","",IFERROR(INDEX($S$5:$S$304,MATCH(C5890,$R$5:$R$304,0))&amp;"","?"))</f>
        <v/>
      </c>
      <c r="N5890" s="2">
        <f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>
        <f>IF(OR(F5890="",G5890=""),"",IF(G5890&lt;='RETRATO 2027'!$K$5,"CONCLUÍDA",IF(F5890&lt;='RETRATO 2027'!$K$5,"EM ANDAMENTO","A INICIAR")))</f>
        <v/>
      </c>
    </row>
    <row r="5891">
      <c r="M5891" s="2">
        <f>IF(C5891="","",IFERROR(INDEX($S$5:$S$304,MATCH(C5891,$R$5:$R$304,0))&amp;"","?"))</f>
        <v/>
      </c>
      <c r="N5891" s="2">
        <f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>
        <f>IF(OR(F5891="",G5891=""),"",IF(G5891&lt;='RETRATO 2027'!$K$5,"CONCLUÍDA",IF(F5891&lt;='RETRATO 2027'!$K$5,"EM ANDAMENTO","A INICIAR")))</f>
        <v/>
      </c>
    </row>
    <row r="5892">
      <c r="M5892" s="2">
        <f>IF(C5892="","",IFERROR(INDEX($S$5:$S$304,MATCH(C5892,$R$5:$R$304,0))&amp;"","?"))</f>
        <v/>
      </c>
      <c r="N5892" s="2">
        <f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>
        <f>IF(OR(F5892="",G5892=""),"",IF(G5892&lt;='RETRATO 2027'!$K$5,"CONCLUÍDA",IF(F5892&lt;='RETRATO 2027'!$K$5,"EM ANDAMENTO","A INICIAR")))</f>
        <v/>
      </c>
    </row>
    <row r="5893">
      <c r="M5893" s="2">
        <f>IF(C5893="","",IFERROR(INDEX($S$5:$S$304,MATCH(C5893,$R$5:$R$304,0))&amp;"","?"))</f>
        <v/>
      </c>
      <c r="N5893" s="2">
        <f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>
        <f>IF(OR(F5893="",G5893=""),"",IF(G5893&lt;='RETRATO 2027'!$K$5,"CONCLUÍDA",IF(F5893&lt;='RETRATO 2027'!$K$5,"EM ANDAMENTO","A INICIAR")))</f>
        <v/>
      </c>
    </row>
    <row r="5894">
      <c r="M5894" s="2">
        <f>IF(C5894="","",IFERROR(INDEX($S$5:$S$304,MATCH(C5894,$R$5:$R$304,0))&amp;"","?"))</f>
        <v/>
      </c>
      <c r="N5894" s="2">
        <f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>
        <f>IF(OR(F5894="",G5894=""),"",IF(G5894&lt;='RETRATO 2027'!$K$5,"CONCLUÍDA",IF(F5894&lt;='RETRATO 2027'!$K$5,"EM ANDAMENTO","A INICIAR")))</f>
        <v/>
      </c>
    </row>
    <row r="5895">
      <c r="M5895" s="2">
        <f>IF(C5895="","",IFERROR(INDEX($S$5:$S$304,MATCH(C5895,$R$5:$R$304,0))&amp;"","?"))</f>
        <v/>
      </c>
      <c r="N5895" s="2">
        <f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>
        <f>IF(OR(F5895="",G5895=""),"",IF(G5895&lt;='RETRATO 2027'!$K$5,"CONCLUÍDA",IF(F5895&lt;='RETRATO 2027'!$K$5,"EM ANDAMENTO","A INICIAR")))</f>
        <v/>
      </c>
    </row>
    <row r="5896">
      <c r="M5896" s="2">
        <f>IF(C5896="","",IFERROR(INDEX($S$5:$S$304,MATCH(C5896,$R$5:$R$304,0))&amp;"","?"))</f>
        <v/>
      </c>
      <c r="N5896" s="2">
        <f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>
        <f>IF(OR(F5896="",G5896=""),"",IF(G5896&lt;='RETRATO 2027'!$K$5,"CONCLUÍDA",IF(F5896&lt;='RETRATO 2027'!$K$5,"EM ANDAMENTO","A INICIAR")))</f>
        <v/>
      </c>
    </row>
    <row r="5897">
      <c r="M5897" s="2">
        <f>IF(C5897="","",IFERROR(INDEX($S$5:$S$304,MATCH(C5897,$R$5:$R$304,0))&amp;"","?"))</f>
        <v/>
      </c>
      <c r="N5897" s="2">
        <f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>
        <f>IF(OR(F5897="",G5897=""),"",IF(G5897&lt;='RETRATO 2027'!$K$5,"CONCLUÍDA",IF(F5897&lt;='RETRATO 2027'!$K$5,"EM ANDAMENTO","A INICIAR")))</f>
        <v/>
      </c>
    </row>
    <row r="5898">
      <c r="M5898" s="2">
        <f>IF(C5898="","",IFERROR(INDEX($S$5:$S$304,MATCH(C5898,$R$5:$R$304,0))&amp;"","?"))</f>
        <v/>
      </c>
      <c r="N5898" s="2">
        <f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>
        <f>IF(OR(F5898="",G5898=""),"",IF(G5898&lt;='RETRATO 2027'!$K$5,"CONCLUÍDA",IF(F5898&lt;='RETRATO 2027'!$K$5,"EM ANDAMENTO","A INICIAR")))</f>
        <v/>
      </c>
    </row>
    <row r="5899">
      <c r="M5899" s="2">
        <f>IF(C5899="","",IFERROR(INDEX($S$5:$S$304,MATCH(C5899,$R$5:$R$304,0))&amp;"","?"))</f>
        <v/>
      </c>
      <c r="N5899" s="2">
        <f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>
        <f>IF(OR(F5899="",G5899=""),"",IF(G5899&lt;='RETRATO 2027'!$K$5,"CONCLUÍDA",IF(F5899&lt;='RETRATO 2027'!$K$5,"EM ANDAMENTO","A INICIAR")))</f>
        <v/>
      </c>
    </row>
    <row r="5900">
      <c r="M5900" s="2">
        <f>IF(C5900="","",IFERROR(INDEX($S$5:$S$304,MATCH(C5900,$R$5:$R$304,0))&amp;"","?"))</f>
        <v/>
      </c>
      <c r="N5900" s="2">
        <f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>
        <f>IF(OR(F5900="",G5900=""),"",IF(G5900&lt;='RETRATO 2027'!$K$5,"CONCLUÍDA",IF(F5900&lt;='RETRATO 2027'!$K$5,"EM ANDAMENTO","A INICIAR")))</f>
        <v/>
      </c>
    </row>
    <row r="5901">
      <c r="M5901" s="2">
        <f>IF(C5901="","",IFERROR(INDEX($S$5:$S$304,MATCH(C5901,$R$5:$R$304,0))&amp;"","?"))</f>
        <v/>
      </c>
      <c r="N5901" s="2">
        <f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>
        <f>IF(OR(F5901="",G5901=""),"",IF(G5901&lt;='RETRATO 2027'!$K$5,"CONCLUÍDA",IF(F5901&lt;='RETRATO 2027'!$K$5,"EM ANDAMENTO","A INICIAR")))</f>
        <v/>
      </c>
    </row>
    <row r="5902">
      <c r="M5902" s="2">
        <f>IF(C5902="","",IFERROR(INDEX($S$5:$S$304,MATCH(C5902,$R$5:$R$304,0))&amp;"","?"))</f>
        <v/>
      </c>
      <c r="N5902" s="2">
        <f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>
        <f>IF(OR(F5902="",G5902=""),"",IF(G5902&lt;='RETRATO 2027'!$K$5,"CONCLUÍDA",IF(F5902&lt;='RETRATO 2027'!$K$5,"EM ANDAMENTO","A INICIAR")))</f>
        <v/>
      </c>
    </row>
    <row r="5903">
      <c r="M5903" s="2">
        <f>IF(C5903="","",IFERROR(INDEX($S$5:$S$304,MATCH(C5903,$R$5:$R$304,0))&amp;"","?"))</f>
        <v/>
      </c>
      <c r="N5903" s="2">
        <f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>
        <f>IF(OR(F5903="",G5903=""),"",IF(G5903&lt;='RETRATO 2027'!$K$5,"CONCLUÍDA",IF(F5903&lt;='RETRATO 2027'!$K$5,"EM ANDAMENTO","A INICIAR")))</f>
        <v/>
      </c>
    </row>
    <row r="5904">
      <c r="M5904" s="2">
        <f>IF(C5904="","",IFERROR(INDEX($S$5:$S$304,MATCH(C5904,$R$5:$R$304,0))&amp;"","?"))</f>
        <v/>
      </c>
      <c r="N5904" s="2">
        <f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>
        <f>IF(OR(F5904="",G5904=""),"",IF(G5904&lt;='RETRATO 2027'!$K$5,"CONCLUÍDA",IF(F5904&lt;='RETRATO 2027'!$K$5,"EM ANDAMENTO","A INICIAR")))</f>
        <v/>
      </c>
    </row>
    <row r="5905">
      <c r="M5905" s="2">
        <f>IF(C5905="","",IFERROR(INDEX($S$5:$S$304,MATCH(C5905,$R$5:$R$304,0))&amp;"","?"))</f>
        <v/>
      </c>
      <c r="N5905" s="2">
        <f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>
        <f>IF(OR(F5905="",G5905=""),"",IF(G5905&lt;='RETRATO 2027'!$K$5,"CONCLUÍDA",IF(F5905&lt;='RETRATO 2027'!$K$5,"EM ANDAMENTO","A INICIAR")))</f>
        <v/>
      </c>
    </row>
    <row r="5906">
      <c r="M5906" s="2">
        <f>IF(C5906="","",IFERROR(INDEX($S$5:$S$304,MATCH(C5906,$R$5:$R$304,0))&amp;"","?"))</f>
        <v/>
      </c>
      <c r="N5906" s="2">
        <f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>
        <f>IF(OR(F5906="",G5906=""),"",IF(G5906&lt;='RETRATO 2027'!$K$5,"CONCLUÍDA",IF(F5906&lt;='RETRATO 2027'!$K$5,"EM ANDAMENTO","A INICIAR")))</f>
        <v/>
      </c>
    </row>
    <row r="5907">
      <c r="M5907" s="2">
        <f>IF(C5907="","",IFERROR(INDEX($S$5:$S$304,MATCH(C5907,$R$5:$R$304,0))&amp;"","?"))</f>
        <v/>
      </c>
      <c r="N5907" s="2">
        <f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>
        <f>IF(OR(F5907="",G5907=""),"",IF(G5907&lt;='RETRATO 2027'!$K$5,"CONCLUÍDA",IF(F5907&lt;='RETRATO 2027'!$K$5,"EM ANDAMENTO","A INICIAR")))</f>
        <v/>
      </c>
    </row>
    <row r="5908">
      <c r="M5908" s="2">
        <f>IF(C5908="","",IFERROR(INDEX($S$5:$S$304,MATCH(C5908,$R$5:$R$304,0))&amp;"","?"))</f>
        <v/>
      </c>
      <c r="N5908" s="2">
        <f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>
        <f>IF(OR(F5908="",G5908=""),"",IF(G5908&lt;='RETRATO 2027'!$K$5,"CONCLUÍDA",IF(F5908&lt;='RETRATO 2027'!$K$5,"EM ANDAMENTO","A INICIAR")))</f>
        <v/>
      </c>
    </row>
    <row r="5909">
      <c r="M5909" s="2">
        <f>IF(C5909="","",IFERROR(INDEX($S$5:$S$304,MATCH(C5909,$R$5:$R$304,0))&amp;"","?"))</f>
        <v/>
      </c>
      <c r="N5909" s="2">
        <f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>
        <f>IF(OR(F5909="",G5909=""),"",IF(G5909&lt;='RETRATO 2027'!$K$5,"CONCLUÍDA",IF(F5909&lt;='RETRATO 2027'!$K$5,"EM ANDAMENTO","A INICIAR")))</f>
        <v/>
      </c>
    </row>
    <row r="5910">
      <c r="M5910" s="2">
        <f>IF(C5910="","",IFERROR(INDEX($S$5:$S$304,MATCH(C5910,$R$5:$R$304,0))&amp;"","?"))</f>
        <v/>
      </c>
      <c r="N5910" s="2">
        <f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>
        <f>IF(OR(F5910="",G5910=""),"",IF(G5910&lt;='RETRATO 2027'!$K$5,"CONCLUÍDA",IF(F5910&lt;='RETRATO 2027'!$K$5,"EM ANDAMENTO","A INICIAR")))</f>
        <v/>
      </c>
    </row>
    <row r="5911">
      <c r="M5911" s="2">
        <f>IF(C5911="","",IFERROR(INDEX($S$5:$S$304,MATCH(C5911,$R$5:$R$304,0))&amp;"","?"))</f>
        <v/>
      </c>
      <c r="N5911" s="2">
        <f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>
        <f>IF(OR(F5911="",G5911=""),"",IF(G5911&lt;='RETRATO 2027'!$K$5,"CONCLUÍDA",IF(F5911&lt;='RETRATO 2027'!$K$5,"EM ANDAMENTO","A INICIAR")))</f>
        <v/>
      </c>
    </row>
    <row r="5912">
      <c r="M5912" s="2">
        <f>IF(C5912="","",IFERROR(INDEX($S$5:$S$304,MATCH(C5912,$R$5:$R$304,0))&amp;"","?"))</f>
        <v/>
      </c>
      <c r="N5912" s="2">
        <f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>
        <f>IF(OR(F5912="",G5912=""),"",IF(G5912&lt;='RETRATO 2027'!$K$5,"CONCLUÍDA",IF(F5912&lt;='RETRATO 2027'!$K$5,"EM ANDAMENTO","A INICIAR")))</f>
        <v/>
      </c>
    </row>
    <row r="5913">
      <c r="M5913" s="2">
        <f>IF(C5913="","",IFERROR(INDEX($S$5:$S$304,MATCH(C5913,$R$5:$R$304,0))&amp;"","?"))</f>
        <v/>
      </c>
      <c r="N5913" s="2">
        <f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>
        <f>IF(OR(F5913="",G5913=""),"",IF(G5913&lt;='RETRATO 2027'!$K$5,"CONCLUÍDA",IF(F5913&lt;='RETRATO 2027'!$K$5,"EM ANDAMENTO","A INICIAR")))</f>
        <v/>
      </c>
    </row>
    <row r="5914">
      <c r="M5914" s="2">
        <f>IF(C5914="","",IFERROR(INDEX($S$5:$S$304,MATCH(C5914,$R$5:$R$304,0))&amp;"","?"))</f>
        <v/>
      </c>
      <c r="N5914" s="2">
        <f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>
        <f>IF(OR(F5914="",G5914=""),"",IF(G5914&lt;='RETRATO 2027'!$K$5,"CONCLUÍDA",IF(F5914&lt;='RETRATO 2027'!$K$5,"EM ANDAMENTO","A INICIAR")))</f>
        <v/>
      </c>
    </row>
    <row r="5915">
      <c r="M5915" s="2">
        <f>IF(C5915="","",IFERROR(INDEX($S$5:$S$304,MATCH(C5915,$R$5:$R$304,0))&amp;"","?"))</f>
        <v/>
      </c>
      <c r="N5915" s="2">
        <f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>
        <f>IF(OR(F5915="",G5915=""),"",IF(G5915&lt;='RETRATO 2027'!$K$5,"CONCLUÍDA",IF(F5915&lt;='RETRATO 2027'!$K$5,"EM ANDAMENTO","A INICIAR")))</f>
        <v/>
      </c>
    </row>
    <row r="5916">
      <c r="M5916" s="2">
        <f>IF(C5916="","",IFERROR(INDEX($S$5:$S$304,MATCH(C5916,$R$5:$R$304,0))&amp;"","?"))</f>
        <v/>
      </c>
      <c r="N5916" s="2">
        <f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>
        <f>IF(OR(F5916="",G5916=""),"",IF(G5916&lt;='RETRATO 2027'!$K$5,"CONCLUÍDA",IF(F5916&lt;='RETRATO 2027'!$K$5,"EM ANDAMENTO","A INICIAR")))</f>
        <v/>
      </c>
    </row>
    <row r="5917">
      <c r="M5917" s="2">
        <f>IF(C5917="","",IFERROR(INDEX($S$5:$S$304,MATCH(C5917,$R$5:$R$304,0))&amp;"","?"))</f>
        <v/>
      </c>
      <c r="N5917" s="2">
        <f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>
        <f>IF(OR(F5917="",G5917=""),"",IF(G5917&lt;='RETRATO 2027'!$K$5,"CONCLUÍDA",IF(F5917&lt;='RETRATO 2027'!$K$5,"EM ANDAMENTO","A INICIAR")))</f>
        <v/>
      </c>
    </row>
    <row r="5918">
      <c r="M5918" s="2">
        <f>IF(C5918="","",IFERROR(INDEX($S$5:$S$304,MATCH(C5918,$R$5:$R$304,0))&amp;"","?"))</f>
        <v/>
      </c>
      <c r="N5918" s="2">
        <f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>
        <f>IF(OR(F5918="",G5918=""),"",IF(G5918&lt;='RETRATO 2027'!$K$5,"CONCLUÍDA",IF(F5918&lt;='RETRATO 2027'!$K$5,"EM ANDAMENTO","A INICIAR")))</f>
        <v/>
      </c>
    </row>
    <row r="5919">
      <c r="M5919" s="2">
        <f>IF(C5919="","",IFERROR(INDEX($S$5:$S$304,MATCH(C5919,$R$5:$R$304,0))&amp;"","?"))</f>
        <v/>
      </c>
      <c r="N5919" s="2">
        <f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>
        <f>IF(OR(F5919="",G5919=""),"",IF(G5919&lt;='RETRATO 2027'!$K$5,"CONCLUÍDA",IF(F5919&lt;='RETRATO 2027'!$K$5,"EM ANDAMENTO","A INICIAR")))</f>
        <v/>
      </c>
    </row>
    <row r="5920">
      <c r="M5920" s="2">
        <f>IF(C5920="","",IFERROR(INDEX($S$5:$S$304,MATCH(C5920,$R$5:$R$304,0))&amp;"","?"))</f>
        <v/>
      </c>
      <c r="N5920" s="2">
        <f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>
        <f>IF(OR(F5920="",G5920=""),"",IF(G5920&lt;='RETRATO 2027'!$K$5,"CONCLUÍDA",IF(F5920&lt;='RETRATO 2027'!$K$5,"EM ANDAMENTO","A INICIAR")))</f>
        <v/>
      </c>
    </row>
    <row r="5921">
      <c r="M5921" s="2">
        <f>IF(C5921="","",IFERROR(INDEX($S$5:$S$304,MATCH(C5921,$R$5:$R$304,0))&amp;"","?"))</f>
        <v/>
      </c>
      <c r="N5921" s="2">
        <f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>
        <f>IF(OR(F5921="",G5921=""),"",IF(G5921&lt;='RETRATO 2027'!$K$5,"CONCLUÍDA",IF(F5921&lt;='RETRATO 2027'!$K$5,"EM ANDAMENTO","A INICIAR")))</f>
        <v/>
      </c>
    </row>
    <row r="5922">
      <c r="M5922" s="2">
        <f>IF(C5922="","",IFERROR(INDEX($S$5:$S$304,MATCH(C5922,$R$5:$R$304,0))&amp;"","?"))</f>
        <v/>
      </c>
      <c r="N5922" s="2">
        <f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>
        <f>IF(OR(F5922="",G5922=""),"",IF(G5922&lt;='RETRATO 2027'!$K$5,"CONCLUÍDA",IF(F5922&lt;='RETRATO 2027'!$K$5,"EM ANDAMENTO","A INICIAR")))</f>
        <v/>
      </c>
    </row>
    <row r="5923">
      <c r="M5923" s="2">
        <f>IF(C5923="","",IFERROR(INDEX($S$5:$S$304,MATCH(C5923,$R$5:$R$304,0))&amp;"","?"))</f>
        <v/>
      </c>
      <c r="N5923" s="2">
        <f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>
        <f>IF(OR(F5923="",G5923=""),"",IF(G5923&lt;='RETRATO 2027'!$K$5,"CONCLUÍDA",IF(F5923&lt;='RETRATO 2027'!$K$5,"EM ANDAMENTO","A INICIAR")))</f>
        <v/>
      </c>
    </row>
    <row r="5924">
      <c r="M5924" s="2">
        <f>IF(C5924="","",IFERROR(INDEX($S$5:$S$304,MATCH(C5924,$R$5:$R$304,0))&amp;"","?"))</f>
        <v/>
      </c>
      <c r="N5924" s="2">
        <f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>
        <f>IF(OR(F5924="",G5924=""),"",IF(G5924&lt;='RETRATO 2027'!$K$5,"CONCLUÍDA",IF(F5924&lt;='RETRATO 2027'!$K$5,"EM ANDAMENTO","A INICIAR")))</f>
        <v/>
      </c>
    </row>
    <row r="5925">
      <c r="M5925" s="2">
        <f>IF(C5925="","",IFERROR(INDEX($S$5:$S$304,MATCH(C5925,$R$5:$R$304,0))&amp;"","?"))</f>
        <v/>
      </c>
      <c r="N5925" s="2">
        <f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>
        <f>IF(OR(F5925="",G5925=""),"",IF(G5925&lt;='RETRATO 2027'!$K$5,"CONCLUÍDA",IF(F5925&lt;='RETRATO 2027'!$K$5,"EM ANDAMENTO","A INICIAR")))</f>
        <v/>
      </c>
    </row>
    <row r="5926">
      <c r="M5926" s="2">
        <f>IF(C5926="","",IFERROR(INDEX($S$5:$S$304,MATCH(C5926,$R$5:$R$304,0))&amp;"","?"))</f>
        <v/>
      </c>
      <c r="N5926" s="2">
        <f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>
        <f>IF(OR(F5926="",G5926=""),"",IF(G5926&lt;='RETRATO 2027'!$K$5,"CONCLUÍDA",IF(F5926&lt;='RETRATO 2027'!$K$5,"EM ANDAMENTO","A INICIAR")))</f>
        <v/>
      </c>
    </row>
    <row r="5927">
      <c r="M5927" s="2">
        <f>IF(C5927="","",IFERROR(INDEX($S$5:$S$304,MATCH(C5927,$R$5:$R$304,0))&amp;"","?"))</f>
        <v/>
      </c>
      <c r="N5927" s="2">
        <f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>
        <f>IF(OR(F5927="",G5927=""),"",IF(G5927&lt;='RETRATO 2027'!$K$5,"CONCLUÍDA",IF(F5927&lt;='RETRATO 2027'!$K$5,"EM ANDAMENTO","A INICIAR")))</f>
        <v/>
      </c>
    </row>
    <row r="5928">
      <c r="M5928" s="2">
        <f>IF(C5928="","",IFERROR(INDEX($S$5:$S$304,MATCH(C5928,$R$5:$R$304,0))&amp;"","?"))</f>
        <v/>
      </c>
      <c r="N5928" s="2">
        <f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>
        <f>IF(OR(F5928="",G5928=""),"",IF(G5928&lt;='RETRATO 2027'!$K$5,"CONCLUÍDA",IF(F5928&lt;='RETRATO 2027'!$K$5,"EM ANDAMENTO","A INICIAR")))</f>
        <v/>
      </c>
    </row>
    <row r="5929">
      <c r="M5929" s="2">
        <f>IF(C5929="","",IFERROR(INDEX($S$5:$S$304,MATCH(C5929,$R$5:$R$304,0))&amp;"","?"))</f>
        <v/>
      </c>
      <c r="N5929" s="2">
        <f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>
        <f>IF(OR(F5929="",G5929=""),"",IF(G5929&lt;='RETRATO 2027'!$K$5,"CONCLUÍDA",IF(F5929&lt;='RETRATO 2027'!$K$5,"EM ANDAMENTO","A INICIAR")))</f>
        <v/>
      </c>
    </row>
    <row r="5930">
      <c r="M5930" s="2">
        <f>IF(C5930="","",IFERROR(INDEX($S$5:$S$304,MATCH(C5930,$R$5:$R$304,0))&amp;"","?"))</f>
        <v/>
      </c>
      <c r="N5930" s="2">
        <f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>
        <f>IF(OR(F5930="",G5930=""),"",IF(G5930&lt;='RETRATO 2027'!$K$5,"CONCLUÍDA",IF(F5930&lt;='RETRATO 2027'!$K$5,"EM ANDAMENTO","A INICIAR")))</f>
        <v/>
      </c>
    </row>
    <row r="5931">
      <c r="M5931" s="2">
        <f>IF(C5931="","",IFERROR(INDEX($S$5:$S$304,MATCH(C5931,$R$5:$R$304,0))&amp;"","?"))</f>
        <v/>
      </c>
      <c r="N5931" s="2">
        <f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>
        <f>IF(OR(F5931="",G5931=""),"",IF(G5931&lt;='RETRATO 2027'!$K$5,"CONCLUÍDA",IF(F5931&lt;='RETRATO 2027'!$K$5,"EM ANDAMENTO","A INICIAR")))</f>
        <v/>
      </c>
    </row>
    <row r="5932">
      <c r="M5932" s="2">
        <f>IF(C5932="","",IFERROR(INDEX($S$5:$S$304,MATCH(C5932,$R$5:$R$304,0))&amp;"","?"))</f>
        <v/>
      </c>
      <c r="N5932" s="2">
        <f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>
        <f>IF(OR(F5932="",G5932=""),"",IF(G5932&lt;='RETRATO 2027'!$K$5,"CONCLUÍDA",IF(F5932&lt;='RETRATO 2027'!$K$5,"EM ANDAMENTO","A INICIAR")))</f>
        <v/>
      </c>
    </row>
    <row r="5933">
      <c r="M5933" s="2">
        <f>IF(C5933="","",IFERROR(INDEX($S$5:$S$304,MATCH(C5933,$R$5:$R$304,0))&amp;"","?"))</f>
        <v/>
      </c>
      <c r="N5933" s="2">
        <f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>
        <f>IF(OR(F5933="",G5933=""),"",IF(G5933&lt;='RETRATO 2027'!$K$5,"CONCLUÍDA",IF(F5933&lt;='RETRATO 2027'!$K$5,"EM ANDAMENTO","A INICIAR")))</f>
        <v/>
      </c>
    </row>
    <row r="5934">
      <c r="M5934" s="2">
        <f>IF(C5934="","",IFERROR(INDEX($S$5:$S$304,MATCH(C5934,$R$5:$R$304,0))&amp;"","?"))</f>
        <v/>
      </c>
      <c r="N5934" s="2">
        <f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>
        <f>IF(OR(F5934="",G5934=""),"",IF(G5934&lt;='RETRATO 2027'!$K$5,"CONCLUÍDA",IF(F5934&lt;='RETRATO 2027'!$K$5,"EM ANDAMENTO","A INICIAR")))</f>
        <v/>
      </c>
    </row>
    <row r="5935">
      <c r="M5935" s="2">
        <f>IF(C5935="","",IFERROR(INDEX($S$5:$S$304,MATCH(C5935,$R$5:$R$304,0))&amp;"","?"))</f>
        <v/>
      </c>
      <c r="N5935" s="2">
        <f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>
        <f>IF(OR(F5935="",G5935=""),"",IF(G5935&lt;='RETRATO 2027'!$K$5,"CONCLUÍDA",IF(F5935&lt;='RETRATO 2027'!$K$5,"EM ANDAMENTO","A INICIAR")))</f>
        <v/>
      </c>
    </row>
    <row r="5936">
      <c r="M5936" s="2">
        <f>IF(C5936="","",IFERROR(INDEX($S$5:$S$304,MATCH(C5936,$R$5:$R$304,0))&amp;"","?"))</f>
        <v/>
      </c>
      <c r="N5936" s="2">
        <f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>
        <f>IF(OR(F5936="",G5936=""),"",IF(G5936&lt;='RETRATO 2027'!$K$5,"CONCLUÍDA",IF(F5936&lt;='RETRATO 2027'!$K$5,"EM ANDAMENTO","A INICIAR")))</f>
        <v/>
      </c>
    </row>
    <row r="5937">
      <c r="M5937" s="2">
        <f>IF(C5937="","",IFERROR(INDEX($S$5:$S$304,MATCH(C5937,$R$5:$R$304,0))&amp;"","?"))</f>
        <v/>
      </c>
      <c r="N5937" s="2">
        <f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>
        <f>IF(OR(F5937="",G5937=""),"",IF(G5937&lt;='RETRATO 2027'!$K$5,"CONCLUÍDA",IF(F5937&lt;='RETRATO 2027'!$K$5,"EM ANDAMENTO","A INICIAR")))</f>
        <v/>
      </c>
    </row>
    <row r="5938">
      <c r="M5938" s="2">
        <f>IF(C5938="","",IFERROR(INDEX($S$5:$S$304,MATCH(C5938,$R$5:$R$304,0))&amp;"","?"))</f>
        <v/>
      </c>
      <c r="N5938" s="2">
        <f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>
        <f>IF(OR(F5938="",G5938=""),"",IF(G5938&lt;='RETRATO 2027'!$K$5,"CONCLUÍDA",IF(F5938&lt;='RETRATO 2027'!$K$5,"EM ANDAMENTO","A INICIAR")))</f>
        <v/>
      </c>
    </row>
    <row r="5939">
      <c r="M5939" s="2">
        <f>IF(C5939="","",IFERROR(INDEX($S$5:$S$304,MATCH(C5939,$R$5:$R$304,0))&amp;"","?"))</f>
        <v/>
      </c>
      <c r="N5939" s="2">
        <f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>
        <f>IF(OR(F5939="",G5939=""),"",IF(G5939&lt;='RETRATO 2027'!$K$5,"CONCLUÍDA",IF(F5939&lt;='RETRATO 2027'!$K$5,"EM ANDAMENTO","A INICIAR")))</f>
        <v/>
      </c>
    </row>
    <row r="5940">
      <c r="M5940" s="2">
        <f>IF(C5940="","",IFERROR(INDEX($S$5:$S$304,MATCH(C5940,$R$5:$R$304,0))&amp;"","?"))</f>
        <v/>
      </c>
      <c r="N5940" s="2">
        <f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>
        <f>IF(OR(F5940="",G5940=""),"",IF(G5940&lt;='RETRATO 2027'!$K$5,"CONCLUÍDA",IF(F5940&lt;='RETRATO 2027'!$K$5,"EM ANDAMENTO","A INICIAR")))</f>
        <v/>
      </c>
    </row>
    <row r="5941">
      <c r="M5941" s="2">
        <f>IF(C5941="","",IFERROR(INDEX($S$5:$S$304,MATCH(C5941,$R$5:$R$304,0))&amp;"","?"))</f>
        <v/>
      </c>
      <c r="N5941" s="2">
        <f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>
        <f>IF(OR(F5941="",G5941=""),"",IF(G5941&lt;='RETRATO 2027'!$K$5,"CONCLUÍDA",IF(F5941&lt;='RETRATO 2027'!$K$5,"EM ANDAMENTO","A INICIAR")))</f>
        <v/>
      </c>
    </row>
    <row r="5942">
      <c r="M5942" s="2">
        <f>IF(C5942="","",IFERROR(INDEX($S$5:$S$304,MATCH(C5942,$R$5:$R$304,0))&amp;"","?"))</f>
        <v/>
      </c>
      <c r="N5942" s="2">
        <f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>
        <f>IF(OR(F5942="",G5942=""),"",IF(G5942&lt;='RETRATO 2027'!$K$5,"CONCLUÍDA",IF(F5942&lt;='RETRATO 2027'!$K$5,"EM ANDAMENTO","A INICIAR")))</f>
        <v/>
      </c>
    </row>
    <row r="5943">
      <c r="M5943" s="2">
        <f>IF(C5943="","",IFERROR(INDEX($S$5:$S$304,MATCH(C5943,$R$5:$R$304,0))&amp;"","?"))</f>
        <v/>
      </c>
      <c r="N5943" s="2">
        <f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>
        <f>IF(OR(F5943="",G5943=""),"",IF(G5943&lt;='RETRATO 2027'!$K$5,"CONCLUÍDA",IF(F5943&lt;='RETRATO 2027'!$K$5,"EM ANDAMENTO","A INICIAR")))</f>
        <v/>
      </c>
    </row>
    <row r="5944">
      <c r="M5944" s="2">
        <f>IF(C5944="","",IFERROR(INDEX($S$5:$S$304,MATCH(C5944,$R$5:$R$304,0))&amp;"","?"))</f>
        <v/>
      </c>
      <c r="N5944" s="2">
        <f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>
        <f>IF(OR(F5944="",G5944=""),"",IF(G5944&lt;='RETRATO 2027'!$K$5,"CONCLUÍDA",IF(F5944&lt;='RETRATO 2027'!$K$5,"EM ANDAMENTO","A INICIAR")))</f>
        <v/>
      </c>
    </row>
    <row r="5945">
      <c r="M5945" s="2">
        <f>IF(C5945="","",IFERROR(INDEX($S$5:$S$304,MATCH(C5945,$R$5:$R$304,0))&amp;"","?"))</f>
        <v/>
      </c>
      <c r="N5945" s="2">
        <f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>
        <f>IF(OR(F5945="",G5945=""),"",IF(G5945&lt;='RETRATO 2027'!$K$5,"CONCLUÍDA",IF(F5945&lt;='RETRATO 2027'!$K$5,"EM ANDAMENTO","A INICIAR")))</f>
        <v/>
      </c>
    </row>
    <row r="5946">
      <c r="M5946" s="2">
        <f>IF(C5946="","",IFERROR(INDEX($S$5:$S$304,MATCH(C5946,$R$5:$R$304,0))&amp;"","?"))</f>
        <v/>
      </c>
      <c r="N5946" s="2">
        <f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>
        <f>IF(OR(F5946="",G5946=""),"",IF(G5946&lt;='RETRATO 2027'!$K$5,"CONCLUÍDA",IF(F5946&lt;='RETRATO 2027'!$K$5,"EM ANDAMENTO","A INICIAR")))</f>
        <v/>
      </c>
    </row>
    <row r="5947">
      <c r="M5947" s="2">
        <f>IF(C5947="","",IFERROR(INDEX($S$5:$S$304,MATCH(C5947,$R$5:$R$304,0))&amp;"","?"))</f>
        <v/>
      </c>
      <c r="N5947" s="2">
        <f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>
        <f>IF(OR(F5947="",G5947=""),"",IF(G5947&lt;='RETRATO 2027'!$K$5,"CONCLUÍDA",IF(F5947&lt;='RETRATO 2027'!$K$5,"EM ANDAMENTO","A INICIAR")))</f>
        <v/>
      </c>
    </row>
    <row r="5948">
      <c r="M5948" s="2">
        <f>IF(C5948="","",IFERROR(INDEX($S$5:$S$304,MATCH(C5948,$R$5:$R$304,0))&amp;"","?"))</f>
        <v/>
      </c>
      <c r="N5948" s="2">
        <f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>
        <f>IF(OR(F5948="",G5948=""),"",IF(G5948&lt;='RETRATO 2027'!$K$5,"CONCLUÍDA",IF(F5948&lt;='RETRATO 2027'!$K$5,"EM ANDAMENTO","A INICIAR")))</f>
        <v/>
      </c>
    </row>
    <row r="5949">
      <c r="M5949" s="2">
        <f>IF(C5949="","",IFERROR(INDEX($S$5:$S$304,MATCH(C5949,$R$5:$R$304,0))&amp;"","?"))</f>
        <v/>
      </c>
      <c r="N5949" s="2">
        <f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>
        <f>IF(OR(F5949="",G5949=""),"",IF(G5949&lt;='RETRATO 2027'!$K$5,"CONCLUÍDA",IF(F5949&lt;='RETRATO 2027'!$K$5,"EM ANDAMENTO","A INICIAR")))</f>
        <v/>
      </c>
    </row>
    <row r="5950">
      <c r="M5950" s="2">
        <f>IF(C5950="","",IFERROR(INDEX($S$5:$S$304,MATCH(C5950,$R$5:$R$304,0))&amp;"","?"))</f>
        <v/>
      </c>
      <c r="N5950" s="2">
        <f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>
        <f>IF(OR(F5950="",G5950=""),"",IF(G5950&lt;='RETRATO 2027'!$K$5,"CONCLUÍDA",IF(F5950&lt;='RETRATO 2027'!$K$5,"EM ANDAMENTO","A INICIAR")))</f>
        <v/>
      </c>
    </row>
    <row r="5951">
      <c r="M5951" s="2">
        <f>IF(C5951="","",IFERROR(INDEX($S$5:$S$304,MATCH(C5951,$R$5:$R$304,0))&amp;"","?"))</f>
        <v/>
      </c>
      <c r="N5951" s="2">
        <f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>
        <f>IF(OR(F5951="",G5951=""),"",IF(G5951&lt;='RETRATO 2027'!$K$5,"CONCLUÍDA",IF(F5951&lt;='RETRATO 2027'!$K$5,"EM ANDAMENTO","A INICIAR")))</f>
        <v/>
      </c>
    </row>
    <row r="5952">
      <c r="M5952" s="2">
        <f>IF(C5952="","",IFERROR(INDEX($S$5:$S$304,MATCH(C5952,$R$5:$R$304,0))&amp;"","?"))</f>
        <v/>
      </c>
      <c r="N5952" s="2">
        <f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>
        <f>IF(OR(F5952="",G5952=""),"",IF(G5952&lt;='RETRATO 2027'!$K$5,"CONCLUÍDA",IF(F5952&lt;='RETRATO 2027'!$K$5,"EM ANDAMENTO","A INICIAR")))</f>
        <v/>
      </c>
    </row>
    <row r="5953">
      <c r="M5953" s="2">
        <f>IF(C5953="","",IFERROR(INDEX($S$5:$S$304,MATCH(C5953,$R$5:$R$304,0))&amp;"","?"))</f>
        <v/>
      </c>
      <c r="N5953" s="2">
        <f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>
        <f>IF(OR(F5953="",G5953=""),"",IF(G5953&lt;='RETRATO 2027'!$K$5,"CONCLUÍDA",IF(F5953&lt;='RETRATO 2027'!$K$5,"EM ANDAMENTO","A INICIAR")))</f>
        <v/>
      </c>
    </row>
    <row r="5954">
      <c r="M5954" s="2">
        <f>IF(C5954="","",IFERROR(INDEX($S$5:$S$304,MATCH(C5954,$R$5:$R$304,0))&amp;"","?"))</f>
        <v/>
      </c>
      <c r="N5954" s="2">
        <f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>
        <f>IF(OR(F5954="",G5954=""),"",IF(G5954&lt;='RETRATO 2027'!$K$5,"CONCLUÍDA",IF(F5954&lt;='RETRATO 2027'!$K$5,"EM ANDAMENTO","A INICIAR")))</f>
        <v/>
      </c>
    </row>
    <row r="5955">
      <c r="M5955" s="2">
        <f>IF(C5955="","",IFERROR(INDEX($S$5:$S$304,MATCH(C5955,$R$5:$R$304,0))&amp;"","?"))</f>
        <v/>
      </c>
      <c r="N5955" s="2">
        <f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>
        <f>IF(OR(F5955="",G5955=""),"",IF(G5955&lt;='RETRATO 2027'!$K$5,"CONCLUÍDA",IF(F5955&lt;='RETRATO 2027'!$K$5,"EM ANDAMENTO","A INICIAR")))</f>
        <v/>
      </c>
    </row>
    <row r="5956">
      <c r="M5956" s="2">
        <f>IF(C5956="","",IFERROR(INDEX($S$5:$S$304,MATCH(C5956,$R$5:$R$304,0))&amp;"","?"))</f>
        <v/>
      </c>
      <c r="N5956" s="2">
        <f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>
        <f>IF(OR(F5956="",G5956=""),"",IF(G5956&lt;='RETRATO 2027'!$K$5,"CONCLUÍDA",IF(F5956&lt;='RETRATO 2027'!$K$5,"EM ANDAMENTO","A INICIAR")))</f>
        <v/>
      </c>
    </row>
    <row r="5957">
      <c r="M5957" s="2">
        <f>IF(C5957="","",IFERROR(INDEX($S$5:$S$304,MATCH(C5957,$R$5:$R$304,0))&amp;"","?"))</f>
        <v/>
      </c>
      <c r="N5957" s="2">
        <f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>
        <f>IF(OR(F5957="",G5957=""),"",IF(G5957&lt;='RETRATO 2027'!$K$5,"CONCLUÍDA",IF(F5957&lt;='RETRATO 2027'!$K$5,"EM ANDAMENTO","A INICIAR")))</f>
        <v/>
      </c>
    </row>
    <row r="5958">
      <c r="M5958" s="2">
        <f>IF(C5958="","",IFERROR(INDEX($S$5:$S$304,MATCH(C5958,$R$5:$R$304,0))&amp;"","?"))</f>
        <v/>
      </c>
      <c r="N5958" s="2">
        <f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>
        <f>IF(OR(F5958="",G5958=""),"",IF(G5958&lt;='RETRATO 2027'!$K$5,"CONCLUÍDA",IF(F5958&lt;='RETRATO 2027'!$K$5,"EM ANDAMENTO","A INICIAR")))</f>
        <v/>
      </c>
    </row>
    <row r="5959">
      <c r="M5959" s="2">
        <f>IF(C5959="","",IFERROR(INDEX($S$5:$S$304,MATCH(C5959,$R$5:$R$304,0))&amp;"","?"))</f>
        <v/>
      </c>
      <c r="N5959" s="2">
        <f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>
        <f>IF(OR(F5959="",G5959=""),"",IF(G5959&lt;='RETRATO 2027'!$K$5,"CONCLUÍDA",IF(F5959&lt;='RETRATO 2027'!$K$5,"EM ANDAMENTO","A INICIAR")))</f>
        <v/>
      </c>
    </row>
    <row r="5960">
      <c r="M5960" s="2">
        <f>IF(C5960="","",IFERROR(INDEX($S$5:$S$304,MATCH(C5960,$R$5:$R$304,0))&amp;"","?"))</f>
        <v/>
      </c>
      <c r="N5960" s="2">
        <f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>
        <f>IF(OR(F5960="",G5960=""),"",IF(G5960&lt;='RETRATO 2027'!$K$5,"CONCLUÍDA",IF(F5960&lt;='RETRATO 2027'!$K$5,"EM ANDAMENTO","A INICIAR")))</f>
        <v/>
      </c>
    </row>
    <row r="5961">
      <c r="M5961" s="2">
        <f>IF(C5961="","",IFERROR(INDEX($S$5:$S$304,MATCH(C5961,$R$5:$R$304,0))&amp;"","?"))</f>
        <v/>
      </c>
      <c r="N5961" s="2">
        <f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>
        <f>IF(OR(F5961="",G5961=""),"",IF(G5961&lt;='RETRATO 2027'!$K$5,"CONCLUÍDA",IF(F5961&lt;='RETRATO 2027'!$K$5,"EM ANDAMENTO","A INICIAR")))</f>
        <v/>
      </c>
    </row>
    <row r="5962">
      <c r="M5962" s="2">
        <f>IF(C5962="","",IFERROR(INDEX($S$5:$S$304,MATCH(C5962,$R$5:$R$304,0))&amp;"","?"))</f>
        <v/>
      </c>
      <c r="N5962" s="2">
        <f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>
        <f>IF(OR(F5962="",G5962=""),"",IF(G5962&lt;='RETRATO 2027'!$K$5,"CONCLUÍDA",IF(F5962&lt;='RETRATO 2027'!$K$5,"EM ANDAMENTO","A INICIAR")))</f>
        <v/>
      </c>
    </row>
    <row r="5963">
      <c r="M5963" s="2">
        <f>IF(C5963="","",IFERROR(INDEX($S$5:$S$304,MATCH(C5963,$R$5:$R$304,0))&amp;"","?"))</f>
        <v/>
      </c>
      <c r="N5963" s="2">
        <f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>
        <f>IF(OR(F5963="",G5963=""),"",IF(G5963&lt;='RETRATO 2027'!$K$5,"CONCLUÍDA",IF(F5963&lt;='RETRATO 2027'!$K$5,"EM ANDAMENTO","A INICIAR")))</f>
        <v/>
      </c>
    </row>
    <row r="5964">
      <c r="M5964" s="2">
        <f>IF(C5964="","",IFERROR(INDEX($S$5:$S$304,MATCH(C5964,$R$5:$R$304,0))&amp;"","?"))</f>
        <v/>
      </c>
      <c r="N5964" s="2">
        <f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>
        <f>IF(OR(F5964="",G5964=""),"",IF(G5964&lt;='RETRATO 2027'!$K$5,"CONCLUÍDA",IF(F5964&lt;='RETRATO 2027'!$K$5,"EM ANDAMENTO","A INICIAR")))</f>
        <v/>
      </c>
    </row>
    <row r="5965">
      <c r="M5965" s="2">
        <f>IF(C5965="","",IFERROR(INDEX($S$5:$S$304,MATCH(C5965,$R$5:$R$304,0))&amp;"","?"))</f>
        <v/>
      </c>
      <c r="N5965" s="2">
        <f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>
        <f>IF(OR(F5965="",G5965=""),"",IF(G5965&lt;='RETRATO 2027'!$K$5,"CONCLUÍDA",IF(F5965&lt;='RETRATO 2027'!$K$5,"EM ANDAMENTO","A INICIAR")))</f>
        <v/>
      </c>
    </row>
    <row r="5966">
      <c r="M5966" s="2">
        <f>IF(C5966="","",IFERROR(INDEX($S$5:$S$304,MATCH(C5966,$R$5:$R$304,0))&amp;"","?"))</f>
        <v/>
      </c>
      <c r="N5966" s="2">
        <f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>
        <f>IF(OR(F5966="",G5966=""),"",IF(G5966&lt;='RETRATO 2027'!$K$5,"CONCLUÍDA",IF(F5966&lt;='RETRATO 2027'!$K$5,"EM ANDAMENTO","A INICIAR")))</f>
        <v/>
      </c>
    </row>
    <row r="5967">
      <c r="M5967" s="2">
        <f>IF(C5967="","",IFERROR(INDEX($S$5:$S$304,MATCH(C5967,$R$5:$R$304,0))&amp;"","?"))</f>
        <v/>
      </c>
      <c r="N5967" s="2">
        <f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>
        <f>IF(OR(F5967="",G5967=""),"",IF(G5967&lt;='RETRATO 2027'!$K$5,"CONCLUÍDA",IF(F5967&lt;='RETRATO 2027'!$K$5,"EM ANDAMENTO","A INICIAR")))</f>
        <v/>
      </c>
    </row>
    <row r="5968">
      <c r="M5968" s="2">
        <f>IF(C5968="","",IFERROR(INDEX($S$5:$S$304,MATCH(C5968,$R$5:$R$304,0))&amp;"","?"))</f>
        <v/>
      </c>
      <c r="N5968" s="2">
        <f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>
        <f>IF(OR(F5968="",G5968=""),"",IF(G5968&lt;='RETRATO 2027'!$K$5,"CONCLUÍDA",IF(F5968&lt;='RETRATO 2027'!$K$5,"EM ANDAMENTO","A INICIAR")))</f>
        <v/>
      </c>
    </row>
    <row r="5969">
      <c r="M5969" s="2">
        <f>IF(C5969="","",IFERROR(INDEX($S$5:$S$304,MATCH(C5969,$R$5:$R$304,0))&amp;"","?"))</f>
        <v/>
      </c>
      <c r="N5969" s="2">
        <f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>
        <f>IF(OR(F5969="",G5969=""),"",IF(G5969&lt;='RETRATO 2027'!$K$5,"CONCLUÍDA",IF(F5969&lt;='RETRATO 2027'!$K$5,"EM ANDAMENTO","A INICIAR")))</f>
        <v/>
      </c>
    </row>
    <row r="5970">
      <c r="M5970" s="2">
        <f>IF(C5970="","",IFERROR(INDEX($S$5:$S$304,MATCH(C5970,$R$5:$R$304,0))&amp;"","?"))</f>
        <v/>
      </c>
      <c r="N5970" s="2">
        <f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>
        <f>IF(OR(F5970="",G5970=""),"",IF(G5970&lt;='RETRATO 2027'!$K$5,"CONCLUÍDA",IF(F5970&lt;='RETRATO 2027'!$K$5,"EM ANDAMENTO","A INICIAR")))</f>
        <v/>
      </c>
    </row>
    <row r="5971">
      <c r="M5971" s="2">
        <f>IF(C5971="","",IFERROR(INDEX($S$5:$S$304,MATCH(C5971,$R$5:$R$304,0))&amp;"","?"))</f>
        <v/>
      </c>
      <c r="N5971" s="2">
        <f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>
        <f>IF(OR(F5971="",G5971=""),"",IF(G5971&lt;='RETRATO 2027'!$K$5,"CONCLUÍDA",IF(F5971&lt;='RETRATO 2027'!$K$5,"EM ANDAMENTO","A INICIAR")))</f>
        <v/>
      </c>
    </row>
    <row r="5972">
      <c r="M5972" s="2">
        <f>IF(C5972="","",IFERROR(INDEX($S$5:$S$304,MATCH(C5972,$R$5:$R$304,0))&amp;"","?"))</f>
        <v/>
      </c>
      <c r="N5972" s="2">
        <f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>
        <f>IF(OR(F5972="",G5972=""),"",IF(G5972&lt;='RETRATO 2027'!$K$5,"CONCLUÍDA",IF(F5972&lt;='RETRATO 2027'!$K$5,"EM ANDAMENTO","A INICIAR")))</f>
        <v/>
      </c>
    </row>
    <row r="5973">
      <c r="M5973" s="2">
        <f>IF(C5973="","",IFERROR(INDEX($S$5:$S$304,MATCH(C5973,$R$5:$R$304,0))&amp;"","?"))</f>
        <v/>
      </c>
      <c r="N5973" s="2">
        <f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>
        <f>IF(OR(F5973="",G5973=""),"",IF(G5973&lt;='RETRATO 2027'!$K$5,"CONCLUÍDA",IF(F5973&lt;='RETRATO 2027'!$K$5,"EM ANDAMENTO","A INICIAR")))</f>
        <v/>
      </c>
    </row>
    <row r="5974">
      <c r="M5974" s="2">
        <f>IF(C5974="","",IFERROR(INDEX($S$5:$S$304,MATCH(C5974,$R$5:$R$304,0))&amp;"","?"))</f>
        <v/>
      </c>
      <c r="N5974" s="2">
        <f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>
        <f>IF(OR(F5974="",G5974=""),"",IF(G5974&lt;='RETRATO 2027'!$K$5,"CONCLUÍDA",IF(F5974&lt;='RETRATO 2027'!$K$5,"EM ANDAMENTO","A INICIAR")))</f>
        <v/>
      </c>
    </row>
    <row r="5975">
      <c r="M5975" s="2">
        <f>IF(C5975="","",IFERROR(INDEX($S$5:$S$304,MATCH(C5975,$R$5:$R$304,0))&amp;"","?"))</f>
        <v/>
      </c>
      <c r="N5975" s="2">
        <f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>
        <f>IF(OR(F5975="",G5975=""),"",IF(G5975&lt;='RETRATO 2027'!$K$5,"CONCLUÍDA",IF(F5975&lt;='RETRATO 2027'!$K$5,"EM ANDAMENTO","A INICIAR")))</f>
        <v/>
      </c>
    </row>
    <row r="5976">
      <c r="M5976" s="2">
        <f>IF(C5976="","",IFERROR(INDEX($S$5:$S$304,MATCH(C5976,$R$5:$R$304,0))&amp;"","?"))</f>
        <v/>
      </c>
      <c r="N5976" s="2">
        <f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>
        <f>IF(OR(F5976="",G5976=""),"",IF(G5976&lt;='RETRATO 2027'!$K$5,"CONCLUÍDA",IF(F5976&lt;='RETRATO 2027'!$K$5,"EM ANDAMENTO","A INICIAR")))</f>
        <v/>
      </c>
    </row>
    <row r="5977">
      <c r="M5977" s="2">
        <f>IF(C5977="","",IFERROR(INDEX($S$5:$S$304,MATCH(C5977,$R$5:$R$304,0))&amp;"","?"))</f>
        <v/>
      </c>
      <c r="N5977" s="2">
        <f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>
        <f>IF(OR(F5977="",G5977=""),"",IF(G5977&lt;='RETRATO 2027'!$K$5,"CONCLUÍDA",IF(F5977&lt;='RETRATO 2027'!$K$5,"EM ANDAMENTO","A INICIAR")))</f>
        <v/>
      </c>
    </row>
    <row r="5978">
      <c r="M5978" s="2">
        <f>IF(C5978="","",IFERROR(INDEX($S$5:$S$304,MATCH(C5978,$R$5:$R$304,0))&amp;"","?"))</f>
        <v/>
      </c>
      <c r="N5978" s="2">
        <f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>
        <f>IF(OR(F5978="",G5978=""),"",IF(G5978&lt;='RETRATO 2027'!$K$5,"CONCLUÍDA",IF(F5978&lt;='RETRATO 2027'!$K$5,"EM ANDAMENTO","A INICIAR")))</f>
        <v/>
      </c>
    </row>
    <row r="5979">
      <c r="M5979" s="2">
        <f>IF(C5979="","",IFERROR(INDEX($S$5:$S$304,MATCH(C5979,$R$5:$R$304,0))&amp;"","?"))</f>
        <v/>
      </c>
      <c r="N5979" s="2">
        <f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>
        <f>IF(OR(F5979="",G5979=""),"",IF(G5979&lt;='RETRATO 2027'!$K$5,"CONCLUÍDA",IF(F5979&lt;='RETRATO 2027'!$K$5,"EM ANDAMENTO","A INICIAR")))</f>
        <v/>
      </c>
    </row>
    <row r="5980">
      <c r="M5980" s="2">
        <f>IF(C5980="","",IFERROR(INDEX($S$5:$S$304,MATCH(C5980,$R$5:$R$304,0))&amp;"","?"))</f>
        <v/>
      </c>
      <c r="N5980" s="2">
        <f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>
        <f>IF(OR(F5980="",G5980=""),"",IF(G5980&lt;='RETRATO 2027'!$K$5,"CONCLUÍDA",IF(F5980&lt;='RETRATO 2027'!$K$5,"EM ANDAMENTO","A INICIAR")))</f>
        <v/>
      </c>
    </row>
    <row r="5981">
      <c r="M5981" s="2">
        <f>IF(C5981="","",IFERROR(INDEX($S$5:$S$304,MATCH(C5981,$R$5:$R$304,0))&amp;"","?"))</f>
        <v/>
      </c>
      <c r="N5981" s="2">
        <f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>
        <f>IF(OR(F5981="",G5981=""),"",IF(G5981&lt;='RETRATO 2027'!$K$5,"CONCLUÍDA",IF(F5981&lt;='RETRATO 2027'!$K$5,"EM ANDAMENTO","A INICIAR")))</f>
        <v/>
      </c>
    </row>
    <row r="5982">
      <c r="M5982" s="2">
        <f>IF(C5982="","",IFERROR(INDEX($S$5:$S$304,MATCH(C5982,$R$5:$R$304,0))&amp;"","?"))</f>
        <v/>
      </c>
      <c r="N5982" s="2">
        <f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>
        <f>IF(OR(F5982="",G5982=""),"",IF(G5982&lt;='RETRATO 2027'!$K$5,"CONCLUÍDA",IF(F5982&lt;='RETRATO 2027'!$K$5,"EM ANDAMENTO","A INICIAR")))</f>
        <v/>
      </c>
    </row>
    <row r="5983">
      <c r="M5983" s="2">
        <f>IF(C5983="","",IFERROR(INDEX($S$5:$S$304,MATCH(C5983,$R$5:$R$304,0))&amp;"","?"))</f>
        <v/>
      </c>
      <c r="N5983" s="2">
        <f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>
        <f>IF(OR(F5983="",G5983=""),"",IF(G5983&lt;='RETRATO 2027'!$K$5,"CONCLUÍDA",IF(F5983&lt;='RETRATO 2027'!$K$5,"EM ANDAMENTO","A INICIAR")))</f>
        <v/>
      </c>
    </row>
    <row r="5984">
      <c r="M5984" s="2">
        <f>IF(C5984="","",IFERROR(INDEX($S$5:$S$304,MATCH(C5984,$R$5:$R$304,0))&amp;"","?"))</f>
        <v/>
      </c>
      <c r="N5984" s="2">
        <f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>
        <f>IF(OR(F5984="",G5984=""),"",IF(G5984&lt;='RETRATO 2027'!$K$5,"CONCLUÍDA",IF(F5984&lt;='RETRATO 2027'!$K$5,"EM ANDAMENTO","A INICIAR")))</f>
        <v/>
      </c>
    </row>
    <row r="5985">
      <c r="M5985" s="2">
        <f>IF(C5985="","",IFERROR(INDEX($S$5:$S$304,MATCH(C5985,$R$5:$R$304,0))&amp;"","?"))</f>
        <v/>
      </c>
      <c r="N5985" s="2">
        <f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>
        <f>IF(OR(F5985="",G5985=""),"",IF(G5985&lt;='RETRATO 2027'!$K$5,"CONCLUÍDA",IF(F5985&lt;='RETRATO 2027'!$K$5,"EM ANDAMENTO","A INICIAR")))</f>
        <v/>
      </c>
    </row>
    <row r="5986">
      <c r="M5986" s="2">
        <f>IF(C5986="","",IFERROR(INDEX($S$5:$S$304,MATCH(C5986,$R$5:$R$304,0))&amp;"","?"))</f>
        <v/>
      </c>
      <c r="N5986" s="2">
        <f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>
        <f>IF(OR(F5986="",G5986=""),"",IF(G5986&lt;='RETRATO 2027'!$K$5,"CONCLUÍDA",IF(F5986&lt;='RETRATO 2027'!$K$5,"EM ANDAMENTO","A INICIAR")))</f>
        <v/>
      </c>
    </row>
    <row r="5987">
      <c r="M5987" s="2">
        <f>IF(C5987="","",IFERROR(INDEX($S$5:$S$304,MATCH(C5987,$R$5:$R$304,0))&amp;"","?"))</f>
        <v/>
      </c>
      <c r="N5987" s="2">
        <f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>
        <f>IF(OR(F5987="",G5987=""),"",IF(G5987&lt;='RETRATO 2027'!$K$5,"CONCLUÍDA",IF(F5987&lt;='RETRATO 2027'!$K$5,"EM ANDAMENTO","A INICIAR")))</f>
        <v/>
      </c>
    </row>
    <row r="5988">
      <c r="M5988" s="2">
        <f>IF(C5988="","",IFERROR(INDEX($S$5:$S$304,MATCH(C5988,$R$5:$R$304,0))&amp;"","?"))</f>
        <v/>
      </c>
      <c r="N5988" s="2">
        <f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>
        <f>IF(OR(F5988="",G5988=""),"",IF(G5988&lt;='RETRATO 2027'!$K$5,"CONCLUÍDA",IF(F5988&lt;='RETRATO 2027'!$K$5,"EM ANDAMENTO","A INICIAR")))</f>
        <v/>
      </c>
    </row>
    <row r="5989">
      <c r="M5989" s="2">
        <f>IF(C5989="","",IFERROR(INDEX($S$5:$S$304,MATCH(C5989,$R$5:$R$304,0))&amp;"","?"))</f>
        <v/>
      </c>
      <c r="N5989" s="2">
        <f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>
        <f>IF(OR(F5989="",G5989=""),"",IF(G5989&lt;='RETRATO 2027'!$K$5,"CONCLUÍDA",IF(F5989&lt;='RETRATO 2027'!$K$5,"EM ANDAMENTO","A INICIAR")))</f>
        <v/>
      </c>
    </row>
    <row r="5990">
      <c r="M5990" s="2">
        <f>IF(C5990="","",IFERROR(INDEX($S$5:$S$304,MATCH(C5990,$R$5:$R$304,0))&amp;"","?"))</f>
        <v/>
      </c>
      <c r="N5990" s="2">
        <f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>
        <f>IF(OR(F5990="",G5990=""),"",IF(G5990&lt;='RETRATO 2027'!$K$5,"CONCLUÍDA",IF(F5990&lt;='RETRATO 2027'!$K$5,"EM ANDAMENTO","A INICIAR")))</f>
        <v/>
      </c>
    </row>
    <row r="5991">
      <c r="M5991" s="2">
        <f>IF(C5991="","",IFERROR(INDEX($S$5:$S$304,MATCH(C5991,$R$5:$R$304,0))&amp;"","?"))</f>
        <v/>
      </c>
      <c r="N5991" s="2">
        <f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>
        <f>IF(OR(F5991="",G5991=""),"",IF(G5991&lt;='RETRATO 2027'!$K$5,"CONCLUÍDA",IF(F5991&lt;='RETRATO 2027'!$K$5,"EM ANDAMENTO","A INICIAR")))</f>
        <v/>
      </c>
    </row>
    <row r="5992">
      <c r="M5992" s="2">
        <f>IF(C5992="","",IFERROR(INDEX($S$5:$S$304,MATCH(C5992,$R$5:$R$304,0))&amp;"","?"))</f>
        <v/>
      </c>
      <c r="N5992" s="2">
        <f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>
        <f>IF(OR(F5992="",G5992=""),"",IF(G5992&lt;='RETRATO 2027'!$K$5,"CONCLUÍDA",IF(F5992&lt;='RETRATO 2027'!$K$5,"EM ANDAMENTO","A INICIAR")))</f>
        <v/>
      </c>
    </row>
    <row r="5993">
      <c r="M5993" s="2">
        <f>IF(C5993="","",IFERROR(INDEX($S$5:$S$304,MATCH(C5993,$R$5:$R$304,0))&amp;"","?"))</f>
        <v/>
      </c>
      <c r="N5993" s="2">
        <f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>
        <f>IF(OR(F5993="",G5993=""),"",IF(G5993&lt;='RETRATO 2027'!$K$5,"CONCLUÍDA",IF(F5993&lt;='RETRATO 2027'!$K$5,"EM ANDAMENTO","A INICIAR")))</f>
        <v/>
      </c>
    </row>
    <row r="5994">
      <c r="M5994" s="2">
        <f>IF(C5994="","",IFERROR(INDEX($S$5:$S$304,MATCH(C5994,$R$5:$R$304,0))&amp;"","?"))</f>
        <v/>
      </c>
      <c r="N5994" s="2">
        <f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>
        <f>IF(OR(F5994="",G5994=""),"",IF(G5994&lt;='RETRATO 2027'!$K$5,"CONCLUÍDA",IF(F5994&lt;='RETRATO 2027'!$K$5,"EM ANDAMENTO","A INICIAR")))</f>
        <v/>
      </c>
    </row>
    <row r="5995">
      <c r="M5995" s="2">
        <f>IF(C5995="","",IFERROR(INDEX($S$5:$S$304,MATCH(C5995,$R$5:$R$304,0))&amp;"","?"))</f>
        <v/>
      </c>
      <c r="N5995" s="2">
        <f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>
        <f>IF(OR(F5995="",G5995=""),"",IF(G5995&lt;='RETRATO 2027'!$K$5,"CONCLUÍDA",IF(F5995&lt;='RETRATO 2027'!$K$5,"EM ANDAMENTO","A INICIAR")))</f>
        <v/>
      </c>
    </row>
    <row r="5996">
      <c r="M5996" s="2">
        <f>IF(C5996="","",IFERROR(INDEX($S$5:$S$304,MATCH(C5996,$R$5:$R$304,0))&amp;"","?"))</f>
        <v/>
      </c>
      <c r="N5996" s="2">
        <f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>
        <f>IF(OR(F5996="",G5996=""),"",IF(G5996&lt;='RETRATO 2027'!$K$5,"CONCLUÍDA",IF(F5996&lt;='RETRATO 2027'!$K$5,"EM ANDAMENTO","A INICIAR")))</f>
        <v/>
      </c>
    </row>
    <row r="5997">
      <c r="M5997" s="2">
        <f>IF(C5997="","",IFERROR(INDEX($S$5:$S$304,MATCH(C5997,$R$5:$R$304,0))&amp;"","?"))</f>
        <v/>
      </c>
      <c r="N5997" s="2">
        <f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>
        <f>IF(OR(F5997="",G5997=""),"",IF(G5997&lt;='RETRATO 2027'!$K$5,"CONCLUÍDA",IF(F5997&lt;='RETRATO 2027'!$K$5,"EM ANDAMENTO","A INICIAR")))</f>
        <v/>
      </c>
    </row>
    <row r="5998">
      <c r="M5998" s="2">
        <f>IF(C5998="","",IFERROR(INDEX($S$5:$S$304,MATCH(C5998,$R$5:$R$304,0))&amp;"","?"))</f>
        <v/>
      </c>
      <c r="N5998" s="2">
        <f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>
        <f>IF(OR(F5998="",G5998=""),"",IF(G5998&lt;='RETRATO 2027'!$K$5,"CONCLUÍDA",IF(F5998&lt;='RETRATO 2027'!$K$5,"EM ANDAMENTO","A INICIAR")))</f>
        <v/>
      </c>
    </row>
    <row r="5999">
      <c r="M5999" s="2">
        <f>IF(C5999="","",IFERROR(INDEX($S$5:$S$304,MATCH(C5999,$R$5:$R$304,0))&amp;"","?"))</f>
        <v/>
      </c>
      <c r="N5999" s="2">
        <f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>
        <f>IF(OR(F5999="",G5999=""),"",IF(G5999&lt;='RETRATO 2027'!$K$5,"CONCLUÍDA",IF(F5999&lt;='RETRATO 2027'!$K$5,"EM ANDAMENTO","A INICIAR")))</f>
        <v/>
      </c>
    </row>
    <row r="6000">
      <c r="M6000" s="2">
        <f>IF(C6000="","",IFERROR(INDEX($S$5:$S$304,MATCH(C6000,$R$5:$R$304,0))&amp;"","?"))</f>
        <v/>
      </c>
      <c r="N6000" s="2">
        <f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>
        <f>IF(OR(F6000="",G6000=""),"",IF(G6000&lt;='RETRATO 2027'!$K$5,"CONCLUÍDA",IF(F6000&lt;='RETRATO 2027'!$K$5,"EM ANDAMENTO","A INICIAR")))</f>
        <v/>
      </c>
    </row>
    <row r="6001">
      <c r="M6001" s="2">
        <f>IF(C6001="","",IFERROR(INDEX($S$5:$S$304,MATCH(C6001,$R$5:$R$304,0))&amp;"","?"))</f>
        <v/>
      </c>
      <c r="N6001" s="2">
        <f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>
        <f>IF(OR(F6001="",G6001=""),"",IF(G6001&lt;='RETRATO 2027'!$K$5,"CONCLUÍDA",IF(F6001&lt;='RETRATO 2027'!$K$5,"EM ANDAMENTO","A INICIAR")))</f>
        <v/>
      </c>
    </row>
    <row r="6002">
      <c r="M6002" s="2">
        <f>IF(C6002="","",IFERROR(INDEX($S$5:$S$304,MATCH(C6002,$R$5:$R$304,0))&amp;"","?"))</f>
        <v/>
      </c>
      <c r="N6002" s="2">
        <f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>
        <f>IF(OR(F6002="",G6002=""),"",IF(G6002&lt;='RETRATO 2027'!$K$5,"CONCLUÍDA",IF(F6002&lt;='RETRATO 2027'!$K$5,"EM ANDAMENTO","A INICIAR")))</f>
        <v/>
      </c>
    </row>
    <row r="6003">
      <c r="M6003" s="2">
        <f>IF(C6003="","",IFERROR(INDEX($S$5:$S$304,MATCH(C6003,$R$5:$R$304,0))&amp;"","?"))</f>
        <v/>
      </c>
      <c r="N6003" s="2">
        <f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>
        <f>IF(OR(F6003="",G6003=""),"",IF(G6003&lt;='RETRATO 2027'!$K$5,"CONCLUÍDA",IF(F6003&lt;='RETRATO 2027'!$K$5,"EM ANDAMENTO","A INICIAR")))</f>
        <v/>
      </c>
    </row>
    <row r="6004">
      <c r="M6004" s="2">
        <f>IF(C6004="","",IFERROR(INDEX($S$5:$S$304,MATCH(C6004,$R$5:$R$304,0))&amp;"","?"))</f>
        <v/>
      </c>
      <c r="N6004" s="2">
        <f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>
        <f>IF(OR(F6004="",G6004=""),"",IF(G6004&lt;='RETRATO 2027'!$K$5,"CONCLUÍDA",IF(F6004&lt;='RETRATO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6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20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70">
        <f>COUNTIF('CURVA PREVISION'!$I$2:$KZ$2,"??/??/????")+COUNT('CURVA PREVISION'!$I$2:$KZ$2)</f>
        <v/>
      </c>
    </row>
    <row r="3">
      <c r="C3" s="116" t="inlineStr">
        <is>
          <t>índice do mês →</t>
        </is>
      </c>
      <c r="D3" s="121">
        <f>IF($B$2="","",(YEAR(D4)-YEAR($B$2))*12+MONTH(D4)-MONTH($B$2))</f>
        <v/>
      </c>
      <c r="E3" s="121">
        <f>IF($B$2="","",(YEAR(E4)-YEAR($B$2))*12+MONTH(E4)-MONTH($B$2))</f>
        <v/>
      </c>
      <c r="F3" s="121">
        <f>IF($B$2="","",(YEAR(F4)-YEAR($B$2))*12+MONTH(F4)-MONTH($B$2))</f>
        <v/>
      </c>
      <c r="G3" s="121">
        <f>IF($B$2="","",(YEAR(G4)-YEAR($B$2))*12+MONTH(G4)-MONTH($B$2))</f>
        <v/>
      </c>
      <c r="H3" s="121">
        <f>IF($B$2="","",(YEAR(H4)-YEAR($B$2))*12+MONTH(H4)-MONTH($B$2))</f>
        <v/>
      </c>
      <c r="I3" s="121">
        <f>IF($B$2="","",(YEAR(I4)-YEAR($B$2))*12+MONTH(I4)-MONTH($B$2))</f>
        <v/>
      </c>
      <c r="J3" s="121">
        <f>IF($B$2="","",(YEAR(J4)-YEAR($B$2))*12+MONTH(J4)-MONTH($B$2))</f>
        <v/>
      </c>
      <c r="K3" s="121">
        <f>IF($B$2="","",(YEAR(K4)-YEAR($B$2))*12+MONTH(K4)-MONTH($B$2))</f>
        <v/>
      </c>
      <c r="L3" s="121">
        <f>IF($B$2="","",(YEAR(L4)-YEAR($B$2))*12+MONTH(L4)-MONTH($B$2))</f>
        <v/>
      </c>
      <c r="M3" s="121">
        <f>IF($B$2="","",(YEAR(M4)-YEAR($B$2))*12+MONTH(M4)-MONTH($B$2))</f>
        <v/>
      </c>
      <c r="N3" s="121">
        <f>IF($B$2="","",(YEAR(N4)-YEAR($B$2))*12+MONTH(N4)-MONTH($B$2))</f>
        <v/>
      </c>
      <c r="O3" s="121">
        <f>IF($B$2="","",(YEAR(O4)-YEAR($B$2))*12+MONTH(O4)-MONTH($B$2))</f>
        <v/>
      </c>
      <c r="P3" s="121">
        <f>IF($B$2="","",(YEAR(P4)-YEAR($B$2))*12+MONTH(P4)-MONTH($B$2))</f>
        <v/>
      </c>
      <c r="Q3" s="121">
        <f>IF($B$2="","",(YEAR(Q4)-YEAR($B$2))*12+MONTH(Q4)-MONTH($B$2))</f>
        <v/>
      </c>
      <c r="R3" s="121">
        <f>IF($B$2="","",(YEAR(R4)-YEAR($B$2))*12+MONTH(R4)-MONTH($B$2))</f>
        <v/>
      </c>
      <c r="S3" s="121">
        <f>IF($B$2="","",(YEAR(S4)-YEAR($B$2))*12+MONTH(S4)-MONTH($B$2))</f>
        <v/>
      </c>
      <c r="T3" s="121">
        <f>IF($B$2="","",(YEAR(T4)-YEAR($B$2))*12+MONTH(T4)-MONTH($B$2))</f>
        <v/>
      </c>
      <c r="U3" s="121">
        <f>IF($B$2="","",(YEAR(U4)-YEAR($B$2))*12+MONTH(U4)-MONTH($B$2))</f>
        <v/>
      </c>
      <c r="V3" s="121">
        <f>IF($B$2="","",(YEAR(V4)-YEAR($B$2))*12+MONTH(V4)-MONTH($B$2))</f>
        <v/>
      </c>
      <c r="W3" s="121">
        <f>IF($B$2="","",(YEAR(W4)-YEAR($B$2))*12+MONTH(W4)-MONTH($B$2))</f>
        <v/>
      </c>
      <c r="X3" s="121">
        <f>IF($B$2="","",(YEAR(X4)-YEAR($B$2))*12+MONTH(X4)-MONTH($B$2))</f>
        <v/>
      </c>
      <c r="Y3" s="121">
        <f>IF($B$2="","",(YEAR(Y4)-YEAR($B$2))*12+MONTH(Y4)-MONTH($B$2))</f>
        <v/>
      </c>
      <c r="Z3" s="121">
        <f>IF($B$2="","",(YEAR(Z4)-YEAR($B$2))*12+MONTH(Z4)-MONTH($B$2))</f>
        <v/>
      </c>
      <c r="AA3" s="121">
        <f>IF($B$2="","",(YEAR(AA4)-YEAR($B$2))*12+MONTH(AA4)-MONTH($B$2))</f>
        <v/>
      </c>
      <c r="AB3" s="121">
        <f>IF($B$2="","",(YEAR(AB4)-YEAR($B$2))*12+MONTH(AB4)-MONTH($B$2))</f>
        <v/>
      </c>
      <c r="AC3" s="121">
        <f>IF($B$2="","",(YEAR(AC4)-YEAR($B$2))*12+MONTH(AC4)-MONTH($B$2))</f>
        <v/>
      </c>
      <c r="AD3" s="121">
        <f>IF($B$2="","",(YEAR(AD4)-YEAR($B$2))*12+MONTH(AD4)-MONTH($B$2))</f>
        <v/>
      </c>
      <c r="AE3" s="121">
        <f>IF($B$2="","",(YEAR(AE4)-YEAR($B$2))*12+MONTH(AE4)-MONTH($B$2))</f>
        <v/>
      </c>
      <c r="AF3" s="121">
        <f>IF($B$2="","",(YEAR(AF4)-YEAR($B$2))*12+MONTH(AF4)-MONTH($B$2))</f>
        <v/>
      </c>
      <c r="AG3" s="121">
        <f>IF($B$2="","",(YEAR(AG4)-YEAR($B$2))*12+MONTH(AG4)-MONTH($B$2))</f>
        <v/>
      </c>
      <c r="AH3" s="121">
        <f>IF($B$2="","",(YEAR(AH4)-YEAR($B$2))*12+MONTH(AH4)-MONTH($B$2))</f>
        <v/>
      </c>
      <c r="AI3" s="121">
        <f>IF($B$2="","",(YEAR(AI4)-YEAR($B$2))*12+MONTH(AI4)-MONTH($B$2))</f>
        <v/>
      </c>
      <c r="AJ3" s="121">
        <f>IF($B$2="","",(YEAR(AJ4)-YEAR($B$2))*12+MONTH(AJ4)-MONTH($B$2))</f>
        <v/>
      </c>
      <c r="AK3" s="121">
        <f>IF($B$2="","",(YEAR(AK4)-YEAR($B$2))*12+MONTH(AK4)-MONTH($B$2))</f>
        <v/>
      </c>
      <c r="AL3" s="121">
        <f>IF($B$2="","",(YEAR(AL4)-YEAR($B$2))*12+MONTH(AL4)-MONTH($B$2))</f>
        <v/>
      </c>
      <c r="AM3" s="121">
        <f>IF($B$2="","",(YEAR(AM4)-YEAR($B$2))*12+MONTH(AM4)-MONTH($B$2))</f>
        <v/>
      </c>
      <c r="AN3" s="121">
        <f>IF($B$2="","",(YEAR(AN4)-YEAR($B$2))*12+MONTH(AN4)-MONTH($B$2))</f>
        <v/>
      </c>
      <c r="AO3" s="121">
        <f>IF($B$2="","",(YEAR(AO4)-YEAR($B$2))*12+MONTH(AO4)-MONTH($B$2))</f>
        <v/>
      </c>
      <c r="AP3" s="121">
        <f>IF($B$2="","",(YEAR(AP4)-YEAR($B$2))*12+MONTH(AP4)-MONTH($B$2))</f>
        <v/>
      </c>
      <c r="AQ3" s="121">
        <f>IF($B$2="","",(YEAR(AQ4)-YEAR($B$2))*12+MONTH(AQ4)-MONTH($B$2))</f>
        <v/>
      </c>
      <c r="AR3" s="121">
        <f>IF($B$2="","",(YEAR(AR4)-YEAR($B$2))*12+MONTH(AR4)-MONTH($B$2))</f>
        <v/>
      </c>
      <c r="AS3" s="121">
        <f>IF($B$2="","",(YEAR(AS4)-YEAR($B$2))*12+MONTH(AS4)-MONTH($B$2))</f>
        <v/>
      </c>
      <c r="AT3" s="121">
        <f>IF($B$2="","",(YEAR(AT4)-YEAR($B$2))*12+MONTH(AT4)-MONTH($B$2))</f>
        <v/>
      </c>
      <c r="AU3" s="121">
        <f>IF($B$2="","",(YEAR(AU4)-YEAR($B$2))*12+MONTH(AU4)-MONTH($B$2))</f>
        <v/>
      </c>
      <c r="AV3" s="121">
        <f>IF($B$2="","",(YEAR(AV4)-YEAR($B$2))*12+MONTH(AV4)-MONTH($B$2))</f>
        <v/>
      </c>
      <c r="AW3" s="121">
        <f>IF($B$2="","",(YEAR(AW4)-YEAR($B$2))*12+MONTH(AW4)-MONTH($B$2))</f>
        <v/>
      </c>
      <c r="AX3" s="121">
        <f>IF($B$2="","",(YEAR(AX4)-YEAR($B$2))*12+MONTH(AX4)-MONTH($B$2))</f>
        <v/>
      </c>
      <c r="AY3" s="121">
        <f>IF($B$2="","",(YEAR(AY4)-YEAR($B$2))*12+MONTH(AY4)-MONTH($B$2))</f>
        <v/>
      </c>
      <c r="AZ3" s="121">
        <f>IF($B$2="","",(YEAR(AZ4)-YEAR($B$2))*12+MONTH(AZ4)-MONTH($B$2))</f>
        <v/>
      </c>
      <c r="BA3" s="121">
        <f>IF($B$2="","",(YEAR(BA4)-YEAR($B$2))*12+MONTH(BA4)-MONTH($B$2))</f>
        <v/>
      </c>
      <c r="BB3" s="121">
        <f>IF($B$2="","",(YEAR(BB4)-YEAR($B$2))*12+MONTH(BB4)-MONTH($B$2))</f>
        <v/>
      </c>
      <c r="BC3" s="121">
        <f>IF($B$2="","",(YEAR(BC4)-YEAR($B$2))*12+MONTH(BC4)-MONTH($B$2))</f>
        <v/>
      </c>
      <c r="BD3" s="121">
        <f>IF($B$2="","",(YEAR(BD4)-YEAR($B$2))*12+MONTH(BD4)-MONTH($B$2))</f>
        <v/>
      </c>
      <c r="BE3" s="121">
        <f>IF($B$2="","",(YEAR(BE4)-YEAR($B$2))*12+MONTH(BE4)-MONTH($B$2))</f>
        <v/>
      </c>
      <c r="BF3" s="121">
        <f>IF($B$2="","",(YEAR(BF4)-YEAR($B$2))*12+MONTH(BF4)-MONTH($B$2))</f>
        <v/>
      </c>
      <c r="BG3" s="121">
        <f>IF($B$2="","",(YEAR(BG4)-YEAR($B$2))*12+MONTH(BG4)-MONTH($B$2))</f>
        <v/>
      </c>
      <c r="BH3" s="121">
        <f>IF($B$2="","",(YEAR(BH4)-YEAR($B$2))*12+MONTH(BH4)-MONTH($B$2))</f>
        <v/>
      </c>
      <c r="BI3" s="121">
        <f>IF($B$2="","",(YEAR(BI4)-YEAR($B$2))*12+MONTH(BI4)-MONTH($B$2))</f>
        <v/>
      </c>
      <c r="BJ3" s="121">
        <f>IF($B$2="","",(YEAR(BJ4)-YEAR($B$2))*12+MONTH(BJ4)-MONTH($B$2))</f>
        <v/>
      </c>
      <c r="BK3" s="121">
        <f>IF($B$2="","",(YEAR(BK4)-YEAR($B$2))*12+MONTH(BK4)-MONTH($B$2))</f>
        <v/>
      </c>
      <c r="BL3" s="121">
        <f>IF($B$2="","",(YEAR(BL4)-YEAR($B$2))*12+MONTH(BL4)-MONTH($B$2))</f>
        <v/>
      </c>
      <c r="BM3" s="121">
        <f>IF($B$2="","",(YEAR(BM4)-YEAR($B$2))*12+MONTH(BM4)-MONTH($B$2))</f>
        <v/>
      </c>
      <c r="BN3" s="121">
        <f>IF($B$2="","",(YEAR(BN4)-YEAR($B$2))*12+MONTH(BN4)-MONTH($B$2))</f>
        <v/>
      </c>
      <c r="BO3" s="121">
        <f>IF($B$2="","",(YEAR(BO4)-YEAR($B$2))*12+MONTH(BO4)-MONTH($B$2))</f>
        <v/>
      </c>
      <c r="BP3" s="121">
        <f>IF($B$2="","",(YEAR(BP4)-YEAR($B$2))*12+MONTH(BP4)-MONTH($B$2))</f>
        <v/>
      </c>
      <c r="BQ3" s="121">
        <f>IF($B$2="","",(YEAR(BQ4)-YEAR($B$2))*12+MONTH(BQ4)-MONTH($B$2))</f>
        <v/>
      </c>
      <c r="BR3" s="121">
        <f>IF($B$2="","",(YEAR(BR4)-YEAR($B$2))*12+MONTH(BR4)-MONTH($B$2))</f>
        <v/>
      </c>
      <c r="BS3" s="121">
        <f>IF($B$2="","",(YEAR(BS4)-YEAR($B$2))*12+MONTH(BS4)-MONTH($B$2))</f>
        <v/>
      </c>
      <c r="BT3" s="121">
        <f>IF($B$2="","",(YEAR(BT4)-YEAR($B$2))*12+MONTH(BT4)-MONTH($B$2))</f>
        <v/>
      </c>
      <c r="BU3" s="121">
        <f>IF($B$2="","",(YEAR(BU4)-YEAR($B$2))*12+MONTH(BU4)-MONTH($B$2))</f>
        <v/>
      </c>
      <c r="BV3" s="121">
        <f>IF($B$2="","",(YEAR(BV4)-YEAR($B$2))*12+MONTH(BV4)-MONTH($B$2))</f>
        <v/>
      </c>
      <c r="BW3" s="121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2">
        <f>'MODELO PARA BI'!H1</f>
        <v/>
      </c>
      <c r="E4" s="122">
        <f>'MODELO PARA BI'!I1</f>
        <v/>
      </c>
      <c r="F4" s="122">
        <f>'MODELO PARA BI'!J1</f>
        <v/>
      </c>
      <c r="G4" s="122">
        <f>'MODELO PARA BI'!K1</f>
        <v/>
      </c>
      <c r="H4" s="122">
        <f>'MODELO PARA BI'!L1</f>
        <v/>
      </c>
      <c r="I4" s="122">
        <f>'MODELO PARA BI'!M1</f>
        <v/>
      </c>
      <c r="J4" s="122">
        <f>'MODELO PARA BI'!N1</f>
        <v/>
      </c>
      <c r="K4" s="122">
        <f>'MODELO PARA BI'!O1</f>
        <v/>
      </c>
      <c r="L4" s="122">
        <f>'MODELO PARA BI'!P1</f>
        <v/>
      </c>
      <c r="M4" s="122">
        <f>'MODELO PARA BI'!Q1</f>
        <v/>
      </c>
      <c r="N4" s="122">
        <f>'MODELO PARA BI'!R1</f>
        <v/>
      </c>
      <c r="O4" s="122">
        <f>'MODELO PARA BI'!S1</f>
        <v/>
      </c>
      <c r="P4" s="122">
        <f>'MODELO PARA BI'!T1</f>
        <v/>
      </c>
      <c r="Q4" s="122">
        <f>'MODELO PARA BI'!U1</f>
        <v/>
      </c>
      <c r="R4" s="122">
        <f>'MODELO PARA BI'!V1</f>
        <v/>
      </c>
      <c r="S4" s="122">
        <f>'MODELO PARA BI'!W1</f>
        <v/>
      </c>
      <c r="T4" s="122">
        <f>'MODELO PARA BI'!X1</f>
        <v/>
      </c>
      <c r="U4" s="122">
        <f>'MODELO PARA BI'!Y1</f>
        <v/>
      </c>
      <c r="V4" s="122">
        <f>'MODELO PARA BI'!Z1</f>
        <v/>
      </c>
      <c r="W4" s="122">
        <f>'MODELO PARA BI'!AA1</f>
        <v/>
      </c>
      <c r="X4" s="122">
        <f>'MODELO PARA BI'!AB1</f>
        <v/>
      </c>
      <c r="Y4" s="122">
        <f>'MODELO PARA BI'!AC1</f>
        <v/>
      </c>
      <c r="Z4" s="122">
        <f>'MODELO PARA BI'!AD1</f>
        <v/>
      </c>
      <c r="AA4" s="122">
        <f>'MODELO PARA BI'!AE1</f>
        <v/>
      </c>
      <c r="AB4" s="122">
        <f>'MODELO PARA BI'!AF1</f>
        <v/>
      </c>
      <c r="AC4" s="122">
        <f>'MODELO PARA BI'!AG1</f>
        <v/>
      </c>
      <c r="AD4" s="122">
        <f>'MODELO PARA BI'!AH1</f>
        <v/>
      </c>
      <c r="AE4" s="122">
        <f>'MODELO PARA BI'!AI1</f>
        <v/>
      </c>
      <c r="AF4" s="122">
        <f>'MODELO PARA BI'!AJ1</f>
        <v/>
      </c>
      <c r="AG4" s="122">
        <f>'MODELO PARA BI'!AK1</f>
        <v/>
      </c>
      <c r="AH4" s="122">
        <f>'MODELO PARA BI'!AL1</f>
        <v/>
      </c>
      <c r="AI4" s="122">
        <f>'MODELO PARA BI'!AM1</f>
        <v/>
      </c>
      <c r="AJ4" s="122">
        <f>'MODELO PARA BI'!AN1</f>
        <v/>
      </c>
      <c r="AK4" s="122">
        <f>'MODELO PARA BI'!AO1</f>
        <v/>
      </c>
      <c r="AL4" s="122">
        <f>'MODELO PARA BI'!AP1</f>
        <v/>
      </c>
      <c r="AM4" s="122">
        <f>'MODELO PARA BI'!AQ1</f>
        <v/>
      </c>
      <c r="AN4" s="122">
        <f>'MODELO PARA BI'!AR1</f>
        <v/>
      </c>
      <c r="AO4" s="122">
        <f>'MODELO PARA BI'!AS1</f>
        <v/>
      </c>
      <c r="AP4" s="122">
        <f>'MODELO PARA BI'!AT1</f>
        <v/>
      </c>
      <c r="AQ4" s="122">
        <f>'MODELO PARA BI'!AU1</f>
        <v/>
      </c>
      <c r="AR4" s="122">
        <f>'MODELO PARA BI'!AV1</f>
        <v/>
      </c>
      <c r="AS4" s="122">
        <f>'MODELO PARA BI'!AW1</f>
        <v/>
      </c>
      <c r="AT4" s="122">
        <f>'MODELO PARA BI'!AX1</f>
        <v/>
      </c>
      <c r="AU4" s="122">
        <f>'MODELO PARA BI'!AY1</f>
        <v/>
      </c>
      <c r="AV4" s="122">
        <f>'MODELO PARA BI'!AZ1</f>
        <v/>
      </c>
      <c r="AW4" s="122">
        <f>'MODELO PARA BI'!BA1</f>
        <v/>
      </c>
      <c r="AX4" s="122">
        <f>'MODELO PARA BI'!BB1</f>
        <v/>
      </c>
      <c r="AY4" s="122">
        <f>'MODELO PARA BI'!BC1</f>
        <v/>
      </c>
      <c r="AZ4" s="122">
        <f>'MODELO PARA BI'!BD1</f>
        <v/>
      </c>
      <c r="BA4" s="122">
        <f>'MODELO PARA BI'!BE1</f>
        <v/>
      </c>
      <c r="BB4" s="122">
        <f>'MODELO PARA BI'!BF1</f>
        <v/>
      </c>
      <c r="BC4" s="122">
        <f>'MODELO PARA BI'!BG1</f>
        <v/>
      </c>
      <c r="BD4" s="122">
        <f>'MODELO PARA BI'!BH1</f>
        <v/>
      </c>
      <c r="BE4" s="122">
        <f>'MODELO PARA BI'!BI1</f>
        <v/>
      </c>
      <c r="BF4" s="122">
        <f>'MODELO PARA BI'!BJ1</f>
        <v/>
      </c>
      <c r="BG4" s="122">
        <f>'MODELO PARA BI'!BK1</f>
        <v/>
      </c>
      <c r="BH4" s="122">
        <f>'MODELO PARA BI'!BL1</f>
        <v/>
      </c>
      <c r="BI4" s="122">
        <f>'MODELO PARA BI'!BM1</f>
        <v/>
      </c>
      <c r="BJ4" s="122">
        <f>'MODELO PARA BI'!BN1</f>
        <v/>
      </c>
      <c r="BK4" s="122">
        <f>'MODELO PARA BI'!BO1</f>
        <v/>
      </c>
      <c r="BL4" s="122">
        <f>'MODELO PARA BI'!BP1</f>
        <v/>
      </c>
      <c r="BM4" s="122">
        <f>'MODELO PARA BI'!BQ1</f>
        <v/>
      </c>
      <c r="BN4" s="122">
        <f>'MODELO PARA BI'!BR1</f>
        <v/>
      </c>
      <c r="BO4" s="122">
        <f>'MODELO PARA BI'!BS1</f>
        <v/>
      </c>
      <c r="BP4" s="122">
        <f>'MODELO PARA BI'!BT1</f>
        <v/>
      </c>
      <c r="BQ4" s="122">
        <f>'MODELO PARA BI'!BU1</f>
        <v/>
      </c>
      <c r="BR4" s="122">
        <f>'MODELO PARA BI'!BV1</f>
        <v/>
      </c>
      <c r="BS4" s="122">
        <f>'MODELO PARA BI'!BW1</f>
        <v/>
      </c>
      <c r="BT4" s="122">
        <f>'MODELO PARA BI'!BX1</f>
        <v/>
      </c>
      <c r="BU4" s="122">
        <f>'MODELO PARA BI'!BY1</f>
        <v/>
      </c>
      <c r="BV4" s="122">
        <f>'MODELO PARA BI'!BZ1</f>
        <v/>
      </c>
      <c r="BW4" s="122">
        <f>'MODELO PARA BI'!CA1</f>
        <v/>
      </c>
    </row>
    <row r="5">
      <c r="A5" s="61">
        <f>IF('VALOR POR PL'!R11&lt;&gt;"",'VALOR POR PL'!R11,IF('VALOR POR PL'!Q11="",'VALOR POR PL'!C11,'VALOR POR PL'!Q11))</f>
        <v/>
      </c>
      <c r="B5" s="61">
        <f>'VALOR POR PL'!D11</f>
        <v/>
      </c>
      <c r="C5" s="70">
        <f>IFERROR(MATCH(A5,'CURVA PREVISION'!$B$1:$B$3000,0),"")</f>
        <v/>
      </c>
      <c r="D5" s="123">
        <f>IF(OR($C5="",$B$2="",$D$2=0),0,IF(D$3&lt;0,0,N(INDEX('CURVA PREVISION'!$A$1:$KZ$3000,$C5,10+3*MIN(D$3,$D$2-1)))))</f>
        <v/>
      </c>
      <c r="E5" s="123">
        <f>IF(OR($C5="",$B$2="",$D$2=0),0,IF(E$3&lt;0,0,N(INDEX('CURVA PREVISION'!$A$1:$KZ$3000,$C5,10+3*MIN(E$3,$D$2-1)))))</f>
        <v/>
      </c>
      <c r="F5" s="123">
        <f>IF(OR($C5="",$B$2="",$D$2=0),0,IF(F$3&lt;0,0,N(INDEX('CURVA PREVISION'!$A$1:$KZ$3000,$C5,10+3*MIN(F$3,$D$2-1)))))</f>
        <v/>
      </c>
      <c r="G5" s="123">
        <f>IF(OR($C5="",$B$2="",$D$2=0),0,IF(G$3&lt;0,0,N(INDEX('CURVA PREVISION'!$A$1:$KZ$3000,$C5,10+3*MIN(G$3,$D$2-1)))))</f>
        <v/>
      </c>
      <c r="H5" s="123">
        <f>IF(OR($C5="",$B$2="",$D$2=0),0,IF(H$3&lt;0,0,N(INDEX('CURVA PREVISION'!$A$1:$KZ$3000,$C5,10+3*MIN(H$3,$D$2-1)))))</f>
        <v/>
      </c>
      <c r="I5" s="123">
        <f>IF(OR($C5="",$B$2="",$D$2=0),0,IF(I$3&lt;0,0,N(INDEX('CURVA PREVISION'!$A$1:$KZ$3000,$C5,10+3*MIN(I$3,$D$2-1)))))</f>
        <v/>
      </c>
      <c r="J5" s="123">
        <f>IF(OR($C5="",$B$2="",$D$2=0),0,IF(J$3&lt;0,0,N(INDEX('CURVA PREVISION'!$A$1:$KZ$3000,$C5,10+3*MIN(J$3,$D$2-1)))))</f>
        <v/>
      </c>
      <c r="K5" s="123">
        <f>IF(OR($C5="",$B$2="",$D$2=0),0,IF(K$3&lt;0,0,N(INDEX('CURVA PREVISION'!$A$1:$KZ$3000,$C5,10+3*MIN(K$3,$D$2-1)))))</f>
        <v/>
      </c>
      <c r="L5" s="123">
        <f>IF(OR($C5="",$B$2="",$D$2=0),0,IF(L$3&lt;0,0,N(INDEX('CURVA PREVISION'!$A$1:$KZ$3000,$C5,10+3*MIN(L$3,$D$2-1)))))</f>
        <v/>
      </c>
      <c r="M5" s="123">
        <f>IF(OR($C5="",$B$2="",$D$2=0),0,IF(M$3&lt;0,0,N(INDEX('CURVA PREVISION'!$A$1:$KZ$3000,$C5,10+3*MIN(M$3,$D$2-1)))))</f>
        <v/>
      </c>
      <c r="N5" s="123">
        <f>IF(OR($C5="",$B$2="",$D$2=0),0,IF(N$3&lt;0,0,N(INDEX('CURVA PREVISION'!$A$1:$KZ$3000,$C5,10+3*MIN(N$3,$D$2-1)))))</f>
        <v/>
      </c>
      <c r="O5" s="123">
        <f>IF(OR($C5="",$B$2="",$D$2=0),0,IF(O$3&lt;0,0,N(INDEX('CURVA PREVISION'!$A$1:$KZ$3000,$C5,10+3*MIN(O$3,$D$2-1)))))</f>
        <v/>
      </c>
      <c r="P5" s="123">
        <f>IF(OR($C5="",$B$2="",$D$2=0),0,IF(P$3&lt;0,0,N(INDEX('CURVA PREVISION'!$A$1:$KZ$3000,$C5,10+3*MIN(P$3,$D$2-1)))))</f>
        <v/>
      </c>
      <c r="Q5" s="123">
        <f>IF(OR($C5="",$B$2="",$D$2=0),0,IF(Q$3&lt;0,0,N(INDEX('CURVA PREVISION'!$A$1:$KZ$3000,$C5,10+3*MIN(Q$3,$D$2-1)))))</f>
        <v/>
      </c>
      <c r="R5" s="123">
        <f>IF(OR($C5="",$B$2="",$D$2=0),0,IF(R$3&lt;0,0,N(INDEX('CURVA PREVISION'!$A$1:$KZ$3000,$C5,10+3*MIN(R$3,$D$2-1)))))</f>
        <v/>
      </c>
      <c r="S5" s="123">
        <f>IF(OR($C5="",$B$2="",$D$2=0),0,IF(S$3&lt;0,0,N(INDEX('CURVA PREVISION'!$A$1:$KZ$3000,$C5,10+3*MIN(S$3,$D$2-1)))))</f>
        <v/>
      </c>
      <c r="T5" s="123">
        <f>IF(OR($C5="",$B$2="",$D$2=0),0,IF(T$3&lt;0,0,N(INDEX('CURVA PREVISION'!$A$1:$KZ$3000,$C5,10+3*MIN(T$3,$D$2-1)))))</f>
        <v/>
      </c>
      <c r="U5" s="123">
        <f>IF(OR($C5="",$B$2="",$D$2=0),0,IF(U$3&lt;0,0,N(INDEX('CURVA PREVISION'!$A$1:$KZ$3000,$C5,10+3*MIN(U$3,$D$2-1)))))</f>
        <v/>
      </c>
      <c r="V5" s="123">
        <f>IF(OR($C5="",$B$2="",$D$2=0),0,IF(V$3&lt;0,0,N(INDEX('CURVA PREVISION'!$A$1:$KZ$3000,$C5,10+3*MIN(V$3,$D$2-1)))))</f>
        <v/>
      </c>
      <c r="W5" s="123">
        <f>IF(OR($C5="",$B$2="",$D$2=0),0,IF(W$3&lt;0,0,N(INDEX('CURVA PREVISION'!$A$1:$KZ$3000,$C5,10+3*MIN(W$3,$D$2-1)))))</f>
        <v/>
      </c>
      <c r="X5" s="123">
        <f>IF(OR($C5="",$B$2="",$D$2=0),0,IF(X$3&lt;0,0,N(INDEX('CURVA PREVISION'!$A$1:$KZ$3000,$C5,10+3*MIN(X$3,$D$2-1)))))</f>
        <v/>
      </c>
      <c r="Y5" s="123">
        <f>IF(OR($C5="",$B$2="",$D$2=0),0,IF(Y$3&lt;0,0,N(INDEX('CURVA PREVISION'!$A$1:$KZ$3000,$C5,10+3*MIN(Y$3,$D$2-1)))))</f>
        <v/>
      </c>
      <c r="Z5" s="123">
        <f>IF(OR($C5="",$B$2="",$D$2=0),0,IF(Z$3&lt;0,0,N(INDEX('CURVA PREVISION'!$A$1:$KZ$3000,$C5,10+3*MIN(Z$3,$D$2-1)))))</f>
        <v/>
      </c>
      <c r="AA5" s="123">
        <f>IF(OR($C5="",$B$2="",$D$2=0),0,IF(AA$3&lt;0,0,N(INDEX('CURVA PREVISION'!$A$1:$KZ$3000,$C5,10+3*MIN(AA$3,$D$2-1)))))</f>
        <v/>
      </c>
      <c r="AB5" s="123">
        <f>IF(OR($C5="",$B$2="",$D$2=0),0,IF(AB$3&lt;0,0,N(INDEX('CURVA PREVISION'!$A$1:$KZ$3000,$C5,10+3*MIN(AB$3,$D$2-1)))))</f>
        <v/>
      </c>
      <c r="AC5" s="123">
        <f>IF(OR($C5="",$B$2="",$D$2=0),0,IF(AC$3&lt;0,0,N(INDEX('CURVA PREVISION'!$A$1:$KZ$3000,$C5,10+3*MIN(AC$3,$D$2-1)))))</f>
        <v/>
      </c>
      <c r="AD5" s="123">
        <f>IF(OR($C5="",$B$2="",$D$2=0),0,IF(AD$3&lt;0,0,N(INDEX('CURVA PREVISION'!$A$1:$KZ$3000,$C5,10+3*MIN(AD$3,$D$2-1)))))</f>
        <v/>
      </c>
      <c r="AE5" s="123">
        <f>IF(OR($C5="",$B$2="",$D$2=0),0,IF(AE$3&lt;0,0,N(INDEX('CURVA PREVISION'!$A$1:$KZ$3000,$C5,10+3*MIN(AE$3,$D$2-1)))))</f>
        <v/>
      </c>
      <c r="AF5" s="123">
        <f>IF(OR($C5="",$B$2="",$D$2=0),0,IF(AF$3&lt;0,0,N(INDEX('CURVA PREVISION'!$A$1:$KZ$3000,$C5,10+3*MIN(AF$3,$D$2-1)))))</f>
        <v/>
      </c>
      <c r="AG5" s="123">
        <f>IF(OR($C5="",$B$2="",$D$2=0),0,IF(AG$3&lt;0,0,N(INDEX('CURVA PREVISION'!$A$1:$KZ$3000,$C5,10+3*MIN(AG$3,$D$2-1)))))</f>
        <v/>
      </c>
      <c r="AH5" s="123">
        <f>IF(OR($C5="",$B$2="",$D$2=0),0,IF(AH$3&lt;0,0,N(INDEX('CURVA PREVISION'!$A$1:$KZ$3000,$C5,10+3*MIN(AH$3,$D$2-1)))))</f>
        <v/>
      </c>
      <c r="AI5" s="123">
        <f>IF(OR($C5="",$B$2="",$D$2=0),0,IF(AI$3&lt;0,0,N(INDEX('CURVA PREVISION'!$A$1:$KZ$3000,$C5,10+3*MIN(AI$3,$D$2-1)))))</f>
        <v/>
      </c>
      <c r="AJ5" s="123">
        <f>IF(OR($C5="",$B$2="",$D$2=0),0,IF(AJ$3&lt;0,0,N(INDEX('CURVA PREVISION'!$A$1:$KZ$3000,$C5,10+3*MIN(AJ$3,$D$2-1)))))</f>
        <v/>
      </c>
      <c r="AK5" s="123">
        <f>IF(OR($C5="",$B$2="",$D$2=0),0,IF(AK$3&lt;0,0,N(INDEX('CURVA PREVISION'!$A$1:$KZ$3000,$C5,10+3*MIN(AK$3,$D$2-1)))))</f>
        <v/>
      </c>
      <c r="AL5" s="123">
        <f>IF(OR($C5="",$B$2="",$D$2=0),0,IF(AL$3&lt;0,0,N(INDEX('CURVA PREVISION'!$A$1:$KZ$3000,$C5,10+3*MIN(AL$3,$D$2-1)))))</f>
        <v/>
      </c>
      <c r="AM5" s="123">
        <f>IF(OR($C5="",$B$2="",$D$2=0),0,IF(AM$3&lt;0,0,N(INDEX('CURVA PREVISION'!$A$1:$KZ$3000,$C5,10+3*MIN(AM$3,$D$2-1)))))</f>
        <v/>
      </c>
      <c r="AN5" s="123">
        <f>IF(OR($C5="",$B$2="",$D$2=0),0,IF(AN$3&lt;0,0,N(INDEX('CURVA PREVISION'!$A$1:$KZ$3000,$C5,10+3*MIN(AN$3,$D$2-1)))))</f>
        <v/>
      </c>
      <c r="AO5" s="123">
        <f>IF(OR($C5="",$B$2="",$D$2=0),0,IF(AO$3&lt;0,0,N(INDEX('CURVA PREVISION'!$A$1:$KZ$3000,$C5,10+3*MIN(AO$3,$D$2-1)))))</f>
        <v/>
      </c>
      <c r="AP5" s="123">
        <f>IF(OR($C5="",$B$2="",$D$2=0),0,IF(AP$3&lt;0,0,N(INDEX('CURVA PREVISION'!$A$1:$KZ$3000,$C5,10+3*MIN(AP$3,$D$2-1)))))</f>
        <v/>
      </c>
      <c r="AQ5" s="123">
        <f>IF(OR($C5="",$B$2="",$D$2=0),0,IF(AQ$3&lt;0,0,N(INDEX('CURVA PREVISION'!$A$1:$KZ$3000,$C5,10+3*MIN(AQ$3,$D$2-1)))))</f>
        <v/>
      </c>
      <c r="AR5" s="123">
        <f>IF(OR($C5="",$B$2="",$D$2=0),0,IF(AR$3&lt;0,0,N(INDEX('CURVA PREVISION'!$A$1:$KZ$3000,$C5,10+3*MIN(AR$3,$D$2-1)))))</f>
        <v/>
      </c>
      <c r="AS5" s="123">
        <f>IF(OR($C5="",$B$2="",$D$2=0),0,IF(AS$3&lt;0,0,N(INDEX('CURVA PREVISION'!$A$1:$KZ$3000,$C5,10+3*MIN(AS$3,$D$2-1)))))</f>
        <v/>
      </c>
      <c r="AT5" s="123">
        <f>IF(OR($C5="",$B$2="",$D$2=0),0,IF(AT$3&lt;0,0,N(INDEX('CURVA PREVISION'!$A$1:$KZ$3000,$C5,10+3*MIN(AT$3,$D$2-1)))))</f>
        <v/>
      </c>
      <c r="AU5" s="123">
        <f>IF(OR($C5="",$B$2="",$D$2=0),0,IF(AU$3&lt;0,0,N(INDEX('CURVA PREVISION'!$A$1:$KZ$3000,$C5,10+3*MIN(AU$3,$D$2-1)))))</f>
        <v/>
      </c>
      <c r="AV5" s="123">
        <f>IF(OR($C5="",$B$2="",$D$2=0),0,IF(AV$3&lt;0,0,N(INDEX('CURVA PREVISION'!$A$1:$KZ$3000,$C5,10+3*MIN(AV$3,$D$2-1)))))</f>
        <v/>
      </c>
      <c r="AW5" s="123">
        <f>IF(OR($C5="",$B$2="",$D$2=0),0,IF(AW$3&lt;0,0,N(INDEX('CURVA PREVISION'!$A$1:$KZ$3000,$C5,10+3*MIN(AW$3,$D$2-1)))))</f>
        <v/>
      </c>
      <c r="AX5" s="123">
        <f>IF(OR($C5="",$B$2="",$D$2=0),0,IF(AX$3&lt;0,0,N(INDEX('CURVA PREVISION'!$A$1:$KZ$3000,$C5,10+3*MIN(AX$3,$D$2-1)))))</f>
        <v/>
      </c>
      <c r="AY5" s="123">
        <f>IF(OR($C5="",$B$2="",$D$2=0),0,IF(AY$3&lt;0,0,N(INDEX('CURVA PREVISION'!$A$1:$KZ$3000,$C5,10+3*MIN(AY$3,$D$2-1)))))</f>
        <v/>
      </c>
      <c r="AZ5" s="123">
        <f>IF(OR($C5="",$B$2="",$D$2=0),0,IF(AZ$3&lt;0,0,N(INDEX('CURVA PREVISION'!$A$1:$KZ$3000,$C5,10+3*MIN(AZ$3,$D$2-1)))))</f>
        <v/>
      </c>
      <c r="BA5" s="123">
        <f>IF(OR($C5="",$B$2="",$D$2=0),0,IF(BA$3&lt;0,0,N(INDEX('CURVA PREVISION'!$A$1:$KZ$3000,$C5,10+3*MIN(BA$3,$D$2-1)))))</f>
        <v/>
      </c>
      <c r="BB5" s="123">
        <f>IF(OR($C5="",$B$2="",$D$2=0),0,IF(BB$3&lt;0,0,N(INDEX('CURVA PREVISION'!$A$1:$KZ$3000,$C5,10+3*MIN(BB$3,$D$2-1)))))</f>
        <v/>
      </c>
      <c r="BC5" s="123">
        <f>IF(OR($C5="",$B$2="",$D$2=0),0,IF(BC$3&lt;0,0,N(INDEX('CURVA PREVISION'!$A$1:$KZ$3000,$C5,10+3*MIN(BC$3,$D$2-1)))))</f>
        <v/>
      </c>
      <c r="BD5" s="123">
        <f>IF(OR($C5="",$B$2="",$D$2=0),0,IF(BD$3&lt;0,0,N(INDEX('CURVA PREVISION'!$A$1:$KZ$3000,$C5,10+3*MIN(BD$3,$D$2-1)))))</f>
        <v/>
      </c>
      <c r="BE5" s="123">
        <f>IF(OR($C5="",$B$2="",$D$2=0),0,IF(BE$3&lt;0,0,N(INDEX('CURVA PREVISION'!$A$1:$KZ$3000,$C5,10+3*MIN(BE$3,$D$2-1)))))</f>
        <v/>
      </c>
      <c r="BF5" s="123">
        <f>IF(OR($C5="",$B$2="",$D$2=0),0,IF(BF$3&lt;0,0,N(INDEX('CURVA PREVISION'!$A$1:$KZ$3000,$C5,10+3*MIN(BF$3,$D$2-1)))))</f>
        <v/>
      </c>
      <c r="BG5" s="123">
        <f>IF(OR($C5="",$B$2="",$D$2=0),0,IF(BG$3&lt;0,0,N(INDEX('CURVA PREVISION'!$A$1:$KZ$3000,$C5,10+3*MIN(BG$3,$D$2-1)))))</f>
        <v/>
      </c>
      <c r="BH5" s="123">
        <f>IF(OR($C5="",$B$2="",$D$2=0),0,IF(BH$3&lt;0,0,N(INDEX('CURVA PREVISION'!$A$1:$KZ$3000,$C5,10+3*MIN(BH$3,$D$2-1)))))</f>
        <v/>
      </c>
      <c r="BI5" s="123">
        <f>IF(OR($C5="",$B$2="",$D$2=0),0,IF(BI$3&lt;0,0,N(INDEX('CURVA PREVISION'!$A$1:$KZ$3000,$C5,10+3*MIN(BI$3,$D$2-1)))))</f>
        <v/>
      </c>
      <c r="BJ5" s="123">
        <f>IF(OR($C5="",$B$2="",$D$2=0),0,IF(BJ$3&lt;0,0,N(INDEX('CURVA PREVISION'!$A$1:$KZ$3000,$C5,10+3*MIN(BJ$3,$D$2-1)))))</f>
        <v/>
      </c>
      <c r="BK5" s="123">
        <f>IF(OR($C5="",$B$2="",$D$2=0),0,IF(BK$3&lt;0,0,N(INDEX('CURVA PREVISION'!$A$1:$KZ$3000,$C5,10+3*MIN(BK$3,$D$2-1)))))</f>
        <v/>
      </c>
      <c r="BL5" s="123">
        <f>IF(OR($C5="",$B$2="",$D$2=0),0,IF(BL$3&lt;0,0,N(INDEX('CURVA PREVISION'!$A$1:$KZ$3000,$C5,10+3*MIN(BL$3,$D$2-1)))))</f>
        <v/>
      </c>
      <c r="BM5" s="123">
        <f>IF(OR($C5="",$B$2="",$D$2=0),0,IF(BM$3&lt;0,0,N(INDEX('CURVA PREVISION'!$A$1:$KZ$3000,$C5,10+3*MIN(BM$3,$D$2-1)))))</f>
        <v/>
      </c>
      <c r="BN5" s="123">
        <f>IF(OR($C5="",$B$2="",$D$2=0),0,IF(BN$3&lt;0,0,N(INDEX('CURVA PREVISION'!$A$1:$KZ$3000,$C5,10+3*MIN(BN$3,$D$2-1)))))</f>
        <v/>
      </c>
      <c r="BO5" s="123">
        <f>IF(OR($C5="",$B$2="",$D$2=0),0,IF(BO$3&lt;0,0,N(INDEX('CURVA PREVISION'!$A$1:$KZ$3000,$C5,10+3*MIN(BO$3,$D$2-1)))))</f>
        <v/>
      </c>
      <c r="BP5" s="123">
        <f>IF(OR($C5="",$B$2="",$D$2=0),0,IF(BP$3&lt;0,0,N(INDEX('CURVA PREVISION'!$A$1:$KZ$3000,$C5,10+3*MIN(BP$3,$D$2-1)))))</f>
        <v/>
      </c>
      <c r="BQ5" s="123">
        <f>IF(OR($C5="",$B$2="",$D$2=0),0,IF(BQ$3&lt;0,0,N(INDEX('CURVA PREVISION'!$A$1:$KZ$3000,$C5,10+3*MIN(BQ$3,$D$2-1)))))</f>
        <v/>
      </c>
      <c r="BR5" s="123">
        <f>IF(OR($C5="",$B$2="",$D$2=0),0,IF(BR$3&lt;0,0,N(INDEX('CURVA PREVISION'!$A$1:$KZ$3000,$C5,10+3*MIN(BR$3,$D$2-1)))))</f>
        <v/>
      </c>
      <c r="BS5" s="123">
        <f>IF(OR($C5="",$B$2="",$D$2=0),0,IF(BS$3&lt;0,0,N(INDEX('CURVA PREVISION'!$A$1:$KZ$3000,$C5,10+3*MIN(BS$3,$D$2-1)))))</f>
        <v/>
      </c>
      <c r="BT5" s="123">
        <f>IF(OR($C5="",$B$2="",$D$2=0),0,IF(BT$3&lt;0,0,N(INDEX('CURVA PREVISION'!$A$1:$KZ$3000,$C5,10+3*MIN(BT$3,$D$2-1)))))</f>
        <v/>
      </c>
      <c r="BU5" s="123">
        <f>IF(OR($C5="",$B$2="",$D$2=0),0,IF(BU$3&lt;0,0,N(INDEX('CURVA PREVISION'!$A$1:$KZ$3000,$C5,10+3*MIN(BU$3,$D$2-1)))))</f>
        <v/>
      </c>
      <c r="BV5" s="123">
        <f>IF(OR($C5="",$B$2="",$D$2=0),0,IF(BV$3&lt;0,0,N(INDEX('CURVA PREVISION'!$A$1:$KZ$3000,$C5,10+3*MIN(BV$3,$D$2-1)))))</f>
        <v/>
      </c>
      <c r="BW5" s="123">
        <f>IF(OR($C5="",$B$2="",$D$2=0),0,IF(BW$3&lt;0,0,N(INDEX('CURVA PREVISION'!$A$1:$KZ$3000,$C5,10+3*MIN(BW$3,$D$2-1)))))</f>
        <v/>
      </c>
    </row>
    <row r="6">
      <c r="A6" s="61">
        <f>IF('VALOR POR PL'!R12&lt;&gt;"",'VALOR POR PL'!R12,IF('VALOR POR PL'!Q12="",'VALOR POR PL'!C12,'VALOR POR PL'!Q12))</f>
        <v/>
      </c>
      <c r="B6" s="61">
        <f>'VALOR POR PL'!D12</f>
        <v/>
      </c>
      <c r="C6" s="70">
        <f>IFERROR(MATCH(A6,'CURVA PREVISION'!$B$1:$B$3000,0),"")</f>
        <v/>
      </c>
      <c r="D6" s="123">
        <f>IF(OR($C6="",$B$2="",$D$2=0),0,IF(D$3&lt;0,0,N(INDEX('CURVA PREVISION'!$A$1:$KZ$3000,$C6,10+3*MIN(D$3,$D$2-1)))))</f>
        <v/>
      </c>
      <c r="E6" s="123">
        <f>IF(OR($C6="",$B$2="",$D$2=0),0,IF(E$3&lt;0,0,N(INDEX('CURVA PREVISION'!$A$1:$KZ$3000,$C6,10+3*MIN(E$3,$D$2-1)))))</f>
        <v/>
      </c>
      <c r="F6" s="123">
        <f>IF(OR($C6="",$B$2="",$D$2=0),0,IF(F$3&lt;0,0,N(INDEX('CURVA PREVISION'!$A$1:$KZ$3000,$C6,10+3*MIN(F$3,$D$2-1)))))</f>
        <v/>
      </c>
      <c r="G6" s="123">
        <f>IF(OR($C6="",$B$2="",$D$2=0),0,IF(G$3&lt;0,0,N(INDEX('CURVA PREVISION'!$A$1:$KZ$3000,$C6,10+3*MIN(G$3,$D$2-1)))))</f>
        <v/>
      </c>
      <c r="H6" s="123">
        <f>IF(OR($C6="",$B$2="",$D$2=0),0,IF(H$3&lt;0,0,N(INDEX('CURVA PREVISION'!$A$1:$KZ$3000,$C6,10+3*MIN(H$3,$D$2-1)))))</f>
        <v/>
      </c>
      <c r="I6" s="123">
        <f>IF(OR($C6="",$B$2="",$D$2=0),0,IF(I$3&lt;0,0,N(INDEX('CURVA PREVISION'!$A$1:$KZ$3000,$C6,10+3*MIN(I$3,$D$2-1)))))</f>
        <v/>
      </c>
      <c r="J6" s="123">
        <f>IF(OR($C6="",$B$2="",$D$2=0),0,IF(J$3&lt;0,0,N(INDEX('CURVA PREVISION'!$A$1:$KZ$3000,$C6,10+3*MIN(J$3,$D$2-1)))))</f>
        <v/>
      </c>
      <c r="K6" s="123">
        <f>IF(OR($C6="",$B$2="",$D$2=0),0,IF(K$3&lt;0,0,N(INDEX('CURVA PREVISION'!$A$1:$KZ$3000,$C6,10+3*MIN(K$3,$D$2-1)))))</f>
        <v/>
      </c>
      <c r="L6" s="123">
        <f>IF(OR($C6="",$B$2="",$D$2=0),0,IF(L$3&lt;0,0,N(INDEX('CURVA PREVISION'!$A$1:$KZ$3000,$C6,10+3*MIN(L$3,$D$2-1)))))</f>
        <v/>
      </c>
      <c r="M6" s="123">
        <f>IF(OR($C6="",$B$2="",$D$2=0),0,IF(M$3&lt;0,0,N(INDEX('CURVA PREVISION'!$A$1:$KZ$3000,$C6,10+3*MIN(M$3,$D$2-1)))))</f>
        <v/>
      </c>
      <c r="N6" s="123">
        <f>IF(OR($C6="",$B$2="",$D$2=0),0,IF(N$3&lt;0,0,N(INDEX('CURVA PREVISION'!$A$1:$KZ$3000,$C6,10+3*MIN(N$3,$D$2-1)))))</f>
        <v/>
      </c>
      <c r="O6" s="123">
        <f>IF(OR($C6="",$B$2="",$D$2=0),0,IF(O$3&lt;0,0,N(INDEX('CURVA PREVISION'!$A$1:$KZ$3000,$C6,10+3*MIN(O$3,$D$2-1)))))</f>
        <v/>
      </c>
      <c r="P6" s="123">
        <f>IF(OR($C6="",$B$2="",$D$2=0),0,IF(P$3&lt;0,0,N(INDEX('CURVA PREVISION'!$A$1:$KZ$3000,$C6,10+3*MIN(P$3,$D$2-1)))))</f>
        <v/>
      </c>
      <c r="Q6" s="123">
        <f>IF(OR($C6="",$B$2="",$D$2=0),0,IF(Q$3&lt;0,0,N(INDEX('CURVA PREVISION'!$A$1:$KZ$3000,$C6,10+3*MIN(Q$3,$D$2-1)))))</f>
        <v/>
      </c>
      <c r="R6" s="123">
        <f>IF(OR($C6="",$B$2="",$D$2=0),0,IF(R$3&lt;0,0,N(INDEX('CURVA PREVISION'!$A$1:$KZ$3000,$C6,10+3*MIN(R$3,$D$2-1)))))</f>
        <v/>
      </c>
      <c r="S6" s="123">
        <f>IF(OR($C6="",$B$2="",$D$2=0),0,IF(S$3&lt;0,0,N(INDEX('CURVA PREVISION'!$A$1:$KZ$3000,$C6,10+3*MIN(S$3,$D$2-1)))))</f>
        <v/>
      </c>
      <c r="T6" s="123">
        <f>IF(OR($C6="",$B$2="",$D$2=0),0,IF(T$3&lt;0,0,N(INDEX('CURVA PREVISION'!$A$1:$KZ$3000,$C6,10+3*MIN(T$3,$D$2-1)))))</f>
        <v/>
      </c>
      <c r="U6" s="123">
        <f>IF(OR($C6="",$B$2="",$D$2=0),0,IF(U$3&lt;0,0,N(INDEX('CURVA PREVISION'!$A$1:$KZ$3000,$C6,10+3*MIN(U$3,$D$2-1)))))</f>
        <v/>
      </c>
      <c r="V6" s="123">
        <f>IF(OR($C6="",$B$2="",$D$2=0),0,IF(V$3&lt;0,0,N(INDEX('CURVA PREVISION'!$A$1:$KZ$3000,$C6,10+3*MIN(V$3,$D$2-1)))))</f>
        <v/>
      </c>
      <c r="W6" s="123">
        <f>IF(OR($C6="",$B$2="",$D$2=0),0,IF(W$3&lt;0,0,N(INDEX('CURVA PREVISION'!$A$1:$KZ$3000,$C6,10+3*MIN(W$3,$D$2-1)))))</f>
        <v/>
      </c>
      <c r="X6" s="123">
        <f>IF(OR($C6="",$B$2="",$D$2=0),0,IF(X$3&lt;0,0,N(INDEX('CURVA PREVISION'!$A$1:$KZ$3000,$C6,10+3*MIN(X$3,$D$2-1)))))</f>
        <v/>
      </c>
      <c r="Y6" s="123">
        <f>IF(OR($C6="",$B$2="",$D$2=0),0,IF(Y$3&lt;0,0,N(INDEX('CURVA PREVISION'!$A$1:$KZ$3000,$C6,10+3*MIN(Y$3,$D$2-1)))))</f>
        <v/>
      </c>
      <c r="Z6" s="123">
        <f>IF(OR($C6="",$B$2="",$D$2=0),0,IF(Z$3&lt;0,0,N(INDEX('CURVA PREVISION'!$A$1:$KZ$3000,$C6,10+3*MIN(Z$3,$D$2-1)))))</f>
        <v/>
      </c>
      <c r="AA6" s="123">
        <f>IF(OR($C6="",$B$2="",$D$2=0),0,IF(AA$3&lt;0,0,N(INDEX('CURVA PREVISION'!$A$1:$KZ$3000,$C6,10+3*MIN(AA$3,$D$2-1)))))</f>
        <v/>
      </c>
      <c r="AB6" s="123">
        <f>IF(OR($C6="",$B$2="",$D$2=0),0,IF(AB$3&lt;0,0,N(INDEX('CURVA PREVISION'!$A$1:$KZ$3000,$C6,10+3*MIN(AB$3,$D$2-1)))))</f>
        <v/>
      </c>
      <c r="AC6" s="123">
        <f>IF(OR($C6="",$B$2="",$D$2=0),0,IF(AC$3&lt;0,0,N(INDEX('CURVA PREVISION'!$A$1:$KZ$3000,$C6,10+3*MIN(AC$3,$D$2-1)))))</f>
        <v/>
      </c>
      <c r="AD6" s="123">
        <f>IF(OR($C6="",$B$2="",$D$2=0),0,IF(AD$3&lt;0,0,N(INDEX('CURVA PREVISION'!$A$1:$KZ$3000,$C6,10+3*MIN(AD$3,$D$2-1)))))</f>
        <v/>
      </c>
      <c r="AE6" s="123">
        <f>IF(OR($C6="",$B$2="",$D$2=0),0,IF(AE$3&lt;0,0,N(INDEX('CURVA PREVISION'!$A$1:$KZ$3000,$C6,10+3*MIN(AE$3,$D$2-1)))))</f>
        <v/>
      </c>
      <c r="AF6" s="123">
        <f>IF(OR($C6="",$B$2="",$D$2=0),0,IF(AF$3&lt;0,0,N(INDEX('CURVA PREVISION'!$A$1:$KZ$3000,$C6,10+3*MIN(AF$3,$D$2-1)))))</f>
        <v/>
      </c>
      <c r="AG6" s="123">
        <f>IF(OR($C6="",$B$2="",$D$2=0),0,IF(AG$3&lt;0,0,N(INDEX('CURVA PREVISION'!$A$1:$KZ$3000,$C6,10+3*MIN(AG$3,$D$2-1)))))</f>
        <v/>
      </c>
      <c r="AH6" s="123">
        <f>IF(OR($C6="",$B$2="",$D$2=0),0,IF(AH$3&lt;0,0,N(INDEX('CURVA PREVISION'!$A$1:$KZ$3000,$C6,10+3*MIN(AH$3,$D$2-1)))))</f>
        <v/>
      </c>
      <c r="AI6" s="123">
        <f>IF(OR($C6="",$B$2="",$D$2=0),0,IF(AI$3&lt;0,0,N(INDEX('CURVA PREVISION'!$A$1:$KZ$3000,$C6,10+3*MIN(AI$3,$D$2-1)))))</f>
        <v/>
      </c>
      <c r="AJ6" s="123">
        <f>IF(OR($C6="",$B$2="",$D$2=0),0,IF(AJ$3&lt;0,0,N(INDEX('CURVA PREVISION'!$A$1:$KZ$3000,$C6,10+3*MIN(AJ$3,$D$2-1)))))</f>
        <v/>
      </c>
      <c r="AK6" s="123">
        <f>IF(OR($C6="",$B$2="",$D$2=0),0,IF(AK$3&lt;0,0,N(INDEX('CURVA PREVISION'!$A$1:$KZ$3000,$C6,10+3*MIN(AK$3,$D$2-1)))))</f>
        <v/>
      </c>
      <c r="AL6" s="123">
        <f>IF(OR($C6="",$B$2="",$D$2=0),0,IF(AL$3&lt;0,0,N(INDEX('CURVA PREVISION'!$A$1:$KZ$3000,$C6,10+3*MIN(AL$3,$D$2-1)))))</f>
        <v/>
      </c>
      <c r="AM6" s="123">
        <f>IF(OR($C6="",$B$2="",$D$2=0),0,IF(AM$3&lt;0,0,N(INDEX('CURVA PREVISION'!$A$1:$KZ$3000,$C6,10+3*MIN(AM$3,$D$2-1)))))</f>
        <v/>
      </c>
      <c r="AN6" s="123">
        <f>IF(OR($C6="",$B$2="",$D$2=0),0,IF(AN$3&lt;0,0,N(INDEX('CURVA PREVISION'!$A$1:$KZ$3000,$C6,10+3*MIN(AN$3,$D$2-1)))))</f>
        <v/>
      </c>
      <c r="AO6" s="123">
        <f>IF(OR($C6="",$B$2="",$D$2=0),0,IF(AO$3&lt;0,0,N(INDEX('CURVA PREVISION'!$A$1:$KZ$3000,$C6,10+3*MIN(AO$3,$D$2-1)))))</f>
        <v/>
      </c>
      <c r="AP6" s="123">
        <f>IF(OR($C6="",$B$2="",$D$2=0),0,IF(AP$3&lt;0,0,N(INDEX('CURVA PREVISION'!$A$1:$KZ$3000,$C6,10+3*MIN(AP$3,$D$2-1)))))</f>
        <v/>
      </c>
      <c r="AQ6" s="123">
        <f>IF(OR($C6="",$B$2="",$D$2=0),0,IF(AQ$3&lt;0,0,N(INDEX('CURVA PREVISION'!$A$1:$KZ$3000,$C6,10+3*MIN(AQ$3,$D$2-1)))))</f>
        <v/>
      </c>
      <c r="AR6" s="123">
        <f>IF(OR($C6="",$B$2="",$D$2=0),0,IF(AR$3&lt;0,0,N(INDEX('CURVA PREVISION'!$A$1:$KZ$3000,$C6,10+3*MIN(AR$3,$D$2-1)))))</f>
        <v/>
      </c>
      <c r="AS6" s="123">
        <f>IF(OR($C6="",$B$2="",$D$2=0),0,IF(AS$3&lt;0,0,N(INDEX('CURVA PREVISION'!$A$1:$KZ$3000,$C6,10+3*MIN(AS$3,$D$2-1)))))</f>
        <v/>
      </c>
      <c r="AT6" s="123">
        <f>IF(OR($C6="",$B$2="",$D$2=0),0,IF(AT$3&lt;0,0,N(INDEX('CURVA PREVISION'!$A$1:$KZ$3000,$C6,10+3*MIN(AT$3,$D$2-1)))))</f>
        <v/>
      </c>
      <c r="AU6" s="123">
        <f>IF(OR($C6="",$B$2="",$D$2=0),0,IF(AU$3&lt;0,0,N(INDEX('CURVA PREVISION'!$A$1:$KZ$3000,$C6,10+3*MIN(AU$3,$D$2-1)))))</f>
        <v/>
      </c>
      <c r="AV6" s="123">
        <f>IF(OR($C6="",$B$2="",$D$2=0),0,IF(AV$3&lt;0,0,N(INDEX('CURVA PREVISION'!$A$1:$KZ$3000,$C6,10+3*MIN(AV$3,$D$2-1)))))</f>
        <v/>
      </c>
      <c r="AW6" s="123">
        <f>IF(OR($C6="",$B$2="",$D$2=0),0,IF(AW$3&lt;0,0,N(INDEX('CURVA PREVISION'!$A$1:$KZ$3000,$C6,10+3*MIN(AW$3,$D$2-1)))))</f>
        <v/>
      </c>
      <c r="AX6" s="123">
        <f>IF(OR($C6="",$B$2="",$D$2=0),0,IF(AX$3&lt;0,0,N(INDEX('CURVA PREVISION'!$A$1:$KZ$3000,$C6,10+3*MIN(AX$3,$D$2-1)))))</f>
        <v/>
      </c>
      <c r="AY6" s="123">
        <f>IF(OR($C6="",$B$2="",$D$2=0),0,IF(AY$3&lt;0,0,N(INDEX('CURVA PREVISION'!$A$1:$KZ$3000,$C6,10+3*MIN(AY$3,$D$2-1)))))</f>
        <v/>
      </c>
      <c r="AZ6" s="123">
        <f>IF(OR($C6="",$B$2="",$D$2=0),0,IF(AZ$3&lt;0,0,N(INDEX('CURVA PREVISION'!$A$1:$KZ$3000,$C6,10+3*MIN(AZ$3,$D$2-1)))))</f>
        <v/>
      </c>
      <c r="BA6" s="123">
        <f>IF(OR($C6="",$B$2="",$D$2=0),0,IF(BA$3&lt;0,0,N(INDEX('CURVA PREVISION'!$A$1:$KZ$3000,$C6,10+3*MIN(BA$3,$D$2-1)))))</f>
        <v/>
      </c>
      <c r="BB6" s="123">
        <f>IF(OR($C6="",$B$2="",$D$2=0),0,IF(BB$3&lt;0,0,N(INDEX('CURVA PREVISION'!$A$1:$KZ$3000,$C6,10+3*MIN(BB$3,$D$2-1)))))</f>
        <v/>
      </c>
      <c r="BC6" s="123">
        <f>IF(OR($C6="",$B$2="",$D$2=0),0,IF(BC$3&lt;0,0,N(INDEX('CURVA PREVISION'!$A$1:$KZ$3000,$C6,10+3*MIN(BC$3,$D$2-1)))))</f>
        <v/>
      </c>
      <c r="BD6" s="123">
        <f>IF(OR($C6="",$B$2="",$D$2=0),0,IF(BD$3&lt;0,0,N(INDEX('CURVA PREVISION'!$A$1:$KZ$3000,$C6,10+3*MIN(BD$3,$D$2-1)))))</f>
        <v/>
      </c>
      <c r="BE6" s="123">
        <f>IF(OR($C6="",$B$2="",$D$2=0),0,IF(BE$3&lt;0,0,N(INDEX('CURVA PREVISION'!$A$1:$KZ$3000,$C6,10+3*MIN(BE$3,$D$2-1)))))</f>
        <v/>
      </c>
      <c r="BF6" s="123">
        <f>IF(OR($C6="",$B$2="",$D$2=0),0,IF(BF$3&lt;0,0,N(INDEX('CURVA PREVISION'!$A$1:$KZ$3000,$C6,10+3*MIN(BF$3,$D$2-1)))))</f>
        <v/>
      </c>
      <c r="BG6" s="123">
        <f>IF(OR($C6="",$B$2="",$D$2=0),0,IF(BG$3&lt;0,0,N(INDEX('CURVA PREVISION'!$A$1:$KZ$3000,$C6,10+3*MIN(BG$3,$D$2-1)))))</f>
        <v/>
      </c>
      <c r="BH6" s="123">
        <f>IF(OR($C6="",$B$2="",$D$2=0),0,IF(BH$3&lt;0,0,N(INDEX('CURVA PREVISION'!$A$1:$KZ$3000,$C6,10+3*MIN(BH$3,$D$2-1)))))</f>
        <v/>
      </c>
      <c r="BI6" s="123">
        <f>IF(OR($C6="",$B$2="",$D$2=0),0,IF(BI$3&lt;0,0,N(INDEX('CURVA PREVISION'!$A$1:$KZ$3000,$C6,10+3*MIN(BI$3,$D$2-1)))))</f>
        <v/>
      </c>
      <c r="BJ6" s="123">
        <f>IF(OR($C6="",$B$2="",$D$2=0),0,IF(BJ$3&lt;0,0,N(INDEX('CURVA PREVISION'!$A$1:$KZ$3000,$C6,10+3*MIN(BJ$3,$D$2-1)))))</f>
        <v/>
      </c>
      <c r="BK6" s="123">
        <f>IF(OR($C6="",$B$2="",$D$2=0),0,IF(BK$3&lt;0,0,N(INDEX('CURVA PREVISION'!$A$1:$KZ$3000,$C6,10+3*MIN(BK$3,$D$2-1)))))</f>
        <v/>
      </c>
      <c r="BL6" s="123">
        <f>IF(OR($C6="",$B$2="",$D$2=0),0,IF(BL$3&lt;0,0,N(INDEX('CURVA PREVISION'!$A$1:$KZ$3000,$C6,10+3*MIN(BL$3,$D$2-1)))))</f>
        <v/>
      </c>
      <c r="BM6" s="123">
        <f>IF(OR($C6="",$B$2="",$D$2=0),0,IF(BM$3&lt;0,0,N(INDEX('CURVA PREVISION'!$A$1:$KZ$3000,$C6,10+3*MIN(BM$3,$D$2-1)))))</f>
        <v/>
      </c>
      <c r="BN6" s="123">
        <f>IF(OR($C6="",$B$2="",$D$2=0),0,IF(BN$3&lt;0,0,N(INDEX('CURVA PREVISION'!$A$1:$KZ$3000,$C6,10+3*MIN(BN$3,$D$2-1)))))</f>
        <v/>
      </c>
      <c r="BO6" s="123">
        <f>IF(OR($C6="",$B$2="",$D$2=0),0,IF(BO$3&lt;0,0,N(INDEX('CURVA PREVISION'!$A$1:$KZ$3000,$C6,10+3*MIN(BO$3,$D$2-1)))))</f>
        <v/>
      </c>
      <c r="BP6" s="123">
        <f>IF(OR($C6="",$B$2="",$D$2=0),0,IF(BP$3&lt;0,0,N(INDEX('CURVA PREVISION'!$A$1:$KZ$3000,$C6,10+3*MIN(BP$3,$D$2-1)))))</f>
        <v/>
      </c>
      <c r="BQ6" s="123">
        <f>IF(OR($C6="",$B$2="",$D$2=0),0,IF(BQ$3&lt;0,0,N(INDEX('CURVA PREVISION'!$A$1:$KZ$3000,$C6,10+3*MIN(BQ$3,$D$2-1)))))</f>
        <v/>
      </c>
      <c r="BR6" s="123">
        <f>IF(OR($C6="",$B$2="",$D$2=0),0,IF(BR$3&lt;0,0,N(INDEX('CURVA PREVISION'!$A$1:$KZ$3000,$C6,10+3*MIN(BR$3,$D$2-1)))))</f>
        <v/>
      </c>
      <c r="BS6" s="123">
        <f>IF(OR($C6="",$B$2="",$D$2=0),0,IF(BS$3&lt;0,0,N(INDEX('CURVA PREVISION'!$A$1:$KZ$3000,$C6,10+3*MIN(BS$3,$D$2-1)))))</f>
        <v/>
      </c>
      <c r="BT6" s="123">
        <f>IF(OR($C6="",$B$2="",$D$2=0),0,IF(BT$3&lt;0,0,N(INDEX('CURVA PREVISION'!$A$1:$KZ$3000,$C6,10+3*MIN(BT$3,$D$2-1)))))</f>
        <v/>
      </c>
      <c r="BU6" s="123">
        <f>IF(OR($C6="",$B$2="",$D$2=0),0,IF(BU$3&lt;0,0,N(INDEX('CURVA PREVISION'!$A$1:$KZ$3000,$C6,10+3*MIN(BU$3,$D$2-1)))))</f>
        <v/>
      </c>
      <c r="BV6" s="123">
        <f>IF(OR($C6="",$B$2="",$D$2=0),0,IF(BV$3&lt;0,0,N(INDEX('CURVA PREVISION'!$A$1:$KZ$3000,$C6,10+3*MIN(BV$3,$D$2-1)))))</f>
        <v/>
      </c>
      <c r="BW6" s="123">
        <f>IF(OR($C6="",$B$2="",$D$2=0),0,IF(BW$3&lt;0,0,N(INDEX('CURVA PREVISION'!$A$1:$KZ$3000,$C6,10+3*MIN(BW$3,$D$2-1)))))</f>
        <v/>
      </c>
    </row>
    <row r="7">
      <c r="A7" s="61">
        <f>IF('VALOR POR PL'!R13&lt;&gt;"",'VALOR POR PL'!R13,IF('VALOR POR PL'!Q13="",'VALOR POR PL'!C13,'VALOR POR PL'!Q13))</f>
        <v/>
      </c>
      <c r="B7" s="61">
        <f>'VALOR POR PL'!D13</f>
        <v/>
      </c>
      <c r="C7" s="70">
        <f>IFERROR(MATCH(A7,'CURVA PREVISION'!$B$1:$B$3000,0),"")</f>
        <v/>
      </c>
      <c r="D7" s="123">
        <f>IF(OR($C7="",$B$2="",$D$2=0),0,IF(D$3&lt;0,0,N(INDEX('CURVA PREVISION'!$A$1:$KZ$3000,$C7,10+3*MIN(D$3,$D$2-1)))))</f>
        <v/>
      </c>
      <c r="E7" s="123">
        <f>IF(OR($C7="",$B$2="",$D$2=0),0,IF(E$3&lt;0,0,N(INDEX('CURVA PREVISION'!$A$1:$KZ$3000,$C7,10+3*MIN(E$3,$D$2-1)))))</f>
        <v/>
      </c>
      <c r="F7" s="123">
        <f>IF(OR($C7="",$B$2="",$D$2=0),0,IF(F$3&lt;0,0,N(INDEX('CURVA PREVISION'!$A$1:$KZ$3000,$C7,10+3*MIN(F$3,$D$2-1)))))</f>
        <v/>
      </c>
      <c r="G7" s="123">
        <f>IF(OR($C7="",$B$2="",$D$2=0),0,IF(G$3&lt;0,0,N(INDEX('CURVA PREVISION'!$A$1:$KZ$3000,$C7,10+3*MIN(G$3,$D$2-1)))))</f>
        <v/>
      </c>
      <c r="H7" s="123">
        <f>IF(OR($C7="",$B$2="",$D$2=0),0,IF(H$3&lt;0,0,N(INDEX('CURVA PREVISION'!$A$1:$KZ$3000,$C7,10+3*MIN(H$3,$D$2-1)))))</f>
        <v/>
      </c>
      <c r="I7" s="123">
        <f>IF(OR($C7="",$B$2="",$D$2=0),0,IF(I$3&lt;0,0,N(INDEX('CURVA PREVISION'!$A$1:$KZ$3000,$C7,10+3*MIN(I$3,$D$2-1)))))</f>
        <v/>
      </c>
      <c r="J7" s="123">
        <f>IF(OR($C7="",$B$2="",$D$2=0),0,IF(J$3&lt;0,0,N(INDEX('CURVA PREVISION'!$A$1:$KZ$3000,$C7,10+3*MIN(J$3,$D$2-1)))))</f>
        <v/>
      </c>
      <c r="K7" s="123">
        <f>IF(OR($C7="",$B$2="",$D$2=0),0,IF(K$3&lt;0,0,N(INDEX('CURVA PREVISION'!$A$1:$KZ$3000,$C7,10+3*MIN(K$3,$D$2-1)))))</f>
        <v/>
      </c>
      <c r="L7" s="123">
        <f>IF(OR($C7="",$B$2="",$D$2=0),0,IF(L$3&lt;0,0,N(INDEX('CURVA PREVISION'!$A$1:$KZ$3000,$C7,10+3*MIN(L$3,$D$2-1)))))</f>
        <v/>
      </c>
      <c r="M7" s="123">
        <f>IF(OR($C7="",$B$2="",$D$2=0),0,IF(M$3&lt;0,0,N(INDEX('CURVA PREVISION'!$A$1:$KZ$3000,$C7,10+3*MIN(M$3,$D$2-1)))))</f>
        <v/>
      </c>
      <c r="N7" s="123">
        <f>IF(OR($C7="",$B$2="",$D$2=0),0,IF(N$3&lt;0,0,N(INDEX('CURVA PREVISION'!$A$1:$KZ$3000,$C7,10+3*MIN(N$3,$D$2-1)))))</f>
        <v/>
      </c>
      <c r="O7" s="123">
        <f>IF(OR($C7="",$B$2="",$D$2=0),0,IF(O$3&lt;0,0,N(INDEX('CURVA PREVISION'!$A$1:$KZ$3000,$C7,10+3*MIN(O$3,$D$2-1)))))</f>
        <v/>
      </c>
      <c r="P7" s="123">
        <f>IF(OR($C7="",$B$2="",$D$2=0),0,IF(P$3&lt;0,0,N(INDEX('CURVA PREVISION'!$A$1:$KZ$3000,$C7,10+3*MIN(P$3,$D$2-1)))))</f>
        <v/>
      </c>
      <c r="Q7" s="123">
        <f>IF(OR($C7="",$B$2="",$D$2=0),0,IF(Q$3&lt;0,0,N(INDEX('CURVA PREVISION'!$A$1:$KZ$3000,$C7,10+3*MIN(Q$3,$D$2-1)))))</f>
        <v/>
      </c>
      <c r="R7" s="123">
        <f>IF(OR($C7="",$B$2="",$D$2=0),0,IF(R$3&lt;0,0,N(INDEX('CURVA PREVISION'!$A$1:$KZ$3000,$C7,10+3*MIN(R$3,$D$2-1)))))</f>
        <v/>
      </c>
      <c r="S7" s="123">
        <f>IF(OR($C7="",$B$2="",$D$2=0),0,IF(S$3&lt;0,0,N(INDEX('CURVA PREVISION'!$A$1:$KZ$3000,$C7,10+3*MIN(S$3,$D$2-1)))))</f>
        <v/>
      </c>
      <c r="T7" s="123">
        <f>IF(OR($C7="",$B$2="",$D$2=0),0,IF(T$3&lt;0,0,N(INDEX('CURVA PREVISION'!$A$1:$KZ$3000,$C7,10+3*MIN(T$3,$D$2-1)))))</f>
        <v/>
      </c>
      <c r="U7" s="123">
        <f>IF(OR($C7="",$B$2="",$D$2=0),0,IF(U$3&lt;0,0,N(INDEX('CURVA PREVISION'!$A$1:$KZ$3000,$C7,10+3*MIN(U$3,$D$2-1)))))</f>
        <v/>
      </c>
      <c r="V7" s="123">
        <f>IF(OR($C7="",$B$2="",$D$2=0),0,IF(V$3&lt;0,0,N(INDEX('CURVA PREVISION'!$A$1:$KZ$3000,$C7,10+3*MIN(V$3,$D$2-1)))))</f>
        <v/>
      </c>
      <c r="W7" s="123">
        <f>IF(OR($C7="",$B$2="",$D$2=0),0,IF(W$3&lt;0,0,N(INDEX('CURVA PREVISION'!$A$1:$KZ$3000,$C7,10+3*MIN(W$3,$D$2-1)))))</f>
        <v/>
      </c>
      <c r="X7" s="123">
        <f>IF(OR($C7="",$B$2="",$D$2=0),0,IF(X$3&lt;0,0,N(INDEX('CURVA PREVISION'!$A$1:$KZ$3000,$C7,10+3*MIN(X$3,$D$2-1)))))</f>
        <v/>
      </c>
      <c r="Y7" s="123">
        <f>IF(OR($C7="",$B$2="",$D$2=0),0,IF(Y$3&lt;0,0,N(INDEX('CURVA PREVISION'!$A$1:$KZ$3000,$C7,10+3*MIN(Y$3,$D$2-1)))))</f>
        <v/>
      </c>
      <c r="Z7" s="123">
        <f>IF(OR($C7="",$B$2="",$D$2=0),0,IF(Z$3&lt;0,0,N(INDEX('CURVA PREVISION'!$A$1:$KZ$3000,$C7,10+3*MIN(Z$3,$D$2-1)))))</f>
        <v/>
      </c>
      <c r="AA7" s="123">
        <f>IF(OR($C7="",$B$2="",$D$2=0),0,IF(AA$3&lt;0,0,N(INDEX('CURVA PREVISION'!$A$1:$KZ$3000,$C7,10+3*MIN(AA$3,$D$2-1)))))</f>
        <v/>
      </c>
      <c r="AB7" s="123">
        <f>IF(OR($C7="",$B$2="",$D$2=0),0,IF(AB$3&lt;0,0,N(INDEX('CURVA PREVISION'!$A$1:$KZ$3000,$C7,10+3*MIN(AB$3,$D$2-1)))))</f>
        <v/>
      </c>
      <c r="AC7" s="123">
        <f>IF(OR($C7="",$B$2="",$D$2=0),0,IF(AC$3&lt;0,0,N(INDEX('CURVA PREVISION'!$A$1:$KZ$3000,$C7,10+3*MIN(AC$3,$D$2-1)))))</f>
        <v/>
      </c>
      <c r="AD7" s="123">
        <f>IF(OR($C7="",$B$2="",$D$2=0),0,IF(AD$3&lt;0,0,N(INDEX('CURVA PREVISION'!$A$1:$KZ$3000,$C7,10+3*MIN(AD$3,$D$2-1)))))</f>
        <v/>
      </c>
      <c r="AE7" s="123">
        <f>IF(OR($C7="",$B$2="",$D$2=0),0,IF(AE$3&lt;0,0,N(INDEX('CURVA PREVISION'!$A$1:$KZ$3000,$C7,10+3*MIN(AE$3,$D$2-1)))))</f>
        <v/>
      </c>
      <c r="AF7" s="123">
        <f>IF(OR($C7="",$B$2="",$D$2=0),0,IF(AF$3&lt;0,0,N(INDEX('CURVA PREVISION'!$A$1:$KZ$3000,$C7,10+3*MIN(AF$3,$D$2-1)))))</f>
        <v/>
      </c>
      <c r="AG7" s="123">
        <f>IF(OR($C7="",$B$2="",$D$2=0),0,IF(AG$3&lt;0,0,N(INDEX('CURVA PREVISION'!$A$1:$KZ$3000,$C7,10+3*MIN(AG$3,$D$2-1)))))</f>
        <v/>
      </c>
      <c r="AH7" s="123">
        <f>IF(OR($C7="",$B$2="",$D$2=0),0,IF(AH$3&lt;0,0,N(INDEX('CURVA PREVISION'!$A$1:$KZ$3000,$C7,10+3*MIN(AH$3,$D$2-1)))))</f>
        <v/>
      </c>
      <c r="AI7" s="123">
        <f>IF(OR($C7="",$B$2="",$D$2=0),0,IF(AI$3&lt;0,0,N(INDEX('CURVA PREVISION'!$A$1:$KZ$3000,$C7,10+3*MIN(AI$3,$D$2-1)))))</f>
        <v/>
      </c>
      <c r="AJ7" s="123">
        <f>IF(OR($C7="",$B$2="",$D$2=0),0,IF(AJ$3&lt;0,0,N(INDEX('CURVA PREVISION'!$A$1:$KZ$3000,$C7,10+3*MIN(AJ$3,$D$2-1)))))</f>
        <v/>
      </c>
      <c r="AK7" s="123">
        <f>IF(OR($C7="",$B$2="",$D$2=0),0,IF(AK$3&lt;0,0,N(INDEX('CURVA PREVISION'!$A$1:$KZ$3000,$C7,10+3*MIN(AK$3,$D$2-1)))))</f>
        <v/>
      </c>
      <c r="AL7" s="123">
        <f>IF(OR($C7="",$B$2="",$D$2=0),0,IF(AL$3&lt;0,0,N(INDEX('CURVA PREVISION'!$A$1:$KZ$3000,$C7,10+3*MIN(AL$3,$D$2-1)))))</f>
        <v/>
      </c>
      <c r="AM7" s="123">
        <f>IF(OR($C7="",$B$2="",$D$2=0),0,IF(AM$3&lt;0,0,N(INDEX('CURVA PREVISION'!$A$1:$KZ$3000,$C7,10+3*MIN(AM$3,$D$2-1)))))</f>
        <v/>
      </c>
      <c r="AN7" s="123">
        <f>IF(OR($C7="",$B$2="",$D$2=0),0,IF(AN$3&lt;0,0,N(INDEX('CURVA PREVISION'!$A$1:$KZ$3000,$C7,10+3*MIN(AN$3,$D$2-1)))))</f>
        <v/>
      </c>
      <c r="AO7" s="123">
        <f>IF(OR($C7="",$B$2="",$D$2=0),0,IF(AO$3&lt;0,0,N(INDEX('CURVA PREVISION'!$A$1:$KZ$3000,$C7,10+3*MIN(AO$3,$D$2-1)))))</f>
        <v/>
      </c>
      <c r="AP7" s="123">
        <f>IF(OR($C7="",$B$2="",$D$2=0),0,IF(AP$3&lt;0,0,N(INDEX('CURVA PREVISION'!$A$1:$KZ$3000,$C7,10+3*MIN(AP$3,$D$2-1)))))</f>
        <v/>
      </c>
      <c r="AQ7" s="123">
        <f>IF(OR($C7="",$B$2="",$D$2=0),0,IF(AQ$3&lt;0,0,N(INDEX('CURVA PREVISION'!$A$1:$KZ$3000,$C7,10+3*MIN(AQ$3,$D$2-1)))))</f>
        <v/>
      </c>
      <c r="AR7" s="123">
        <f>IF(OR($C7="",$B$2="",$D$2=0),0,IF(AR$3&lt;0,0,N(INDEX('CURVA PREVISION'!$A$1:$KZ$3000,$C7,10+3*MIN(AR$3,$D$2-1)))))</f>
        <v/>
      </c>
      <c r="AS7" s="123">
        <f>IF(OR($C7="",$B$2="",$D$2=0),0,IF(AS$3&lt;0,0,N(INDEX('CURVA PREVISION'!$A$1:$KZ$3000,$C7,10+3*MIN(AS$3,$D$2-1)))))</f>
        <v/>
      </c>
      <c r="AT7" s="123">
        <f>IF(OR($C7="",$B$2="",$D$2=0),0,IF(AT$3&lt;0,0,N(INDEX('CURVA PREVISION'!$A$1:$KZ$3000,$C7,10+3*MIN(AT$3,$D$2-1)))))</f>
        <v/>
      </c>
      <c r="AU7" s="123">
        <f>IF(OR($C7="",$B$2="",$D$2=0),0,IF(AU$3&lt;0,0,N(INDEX('CURVA PREVISION'!$A$1:$KZ$3000,$C7,10+3*MIN(AU$3,$D$2-1)))))</f>
        <v/>
      </c>
      <c r="AV7" s="123">
        <f>IF(OR($C7="",$B$2="",$D$2=0),0,IF(AV$3&lt;0,0,N(INDEX('CURVA PREVISION'!$A$1:$KZ$3000,$C7,10+3*MIN(AV$3,$D$2-1)))))</f>
        <v/>
      </c>
      <c r="AW7" s="123">
        <f>IF(OR($C7="",$B$2="",$D$2=0),0,IF(AW$3&lt;0,0,N(INDEX('CURVA PREVISION'!$A$1:$KZ$3000,$C7,10+3*MIN(AW$3,$D$2-1)))))</f>
        <v/>
      </c>
      <c r="AX7" s="123">
        <f>IF(OR($C7="",$B$2="",$D$2=0),0,IF(AX$3&lt;0,0,N(INDEX('CURVA PREVISION'!$A$1:$KZ$3000,$C7,10+3*MIN(AX$3,$D$2-1)))))</f>
        <v/>
      </c>
      <c r="AY7" s="123">
        <f>IF(OR($C7="",$B$2="",$D$2=0),0,IF(AY$3&lt;0,0,N(INDEX('CURVA PREVISION'!$A$1:$KZ$3000,$C7,10+3*MIN(AY$3,$D$2-1)))))</f>
        <v/>
      </c>
      <c r="AZ7" s="123">
        <f>IF(OR($C7="",$B$2="",$D$2=0),0,IF(AZ$3&lt;0,0,N(INDEX('CURVA PREVISION'!$A$1:$KZ$3000,$C7,10+3*MIN(AZ$3,$D$2-1)))))</f>
        <v/>
      </c>
      <c r="BA7" s="123">
        <f>IF(OR($C7="",$B$2="",$D$2=0),0,IF(BA$3&lt;0,0,N(INDEX('CURVA PREVISION'!$A$1:$KZ$3000,$C7,10+3*MIN(BA$3,$D$2-1)))))</f>
        <v/>
      </c>
      <c r="BB7" s="123">
        <f>IF(OR($C7="",$B$2="",$D$2=0),0,IF(BB$3&lt;0,0,N(INDEX('CURVA PREVISION'!$A$1:$KZ$3000,$C7,10+3*MIN(BB$3,$D$2-1)))))</f>
        <v/>
      </c>
      <c r="BC7" s="123">
        <f>IF(OR($C7="",$B$2="",$D$2=0),0,IF(BC$3&lt;0,0,N(INDEX('CURVA PREVISION'!$A$1:$KZ$3000,$C7,10+3*MIN(BC$3,$D$2-1)))))</f>
        <v/>
      </c>
      <c r="BD7" s="123">
        <f>IF(OR($C7="",$B$2="",$D$2=0),0,IF(BD$3&lt;0,0,N(INDEX('CURVA PREVISION'!$A$1:$KZ$3000,$C7,10+3*MIN(BD$3,$D$2-1)))))</f>
        <v/>
      </c>
      <c r="BE7" s="123">
        <f>IF(OR($C7="",$B$2="",$D$2=0),0,IF(BE$3&lt;0,0,N(INDEX('CURVA PREVISION'!$A$1:$KZ$3000,$C7,10+3*MIN(BE$3,$D$2-1)))))</f>
        <v/>
      </c>
      <c r="BF7" s="123">
        <f>IF(OR($C7="",$B$2="",$D$2=0),0,IF(BF$3&lt;0,0,N(INDEX('CURVA PREVISION'!$A$1:$KZ$3000,$C7,10+3*MIN(BF$3,$D$2-1)))))</f>
        <v/>
      </c>
      <c r="BG7" s="123">
        <f>IF(OR($C7="",$B$2="",$D$2=0),0,IF(BG$3&lt;0,0,N(INDEX('CURVA PREVISION'!$A$1:$KZ$3000,$C7,10+3*MIN(BG$3,$D$2-1)))))</f>
        <v/>
      </c>
      <c r="BH7" s="123">
        <f>IF(OR($C7="",$B$2="",$D$2=0),0,IF(BH$3&lt;0,0,N(INDEX('CURVA PREVISION'!$A$1:$KZ$3000,$C7,10+3*MIN(BH$3,$D$2-1)))))</f>
        <v/>
      </c>
      <c r="BI7" s="123">
        <f>IF(OR($C7="",$B$2="",$D$2=0),0,IF(BI$3&lt;0,0,N(INDEX('CURVA PREVISION'!$A$1:$KZ$3000,$C7,10+3*MIN(BI$3,$D$2-1)))))</f>
        <v/>
      </c>
      <c r="BJ7" s="123">
        <f>IF(OR($C7="",$B$2="",$D$2=0),0,IF(BJ$3&lt;0,0,N(INDEX('CURVA PREVISION'!$A$1:$KZ$3000,$C7,10+3*MIN(BJ$3,$D$2-1)))))</f>
        <v/>
      </c>
      <c r="BK7" s="123">
        <f>IF(OR($C7="",$B$2="",$D$2=0),0,IF(BK$3&lt;0,0,N(INDEX('CURVA PREVISION'!$A$1:$KZ$3000,$C7,10+3*MIN(BK$3,$D$2-1)))))</f>
        <v/>
      </c>
      <c r="BL7" s="123">
        <f>IF(OR($C7="",$B$2="",$D$2=0),0,IF(BL$3&lt;0,0,N(INDEX('CURVA PREVISION'!$A$1:$KZ$3000,$C7,10+3*MIN(BL$3,$D$2-1)))))</f>
        <v/>
      </c>
      <c r="BM7" s="123">
        <f>IF(OR($C7="",$B$2="",$D$2=0),0,IF(BM$3&lt;0,0,N(INDEX('CURVA PREVISION'!$A$1:$KZ$3000,$C7,10+3*MIN(BM$3,$D$2-1)))))</f>
        <v/>
      </c>
      <c r="BN7" s="123">
        <f>IF(OR($C7="",$B$2="",$D$2=0),0,IF(BN$3&lt;0,0,N(INDEX('CURVA PREVISION'!$A$1:$KZ$3000,$C7,10+3*MIN(BN$3,$D$2-1)))))</f>
        <v/>
      </c>
      <c r="BO7" s="123">
        <f>IF(OR($C7="",$B$2="",$D$2=0),0,IF(BO$3&lt;0,0,N(INDEX('CURVA PREVISION'!$A$1:$KZ$3000,$C7,10+3*MIN(BO$3,$D$2-1)))))</f>
        <v/>
      </c>
      <c r="BP7" s="123">
        <f>IF(OR($C7="",$B$2="",$D$2=0),0,IF(BP$3&lt;0,0,N(INDEX('CURVA PREVISION'!$A$1:$KZ$3000,$C7,10+3*MIN(BP$3,$D$2-1)))))</f>
        <v/>
      </c>
      <c r="BQ7" s="123">
        <f>IF(OR($C7="",$B$2="",$D$2=0),0,IF(BQ$3&lt;0,0,N(INDEX('CURVA PREVISION'!$A$1:$KZ$3000,$C7,10+3*MIN(BQ$3,$D$2-1)))))</f>
        <v/>
      </c>
      <c r="BR7" s="123">
        <f>IF(OR($C7="",$B$2="",$D$2=0),0,IF(BR$3&lt;0,0,N(INDEX('CURVA PREVISION'!$A$1:$KZ$3000,$C7,10+3*MIN(BR$3,$D$2-1)))))</f>
        <v/>
      </c>
      <c r="BS7" s="123">
        <f>IF(OR($C7="",$B$2="",$D$2=0),0,IF(BS$3&lt;0,0,N(INDEX('CURVA PREVISION'!$A$1:$KZ$3000,$C7,10+3*MIN(BS$3,$D$2-1)))))</f>
        <v/>
      </c>
      <c r="BT7" s="123">
        <f>IF(OR($C7="",$B$2="",$D$2=0),0,IF(BT$3&lt;0,0,N(INDEX('CURVA PREVISION'!$A$1:$KZ$3000,$C7,10+3*MIN(BT$3,$D$2-1)))))</f>
        <v/>
      </c>
      <c r="BU7" s="123">
        <f>IF(OR($C7="",$B$2="",$D$2=0),0,IF(BU$3&lt;0,0,N(INDEX('CURVA PREVISION'!$A$1:$KZ$3000,$C7,10+3*MIN(BU$3,$D$2-1)))))</f>
        <v/>
      </c>
      <c r="BV7" s="123">
        <f>IF(OR($C7="",$B$2="",$D$2=0),0,IF(BV$3&lt;0,0,N(INDEX('CURVA PREVISION'!$A$1:$KZ$3000,$C7,10+3*MIN(BV$3,$D$2-1)))))</f>
        <v/>
      </c>
      <c r="BW7" s="123">
        <f>IF(OR($C7="",$B$2="",$D$2=0),0,IF(BW$3&lt;0,0,N(INDEX('CURVA PREVISION'!$A$1:$KZ$3000,$C7,10+3*MIN(BW$3,$D$2-1)))))</f>
        <v/>
      </c>
    </row>
    <row r="8">
      <c r="A8" s="61">
        <f>IF('VALOR POR PL'!R14&lt;&gt;"",'VALOR POR PL'!R14,IF('VALOR POR PL'!Q14="",'VALOR POR PL'!C14,'VALOR POR PL'!Q14))</f>
        <v/>
      </c>
      <c r="B8" s="61">
        <f>'VALOR POR PL'!D14</f>
        <v/>
      </c>
      <c r="C8" s="70">
        <f>IFERROR(MATCH(A8,'CURVA PREVISION'!$B$1:$B$3000,0),"")</f>
        <v/>
      </c>
      <c r="D8" s="123">
        <f>IF(OR($C8="",$B$2="",$D$2=0),0,IF(D$3&lt;0,0,N(INDEX('CURVA PREVISION'!$A$1:$KZ$3000,$C8,10+3*MIN(D$3,$D$2-1)))))</f>
        <v/>
      </c>
      <c r="E8" s="123">
        <f>IF(OR($C8="",$B$2="",$D$2=0),0,IF(E$3&lt;0,0,N(INDEX('CURVA PREVISION'!$A$1:$KZ$3000,$C8,10+3*MIN(E$3,$D$2-1)))))</f>
        <v/>
      </c>
      <c r="F8" s="123">
        <f>IF(OR($C8="",$B$2="",$D$2=0),0,IF(F$3&lt;0,0,N(INDEX('CURVA PREVISION'!$A$1:$KZ$3000,$C8,10+3*MIN(F$3,$D$2-1)))))</f>
        <v/>
      </c>
      <c r="G8" s="123">
        <f>IF(OR($C8="",$B$2="",$D$2=0),0,IF(G$3&lt;0,0,N(INDEX('CURVA PREVISION'!$A$1:$KZ$3000,$C8,10+3*MIN(G$3,$D$2-1)))))</f>
        <v/>
      </c>
      <c r="H8" s="123">
        <f>IF(OR($C8="",$B$2="",$D$2=0),0,IF(H$3&lt;0,0,N(INDEX('CURVA PREVISION'!$A$1:$KZ$3000,$C8,10+3*MIN(H$3,$D$2-1)))))</f>
        <v/>
      </c>
      <c r="I8" s="123">
        <f>IF(OR($C8="",$B$2="",$D$2=0),0,IF(I$3&lt;0,0,N(INDEX('CURVA PREVISION'!$A$1:$KZ$3000,$C8,10+3*MIN(I$3,$D$2-1)))))</f>
        <v/>
      </c>
      <c r="J8" s="123">
        <f>IF(OR($C8="",$B$2="",$D$2=0),0,IF(J$3&lt;0,0,N(INDEX('CURVA PREVISION'!$A$1:$KZ$3000,$C8,10+3*MIN(J$3,$D$2-1)))))</f>
        <v/>
      </c>
      <c r="K8" s="123">
        <f>IF(OR($C8="",$B$2="",$D$2=0),0,IF(K$3&lt;0,0,N(INDEX('CURVA PREVISION'!$A$1:$KZ$3000,$C8,10+3*MIN(K$3,$D$2-1)))))</f>
        <v/>
      </c>
      <c r="L8" s="123">
        <f>IF(OR($C8="",$B$2="",$D$2=0),0,IF(L$3&lt;0,0,N(INDEX('CURVA PREVISION'!$A$1:$KZ$3000,$C8,10+3*MIN(L$3,$D$2-1)))))</f>
        <v/>
      </c>
      <c r="M8" s="123">
        <f>IF(OR($C8="",$B$2="",$D$2=0),0,IF(M$3&lt;0,0,N(INDEX('CURVA PREVISION'!$A$1:$KZ$3000,$C8,10+3*MIN(M$3,$D$2-1)))))</f>
        <v/>
      </c>
      <c r="N8" s="123">
        <f>IF(OR($C8="",$B$2="",$D$2=0),0,IF(N$3&lt;0,0,N(INDEX('CURVA PREVISION'!$A$1:$KZ$3000,$C8,10+3*MIN(N$3,$D$2-1)))))</f>
        <v/>
      </c>
      <c r="O8" s="123">
        <f>IF(OR($C8="",$B$2="",$D$2=0),0,IF(O$3&lt;0,0,N(INDEX('CURVA PREVISION'!$A$1:$KZ$3000,$C8,10+3*MIN(O$3,$D$2-1)))))</f>
        <v/>
      </c>
      <c r="P8" s="123">
        <f>IF(OR($C8="",$B$2="",$D$2=0),0,IF(P$3&lt;0,0,N(INDEX('CURVA PREVISION'!$A$1:$KZ$3000,$C8,10+3*MIN(P$3,$D$2-1)))))</f>
        <v/>
      </c>
      <c r="Q8" s="123">
        <f>IF(OR($C8="",$B$2="",$D$2=0),0,IF(Q$3&lt;0,0,N(INDEX('CURVA PREVISION'!$A$1:$KZ$3000,$C8,10+3*MIN(Q$3,$D$2-1)))))</f>
        <v/>
      </c>
      <c r="R8" s="123">
        <f>IF(OR($C8="",$B$2="",$D$2=0),0,IF(R$3&lt;0,0,N(INDEX('CURVA PREVISION'!$A$1:$KZ$3000,$C8,10+3*MIN(R$3,$D$2-1)))))</f>
        <v/>
      </c>
      <c r="S8" s="123">
        <f>IF(OR($C8="",$B$2="",$D$2=0),0,IF(S$3&lt;0,0,N(INDEX('CURVA PREVISION'!$A$1:$KZ$3000,$C8,10+3*MIN(S$3,$D$2-1)))))</f>
        <v/>
      </c>
      <c r="T8" s="123">
        <f>IF(OR($C8="",$B$2="",$D$2=0),0,IF(T$3&lt;0,0,N(INDEX('CURVA PREVISION'!$A$1:$KZ$3000,$C8,10+3*MIN(T$3,$D$2-1)))))</f>
        <v/>
      </c>
      <c r="U8" s="123">
        <f>IF(OR($C8="",$B$2="",$D$2=0),0,IF(U$3&lt;0,0,N(INDEX('CURVA PREVISION'!$A$1:$KZ$3000,$C8,10+3*MIN(U$3,$D$2-1)))))</f>
        <v/>
      </c>
      <c r="V8" s="123">
        <f>IF(OR($C8="",$B$2="",$D$2=0),0,IF(V$3&lt;0,0,N(INDEX('CURVA PREVISION'!$A$1:$KZ$3000,$C8,10+3*MIN(V$3,$D$2-1)))))</f>
        <v/>
      </c>
      <c r="W8" s="123">
        <f>IF(OR($C8="",$B$2="",$D$2=0),0,IF(W$3&lt;0,0,N(INDEX('CURVA PREVISION'!$A$1:$KZ$3000,$C8,10+3*MIN(W$3,$D$2-1)))))</f>
        <v/>
      </c>
      <c r="X8" s="123">
        <f>IF(OR($C8="",$B$2="",$D$2=0),0,IF(X$3&lt;0,0,N(INDEX('CURVA PREVISION'!$A$1:$KZ$3000,$C8,10+3*MIN(X$3,$D$2-1)))))</f>
        <v/>
      </c>
      <c r="Y8" s="123">
        <f>IF(OR($C8="",$B$2="",$D$2=0),0,IF(Y$3&lt;0,0,N(INDEX('CURVA PREVISION'!$A$1:$KZ$3000,$C8,10+3*MIN(Y$3,$D$2-1)))))</f>
        <v/>
      </c>
      <c r="Z8" s="123">
        <f>IF(OR($C8="",$B$2="",$D$2=0),0,IF(Z$3&lt;0,0,N(INDEX('CURVA PREVISION'!$A$1:$KZ$3000,$C8,10+3*MIN(Z$3,$D$2-1)))))</f>
        <v/>
      </c>
      <c r="AA8" s="123">
        <f>IF(OR($C8="",$B$2="",$D$2=0),0,IF(AA$3&lt;0,0,N(INDEX('CURVA PREVISION'!$A$1:$KZ$3000,$C8,10+3*MIN(AA$3,$D$2-1)))))</f>
        <v/>
      </c>
      <c r="AB8" s="123">
        <f>IF(OR($C8="",$B$2="",$D$2=0),0,IF(AB$3&lt;0,0,N(INDEX('CURVA PREVISION'!$A$1:$KZ$3000,$C8,10+3*MIN(AB$3,$D$2-1)))))</f>
        <v/>
      </c>
      <c r="AC8" s="123">
        <f>IF(OR($C8="",$B$2="",$D$2=0),0,IF(AC$3&lt;0,0,N(INDEX('CURVA PREVISION'!$A$1:$KZ$3000,$C8,10+3*MIN(AC$3,$D$2-1)))))</f>
        <v/>
      </c>
      <c r="AD8" s="123">
        <f>IF(OR($C8="",$B$2="",$D$2=0),0,IF(AD$3&lt;0,0,N(INDEX('CURVA PREVISION'!$A$1:$KZ$3000,$C8,10+3*MIN(AD$3,$D$2-1)))))</f>
        <v/>
      </c>
      <c r="AE8" s="123">
        <f>IF(OR($C8="",$B$2="",$D$2=0),0,IF(AE$3&lt;0,0,N(INDEX('CURVA PREVISION'!$A$1:$KZ$3000,$C8,10+3*MIN(AE$3,$D$2-1)))))</f>
        <v/>
      </c>
      <c r="AF8" s="123">
        <f>IF(OR($C8="",$B$2="",$D$2=0),0,IF(AF$3&lt;0,0,N(INDEX('CURVA PREVISION'!$A$1:$KZ$3000,$C8,10+3*MIN(AF$3,$D$2-1)))))</f>
        <v/>
      </c>
      <c r="AG8" s="123">
        <f>IF(OR($C8="",$B$2="",$D$2=0),0,IF(AG$3&lt;0,0,N(INDEX('CURVA PREVISION'!$A$1:$KZ$3000,$C8,10+3*MIN(AG$3,$D$2-1)))))</f>
        <v/>
      </c>
      <c r="AH8" s="123">
        <f>IF(OR($C8="",$B$2="",$D$2=0),0,IF(AH$3&lt;0,0,N(INDEX('CURVA PREVISION'!$A$1:$KZ$3000,$C8,10+3*MIN(AH$3,$D$2-1)))))</f>
        <v/>
      </c>
      <c r="AI8" s="123">
        <f>IF(OR($C8="",$B$2="",$D$2=0),0,IF(AI$3&lt;0,0,N(INDEX('CURVA PREVISION'!$A$1:$KZ$3000,$C8,10+3*MIN(AI$3,$D$2-1)))))</f>
        <v/>
      </c>
      <c r="AJ8" s="123">
        <f>IF(OR($C8="",$B$2="",$D$2=0),0,IF(AJ$3&lt;0,0,N(INDEX('CURVA PREVISION'!$A$1:$KZ$3000,$C8,10+3*MIN(AJ$3,$D$2-1)))))</f>
        <v/>
      </c>
      <c r="AK8" s="123">
        <f>IF(OR($C8="",$B$2="",$D$2=0),0,IF(AK$3&lt;0,0,N(INDEX('CURVA PREVISION'!$A$1:$KZ$3000,$C8,10+3*MIN(AK$3,$D$2-1)))))</f>
        <v/>
      </c>
      <c r="AL8" s="123">
        <f>IF(OR($C8="",$B$2="",$D$2=0),0,IF(AL$3&lt;0,0,N(INDEX('CURVA PREVISION'!$A$1:$KZ$3000,$C8,10+3*MIN(AL$3,$D$2-1)))))</f>
        <v/>
      </c>
      <c r="AM8" s="123">
        <f>IF(OR($C8="",$B$2="",$D$2=0),0,IF(AM$3&lt;0,0,N(INDEX('CURVA PREVISION'!$A$1:$KZ$3000,$C8,10+3*MIN(AM$3,$D$2-1)))))</f>
        <v/>
      </c>
      <c r="AN8" s="123">
        <f>IF(OR($C8="",$B$2="",$D$2=0),0,IF(AN$3&lt;0,0,N(INDEX('CURVA PREVISION'!$A$1:$KZ$3000,$C8,10+3*MIN(AN$3,$D$2-1)))))</f>
        <v/>
      </c>
      <c r="AO8" s="123">
        <f>IF(OR($C8="",$B$2="",$D$2=0),0,IF(AO$3&lt;0,0,N(INDEX('CURVA PREVISION'!$A$1:$KZ$3000,$C8,10+3*MIN(AO$3,$D$2-1)))))</f>
        <v/>
      </c>
      <c r="AP8" s="123">
        <f>IF(OR($C8="",$B$2="",$D$2=0),0,IF(AP$3&lt;0,0,N(INDEX('CURVA PREVISION'!$A$1:$KZ$3000,$C8,10+3*MIN(AP$3,$D$2-1)))))</f>
        <v/>
      </c>
      <c r="AQ8" s="123">
        <f>IF(OR($C8="",$B$2="",$D$2=0),0,IF(AQ$3&lt;0,0,N(INDEX('CURVA PREVISION'!$A$1:$KZ$3000,$C8,10+3*MIN(AQ$3,$D$2-1)))))</f>
        <v/>
      </c>
      <c r="AR8" s="123">
        <f>IF(OR($C8="",$B$2="",$D$2=0),0,IF(AR$3&lt;0,0,N(INDEX('CURVA PREVISION'!$A$1:$KZ$3000,$C8,10+3*MIN(AR$3,$D$2-1)))))</f>
        <v/>
      </c>
      <c r="AS8" s="123">
        <f>IF(OR($C8="",$B$2="",$D$2=0),0,IF(AS$3&lt;0,0,N(INDEX('CURVA PREVISION'!$A$1:$KZ$3000,$C8,10+3*MIN(AS$3,$D$2-1)))))</f>
        <v/>
      </c>
      <c r="AT8" s="123">
        <f>IF(OR($C8="",$B$2="",$D$2=0),0,IF(AT$3&lt;0,0,N(INDEX('CURVA PREVISION'!$A$1:$KZ$3000,$C8,10+3*MIN(AT$3,$D$2-1)))))</f>
        <v/>
      </c>
      <c r="AU8" s="123">
        <f>IF(OR($C8="",$B$2="",$D$2=0),0,IF(AU$3&lt;0,0,N(INDEX('CURVA PREVISION'!$A$1:$KZ$3000,$C8,10+3*MIN(AU$3,$D$2-1)))))</f>
        <v/>
      </c>
      <c r="AV8" s="123">
        <f>IF(OR($C8="",$B$2="",$D$2=0),0,IF(AV$3&lt;0,0,N(INDEX('CURVA PREVISION'!$A$1:$KZ$3000,$C8,10+3*MIN(AV$3,$D$2-1)))))</f>
        <v/>
      </c>
      <c r="AW8" s="123">
        <f>IF(OR($C8="",$B$2="",$D$2=0),0,IF(AW$3&lt;0,0,N(INDEX('CURVA PREVISION'!$A$1:$KZ$3000,$C8,10+3*MIN(AW$3,$D$2-1)))))</f>
        <v/>
      </c>
      <c r="AX8" s="123">
        <f>IF(OR($C8="",$B$2="",$D$2=0),0,IF(AX$3&lt;0,0,N(INDEX('CURVA PREVISION'!$A$1:$KZ$3000,$C8,10+3*MIN(AX$3,$D$2-1)))))</f>
        <v/>
      </c>
      <c r="AY8" s="123">
        <f>IF(OR($C8="",$B$2="",$D$2=0),0,IF(AY$3&lt;0,0,N(INDEX('CURVA PREVISION'!$A$1:$KZ$3000,$C8,10+3*MIN(AY$3,$D$2-1)))))</f>
        <v/>
      </c>
      <c r="AZ8" s="123">
        <f>IF(OR($C8="",$B$2="",$D$2=0),0,IF(AZ$3&lt;0,0,N(INDEX('CURVA PREVISION'!$A$1:$KZ$3000,$C8,10+3*MIN(AZ$3,$D$2-1)))))</f>
        <v/>
      </c>
      <c r="BA8" s="123">
        <f>IF(OR($C8="",$B$2="",$D$2=0),0,IF(BA$3&lt;0,0,N(INDEX('CURVA PREVISION'!$A$1:$KZ$3000,$C8,10+3*MIN(BA$3,$D$2-1)))))</f>
        <v/>
      </c>
      <c r="BB8" s="123">
        <f>IF(OR($C8="",$B$2="",$D$2=0),0,IF(BB$3&lt;0,0,N(INDEX('CURVA PREVISION'!$A$1:$KZ$3000,$C8,10+3*MIN(BB$3,$D$2-1)))))</f>
        <v/>
      </c>
      <c r="BC8" s="123">
        <f>IF(OR($C8="",$B$2="",$D$2=0),0,IF(BC$3&lt;0,0,N(INDEX('CURVA PREVISION'!$A$1:$KZ$3000,$C8,10+3*MIN(BC$3,$D$2-1)))))</f>
        <v/>
      </c>
      <c r="BD8" s="123">
        <f>IF(OR($C8="",$B$2="",$D$2=0),0,IF(BD$3&lt;0,0,N(INDEX('CURVA PREVISION'!$A$1:$KZ$3000,$C8,10+3*MIN(BD$3,$D$2-1)))))</f>
        <v/>
      </c>
      <c r="BE8" s="123">
        <f>IF(OR($C8="",$B$2="",$D$2=0),0,IF(BE$3&lt;0,0,N(INDEX('CURVA PREVISION'!$A$1:$KZ$3000,$C8,10+3*MIN(BE$3,$D$2-1)))))</f>
        <v/>
      </c>
      <c r="BF8" s="123">
        <f>IF(OR($C8="",$B$2="",$D$2=0),0,IF(BF$3&lt;0,0,N(INDEX('CURVA PREVISION'!$A$1:$KZ$3000,$C8,10+3*MIN(BF$3,$D$2-1)))))</f>
        <v/>
      </c>
      <c r="BG8" s="123">
        <f>IF(OR($C8="",$B$2="",$D$2=0),0,IF(BG$3&lt;0,0,N(INDEX('CURVA PREVISION'!$A$1:$KZ$3000,$C8,10+3*MIN(BG$3,$D$2-1)))))</f>
        <v/>
      </c>
      <c r="BH8" s="123">
        <f>IF(OR($C8="",$B$2="",$D$2=0),0,IF(BH$3&lt;0,0,N(INDEX('CURVA PREVISION'!$A$1:$KZ$3000,$C8,10+3*MIN(BH$3,$D$2-1)))))</f>
        <v/>
      </c>
      <c r="BI8" s="123">
        <f>IF(OR($C8="",$B$2="",$D$2=0),0,IF(BI$3&lt;0,0,N(INDEX('CURVA PREVISION'!$A$1:$KZ$3000,$C8,10+3*MIN(BI$3,$D$2-1)))))</f>
        <v/>
      </c>
      <c r="BJ8" s="123">
        <f>IF(OR($C8="",$B$2="",$D$2=0),0,IF(BJ$3&lt;0,0,N(INDEX('CURVA PREVISION'!$A$1:$KZ$3000,$C8,10+3*MIN(BJ$3,$D$2-1)))))</f>
        <v/>
      </c>
      <c r="BK8" s="123">
        <f>IF(OR($C8="",$B$2="",$D$2=0),0,IF(BK$3&lt;0,0,N(INDEX('CURVA PREVISION'!$A$1:$KZ$3000,$C8,10+3*MIN(BK$3,$D$2-1)))))</f>
        <v/>
      </c>
      <c r="BL8" s="123">
        <f>IF(OR($C8="",$B$2="",$D$2=0),0,IF(BL$3&lt;0,0,N(INDEX('CURVA PREVISION'!$A$1:$KZ$3000,$C8,10+3*MIN(BL$3,$D$2-1)))))</f>
        <v/>
      </c>
      <c r="BM8" s="123">
        <f>IF(OR($C8="",$B$2="",$D$2=0),0,IF(BM$3&lt;0,0,N(INDEX('CURVA PREVISION'!$A$1:$KZ$3000,$C8,10+3*MIN(BM$3,$D$2-1)))))</f>
        <v/>
      </c>
      <c r="BN8" s="123">
        <f>IF(OR($C8="",$B$2="",$D$2=0),0,IF(BN$3&lt;0,0,N(INDEX('CURVA PREVISION'!$A$1:$KZ$3000,$C8,10+3*MIN(BN$3,$D$2-1)))))</f>
        <v/>
      </c>
      <c r="BO8" s="123">
        <f>IF(OR($C8="",$B$2="",$D$2=0),0,IF(BO$3&lt;0,0,N(INDEX('CURVA PREVISION'!$A$1:$KZ$3000,$C8,10+3*MIN(BO$3,$D$2-1)))))</f>
        <v/>
      </c>
      <c r="BP8" s="123">
        <f>IF(OR($C8="",$B$2="",$D$2=0),0,IF(BP$3&lt;0,0,N(INDEX('CURVA PREVISION'!$A$1:$KZ$3000,$C8,10+3*MIN(BP$3,$D$2-1)))))</f>
        <v/>
      </c>
      <c r="BQ8" s="123">
        <f>IF(OR($C8="",$B$2="",$D$2=0),0,IF(BQ$3&lt;0,0,N(INDEX('CURVA PREVISION'!$A$1:$KZ$3000,$C8,10+3*MIN(BQ$3,$D$2-1)))))</f>
        <v/>
      </c>
      <c r="BR8" s="123">
        <f>IF(OR($C8="",$B$2="",$D$2=0),0,IF(BR$3&lt;0,0,N(INDEX('CURVA PREVISION'!$A$1:$KZ$3000,$C8,10+3*MIN(BR$3,$D$2-1)))))</f>
        <v/>
      </c>
      <c r="BS8" s="123">
        <f>IF(OR($C8="",$B$2="",$D$2=0),0,IF(BS$3&lt;0,0,N(INDEX('CURVA PREVISION'!$A$1:$KZ$3000,$C8,10+3*MIN(BS$3,$D$2-1)))))</f>
        <v/>
      </c>
      <c r="BT8" s="123">
        <f>IF(OR($C8="",$B$2="",$D$2=0),0,IF(BT$3&lt;0,0,N(INDEX('CURVA PREVISION'!$A$1:$KZ$3000,$C8,10+3*MIN(BT$3,$D$2-1)))))</f>
        <v/>
      </c>
      <c r="BU8" s="123">
        <f>IF(OR($C8="",$B$2="",$D$2=0),0,IF(BU$3&lt;0,0,N(INDEX('CURVA PREVISION'!$A$1:$KZ$3000,$C8,10+3*MIN(BU$3,$D$2-1)))))</f>
        <v/>
      </c>
      <c r="BV8" s="123">
        <f>IF(OR($C8="",$B$2="",$D$2=0),0,IF(BV$3&lt;0,0,N(INDEX('CURVA PREVISION'!$A$1:$KZ$3000,$C8,10+3*MIN(BV$3,$D$2-1)))))</f>
        <v/>
      </c>
      <c r="BW8" s="123">
        <f>IF(OR($C8="",$B$2="",$D$2=0),0,IF(BW$3&lt;0,0,N(INDEX('CURVA PREVISION'!$A$1:$KZ$3000,$C8,10+3*MIN(BW$3,$D$2-1)))))</f>
        <v/>
      </c>
    </row>
    <row r="9">
      <c r="A9" s="61">
        <f>IF('VALOR POR PL'!R15&lt;&gt;"",'VALOR POR PL'!R15,IF('VALOR POR PL'!Q15="",'VALOR POR PL'!C15,'VALOR POR PL'!Q15))</f>
        <v/>
      </c>
      <c r="B9" s="61">
        <f>'VALOR POR PL'!D15</f>
        <v/>
      </c>
      <c r="C9" s="70">
        <f>IFERROR(MATCH(A9,'CURVA PREVISION'!$B$1:$B$3000,0),"")</f>
        <v/>
      </c>
      <c r="D9" s="123">
        <f>IF(OR($C9="",$B$2="",$D$2=0),0,IF(D$3&lt;0,0,N(INDEX('CURVA PREVISION'!$A$1:$KZ$3000,$C9,10+3*MIN(D$3,$D$2-1)))))</f>
        <v/>
      </c>
      <c r="E9" s="123">
        <f>IF(OR($C9="",$B$2="",$D$2=0),0,IF(E$3&lt;0,0,N(INDEX('CURVA PREVISION'!$A$1:$KZ$3000,$C9,10+3*MIN(E$3,$D$2-1)))))</f>
        <v/>
      </c>
      <c r="F9" s="123">
        <f>IF(OR($C9="",$B$2="",$D$2=0),0,IF(F$3&lt;0,0,N(INDEX('CURVA PREVISION'!$A$1:$KZ$3000,$C9,10+3*MIN(F$3,$D$2-1)))))</f>
        <v/>
      </c>
      <c r="G9" s="123">
        <f>IF(OR($C9="",$B$2="",$D$2=0),0,IF(G$3&lt;0,0,N(INDEX('CURVA PREVISION'!$A$1:$KZ$3000,$C9,10+3*MIN(G$3,$D$2-1)))))</f>
        <v/>
      </c>
      <c r="H9" s="123">
        <f>IF(OR($C9="",$B$2="",$D$2=0),0,IF(H$3&lt;0,0,N(INDEX('CURVA PREVISION'!$A$1:$KZ$3000,$C9,10+3*MIN(H$3,$D$2-1)))))</f>
        <v/>
      </c>
      <c r="I9" s="123">
        <f>IF(OR($C9="",$B$2="",$D$2=0),0,IF(I$3&lt;0,0,N(INDEX('CURVA PREVISION'!$A$1:$KZ$3000,$C9,10+3*MIN(I$3,$D$2-1)))))</f>
        <v/>
      </c>
      <c r="J9" s="123">
        <f>IF(OR($C9="",$B$2="",$D$2=0),0,IF(J$3&lt;0,0,N(INDEX('CURVA PREVISION'!$A$1:$KZ$3000,$C9,10+3*MIN(J$3,$D$2-1)))))</f>
        <v/>
      </c>
      <c r="K9" s="123">
        <f>IF(OR($C9="",$B$2="",$D$2=0),0,IF(K$3&lt;0,0,N(INDEX('CURVA PREVISION'!$A$1:$KZ$3000,$C9,10+3*MIN(K$3,$D$2-1)))))</f>
        <v/>
      </c>
      <c r="L9" s="123">
        <f>IF(OR($C9="",$B$2="",$D$2=0),0,IF(L$3&lt;0,0,N(INDEX('CURVA PREVISION'!$A$1:$KZ$3000,$C9,10+3*MIN(L$3,$D$2-1)))))</f>
        <v/>
      </c>
      <c r="M9" s="123">
        <f>IF(OR($C9="",$B$2="",$D$2=0),0,IF(M$3&lt;0,0,N(INDEX('CURVA PREVISION'!$A$1:$KZ$3000,$C9,10+3*MIN(M$3,$D$2-1)))))</f>
        <v/>
      </c>
      <c r="N9" s="123">
        <f>IF(OR($C9="",$B$2="",$D$2=0),0,IF(N$3&lt;0,0,N(INDEX('CURVA PREVISION'!$A$1:$KZ$3000,$C9,10+3*MIN(N$3,$D$2-1)))))</f>
        <v/>
      </c>
      <c r="O9" s="123">
        <f>IF(OR($C9="",$B$2="",$D$2=0),0,IF(O$3&lt;0,0,N(INDEX('CURVA PREVISION'!$A$1:$KZ$3000,$C9,10+3*MIN(O$3,$D$2-1)))))</f>
        <v/>
      </c>
      <c r="P9" s="123">
        <f>IF(OR($C9="",$B$2="",$D$2=0),0,IF(P$3&lt;0,0,N(INDEX('CURVA PREVISION'!$A$1:$KZ$3000,$C9,10+3*MIN(P$3,$D$2-1)))))</f>
        <v/>
      </c>
      <c r="Q9" s="123">
        <f>IF(OR($C9="",$B$2="",$D$2=0),0,IF(Q$3&lt;0,0,N(INDEX('CURVA PREVISION'!$A$1:$KZ$3000,$C9,10+3*MIN(Q$3,$D$2-1)))))</f>
        <v/>
      </c>
      <c r="R9" s="123">
        <f>IF(OR($C9="",$B$2="",$D$2=0),0,IF(R$3&lt;0,0,N(INDEX('CURVA PREVISION'!$A$1:$KZ$3000,$C9,10+3*MIN(R$3,$D$2-1)))))</f>
        <v/>
      </c>
      <c r="S9" s="123">
        <f>IF(OR($C9="",$B$2="",$D$2=0),0,IF(S$3&lt;0,0,N(INDEX('CURVA PREVISION'!$A$1:$KZ$3000,$C9,10+3*MIN(S$3,$D$2-1)))))</f>
        <v/>
      </c>
      <c r="T9" s="123">
        <f>IF(OR($C9="",$B$2="",$D$2=0),0,IF(T$3&lt;0,0,N(INDEX('CURVA PREVISION'!$A$1:$KZ$3000,$C9,10+3*MIN(T$3,$D$2-1)))))</f>
        <v/>
      </c>
      <c r="U9" s="123">
        <f>IF(OR($C9="",$B$2="",$D$2=0),0,IF(U$3&lt;0,0,N(INDEX('CURVA PREVISION'!$A$1:$KZ$3000,$C9,10+3*MIN(U$3,$D$2-1)))))</f>
        <v/>
      </c>
      <c r="V9" s="123">
        <f>IF(OR($C9="",$B$2="",$D$2=0),0,IF(V$3&lt;0,0,N(INDEX('CURVA PREVISION'!$A$1:$KZ$3000,$C9,10+3*MIN(V$3,$D$2-1)))))</f>
        <v/>
      </c>
      <c r="W9" s="123">
        <f>IF(OR($C9="",$B$2="",$D$2=0),0,IF(W$3&lt;0,0,N(INDEX('CURVA PREVISION'!$A$1:$KZ$3000,$C9,10+3*MIN(W$3,$D$2-1)))))</f>
        <v/>
      </c>
      <c r="X9" s="123">
        <f>IF(OR($C9="",$B$2="",$D$2=0),0,IF(X$3&lt;0,0,N(INDEX('CURVA PREVISION'!$A$1:$KZ$3000,$C9,10+3*MIN(X$3,$D$2-1)))))</f>
        <v/>
      </c>
      <c r="Y9" s="123">
        <f>IF(OR($C9="",$B$2="",$D$2=0),0,IF(Y$3&lt;0,0,N(INDEX('CURVA PREVISION'!$A$1:$KZ$3000,$C9,10+3*MIN(Y$3,$D$2-1)))))</f>
        <v/>
      </c>
      <c r="Z9" s="123">
        <f>IF(OR($C9="",$B$2="",$D$2=0),0,IF(Z$3&lt;0,0,N(INDEX('CURVA PREVISION'!$A$1:$KZ$3000,$C9,10+3*MIN(Z$3,$D$2-1)))))</f>
        <v/>
      </c>
      <c r="AA9" s="123">
        <f>IF(OR($C9="",$B$2="",$D$2=0),0,IF(AA$3&lt;0,0,N(INDEX('CURVA PREVISION'!$A$1:$KZ$3000,$C9,10+3*MIN(AA$3,$D$2-1)))))</f>
        <v/>
      </c>
      <c r="AB9" s="123">
        <f>IF(OR($C9="",$B$2="",$D$2=0),0,IF(AB$3&lt;0,0,N(INDEX('CURVA PREVISION'!$A$1:$KZ$3000,$C9,10+3*MIN(AB$3,$D$2-1)))))</f>
        <v/>
      </c>
      <c r="AC9" s="123">
        <f>IF(OR($C9="",$B$2="",$D$2=0),0,IF(AC$3&lt;0,0,N(INDEX('CURVA PREVISION'!$A$1:$KZ$3000,$C9,10+3*MIN(AC$3,$D$2-1)))))</f>
        <v/>
      </c>
      <c r="AD9" s="123">
        <f>IF(OR($C9="",$B$2="",$D$2=0),0,IF(AD$3&lt;0,0,N(INDEX('CURVA PREVISION'!$A$1:$KZ$3000,$C9,10+3*MIN(AD$3,$D$2-1)))))</f>
        <v/>
      </c>
      <c r="AE9" s="123">
        <f>IF(OR($C9="",$B$2="",$D$2=0),0,IF(AE$3&lt;0,0,N(INDEX('CURVA PREVISION'!$A$1:$KZ$3000,$C9,10+3*MIN(AE$3,$D$2-1)))))</f>
        <v/>
      </c>
      <c r="AF9" s="123">
        <f>IF(OR($C9="",$B$2="",$D$2=0),0,IF(AF$3&lt;0,0,N(INDEX('CURVA PREVISION'!$A$1:$KZ$3000,$C9,10+3*MIN(AF$3,$D$2-1)))))</f>
        <v/>
      </c>
      <c r="AG9" s="123">
        <f>IF(OR($C9="",$B$2="",$D$2=0),0,IF(AG$3&lt;0,0,N(INDEX('CURVA PREVISION'!$A$1:$KZ$3000,$C9,10+3*MIN(AG$3,$D$2-1)))))</f>
        <v/>
      </c>
      <c r="AH9" s="123">
        <f>IF(OR($C9="",$B$2="",$D$2=0),0,IF(AH$3&lt;0,0,N(INDEX('CURVA PREVISION'!$A$1:$KZ$3000,$C9,10+3*MIN(AH$3,$D$2-1)))))</f>
        <v/>
      </c>
      <c r="AI9" s="123">
        <f>IF(OR($C9="",$B$2="",$D$2=0),0,IF(AI$3&lt;0,0,N(INDEX('CURVA PREVISION'!$A$1:$KZ$3000,$C9,10+3*MIN(AI$3,$D$2-1)))))</f>
        <v/>
      </c>
      <c r="AJ9" s="123">
        <f>IF(OR($C9="",$B$2="",$D$2=0),0,IF(AJ$3&lt;0,0,N(INDEX('CURVA PREVISION'!$A$1:$KZ$3000,$C9,10+3*MIN(AJ$3,$D$2-1)))))</f>
        <v/>
      </c>
      <c r="AK9" s="123">
        <f>IF(OR($C9="",$B$2="",$D$2=0),0,IF(AK$3&lt;0,0,N(INDEX('CURVA PREVISION'!$A$1:$KZ$3000,$C9,10+3*MIN(AK$3,$D$2-1)))))</f>
        <v/>
      </c>
      <c r="AL9" s="123">
        <f>IF(OR($C9="",$B$2="",$D$2=0),0,IF(AL$3&lt;0,0,N(INDEX('CURVA PREVISION'!$A$1:$KZ$3000,$C9,10+3*MIN(AL$3,$D$2-1)))))</f>
        <v/>
      </c>
      <c r="AM9" s="123">
        <f>IF(OR($C9="",$B$2="",$D$2=0),0,IF(AM$3&lt;0,0,N(INDEX('CURVA PREVISION'!$A$1:$KZ$3000,$C9,10+3*MIN(AM$3,$D$2-1)))))</f>
        <v/>
      </c>
      <c r="AN9" s="123">
        <f>IF(OR($C9="",$B$2="",$D$2=0),0,IF(AN$3&lt;0,0,N(INDEX('CURVA PREVISION'!$A$1:$KZ$3000,$C9,10+3*MIN(AN$3,$D$2-1)))))</f>
        <v/>
      </c>
      <c r="AO9" s="123">
        <f>IF(OR($C9="",$B$2="",$D$2=0),0,IF(AO$3&lt;0,0,N(INDEX('CURVA PREVISION'!$A$1:$KZ$3000,$C9,10+3*MIN(AO$3,$D$2-1)))))</f>
        <v/>
      </c>
      <c r="AP9" s="123">
        <f>IF(OR($C9="",$B$2="",$D$2=0),0,IF(AP$3&lt;0,0,N(INDEX('CURVA PREVISION'!$A$1:$KZ$3000,$C9,10+3*MIN(AP$3,$D$2-1)))))</f>
        <v/>
      </c>
      <c r="AQ9" s="123">
        <f>IF(OR($C9="",$B$2="",$D$2=0),0,IF(AQ$3&lt;0,0,N(INDEX('CURVA PREVISION'!$A$1:$KZ$3000,$C9,10+3*MIN(AQ$3,$D$2-1)))))</f>
        <v/>
      </c>
      <c r="AR9" s="123">
        <f>IF(OR($C9="",$B$2="",$D$2=0),0,IF(AR$3&lt;0,0,N(INDEX('CURVA PREVISION'!$A$1:$KZ$3000,$C9,10+3*MIN(AR$3,$D$2-1)))))</f>
        <v/>
      </c>
      <c r="AS9" s="123">
        <f>IF(OR($C9="",$B$2="",$D$2=0),0,IF(AS$3&lt;0,0,N(INDEX('CURVA PREVISION'!$A$1:$KZ$3000,$C9,10+3*MIN(AS$3,$D$2-1)))))</f>
        <v/>
      </c>
      <c r="AT9" s="123">
        <f>IF(OR($C9="",$B$2="",$D$2=0),0,IF(AT$3&lt;0,0,N(INDEX('CURVA PREVISION'!$A$1:$KZ$3000,$C9,10+3*MIN(AT$3,$D$2-1)))))</f>
        <v/>
      </c>
      <c r="AU9" s="123">
        <f>IF(OR($C9="",$B$2="",$D$2=0),0,IF(AU$3&lt;0,0,N(INDEX('CURVA PREVISION'!$A$1:$KZ$3000,$C9,10+3*MIN(AU$3,$D$2-1)))))</f>
        <v/>
      </c>
      <c r="AV9" s="123">
        <f>IF(OR($C9="",$B$2="",$D$2=0),0,IF(AV$3&lt;0,0,N(INDEX('CURVA PREVISION'!$A$1:$KZ$3000,$C9,10+3*MIN(AV$3,$D$2-1)))))</f>
        <v/>
      </c>
      <c r="AW9" s="123">
        <f>IF(OR($C9="",$B$2="",$D$2=0),0,IF(AW$3&lt;0,0,N(INDEX('CURVA PREVISION'!$A$1:$KZ$3000,$C9,10+3*MIN(AW$3,$D$2-1)))))</f>
        <v/>
      </c>
      <c r="AX9" s="123">
        <f>IF(OR($C9="",$B$2="",$D$2=0),0,IF(AX$3&lt;0,0,N(INDEX('CURVA PREVISION'!$A$1:$KZ$3000,$C9,10+3*MIN(AX$3,$D$2-1)))))</f>
        <v/>
      </c>
      <c r="AY9" s="123">
        <f>IF(OR($C9="",$B$2="",$D$2=0),0,IF(AY$3&lt;0,0,N(INDEX('CURVA PREVISION'!$A$1:$KZ$3000,$C9,10+3*MIN(AY$3,$D$2-1)))))</f>
        <v/>
      </c>
      <c r="AZ9" s="123">
        <f>IF(OR($C9="",$B$2="",$D$2=0),0,IF(AZ$3&lt;0,0,N(INDEX('CURVA PREVISION'!$A$1:$KZ$3000,$C9,10+3*MIN(AZ$3,$D$2-1)))))</f>
        <v/>
      </c>
      <c r="BA9" s="123">
        <f>IF(OR($C9="",$B$2="",$D$2=0),0,IF(BA$3&lt;0,0,N(INDEX('CURVA PREVISION'!$A$1:$KZ$3000,$C9,10+3*MIN(BA$3,$D$2-1)))))</f>
        <v/>
      </c>
      <c r="BB9" s="123">
        <f>IF(OR($C9="",$B$2="",$D$2=0),0,IF(BB$3&lt;0,0,N(INDEX('CURVA PREVISION'!$A$1:$KZ$3000,$C9,10+3*MIN(BB$3,$D$2-1)))))</f>
        <v/>
      </c>
      <c r="BC9" s="123">
        <f>IF(OR($C9="",$B$2="",$D$2=0),0,IF(BC$3&lt;0,0,N(INDEX('CURVA PREVISION'!$A$1:$KZ$3000,$C9,10+3*MIN(BC$3,$D$2-1)))))</f>
        <v/>
      </c>
      <c r="BD9" s="123">
        <f>IF(OR($C9="",$B$2="",$D$2=0),0,IF(BD$3&lt;0,0,N(INDEX('CURVA PREVISION'!$A$1:$KZ$3000,$C9,10+3*MIN(BD$3,$D$2-1)))))</f>
        <v/>
      </c>
      <c r="BE9" s="123">
        <f>IF(OR($C9="",$B$2="",$D$2=0),0,IF(BE$3&lt;0,0,N(INDEX('CURVA PREVISION'!$A$1:$KZ$3000,$C9,10+3*MIN(BE$3,$D$2-1)))))</f>
        <v/>
      </c>
      <c r="BF9" s="123">
        <f>IF(OR($C9="",$B$2="",$D$2=0),0,IF(BF$3&lt;0,0,N(INDEX('CURVA PREVISION'!$A$1:$KZ$3000,$C9,10+3*MIN(BF$3,$D$2-1)))))</f>
        <v/>
      </c>
      <c r="BG9" s="123">
        <f>IF(OR($C9="",$B$2="",$D$2=0),0,IF(BG$3&lt;0,0,N(INDEX('CURVA PREVISION'!$A$1:$KZ$3000,$C9,10+3*MIN(BG$3,$D$2-1)))))</f>
        <v/>
      </c>
      <c r="BH9" s="123">
        <f>IF(OR($C9="",$B$2="",$D$2=0),0,IF(BH$3&lt;0,0,N(INDEX('CURVA PREVISION'!$A$1:$KZ$3000,$C9,10+3*MIN(BH$3,$D$2-1)))))</f>
        <v/>
      </c>
      <c r="BI9" s="123">
        <f>IF(OR($C9="",$B$2="",$D$2=0),0,IF(BI$3&lt;0,0,N(INDEX('CURVA PREVISION'!$A$1:$KZ$3000,$C9,10+3*MIN(BI$3,$D$2-1)))))</f>
        <v/>
      </c>
      <c r="BJ9" s="123">
        <f>IF(OR($C9="",$B$2="",$D$2=0),0,IF(BJ$3&lt;0,0,N(INDEX('CURVA PREVISION'!$A$1:$KZ$3000,$C9,10+3*MIN(BJ$3,$D$2-1)))))</f>
        <v/>
      </c>
      <c r="BK9" s="123">
        <f>IF(OR($C9="",$B$2="",$D$2=0),0,IF(BK$3&lt;0,0,N(INDEX('CURVA PREVISION'!$A$1:$KZ$3000,$C9,10+3*MIN(BK$3,$D$2-1)))))</f>
        <v/>
      </c>
      <c r="BL9" s="123">
        <f>IF(OR($C9="",$B$2="",$D$2=0),0,IF(BL$3&lt;0,0,N(INDEX('CURVA PREVISION'!$A$1:$KZ$3000,$C9,10+3*MIN(BL$3,$D$2-1)))))</f>
        <v/>
      </c>
      <c r="BM9" s="123">
        <f>IF(OR($C9="",$B$2="",$D$2=0),0,IF(BM$3&lt;0,0,N(INDEX('CURVA PREVISION'!$A$1:$KZ$3000,$C9,10+3*MIN(BM$3,$D$2-1)))))</f>
        <v/>
      </c>
      <c r="BN9" s="123">
        <f>IF(OR($C9="",$B$2="",$D$2=0),0,IF(BN$3&lt;0,0,N(INDEX('CURVA PREVISION'!$A$1:$KZ$3000,$C9,10+3*MIN(BN$3,$D$2-1)))))</f>
        <v/>
      </c>
      <c r="BO9" s="123">
        <f>IF(OR($C9="",$B$2="",$D$2=0),0,IF(BO$3&lt;0,0,N(INDEX('CURVA PREVISION'!$A$1:$KZ$3000,$C9,10+3*MIN(BO$3,$D$2-1)))))</f>
        <v/>
      </c>
      <c r="BP9" s="123">
        <f>IF(OR($C9="",$B$2="",$D$2=0),0,IF(BP$3&lt;0,0,N(INDEX('CURVA PREVISION'!$A$1:$KZ$3000,$C9,10+3*MIN(BP$3,$D$2-1)))))</f>
        <v/>
      </c>
      <c r="BQ9" s="123">
        <f>IF(OR($C9="",$B$2="",$D$2=0),0,IF(BQ$3&lt;0,0,N(INDEX('CURVA PREVISION'!$A$1:$KZ$3000,$C9,10+3*MIN(BQ$3,$D$2-1)))))</f>
        <v/>
      </c>
      <c r="BR9" s="123">
        <f>IF(OR($C9="",$B$2="",$D$2=0),0,IF(BR$3&lt;0,0,N(INDEX('CURVA PREVISION'!$A$1:$KZ$3000,$C9,10+3*MIN(BR$3,$D$2-1)))))</f>
        <v/>
      </c>
      <c r="BS9" s="123">
        <f>IF(OR($C9="",$B$2="",$D$2=0),0,IF(BS$3&lt;0,0,N(INDEX('CURVA PREVISION'!$A$1:$KZ$3000,$C9,10+3*MIN(BS$3,$D$2-1)))))</f>
        <v/>
      </c>
      <c r="BT9" s="123">
        <f>IF(OR($C9="",$B$2="",$D$2=0),0,IF(BT$3&lt;0,0,N(INDEX('CURVA PREVISION'!$A$1:$KZ$3000,$C9,10+3*MIN(BT$3,$D$2-1)))))</f>
        <v/>
      </c>
      <c r="BU9" s="123">
        <f>IF(OR($C9="",$B$2="",$D$2=0),0,IF(BU$3&lt;0,0,N(INDEX('CURVA PREVISION'!$A$1:$KZ$3000,$C9,10+3*MIN(BU$3,$D$2-1)))))</f>
        <v/>
      </c>
      <c r="BV9" s="123">
        <f>IF(OR($C9="",$B$2="",$D$2=0),0,IF(BV$3&lt;0,0,N(INDEX('CURVA PREVISION'!$A$1:$KZ$3000,$C9,10+3*MIN(BV$3,$D$2-1)))))</f>
        <v/>
      </c>
      <c r="BW9" s="123">
        <f>IF(OR($C9="",$B$2="",$D$2=0),0,IF(BW$3&lt;0,0,N(INDEX('CURVA PREVISION'!$A$1:$KZ$3000,$C9,10+3*MIN(BW$3,$D$2-1)))))</f>
        <v/>
      </c>
    </row>
    <row r="10">
      <c r="A10" s="61">
        <f>IF('VALOR POR PL'!R16&lt;&gt;"",'VALOR POR PL'!R16,IF('VALOR POR PL'!Q16="",'VALOR POR PL'!C16,'VALOR POR PL'!Q16))</f>
        <v/>
      </c>
      <c r="B10" s="61">
        <f>'VALOR POR PL'!D16</f>
        <v/>
      </c>
      <c r="C10" s="70">
        <f>IFERROR(MATCH(A10,'CURVA PREVISION'!$B$1:$B$3000,0),"")</f>
        <v/>
      </c>
      <c r="D10" s="123">
        <f>IF(OR($C10="",$B$2="",$D$2=0),0,IF(D$3&lt;0,0,N(INDEX('CURVA PREVISION'!$A$1:$KZ$3000,$C10,10+3*MIN(D$3,$D$2-1)))))</f>
        <v/>
      </c>
      <c r="E10" s="123">
        <f>IF(OR($C10="",$B$2="",$D$2=0),0,IF(E$3&lt;0,0,N(INDEX('CURVA PREVISION'!$A$1:$KZ$3000,$C10,10+3*MIN(E$3,$D$2-1)))))</f>
        <v/>
      </c>
      <c r="F10" s="123">
        <f>IF(OR($C10="",$B$2="",$D$2=0),0,IF(F$3&lt;0,0,N(INDEX('CURVA PREVISION'!$A$1:$KZ$3000,$C10,10+3*MIN(F$3,$D$2-1)))))</f>
        <v/>
      </c>
      <c r="G10" s="123">
        <f>IF(OR($C10="",$B$2="",$D$2=0),0,IF(G$3&lt;0,0,N(INDEX('CURVA PREVISION'!$A$1:$KZ$3000,$C10,10+3*MIN(G$3,$D$2-1)))))</f>
        <v/>
      </c>
      <c r="H10" s="123">
        <f>IF(OR($C10="",$B$2="",$D$2=0),0,IF(H$3&lt;0,0,N(INDEX('CURVA PREVISION'!$A$1:$KZ$3000,$C10,10+3*MIN(H$3,$D$2-1)))))</f>
        <v/>
      </c>
      <c r="I10" s="123">
        <f>IF(OR($C10="",$B$2="",$D$2=0),0,IF(I$3&lt;0,0,N(INDEX('CURVA PREVISION'!$A$1:$KZ$3000,$C10,10+3*MIN(I$3,$D$2-1)))))</f>
        <v/>
      </c>
      <c r="J10" s="123">
        <f>IF(OR($C10="",$B$2="",$D$2=0),0,IF(J$3&lt;0,0,N(INDEX('CURVA PREVISION'!$A$1:$KZ$3000,$C10,10+3*MIN(J$3,$D$2-1)))))</f>
        <v/>
      </c>
      <c r="K10" s="123">
        <f>IF(OR($C10="",$B$2="",$D$2=0),0,IF(K$3&lt;0,0,N(INDEX('CURVA PREVISION'!$A$1:$KZ$3000,$C10,10+3*MIN(K$3,$D$2-1)))))</f>
        <v/>
      </c>
      <c r="L10" s="123">
        <f>IF(OR($C10="",$B$2="",$D$2=0),0,IF(L$3&lt;0,0,N(INDEX('CURVA PREVISION'!$A$1:$KZ$3000,$C10,10+3*MIN(L$3,$D$2-1)))))</f>
        <v/>
      </c>
      <c r="M10" s="123">
        <f>IF(OR($C10="",$B$2="",$D$2=0),0,IF(M$3&lt;0,0,N(INDEX('CURVA PREVISION'!$A$1:$KZ$3000,$C10,10+3*MIN(M$3,$D$2-1)))))</f>
        <v/>
      </c>
      <c r="N10" s="123">
        <f>IF(OR($C10="",$B$2="",$D$2=0),0,IF(N$3&lt;0,0,N(INDEX('CURVA PREVISION'!$A$1:$KZ$3000,$C10,10+3*MIN(N$3,$D$2-1)))))</f>
        <v/>
      </c>
      <c r="O10" s="123">
        <f>IF(OR($C10="",$B$2="",$D$2=0),0,IF(O$3&lt;0,0,N(INDEX('CURVA PREVISION'!$A$1:$KZ$3000,$C10,10+3*MIN(O$3,$D$2-1)))))</f>
        <v/>
      </c>
      <c r="P10" s="123">
        <f>IF(OR($C10="",$B$2="",$D$2=0),0,IF(P$3&lt;0,0,N(INDEX('CURVA PREVISION'!$A$1:$KZ$3000,$C10,10+3*MIN(P$3,$D$2-1)))))</f>
        <v/>
      </c>
      <c r="Q10" s="123">
        <f>IF(OR($C10="",$B$2="",$D$2=0),0,IF(Q$3&lt;0,0,N(INDEX('CURVA PREVISION'!$A$1:$KZ$3000,$C10,10+3*MIN(Q$3,$D$2-1)))))</f>
        <v/>
      </c>
      <c r="R10" s="123">
        <f>IF(OR($C10="",$B$2="",$D$2=0),0,IF(R$3&lt;0,0,N(INDEX('CURVA PREVISION'!$A$1:$KZ$3000,$C10,10+3*MIN(R$3,$D$2-1)))))</f>
        <v/>
      </c>
      <c r="S10" s="123">
        <f>IF(OR($C10="",$B$2="",$D$2=0),0,IF(S$3&lt;0,0,N(INDEX('CURVA PREVISION'!$A$1:$KZ$3000,$C10,10+3*MIN(S$3,$D$2-1)))))</f>
        <v/>
      </c>
      <c r="T10" s="123">
        <f>IF(OR($C10="",$B$2="",$D$2=0),0,IF(T$3&lt;0,0,N(INDEX('CURVA PREVISION'!$A$1:$KZ$3000,$C10,10+3*MIN(T$3,$D$2-1)))))</f>
        <v/>
      </c>
      <c r="U10" s="123">
        <f>IF(OR($C10="",$B$2="",$D$2=0),0,IF(U$3&lt;0,0,N(INDEX('CURVA PREVISION'!$A$1:$KZ$3000,$C10,10+3*MIN(U$3,$D$2-1)))))</f>
        <v/>
      </c>
      <c r="V10" s="123">
        <f>IF(OR($C10="",$B$2="",$D$2=0),0,IF(V$3&lt;0,0,N(INDEX('CURVA PREVISION'!$A$1:$KZ$3000,$C10,10+3*MIN(V$3,$D$2-1)))))</f>
        <v/>
      </c>
      <c r="W10" s="123">
        <f>IF(OR($C10="",$B$2="",$D$2=0),0,IF(W$3&lt;0,0,N(INDEX('CURVA PREVISION'!$A$1:$KZ$3000,$C10,10+3*MIN(W$3,$D$2-1)))))</f>
        <v/>
      </c>
      <c r="X10" s="123">
        <f>IF(OR($C10="",$B$2="",$D$2=0),0,IF(X$3&lt;0,0,N(INDEX('CURVA PREVISION'!$A$1:$KZ$3000,$C10,10+3*MIN(X$3,$D$2-1)))))</f>
        <v/>
      </c>
      <c r="Y10" s="123">
        <f>IF(OR($C10="",$B$2="",$D$2=0),0,IF(Y$3&lt;0,0,N(INDEX('CURVA PREVISION'!$A$1:$KZ$3000,$C10,10+3*MIN(Y$3,$D$2-1)))))</f>
        <v/>
      </c>
      <c r="Z10" s="123">
        <f>IF(OR($C10="",$B$2="",$D$2=0),0,IF(Z$3&lt;0,0,N(INDEX('CURVA PREVISION'!$A$1:$KZ$3000,$C10,10+3*MIN(Z$3,$D$2-1)))))</f>
        <v/>
      </c>
      <c r="AA10" s="123">
        <f>IF(OR($C10="",$B$2="",$D$2=0),0,IF(AA$3&lt;0,0,N(INDEX('CURVA PREVISION'!$A$1:$KZ$3000,$C10,10+3*MIN(AA$3,$D$2-1)))))</f>
        <v/>
      </c>
      <c r="AB10" s="123">
        <f>IF(OR($C10="",$B$2="",$D$2=0),0,IF(AB$3&lt;0,0,N(INDEX('CURVA PREVISION'!$A$1:$KZ$3000,$C10,10+3*MIN(AB$3,$D$2-1)))))</f>
        <v/>
      </c>
      <c r="AC10" s="123">
        <f>IF(OR($C10="",$B$2="",$D$2=0),0,IF(AC$3&lt;0,0,N(INDEX('CURVA PREVISION'!$A$1:$KZ$3000,$C10,10+3*MIN(AC$3,$D$2-1)))))</f>
        <v/>
      </c>
      <c r="AD10" s="123">
        <f>IF(OR($C10="",$B$2="",$D$2=0),0,IF(AD$3&lt;0,0,N(INDEX('CURVA PREVISION'!$A$1:$KZ$3000,$C10,10+3*MIN(AD$3,$D$2-1)))))</f>
        <v/>
      </c>
      <c r="AE10" s="123">
        <f>IF(OR($C10="",$B$2="",$D$2=0),0,IF(AE$3&lt;0,0,N(INDEX('CURVA PREVISION'!$A$1:$KZ$3000,$C10,10+3*MIN(AE$3,$D$2-1)))))</f>
        <v/>
      </c>
      <c r="AF10" s="123">
        <f>IF(OR($C10="",$B$2="",$D$2=0),0,IF(AF$3&lt;0,0,N(INDEX('CURVA PREVISION'!$A$1:$KZ$3000,$C10,10+3*MIN(AF$3,$D$2-1)))))</f>
        <v/>
      </c>
      <c r="AG10" s="123">
        <f>IF(OR($C10="",$B$2="",$D$2=0),0,IF(AG$3&lt;0,0,N(INDEX('CURVA PREVISION'!$A$1:$KZ$3000,$C10,10+3*MIN(AG$3,$D$2-1)))))</f>
        <v/>
      </c>
      <c r="AH10" s="123">
        <f>IF(OR($C10="",$B$2="",$D$2=0),0,IF(AH$3&lt;0,0,N(INDEX('CURVA PREVISION'!$A$1:$KZ$3000,$C10,10+3*MIN(AH$3,$D$2-1)))))</f>
        <v/>
      </c>
      <c r="AI10" s="123">
        <f>IF(OR($C10="",$B$2="",$D$2=0),0,IF(AI$3&lt;0,0,N(INDEX('CURVA PREVISION'!$A$1:$KZ$3000,$C10,10+3*MIN(AI$3,$D$2-1)))))</f>
        <v/>
      </c>
      <c r="AJ10" s="123">
        <f>IF(OR($C10="",$B$2="",$D$2=0),0,IF(AJ$3&lt;0,0,N(INDEX('CURVA PREVISION'!$A$1:$KZ$3000,$C10,10+3*MIN(AJ$3,$D$2-1)))))</f>
        <v/>
      </c>
      <c r="AK10" s="123">
        <f>IF(OR($C10="",$B$2="",$D$2=0),0,IF(AK$3&lt;0,0,N(INDEX('CURVA PREVISION'!$A$1:$KZ$3000,$C10,10+3*MIN(AK$3,$D$2-1)))))</f>
        <v/>
      </c>
      <c r="AL10" s="123">
        <f>IF(OR($C10="",$B$2="",$D$2=0),0,IF(AL$3&lt;0,0,N(INDEX('CURVA PREVISION'!$A$1:$KZ$3000,$C10,10+3*MIN(AL$3,$D$2-1)))))</f>
        <v/>
      </c>
      <c r="AM10" s="123">
        <f>IF(OR($C10="",$B$2="",$D$2=0),0,IF(AM$3&lt;0,0,N(INDEX('CURVA PREVISION'!$A$1:$KZ$3000,$C10,10+3*MIN(AM$3,$D$2-1)))))</f>
        <v/>
      </c>
      <c r="AN10" s="123">
        <f>IF(OR($C10="",$B$2="",$D$2=0),0,IF(AN$3&lt;0,0,N(INDEX('CURVA PREVISION'!$A$1:$KZ$3000,$C10,10+3*MIN(AN$3,$D$2-1)))))</f>
        <v/>
      </c>
      <c r="AO10" s="123">
        <f>IF(OR($C10="",$B$2="",$D$2=0),0,IF(AO$3&lt;0,0,N(INDEX('CURVA PREVISION'!$A$1:$KZ$3000,$C10,10+3*MIN(AO$3,$D$2-1)))))</f>
        <v/>
      </c>
      <c r="AP10" s="123">
        <f>IF(OR($C10="",$B$2="",$D$2=0),0,IF(AP$3&lt;0,0,N(INDEX('CURVA PREVISION'!$A$1:$KZ$3000,$C10,10+3*MIN(AP$3,$D$2-1)))))</f>
        <v/>
      </c>
      <c r="AQ10" s="123">
        <f>IF(OR($C10="",$B$2="",$D$2=0),0,IF(AQ$3&lt;0,0,N(INDEX('CURVA PREVISION'!$A$1:$KZ$3000,$C10,10+3*MIN(AQ$3,$D$2-1)))))</f>
        <v/>
      </c>
      <c r="AR10" s="123">
        <f>IF(OR($C10="",$B$2="",$D$2=0),0,IF(AR$3&lt;0,0,N(INDEX('CURVA PREVISION'!$A$1:$KZ$3000,$C10,10+3*MIN(AR$3,$D$2-1)))))</f>
        <v/>
      </c>
      <c r="AS10" s="123">
        <f>IF(OR($C10="",$B$2="",$D$2=0),0,IF(AS$3&lt;0,0,N(INDEX('CURVA PREVISION'!$A$1:$KZ$3000,$C10,10+3*MIN(AS$3,$D$2-1)))))</f>
        <v/>
      </c>
      <c r="AT10" s="123">
        <f>IF(OR($C10="",$B$2="",$D$2=0),0,IF(AT$3&lt;0,0,N(INDEX('CURVA PREVISION'!$A$1:$KZ$3000,$C10,10+3*MIN(AT$3,$D$2-1)))))</f>
        <v/>
      </c>
      <c r="AU10" s="123">
        <f>IF(OR($C10="",$B$2="",$D$2=0),0,IF(AU$3&lt;0,0,N(INDEX('CURVA PREVISION'!$A$1:$KZ$3000,$C10,10+3*MIN(AU$3,$D$2-1)))))</f>
        <v/>
      </c>
      <c r="AV10" s="123">
        <f>IF(OR($C10="",$B$2="",$D$2=0),0,IF(AV$3&lt;0,0,N(INDEX('CURVA PREVISION'!$A$1:$KZ$3000,$C10,10+3*MIN(AV$3,$D$2-1)))))</f>
        <v/>
      </c>
      <c r="AW10" s="123">
        <f>IF(OR($C10="",$B$2="",$D$2=0),0,IF(AW$3&lt;0,0,N(INDEX('CURVA PREVISION'!$A$1:$KZ$3000,$C10,10+3*MIN(AW$3,$D$2-1)))))</f>
        <v/>
      </c>
      <c r="AX10" s="123">
        <f>IF(OR($C10="",$B$2="",$D$2=0),0,IF(AX$3&lt;0,0,N(INDEX('CURVA PREVISION'!$A$1:$KZ$3000,$C10,10+3*MIN(AX$3,$D$2-1)))))</f>
        <v/>
      </c>
      <c r="AY10" s="123">
        <f>IF(OR($C10="",$B$2="",$D$2=0),0,IF(AY$3&lt;0,0,N(INDEX('CURVA PREVISION'!$A$1:$KZ$3000,$C10,10+3*MIN(AY$3,$D$2-1)))))</f>
        <v/>
      </c>
      <c r="AZ10" s="123">
        <f>IF(OR($C10="",$B$2="",$D$2=0),0,IF(AZ$3&lt;0,0,N(INDEX('CURVA PREVISION'!$A$1:$KZ$3000,$C10,10+3*MIN(AZ$3,$D$2-1)))))</f>
        <v/>
      </c>
      <c r="BA10" s="123">
        <f>IF(OR($C10="",$B$2="",$D$2=0),0,IF(BA$3&lt;0,0,N(INDEX('CURVA PREVISION'!$A$1:$KZ$3000,$C10,10+3*MIN(BA$3,$D$2-1)))))</f>
        <v/>
      </c>
      <c r="BB10" s="123">
        <f>IF(OR($C10="",$B$2="",$D$2=0),0,IF(BB$3&lt;0,0,N(INDEX('CURVA PREVISION'!$A$1:$KZ$3000,$C10,10+3*MIN(BB$3,$D$2-1)))))</f>
        <v/>
      </c>
      <c r="BC10" s="123">
        <f>IF(OR($C10="",$B$2="",$D$2=0),0,IF(BC$3&lt;0,0,N(INDEX('CURVA PREVISION'!$A$1:$KZ$3000,$C10,10+3*MIN(BC$3,$D$2-1)))))</f>
        <v/>
      </c>
      <c r="BD10" s="123">
        <f>IF(OR($C10="",$B$2="",$D$2=0),0,IF(BD$3&lt;0,0,N(INDEX('CURVA PREVISION'!$A$1:$KZ$3000,$C10,10+3*MIN(BD$3,$D$2-1)))))</f>
        <v/>
      </c>
      <c r="BE10" s="123">
        <f>IF(OR($C10="",$B$2="",$D$2=0),0,IF(BE$3&lt;0,0,N(INDEX('CURVA PREVISION'!$A$1:$KZ$3000,$C10,10+3*MIN(BE$3,$D$2-1)))))</f>
        <v/>
      </c>
      <c r="BF10" s="123">
        <f>IF(OR($C10="",$B$2="",$D$2=0),0,IF(BF$3&lt;0,0,N(INDEX('CURVA PREVISION'!$A$1:$KZ$3000,$C10,10+3*MIN(BF$3,$D$2-1)))))</f>
        <v/>
      </c>
      <c r="BG10" s="123">
        <f>IF(OR($C10="",$B$2="",$D$2=0),0,IF(BG$3&lt;0,0,N(INDEX('CURVA PREVISION'!$A$1:$KZ$3000,$C10,10+3*MIN(BG$3,$D$2-1)))))</f>
        <v/>
      </c>
      <c r="BH10" s="123">
        <f>IF(OR($C10="",$B$2="",$D$2=0),0,IF(BH$3&lt;0,0,N(INDEX('CURVA PREVISION'!$A$1:$KZ$3000,$C10,10+3*MIN(BH$3,$D$2-1)))))</f>
        <v/>
      </c>
      <c r="BI10" s="123">
        <f>IF(OR($C10="",$B$2="",$D$2=0),0,IF(BI$3&lt;0,0,N(INDEX('CURVA PREVISION'!$A$1:$KZ$3000,$C10,10+3*MIN(BI$3,$D$2-1)))))</f>
        <v/>
      </c>
      <c r="BJ10" s="123">
        <f>IF(OR($C10="",$B$2="",$D$2=0),0,IF(BJ$3&lt;0,0,N(INDEX('CURVA PREVISION'!$A$1:$KZ$3000,$C10,10+3*MIN(BJ$3,$D$2-1)))))</f>
        <v/>
      </c>
      <c r="BK10" s="123">
        <f>IF(OR($C10="",$B$2="",$D$2=0),0,IF(BK$3&lt;0,0,N(INDEX('CURVA PREVISION'!$A$1:$KZ$3000,$C10,10+3*MIN(BK$3,$D$2-1)))))</f>
        <v/>
      </c>
      <c r="BL10" s="123">
        <f>IF(OR($C10="",$B$2="",$D$2=0),0,IF(BL$3&lt;0,0,N(INDEX('CURVA PREVISION'!$A$1:$KZ$3000,$C10,10+3*MIN(BL$3,$D$2-1)))))</f>
        <v/>
      </c>
      <c r="BM10" s="123">
        <f>IF(OR($C10="",$B$2="",$D$2=0),0,IF(BM$3&lt;0,0,N(INDEX('CURVA PREVISION'!$A$1:$KZ$3000,$C10,10+3*MIN(BM$3,$D$2-1)))))</f>
        <v/>
      </c>
      <c r="BN10" s="123">
        <f>IF(OR($C10="",$B$2="",$D$2=0),0,IF(BN$3&lt;0,0,N(INDEX('CURVA PREVISION'!$A$1:$KZ$3000,$C10,10+3*MIN(BN$3,$D$2-1)))))</f>
        <v/>
      </c>
      <c r="BO10" s="123">
        <f>IF(OR($C10="",$B$2="",$D$2=0),0,IF(BO$3&lt;0,0,N(INDEX('CURVA PREVISION'!$A$1:$KZ$3000,$C10,10+3*MIN(BO$3,$D$2-1)))))</f>
        <v/>
      </c>
      <c r="BP10" s="123">
        <f>IF(OR($C10="",$B$2="",$D$2=0),0,IF(BP$3&lt;0,0,N(INDEX('CURVA PREVISION'!$A$1:$KZ$3000,$C10,10+3*MIN(BP$3,$D$2-1)))))</f>
        <v/>
      </c>
      <c r="BQ10" s="123">
        <f>IF(OR($C10="",$B$2="",$D$2=0),0,IF(BQ$3&lt;0,0,N(INDEX('CURVA PREVISION'!$A$1:$KZ$3000,$C10,10+3*MIN(BQ$3,$D$2-1)))))</f>
        <v/>
      </c>
      <c r="BR10" s="123">
        <f>IF(OR($C10="",$B$2="",$D$2=0),0,IF(BR$3&lt;0,0,N(INDEX('CURVA PREVISION'!$A$1:$KZ$3000,$C10,10+3*MIN(BR$3,$D$2-1)))))</f>
        <v/>
      </c>
      <c r="BS10" s="123">
        <f>IF(OR($C10="",$B$2="",$D$2=0),0,IF(BS$3&lt;0,0,N(INDEX('CURVA PREVISION'!$A$1:$KZ$3000,$C10,10+3*MIN(BS$3,$D$2-1)))))</f>
        <v/>
      </c>
      <c r="BT10" s="123">
        <f>IF(OR($C10="",$B$2="",$D$2=0),0,IF(BT$3&lt;0,0,N(INDEX('CURVA PREVISION'!$A$1:$KZ$3000,$C10,10+3*MIN(BT$3,$D$2-1)))))</f>
        <v/>
      </c>
      <c r="BU10" s="123">
        <f>IF(OR($C10="",$B$2="",$D$2=0),0,IF(BU$3&lt;0,0,N(INDEX('CURVA PREVISION'!$A$1:$KZ$3000,$C10,10+3*MIN(BU$3,$D$2-1)))))</f>
        <v/>
      </c>
      <c r="BV10" s="123">
        <f>IF(OR($C10="",$B$2="",$D$2=0),0,IF(BV$3&lt;0,0,N(INDEX('CURVA PREVISION'!$A$1:$KZ$3000,$C10,10+3*MIN(BV$3,$D$2-1)))))</f>
        <v/>
      </c>
      <c r="BW10" s="123">
        <f>IF(OR($C10="",$B$2="",$D$2=0),0,IF(BW$3&lt;0,0,N(INDEX('CURVA PREVISION'!$A$1:$KZ$3000,$C10,10+3*MIN(BW$3,$D$2-1)))))</f>
        <v/>
      </c>
    </row>
    <row r="11">
      <c r="A11" s="61">
        <f>IF('VALOR POR PL'!R17&lt;&gt;"",'VALOR POR PL'!R17,IF('VALOR POR PL'!Q17="",'VALOR POR PL'!C17,'VALOR POR PL'!Q17))</f>
        <v/>
      </c>
      <c r="B11" s="61">
        <f>'VALOR POR PL'!D17</f>
        <v/>
      </c>
      <c r="C11" s="70">
        <f>IFERROR(MATCH(A11,'CURVA PREVISION'!$B$1:$B$3000,0),"")</f>
        <v/>
      </c>
      <c r="D11" s="123">
        <f>IF(OR($C11="",$B$2="",$D$2=0),0,IF(D$3&lt;0,0,N(INDEX('CURVA PREVISION'!$A$1:$KZ$3000,$C11,10+3*MIN(D$3,$D$2-1)))))</f>
        <v/>
      </c>
      <c r="E11" s="123">
        <f>IF(OR($C11="",$B$2="",$D$2=0),0,IF(E$3&lt;0,0,N(INDEX('CURVA PREVISION'!$A$1:$KZ$3000,$C11,10+3*MIN(E$3,$D$2-1)))))</f>
        <v/>
      </c>
      <c r="F11" s="123">
        <f>IF(OR($C11="",$B$2="",$D$2=0),0,IF(F$3&lt;0,0,N(INDEX('CURVA PREVISION'!$A$1:$KZ$3000,$C11,10+3*MIN(F$3,$D$2-1)))))</f>
        <v/>
      </c>
      <c r="G11" s="123">
        <f>IF(OR($C11="",$B$2="",$D$2=0),0,IF(G$3&lt;0,0,N(INDEX('CURVA PREVISION'!$A$1:$KZ$3000,$C11,10+3*MIN(G$3,$D$2-1)))))</f>
        <v/>
      </c>
      <c r="H11" s="123">
        <f>IF(OR($C11="",$B$2="",$D$2=0),0,IF(H$3&lt;0,0,N(INDEX('CURVA PREVISION'!$A$1:$KZ$3000,$C11,10+3*MIN(H$3,$D$2-1)))))</f>
        <v/>
      </c>
      <c r="I11" s="123">
        <f>IF(OR($C11="",$B$2="",$D$2=0),0,IF(I$3&lt;0,0,N(INDEX('CURVA PREVISION'!$A$1:$KZ$3000,$C11,10+3*MIN(I$3,$D$2-1)))))</f>
        <v/>
      </c>
      <c r="J11" s="123">
        <f>IF(OR($C11="",$B$2="",$D$2=0),0,IF(J$3&lt;0,0,N(INDEX('CURVA PREVISION'!$A$1:$KZ$3000,$C11,10+3*MIN(J$3,$D$2-1)))))</f>
        <v/>
      </c>
      <c r="K11" s="123">
        <f>IF(OR($C11="",$B$2="",$D$2=0),0,IF(K$3&lt;0,0,N(INDEX('CURVA PREVISION'!$A$1:$KZ$3000,$C11,10+3*MIN(K$3,$D$2-1)))))</f>
        <v/>
      </c>
      <c r="L11" s="123">
        <f>IF(OR($C11="",$B$2="",$D$2=0),0,IF(L$3&lt;0,0,N(INDEX('CURVA PREVISION'!$A$1:$KZ$3000,$C11,10+3*MIN(L$3,$D$2-1)))))</f>
        <v/>
      </c>
      <c r="M11" s="123">
        <f>IF(OR($C11="",$B$2="",$D$2=0),0,IF(M$3&lt;0,0,N(INDEX('CURVA PREVISION'!$A$1:$KZ$3000,$C11,10+3*MIN(M$3,$D$2-1)))))</f>
        <v/>
      </c>
      <c r="N11" s="123">
        <f>IF(OR($C11="",$B$2="",$D$2=0),0,IF(N$3&lt;0,0,N(INDEX('CURVA PREVISION'!$A$1:$KZ$3000,$C11,10+3*MIN(N$3,$D$2-1)))))</f>
        <v/>
      </c>
      <c r="O11" s="123">
        <f>IF(OR($C11="",$B$2="",$D$2=0),0,IF(O$3&lt;0,0,N(INDEX('CURVA PREVISION'!$A$1:$KZ$3000,$C11,10+3*MIN(O$3,$D$2-1)))))</f>
        <v/>
      </c>
      <c r="P11" s="123">
        <f>IF(OR($C11="",$B$2="",$D$2=0),0,IF(P$3&lt;0,0,N(INDEX('CURVA PREVISION'!$A$1:$KZ$3000,$C11,10+3*MIN(P$3,$D$2-1)))))</f>
        <v/>
      </c>
      <c r="Q11" s="123">
        <f>IF(OR($C11="",$B$2="",$D$2=0),0,IF(Q$3&lt;0,0,N(INDEX('CURVA PREVISION'!$A$1:$KZ$3000,$C11,10+3*MIN(Q$3,$D$2-1)))))</f>
        <v/>
      </c>
      <c r="R11" s="123">
        <f>IF(OR($C11="",$B$2="",$D$2=0),0,IF(R$3&lt;0,0,N(INDEX('CURVA PREVISION'!$A$1:$KZ$3000,$C11,10+3*MIN(R$3,$D$2-1)))))</f>
        <v/>
      </c>
      <c r="S11" s="123">
        <f>IF(OR($C11="",$B$2="",$D$2=0),0,IF(S$3&lt;0,0,N(INDEX('CURVA PREVISION'!$A$1:$KZ$3000,$C11,10+3*MIN(S$3,$D$2-1)))))</f>
        <v/>
      </c>
      <c r="T11" s="123">
        <f>IF(OR($C11="",$B$2="",$D$2=0),0,IF(T$3&lt;0,0,N(INDEX('CURVA PREVISION'!$A$1:$KZ$3000,$C11,10+3*MIN(T$3,$D$2-1)))))</f>
        <v/>
      </c>
      <c r="U11" s="123">
        <f>IF(OR($C11="",$B$2="",$D$2=0),0,IF(U$3&lt;0,0,N(INDEX('CURVA PREVISION'!$A$1:$KZ$3000,$C11,10+3*MIN(U$3,$D$2-1)))))</f>
        <v/>
      </c>
      <c r="V11" s="123">
        <f>IF(OR($C11="",$B$2="",$D$2=0),0,IF(V$3&lt;0,0,N(INDEX('CURVA PREVISION'!$A$1:$KZ$3000,$C11,10+3*MIN(V$3,$D$2-1)))))</f>
        <v/>
      </c>
      <c r="W11" s="123">
        <f>IF(OR($C11="",$B$2="",$D$2=0),0,IF(W$3&lt;0,0,N(INDEX('CURVA PREVISION'!$A$1:$KZ$3000,$C11,10+3*MIN(W$3,$D$2-1)))))</f>
        <v/>
      </c>
      <c r="X11" s="123">
        <f>IF(OR($C11="",$B$2="",$D$2=0),0,IF(X$3&lt;0,0,N(INDEX('CURVA PREVISION'!$A$1:$KZ$3000,$C11,10+3*MIN(X$3,$D$2-1)))))</f>
        <v/>
      </c>
      <c r="Y11" s="123">
        <f>IF(OR($C11="",$B$2="",$D$2=0),0,IF(Y$3&lt;0,0,N(INDEX('CURVA PREVISION'!$A$1:$KZ$3000,$C11,10+3*MIN(Y$3,$D$2-1)))))</f>
        <v/>
      </c>
      <c r="Z11" s="123">
        <f>IF(OR($C11="",$B$2="",$D$2=0),0,IF(Z$3&lt;0,0,N(INDEX('CURVA PREVISION'!$A$1:$KZ$3000,$C11,10+3*MIN(Z$3,$D$2-1)))))</f>
        <v/>
      </c>
      <c r="AA11" s="123">
        <f>IF(OR($C11="",$B$2="",$D$2=0),0,IF(AA$3&lt;0,0,N(INDEX('CURVA PREVISION'!$A$1:$KZ$3000,$C11,10+3*MIN(AA$3,$D$2-1)))))</f>
        <v/>
      </c>
      <c r="AB11" s="123">
        <f>IF(OR($C11="",$B$2="",$D$2=0),0,IF(AB$3&lt;0,0,N(INDEX('CURVA PREVISION'!$A$1:$KZ$3000,$C11,10+3*MIN(AB$3,$D$2-1)))))</f>
        <v/>
      </c>
      <c r="AC11" s="123">
        <f>IF(OR($C11="",$B$2="",$D$2=0),0,IF(AC$3&lt;0,0,N(INDEX('CURVA PREVISION'!$A$1:$KZ$3000,$C11,10+3*MIN(AC$3,$D$2-1)))))</f>
        <v/>
      </c>
      <c r="AD11" s="123">
        <f>IF(OR($C11="",$B$2="",$D$2=0),0,IF(AD$3&lt;0,0,N(INDEX('CURVA PREVISION'!$A$1:$KZ$3000,$C11,10+3*MIN(AD$3,$D$2-1)))))</f>
        <v/>
      </c>
      <c r="AE11" s="123">
        <f>IF(OR($C11="",$B$2="",$D$2=0),0,IF(AE$3&lt;0,0,N(INDEX('CURVA PREVISION'!$A$1:$KZ$3000,$C11,10+3*MIN(AE$3,$D$2-1)))))</f>
        <v/>
      </c>
      <c r="AF11" s="123">
        <f>IF(OR($C11="",$B$2="",$D$2=0),0,IF(AF$3&lt;0,0,N(INDEX('CURVA PREVISION'!$A$1:$KZ$3000,$C11,10+3*MIN(AF$3,$D$2-1)))))</f>
        <v/>
      </c>
      <c r="AG11" s="123">
        <f>IF(OR($C11="",$B$2="",$D$2=0),0,IF(AG$3&lt;0,0,N(INDEX('CURVA PREVISION'!$A$1:$KZ$3000,$C11,10+3*MIN(AG$3,$D$2-1)))))</f>
        <v/>
      </c>
      <c r="AH11" s="123">
        <f>IF(OR($C11="",$B$2="",$D$2=0),0,IF(AH$3&lt;0,0,N(INDEX('CURVA PREVISION'!$A$1:$KZ$3000,$C11,10+3*MIN(AH$3,$D$2-1)))))</f>
        <v/>
      </c>
      <c r="AI11" s="123">
        <f>IF(OR($C11="",$B$2="",$D$2=0),0,IF(AI$3&lt;0,0,N(INDEX('CURVA PREVISION'!$A$1:$KZ$3000,$C11,10+3*MIN(AI$3,$D$2-1)))))</f>
        <v/>
      </c>
      <c r="AJ11" s="123">
        <f>IF(OR($C11="",$B$2="",$D$2=0),0,IF(AJ$3&lt;0,0,N(INDEX('CURVA PREVISION'!$A$1:$KZ$3000,$C11,10+3*MIN(AJ$3,$D$2-1)))))</f>
        <v/>
      </c>
      <c r="AK11" s="123">
        <f>IF(OR($C11="",$B$2="",$D$2=0),0,IF(AK$3&lt;0,0,N(INDEX('CURVA PREVISION'!$A$1:$KZ$3000,$C11,10+3*MIN(AK$3,$D$2-1)))))</f>
        <v/>
      </c>
      <c r="AL11" s="123">
        <f>IF(OR($C11="",$B$2="",$D$2=0),0,IF(AL$3&lt;0,0,N(INDEX('CURVA PREVISION'!$A$1:$KZ$3000,$C11,10+3*MIN(AL$3,$D$2-1)))))</f>
        <v/>
      </c>
      <c r="AM11" s="123">
        <f>IF(OR($C11="",$B$2="",$D$2=0),0,IF(AM$3&lt;0,0,N(INDEX('CURVA PREVISION'!$A$1:$KZ$3000,$C11,10+3*MIN(AM$3,$D$2-1)))))</f>
        <v/>
      </c>
      <c r="AN11" s="123">
        <f>IF(OR($C11="",$B$2="",$D$2=0),0,IF(AN$3&lt;0,0,N(INDEX('CURVA PREVISION'!$A$1:$KZ$3000,$C11,10+3*MIN(AN$3,$D$2-1)))))</f>
        <v/>
      </c>
      <c r="AO11" s="123">
        <f>IF(OR($C11="",$B$2="",$D$2=0),0,IF(AO$3&lt;0,0,N(INDEX('CURVA PREVISION'!$A$1:$KZ$3000,$C11,10+3*MIN(AO$3,$D$2-1)))))</f>
        <v/>
      </c>
      <c r="AP11" s="123">
        <f>IF(OR($C11="",$B$2="",$D$2=0),0,IF(AP$3&lt;0,0,N(INDEX('CURVA PREVISION'!$A$1:$KZ$3000,$C11,10+3*MIN(AP$3,$D$2-1)))))</f>
        <v/>
      </c>
      <c r="AQ11" s="123">
        <f>IF(OR($C11="",$B$2="",$D$2=0),0,IF(AQ$3&lt;0,0,N(INDEX('CURVA PREVISION'!$A$1:$KZ$3000,$C11,10+3*MIN(AQ$3,$D$2-1)))))</f>
        <v/>
      </c>
      <c r="AR11" s="123">
        <f>IF(OR($C11="",$B$2="",$D$2=0),0,IF(AR$3&lt;0,0,N(INDEX('CURVA PREVISION'!$A$1:$KZ$3000,$C11,10+3*MIN(AR$3,$D$2-1)))))</f>
        <v/>
      </c>
      <c r="AS11" s="123">
        <f>IF(OR($C11="",$B$2="",$D$2=0),0,IF(AS$3&lt;0,0,N(INDEX('CURVA PREVISION'!$A$1:$KZ$3000,$C11,10+3*MIN(AS$3,$D$2-1)))))</f>
        <v/>
      </c>
      <c r="AT11" s="123">
        <f>IF(OR($C11="",$B$2="",$D$2=0),0,IF(AT$3&lt;0,0,N(INDEX('CURVA PREVISION'!$A$1:$KZ$3000,$C11,10+3*MIN(AT$3,$D$2-1)))))</f>
        <v/>
      </c>
      <c r="AU11" s="123">
        <f>IF(OR($C11="",$B$2="",$D$2=0),0,IF(AU$3&lt;0,0,N(INDEX('CURVA PREVISION'!$A$1:$KZ$3000,$C11,10+3*MIN(AU$3,$D$2-1)))))</f>
        <v/>
      </c>
      <c r="AV11" s="123">
        <f>IF(OR($C11="",$B$2="",$D$2=0),0,IF(AV$3&lt;0,0,N(INDEX('CURVA PREVISION'!$A$1:$KZ$3000,$C11,10+3*MIN(AV$3,$D$2-1)))))</f>
        <v/>
      </c>
      <c r="AW11" s="123">
        <f>IF(OR($C11="",$B$2="",$D$2=0),0,IF(AW$3&lt;0,0,N(INDEX('CURVA PREVISION'!$A$1:$KZ$3000,$C11,10+3*MIN(AW$3,$D$2-1)))))</f>
        <v/>
      </c>
      <c r="AX11" s="123">
        <f>IF(OR($C11="",$B$2="",$D$2=0),0,IF(AX$3&lt;0,0,N(INDEX('CURVA PREVISION'!$A$1:$KZ$3000,$C11,10+3*MIN(AX$3,$D$2-1)))))</f>
        <v/>
      </c>
      <c r="AY11" s="123">
        <f>IF(OR($C11="",$B$2="",$D$2=0),0,IF(AY$3&lt;0,0,N(INDEX('CURVA PREVISION'!$A$1:$KZ$3000,$C11,10+3*MIN(AY$3,$D$2-1)))))</f>
        <v/>
      </c>
      <c r="AZ11" s="123">
        <f>IF(OR($C11="",$B$2="",$D$2=0),0,IF(AZ$3&lt;0,0,N(INDEX('CURVA PREVISION'!$A$1:$KZ$3000,$C11,10+3*MIN(AZ$3,$D$2-1)))))</f>
        <v/>
      </c>
      <c r="BA11" s="123">
        <f>IF(OR($C11="",$B$2="",$D$2=0),0,IF(BA$3&lt;0,0,N(INDEX('CURVA PREVISION'!$A$1:$KZ$3000,$C11,10+3*MIN(BA$3,$D$2-1)))))</f>
        <v/>
      </c>
      <c r="BB11" s="123">
        <f>IF(OR($C11="",$B$2="",$D$2=0),0,IF(BB$3&lt;0,0,N(INDEX('CURVA PREVISION'!$A$1:$KZ$3000,$C11,10+3*MIN(BB$3,$D$2-1)))))</f>
        <v/>
      </c>
      <c r="BC11" s="123">
        <f>IF(OR($C11="",$B$2="",$D$2=0),0,IF(BC$3&lt;0,0,N(INDEX('CURVA PREVISION'!$A$1:$KZ$3000,$C11,10+3*MIN(BC$3,$D$2-1)))))</f>
        <v/>
      </c>
      <c r="BD11" s="123">
        <f>IF(OR($C11="",$B$2="",$D$2=0),0,IF(BD$3&lt;0,0,N(INDEX('CURVA PREVISION'!$A$1:$KZ$3000,$C11,10+3*MIN(BD$3,$D$2-1)))))</f>
        <v/>
      </c>
      <c r="BE11" s="123">
        <f>IF(OR($C11="",$B$2="",$D$2=0),0,IF(BE$3&lt;0,0,N(INDEX('CURVA PREVISION'!$A$1:$KZ$3000,$C11,10+3*MIN(BE$3,$D$2-1)))))</f>
        <v/>
      </c>
      <c r="BF11" s="123">
        <f>IF(OR($C11="",$B$2="",$D$2=0),0,IF(BF$3&lt;0,0,N(INDEX('CURVA PREVISION'!$A$1:$KZ$3000,$C11,10+3*MIN(BF$3,$D$2-1)))))</f>
        <v/>
      </c>
      <c r="BG11" s="123">
        <f>IF(OR($C11="",$B$2="",$D$2=0),0,IF(BG$3&lt;0,0,N(INDEX('CURVA PREVISION'!$A$1:$KZ$3000,$C11,10+3*MIN(BG$3,$D$2-1)))))</f>
        <v/>
      </c>
      <c r="BH11" s="123">
        <f>IF(OR($C11="",$B$2="",$D$2=0),0,IF(BH$3&lt;0,0,N(INDEX('CURVA PREVISION'!$A$1:$KZ$3000,$C11,10+3*MIN(BH$3,$D$2-1)))))</f>
        <v/>
      </c>
      <c r="BI11" s="123">
        <f>IF(OR($C11="",$B$2="",$D$2=0),0,IF(BI$3&lt;0,0,N(INDEX('CURVA PREVISION'!$A$1:$KZ$3000,$C11,10+3*MIN(BI$3,$D$2-1)))))</f>
        <v/>
      </c>
      <c r="BJ11" s="123">
        <f>IF(OR($C11="",$B$2="",$D$2=0),0,IF(BJ$3&lt;0,0,N(INDEX('CURVA PREVISION'!$A$1:$KZ$3000,$C11,10+3*MIN(BJ$3,$D$2-1)))))</f>
        <v/>
      </c>
      <c r="BK11" s="123">
        <f>IF(OR($C11="",$B$2="",$D$2=0),0,IF(BK$3&lt;0,0,N(INDEX('CURVA PREVISION'!$A$1:$KZ$3000,$C11,10+3*MIN(BK$3,$D$2-1)))))</f>
        <v/>
      </c>
      <c r="BL11" s="123">
        <f>IF(OR($C11="",$B$2="",$D$2=0),0,IF(BL$3&lt;0,0,N(INDEX('CURVA PREVISION'!$A$1:$KZ$3000,$C11,10+3*MIN(BL$3,$D$2-1)))))</f>
        <v/>
      </c>
      <c r="BM11" s="123">
        <f>IF(OR($C11="",$B$2="",$D$2=0),0,IF(BM$3&lt;0,0,N(INDEX('CURVA PREVISION'!$A$1:$KZ$3000,$C11,10+3*MIN(BM$3,$D$2-1)))))</f>
        <v/>
      </c>
      <c r="BN11" s="123">
        <f>IF(OR($C11="",$B$2="",$D$2=0),0,IF(BN$3&lt;0,0,N(INDEX('CURVA PREVISION'!$A$1:$KZ$3000,$C11,10+3*MIN(BN$3,$D$2-1)))))</f>
        <v/>
      </c>
      <c r="BO11" s="123">
        <f>IF(OR($C11="",$B$2="",$D$2=0),0,IF(BO$3&lt;0,0,N(INDEX('CURVA PREVISION'!$A$1:$KZ$3000,$C11,10+3*MIN(BO$3,$D$2-1)))))</f>
        <v/>
      </c>
      <c r="BP11" s="123">
        <f>IF(OR($C11="",$B$2="",$D$2=0),0,IF(BP$3&lt;0,0,N(INDEX('CURVA PREVISION'!$A$1:$KZ$3000,$C11,10+3*MIN(BP$3,$D$2-1)))))</f>
        <v/>
      </c>
      <c r="BQ11" s="123">
        <f>IF(OR($C11="",$B$2="",$D$2=0),0,IF(BQ$3&lt;0,0,N(INDEX('CURVA PREVISION'!$A$1:$KZ$3000,$C11,10+3*MIN(BQ$3,$D$2-1)))))</f>
        <v/>
      </c>
      <c r="BR11" s="123">
        <f>IF(OR($C11="",$B$2="",$D$2=0),0,IF(BR$3&lt;0,0,N(INDEX('CURVA PREVISION'!$A$1:$KZ$3000,$C11,10+3*MIN(BR$3,$D$2-1)))))</f>
        <v/>
      </c>
      <c r="BS11" s="123">
        <f>IF(OR($C11="",$B$2="",$D$2=0),0,IF(BS$3&lt;0,0,N(INDEX('CURVA PREVISION'!$A$1:$KZ$3000,$C11,10+3*MIN(BS$3,$D$2-1)))))</f>
        <v/>
      </c>
      <c r="BT11" s="123">
        <f>IF(OR($C11="",$B$2="",$D$2=0),0,IF(BT$3&lt;0,0,N(INDEX('CURVA PREVISION'!$A$1:$KZ$3000,$C11,10+3*MIN(BT$3,$D$2-1)))))</f>
        <v/>
      </c>
      <c r="BU11" s="123">
        <f>IF(OR($C11="",$B$2="",$D$2=0),0,IF(BU$3&lt;0,0,N(INDEX('CURVA PREVISION'!$A$1:$KZ$3000,$C11,10+3*MIN(BU$3,$D$2-1)))))</f>
        <v/>
      </c>
      <c r="BV11" s="123">
        <f>IF(OR($C11="",$B$2="",$D$2=0),0,IF(BV$3&lt;0,0,N(INDEX('CURVA PREVISION'!$A$1:$KZ$3000,$C11,10+3*MIN(BV$3,$D$2-1)))))</f>
        <v/>
      </c>
      <c r="BW11" s="123">
        <f>IF(OR($C11="",$B$2="",$D$2=0),0,IF(BW$3&lt;0,0,N(INDEX('CURVA PREVISION'!$A$1:$KZ$3000,$C11,10+3*MIN(BW$3,$D$2-1)))))</f>
        <v/>
      </c>
    </row>
    <row r="12">
      <c r="A12" s="61">
        <f>IF('VALOR POR PL'!R18&lt;&gt;"",'VALOR POR PL'!R18,IF('VALOR POR PL'!Q18="",'VALOR POR PL'!C18,'VALOR POR PL'!Q18))</f>
        <v/>
      </c>
      <c r="B12" s="61">
        <f>'VALOR POR PL'!D18</f>
        <v/>
      </c>
      <c r="C12" s="70">
        <f>IFERROR(MATCH(A12,'CURVA PREVISION'!$B$1:$B$3000,0),"")</f>
        <v/>
      </c>
      <c r="D12" s="123">
        <f>IF(OR($C12="",$B$2="",$D$2=0),0,IF(D$3&lt;0,0,N(INDEX('CURVA PREVISION'!$A$1:$KZ$3000,$C12,10+3*MIN(D$3,$D$2-1)))))</f>
        <v/>
      </c>
      <c r="E12" s="123">
        <f>IF(OR($C12="",$B$2="",$D$2=0),0,IF(E$3&lt;0,0,N(INDEX('CURVA PREVISION'!$A$1:$KZ$3000,$C12,10+3*MIN(E$3,$D$2-1)))))</f>
        <v/>
      </c>
      <c r="F12" s="123">
        <f>IF(OR($C12="",$B$2="",$D$2=0),0,IF(F$3&lt;0,0,N(INDEX('CURVA PREVISION'!$A$1:$KZ$3000,$C12,10+3*MIN(F$3,$D$2-1)))))</f>
        <v/>
      </c>
      <c r="G12" s="123">
        <f>IF(OR($C12="",$B$2="",$D$2=0),0,IF(G$3&lt;0,0,N(INDEX('CURVA PREVISION'!$A$1:$KZ$3000,$C12,10+3*MIN(G$3,$D$2-1)))))</f>
        <v/>
      </c>
      <c r="H12" s="123">
        <f>IF(OR($C12="",$B$2="",$D$2=0),0,IF(H$3&lt;0,0,N(INDEX('CURVA PREVISION'!$A$1:$KZ$3000,$C12,10+3*MIN(H$3,$D$2-1)))))</f>
        <v/>
      </c>
      <c r="I12" s="123">
        <f>IF(OR($C12="",$B$2="",$D$2=0),0,IF(I$3&lt;0,0,N(INDEX('CURVA PREVISION'!$A$1:$KZ$3000,$C12,10+3*MIN(I$3,$D$2-1)))))</f>
        <v/>
      </c>
      <c r="J12" s="123">
        <f>IF(OR($C12="",$B$2="",$D$2=0),0,IF(J$3&lt;0,0,N(INDEX('CURVA PREVISION'!$A$1:$KZ$3000,$C12,10+3*MIN(J$3,$D$2-1)))))</f>
        <v/>
      </c>
      <c r="K12" s="123">
        <f>IF(OR($C12="",$B$2="",$D$2=0),0,IF(K$3&lt;0,0,N(INDEX('CURVA PREVISION'!$A$1:$KZ$3000,$C12,10+3*MIN(K$3,$D$2-1)))))</f>
        <v/>
      </c>
      <c r="L12" s="123">
        <f>IF(OR($C12="",$B$2="",$D$2=0),0,IF(L$3&lt;0,0,N(INDEX('CURVA PREVISION'!$A$1:$KZ$3000,$C12,10+3*MIN(L$3,$D$2-1)))))</f>
        <v/>
      </c>
      <c r="M12" s="123">
        <f>IF(OR($C12="",$B$2="",$D$2=0),0,IF(M$3&lt;0,0,N(INDEX('CURVA PREVISION'!$A$1:$KZ$3000,$C12,10+3*MIN(M$3,$D$2-1)))))</f>
        <v/>
      </c>
      <c r="N12" s="123">
        <f>IF(OR($C12="",$B$2="",$D$2=0),0,IF(N$3&lt;0,0,N(INDEX('CURVA PREVISION'!$A$1:$KZ$3000,$C12,10+3*MIN(N$3,$D$2-1)))))</f>
        <v/>
      </c>
      <c r="O12" s="123">
        <f>IF(OR($C12="",$B$2="",$D$2=0),0,IF(O$3&lt;0,0,N(INDEX('CURVA PREVISION'!$A$1:$KZ$3000,$C12,10+3*MIN(O$3,$D$2-1)))))</f>
        <v/>
      </c>
      <c r="P12" s="123">
        <f>IF(OR($C12="",$B$2="",$D$2=0),0,IF(P$3&lt;0,0,N(INDEX('CURVA PREVISION'!$A$1:$KZ$3000,$C12,10+3*MIN(P$3,$D$2-1)))))</f>
        <v/>
      </c>
      <c r="Q12" s="123">
        <f>IF(OR($C12="",$B$2="",$D$2=0),0,IF(Q$3&lt;0,0,N(INDEX('CURVA PREVISION'!$A$1:$KZ$3000,$C12,10+3*MIN(Q$3,$D$2-1)))))</f>
        <v/>
      </c>
      <c r="R12" s="123">
        <f>IF(OR($C12="",$B$2="",$D$2=0),0,IF(R$3&lt;0,0,N(INDEX('CURVA PREVISION'!$A$1:$KZ$3000,$C12,10+3*MIN(R$3,$D$2-1)))))</f>
        <v/>
      </c>
      <c r="S12" s="123">
        <f>IF(OR($C12="",$B$2="",$D$2=0),0,IF(S$3&lt;0,0,N(INDEX('CURVA PREVISION'!$A$1:$KZ$3000,$C12,10+3*MIN(S$3,$D$2-1)))))</f>
        <v/>
      </c>
      <c r="T12" s="123">
        <f>IF(OR($C12="",$B$2="",$D$2=0),0,IF(T$3&lt;0,0,N(INDEX('CURVA PREVISION'!$A$1:$KZ$3000,$C12,10+3*MIN(T$3,$D$2-1)))))</f>
        <v/>
      </c>
      <c r="U12" s="123">
        <f>IF(OR($C12="",$B$2="",$D$2=0),0,IF(U$3&lt;0,0,N(INDEX('CURVA PREVISION'!$A$1:$KZ$3000,$C12,10+3*MIN(U$3,$D$2-1)))))</f>
        <v/>
      </c>
      <c r="V12" s="123">
        <f>IF(OR($C12="",$B$2="",$D$2=0),0,IF(V$3&lt;0,0,N(INDEX('CURVA PREVISION'!$A$1:$KZ$3000,$C12,10+3*MIN(V$3,$D$2-1)))))</f>
        <v/>
      </c>
      <c r="W12" s="123">
        <f>IF(OR($C12="",$B$2="",$D$2=0),0,IF(W$3&lt;0,0,N(INDEX('CURVA PREVISION'!$A$1:$KZ$3000,$C12,10+3*MIN(W$3,$D$2-1)))))</f>
        <v/>
      </c>
      <c r="X12" s="123">
        <f>IF(OR($C12="",$B$2="",$D$2=0),0,IF(X$3&lt;0,0,N(INDEX('CURVA PREVISION'!$A$1:$KZ$3000,$C12,10+3*MIN(X$3,$D$2-1)))))</f>
        <v/>
      </c>
      <c r="Y12" s="123">
        <f>IF(OR($C12="",$B$2="",$D$2=0),0,IF(Y$3&lt;0,0,N(INDEX('CURVA PREVISION'!$A$1:$KZ$3000,$C12,10+3*MIN(Y$3,$D$2-1)))))</f>
        <v/>
      </c>
      <c r="Z12" s="123">
        <f>IF(OR($C12="",$B$2="",$D$2=0),0,IF(Z$3&lt;0,0,N(INDEX('CURVA PREVISION'!$A$1:$KZ$3000,$C12,10+3*MIN(Z$3,$D$2-1)))))</f>
        <v/>
      </c>
      <c r="AA12" s="123">
        <f>IF(OR($C12="",$B$2="",$D$2=0),0,IF(AA$3&lt;0,0,N(INDEX('CURVA PREVISION'!$A$1:$KZ$3000,$C12,10+3*MIN(AA$3,$D$2-1)))))</f>
        <v/>
      </c>
      <c r="AB12" s="123">
        <f>IF(OR($C12="",$B$2="",$D$2=0),0,IF(AB$3&lt;0,0,N(INDEX('CURVA PREVISION'!$A$1:$KZ$3000,$C12,10+3*MIN(AB$3,$D$2-1)))))</f>
        <v/>
      </c>
      <c r="AC12" s="123">
        <f>IF(OR($C12="",$B$2="",$D$2=0),0,IF(AC$3&lt;0,0,N(INDEX('CURVA PREVISION'!$A$1:$KZ$3000,$C12,10+3*MIN(AC$3,$D$2-1)))))</f>
        <v/>
      </c>
      <c r="AD12" s="123">
        <f>IF(OR($C12="",$B$2="",$D$2=0),0,IF(AD$3&lt;0,0,N(INDEX('CURVA PREVISION'!$A$1:$KZ$3000,$C12,10+3*MIN(AD$3,$D$2-1)))))</f>
        <v/>
      </c>
      <c r="AE12" s="123">
        <f>IF(OR($C12="",$B$2="",$D$2=0),0,IF(AE$3&lt;0,0,N(INDEX('CURVA PREVISION'!$A$1:$KZ$3000,$C12,10+3*MIN(AE$3,$D$2-1)))))</f>
        <v/>
      </c>
      <c r="AF12" s="123">
        <f>IF(OR($C12="",$B$2="",$D$2=0),0,IF(AF$3&lt;0,0,N(INDEX('CURVA PREVISION'!$A$1:$KZ$3000,$C12,10+3*MIN(AF$3,$D$2-1)))))</f>
        <v/>
      </c>
      <c r="AG12" s="123">
        <f>IF(OR($C12="",$B$2="",$D$2=0),0,IF(AG$3&lt;0,0,N(INDEX('CURVA PREVISION'!$A$1:$KZ$3000,$C12,10+3*MIN(AG$3,$D$2-1)))))</f>
        <v/>
      </c>
      <c r="AH12" s="123">
        <f>IF(OR($C12="",$B$2="",$D$2=0),0,IF(AH$3&lt;0,0,N(INDEX('CURVA PREVISION'!$A$1:$KZ$3000,$C12,10+3*MIN(AH$3,$D$2-1)))))</f>
        <v/>
      </c>
      <c r="AI12" s="123">
        <f>IF(OR($C12="",$B$2="",$D$2=0),0,IF(AI$3&lt;0,0,N(INDEX('CURVA PREVISION'!$A$1:$KZ$3000,$C12,10+3*MIN(AI$3,$D$2-1)))))</f>
        <v/>
      </c>
      <c r="AJ12" s="123">
        <f>IF(OR($C12="",$B$2="",$D$2=0),0,IF(AJ$3&lt;0,0,N(INDEX('CURVA PREVISION'!$A$1:$KZ$3000,$C12,10+3*MIN(AJ$3,$D$2-1)))))</f>
        <v/>
      </c>
      <c r="AK12" s="123">
        <f>IF(OR($C12="",$B$2="",$D$2=0),0,IF(AK$3&lt;0,0,N(INDEX('CURVA PREVISION'!$A$1:$KZ$3000,$C12,10+3*MIN(AK$3,$D$2-1)))))</f>
        <v/>
      </c>
      <c r="AL12" s="123">
        <f>IF(OR($C12="",$B$2="",$D$2=0),0,IF(AL$3&lt;0,0,N(INDEX('CURVA PREVISION'!$A$1:$KZ$3000,$C12,10+3*MIN(AL$3,$D$2-1)))))</f>
        <v/>
      </c>
      <c r="AM12" s="123">
        <f>IF(OR($C12="",$B$2="",$D$2=0),0,IF(AM$3&lt;0,0,N(INDEX('CURVA PREVISION'!$A$1:$KZ$3000,$C12,10+3*MIN(AM$3,$D$2-1)))))</f>
        <v/>
      </c>
      <c r="AN12" s="123">
        <f>IF(OR($C12="",$B$2="",$D$2=0),0,IF(AN$3&lt;0,0,N(INDEX('CURVA PREVISION'!$A$1:$KZ$3000,$C12,10+3*MIN(AN$3,$D$2-1)))))</f>
        <v/>
      </c>
      <c r="AO12" s="123">
        <f>IF(OR($C12="",$B$2="",$D$2=0),0,IF(AO$3&lt;0,0,N(INDEX('CURVA PREVISION'!$A$1:$KZ$3000,$C12,10+3*MIN(AO$3,$D$2-1)))))</f>
        <v/>
      </c>
      <c r="AP12" s="123">
        <f>IF(OR($C12="",$B$2="",$D$2=0),0,IF(AP$3&lt;0,0,N(INDEX('CURVA PREVISION'!$A$1:$KZ$3000,$C12,10+3*MIN(AP$3,$D$2-1)))))</f>
        <v/>
      </c>
      <c r="AQ12" s="123">
        <f>IF(OR($C12="",$B$2="",$D$2=0),0,IF(AQ$3&lt;0,0,N(INDEX('CURVA PREVISION'!$A$1:$KZ$3000,$C12,10+3*MIN(AQ$3,$D$2-1)))))</f>
        <v/>
      </c>
      <c r="AR12" s="123">
        <f>IF(OR($C12="",$B$2="",$D$2=0),0,IF(AR$3&lt;0,0,N(INDEX('CURVA PREVISION'!$A$1:$KZ$3000,$C12,10+3*MIN(AR$3,$D$2-1)))))</f>
        <v/>
      </c>
      <c r="AS12" s="123">
        <f>IF(OR($C12="",$B$2="",$D$2=0),0,IF(AS$3&lt;0,0,N(INDEX('CURVA PREVISION'!$A$1:$KZ$3000,$C12,10+3*MIN(AS$3,$D$2-1)))))</f>
        <v/>
      </c>
      <c r="AT12" s="123">
        <f>IF(OR($C12="",$B$2="",$D$2=0),0,IF(AT$3&lt;0,0,N(INDEX('CURVA PREVISION'!$A$1:$KZ$3000,$C12,10+3*MIN(AT$3,$D$2-1)))))</f>
        <v/>
      </c>
      <c r="AU12" s="123">
        <f>IF(OR($C12="",$B$2="",$D$2=0),0,IF(AU$3&lt;0,0,N(INDEX('CURVA PREVISION'!$A$1:$KZ$3000,$C12,10+3*MIN(AU$3,$D$2-1)))))</f>
        <v/>
      </c>
      <c r="AV12" s="123">
        <f>IF(OR($C12="",$B$2="",$D$2=0),0,IF(AV$3&lt;0,0,N(INDEX('CURVA PREVISION'!$A$1:$KZ$3000,$C12,10+3*MIN(AV$3,$D$2-1)))))</f>
        <v/>
      </c>
      <c r="AW12" s="123">
        <f>IF(OR($C12="",$B$2="",$D$2=0),0,IF(AW$3&lt;0,0,N(INDEX('CURVA PREVISION'!$A$1:$KZ$3000,$C12,10+3*MIN(AW$3,$D$2-1)))))</f>
        <v/>
      </c>
      <c r="AX12" s="123">
        <f>IF(OR($C12="",$B$2="",$D$2=0),0,IF(AX$3&lt;0,0,N(INDEX('CURVA PREVISION'!$A$1:$KZ$3000,$C12,10+3*MIN(AX$3,$D$2-1)))))</f>
        <v/>
      </c>
      <c r="AY12" s="123">
        <f>IF(OR($C12="",$B$2="",$D$2=0),0,IF(AY$3&lt;0,0,N(INDEX('CURVA PREVISION'!$A$1:$KZ$3000,$C12,10+3*MIN(AY$3,$D$2-1)))))</f>
        <v/>
      </c>
      <c r="AZ12" s="123">
        <f>IF(OR($C12="",$B$2="",$D$2=0),0,IF(AZ$3&lt;0,0,N(INDEX('CURVA PREVISION'!$A$1:$KZ$3000,$C12,10+3*MIN(AZ$3,$D$2-1)))))</f>
        <v/>
      </c>
      <c r="BA12" s="123">
        <f>IF(OR($C12="",$B$2="",$D$2=0),0,IF(BA$3&lt;0,0,N(INDEX('CURVA PREVISION'!$A$1:$KZ$3000,$C12,10+3*MIN(BA$3,$D$2-1)))))</f>
        <v/>
      </c>
      <c r="BB12" s="123">
        <f>IF(OR($C12="",$B$2="",$D$2=0),0,IF(BB$3&lt;0,0,N(INDEX('CURVA PREVISION'!$A$1:$KZ$3000,$C12,10+3*MIN(BB$3,$D$2-1)))))</f>
        <v/>
      </c>
      <c r="BC12" s="123">
        <f>IF(OR($C12="",$B$2="",$D$2=0),0,IF(BC$3&lt;0,0,N(INDEX('CURVA PREVISION'!$A$1:$KZ$3000,$C12,10+3*MIN(BC$3,$D$2-1)))))</f>
        <v/>
      </c>
      <c r="BD12" s="123">
        <f>IF(OR($C12="",$B$2="",$D$2=0),0,IF(BD$3&lt;0,0,N(INDEX('CURVA PREVISION'!$A$1:$KZ$3000,$C12,10+3*MIN(BD$3,$D$2-1)))))</f>
        <v/>
      </c>
      <c r="BE12" s="123">
        <f>IF(OR($C12="",$B$2="",$D$2=0),0,IF(BE$3&lt;0,0,N(INDEX('CURVA PREVISION'!$A$1:$KZ$3000,$C12,10+3*MIN(BE$3,$D$2-1)))))</f>
        <v/>
      </c>
      <c r="BF12" s="123">
        <f>IF(OR($C12="",$B$2="",$D$2=0),0,IF(BF$3&lt;0,0,N(INDEX('CURVA PREVISION'!$A$1:$KZ$3000,$C12,10+3*MIN(BF$3,$D$2-1)))))</f>
        <v/>
      </c>
      <c r="BG12" s="123">
        <f>IF(OR($C12="",$B$2="",$D$2=0),0,IF(BG$3&lt;0,0,N(INDEX('CURVA PREVISION'!$A$1:$KZ$3000,$C12,10+3*MIN(BG$3,$D$2-1)))))</f>
        <v/>
      </c>
      <c r="BH12" s="123">
        <f>IF(OR($C12="",$B$2="",$D$2=0),0,IF(BH$3&lt;0,0,N(INDEX('CURVA PREVISION'!$A$1:$KZ$3000,$C12,10+3*MIN(BH$3,$D$2-1)))))</f>
        <v/>
      </c>
      <c r="BI12" s="123">
        <f>IF(OR($C12="",$B$2="",$D$2=0),0,IF(BI$3&lt;0,0,N(INDEX('CURVA PREVISION'!$A$1:$KZ$3000,$C12,10+3*MIN(BI$3,$D$2-1)))))</f>
        <v/>
      </c>
      <c r="BJ12" s="123">
        <f>IF(OR($C12="",$B$2="",$D$2=0),0,IF(BJ$3&lt;0,0,N(INDEX('CURVA PREVISION'!$A$1:$KZ$3000,$C12,10+3*MIN(BJ$3,$D$2-1)))))</f>
        <v/>
      </c>
      <c r="BK12" s="123">
        <f>IF(OR($C12="",$B$2="",$D$2=0),0,IF(BK$3&lt;0,0,N(INDEX('CURVA PREVISION'!$A$1:$KZ$3000,$C12,10+3*MIN(BK$3,$D$2-1)))))</f>
        <v/>
      </c>
      <c r="BL12" s="123">
        <f>IF(OR($C12="",$B$2="",$D$2=0),0,IF(BL$3&lt;0,0,N(INDEX('CURVA PREVISION'!$A$1:$KZ$3000,$C12,10+3*MIN(BL$3,$D$2-1)))))</f>
        <v/>
      </c>
      <c r="BM12" s="123">
        <f>IF(OR($C12="",$B$2="",$D$2=0),0,IF(BM$3&lt;0,0,N(INDEX('CURVA PREVISION'!$A$1:$KZ$3000,$C12,10+3*MIN(BM$3,$D$2-1)))))</f>
        <v/>
      </c>
      <c r="BN12" s="123">
        <f>IF(OR($C12="",$B$2="",$D$2=0),0,IF(BN$3&lt;0,0,N(INDEX('CURVA PREVISION'!$A$1:$KZ$3000,$C12,10+3*MIN(BN$3,$D$2-1)))))</f>
        <v/>
      </c>
      <c r="BO12" s="123">
        <f>IF(OR($C12="",$B$2="",$D$2=0),0,IF(BO$3&lt;0,0,N(INDEX('CURVA PREVISION'!$A$1:$KZ$3000,$C12,10+3*MIN(BO$3,$D$2-1)))))</f>
        <v/>
      </c>
      <c r="BP12" s="123">
        <f>IF(OR($C12="",$B$2="",$D$2=0),0,IF(BP$3&lt;0,0,N(INDEX('CURVA PREVISION'!$A$1:$KZ$3000,$C12,10+3*MIN(BP$3,$D$2-1)))))</f>
        <v/>
      </c>
      <c r="BQ12" s="123">
        <f>IF(OR($C12="",$B$2="",$D$2=0),0,IF(BQ$3&lt;0,0,N(INDEX('CURVA PREVISION'!$A$1:$KZ$3000,$C12,10+3*MIN(BQ$3,$D$2-1)))))</f>
        <v/>
      </c>
      <c r="BR12" s="123">
        <f>IF(OR($C12="",$B$2="",$D$2=0),0,IF(BR$3&lt;0,0,N(INDEX('CURVA PREVISION'!$A$1:$KZ$3000,$C12,10+3*MIN(BR$3,$D$2-1)))))</f>
        <v/>
      </c>
      <c r="BS12" s="123">
        <f>IF(OR($C12="",$B$2="",$D$2=0),0,IF(BS$3&lt;0,0,N(INDEX('CURVA PREVISION'!$A$1:$KZ$3000,$C12,10+3*MIN(BS$3,$D$2-1)))))</f>
        <v/>
      </c>
      <c r="BT12" s="123">
        <f>IF(OR($C12="",$B$2="",$D$2=0),0,IF(BT$3&lt;0,0,N(INDEX('CURVA PREVISION'!$A$1:$KZ$3000,$C12,10+3*MIN(BT$3,$D$2-1)))))</f>
        <v/>
      </c>
      <c r="BU12" s="123">
        <f>IF(OR($C12="",$B$2="",$D$2=0),0,IF(BU$3&lt;0,0,N(INDEX('CURVA PREVISION'!$A$1:$KZ$3000,$C12,10+3*MIN(BU$3,$D$2-1)))))</f>
        <v/>
      </c>
      <c r="BV12" s="123">
        <f>IF(OR($C12="",$B$2="",$D$2=0),0,IF(BV$3&lt;0,0,N(INDEX('CURVA PREVISION'!$A$1:$KZ$3000,$C12,10+3*MIN(BV$3,$D$2-1)))))</f>
        <v/>
      </c>
      <c r="BW12" s="123">
        <f>IF(OR($C12="",$B$2="",$D$2=0),0,IF(BW$3&lt;0,0,N(INDEX('CURVA PREVISION'!$A$1:$KZ$3000,$C12,10+3*MIN(BW$3,$D$2-1)))))</f>
        <v/>
      </c>
    </row>
    <row r="13">
      <c r="A13" s="61">
        <f>IF('VALOR POR PL'!R19&lt;&gt;"",'VALOR POR PL'!R19,IF('VALOR POR PL'!Q19="",'VALOR POR PL'!C19,'VALOR POR PL'!Q19))</f>
        <v/>
      </c>
      <c r="B13" s="61">
        <f>'VALOR POR PL'!D19</f>
        <v/>
      </c>
      <c r="C13" s="70">
        <f>IFERROR(MATCH(A13,'CURVA PREVISION'!$B$1:$B$3000,0),"")</f>
        <v/>
      </c>
      <c r="D13" s="123">
        <f>IF(OR($C13="",$B$2="",$D$2=0),0,IF(D$3&lt;0,0,N(INDEX('CURVA PREVISION'!$A$1:$KZ$3000,$C13,10+3*MIN(D$3,$D$2-1)))))</f>
        <v/>
      </c>
      <c r="E13" s="123">
        <f>IF(OR($C13="",$B$2="",$D$2=0),0,IF(E$3&lt;0,0,N(INDEX('CURVA PREVISION'!$A$1:$KZ$3000,$C13,10+3*MIN(E$3,$D$2-1)))))</f>
        <v/>
      </c>
      <c r="F13" s="123">
        <f>IF(OR($C13="",$B$2="",$D$2=0),0,IF(F$3&lt;0,0,N(INDEX('CURVA PREVISION'!$A$1:$KZ$3000,$C13,10+3*MIN(F$3,$D$2-1)))))</f>
        <v/>
      </c>
      <c r="G13" s="123">
        <f>IF(OR($C13="",$B$2="",$D$2=0),0,IF(G$3&lt;0,0,N(INDEX('CURVA PREVISION'!$A$1:$KZ$3000,$C13,10+3*MIN(G$3,$D$2-1)))))</f>
        <v/>
      </c>
      <c r="H13" s="123">
        <f>IF(OR($C13="",$B$2="",$D$2=0),0,IF(H$3&lt;0,0,N(INDEX('CURVA PREVISION'!$A$1:$KZ$3000,$C13,10+3*MIN(H$3,$D$2-1)))))</f>
        <v/>
      </c>
      <c r="I13" s="123">
        <f>IF(OR($C13="",$B$2="",$D$2=0),0,IF(I$3&lt;0,0,N(INDEX('CURVA PREVISION'!$A$1:$KZ$3000,$C13,10+3*MIN(I$3,$D$2-1)))))</f>
        <v/>
      </c>
      <c r="J13" s="123">
        <f>IF(OR($C13="",$B$2="",$D$2=0),0,IF(J$3&lt;0,0,N(INDEX('CURVA PREVISION'!$A$1:$KZ$3000,$C13,10+3*MIN(J$3,$D$2-1)))))</f>
        <v/>
      </c>
      <c r="K13" s="123">
        <f>IF(OR($C13="",$B$2="",$D$2=0),0,IF(K$3&lt;0,0,N(INDEX('CURVA PREVISION'!$A$1:$KZ$3000,$C13,10+3*MIN(K$3,$D$2-1)))))</f>
        <v/>
      </c>
      <c r="L13" s="123">
        <f>IF(OR($C13="",$B$2="",$D$2=0),0,IF(L$3&lt;0,0,N(INDEX('CURVA PREVISION'!$A$1:$KZ$3000,$C13,10+3*MIN(L$3,$D$2-1)))))</f>
        <v/>
      </c>
      <c r="M13" s="123">
        <f>IF(OR($C13="",$B$2="",$D$2=0),0,IF(M$3&lt;0,0,N(INDEX('CURVA PREVISION'!$A$1:$KZ$3000,$C13,10+3*MIN(M$3,$D$2-1)))))</f>
        <v/>
      </c>
      <c r="N13" s="123">
        <f>IF(OR($C13="",$B$2="",$D$2=0),0,IF(N$3&lt;0,0,N(INDEX('CURVA PREVISION'!$A$1:$KZ$3000,$C13,10+3*MIN(N$3,$D$2-1)))))</f>
        <v/>
      </c>
      <c r="O13" s="123">
        <f>IF(OR($C13="",$B$2="",$D$2=0),0,IF(O$3&lt;0,0,N(INDEX('CURVA PREVISION'!$A$1:$KZ$3000,$C13,10+3*MIN(O$3,$D$2-1)))))</f>
        <v/>
      </c>
      <c r="P13" s="123">
        <f>IF(OR($C13="",$B$2="",$D$2=0),0,IF(P$3&lt;0,0,N(INDEX('CURVA PREVISION'!$A$1:$KZ$3000,$C13,10+3*MIN(P$3,$D$2-1)))))</f>
        <v/>
      </c>
      <c r="Q13" s="123">
        <f>IF(OR($C13="",$B$2="",$D$2=0),0,IF(Q$3&lt;0,0,N(INDEX('CURVA PREVISION'!$A$1:$KZ$3000,$C13,10+3*MIN(Q$3,$D$2-1)))))</f>
        <v/>
      </c>
      <c r="R13" s="123">
        <f>IF(OR($C13="",$B$2="",$D$2=0),0,IF(R$3&lt;0,0,N(INDEX('CURVA PREVISION'!$A$1:$KZ$3000,$C13,10+3*MIN(R$3,$D$2-1)))))</f>
        <v/>
      </c>
      <c r="S13" s="123">
        <f>IF(OR($C13="",$B$2="",$D$2=0),0,IF(S$3&lt;0,0,N(INDEX('CURVA PREVISION'!$A$1:$KZ$3000,$C13,10+3*MIN(S$3,$D$2-1)))))</f>
        <v/>
      </c>
      <c r="T13" s="123">
        <f>IF(OR($C13="",$B$2="",$D$2=0),0,IF(T$3&lt;0,0,N(INDEX('CURVA PREVISION'!$A$1:$KZ$3000,$C13,10+3*MIN(T$3,$D$2-1)))))</f>
        <v/>
      </c>
      <c r="U13" s="123">
        <f>IF(OR($C13="",$B$2="",$D$2=0),0,IF(U$3&lt;0,0,N(INDEX('CURVA PREVISION'!$A$1:$KZ$3000,$C13,10+3*MIN(U$3,$D$2-1)))))</f>
        <v/>
      </c>
      <c r="V13" s="123">
        <f>IF(OR($C13="",$B$2="",$D$2=0),0,IF(V$3&lt;0,0,N(INDEX('CURVA PREVISION'!$A$1:$KZ$3000,$C13,10+3*MIN(V$3,$D$2-1)))))</f>
        <v/>
      </c>
      <c r="W13" s="123">
        <f>IF(OR($C13="",$B$2="",$D$2=0),0,IF(W$3&lt;0,0,N(INDEX('CURVA PREVISION'!$A$1:$KZ$3000,$C13,10+3*MIN(W$3,$D$2-1)))))</f>
        <v/>
      </c>
      <c r="X13" s="123">
        <f>IF(OR($C13="",$B$2="",$D$2=0),0,IF(X$3&lt;0,0,N(INDEX('CURVA PREVISION'!$A$1:$KZ$3000,$C13,10+3*MIN(X$3,$D$2-1)))))</f>
        <v/>
      </c>
      <c r="Y13" s="123">
        <f>IF(OR($C13="",$B$2="",$D$2=0),0,IF(Y$3&lt;0,0,N(INDEX('CURVA PREVISION'!$A$1:$KZ$3000,$C13,10+3*MIN(Y$3,$D$2-1)))))</f>
        <v/>
      </c>
      <c r="Z13" s="123">
        <f>IF(OR($C13="",$B$2="",$D$2=0),0,IF(Z$3&lt;0,0,N(INDEX('CURVA PREVISION'!$A$1:$KZ$3000,$C13,10+3*MIN(Z$3,$D$2-1)))))</f>
        <v/>
      </c>
      <c r="AA13" s="123">
        <f>IF(OR($C13="",$B$2="",$D$2=0),0,IF(AA$3&lt;0,0,N(INDEX('CURVA PREVISION'!$A$1:$KZ$3000,$C13,10+3*MIN(AA$3,$D$2-1)))))</f>
        <v/>
      </c>
      <c r="AB13" s="123">
        <f>IF(OR($C13="",$B$2="",$D$2=0),0,IF(AB$3&lt;0,0,N(INDEX('CURVA PREVISION'!$A$1:$KZ$3000,$C13,10+3*MIN(AB$3,$D$2-1)))))</f>
        <v/>
      </c>
      <c r="AC13" s="123">
        <f>IF(OR($C13="",$B$2="",$D$2=0),0,IF(AC$3&lt;0,0,N(INDEX('CURVA PREVISION'!$A$1:$KZ$3000,$C13,10+3*MIN(AC$3,$D$2-1)))))</f>
        <v/>
      </c>
      <c r="AD13" s="123">
        <f>IF(OR($C13="",$B$2="",$D$2=0),0,IF(AD$3&lt;0,0,N(INDEX('CURVA PREVISION'!$A$1:$KZ$3000,$C13,10+3*MIN(AD$3,$D$2-1)))))</f>
        <v/>
      </c>
      <c r="AE13" s="123">
        <f>IF(OR($C13="",$B$2="",$D$2=0),0,IF(AE$3&lt;0,0,N(INDEX('CURVA PREVISION'!$A$1:$KZ$3000,$C13,10+3*MIN(AE$3,$D$2-1)))))</f>
        <v/>
      </c>
      <c r="AF13" s="123">
        <f>IF(OR($C13="",$B$2="",$D$2=0),0,IF(AF$3&lt;0,0,N(INDEX('CURVA PREVISION'!$A$1:$KZ$3000,$C13,10+3*MIN(AF$3,$D$2-1)))))</f>
        <v/>
      </c>
      <c r="AG13" s="123">
        <f>IF(OR($C13="",$B$2="",$D$2=0),0,IF(AG$3&lt;0,0,N(INDEX('CURVA PREVISION'!$A$1:$KZ$3000,$C13,10+3*MIN(AG$3,$D$2-1)))))</f>
        <v/>
      </c>
      <c r="AH13" s="123">
        <f>IF(OR($C13="",$B$2="",$D$2=0),0,IF(AH$3&lt;0,0,N(INDEX('CURVA PREVISION'!$A$1:$KZ$3000,$C13,10+3*MIN(AH$3,$D$2-1)))))</f>
        <v/>
      </c>
      <c r="AI13" s="123">
        <f>IF(OR($C13="",$B$2="",$D$2=0),0,IF(AI$3&lt;0,0,N(INDEX('CURVA PREVISION'!$A$1:$KZ$3000,$C13,10+3*MIN(AI$3,$D$2-1)))))</f>
        <v/>
      </c>
      <c r="AJ13" s="123">
        <f>IF(OR($C13="",$B$2="",$D$2=0),0,IF(AJ$3&lt;0,0,N(INDEX('CURVA PREVISION'!$A$1:$KZ$3000,$C13,10+3*MIN(AJ$3,$D$2-1)))))</f>
        <v/>
      </c>
      <c r="AK13" s="123">
        <f>IF(OR($C13="",$B$2="",$D$2=0),0,IF(AK$3&lt;0,0,N(INDEX('CURVA PREVISION'!$A$1:$KZ$3000,$C13,10+3*MIN(AK$3,$D$2-1)))))</f>
        <v/>
      </c>
      <c r="AL13" s="123">
        <f>IF(OR($C13="",$B$2="",$D$2=0),0,IF(AL$3&lt;0,0,N(INDEX('CURVA PREVISION'!$A$1:$KZ$3000,$C13,10+3*MIN(AL$3,$D$2-1)))))</f>
        <v/>
      </c>
      <c r="AM13" s="123">
        <f>IF(OR($C13="",$B$2="",$D$2=0),0,IF(AM$3&lt;0,0,N(INDEX('CURVA PREVISION'!$A$1:$KZ$3000,$C13,10+3*MIN(AM$3,$D$2-1)))))</f>
        <v/>
      </c>
      <c r="AN13" s="123">
        <f>IF(OR($C13="",$B$2="",$D$2=0),0,IF(AN$3&lt;0,0,N(INDEX('CURVA PREVISION'!$A$1:$KZ$3000,$C13,10+3*MIN(AN$3,$D$2-1)))))</f>
        <v/>
      </c>
      <c r="AO13" s="123">
        <f>IF(OR($C13="",$B$2="",$D$2=0),0,IF(AO$3&lt;0,0,N(INDEX('CURVA PREVISION'!$A$1:$KZ$3000,$C13,10+3*MIN(AO$3,$D$2-1)))))</f>
        <v/>
      </c>
      <c r="AP13" s="123">
        <f>IF(OR($C13="",$B$2="",$D$2=0),0,IF(AP$3&lt;0,0,N(INDEX('CURVA PREVISION'!$A$1:$KZ$3000,$C13,10+3*MIN(AP$3,$D$2-1)))))</f>
        <v/>
      </c>
      <c r="AQ13" s="123">
        <f>IF(OR($C13="",$B$2="",$D$2=0),0,IF(AQ$3&lt;0,0,N(INDEX('CURVA PREVISION'!$A$1:$KZ$3000,$C13,10+3*MIN(AQ$3,$D$2-1)))))</f>
        <v/>
      </c>
      <c r="AR13" s="123">
        <f>IF(OR($C13="",$B$2="",$D$2=0),0,IF(AR$3&lt;0,0,N(INDEX('CURVA PREVISION'!$A$1:$KZ$3000,$C13,10+3*MIN(AR$3,$D$2-1)))))</f>
        <v/>
      </c>
      <c r="AS13" s="123">
        <f>IF(OR($C13="",$B$2="",$D$2=0),0,IF(AS$3&lt;0,0,N(INDEX('CURVA PREVISION'!$A$1:$KZ$3000,$C13,10+3*MIN(AS$3,$D$2-1)))))</f>
        <v/>
      </c>
      <c r="AT13" s="123">
        <f>IF(OR($C13="",$B$2="",$D$2=0),0,IF(AT$3&lt;0,0,N(INDEX('CURVA PREVISION'!$A$1:$KZ$3000,$C13,10+3*MIN(AT$3,$D$2-1)))))</f>
        <v/>
      </c>
      <c r="AU13" s="123">
        <f>IF(OR($C13="",$B$2="",$D$2=0),0,IF(AU$3&lt;0,0,N(INDEX('CURVA PREVISION'!$A$1:$KZ$3000,$C13,10+3*MIN(AU$3,$D$2-1)))))</f>
        <v/>
      </c>
      <c r="AV13" s="123">
        <f>IF(OR($C13="",$B$2="",$D$2=0),0,IF(AV$3&lt;0,0,N(INDEX('CURVA PREVISION'!$A$1:$KZ$3000,$C13,10+3*MIN(AV$3,$D$2-1)))))</f>
        <v/>
      </c>
      <c r="AW13" s="123">
        <f>IF(OR($C13="",$B$2="",$D$2=0),0,IF(AW$3&lt;0,0,N(INDEX('CURVA PREVISION'!$A$1:$KZ$3000,$C13,10+3*MIN(AW$3,$D$2-1)))))</f>
        <v/>
      </c>
      <c r="AX13" s="123">
        <f>IF(OR($C13="",$B$2="",$D$2=0),0,IF(AX$3&lt;0,0,N(INDEX('CURVA PREVISION'!$A$1:$KZ$3000,$C13,10+3*MIN(AX$3,$D$2-1)))))</f>
        <v/>
      </c>
      <c r="AY13" s="123">
        <f>IF(OR($C13="",$B$2="",$D$2=0),0,IF(AY$3&lt;0,0,N(INDEX('CURVA PREVISION'!$A$1:$KZ$3000,$C13,10+3*MIN(AY$3,$D$2-1)))))</f>
        <v/>
      </c>
      <c r="AZ13" s="123">
        <f>IF(OR($C13="",$B$2="",$D$2=0),0,IF(AZ$3&lt;0,0,N(INDEX('CURVA PREVISION'!$A$1:$KZ$3000,$C13,10+3*MIN(AZ$3,$D$2-1)))))</f>
        <v/>
      </c>
      <c r="BA13" s="123">
        <f>IF(OR($C13="",$B$2="",$D$2=0),0,IF(BA$3&lt;0,0,N(INDEX('CURVA PREVISION'!$A$1:$KZ$3000,$C13,10+3*MIN(BA$3,$D$2-1)))))</f>
        <v/>
      </c>
      <c r="BB13" s="123">
        <f>IF(OR($C13="",$B$2="",$D$2=0),0,IF(BB$3&lt;0,0,N(INDEX('CURVA PREVISION'!$A$1:$KZ$3000,$C13,10+3*MIN(BB$3,$D$2-1)))))</f>
        <v/>
      </c>
      <c r="BC13" s="123">
        <f>IF(OR($C13="",$B$2="",$D$2=0),0,IF(BC$3&lt;0,0,N(INDEX('CURVA PREVISION'!$A$1:$KZ$3000,$C13,10+3*MIN(BC$3,$D$2-1)))))</f>
        <v/>
      </c>
      <c r="BD13" s="123">
        <f>IF(OR($C13="",$B$2="",$D$2=0),0,IF(BD$3&lt;0,0,N(INDEX('CURVA PREVISION'!$A$1:$KZ$3000,$C13,10+3*MIN(BD$3,$D$2-1)))))</f>
        <v/>
      </c>
      <c r="BE13" s="123">
        <f>IF(OR($C13="",$B$2="",$D$2=0),0,IF(BE$3&lt;0,0,N(INDEX('CURVA PREVISION'!$A$1:$KZ$3000,$C13,10+3*MIN(BE$3,$D$2-1)))))</f>
        <v/>
      </c>
      <c r="BF13" s="123">
        <f>IF(OR($C13="",$B$2="",$D$2=0),0,IF(BF$3&lt;0,0,N(INDEX('CURVA PREVISION'!$A$1:$KZ$3000,$C13,10+3*MIN(BF$3,$D$2-1)))))</f>
        <v/>
      </c>
      <c r="BG13" s="123">
        <f>IF(OR($C13="",$B$2="",$D$2=0),0,IF(BG$3&lt;0,0,N(INDEX('CURVA PREVISION'!$A$1:$KZ$3000,$C13,10+3*MIN(BG$3,$D$2-1)))))</f>
        <v/>
      </c>
      <c r="BH13" s="123">
        <f>IF(OR($C13="",$B$2="",$D$2=0),0,IF(BH$3&lt;0,0,N(INDEX('CURVA PREVISION'!$A$1:$KZ$3000,$C13,10+3*MIN(BH$3,$D$2-1)))))</f>
        <v/>
      </c>
      <c r="BI13" s="123">
        <f>IF(OR($C13="",$B$2="",$D$2=0),0,IF(BI$3&lt;0,0,N(INDEX('CURVA PREVISION'!$A$1:$KZ$3000,$C13,10+3*MIN(BI$3,$D$2-1)))))</f>
        <v/>
      </c>
      <c r="BJ13" s="123">
        <f>IF(OR($C13="",$B$2="",$D$2=0),0,IF(BJ$3&lt;0,0,N(INDEX('CURVA PREVISION'!$A$1:$KZ$3000,$C13,10+3*MIN(BJ$3,$D$2-1)))))</f>
        <v/>
      </c>
      <c r="BK13" s="123">
        <f>IF(OR($C13="",$B$2="",$D$2=0),0,IF(BK$3&lt;0,0,N(INDEX('CURVA PREVISION'!$A$1:$KZ$3000,$C13,10+3*MIN(BK$3,$D$2-1)))))</f>
        <v/>
      </c>
      <c r="BL13" s="123">
        <f>IF(OR($C13="",$B$2="",$D$2=0),0,IF(BL$3&lt;0,0,N(INDEX('CURVA PREVISION'!$A$1:$KZ$3000,$C13,10+3*MIN(BL$3,$D$2-1)))))</f>
        <v/>
      </c>
      <c r="BM13" s="123">
        <f>IF(OR($C13="",$B$2="",$D$2=0),0,IF(BM$3&lt;0,0,N(INDEX('CURVA PREVISION'!$A$1:$KZ$3000,$C13,10+3*MIN(BM$3,$D$2-1)))))</f>
        <v/>
      </c>
      <c r="BN13" s="123">
        <f>IF(OR($C13="",$B$2="",$D$2=0),0,IF(BN$3&lt;0,0,N(INDEX('CURVA PREVISION'!$A$1:$KZ$3000,$C13,10+3*MIN(BN$3,$D$2-1)))))</f>
        <v/>
      </c>
      <c r="BO13" s="123">
        <f>IF(OR($C13="",$B$2="",$D$2=0),0,IF(BO$3&lt;0,0,N(INDEX('CURVA PREVISION'!$A$1:$KZ$3000,$C13,10+3*MIN(BO$3,$D$2-1)))))</f>
        <v/>
      </c>
      <c r="BP13" s="123">
        <f>IF(OR($C13="",$B$2="",$D$2=0),0,IF(BP$3&lt;0,0,N(INDEX('CURVA PREVISION'!$A$1:$KZ$3000,$C13,10+3*MIN(BP$3,$D$2-1)))))</f>
        <v/>
      </c>
      <c r="BQ13" s="123">
        <f>IF(OR($C13="",$B$2="",$D$2=0),0,IF(BQ$3&lt;0,0,N(INDEX('CURVA PREVISION'!$A$1:$KZ$3000,$C13,10+3*MIN(BQ$3,$D$2-1)))))</f>
        <v/>
      </c>
      <c r="BR13" s="123">
        <f>IF(OR($C13="",$B$2="",$D$2=0),0,IF(BR$3&lt;0,0,N(INDEX('CURVA PREVISION'!$A$1:$KZ$3000,$C13,10+3*MIN(BR$3,$D$2-1)))))</f>
        <v/>
      </c>
      <c r="BS13" s="123">
        <f>IF(OR($C13="",$B$2="",$D$2=0),0,IF(BS$3&lt;0,0,N(INDEX('CURVA PREVISION'!$A$1:$KZ$3000,$C13,10+3*MIN(BS$3,$D$2-1)))))</f>
        <v/>
      </c>
      <c r="BT13" s="123">
        <f>IF(OR($C13="",$B$2="",$D$2=0),0,IF(BT$3&lt;0,0,N(INDEX('CURVA PREVISION'!$A$1:$KZ$3000,$C13,10+3*MIN(BT$3,$D$2-1)))))</f>
        <v/>
      </c>
      <c r="BU13" s="123">
        <f>IF(OR($C13="",$B$2="",$D$2=0),0,IF(BU$3&lt;0,0,N(INDEX('CURVA PREVISION'!$A$1:$KZ$3000,$C13,10+3*MIN(BU$3,$D$2-1)))))</f>
        <v/>
      </c>
      <c r="BV13" s="123">
        <f>IF(OR($C13="",$B$2="",$D$2=0),0,IF(BV$3&lt;0,0,N(INDEX('CURVA PREVISION'!$A$1:$KZ$3000,$C13,10+3*MIN(BV$3,$D$2-1)))))</f>
        <v/>
      </c>
      <c r="BW13" s="123">
        <f>IF(OR($C13="",$B$2="",$D$2=0),0,IF(BW$3&lt;0,0,N(INDEX('CURVA PREVISION'!$A$1:$KZ$3000,$C13,10+3*MIN(BW$3,$D$2-1)))))</f>
        <v/>
      </c>
    </row>
    <row r="14">
      <c r="A14" s="61">
        <f>IF('VALOR POR PL'!R20&lt;&gt;"",'VALOR POR PL'!R20,IF('VALOR POR PL'!Q20="",'VALOR POR PL'!C20,'VALOR POR PL'!Q20))</f>
        <v/>
      </c>
      <c r="B14" s="61">
        <f>'VALOR POR PL'!D20</f>
        <v/>
      </c>
      <c r="C14" s="70">
        <f>IFERROR(MATCH(A14,'CURVA PREVISION'!$B$1:$B$3000,0),"")</f>
        <v/>
      </c>
      <c r="D14" s="123">
        <f>IF(OR($C14="",$B$2="",$D$2=0),0,IF(D$3&lt;0,0,N(INDEX('CURVA PREVISION'!$A$1:$KZ$3000,$C14,10+3*MIN(D$3,$D$2-1)))))</f>
        <v/>
      </c>
      <c r="E14" s="123">
        <f>IF(OR($C14="",$B$2="",$D$2=0),0,IF(E$3&lt;0,0,N(INDEX('CURVA PREVISION'!$A$1:$KZ$3000,$C14,10+3*MIN(E$3,$D$2-1)))))</f>
        <v/>
      </c>
      <c r="F14" s="123">
        <f>IF(OR($C14="",$B$2="",$D$2=0),0,IF(F$3&lt;0,0,N(INDEX('CURVA PREVISION'!$A$1:$KZ$3000,$C14,10+3*MIN(F$3,$D$2-1)))))</f>
        <v/>
      </c>
      <c r="G14" s="123">
        <f>IF(OR($C14="",$B$2="",$D$2=0),0,IF(G$3&lt;0,0,N(INDEX('CURVA PREVISION'!$A$1:$KZ$3000,$C14,10+3*MIN(G$3,$D$2-1)))))</f>
        <v/>
      </c>
      <c r="H14" s="123">
        <f>IF(OR($C14="",$B$2="",$D$2=0),0,IF(H$3&lt;0,0,N(INDEX('CURVA PREVISION'!$A$1:$KZ$3000,$C14,10+3*MIN(H$3,$D$2-1)))))</f>
        <v/>
      </c>
      <c r="I14" s="123">
        <f>IF(OR($C14="",$B$2="",$D$2=0),0,IF(I$3&lt;0,0,N(INDEX('CURVA PREVISION'!$A$1:$KZ$3000,$C14,10+3*MIN(I$3,$D$2-1)))))</f>
        <v/>
      </c>
      <c r="J14" s="123">
        <f>IF(OR($C14="",$B$2="",$D$2=0),0,IF(J$3&lt;0,0,N(INDEX('CURVA PREVISION'!$A$1:$KZ$3000,$C14,10+3*MIN(J$3,$D$2-1)))))</f>
        <v/>
      </c>
      <c r="K14" s="123">
        <f>IF(OR($C14="",$B$2="",$D$2=0),0,IF(K$3&lt;0,0,N(INDEX('CURVA PREVISION'!$A$1:$KZ$3000,$C14,10+3*MIN(K$3,$D$2-1)))))</f>
        <v/>
      </c>
      <c r="L14" s="123">
        <f>IF(OR($C14="",$B$2="",$D$2=0),0,IF(L$3&lt;0,0,N(INDEX('CURVA PREVISION'!$A$1:$KZ$3000,$C14,10+3*MIN(L$3,$D$2-1)))))</f>
        <v/>
      </c>
      <c r="M14" s="123">
        <f>IF(OR($C14="",$B$2="",$D$2=0),0,IF(M$3&lt;0,0,N(INDEX('CURVA PREVISION'!$A$1:$KZ$3000,$C14,10+3*MIN(M$3,$D$2-1)))))</f>
        <v/>
      </c>
      <c r="N14" s="123">
        <f>IF(OR($C14="",$B$2="",$D$2=0),0,IF(N$3&lt;0,0,N(INDEX('CURVA PREVISION'!$A$1:$KZ$3000,$C14,10+3*MIN(N$3,$D$2-1)))))</f>
        <v/>
      </c>
      <c r="O14" s="123">
        <f>IF(OR($C14="",$B$2="",$D$2=0),0,IF(O$3&lt;0,0,N(INDEX('CURVA PREVISION'!$A$1:$KZ$3000,$C14,10+3*MIN(O$3,$D$2-1)))))</f>
        <v/>
      </c>
      <c r="P14" s="123">
        <f>IF(OR($C14="",$B$2="",$D$2=0),0,IF(P$3&lt;0,0,N(INDEX('CURVA PREVISION'!$A$1:$KZ$3000,$C14,10+3*MIN(P$3,$D$2-1)))))</f>
        <v/>
      </c>
      <c r="Q14" s="123">
        <f>IF(OR($C14="",$B$2="",$D$2=0),0,IF(Q$3&lt;0,0,N(INDEX('CURVA PREVISION'!$A$1:$KZ$3000,$C14,10+3*MIN(Q$3,$D$2-1)))))</f>
        <v/>
      </c>
      <c r="R14" s="123">
        <f>IF(OR($C14="",$B$2="",$D$2=0),0,IF(R$3&lt;0,0,N(INDEX('CURVA PREVISION'!$A$1:$KZ$3000,$C14,10+3*MIN(R$3,$D$2-1)))))</f>
        <v/>
      </c>
      <c r="S14" s="123">
        <f>IF(OR($C14="",$B$2="",$D$2=0),0,IF(S$3&lt;0,0,N(INDEX('CURVA PREVISION'!$A$1:$KZ$3000,$C14,10+3*MIN(S$3,$D$2-1)))))</f>
        <v/>
      </c>
      <c r="T14" s="123">
        <f>IF(OR($C14="",$B$2="",$D$2=0),0,IF(T$3&lt;0,0,N(INDEX('CURVA PREVISION'!$A$1:$KZ$3000,$C14,10+3*MIN(T$3,$D$2-1)))))</f>
        <v/>
      </c>
      <c r="U14" s="123">
        <f>IF(OR($C14="",$B$2="",$D$2=0),0,IF(U$3&lt;0,0,N(INDEX('CURVA PREVISION'!$A$1:$KZ$3000,$C14,10+3*MIN(U$3,$D$2-1)))))</f>
        <v/>
      </c>
      <c r="V14" s="123">
        <f>IF(OR($C14="",$B$2="",$D$2=0),0,IF(V$3&lt;0,0,N(INDEX('CURVA PREVISION'!$A$1:$KZ$3000,$C14,10+3*MIN(V$3,$D$2-1)))))</f>
        <v/>
      </c>
      <c r="W14" s="123">
        <f>IF(OR($C14="",$B$2="",$D$2=0),0,IF(W$3&lt;0,0,N(INDEX('CURVA PREVISION'!$A$1:$KZ$3000,$C14,10+3*MIN(W$3,$D$2-1)))))</f>
        <v/>
      </c>
      <c r="X14" s="123">
        <f>IF(OR($C14="",$B$2="",$D$2=0),0,IF(X$3&lt;0,0,N(INDEX('CURVA PREVISION'!$A$1:$KZ$3000,$C14,10+3*MIN(X$3,$D$2-1)))))</f>
        <v/>
      </c>
      <c r="Y14" s="123">
        <f>IF(OR($C14="",$B$2="",$D$2=0),0,IF(Y$3&lt;0,0,N(INDEX('CURVA PREVISION'!$A$1:$KZ$3000,$C14,10+3*MIN(Y$3,$D$2-1)))))</f>
        <v/>
      </c>
      <c r="Z14" s="123">
        <f>IF(OR($C14="",$B$2="",$D$2=0),0,IF(Z$3&lt;0,0,N(INDEX('CURVA PREVISION'!$A$1:$KZ$3000,$C14,10+3*MIN(Z$3,$D$2-1)))))</f>
        <v/>
      </c>
      <c r="AA14" s="123">
        <f>IF(OR($C14="",$B$2="",$D$2=0),0,IF(AA$3&lt;0,0,N(INDEX('CURVA PREVISION'!$A$1:$KZ$3000,$C14,10+3*MIN(AA$3,$D$2-1)))))</f>
        <v/>
      </c>
      <c r="AB14" s="123">
        <f>IF(OR($C14="",$B$2="",$D$2=0),0,IF(AB$3&lt;0,0,N(INDEX('CURVA PREVISION'!$A$1:$KZ$3000,$C14,10+3*MIN(AB$3,$D$2-1)))))</f>
        <v/>
      </c>
      <c r="AC14" s="123">
        <f>IF(OR($C14="",$B$2="",$D$2=0),0,IF(AC$3&lt;0,0,N(INDEX('CURVA PREVISION'!$A$1:$KZ$3000,$C14,10+3*MIN(AC$3,$D$2-1)))))</f>
        <v/>
      </c>
      <c r="AD14" s="123">
        <f>IF(OR($C14="",$B$2="",$D$2=0),0,IF(AD$3&lt;0,0,N(INDEX('CURVA PREVISION'!$A$1:$KZ$3000,$C14,10+3*MIN(AD$3,$D$2-1)))))</f>
        <v/>
      </c>
      <c r="AE14" s="123">
        <f>IF(OR($C14="",$B$2="",$D$2=0),0,IF(AE$3&lt;0,0,N(INDEX('CURVA PREVISION'!$A$1:$KZ$3000,$C14,10+3*MIN(AE$3,$D$2-1)))))</f>
        <v/>
      </c>
      <c r="AF14" s="123">
        <f>IF(OR($C14="",$B$2="",$D$2=0),0,IF(AF$3&lt;0,0,N(INDEX('CURVA PREVISION'!$A$1:$KZ$3000,$C14,10+3*MIN(AF$3,$D$2-1)))))</f>
        <v/>
      </c>
      <c r="AG14" s="123">
        <f>IF(OR($C14="",$B$2="",$D$2=0),0,IF(AG$3&lt;0,0,N(INDEX('CURVA PREVISION'!$A$1:$KZ$3000,$C14,10+3*MIN(AG$3,$D$2-1)))))</f>
        <v/>
      </c>
      <c r="AH14" s="123">
        <f>IF(OR($C14="",$B$2="",$D$2=0),0,IF(AH$3&lt;0,0,N(INDEX('CURVA PREVISION'!$A$1:$KZ$3000,$C14,10+3*MIN(AH$3,$D$2-1)))))</f>
        <v/>
      </c>
      <c r="AI14" s="123">
        <f>IF(OR($C14="",$B$2="",$D$2=0),0,IF(AI$3&lt;0,0,N(INDEX('CURVA PREVISION'!$A$1:$KZ$3000,$C14,10+3*MIN(AI$3,$D$2-1)))))</f>
        <v/>
      </c>
      <c r="AJ14" s="123">
        <f>IF(OR($C14="",$B$2="",$D$2=0),0,IF(AJ$3&lt;0,0,N(INDEX('CURVA PREVISION'!$A$1:$KZ$3000,$C14,10+3*MIN(AJ$3,$D$2-1)))))</f>
        <v/>
      </c>
      <c r="AK14" s="123">
        <f>IF(OR($C14="",$B$2="",$D$2=0),0,IF(AK$3&lt;0,0,N(INDEX('CURVA PREVISION'!$A$1:$KZ$3000,$C14,10+3*MIN(AK$3,$D$2-1)))))</f>
        <v/>
      </c>
      <c r="AL14" s="123">
        <f>IF(OR($C14="",$B$2="",$D$2=0),0,IF(AL$3&lt;0,0,N(INDEX('CURVA PREVISION'!$A$1:$KZ$3000,$C14,10+3*MIN(AL$3,$D$2-1)))))</f>
        <v/>
      </c>
      <c r="AM14" s="123">
        <f>IF(OR($C14="",$B$2="",$D$2=0),0,IF(AM$3&lt;0,0,N(INDEX('CURVA PREVISION'!$A$1:$KZ$3000,$C14,10+3*MIN(AM$3,$D$2-1)))))</f>
        <v/>
      </c>
      <c r="AN14" s="123">
        <f>IF(OR($C14="",$B$2="",$D$2=0),0,IF(AN$3&lt;0,0,N(INDEX('CURVA PREVISION'!$A$1:$KZ$3000,$C14,10+3*MIN(AN$3,$D$2-1)))))</f>
        <v/>
      </c>
      <c r="AO14" s="123">
        <f>IF(OR($C14="",$B$2="",$D$2=0),0,IF(AO$3&lt;0,0,N(INDEX('CURVA PREVISION'!$A$1:$KZ$3000,$C14,10+3*MIN(AO$3,$D$2-1)))))</f>
        <v/>
      </c>
      <c r="AP14" s="123">
        <f>IF(OR($C14="",$B$2="",$D$2=0),0,IF(AP$3&lt;0,0,N(INDEX('CURVA PREVISION'!$A$1:$KZ$3000,$C14,10+3*MIN(AP$3,$D$2-1)))))</f>
        <v/>
      </c>
      <c r="AQ14" s="123">
        <f>IF(OR($C14="",$B$2="",$D$2=0),0,IF(AQ$3&lt;0,0,N(INDEX('CURVA PREVISION'!$A$1:$KZ$3000,$C14,10+3*MIN(AQ$3,$D$2-1)))))</f>
        <v/>
      </c>
      <c r="AR14" s="123">
        <f>IF(OR($C14="",$B$2="",$D$2=0),0,IF(AR$3&lt;0,0,N(INDEX('CURVA PREVISION'!$A$1:$KZ$3000,$C14,10+3*MIN(AR$3,$D$2-1)))))</f>
        <v/>
      </c>
      <c r="AS14" s="123">
        <f>IF(OR($C14="",$B$2="",$D$2=0),0,IF(AS$3&lt;0,0,N(INDEX('CURVA PREVISION'!$A$1:$KZ$3000,$C14,10+3*MIN(AS$3,$D$2-1)))))</f>
        <v/>
      </c>
      <c r="AT14" s="123">
        <f>IF(OR($C14="",$B$2="",$D$2=0),0,IF(AT$3&lt;0,0,N(INDEX('CURVA PREVISION'!$A$1:$KZ$3000,$C14,10+3*MIN(AT$3,$D$2-1)))))</f>
        <v/>
      </c>
      <c r="AU14" s="123">
        <f>IF(OR($C14="",$B$2="",$D$2=0),0,IF(AU$3&lt;0,0,N(INDEX('CURVA PREVISION'!$A$1:$KZ$3000,$C14,10+3*MIN(AU$3,$D$2-1)))))</f>
        <v/>
      </c>
      <c r="AV14" s="123">
        <f>IF(OR($C14="",$B$2="",$D$2=0),0,IF(AV$3&lt;0,0,N(INDEX('CURVA PREVISION'!$A$1:$KZ$3000,$C14,10+3*MIN(AV$3,$D$2-1)))))</f>
        <v/>
      </c>
      <c r="AW14" s="123">
        <f>IF(OR($C14="",$B$2="",$D$2=0),0,IF(AW$3&lt;0,0,N(INDEX('CURVA PREVISION'!$A$1:$KZ$3000,$C14,10+3*MIN(AW$3,$D$2-1)))))</f>
        <v/>
      </c>
      <c r="AX14" s="123">
        <f>IF(OR($C14="",$B$2="",$D$2=0),0,IF(AX$3&lt;0,0,N(INDEX('CURVA PREVISION'!$A$1:$KZ$3000,$C14,10+3*MIN(AX$3,$D$2-1)))))</f>
        <v/>
      </c>
      <c r="AY14" s="123">
        <f>IF(OR($C14="",$B$2="",$D$2=0),0,IF(AY$3&lt;0,0,N(INDEX('CURVA PREVISION'!$A$1:$KZ$3000,$C14,10+3*MIN(AY$3,$D$2-1)))))</f>
        <v/>
      </c>
      <c r="AZ14" s="123">
        <f>IF(OR($C14="",$B$2="",$D$2=0),0,IF(AZ$3&lt;0,0,N(INDEX('CURVA PREVISION'!$A$1:$KZ$3000,$C14,10+3*MIN(AZ$3,$D$2-1)))))</f>
        <v/>
      </c>
      <c r="BA14" s="123">
        <f>IF(OR($C14="",$B$2="",$D$2=0),0,IF(BA$3&lt;0,0,N(INDEX('CURVA PREVISION'!$A$1:$KZ$3000,$C14,10+3*MIN(BA$3,$D$2-1)))))</f>
        <v/>
      </c>
      <c r="BB14" s="123">
        <f>IF(OR($C14="",$B$2="",$D$2=0),0,IF(BB$3&lt;0,0,N(INDEX('CURVA PREVISION'!$A$1:$KZ$3000,$C14,10+3*MIN(BB$3,$D$2-1)))))</f>
        <v/>
      </c>
      <c r="BC14" s="123">
        <f>IF(OR($C14="",$B$2="",$D$2=0),0,IF(BC$3&lt;0,0,N(INDEX('CURVA PREVISION'!$A$1:$KZ$3000,$C14,10+3*MIN(BC$3,$D$2-1)))))</f>
        <v/>
      </c>
      <c r="BD14" s="123">
        <f>IF(OR($C14="",$B$2="",$D$2=0),0,IF(BD$3&lt;0,0,N(INDEX('CURVA PREVISION'!$A$1:$KZ$3000,$C14,10+3*MIN(BD$3,$D$2-1)))))</f>
        <v/>
      </c>
      <c r="BE14" s="123">
        <f>IF(OR($C14="",$B$2="",$D$2=0),0,IF(BE$3&lt;0,0,N(INDEX('CURVA PREVISION'!$A$1:$KZ$3000,$C14,10+3*MIN(BE$3,$D$2-1)))))</f>
        <v/>
      </c>
      <c r="BF14" s="123">
        <f>IF(OR($C14="",$B$2="",$D$2=0),0,IF(BF$3&lt;0,0,N(INDEX('CURVA PREVISION'!$A$1:$KZ$3000,$C14,10+3*MIN(BF$3,$D$2-1)))))</f>
        <v/>
      </c>
      <c r="BG14" s="123">
        <f>IF(OR($C14="",$B$2="",$D$2=0),0,IF(BG$3&lt;0,0,N(INDEX('CURVA PREVISION'!$A$1:$KZ$3000,$C14,10+3*MIN(BG$3,$D$2-1)))))</f>
        <v/>
      </c>
      <c r="BH14" s="123">
        <f>IF(OR($C14="",$B$2="",$D$2=0),0,IF(BH$3&lt;0,0,N(INDEX('CURVA PREVISION'!$A$1:$KZ$3000,$C14,10+3*MIN(BH$3,$D$2-1)))))</f>
        <v/>
      </c>
      <c r="BI14" s="123">
        <f>IF(OR($C14="",$B$2="",$D$2=0),0,IF(BI$3&lt;0,0,N(INDEX('CURVA PREVISION'!$A$1:$KZ$3000,$C14,10+3*MIN(BI$3,$D$2-1)))))</f>
        <v/>
      </c>
      <c r="BJ14" s="123">
        <f>IF(OR($C14="",$B$2="",$D$2=0),0,IF(BJ$3&lt;0,0,N(INDEX('CURVA PREVISION'!$A$1:$KZ$3000,$C14,10+3*MIN(BJ$3,$D$2-1)))))</f>
        <v/>
      </c>
      <c r="BK14" s="123">
        <f>IF(OR($C14="",$B$2="",$D$2=0),0,IF(BK$3&lt;0,0,N(INDEX('CURVA PREVISION'!$A$1:$KZ$3000,$C14,10+3*MIN(BK$3,$D$2-1)))))</f>
        <v/>
      </c>
      <c r="BL14" s="123">
        <f>IF(OR($C14="",$B$2="",$D$2=0),0,IF(BL$3&lt;0,0,N(INDEX('CURVA PREVISION'!$A$1:$KZ$3000,$C14,10+3*MIN(BL$3,$D$2-1)))))</f>
        <v/>
      </c>
      <c r="BM14" s="123">
        <f>IF(OR($C14="",$B$2="",$D$2=0),0,IF(BM$3&lt;0,0,N(INDEX('CURVA PREVISION'!$A$1:$KZ$3000,$C14,10+3*MIN(BM$3,$D$2-1)))))</f>
        <v/>
      </c>
      <c r="BN14" s="123">
        <f>IF(OR($C14="",$B$2="",$D$2=0),0,IF(BN$3&lt;0,0,N(INDEX('CURVA PREVISION'!$A$1:$KZ$3000,$C14,10+3*MIN(BN$3,$D$2-1)))))</f>
        <v/>
      </c>
      <c r="BO14" s="123">
        <f>IF(OR($C14="",$B$2="",$D$2=0),0,IF(BO$3&lt;0,0,N(INDEX('CURVA PREVISION'!$A$1:$KZ$3000,$C14,10+3*MIN(BO$3,$D$2-1)))))</f>
        <v/>
      </c>
      <c r="BP14" s="123">
        <f>IF(OR($C14="",$B$2="",$D$2=0),0,IF(BP$3&lt;0,0,N(INDEX('CURVA PREVISION'!$A$1:$KZ$3000,$C14,10+3*MIN(BP$3,$D$2-1)))))</f>
        <v/>
      </c>
      <c r="BQ14" s="123">
        <f>IF(OR($C14="",$B$2="",$D$2=0),0,IF(BQ$3&lt;0,0,N(INDEX('CURVA PREVISION'!$A$1:$KZ$3000,$C14,10+3*MIN(BQ$3,$D$2-1)))))</f>
        <v/>
      </c>
      <c r="BR14" s="123">
        <f>IF(OR($C14="",$B$2="",$D$2=0),0,IF(BR$3&lt;0,0,N(INDEX('CURVA PREVISION'!$A$1:$KZ$3000,$C14,10+3*MIN(BR$3,$D$2-1)))))</f>
        <v/>
      </c>
      <c r="BS14" s="123">
        <f>IF(OR($C14="",$B$2="",$D$2=0),0,IF(BS$3&lt;0,0,N(INDEX('CURVA PREVISION'!$A$1:$KZ$3000,$C14,10+3*MIN(BS$3,$D$2-1)))))</f>
        <v/>
      </c>
      <c r="BT14" s="123">
        <f>IF(OR($C14="",$B$2="",$D$2=0),0,IF(BT$3&lt;0,0,N(INDEX('CURVA PREVISION'!$A$1:$KZ$3000,$C14,10+3*MIN(BT$3,$D$2-1)))))</f>
        <v/>
      </c>
      <c r="BU14" s="123">
        <f>IF(OR($C14="",$B$2="",$D$2=0),0,IF(BU$3&lt;0,0,N(INDEX('CURVA PREVISION'!$A$1:$KZ$3000,$C14,10+3*MIN(BU$3,$D$2-1)))))</f>
        <v/>
      </c>
      <c r="BV14" s="123">
        <f>IF(OR($C14="",$B$2="",$D$2=0),0,IF(BV$3&lt;0,0,N(INDEX('CURVA PREVISION'!$A$1:$KZ$3000,$C14,10+3*MIN(BV$3,$D$2-1)))))</f>
        <v/>
      </c>
      <c r="BW14" s="123">
        <f>IF(OR($C14="",$B$2="",$D$2=0),0,IF(BW$3&lt;0,0,N(INDEX('CURVA PREVISION'!$A$1:$KZ$3000,$C14,10+3*MIN(BW$3,$D$2-1)))))</f>
        <v/>
      </c>
    </row>
    <row r="15">
      <c r="A15" s="61">
        <f>IF('VALOR POR PL'!R21&lt;&gt;"",'VALOR POR PL'!R21,IF('VALOR POR PL'!Q21="",'VALOR POR PL'!C21,'VALOR POR PL'!Q21))</f>
        <v/>
      </c>
      <c r="B15" s="61">
        <f>'VALOR POR PL'!D21</f>
        <v/>
      </c>
      <c r="C15" s="70">
        <f>IFERROR(MATCH(A15,'CURVA PREVISION'!$B$1:$B$3000,0),"")</f>
        <v/>
      </c>
      <c r="D15" s="123">
        <f>IF(OR($C15="",$B$2="",$D$2=0),0,IF(D$3&lt;0,0,N(INDEX('CURVA PREVISION'!$A$1:$KZ$3000,$C15,10+3*MIN(D$3,$D$2-1)))))</f>
        <v/>
      </c>
      <c r="E15" s="123">
        <f>IF(OR($C15="",$B$2="",$D$2=0),0,IF(E$3&lt;0,0,N(INDEX('CURVA PREVISION'!$A$1:$KZ$3000,$C15,10+3*MIN(E$3,$D$2-1)))))</f>
        <v/>
      </c>
      <c r="F15" s="123">
        <f>IF(OR($C15="",$B$2="",$D$2=0),0,IF(F$3&lt;0,0,N(INDEX('CURVA PREVISION'!$A$1:$KZ$3000,$C15,10+3*MIN(F$3,$D$2-1)))))</f>
        <v/>
      </c>
      <c r="G15" s="123">
        <f>IF(OR($C15="",$B$2="",$D$2=0),0,IF(G$3&lt;0,0,N(INDEX('CURVA PREVISION'!$A$1:$KZ$3000,$C15,10+3*MIN(G$3,$D$2-1)))))</f>
        <v/>
      </c>
      <c r="H15" s="123">
        <f>IF(OR($C15="",$B$2="",$D$2=0),0,IF(H$3&lt;0,0,N(INDEX('CURVA PREVISION'!$A$1:$KZ$3000,$C15,10+3*MIN(H$3,$D$2-1)))))</f>
        <v/>
      </c>
      <c r="I15" s="123">
        <f>IF(OR($C15="",$B$2="",$D$2=0),0,IF(I$3&lt;0,0,N(INDEX('CURVA PREVISION'!$A$1:$KZ$3000,$C15,10+3*MIN(I$3,$D$2-1)))))</f>
        <v/>
      </c>
      <c r="J15" s="123">
        <f>IF(OR($C15="",$B$2="",$D$2=0),0,IF(J$3&lt;0,0,N(INDEX('CURVA PREVISION'!$A$1:$KZ$3000,$C15,10+3*MIN(J$3,$D$2-1)))))</f>
        <v/>
      </c>
      <c r="K15" s="123">
        <f>IF(OR($C15="",$B$2="",$D$2=0),0,IF(K$3&lt;0,0,N(INDEX('CURVA PREVISION'!$A$1:$KZ$3000,$C15,10+3*MIN(K$3,$D$2-1)))))</f>
        <v/>
      </c>
      <c r="L15" s="123">
        <f>IF(OR($C15="",$B$2="",$D$2=0),0,IF(L$3&lt;0,0,N(INDEX('CURVA PREVISION'!$A$1:$KZ$3000,$C15,10+3*MIN(L$3,$D$2-1)))))</f>
        <v/>
      </c>
      <c r="M15" s="123">
        <f>IF(OR($C15="",$B$2="",$D$2=0),0,IF(M$3&lt;0,0,N(INDEX('CURVA PREVISION'!$A$1:$KZ$3000,$C15,10+3*MIN(M$3,$D$2-1)))))</f>
        <v/>
      </c>
      <c r="N15" s="123">
        <f>IF(OR($C15="",$B$2="",$D$2=0),0,IF(N$3&lt;0,0,N(INDEX('CURVA PREVISION'!$A$1:$KZ$3000,$C15,10+3*MIN(N$3,$D$2-1)))))</f>
        <v/>
      </c>
      <c r="O15" s="123">
        <f>IF(OR($C15="",$B$2="",$D$2=0),0,IF(O$3&lt;0,0,N(INDEX('CURVA PREVISION'!$A$1:$KZ$3000,$C15,10+3*MIN(O$3,$D$2-1)))))</f>
        <v/>
      </c>
      <c r="P15" s="123">
        <f>IF(OR($C15="",$B$2="",$D$2=0),0,IF(P$3&lt;0,0,N(INDEX('CURVA PREVISION'!$A$1:$KZ$3000,$C15,10+3*MIN(P$3,$D$2-1)))))</f>
        <v/>
      </c>
      <c r="Q15" s="123">
        <f>IF(OR($C15="",$B$2="",$D$2=0),0,IF(Q$3&lt;0,0,N(INDEX('CURVA PREVISION'!$A$1:$KZ$3000,$C15,10+3*MIN(Q$3,$D$2-1)))))</f>
        <v/>
      </c>
      <c r="R15" s="123">
        <f>IF(OR($C15="",$B$2="",$D$2=0),0,IF(R$3&lt;0,0,N(INDEX('CURVA PREVISION'!$A$1:$KZ$3000,$C15,10+3*MIN(R$3,$D$2-1)))))</f>
        <v/>
      </c>
      <c r="S15" s="123">
        <f>IF(OR($C15="",$B$2="",$D$2=0),0,IF(S$3&lt;0,0,N(INDEX('CURVA PREVISION'!$A$1:$KZ$3000,$C15,10+3*MIN(S$3,$D$2-1)))))</f>
        <v/>
      </c>
      <c r="T15" s="123">
        <f>IF(OR($C15="",$B$2="",$D$2=0),0,IF(T$3&lt;0,0,N(INDEX('CURVA PREVISION'!$A$1:$KZ$3000,$C15,10+3*MIN(T$3,$D$2-1)))))</f>
        <v/>
      </c>
      <c r="U15" s="123">
        <f>IF(OR($C15="",$B$2="",$D$2=0),0,IF(U$3&lt;0,0,N(INDEX('CURVA PREVISION'!$A$1:$KZ$3000,$C15,10+3*MIN(U$3,$D$2-1)))))</f>
        <v/>
      </c>
      <c r="V15" s="123">
        <f>IF(OR($C15="",$B$2="",$D$2=0),0,IF(V$3&lt;0,0,N(INDEX('CURVA PREVISION'!$A$1:$KZ$3000,$C15,10+3*MIN(V$3,$D$2-1)))))</f>
        <v/>
      </c>
      <c r="W15" s="123">
        <f>IF(OR($C15="",$B$2="",$D$2=0),0,IF(W$3&lt;0,0,N(INDEX('CURVA PREVISION'!$A$1:$KZ$3000,$C15,10+3*MIN(W$3,$D$2-1)))))</f>
        <v/>
      </c>
      <c r="X15" s="123">
        <f>IF(OR($C15="",$B$2="",$D$2=0),0,IF(X$3&lt;0,0,N(INDEX('CURVA PREVISION'!$A$1:$KZ$3000,$C15,10+3*MIN(X$3,$D$2-1)))))</f>
        <v/>
      </c>
      <c r="Y15" s="123">
        <f>IF(OR($C15="",$B$2="",$D$2=0),0,IF(Y$3&lt;0,0,N(INDEX('CURVA PREVISION'!$A$1:$KZ$3000,$C15,10+3*MIN(Y$3,$D$2-1)))))</f>
        <v/>
      </c>
      <c r="Z15" s="123">
        <f>IF(OR($C15="",$B$2="",$D$2=0),0,IF(Z$3&lt;0,0,N(INDEX('CURVA PREVISION'!$A$1:$KZ$3000,$C15,10+3*MIN(Z$3,$D$2-1)))))</f>
        <v/>
      </c>
      <c r="AA15" s="123">
        <f>IF(OR($C15="",$B$2="",$D$2=0),0,IF(AA$3&lt;0,0,N(INDEX('CURVA PREVISION'!$A$1:$KZ$3000,$C15,10+3*MIN(AA$3,$D$2-1)))))</f>
        <v/>
      </c>
      <c r="AB15" s="123">
        <f>IF(OR($C15="",$B$2="",$D$2=0),0,IF(AB$3&lt;0,0,N(INDEX('CURVA PREVISION'!$A$1:$KZ$3000,$C15,10+3*MIN(AB$3,$D$2-1)))))</f>
        <v/>
      </c>
      <c r="AC15" s="123">
        <f>IF(OR($C15="",$B$2="",$D$2=0),0,IF(AC$3&lt;0,0,N(INDEX('CURVA PREVISION'!$A$1:$KZ$3000,$C15,10+3*MIN(AC$3,$D$2-1)))))</f>
        <v/>
      </c>
      <c r="AD15" s="123">
        <f>IF(OR($C15="",$B$2="",$D$2=0),0,IF(AD$3&lt;0,0,N(INDEX('CURVA PREVISION'!$A$1:$KZ$3000,$C15,10+3*MIN(AD$3,$D$2-1)))))</f>
        <v/>
      </c>
      <c r="AE15" s="123">
        <f>IF(OR($C15="",$B$2="",$D$2=0),0,IF(AE$3&lt;0,0,N(INDEX('CURVA PREVISION'!$A$1:$KZ$3000,$C15,10+3*MIN(AE$3,$D$2-1)))))</f>
        <v/>
      </c>
      <c r="AF15" s="123">
        <f>IF(OR($C15="",$B$2="",$D$2=0),0,IF(AF$3&lt;0,0,N(INDEX('CURVA PREVISION'!$A$1:$KZ$3000,$C15,10+3*MIN(AF$3,$D$2-1)))))</f>
        <v/>
      </c>
      <c r="AG15" s="123">
        <f>IF(OR($C15="",$B$2="",$D$2=0),0,IF(AG$3&lt;0,0,N(INDEX('CURVA PREVISION'!$A$1:$KZ$3000,$C15,10+3*MIN(AG$3,$D$2-1)))))</f>
        <v/>
      </c>
      <c r="AH15" s="123">
        <f>IF(OR($C15="",$B$2="",$D$2=0),0,IF(AH$3&lt;0,0,N(INDEX('CURVA PREVISION'!$A$1:$KZ$3000,$C15,10+3*MIN(AH$3,$D$2-1)))))</f>
        <v/>
      </c>
      <c r="AI15" s="123">
        <f>IF(OR($C15="",$B$2="",$D$2=0),0,IF(AI$3&lt;0,0,N(INDEX('CURVA PREVISION'!$A$1:$KZ$3000,$C15,10+3*MIN(AI$3,$D$2-1)))))</f>
        <v/>
      </c>
      <c r="AJ15" s="123">
        <f>IF(OR($C15="",$B$2="",$D$2=0),0,IF(AJ$3&lt;0,0,N(INDEX('CURVA PREVISION'!$A$1:$KZ$3000,$C15,10+3*MIN(AJ$3,$D$2-1)))))</f>
        <v/>
      </c>
      <c r="AK15" s="123">
        <f>IF(OR($C15="",$B$2="",$D$2=0),0,IF(AK$3&lt;0,0,N(INDEX('CURVA PREVISION'!$A$1:$KZ$3000,$C15,10+3*MIN(AK$3,$D$2-1)))))</f>
        <v/>
      </c>
      <c r="AL15" s="123">
        <f>IF(OR($C15="",$B$2="",$D$2=0),0,IF(AL$3&lt;0,0,N(INDEX('CURVA PREVISION'!$A$1:$KZ$3000,$C15,10+3*MIN(AL$3,$D$2-1)))))</f>
        <v/>
      </c>
      <c r="AM15" s="123">
        <f>IF(OR($C15="",$B$2="",$D$2=0),0,IF(AM$3&lt;0,0,N(INDEX('CURVA PREVISION'!$A$1:$KZ$3000,$C15,10+3*MIN(AM$3,$D$2-1)))))</f>
        <v/>
      </c>
      <c r="AN15" s="123">
        <f>IF(OR($C15="",$B$2="",$D$2=0),0,IF(AN$3&lt;0,0,N(INDEX('CURVA PREVISION'!$A$1:$KZ$3000,$C15,10+3*MIN(AN$3,$D$2-1)))))</f>
        <v/>
      </c>
      <c r="AO15" s="123">
        <f>IF(OR($C15="",$B$2="",$D$2=0),0,IF(AO$3&lt;0,0,N(INDEX('CURVA PREVISION'!$A$1:$KZ$3000,$C15,10+3*MIN(AO$3,$D$2-1)))))</f>
        <v/>
      </c>
      <c r="AP15" s="123">
        <f>IF(OR($C15="",$B$2="",$D$2=0),0,IF(AP$3&lt;0,0,N(INDEX('CURVA PREVISION'!$A$1:$KZ$3000,$C15,10+3*MIN(AP$3,$D$2-1)))))</f>
        <v/>
      </c>
      <c r="AQ15" s="123">
        <f>IF(OR($C15="",$B$2="",$D$2=0),0,IF(AQ$3&lt;0,0,N(INDEX('CURVA PREVISION'!$A$1:$KZ$3000,$C15,10+3*MIN(AQ$3,$D$2-1)))))</f>
        <v/>
      </c>
      <c r="AR15" s="123">
        <f>IF(OR($C15="",$B$2="",$D$2=0),0,IF(AR$3&lt;0,0,N(INDEX('CURVA PREVISION'!$A$1:$KZ$3000,$C15,10+3*MIN(AR$3,$D$2-1)))))</f>
        <v/>
      </c>
      <c r="AS15" s="123">
        <f>IF(OR($C15="",$B$2="",$D$2=0),0,IF(AS$3&lt;0,0,N(INDEX('CURVA PREVISION'!$A$1:$KZ$3000,$C15,10+3*MIN(AS$3,$D$2-1)))))</f>
        <v/>
      </c>
      <c r="AT15" s="123">
        <f>IF(OR($C15="",$B$2="",$D$2=0),0,IF(AT$3&lt;0,0,N(INDEX('CURVA PREVISION'!$A$1:$KZ$3000,$C15,10+3*MIN(AT$3,$D$2-1)))))</f>
        <v/>
      </c>
      <c r="AU15" s="123">
        <f>IF(OR($C15="",$B$2="",$D$2=0),0,IF(AU$3&lt;0,0,N(INDEX('CURVA PREVISION'!$A$1:$KZ$3000,$C15,10+3*MIN(AU$3,$D$2-1)))))</f>
        <v/>
      </c>
      <c r="AV15" s="123">
        <f>IF(OR($C15="",$B$2="",$D$2=0),0,IF(AV$3&lt;0,0,N(INDEX('CURVA PREVISION'!$A$1:$KZ$3000,$C15,10+3*MIN(AV$3,$D$2-1)))))</f>
        <v/>
      </c>
      <c r="AW15" s="123">
        <f>IF(OR($C15="",$B$2="",$D$2=0),0,IF(AW$3&lt;0,0,N(INDEX('CURVA PREVISION'!$A$1:$KZ$3000,$C15,10+3*MIN(AW$3,$D$2-1)))))</f>
        <v/>
      </c>
      <c r="AX15" s="123">
        <f>IF(OR($C15="",$B$2="",$D$2=0),0,IF(AX$3&lt;0,0,N(INDEX('CURVA PREVISION'!$A$1:$KZ$3000,$C15,10+3*MIN(AX$3,$D$2-1)))))</f>
        <v/>
      </c>
      <c r="AY15" s="123">
        <f>IF(OR($C15="",$B$2="",$D$2=0),0,IF(AY$3&lt;0,0,N(INDEX('CURVA PREVISION'!$A$1:$KZ$3000,$C15,10+3*MIN(AY$3,$D$2-1)))))</f>
        <v/>
      </c>
      <c r="AZ15" s="123">
        <f>IF(OR($C15="",$B$2="",$D$2=0),0,IF(AZ$3&lt;0,0,N(INDEX('CURVA PREVISION'!$A$1:$KZ$3000,$C15,10+3*MIN(AZ$3,$D$2-1)))))</f>
        <v/>
      </c>
      <c r="BA15" s="123">
        <f>IF(OR($C15="",$B$2="",$D$2=0),0,IF(BA$3&lt;0,0,N(INDEX('CURVA PREVISION'!$A$1:$KZ$3000,$C15,10+3*MIN(BA$3,$D$2-1)))))</f>
        <v/>
      </c>
      <c r="BB15" s="123">
        <f>IF(OR($C15="",$B$2="",$D$2=0),0,IF(BB$3&lt;0,0,N(INDEX('CURVA PREVISION'!$A$1:$KZ$3000,$C15,10+3*MIN(BB$3,$D$2-1)))))</f>
        <v/>
      </c>
      <c r="BC15" s="123">
        <f>IF(OR($C15="",$B$2="",$D$2=0),0,IF(BC$3&lt;0,0,N(INDEX('CURVA PREVISION'!$A$1:$KZ$3000,$C15,10+3*MIN(BC$3,$D$2-1)))))</f>
        <v/>
      </c>
      <c r="BD15" s="123">
        <f>IF(OR($C15="",$B$2="",$D$2=0),0,IF(BD$3&lt;0,0,N(INDEX('CURVA PREVISION'!$A$1:$KZ$3000,$C15,10+3*MIN(BD$3,$D$2-1)))))</f>
        <v/>
      </c>
      <c r="BE15" s="123">
        <f>IF(OR($C15="",$B$2="",$D$2=0),0,IF(BE$3&lt;0,0,N(INDEX('CURVA PREVISION'!$A$1:$KZ$3000,$C15,10+3*MIN(BE$3,$D$2-1)))))</f>
        <v/>
      </c>
      <c r="BF15" s="123">
        <f>IF(OR($C15="",$B$2="",$D$2=0),0,IF(BF$3&lt;0,0,N(INDEX('CURVA PREVISION'!$A$1:$KZ$3000,$C15,10+3*MIN(BF$3,$D$2-1)))))</f>
        <v/>
      </c>
      <c r="BG15" s="123">
        <f>IF(OR($C15="",$B$2="",$D$2=0),0,IF(BG$3&lt;0,0,N(INDEX('CURVA PREVISION'!$A$1:$KZ$3000,$C15,10+3*MIN(BG$3,$D$2-1)))))</f>
        <v/>
      </c>
      <c r="BH15" s="123">
        <f>IF(OR($C15="",$B$2="",$D$2=0),0,IF(BH$3&lt;0,0,N(INDEX('CURVA PREVISION'!$A$1:$KZ$3000,$C15,10+3*MIN(BH$3,$D$2-1)))))</f>
        <v/>
      </c>
      <c r="BI15" s="123">
        <f>IF(OR($C15="",$B$2="",$D$2=0),0,IF(BI$3&lt;0,0,N(INDEX('CURVA PREVISION'!$A$1:$KZ$3000,$C15,10+3*MIN(BI$3,$D$2-1)))))</f>
        <v/>
      </c>
      <c r="BJ15" s="123">
        <f>IF(OR($C15="",$B$2="",$D$2=0),0,IF(BJ$3&lt;0,0,N(INDEX('CURVA PREVISION'!$A$1:$KZ$3000,$C15,10+3*MIN(BJ$3,$D$2-1)))))</f>
        <v/>
      </c>
      <c r="BK15" s="123">
        <f>IF(OR($C15="",$B$2="",$D$2=0),0,IF(BK$3&lt;0,0,N(INDEX('CURVA PREVISION'!$A$1:$KZ$3000,$C15,10+3*MIN(BK$3,$D$2-1)))))</f>
        <v/>
      </c>
      <c r="BL15" s="123">
        <f>IF(OR($C15="",$B$2="",$D$2=0),0,IF(BL$3&lt;0,0,N(INDEX('CURVA PREVISION'!$A$1:$KZ$3000,$C15,10+3*MIN(BL$3,$D$2-1)))))</f>
        <v/>
      </c>
      <c r="BM15" s="123">
        <f>IF(OR($C15="",$B$2="",$D$2=0),0,IF(BM$3&lt;0,0,N(INDEX('CURVA PREVISION'!$A$1:$KZ$3000,$C15,10+3*MIN(BM$3,$D$2-1)))))</f>
        <v/>
      </c>
      <c r="BN15" s="123">
        <f>IF(OR($C15="",$B$2="",$D$2=0),0,IF(BN$3&lt;0,0,N(INDEX('CURVA PREVISION'!$A$1:$KZ$3000,$C15,10+3*MIN(BN$3,$D$2-1)))))</f>
        <v/>
      </c>
      <c r="BO15" s="123">
        <f>IF(OR($C15="",$B$2="",$D$2=0),0,IF(BO$3&lt;0,0,N(INDEX('CURVA PREVISION'!$A$1:$KZ$3000,$C15,10+3*MIN(BO$3,$D$2-1)))))</f>
        <v/>
      </c>
      <c r="BP15" s="123">
        <f>IF(OR($C15="",$B$2="",$D$2=0),0,IF(BP$3&lt;0,0,N(INDEX('CURVA PREVISION'!$A$1:$KZ$3000,$C15,10+3*MIN(BP$3,$D$2-1)))))</f>
        <v/>
      </c>
      <c r="BQ15" s="123">
        <f>IF(OR($C15="",$B$2="",$D$2=0),0,IF(BQ$3&lt;0,0,N(INDEX('CURVA PREVISION'!$A$1:$KZ$3000,$C15,10+3*MIN(BQ$3,$D$2-1)))))</f>
        <v/>
      </c>
      <c r="BR15" s="123">
        <f>IF(OR($C15="",$B$2="",$D$2=0),0,IF(BR$3&lt;0,0,N(INDEX('CURVA PREVISION'!$A$1:$KZ$3000,$C15,10+3*MIN(BR$3,$D$2-1)))))</f>
        <v/>
      </c>
      <c r="BS15" s="123">
        <f>IF(OR($C15="",$B$2="",$D$2=0),0,IF(BS$3&lt;0,0,N(INDEX('CURVA PREVISION'!$A$1:$KZ$3000,$C15,10+3*MIN(BS$3,$D$2-1)))))</f>
        <v/>
      </c>
      <c r="BT15" s="123">
        <f>IF(OR($C15="",$B$2="",$D$2=0),0,IF(BT$3&lt;0,0,N(INDEX('CURVA PREVISION'!$A$1:$KZ$3000,$C15,10+3*MIN(BT$3,$D$2-1)))))</f>
        <v/>
      </c>
      <c r="BU15" s="123">
        <f>IF(OR($C15="",$B$2="",$D$2=0),0,IF(BU$3&lt;0,0,N(INDEX('CURVA PREVISION'!$A$1:$KZ$3000,$C15,10+3*MIN(BU$3,$D$2-1)))))</f>
        <v/>
      </c>
      <c r="BV15" s="123">
        <f>IF(OR($C15="",$B$2="",$D$2=0),0,IF(BV$3&lt;0,0,N(INDEX('CURVA PREVISION'!$A$1:$KZ$3000,$C15,10+3*MIN(BV$3,$D$2-1)))))</f>
        <v/>
      </c>
      <c r="BW15" s="123">
        <f>IF(OR($C15="",$B$2="",$D$2=0),0,IF(BW$3&lt;0,0,N(INDEX('CURVA PREVISION'!$A$1:$KZ$3000,$C15,10+3*MIN(BW$3,$D$2-1)))))</f>
        <v/>
      </c>
    </row>
    <row r="16">
      <c r="A16" s="61">
        <f>IF('VALOR POR PL'!R22&lt;&gt;"",'VALOR POR PL'!R22,IF('VALOR POR PL'!Q22="",'VALOR POR PL'!C22,'VALOR POR PL'!Q22))</f>
        <v/>
      </c>
      <c r="B16" s="61">
        <f>'VALOR POR PL'!D22</f>
        <v/>
      </c>
      <c r="C16" s="70">
        <f>IFERROR(MATCH(A16,'CURVA PREVISION'!$B$1:$B$3000,0),"")</f>
        <v/>
      </c>
      <c r="D16" s="123">
        <f>IF(OR($C16="",$B$2="",$D$2=0),0,IF(D$3&lt;0,0,N(INDEX('CURVA PREVISION'!$A$1:$KZ$3000,$C16,10+3*MIN(D$3,$D$2-1)))))</f>
        <v/>
      </c>
      <c r="E16" s="123">
        <f>IF(OR($C16="",$B$2="",$D$2=0),0,IF(E$3&lt;0,0,N(INDEX('CURVA PREVISION'!$A$1:$KZ$3000,$C16,10+3*MIN(E$3,$D$2-1)))))</f>
        <v/>
      </c>
      <c r="F16" s="123">
        <f>IF(OR($C16="",$B$2="",$D$2=0),0,IF(F$3&lt;0,0,N(INDEX('CURVA PREVISION'!$A$1:$KZ$3000,$C16,10+3*MIN(F$3,$D$2-1)))))</f>
        <v/>
      </c>
      <c r="G16" s="123">
        <f>IF(OR($C16="",$B$2="",$D$2=0),0,IF(G$3&lt;0,0,N(INDEX('CURVA PREVISION'!$A$1:$KZ$3000,$C16,10+3*MIN(G$3,$D$2-1)))))</f>
        <v/>
      </c>
      <c r="H16" s="123">
        <f>IF(OR($C16="",$B$2="",$D$2=0),0,IF(H$3&lt;0,0,N(INDEX('CURVA PREVISION'!$A$1:$KZ$3000,$C16,10+3*MIN(H$3,$D$2-1)))))</f>
        <v/>
      </c>
      <c r="I16" s="123">
        <f>IF(OR($C16="",$B$2="",$D$2=0),0,IF(I$3&lt;0,0,N(INDEX('CURVA PREVISION'!$A$1:$KZ$3000,$C16,10+3*MIN(I$3,$D$2-1)))))</f>
        <v/>
      </c>
      <c r="J16" s="123">
        <f>IF(OR($C16="",$B$2="",$D$2=0),0,IF(J$3&lt;0,0,N(INDEX('CURVA PREVISION'!$A$1:$KZ$3000,$C16,10+3*MIN(J$3,$D$2-1)))))</f>
        <v/>
      </c>
      <c r="K16" s="123">
        <f>IF(OR($C16="",$B$2="",$D$2=0),0,IF(K$3&lt;0,0,N(INDEX('CURVA PREVISION'!$A$1:$KZ$3000,$C16,10+3*MIN(K$3,$D$2-1)))))</f>
        <v/>
      </c>
      <c r="L16" s="123">
        <f>IF(OR($C16="",$B$2="",$D$2=0),0,IF(L$3&lt;0,0,N(INDEX('CURVA PREVISION'!$A$1:$KZ$3000,$C16,10+3*MIN(L$3,$D$2-1)))))</f>
        <v/>
      </c>
      <c r="M16" s="123">
        <f>IF(OR($C16="",$B$2="",$D$2=0),0,IF(M$3&lt;0,0,N(INDEX('CURVA PREVISION'!$A$1:$KZ$3000,$C16,10+3*MIN(M$3,$D$2-1)))))</f>
        <v/>
      </c>
      <c r="N16" s="123">
        <f>IF(OR($C16="",$B$2="",$D$2=0),0,IF(N$3&lt;0,0,N(INDEX('CURVA PREVISION'!$A$1:$KZ$3000,$C16,10+3*MIN(N$3,$D$2-1)))))</f>
        <v/>
      </c>
      <c r="O16" s="123">
        <f>IF(OR($C16="",$B$2="",$D$2=0),0,IF(O$3&lt;0,0,N(INDEX('CURVA PREVISION'!$A$1:$KZ$3000,$C16,10+3*MIN(O$3,$D$2-1)))))</f>
        <v/>
      </c>
      <c r="P16" s="123">
        <f>IF(OR($C16="",$B$2="",$D$2=0),0,IF(P$3&lt;0,0,N(INDEX('CURVA PREVISION'!$A$1:$KZ$3000,$C16,10+3*MIN(P$3,$D$2-1)))))</f>
        <v/>
      </c>
      <c r="Q16" s="123">
        <f>IF(OR($C16="",$B$2="",$D$2=0),0,IF(Q$3&lt;0,0,N(INDEX('CURVA PREVISION'!$A$1:$KZ$3000,$C16,10+3*MIN(Q$3,$D$2-1)))))</f>
        <v/>
      </c>
      <c r="R16" s="123">
        <f>IF(OR($C16="",$B$2="",$D$2=0),0,IF(R$3&lt;0,0,N(INDEX('CURVA PREVISION'!$A$1:$KZ$3000,$C16,10+3*MIN(R$3,$D$2-1)))))</f>
        <v/>
      </c>
      <c r="S16" s="123">
        <f>IF(OR($C16="",$B$2="",$D$2=0),0,IF(S$3&lt;0,0,N(INDEX('CURVA PREVISION'!$A$1:$KZ$3000,$C16,10+3*MIN(S$3,$D$2-1)))))</f>
        <v/>
      </c>
      <c r="T16" s="123">
        <f>IF(OR($C16="",$B$2="",$D$2=0),0,IF(T$3&lt;0,0,N(INDEX('CURVA PREVISION'!$A$1:$KZ$3000,$C16,10+3*MIN(T$3,$D$2-1)))))</f>
        <v/>
      </c>
      <c r="U16" s="123">
        <f>IF(OR($C16="",$B$2="",$D$2=0),0,IF(U$3&lt;0,0,N(INDEX('CURVA PREVISION'!$A$1:$KZ$3000,$C16,10+3*MIN(U$3,$D$2-1)))))</f>
        <v/>
      </c>
      <c r="V16" s="123">
        <f>IF(OR($C16="",$B$2="",$D$2=0),0,IF(V$3&lt;0,0,N(INDEX('CURVA PREVISION'!$A$1:$KZ$3000,$C16,10+3*MIN(V$3,$D$2-1)))))</f>
        <v/>
      </c>
      <c r="W16" s="123">
        <f>IF(OR($C16="",$B$2="",$D$2=0),0,IF(W$3&lt;0,0,N(INDEX('CURVA PREVISION'!$A$1:$KZ$3000,$C16,10+3*MIN(W$3,$D$2-1)))))</f>
        <v/>
      </c>
      <c r="X16" s="123">
        <f>IF(OR($C16="",$B$2="",$D$2=0),0,IF(X$3&lt;0,0,N(INDEX('CURVA PREVISION'!$A$1:$KZ$3000,$C16,10+3*MIN(X$3,$D$2-1)))))</f>
        <v/>
      </c>
      <c r="Y16" s="123">
        <f>IF(OR($C16="",$B$2="",$D$2=0),0,IF(Y$3&lt;0,0,N(INDEX('CURVA PREVISION'!$A$1:$KZ$3000,$C16,10+3*MIN(Y$3,$D$2-1)))))</f>
        <v/>
      </c>
      <c r="Z16" s="123">
        <f>IF(OR($C16="",$B$2="",$D$2=0),0,IF(Z$3&lt;0,0,N(INDEX('CURVA PREVISION'!$A$1:$KZ$3000,$C16,10+3*MIN(Z$3,$D$2-1)))))</f>
        <v/>
      </c>
      <c r="AA16" s="123">
        <f>IF(OR($C16="",$B$2="",$D$2=0),0,IF(AA$3&lt;0,0,N(INDEX('CURVA PREVISION'!$A$1:$KZ$3000,$C16,10+3*MIN(AA$3,$D$2-1)))))</f>
        <v/>
      </c>
      <c r="AB16" s="123">
        <f>IF(OR($C16="",$B$2="",$D$2=0),0,IF(AB$3&lt;0,0,N(INDEX('CURVA PREVISION'!$A$1:$KZ$3000,$C16,10+3*MIN(AB$3,$D$2-1)))))</f>
        <v/>
      </c>
      <c r="AC16" s="123">
        <f>IF(OR($C16="",$B$2="",$D$2=0),0,IF(AC$3&lt;0,0,N(INDEX('CURVA PREVISION'!$A$1:$KZ$3000,$C16,10+3*MIN(AC$3,$D$2-1)))))</f>
        <v/>
      </c>
      <c r="AD16" s="123">
        <f>IF(OR($C16="",$B$2="",$D$2=0),0,IF(AD$3&lt;0,0,N(INDEX('CURVA PREVISION'!$A$1:$KZ$3000,$C16,10+3*MIN(AD$3,$D$2-1)))))</f>
        <v/>
      </c>
      <c r="AE16" s="123">
        <f>IF(OR($C16="",$B$2="",$D$2=0),0,IF(AE$3&lt;0,0,N(INDEX('CURVA PREVISION'!$A$1:$KZ$3000,$C16,10+3*MIN(AE$3,$D$2-1)))))</f>
        <v/>
      </c>
      <c r="AF16" s="123">
        <f>IF(OR($C16="",$B$2="",$D$2=0),0,IF(AF$3&lt;0,0,N(INDEX('CURVA PREVISION'!$A$1:$KZ$3000,$C16,10+3*MIN(AF$3,$D$2-1)))))</f>
        <v/>
      </c>
      <c r="AG16" s="123">
        <f>IF(OR($C16="",$B$2="",$D$2=0),0,IF(AG$3&lt;0,0,N(INDEX('CURVA PREVISION'!$A$1:$KZ$3000,$C16,10+3*MIN(AG$3,$D$2-1)))))</f>
        <v/>
      </c>
      <c r="AH16" s="123">
        <f>IF(OR($C16="",$B$2="",$D$2=0),0,IF(AH$3&lt;0,0,N(INDEX('CURVA PREVISION'!$A$1:$KZ$3000,$C16,10+3*MIN(AH$3,$D$2-1)))))</f>
        <v/>
      </c>
      <c r="AI16" s="123">
        <f>IF(OR($C16="",$B$2="",$D$2=0),0,IF(AI$3&lt;0,0,N(INDEX('CURVA PREVISION'!$A$1:$KZ$3000,$C16,10+3*MIN(AI$3,$D$2-1)))))</f>
        <v/>
      </c>
      <c r="AJ16" s="123">
        <f>IF(OR($C16="",$B$2="",$D$2=0),0,IF(AJ$3&lt;0,0,N(INDEX('CURVA PREVISION'!$A$1:$KZ$3000,$C16,10+3*MIN(AJ$3,$D$2-1)))))</f>
        <v/>
      </c>
      <c r="AK16" s="123">
        <f>IF(OR($C16="",$B$2="",$D$2=0),0,IF(AK$3&lt;0,0,N(INDEX('CURVA PREVISION'!$A$1:$KZ$3000,$C16,10+3*MIN(AK$3,$D$2-1)))))</f>
        <v/>
      </c>
      <c r="AL16" s="123">
        <f>IF(OR($C16="",$B$2="",$D$2=0),0,IF(AL$3&lt;0,0,N(INDEX('CURVA PREVISION'!$A$1:$KZ$3000,$C16,10+3*MIN(AL$3,$D$2-1)))))</f>
        <v/>
      </c>
      <c r="AM16" s="123">
        <f>IF(OR($C16="",$B$2="",$D$2=0),0,IF(AM$3&lt;0,0,N(INDEX('CURVA PREVISION'!$A$1:$KZ$3000,$C16,10+3*MIN(AM$3,$D$2-1)))))</f>
        <v/>
      </c>
      <c r="AN16" s="123">
        <f>IF(OR($C16="",$B$2="",$D$2=0),0,IF(AN$3&lt;0,0,N(INDEX('CURVA PREVISION'!$A$1:$KZ$3000,$C16,10+3*MIN(AN$3,$D$2-1)))))</f>
        <v/>
      </c>
      <c r="AO16" s="123">
        <f>IF(OR($C16="",$B$2="",$D$2=0),0,IF(AO$3&lt;0,0,N(INDEX('CURVA PREVISION'!$A$1:$KZ$3000,$C16,10+3*MIN(AO$3,$D$2-1)))))</f>
        <v/>
      </c>
      <c r="AP16" s="123">
        <f>IF(OR($C16="",$B$2="",$D$2=0),0,IF(AP$3&lt;0,0,N(INDEX('CURVA PREVISION'!$A$1:$KZ$3000,$C16,10+3*MIN(AP$3,$D$2-1)))))</f>
        <v/>
      </c>
      <c r="AQ16" s="123">
        <f>IF(OR($C16="",$B$2="",$D$2=0),0,IF(AQ$3&lt;0,0,N(INDEX('CURVA PREVISION'!$A$1:$KZ$3000,$C16,10+3*MIN(AQ$3,$D$2-1)))))</f>
        <v/>
      </c>
      <c r="AR16" s="123">
        <f>IF(OR($C16="",$B$2="",$D$2=0),0,IF(AR$3&lt;0,0,N(INDEX('CURVA PREVISION'!$A$1:$KZ$3000,$C16,10+3*MIN(AR$3,$D$2-1)))))</f>
        <v/>
      </c>
      <c r="AS16" s="123">
        <f>IF(OR($C16="",$B$2="",$D$2=0),0,IF(AS$3&lt;0,0,N(INDEX('CURVA PREVISION'!$A$1:$KZ$3000,$C16,10+3*MIN(AS$3,$D$2-1)))))</f>
        <v/>
      </c>
      <c r="AT16" s="123">
        <f>IF(OR($C16="",$B$2="",$D$2=0),0,IF(AT$3&lt;0,0,N(INDEX('CURVA PREVISION'!$A$1:$KZ$3000,$C16,10+3*MIN(AT$3,$D$2-1)))))</f>
        <v/>
      </c>
      <c r="AU16" s="123">
        <f>IF(OR($C16="",$B$2="",$D$2=0),0,IF(AU$3&lt;0,0,N(INDEX('CURVA PREVISION'!$A$1:$KZ$3000,$C16,10+3*MIN(AU$3,$D$2-1)))))</f>
        <v/>
      </c>
      <c r="AV16" s="123">
        <f>IF(OR($C16="",$B$2="",$D$2=0),0,IF(AV$3&lt;0,0,N(INDEX('CURVA PREVISION'!$A$1:$KZ$3000,$C16,10+3*MIN(AV$3,$D$2-1)))))</f>
        <v/>
      </c>
      <c r="AW16" s="123">
        <f>IF(OR($C16="",$B$2="",$D$2=0),0,IF(AW$3&lt;0,0,N(INDEX('CURVA PREVISION'!$A$1:$KZ$3000,$C16,10+3*MIN(AW$3,$D$2-1)))))</f>
        <v/>
      </c>
      <c r="AX16" s="123">
        <f>IF(OR($C16="",$B$2="",$D$2=0),0,IF(AX$3&lt;0,0,N(INDEX('CURVA PREVISION'!$A$1:$KZ$3000,$C16,10+3*MIN(AX$3,$D$2-1)))))</f>
        <v/>
      </c>
      <c r="AY16" s="123">
        <f>IF(OR($C16="",$B$2="",$D$2=0),0,IF(AY$3&lt;0,0,N(INDEX('CURVA PREVISION'!$A$1:$KZ$3000,$C16,10+3*MIN(AY$3,$D$2-1)))))</f>
        <v/>
      </c>
      <c r="AZ16" s="123">
        <f>IF(OR($C16="",$B$2="",$D$2=0),0,IF(AZ$3&lt;0,0,N(INDEX('CURVA PREVISION'!$A$1:$KZ$3000,$C16,10+3*MIN(AZ$3,$D$2-1)))))</f>
        <v/>
      </c>
      <c r="BA16" s="123">
        <f>IF(OR($C16="",$B$2="",$D$2=0),0,IF(BA$3&lt;0,0,N(INDEX('CURVA PREVISION'!$A$1:$KZ$3000,$C16,10+3*MIN(BA$3,$D$2-1)))))</f>
        <v/>
      </c>
      <c r="BB16" s="123">
        <f>IF(OR($C16="",$B$2="",$D$2=0),0,IF(BB$3&lt;0,0,N(INDEX('CURVA PREVISION'!$A$1:$KZ$3000,$C16,10+3*MIN(BB$3,$D$2-1)))))</f>
        <v/>
      </c>
      <c r="BC16" s="123">
        <f>IF(OR($C16="",$B$2="",$D$2=0),0,IF(BC$3&lt;0,0,N(INDEX('CURVA PREVISION'!$A$1:$KZ$3000,$C16,10+3*MIN(BC$3,$D$2-1)))))</f>
        <v/>
      </c>
      <c r="BD16" s="123">
        <f>IF(OR($C16="",$B$2="",$D$2=0),0,IF(BD$3&lt;0,0,N(INDEX('CURVA PREVISION'!$A$1:$KZ$3000,$C16,10+3*MIN(BD$3,$D$2-1)))))</f>
        <v/>
      </c>
      <c r="BE16" s="123">
        <f>IF(OR($C16="",$B$2="",$D$2=0),0,IF(BE$3&lt;0,0,N(INDEX('CURVA PREVISION'!$A$1:$KZ$3000,$C16,10+3*MIN(BE$3,$D$2-1)))))</f>
        <v/>
      </c>
      <c r="BF16" s="123">
        <f>IF(OR($C16="",$B$2="",$D$2=0),0,IF(BF$3&lt;0,0,N(INDEX('CURVA PREVISION'!$A$1:$KZ$3000,$C16,10+3*MIN(BF$3,$D$2-1)))))</f>
        <v/>
      </c>
      <c r="BG16" s="123">
        <f>IF(OR($C16="",$B$2="",$D$2=0),0,IF(BG$3&lt;0,0,N(INDEX('CURVA PREVISION'!$A$1:$KZ$3000,$C16,10+3*MIN(BG$3,$D$2-1)))))</f>
        <v/>
      </c>
      <c r="BH16" s="123">
        <f>IF(OR($C16="",$B$2="",$D$2=0),0,IF(BH$3&lt;0,0,N(INDEX('CURVA PREVISION'!$A$1:$KZ$3000,$C16,10+3*MIN(BH$3,$D$2-1)))))</f>
        <v/>
      </c>
      <c r="BI16" s="123">
        <f>IF(OR($C16="",$B$2="",$D$2=0),0,IF(BI$3&lt;0,0,N(INDEX('CURVA PREVISION'!$A$1:$KZ$3000,$C16,10+3*MIN(BI$3,$D$2-1)))))</f>
        <v/>
      </c>
      <c r="BJ16" s="123">
        <f>IF(OR($C16="",$B$2="",$D$2=0),0,IF(BJ$3&lt;0,0,N(INDEX('CURVA PREVISION'!$A$1:$KZ$3000,$C16,10+3*MIN(BJ$3,$D$2-1)))))</f>
        <v/>
      </c>
      <c r="BK16" s="123">
        <f>IF(OR($C16="",$B$2="",$D$2=0),0,IF(BK$3&lt;0,0,N(INDEX('CURVA PREVISION'!$A$1:$KZ$3000,$C16,10+3*MIN(BK$3,$D$2-1)))))</f>
        <v/>
      </c>
      <c r="BL16" s="123">
        <f>IF(OR($C16="",$B$2="",$D$2=0),0,IF(BL$3&lt;0,0,N(INDEX('CURVA PREVISION'!$A$1:$KZ$3000,$C16,10+3*MIN(BL$3,$D$2-1)))))</f>
        <v/>
      </c>
      <c r="BM16" s="123">
        <f>IF(OR($C16="",$B$2="",$D$2=0),0,IF(BM$3&lt;0,0,N(INDEX('CURVA PREVISION'!$A$1:$KZ$3000,$C16,10+3*MIN(BM$3,$D$2-1)))))</f>
        <v/>
      </c>
      <c r="BN16" s="123">
        <f>IF(OR($C16="",$B$2="",$D$2=0),0,IF(BN$3&lt;0,0,N(INDEX('CURVA PREVISION'!$A$1:$KZ$3000,$C16,10+3*MIN(BN$3,$D$2-1)))))</f>
        <v/>
      </c>
      <c r="BO16" s="123">
        <f>IF(OR($C16="",$B$2="",$D$2=0),0,IF(BO$3&lt;0,0,N(INDEX('CURVA PREVISION'!$A$1:$KZ$3000,$C16,10+3*MIN(BO$3,$D$2-1)))))</f>
        <v/>
      </c>
      <c r="BP16" s="123">
        <f>IF(OR($C16="",$B$2="",$D$2=0),0,IF(BP$3&lt;0,0,N(INDEX('CURVA PREVISION'!$A$1:$KZ$3000,$C16,10+3*MIN(BP$3,$D$2-1)))))</f>
        <v/>
      </c>
      <c r="BQ16" s="123">
        <f>IF(OR($C16="",$B$2="",$D$2=0),0,IF(BQ$3&lt;0,0,N(INDEX('CURVA PREVISION'!$A$1:$KZ$3000,$C16,10+3*MIN(BQ$3,$D$2-1)))))</f>
        <v/>
      </c>
      <c r="BR16" s="123">
        <f>IF(OR($C16="",$B$2="",$D$2=0),0,IF(BR$3&lt;0,0,N(INDEX('CURVA PREVISION'!$A$1:$KZ$3000,$C16,10+3*MIN(BR$3,$D$2-1)))))</f>
        <v/>
      </c>
      <c r="BS16" s="123">
        <f>IF(OR($C16="",$B$2="",$D$2=0),0,IF(BS$3&lt;0,0,N(INDEX('CURVA PREVISION'!$A$1:$KZ$3000,$C16,10+3*MIN(BS$3,$D$2-1)))))</f>
        <v/>
      </c>
      <c r="BT16" s="123">
        <f>IF(OR($C16="",$B$2="",$D$2=0),0,IF(BT$3&lt;0,0,N(INDEX('CURVA PREVISION'!$A$1:$KZ$3000,$C16,10+3*MIN(BT$3,$D$2-1)))))</f>
        <v/>
      </c>
      <c r="BU16" s="123">
        <f>IF(OR($C16="",$B$2="",$D$2=0),0,IF(BU$3&lt;0,0,N(INDEX('CURVA PREVISION'!$A$1:$KZ$3000,$C16,10+3*MIN(BU$3,$D$2-1)))))</f>
        <v/>
      </c>
      <c r="BV16" s="123">
        <f>IF(OR($C16="",$B$2="",$D$2=0),0,IF(BV$3&lt;0,0,N(INDEX('CURVA PREVISION'!$A$1:$KZ$3000,$C16,10+3*MIN(BV$3,$D$2-1)))))</f>
        <v/>
      </c>
      <c r="BW16" s="123">
        <f>IF(OR($C16="",$B$2="",$D$2=0),0,IF(BW$3&lt;0,0,N(INDEX('CURVA PREVISION'!$A$1:$KZ$3000,$C16,10+3*MIN(BW$3,$D$2-1)))))</f>
        <v/>
      </c>
    </row>
    <row r="17">
      <c r="A17" s="61">
        <f>IF('VALOR POR PL'!R23&lt;&gt;"",'VALOR POR PL'!R23,IF('VALOR POR PL'!Q23="",'VALOR POR PL'!C23,'VALOR POR PL'!Q23))</f>
        <v/>
      </c>
      <c r="B17" s="61">
        <f>'VALOR POR PL'!D23</f>
        <v/>
      </c>
      <c r="C17" s="70">
        <f>IFERROR(MATCH(A17,'CURVA PREVISION'!$B$1:$B$3000,0),"")</f>
        <v/>
      </c>
      <c r="D17" s="123">
        <f>IF(OR($C17="",$B$2="",$D$2=0),0,IF(D$3&lt;0,0,N(INDEX('CURVA PREVISION'!$A$1:$KZ$3000,$C17,10+3*MIN(D$3,$D$2-1)))))</f>
        <v/>
      </c>
      <c r="E17" s="123">
        <f>IF(OR($C17="",$B$2="",$D$2=0),0,IF(E$3&lt;0,0,N(INDEX('CURVA PREVISION'!$A$1:$KZ$3000,$C17,10+3*MIN(E$3,$D$2-1)))))</f>
        <v/>
      </c>
      <c r="F17" s="123">
        <f>IF(OR($C17="",$B$2="",$D$2=0),0,IF(F$3&lt;0,0,N(INDEX('CURVA PREVISION'!$A$1:$KZ$3000,$C17,10+3*MIN(F$3,$D$2-1)))))</f>
        <v/>
      </c>
      <c r="G17" s="123">
        <f>IF(OR($C17="",$B$2="",$D$2=0),0,IF(G$3&lt;0,0,N(INDEX('CURVA PREVISION'!$A$1:$KZ$3000,$C17,10+3*MIN(G$3,$D$2-1)))))</f>
        <v/>
      </c>
      <c r="H17" s="123">
        <f>IF(OR($C17="",$B$2="",$D$2=0),0,IF(H$3&lt;0,0,N(INDEX('CURVA PREVISION'!$A$1:$KZ$3000,$C17,10+3*MIN(H$3,$D$2-1)))))</f>
        <v/>
      </c>
      <c r="I17" s="123">
        <f>IF(OR($C17="",$B$2="",$D$2=0),0,IF(I$3&lt;0,0,N(INDEX('CURVA PREVISION'!$A$1:$KZ$3000,$C17,10+3*MIN(I$3,$D$2-1)))))</f>
        <v/>
      </c>
      <c r="J17" s="123">
        <f>IF(OR($C17="",$B$2="",$D$2=0),0,IF(J$3&lt;0,0,N(INDEX('CURVA PREVISION'!$A$1:$KZ$3000,$C17,10+3*MIN(J$3,$D$2-1)))))</f>
        <v/>
      </c>
      <c r="K17" s="123">
        <f>IF(OR($C17="",$B$2="",$D$2=0),0,IF(K$3&lt;0,0,N(INDEX('CURVA PREVISION'!$A$1:$KZ$3000,$C17,10+3*MIN(K$3,$D$2-1)))))</f>
        <v/>
      </c>
      <c r="L17" s="123">
        <f>IF(OR($C17="",$B$2="",$D$2=0),0,IF(L$3&lt;0,0,N(INDEX('CURVA PREVISION'!$A$1:$KZ$3000,$C17,10+3*MIN(L$3,$D$2-1)))))</f>
        <v/>
      </c>
      <c r="M17" s="123">
        <f>IF(OR($C17="",$B$2="",$D$2=0),0,IF(M$3&lt;0,0,N(INDEX('CURVA PREVISION'!$A$1:$KZ$3000,$C17,10+3*MIN(M$3,$D$2-1)))))</f>
        <v/>
      </c>
      <c r="N17" s="123">
        <f>IF(OR($C17="",$B$2="",$D$2=0),0,IF(N$3&lt;0,0,N(INDEX('CURVA PREVISION'!$A$1:$KZ$3000,$C17,10+3*MIN(N$3,$D$2-1)))))</f>
        <v/>
      </c>
      <c r="O17" s="123">
        <f>IF(OR($C17="",$B$2="",$D$2=0),0,IF(O$3&lt;0,0,N(INDEX('CURVA PREVISION'!$A$1:$KZ$3000,$C17,10+3*MIN(O$3,$D$2-1)))))</f>
        <v/>
      </c>
      <c r="P17" s="123">
        <f>IF(OR($C17="",$B$2="",$D$2=0),0,IF(P$3&lt;0,0,N(INDEX('CURVA PREVISION'!$A$1:$KZ$3000,$C17,10+3*MIN(P$3,$D$2-1)))))</f>
        <v/>
      </c>
      <c r="Q17" s="123">
        <f>IF(OR($C17="",$B$2="",$D$2=0),0,IF(Q$3&lt;0,0,N(INDEX('CURVA PREVISION'!$A$1:$KZ$3000,$C17,10+3*MIN(Q$3,$D$2-1)))))</f>
        <v/>
      </c>
      <c r="R17" s="123">
        <f>IF(OR($C17="",$B$2="",$D$2=0),0,IF(R$3&lt;0,0,N(INDEX('CURVA PREVISION'!$A$1:$KZ$3000,$C17,10+3*MIN(R$3,$D$2-1)))))</f>
        <v/>
      </c>
      <c r="S17" s="123">
        <f>IF(OR($C17="",$B$2="",$D$2=0),0,IF(S$3&lt;0,0,N(INDEX('CURVA PREVISION'!$A$1:$KZ$3000,$C17,10+3*MIN(S$3,$D$2-1)))))</f>
        <v/>
      </c>
      <c r="T17" s="123">
        <f>IF(OR($C17="",$B$2="",$D$2=0),0,IF(T$3&lt;0,0,N(INDEX('CURVA PREVISION'!$A$1:$KZ$3000,$C17,10+3*MIN(T$3,$D$2-1)))))</f>
        <v/>
      </c>
      <c r="U17" s="123">
        <f>IF(OR($C17="",$B$2="",$D$2=0),0,IF(U$3&lt;0,0,N(INDEX('CURVA PREVISION'!$A$1:$KZ$3000,$C17,10+3*MIN(U$3,$D$2-1)))))</f>
        <v/>
      </c>
      <c r="V17" s="123">
        <f>IF(OR($C17="",$B$2="",$D$2=0),0,IF(V$3&lt;0,0,N(INDEX('CURVA PREVISION'!$A$1:$KZ$3000,$C17,10+3*MIN(V$3,$D$2-1)))))</f>
        <v/>
      </c>
      <c r="W17" s="123">
        <f>IF(OR($C17="",$B$2="",$D$2=0),0,IF(W$3&lt;0,0,N(INDEX('CURVA PREVISION'!$A$1:$KZ$3000,$C17,10+3*MIN(W$3,$D$2-1)))))</f>
        <v/>
      </c>
      <c r="X17" s="123">
        <f>IF(OR($C17="",$B$2="",$D$2=0),0,IF(X$3&lt;0,0,N(INDEX('CURVA PREVISION'!$A$1:$KZ$3000,$C17,10+3*MIN(X$3,$D$2-1)))))</f>
        <v/>
      </c>
      <c r="Y17" s="123">
        <f>IF(OR($C17="",$B$2="",$D$2=0),0,IF(Y$3&lt;0,0,N(INDEX('CURVA PREVISION'!$A$1:$KZ$3000,$C17,10+3*MIN(Y$3,$D$2-1)))))</f>
        <v/>
      </c>
      <c r="Z17" s="123">
        <f>IF(OR($C17="",$B$2="",$D$2=0),0,IF(Z$3&lt;0,0,N(INDEX('CURVA PREVISION'!$A$1:$KZ$3000,$C17,10+3*MIN(Z$3,$D$2-1)))))</f>
        <v/>
      </c>
      <c r="AA17" s="123">
        <f>IF(OR($C17="",$B$2="",$D$2=0),0,IF(AA$3&lt;0,0,N(INDEX('CURVA PREVISION'!$A$1:$KZ$3000,$C17,10+3*MIN(AA$3,$D$2-1)))))</f>
        <v/>
      </c>
      <c r="AB17" s="123">
        <f>IF(OR($C17="",$B$2="",$D$2=0),0,IF(AB$3&lt;0,0,N(INDEX('CURVA PREVISION'!$A$1:$KZ$3000,$C17,10+3*MIN(AB$3,$D$2-1)))))</f>
        <v/>
      </c>
      <c r="AC17" s="123">
        <f>IF(OR($C17="",$B$2="",$D$2=0),0,IF(AC$3&lt;0,0,N(INDEX('CURVA PREVISION'!$A$1:$KZ$3000,$C17,10+3*MIN(AC$3,$D$2-1)))))</f>
        <v/>
      </c>
      <c r="AD17" s="123">
        <f>IF(OR($C17="",$B$2="",$D$2=0),0,IF(AD$3&lt;0,0,N(INDEX('CURVA PREVISION'!$A$1:$KZ$3000,$C17,10+3*MIN(AD$3,$D$2-1)))))</f>
        <v/>
      </c>
      <c r="AE17" s="123">
        <f>IF(OR($C17="",$B$2="",$D$2=0),0,IF(AE$3&lt;0,0,N(INDEX('CURVA PREVISION'!$A$1:$KZ$3000,$C17,10+3*MIN(AE$3,$D$2-1)))))</f>
        <v/>
      </c>
      <c r="AF17" s="123">
        <f>IF(OR($C17="",$B$2="",$D$2=0),0,IF(AF$3&lt;0,0,N(INDEX('CURVA PREVISION'!$A$1:$KZ$3000,$C17,10+3*MIN(AF$3,$D$2-1)))))</f>
        <v/>
      </c>
      <c r="AG17" s="123">
        <f>IF(OR($C17="",$B$2="",$D$2=0),0,IF(AG$3&lt;0,0,N(INDEX('CURVA PREVISION'!$A$1:$KZ$3000,$C17,10+3*MIN(AG$3,$D$2-1)))))</f>
        <v/>
      </c>
      <c r="AH17" s="123">
        <f>IF(OR($C17="",$B$2="",$D$2=0),0,IF(AH$3&lt;0,0,N(INDEX('CURVA PREVISION'!$A$1:$KZ$3000,$C17,10+3*MIN(AH$3,$D$2-1)))))</f>
        <v/>
      </c>
      <c r="AI17" s="123">
        <f>IF(OR($C17="",$B$2="",$D$2=0),0,IF(AI$3&lt;0,0,N(INDEX('CURVA PREVISION'!$A$1:$KZ$3000,$C17,10+3*MIN(AI$3,$D$2-1)))))</f>
        <v/>
      </c>
      <c r="AJ17" s="123">
        <f>IF(OR($C17="",$B$2="",$D$2=0),0,IF(AJ$3&lt;0,0,N(INDEX('CURVA PREVISION'!$A$1:$KZ$3000,$C17,10+3*MIN(AJ$3,$D$2-1)))))</f>
        <v/>
      </c>
      <c r="AK17" s="123">
        <f>IF(OR($C17="",$B$2="",$D$2=0),0,IF(AK$3&lt;0,0,N(INDEX('CURVA PREVISION'!$A$1:$KZ$3000,$C17,10+3*MIN(AK$3,$D$2-1)))))</f>
        <v/>
      </c>
      <c r="AL17" s="123">
        <f>IF(OR($C17="",$B$2="",$D$2=0),0,IF(AL$3&lt;0,0,N(INDEX('CURVA PREVISION'!$A$1:$KZ$3000,$C17,10+3*MIN(AL$3,$D$2-1)))))</f>
        <v/>
      </c>
      <c r="AM17" s="123">
        <f>IF(OR($C17="",$B$2="",$D$2=0),0,IF(AM$3&lt;0,0,N(INDEX('CURVA PREVISION'!$A$1:$KZ$3000,$C17,10+3*MIN(AM$3,$D$2-1)))))</f>
        <v/>
      </c>
      <c r="AN17" s="123">
        <f>IF(OR($C17="",$B$2="",$D$2=0),0,IF(AN$3&lt;0,0,N(INDEX('CURVA PREVISION'!$A$1:$KZ$3000,$C17,10+3*MIN(AN$3,$D$2-1)))))</f>
        <v/>
      </c>
      <c r="AO17" s="123">
        <f>IF(OR($C17="",$B$2="",$D$2=0),0,IF(AO$3&lt;0,0,N(INDEX('CURVA PREVISION'!$A$1:$KZ$3000,$C17,10+3*MIN(AO$3,$D$2-1)))))</f>
        <v/>
      </c>
      <c r="AP17" s="123">
        <f>IF(OR($C17="",$B$2="",$D$2=0),0,IF(AP$3&lt;0,0,N(INDEX('CURVA PREVISION'!$A$1:$KZ$3000,$C17,10+3*MIN(AP$3,$D$2-1)))))</f>
        <v/>
      </c>
      <c r="AQ17" s="123">
        <f>IF(OR($C17="",$B$2="",$D$2=0),0,IF(AQ$3&lt;0,0,N(INDEX('CURVA PREVISION'!$A$1:$KZ$3000,$C17,10+3*MIN(AQ$3,$D$2-1)))))</f>
        <v/>
      </c>
      <c r="AR17" s="123">
        <f>IF(OR($C17="",$B$2="",$D$2=0),0,IF(AR$3&lt;0,0,N(INDEX('CURVA PREVISION'!$A$1:$KZ$3000,$C17,10+3*MIN(AR$3,$D$2-1)))))</f>
        <v/>
      </c>
      <c r="AS17" s="123">
        <f>IF(OR($C17="",$B$2="",$D$2=0),0,IF(AS$3&lt;0,0,N(INDEX('CURVA PREVISION'!$A$1:$KZ$3000,$C17,10+3*MIN(AS$3,$D$2-1)))))</f>
        <v/>
      </c>
      <c r="AT17" s="123">
        <f>IF(OR($C17="",$B$2="",$D$2=0),0,IF(AT$3&lt;0,0,N(INDEX('CURVA PREVISION'!$A$1:$KZ$3000,$C17,10+3*MIN(AT$3,$D$2-1)))))</f>
        <v/>
      </c>
      <c r="AU17" s="123">
        <f>IF(OR($C17="",$B$2="",$D$2=0),0,IF(AU$3&lt;0,0,N(INDEX('CURVA PREVISION'!$A$1:$KZ$3000,$C17,10+3*MIN(AU$3,$D$2-1)))))</f>
        <v/>
      </c>
      <c r="AV17" s="123">
        <f>IF(OR($C17="",$B$2="",$D$2=0),0,IF(AV$3&lt;0,0,N(INDEX('CURVA PREVISION'!$A$1:$KZ$3000,$C17,10+3*MIN(AV$3,$D$2-1)))))</f>
        <v/>
      </c>
      <c r="AW17" s="123">
        <f>IF(OR($C17="",$B$2="",$D$2=0),0,IF(AW$3&lt;0,0,N(INDEX('CURVA PREVISION'!$A$1:$KZ$3000,$C17,10+3*MIN(AW$3,$D$2-1)))))</f>
        <v/>
      </c>
      <c r="AX17" s="123">
        <f>IF(OR($C17="",$B$2="",$D$2=0),0,IF(AX$3&lt;0,0,N(INDEX('CURVA PREVISION'!$A$1:$KZ$3000,$C17,10+3*MIN(AX$3,$D$2-1)))))</f>
        <v/>
      </c>
      <c r="AY17" s="123">
        <f>IF(OR($C17="",$B$2="",$D$2=0),0,IF(AY$3&lt;0,0,N(INDEX('CURVA PREVISION'!$A$1:$KZ$3000,$C17,10+3*MIN(AY$3,$D$2-1)))))</f>
        <v/>
      </c>
      <c r="AZ17" s="123">
        <f>IF(OR($C17="",$B$2="",$D$2=0),0,IF(AZ$3&lt;0,0,N(INDEX('CURVA PREVISION'!$A$1:$KZ$3000,$C17,10+3*MIN(AZ$3,$D$2-1)))))</f>
        <v/>
      </c>
      <c r="BA17" s="123">
        <f>IF(OR($C17="",$B$2="",$D$2=0),0,IF(BA$3&lt;0,0,N(INDEX('CURVA PREVISION'!$A$1:$KZ$3000,$C17,10+3*MIN(BA$3,$D$2-1)))))</f>
        <v/>
      </c>
      <c r="BB17" s="123">
        <f>IF(OR($C17="",$B$2="",$D$2=0),0,IF(BB$3&lt;0,0,N(INDEX('CURVA PREVISION'!$A$1:$KZ$3000,$C17,10+3*MIN(BB$3,$D$2-1)))))</f>
        <v/>
      </c>
      <c r="BC17" s="123">
        <f>IF(OR($C17="",$B$2="",$D$2=0),0,IF(BC$3&lt;0,0,N(INDEX('CURVA PREVISION'!$A$1:$KZ$3000,$C17,10+3*MIN(BC$3,$D$2-1)))))</f>
        <v/>
      </c>
      <c r="BD17" s="123">
        <f>IF(OR($C17="",$B$2="",$D$2=0),0,IF(BD$3&lt;0,0,N(INDEX('CURVA PREVISION'!$A$1:$KZ$3000,$C17,10+3*MIN(BD$3,$D$2-1)))))</f>
        <v/>
      </c>
      <c r="BE17" s="123">
        <f>IF(OR($C17="",$B$2="",$D$2=0),0,IF(BE$3&lt;0,0,N(INDEX('CURVA PREVISION'!$A$1:$KZ$3000,$C17,10+3*MIN(BE$3,$D$2-1)))))</f>
        <v/>
      </c>
      <c r="BF17" s="123">
        <f>IF(OR($C17="",$B$2="",$D$2=0),0,IF(BF$3&lt;0,0,N(INDEX('CURVA PREVISION'!$A$1:$KZ$3000,$C17,10+3*MIN(BF$3,$D$2-1)))))</f>
        <v/>
      </c>
      <c r="BG17" s="123">
        <f>IF(OR($C17="",$B$2="",$D$2=0),0,IF(BG$3&lt;0,0,N(INDEX('CURVA PREVISION'!$A$1:$KZ$3000,$C17,10+3*MIN(BG$3,$D$2-1)))))</f>
        <v/>
      </c>
      <c r="BH17" s="123">
        <f>IF(OR($C17="",$B$2="",$D$2=0),0,IF(BH$3&lt;0,0,N(INDEX('CURVA PREVISION'!$A$1:$KZ$3000,$C17,10+3*MIN(BH$3,$D$2-1)))))</f>
        <v/>
      </c>
      <c r="BI17" s="123">
        <f>IF(OR($C17="",$B$2="",$D$2=0),0,IF(BI$3&lt;0,0,N(INDEX('CURVA PREVISION'!$A$1:$KZ$3000,$C17,10+3*MIN(BI$3,$D$2-1)))))</f>
        <v/>
      </c>
      <c r="BJ17" s="123">
        <f>IF(OR($C17="",$B$2="",$D$2=0),0,IF(BJ$3&lt;0,0,N(INDEX('CURVA PREVISION'!$A$1:$KZ$3000,$C17,10+3*MIN(BJ$3,$D$2-1)))))</f>
        <v/>
      </c>
      <c r="BK17" s="123">
        <f>IF(OR($C17="",$B$2="",$D$2=0),0,IF(BK$3&lt;0,0,N(INDEX('CURVA PREVISION'!$A$1:$KZ$3000,$C17,10+3*MIN(BK$3,$D$2-1)))))</f>
        <v/>
      </c>
      <c r="BL17" s="123">
        <f>IF(OR($C17="",$B$2="",$D$2=0),0,IF(BL$3&lt;0,0,N(INDEX('CURVA PREVISION'!$A$1:$KZ$3000,$C17,10+3*MIN(BL$3,$D$2-1)))))</f>
        <v/>
      </c>
      <c r="BM17" s="123">
        <f>IF(OR($C17="",$B$2="",$D$2=0),0,IF(BM$3&lt;0,0,N(INDEX('CURVA PREVISION'!$A$1:$KZ$3000,$C17,10+3*MIN(BM$3,$D$2-1)))))</f>
        <v/>
      </c>
      <c r="BN17" s="123">
        <f>IF(OR($C17="",$B$2="",$D$2=0),0,IF(BN$3&lt;0,0,N(INDEX('CURVA PREVISION'!$A$1:$KZ$3000,$C17,10+3*MIN(BN$3,$D$2-1)))))</f>
        <v/>
      </c>
      <c r="BO17" s="123">
        <f>IF(OR($C17="",$B$2="",$D$2=0),0,IF(BO$3&lt;0,0,N(INDEX('CURVA PREVISION'!$A$1:$KZ$3000,$C17,10+3*MIN(BO$3,$D$2-1)))))</f>
        <v/>
      </c>
      <c r="BP17" s="123">
        <f>IF(OR($C17="",$B$2="",$D$2=0),0,IF(BP$3&lt;0,0,N(INDEX('CURVA PREVISION'!$A$1:$KZ$3000,$C17,10+3*MIN(BP$3,$D$2-1)))))</f>
        <v/>
      </c>
      <c r="BQ17" s="123">
        <f>IF(OR($C17="",$B$2="",$D$2=0),0,IF(BQ$3&lt;0,0,N(INDEX('CURVA PREVISION'!$A$1:$KZ$3000,$C17,10+3*MIN(BQ$3,$D$2-1)))))</f>
        <v/>
      </c>
      <c r="BR17" s="123">
        <f>IF(OR($C17="",$B$2="",$D$2=0),0,IF(BR$3&lt;0,0,N(INDEX('CURVA PREVISION'!$A$1:$KZ$3000,$C17,10+3*MIN(BR$3,$D$2-1)))))</f>
        <v/>
      </c>
      <c r="BS17" s="123">
        <f>IF(OR($C17="",$B$2="",$D$2=0),0,IF(BS$3&lt;0,0,N(INDEX('CURVA PREVISION'!$A$1:$KZ$3000,$C17,10+3*MIN(BS$3,$D$2-1)))))</f>
        <v/>
      </c>
      <c r="BT17" s="123">
        <f>IF(OR($C17="",$B$2="",$D$2=0),0,IF(BT$3&lt;0,0,N(INDEX('CURVA PREVISION'!$A$1:$KZ$3000,$C17,10+3*MIN(BT$3,$D$2-1)))))</f>
        <v/>
      </c>
      <c r="BU17" s="123">
        <f>IF(OR($C17="",$B$2="",$D$2=0),0,IF(BU$3&lt;0,0,N(INDEX('CURVA PREVISION'!$A$1:$KZ$3000,$C17,10+3*MIN(BU$3,$D$2-1)))))</f>
        <v/>
      </c>
      <c r="BV17" s="123">
        <f>IF(OR($C17="",$B$2="",$D$2=0),0,IF(BV$3&lt;0,0,N(INDEX('CURVA PREVISION'!$A$1:$KZ$3000,$C17,10+3*MIN(BV$3,$D$2-1)))))</f>
        <v/>
      </c>
      <c r="BW17" s="123">
        <f>IF(OR($C17="",$B$2="",$D$2=0),0,IF(BW$3&lt;0,0,N(INDEX('CURVA PREVISION'!$A$1:$KZ$3000,$C17,10+3*MIN(BW$3,$D$2-1)))))</f>
        <v/>
      </c>
    </row>
    <row r="18">
      <c r="A18" s="61">
        <f>IF('VALOR POR PL'!R24&lt;&gt;"",'VALOR POR PL'!R24,IF('VALOR POR PL'!Q24="",'VALOR POR PL'!C24,'VALOR POR PL'!Q24))</f>
        <v/>
      </c>
      <c r="B18" s="61">
        <f>'VALOR POR PL'!D24</f>
        <v/>
      </c>
      <c r="C18" s="70">
        <f>IFERROR(MATCH(A18,'CURVA PREVISION'!$B$1:$B$3000,0),"")</f>
        <v/>
      </c>
      <c r="D18" s="123">
        <f>IF(OR($C18="",$B$2="",$D$2=0),0,IF(D$3&lt;0,0,N(INDEX('CURVA PREVISION'!$A$1:$KZ$3000,$C18,10+3*MIN(D$3,$D$2-1)))))</f>
        <v/>
      </c>
      <c r="E18" s="123">
        <f>IF(OR($C18="",$B$2="",$D$2=0),0,IF(E$3&lt;0,0,N(INDEX('CURVA PREVISION'!$A$1:$KZ$3000,$C18,10+3*MIN(E$3,$D$2-1)))))</f>
        <v/>
      </c>
      <c r="F18" s="123">
        <f>IF(OR($C18="",$B$2="",$D$2=0),0,IF(F$3&lt;0,0,N(INDEX('CURVA PREVISION'!$A$1:$KZ$3000,$C18,10+3*MIN(F$3,$D$2-1)))))</f>
        <v/>
      </c>
      <c r="G18" s="123">
        <f>IF(OR($C18="",$B$2="",$D$2=0),0,IF(G$3&lt;0,0,N(INDEX('CURVA PREVISION'!$A$1:$KZ$3000,$C18,10+3*MIN(G$3,$D$2-1)))))</f>
        <v/>
      </c>
      <c r="H18" s="123">
        <f>IF(OR($C18="",$B$2="",$D$2=0),0,IF(H$3&lt;0,0,N(INDEX('CURVA PREVISION'!$A$1:$KZ$3000,$C18,10+3*MIN(H$3,$D$2-1)))))</f>
        <v/>
      </c>
      <c r="I18" s="123">
        <f>IF(OR($C18="",$B$2="",$D$2=0),0,IF(I$3&lt;0,0,N(INDEX('CURVA PREVISION'!$A$1:$KZ$3000,$C18,10+3*MIN(I$3,$D$2-1)))))</f>
        <v/>
      </c>
      <c r="J18" s="123">
        <f>IF(OR($C18="",$B$2="",$D$2=0),0,IF(J$3&lt;0,0,N(INDEX('CURVA PREVISION'!$A$1:$KZ$3000,$C18,10+3*MIN(J$3,$D$2-1)))))</f>
        <v/>
      </c>
      <c r="K18" s="123">
        <f>IF(OR($C18="",$B$2="",$D$2=0),0,IF(K$3&lt;0,0,N(INDEX('CURVA PREVISION'!$A$1:$KZ$3000,$C18,10+3*MIN(K$3,$D$2-1)))))</f>
        <v/>
      </c>
      <c r="L18" s="123">
        <f>IF(OR($C18="",$B$2="",$D$2=0),0,IF(L$3&lt;0,0,N(INDEX('CURVA PREVISION'!$A$1:$KZ$3000,$C18,10+3*MIN(L$3,$D$2-1)))))</f>
        <v/>
      </c>
      <c r="M18" s="123">
        <f>IF(OR($C18="",$B$2="",$D$2=0),0,IF(M$3&lt;0,0,N(INDEX('CURVA PREVISION'!$A$1:$KZ$3000,$C18,10+3*MIN(M$3,$D$2-1)))))</f>
        <v/>
      </c>
      <c r="N18" s="123">
        <f>IF(OR($C18="",$B$2="",$D$2=0),0,IF(N$3&lt;0,0,N(INDEX('CURVA PREVISION'!$A$1:$KZ$3000,$C18,10+3*MIN(N$3,$D$2-1)))))</f>
        <v/>
      </c>
      <c r="O18" s="123">
        <f>IF(OR($C18="",$B$2="",$D$2=0),0,IF(O$3&lt;0,0,N(INDEX('CURVA PREVISION'!$A$1:$KZ$3000,$C18,10+3*MIN(O$3,$D$2-1)))))</f>
        <v/>
      </c>
      <c r="P18" s="123">
        <f>IF(OR($C18="",$B$2="",$D$2=0),0,IF(P$3&lt;0,0,N(INDEX('CURVA PREVISION'!$A$1:$KZ$3000,$C18,10+3*MIN(P$3,$D$2-1)))))</f>
        <v/>
      </c>
      <c r="Q18" s="123">
        <f>IF(OR($C18="",$B$2="",$D$2=0),0,IF(Q$3&lt;0,0,N(INDEX('CURVA PREVISION'!$A$1:$KZ$3000,$C18,10+3*MIN(Q$3,$D$2-1)))))</f>
        <v/>
      </c>
      <c r="R18" s="123">
        <f>IF(OR($C18="",$B$2="",$D$2=0),0,IF(R$3&lt;0,0,N(INDEX('CURVA PREVISION'!$A$1:$KZ$3000,$C18,10+3*MIN(R$3,$D$2-1)))))</f>
        <v/>
      </c>
      <c r="S18" s="123">
        <f>IF(OR($C18="",$B$2="",$D$2=0),0,IF(S$3&lt;0,0,N(INDEX('CURVA PREVISION'!$A$1:$KZ$3000,$C18,10+3*MIN(S$3,$D$2-1)))))</f>
        <v/>
      </c>
      <c r="T18" s="123">
        <f>IF(OR($C18="",$B$2="",$D$2=0),0,IF(T$3&lt;0,0,N(INDEX('CURVA PREVISION'!$A$1:$KZ$3000,$C18,10+3*MIN(T$3,$D$2-1)))))</f>
        <v/>
      </c>
      <c r="U18" s="123">
        <f>IF(OR($C18="",$B$2="",$D$2=0),0,IF(U$3&lt;0,0,N(INDEX('CURVA PREVISION'!$A$1:$KZ$3000,$C18,10+3*MIN(U$3,$D$2-1)))))</f>
        <v/>
      </c>
      <c r="V18" s="123">
        <f>IF(OR($C18="",$B$2="",$D$2=0),0,IF(V$3&lt;0,0,N(INDEX('CURVA PREVISION'!$A$1:$KZ$3000,$C18,10+3*MIN(V$3,$D$2-1)))))</f>
        <v/>
      </c>
      <c r="W18" s="123">
        <f>IF(OR($C18="",$B$2="",$D$2=0),0,IF(W$3&lt;0,0,N(INDEX('CURVA PREVISION'!$A$1:$KZ$3000,$C18,10+3*MIN(W$3,$D$2-1)))))</f>
        <v/>
      </c>
      <c r="X18" s="123">
        <f>IF(OR($C18="",$B$2="",$D$2=0),0,IF(X$3&lt;0,0,N(INDEX('CURVA PREVISION'!$A$1:$KZ$3000,$C18,10+3*MIN(X$3,$D$2-1)))))</f>
        <v/>
      </c>
      <c r="Y18" s="123">
        <f>IF(OR($C18="",$B$2="",$D$2=0),0,IF(Y$3&lt;0,0,N(INDEX('CURVA PREVISION'!$A$1:$KZ$3000,$C18,10+3*MIN(Y$3,$D$2-1)))))</f>
        <v/>
      </c>
      <c r="Z18" s="123">
        <f>IF(OR($C18="",$B$2="",$D$2=0),0,IF(Z$3&lt;0,0,N(INDEX('CURVA PREVISION'!$A$1:$KZ$3000,$C18,10+3*MIN(Z$3,$D$2-1)))))</f>
        <v/>
      </c>
      <c r="AA18" s="123">
        <f>IF(OR($C18="",$B$2="",$D$2=0),0,IF(AA$3&lt;0,0,N(INDEX('CURVA PREVISION'!$A$1:$KZ$3000,$C18,10+3*MIN(AA$3,$D$2-1)))))</f>
        <v/>
      </c>
      <c r="AB18" s="123">
        <f>IF(OR($C18="",$B$2="",$D$2=0),0,IF(AB$3&lt;0,0,N(INDEX('CURVA PREVISION'!$A$1:$KZ$3000,$C18,10+3*MIN(AB$3,$D$2-1)))))</f>
        <v/>
      </c>
      <c r="AC18" s="123">
        <f>IF(OR($C18="",$B$2="",$D$2=0),0,IF(AC$3&lt;0,0,N(INDEX('CURVA PREVISION'!$A$1:$KZ$3000,$C18,10+3*MIN(AC$3,$D$2-1)))))</f>
        <v/>
      </c>
      <c r="AD18" s="123">
        <f>IF(OR($C18="",$B$2="",$D$2=0),0,IF(AD$3&lt;0,0,N(INDEX('CURVA PREVISION'!$A$1:$KZ$3000,$C18,10+3*MIN(AD$3,$D$2-1)))))</f>
        <v/>
      </c>
      <c r="AE18" s="123">
        <f>IF(OR($C18="",$B$2="",$D$2=0),0,IF(AE$3&lt;0,0,N(INDEX('CURVA PREVISION'!$A$1:$KZ$3000,$C18,10+3*MIN(AE$3,$D$2-1)))))</f>
        <v/>
      </c>
      <c r="AF18" s="123">
        <f>IF(OR($C18="",$B$2="",$D$2=0),0,IF(AF$3&lt;0,0,N(INDEX('CURVA PREVISION'!$A$1:$KZ$3000,$C18,10+3*MIN(AF$3,$D$2-1)))))</f>
        <v/>
      </c>
      <c r="AG18" s="123">
        <f>IF(OR($C18="",$B$2="",$D$2=0),0,IF(AG$3&lt;0,0,N(INDEX('CURVA PREVISION'!$A$1:$KZ$3000,$C18,10+3*MIN(AG$3,$D$2-1)))))</f>
        <v/>
      </c>
      <c r="AH18" s="123">
        <f>IF(OR($C18="",$B$2="",$D$2=0),0,IF(AH$3&lt;0,0,N(INDEX('CURVA PREVISION'!$A$1:$KZ$3000,$C18,10+3*MIN(AH$3,$D$2-1)))))</f>
        <v/>
      </c>
      <c r="AI18" s="123">
        <f>IF(OR($C18="",$B$2="",$D$2=0),0,IF(AI$3&lt;0,0,N(INDEX('CURVA PREVISION'!$A$1:$KZ$3000,$C18,10+3*MIN(AI$3,$D$2-1)))))</f>
        <v/>
      </c>
      <c r="AJ18" s="123">
        <f>IF(OR($C18="",$B$2="",$D$2=0),0,IF(AJ$3&lt;0,0,N(INDEX('CURVA PREVISION'!$A$1:$KZ$3000,$C18,10+3*MIN(AJ$3,$D$2-1)))))</f>
        <v/>
      </c>
      <c r="AK18" s="123">
        <f>IF(OR($C18="",$B$2="",$D$2=0),0,IF(AK$3&lt;0,0,N(INDEX('CURVA PREVISION'!$A$1:$KZ$3000,$C18,10+3*MIN(AK$3,$D$2-1)))))</f>
        <v/>
      </c>
      <c r="AL18" s="123">
        <f>IF(OR($C18="",$B$2="",$D$2=0),0,IF(AL$3&lt;0,0,N(INDEX('CURVA PREVISION'!$A$1:$KZ$3000,$C18,10+3*MIN(AL$3,$D$2-1)))))</f>
        <v/>
      </c>
      <c r="AM18" s="123">
        <f>IF(OR($C18="",$B$2="",$D$2=0),0,IF(AM$3&lt;0,0,N(INDEX('CURVA PREVISION'!$A$1:$KZ$3000,$C18,10+3*MIN(AM$3,$D$2-1)))))</f>
        <v/>
      </c>
      <c r="AN18" s="123">
        <f>IF(OR($C18="",$B$2="",$D$2=0),0,IF(AN$3&lt;0,0,N(INDEX('CURVA PREVISION'!$A$1:$KZ$3000,$C18,10+3*MIN(AN$3,$D$2-1)))))</f>
        <v/>
      </c>
      <c r="AO18" s="123">
        <f>IF(OR($C18="",$B$2="",$D$2=0),0,IF(AO$3&lt;0,0,N(INDEX('CURVA PREVISION'!$A$1:$KZ$3000,$C18,10+3*MIN(AO$3,$D$2-1)))))</f>
        <v/>
      </c>
      <c r="AP18" s="123">
        <f>IF(OR($C18="",$B$2="",$D$2=0),0,IF(AP$3&lt;0,0,N(INDEX('CURVA PREVISION'!$A$1:$KZ$3000,$C18,10+3*MIN(AP$3,$D$2-1)))))</f>
        <v/>
      </c>
      <c r="AQ18" s="123">
        <f>IF(OR($C18="",$B$2="",$D$2=0),0,IF(AQ$3&lt;0,0,N(INDEX('CURVA PREVISION'!$A$1:$KZ$3000,$C18,10+3*MIN(AQ$3,$D$2-1)))))</f>
        <v/>
      </c>
      <c r="AR18" s="123">
        <f>IF(OR($C18="",$B$2="",$D$2=0),0,IF(AR$3&lt;0,0,N(INDEX('CURVA PREVISION'!$A$1:$KZ$3000,$C18,10+3*MIN(AR$3,$D$2-1)))))</f>
        <v/>
      </c>
      <c r="AS18" s="123">
        <f>IF(OR($C18="",$B$2="",$D$2=0),0,IF(AS$3&lt;0,0,N(INDEX('CURVA PREVISION'!$A$1:$KZ$3000,$C18,10+3*MIN(AS$3,$D$2-1)))))</f>
        <v/>
      </c>
      <c r="AT18" s="123">
        <f>IF(OR($C18="",$B$2="",$D$2=0),0,IF(AT$3&lt;0,0,N(INDEX('CURVA PREVISION'!$A$1:$KZ$3000,$C18,10+3*MIN(AT$3,$D$2-1)))))</f>
        <v/>
      </c>
      <c r="AU18" s="123">
        <f>IF(OR($C18="",$B$2="",$D$2=0),0,IF(AU$3&lt;0,0,N(INDEX('CURVA PREVISION'!$A$1:$KZ$3000,$C18,10+3*MIN(AU$3,$D$2-1)))))</f>
        <v/>
      </c>
      <c r="AV18" s="123">
        <f>IF(OR($C18="",$B$2="",$D$2=0),0,IF(AV$3&lt;0,0,N(INDEX('CURVA PREVISION'!$A$1:$KZ$3000,$C18,10+3*MIN(AV$3,$D$2-1)))))</f>
        <v/>
      </c>
      <c r="AW18" s="123">
        <f>IF(OR($C18="",$B$2="",$D$2=0),0,IF(AW$3&lt;0,0,N(INDEX('CURVA PREVISION'!$A$1:$KZ$3000,$C18,10+3*MIN(AW$3,$D$2-1)))))</f>
        <v/>
      </c>
      <c r="AX18" s="123">
        <f>IF(OR($C18="",$B$2="",$D$2=0),0,IF(AX$3&lt;0,0,N(INDEX('CURVA PREVISION'!$A$1:$KZ$3000,$C18,10+3*MIN(AX$3,$D$2-1)))))</f>
        <v/>
      </c>
      <c r="AY18" s="123">
        <f>IF(OR($C18="",$B$2="",$D$2=0),0,IF(AY$3&lt;0,0,N(INDEX('CURVA PREVISION'!$A$1:$KZ$3000,$C18,10+3*MIN(AY$3,$D$2-1)))))</f>
        <v/>
      </c>
      <c r="AZ18" s="123">
        <f>IF(OR($C18="",$B$2="",$D$2=0),0,IF(AZ$3&lt;0,0,N(INDEX('CURVA PREVISION'!$A$1:$KZ$3000,$C18,10+3*MIN(AZ$3,$D$2-1)))))</f>
        <v/>
      </c>
      <c r="BA18" s="123">
        <f>IF(OR($C18="",$B$2="",$D$2=0),0,IF(BA$3&lt;0,0,N(INDEX('CURVA PREVISION'!$A$1:$KZ$3000,$C18,10+3*MIN(BA$3,$D$2-1)))))</f>
        <v/>
      </c>
      <c r="BB18" s="123">
        <f>IF(OR($C18="",$B$2="",$D$2=0),0,IF(BB$3&lt;0,0,N(INDEX('CURVA PREVISION'!$A$1:$KZ$3000,$C18,10+3*MIN(BB$3,$D$2-1)))))</f>
        <v/>
      </c>
      <c r="BC18" s="123">
        <f>IF(OR($C18="",$B$2="",$D$2=0),0,IF(BC$3&lt;0,0,N(INDEX('CURVA PREVISION'!$A$1:$KZ$3000,$C18,10+3*MIN(BC$3,$D$2-1)))))</f>
        <v/>
      </c>
      <c r="BD18" s="123">
        <f>IF(OR($C18="",$B$2="",$D$2=0),0,IF(BD$3&lt;0,0,N(INDEX('CURVA PREVISION'!$A$1:$KZ$3000,$C18,10+3*MIN(BD$3,$D$2-1)))))</f>
        <v/>
      </c>
      <c r="BE18" s="123">
        <f>IF(OR($C18="",$B$2="",$D$2=0),0,IF(BE$3&lt;0,0,N(INDEX('CURVA PREVISION'!$A$1:$KZ$3000,$C18,10+3*MIN(BE$3,$D$2-1)))))</f>
        <v/>
      </c>
      <c r="BF18" s="123">
        <f>IF(OR($C18="",$B$2="",$D$2=0),0,IF(BF$3&lt;0,0,N(INDEX('CURVA PREVISION'!$A$1:$KZ$3000,$C18,10+3*MIN(BF$3,$D$2-1)))))</f>
        <v/>
      </c>
      <c r="BG18" s="123">
        <f>IF(OR($C18="",$B$2="",$D$2=0),0,IF(BG$3&lt;0,0,N(INDEX('CURVA PREVISION'!$A$1:$KZ$3000,$C18,10+3*MIN(BG$3,$D$2-1)))))</f>
        <v/>
      </c>
      <c r="BH18" s="123">
        <f>IF(OR($C18="",$B$2="",$D$2=0),0,IF(BH$3&lt;0,0,N(INDEX('CURVA PREVISION'!$A$1:$KZ$3000,$C18,10+3*MIN(BH$3,$D$2-1)))))</f>
        <v/>
      </c>
      <c r="BI18" s="123">
        <f>IF(OR($C18="",$B$2="",$D$2=0),0,IF(BI$3&lt;0,0,N(INDEX('CURVA PREVISION'!$A$1:$KZ$3000,$C18,10+3*MIN(BI$3,$D$2-1)))))</f>
        <v/>
      </c>
      <c r="BJ18" s="123">
        <f>IF(OR($C18="",$B$2="",$D$2=0),0,IF(BJ$3&lt;0,0,N(INDEX('CURVA PREVISION'!$A$1:$KZ$3000,$C18,10+3*MIN(BJ$3,$D$2-1)))))</f>
        <v/>
      </c>
      <c r="BK18" s="123">
        <f>IF(OR($C18="",$B$2="",$D$2=0),0,IF(BK$3&lt;0,0,N(INDEX('CURVA PREVISION'!$A$1:$KZ$3000,$C18,10+3*MIN(BK$3,$D$2-1)))))</f>
        <v/>
      </c>
      <c r="BL18" s="123">
        <f>IF(OR($C18="",$B$2="",$D$2=0),0,IF(BL$3&lt;0,0,N(INDEX('CURVA PREVISION'!$A$1:$KZ$3000,$C18,10+3*MIN(BL$3,$D$2-1)))))</f>
        <v/>
      </c>
      <c r="BM18" s="123">
        <f>IF(OR($C18="",$B$2="",$D$2=0),0,IF(BM$3&lt;0,0,N(INDEX('CURVA PREVISION'!$A$1:$KZ$3000,$C18,10+3*MIN(BM$3,$D$2-1)))))</f>
        <v/>
      </c>
      <c r="BN18" s="123">
        <f>IF(OR($C18="",$B$2="",$D$2=0),0,IF(BN$3&lt;0,0,N(INDEX('CURVA PREVISION'!$A$1:$KZ$3000,$C18,10+3*MIN(BN$3,$D$2-1)))))</f>
        <v/>
      </c>
      <c r="BO18" s="123">
        <f>IF(OR($C18="",$B$2="",$D$2=0),0,IF(BO$3&lt;0,0,N(INDEX('CURVA PREVISION'!$A$1:$KZ$3000,$C18,10+3*MIN(BO$3,$D$2-1)))))</f>
        <v/>
      </c>
      <c r="BP18" s="123">
        <f>IF(OR($C18="",$B$2="",$D$2=0),0,IF(BP$3&lt;0,0,N(INDEX('CURVA PREVISION'!$A$1:$KZ$3000,$C18,10+3*MIN(BP$3,$D$2-1)))))</f>
        <v/>
      </c>
      <c r="BQ18" s="123">
        <f>IF(OR($C18="",$B$2="",$D$2=0),0,IF(BQ$3&lt;0,0,N(INDEX('CURVA PREVISION'!$A$1:$KZ$3000,$C18,10+3*MIN(BQ$3,$D$2-1)))))</f>
        <v/>
      </c>
      <c r="BR18" s="123">
        <f>IF(OR($C18="",$B$2="",$D$2=0),0,IF(BR$3&lt;0,0,N(INDEX('CURVA PREVISION'!$A$1:$KZ$3000,$C18,10+3*MIN(BR$3,$D$2-1)))))</f>
        <v/>
      </c>
      <c r="BS18" s="123">
        <f>IF(OR($C18="",$B$2="",$D$2=0),0,IF(BS$3&lt;0,0,N(INDEX('CURVA PREVISION'!$A$1:$KZ$3000,$C18,10+3*MIN(BS$3,$D$2-1)))))</f>
        <v/>
      </c>
      <c r="BT18" s="123">
        <f>IF(OR($C18="",$B$2="",$D$2=0),0,IF(BT$3&lt;0,0,N(INDEX('CURVA PREVISION'!$A$1:$KZ$3000,$C18,10+3*MIN(BT$3,$D$2-1)))))</f>
        <v/>
      </c>
      <c r="BU18" s="123">
        <f>IF(OR($C18="",$B$2="",$D$2=0),0,IF(BU$3&lt;0,0,N(INDEX('CURVA PREVISION'!$A$1:$KZ$3000,$C18,10+3*MIN(BU$3,$D$2-1)))))</f>
        <v/>
      </c>
      <c r="BV18" s="123">
        <f>IF(OR($C18="",$B$2="",$D$2=0),0,IF(BV$3&lt;0,0,N(INDEX('CURVA PREVISION'!$A$1:$KZ$3000,$C18,10+3*MIN(BV$3,$D$2-1)))))</f>
        <v/>
      </c>
      <c r="BW18" s="123">
        <f>IF(OR($C18="",$B$2="",$D$2=0),0,IF(BW$3&lt;0,0,N(INDEX('CURVA PREVISION'!$A$1:$KZ$3000,$C18,10+3*MIN(BW$3,$D$2-1)))))</f>
        <v/>
      </c>
    </row>
    <row r="19">
      <c r="A19" s="61">
        <f>IF('VALOR POR PL'!R25&lt;&gt;"",'VALOR POR PL'!R25,IF('VALOR POR PL'!Q25="",'VALOR POR PL'!C25,'VALOR POR PL'!Q25))</f>
        <v/>
      </c>
      <c r="B19" s="61">
        <f>'VALOR POR PL'!D25</f>
        <v/>
      </c>
      <c r="C19" s="70">
        <f>IFERROR(MATCH(A19,'CURVA PREVISION'!$B$1:$B$3000,0),"")</f>
        <v/>
      </c>
      <c r="D19" s="123">
        <f>IF(OR($C19="",$B$2="",$D$2=0),0,IF(D$3&lt;0,0,N(INDEX('CURVA PREVISION'!$A$1:$KZ$3000,$C19,10+3*MIN(D$3,$D$2-1)))))</f>
        <v/>
      </c>
      <c r="E19" s="123">
        <f>IF(OR($C19="",$B$2="",$D$2=0),0,IF(E$3&lt;0,0,N(INDEX('CURVA PREVISION'!$A$1:$KZ$3000,$C19,10+3*MIN(E$3,$D$2-1)))))</f>
        <v/>
      </c>
      <c r="F19" s="123">
        <f>IF(OR($C19="",$B$2="",$D$2=0),0,IF(F$3&lt;0,0,N(INDEX('CURVA PREVISION'!$A$1:$KZ$3000,$C19,10+3*MIN(F$3,$D$2-1)))))</f>
        <v/>
      </c>
      <c r="G19" s="123">
        <f>IF(OR($C19="",$B$2="",$D$2=0),0,IF(G$3&lt;0,0,N(INDEX('CURVA PREVISION'!$A$1:$KZ$3000,$C19,10+3*MIN(G$3,$D$2-1)))))</f>
        <v/>
      </c>
      <c r="H19" s="123">
        <f>IF(OR($C19="",$B$2="",$D$2=0),0,IF(H$3&lt;0,0,N(INDEX('CURVA PREVISION'!$A$1:$KZ$3000,$C19,10+3*MIN(H$3,$D$2-1)))))</f>
        <v/>
      </c>
      <c r="I19" s="123">
        <f>IF(OR($C19="",$B$2="",$D$2=0),0,IF(I$3&lt;0,0,N(INDEX('CURVA PREVISION'!$A$1:$KZ$3000,$C19,10+3*MIN(I$3,$D$2-1)))))</f>
        <v/>
      </c>
      <c r="J19" s="123">
        <f>IF(OR($C19="",$B$2="",$D$2=0),0,IF(J$3&lt;0,0,N(INDEX('CURVA PREVISION'!$A$1:$KZ$3000,$C19,10+3*MIN(J$3,$D$2-1)))))</f>
        <v/>
      </c>
      <c r="K19" s="123">
        <f>IF(OR($C19="",$B$2="",$D$2=0),0,IF(K$3&lt;0,0,N(INDEX('CURVA PREVISION'!$A$1:$KZ$3000,$C19,10+3*MIN(K$3,$D$2-1)))))</f>
        <v/>
      </c>
      <c r="L19" s="123">
        <f>IF(OR($C19="",$B$2="",$D$2=0),0,IF(L$3&lt;0,0,N(INDEX('CURVA PREVISION'!$A$1:$KZ$3000,$C19,10+3*MIN(L$3,$D$2-1)))))</f>
        <v/>
      </c>
      <c r="M19" s="123">
        <f>IF(OR($C19="",$B$2="",$D$2=0),0,IF(M$3&lt;0,0,N(INDEX('CURVA PREVISION'!$A$1:$KZ$3000,$C19,10+3*MIN(M$3,$D$2-1)))))</f>
        <v/>
      </c>
      <c r="N19" s="123">
        <f>IF(OR($C19="",$B$2="",$D$2=0),0,IF(N$3&lt;0,0,N(INDEX('CURVA PREVISION'!$A$1:$KZ$3000,$C19,10+3*MIN(N$3,$D$2-1)))))</f>
        <v/>
      </c>
      <c r="O19" s="123">
        <f>IF(OR($C19="",$B$2="",$D$2=0),0,IF(O$3&lt;0,0,N(INDEX('CURVA PREVISION'!$A$1:$KZ$3000,$C19,10+3*MIN(O$3,$D$2-1)))))</f>
        <v/>
      </c>
      <c r="P19" s="123">
        <f>IF(OR($C19="",$B$2="",$D$2=0),0,IF(P$3&lt;0,0,N(INDEX('CURVA PREVISION'!$A$1:$KZ$3000,$C19,10+3*MIN(P$3,$D$2-1)))))</f>
        <v/>
      </c>
      <c r="Q19" s="123">
        <f>IF(OR($C19="",$B$2="",$D$2=0),0,IF(Q$3&lt;0,0,N(INDEX('CURVA PREVISION'!$A$1:$KZ$3000,$C19,10+3*MIN(Q$3,$D$2-1)))))</f>
        <v/>
      </c>
      <c r="R19" s="123">
        <f>IF(OR($C19="",$B$2="",$D$2=0),0,IF(R$3&lt;0,0,N(INDEX('CURVA PREVISION'!$A$1:$KZ$3000,$C19,10+3*MIN(R$3,$D$2-1)))))</f>
        <v/>
      </c>
      <c r="S19" s="123">
        <f>IF(OR($C19="",$B$2="",$D$2=0),0,IF(S$3&lt;0,0,N(INDEX('CURVA PREVISION'!$A$1:$KZ$3000,$C19,10+3*MIN(S$3,$D$2-1)))))</f>
        <v/>
      </c>
      <c r="T19" s="123">
        <f>IF(OR($C19="",$B$2="",$D$2=0),0,IF(T$3&lt;0,0,N(INDEX('CURVA PREVISION'!$A$1:$KZ$3000,$C19,10+3*MIN(T$3,$D$2-1)))))</f>
        <v/>
      </c>
      <c r="U19" s="123">
        <f>IF(OR($C19="",$B$2="",$D$2=0),0,IF(U$3&lt;0,0,N(INDEX('CURVA PREVISION'!$A$1:$KZ$3000,$C19,10+3*MIN(U$3,$D$2-1)))))</f>
        <v/>
      </c>
      <c r="V19" s="123">
        <f>IF(OR($C19="",$B$2="",$D$2=0),0,IF(V$3&lt;0,0,N(INDEX('CURVA PREVISION'!$A$1:$KZ$3000,$C19,10+3*MIN(V$3,$D$2-1)))))</f>
        <v/>
      </c>
      <c r="W19" s="123">
        <f>IF(OR($C19="",$B$2="",$D$2=0),0,IF(W$3&lt;0,0,N(INDEX('CURVA PREVISION'!$A$1:$KZ$3000,$C19,10+3*MIN(W$3,$D$2-1)))))</f>
        <v/>
      </c>
      <c r="X19" s="123">
        <f>IF(OR($C19="",$B$2="",$D$2=0),0,IF(X$3&lt;0,0,N(INDEX('CURVA PREVISION'!$A$1:$KZ$3000,$C19,10+3*MIN(X$3,$D$2-1)))))</f>
        <v/>
      </c>
      <c r="Y19" s="123">
        <f>IF(OR($C19="",$B$2="",$D$2=0),0,IF(Y$3&lt;0,0,N(INDEX('CURVA PREVISION'!$A$1:$KZ$3000,$C19,10+3*MIN(Y$3,$D$2-1)))))</f>
        <v/>
      </c>
      <c r="Z19" s="123">
        <f>IF(OR($C19="",$B$2="",$D$2=0),0,IF(Z$3&lt;0,0,N(INDEX('CURVA PREVISION'!$A$1:$KZ$3000,$C19,10+3*MIN(Z$3,$D$2-1)))))</f>
        <v/>
      </c>
      <c r="AA19" s="123">
        <f>IF(OR($C19="",$B$2="",$D$2=0),0,IF(AA$3&lt;0,0,N(INDEX('CURVA PREVISION'!$A$1:$KZ$3000,$C19,10+3*MIN(AA$3,$D$2-1)))))</f>
        <v/>
      </c>
      <c r="AB19" s="123">
        <f>IF(OR($C19="",$B$2="",$D$2=0),0,IF(AB$3&lt;0,0,N(INDEX('CURVA PREVISION'!$A$1:$KZ$3000,$C19,10+3*MIN(AB$3,$D$2-1)))))</f>
        <v/>
      </c>
      <c r="AC19" s="123">
        <f>IF(OR($C19="",$B$2="",$D$2=0),0,IF(AC$3&lt;0,0,N(INDEX('CURVA PREVISION'!$A$1:$KZ$3000,$C19,10+3*MIN(AC$3,$D$2-1)))))</f>
        <v/>
      </c>
      <c r="AD19" s="123">
        <f>IF(OR($C19="",$B$2="",$D$2=0),0,IF(AD$3&lt;0,0,N(INDEX('CURVA PREVISION'!$A$1:$KZ$3000,$C19,10+3*MIN(AD$3,$D$2-1)))))</f>
        <v/>
      </c>
      <c r="AE19" s="123">
        <f>IF(OR($C19="",$B$2="",$D$2=0),0,IF(AE$3&lt;0,0,N(INDEX('CURVA PREVISION'!$A$1:$KZ$3000,$C19,10+3*MIN(AE$3,$D$2-1)))))</f>
        <v/>
      </c>
      <c r="AF19" s="123">
        <f>IF(OR($C19="",$B$2="",$D$2=0),0,IF(AF$3&lt;0,0,N(INDEX('CURVA PREVISION'!$A$1:$KZ$3000,$C19,10+3*MIN(AF$3,$D$2-1)))))</f>
        <v/>
      </c>
      <c r="AG19" s="123">
        <f>IF(OR($C19="",$B$2="",$D$2=0),0,IF(AG$3&lt;0,0,N(INDEX('CURVA PREVISION'!$A$1:$KZ$3000,$C19,10+3*MIN(AG$3,$D$2-1)))))</f>
        <v/>
      </c>
      <c r="AH19" s="123">
        <f>IF(OR($C19="",$B$2="",$D$2=0),0,IF(AH$3&lt;0,0,N(INDEX('CURVA PREVISION'!$A$1:$KZ$3000,$C19,10+3*MIN(AH$3,$D$2-1)))))</f>
        <v/>
      </c>
      <c r="AI19" s="123">
        <f>IF(OR($C19="",$B$2="",$D$2=0),0,IF(AI$3&lt;0,0,N(INDEX('CURVA PREVISION'!$A$1:$KZ$3000,$C19,10+3*MIN(AI$3,$D$2-1)))))</f>
        <v/>
      </c>
      <c r="AJ19" s="123">
        <f>IF(OR($C19="",$B$2="",$D$2=0),0,IF(AJ$3&lt;0,0,N(INDEX('CURVA PREVISION'!$A$1:$KZ$3000,$C19,10+3*MIN(AJ$3,$D$2-1)))))</f>
        <v/>
      </c>
      <c r="AK19" s="123">
        <f>IF(OR($C19="",$B$2="",$D$2=0),0,IF(AK$3&lt;0,0,N(INDEX('CURVA PREVISION'!$A$1:$KZ$3000,$C19,10+3*MIN(AK$3,$D$2-1)))))</f>
        <v/>
      </c>
      <c r="AL19" s="123">
        <f>IF(OR($C19="",$B$2="",$D$2=0),0,IF(AL$3&lt;0,0,N(INDEX('CURVA PREVISION'!$A$1:$KZ$3000,$C19,10+3*MIN(AL$3,$D$2-1)))))</f>
        <v/>
      </c>
      <c r="AM19" s="123">
        <f>IF(OR($C19="",$B$2="",$D$2=0),0,IF(AM$3&lt;0,0,N(INDEX('CURVA PREVISION'!$A$1:$KZ$3000,$C19,10+3*MIN(AM$3,$D$2-1)))))</f>
        <v/>
      </c>
      <c r="AN19" s="123">
        <f>IF(OR($C19="",$B$2="",$D$2=0),0,IF(AN$3&lt;0,0,N(INDEX('CURVA PREVISION'!$A$1:$KZ$3000,$C19,10+3*MIN(AN$3,$D$2-1)))))</f>
        <v/>
      </c>
      <c r="AO19" s="123">
        <f>IF(OR($C19="",$B$2="",$D$2=0),0,IF(AO$3&lt;0,0,N(INDEX('CURVA PREVISION'!$A$1:$KZ$3000,$C19,10+3*MIN(AO$3,$D$2-1)))))</f>
        <v/>
      </c>
      <c r="AP19" s="123">
        <f>IF(OR($C19="",$B$2="",$D$2=0),0,IF(AP$3&lt;0,0,N(INDEX('CURVA PREVISION'!$A$1:$KZ$3000,$C19,10+3*MIN(AP$3,$D$2-1)))))</f>
        <v/>
      </c>
      <c r="AQ19" s="123">
        <f>IF(OR($C19="",$B$2="",$D$2=0),0,IF(AQ$3&lt;0,0,N(INDEX('CURVA PREVISION'!$A$1:$KZ$3000,$C19,10+3*MIN(AQ$3,$D$2-1)))))</f>
        <v/>
      </c>
      <c r="AR19" s="123">
        <f>IF(OR($C19="",$B$2="",$D$2=0),0,IF(AR$3&lt;0,0,N(INDEX('CURVA PREVISION'!$A$1:$KZ$3000,$C19,10+3*MIN(AR$3,$D$2-1)))))</f>
        <v/>
      </c>
      <c r="AS19" s="123">
        <f>IF(OR($C19="",$B$2="",$D$2=0),0,IF(AS$3&lt;0,0,N(INDEX('CURVA PREVISION'!$A$1:$KZ$3000,$C19,10+3*MIN(AS$3,$D$2-1)))))</f>
        <v/>
      </c>
      <c r="AT19" s="123">
        <f>IF(OR($C19="",$B$2="",$D$2=0),0,IF(AT$3&lt;0,0,N(INDEX('CURVA PREVISION'!$A$1:$KZ$3000,$C19,10+3*MIN(AT$3,$D$2-1)))))</f>
        <v/>
      </c>
      <c r="AU19" s="123">
        <f>IF(OR($C19="",$B$2="",$D$2=0),0,IF(AU$3&lt;0,0,N(INDEX('CURVA PREVISION'!$A$1:$KZ$3000,$C19,10+3*MIN(AU$3,$D$2-1)))))</f>
        <v/>
      </c>
      <c r="AV19" s="123">
        <f>IF(OR($C19="",$B$2="",$D$2=0),0,IF(AV$3&lt;0,0,N(INDEX('CURVA PREVISION'!$A$1:$KZ$3000,$C19,10+3*MIN(AV$3,$D$2-1)))))</f>
        <v/>
      </c>
      <c r="AW19" s="123">
        <f>IF(OR($C19="",$B$2="",$D$2=0),0,IF(AW$3&lt;0,0,N(INDEX('CURVA PREVISION'!$A$1:$KZ$3000,$C19,10+3*MIN(AW$3,$D$2-1)))))</f>
        <v/>
      </c>
      <c r="AX19" s="123">
        <f>IF(OR($C19="",$B$2="",$D$2=0),0,IF(AX$3&lt;0,0,N(INDEX('CURVA PREVISION'!$A$1:$KZ$3000,$C19,10+3*MIN(AX$3,$D$2-1)))))</f>
        <v/>
      </c>
      <c r="AY19" s="123">
        <f>IF(OR($C19="",$B$2="",$D$2=0),0,IF(AY$3&lt;0,0,N(INDEX('CURVA PREVISION'!$A$1:$KZ$3000,$C19,10+3*MIN(AY$3,$D$2-1)))))</f>
        <v/>
      </c>
      <c r="AZ19" s="123">
        <f>IF(OR($C19="",$B$2="",$D$2=0),0,IF(AZ$3&lt;0,0,N(INDEX('CURVA PREVISION'!$A$1:$KZ$3000,$C19,10+3*MIN(AZ$3,$D$2-1)))))</f>
        <v/>
      </c>
      <c r="BA19" s="123">
        <f>IF(OR($C19="",$B$2="",$D$2=0),0,IF(BA$3&lt;0,0,N(INDEX('CURVA PREVISION'!$A$1:$KZ$3000,$C19,10+3*MIN(BA$3,$D$2-1)))))</f>
        <v/>
      </c>
      <c r="BB19" s="123">
        <f>IF(OR($C19="",$B$2="",$D$2=0),0,IF(BB$3&lt;0,0,N(INDEX('CURVA PREVISION'!$A$1:$KZ$3000,$C19,10+3*MIN(BB$3,$D$2-1)))))</f>
        <v/>
      </c>
      <c r="BC19" s="123">
        <f>IF(OR($C19="",$B$2="",$D$2=0),0,IF(BC$3&lt;0,0,N(INDEX('CURVA PREVISION'!$A$1:$KZ$3000,$C19,10+3*MIN(BC$3,$D$2-1)))))</f>
        <v/>
      </c>
      <c r="BD19" s="123">
        <f>IF(OR($C19="",$B$2="",$D$2=0),0,IF(BD$3&lt;0,0,N(INDEX('CURVA PREVISION'!$A$1:$KZ$3000,$C19,10+3*MIN(BD$3,$D$2-1)))))</f>
        <v/>
      </c>
      <c r="BE19" s="123">
        <f>IF(OR($C19="",$B$2="",$D$2=0),0,IF(BE$3&lt;0,0,N(INDEX('CURVA PREVISION'!$A$1:$KZ$3000,$C19,10+3*MIN(BE$3,$D$2-1)))))</f>
        <v/>
      </c>
      <c r="BF19" s="123">
        <f>IF(OR($C19="",$B$2="",$D$2=0),0,IF(BF$3&lt;0,0,N(INDEX('CURVA PREVISION'!$A$1:$KZ$3000,$C19,10+3*MIN(BF$3,$D$2-1)))))</f>
        <v/>
      </c>
      <c r="BG19" s="123">
        <f>IF(OR($C19="",$B$2="",$D$2=0),0,IF(BG$3&lt;0,0,N(INDEX('CURVA PREVISION'!$A$1:$KZ$3000,$C19,10+3*MIN(BG$3,$D$2-1)))))</f>
        <v/>
      </c>
      <c r="BH19" s="123">
        <f>IF(OR($C19="",$B$2="",$D$2=0),0,IF(BH$3&lt;0,0,N(INDEX('CURVA PREVISION'!$A$1:$KZ$3000,$C19,10+3*MIN(BH$3,$D$2-1)))))</f>
        <v/>
      </c>
      <c r="BI19" s="123">
        <f>IF(OR($C19="",$B$2="",$D$2=0),0,IF(BI$3&lt;0,0,N(INDEX('CURVA PREVISION'!$A$1:$KZ$3000,$C19,10+3*MIN(BI$3,$D$2-1)))))</f>
        <v/>
      </c>
      <c r="BJ19" s="123">
        <f>IF(OR($C19="",$B$2="",$D$2=0),0,IF(BJ$3&lt;0,0,N(INDEX('CURVA PREVISION'!$A$1:$KZ$3000,$C19,10+3*MIN(BJ$3,$D$2-1)))))</f>
        <v/>
      </c>
      <c r="BK19" s="123">
        <f>IF(OR($C19="",$B$2="",$D$2=0),0,IF(BK$3&lt;0,0,N(INDEX('CURVA PREVISION'!$A$1:$KZ$3000,$C19,10+3*MIN(BK$3,$D$2-1)))))</f>
        <v/>
      </c>
      <c r="BL19" s="123">
        <f>IF(OR($C19="",$B$2="",$D$2=0),0,IF(BL$3&lt;0,0,N(INDEX('CURVA PREVISION'!$A$1:$KZ$3000,$C19,10+3*MIN(BL$3,$D$2-1)))))</f>
        <v/>
      </c>
      <c r="BM19" s="123">
        <f>IF(OR($C19="",$B$2="",$D$2=0),0,IF(BM$3&lt;0,0,N(INDEX('CURVA PREVISION'!$A$1:$KZ$3000,$C19,10+3*MIN(BM$3,$D$2-1)))))</f>
        <v/>
      </c>
      <c r="BN19" s="123">
        <f>IF(OR($C19="",$B$2="",$D$2=0),0,IF(BN$3&lt;0,0,N(INDEX('CURVA PREVISION'!$A$1:$KZ$3000,$C19,10+3*MIN(BN$3,$D$2-1)))))</f>
        <v/>
      </c>
      <c r="BO19" s="123">
        <f>IF(OR($C19="",$B$2="",$D$2=0),0,IF(BO$3&lt;0,0,N(INDEX('CURVA PREVISION'!$A$1:$KZ$3000,$C19,10+3*MIN(BO$3,$D$2-1)))))</f>
        <v/>
      </c>
      <c r="BP19" s="123">
        <f>IF(OR($C19="",$B$2="",$D$2=0),0,IF(BP$3&lt;0,0,N(INDEX('CURVA PREVISION'!$A$1:$KZ$3000,$C19,10+3*MIN(BP$3,$D$2-1)))))</f>
        <v/>
      </c>
      <c r="BQ19" s="123">
        <f>IF(OR($C19="",$B$2="",$D$2=0),0,IF(BQ$3&lt;0,0,N(INDEX('CURVA PREVISION'!$A$1:$KZ$3000,$C19,10+3*MIN(BQ$3,$D$2-1)))))</f>
        <v/>
      </c>
      <c r="BR19" s="123">
        <f>IF(OR($C19="",$B$2="",$D$2=0),0,IF(BR$3&lt;0,0,N(INDEX('CURVA PREVISION'!$A$1:$KZ$3000,$C19,10+3*MIN(BR$3,$D$2-1)))))</f>
        <v/>
      </c>
      <c r="BS19" s="123">
        <f>IF(OR($C19="",$B$2="",$D$2=0),0,IF(BS$3&lt;0,0,N(INDEX('CURVA PREVISION'!$A$1:$KZ$3000,$C19,10+3*MIN(BS$3,$D$2-1)))))</f>
        <v/>
      </c>
      <c r="BT19" s="123">
        <f>IF(OR($C19="",$B$2="",$D$2=0),0,IF(BT$3&lt;0,0,N(INDEX('CURVA PREVISION'!$A$1:$KZ$3000,$C19,10+3*MIN(BT$3,$D$2-1)))))</f>
        <v/>
      </c>
      <c r="BU19" s="123">
        <f>IF(OR($C19="",$B$2="",$D$2=0),0,IF(BU$3&lt;0,0,N(INDEX('CURVA PREVISION'!$A$1:$KZ$3000,$C19,10+3*MIN(BU$3,$D$2-1)))))</f>
        <v/>
      </c>
      <c r="BV19" s="123">
        <f>IF(OR($C19="",$B$2="",$D$2=0),0,IF(BV$3&lt;0,0,N(INDEX('CURVA PREVISION'!$A$1:$KZ$3000,$C19,10+3*MIN(BV$3,$D$2-1)))))</f>
        <v/>
      </c>
      <c r="BW19" s="123">
        <f>IF(OR($C19="",$B$2="",$D$2=0),0,IF(BW$3&lt;0,0,N(INDEX('CURVA PREVISION'!$A$1:$KZ$3000,$C19,10+3*MIN(BW$3,$D$2-1)))))</f>
        <v/>
      </c>
    </row>
    <row r="20">
      <c r="A20" s="61">
        <f>IF('VALOR POR PL'!R26&lt;&gt;"",'VALOR POR PL'!R26,IF('VALOR POR PL'!Q26="",'VALOR POR PL'!C26,'VALOR POR PL'!Q26))</f>
        <v/>
      </c>
      <c r="B20" s="61">
        <f>'VALOR POR PL'!D26</f>
        <v/>
      </c>
      <c r="C20" s="70">
        <f>IFERROR(MATCH(A20,'CURVA PREVISION'!$B$1:$B$3000,0),"")</f>
        <v/>
      </c>
      <c r="D20" s="123">
        <f>IF(OR($C20="",$B$2="",$D$2=0),0,IF(D$3&lt;0,0,N(INDEX('CURVA PREVISION'!$A$1:$KZ$3000,$C20,10+3*MIN(D$3,$D$2-1)))))</f>
        <v/>
      </c>
      <c r="E20" s="123">
        <f>IF(OR($C20="",$B$2="",$D$2=0),0,IF(E$3&lt;0,0,N(INDEX('CURVA PREVISION'!$A$1:$KZ$3000,$C20,10+3*MIN(E$3,$D$2-1)))))</f>
        <v/>
      </c>
      <c r="F20" s="123">
        <f>IF(OR($C20="",$B$2="",$D$2=0),0,IF(F$3&lt;0,0,N(INDEX('CURVA PREVISION'!$A$1:$KZ$3000,$C20,10+3*MIN(F$3,$D$2-1)))))</f>
        <v/>
      </c>
      <c r="G20" s="123">
        <f>IF(OR($C20="",$B$2="",$D$2=0),0,IF(G$3&lt;0,0,N(INDEX('CURVA PREVISION'!$A$1:$KZ$3000,$C20,10+3*MIN(G$3,$D$2-1)))))</f>
        <v/>
      </c>
      <c r="H20" s="123">
        <f>IF(OR($C20="",$B$2="",$D$2=0),0,IF(H$3&lt;0,0,N(INDEX('CURVA PREVISION'!$A$1:$KZ$3000,$C20,10+3*MIN(H$3,$D$2-1)))))</f>
        <v/>
      </c>
      <c r="I20" s="123">
        <f>IF(OR($C20="",$B$2="",$D$2=0),0,IF(I$3&lt;0,0,N(INDEX('CURVA PREVISION'!$A$1:$KZ$3000,$C20,10+3*MIN(I$3,$D$2-1)))))</f>
        <v/>
      </c>
      <c r="J20" s="123">
        <f>IF(OR($C20="",$B$2="",$D$2=0),0,IF(J$3&lt;0,0,N(INDEX('CURVA PREVISION'!$A$1:$KZ$3000,$C20,10+3*MIN(J$3,$D$2-1)))))</f>
        <v/>
      </c>
      <c r="K20" s="123">
        <f>IF(OR($C20="",$B$2="",$D$2=0),0,IF(K$3&lt;0,0,N(INDEX('CURVA PREVISION'!$A$1:$KZ$3000,$C20,10+3*MIN(K$3,$D$2-1)))))</f>
        <v/>
      </c>
      <c r="L20" s="123">
        <f>IF(OR($C20="",$B$2="",$D$2=0),0,IF(L$3&lt;0,0,N(INDEX('CURVA PREVISION'!$A$1:$KZ$3000,$C20,10+3*MIN(L$3,$D$2-1)))))</f>
        <v/>
      </c>
      <c r="M20" s="123">
        <f>IF(OR($C20="",$B$2="",$D$2=0),0,IF(M$3&lt;0,0,N(INDEX('CURVA PREVISION'!$A$1:$KZ$3000,$C20,10+3*MIN(M$3,$D$2-1)))))</f>
        <v/>
      </c>
      <c r="N20" s="123">
        <f>IF(OR($C20="",$B$2="",$D$2=0),0,IF(N$3&lt;0,0,N(INDEX('CURVA PREVISION'!$A$1:$KZ$3000,$C20,10+3*MIN(N$3,$D$2-1)))))</f>
        <v/>
      </c>
      <c r="O20" s="123">
        <f>IF(OR($C20="",$B$2="",$D$2=0),0,IF(O$3&lt;0,0,N(INDEX('CURVA PREVISION'!$A$1:$KZ$3000,$C20,10+3*MIN(O$3,$D$2-1)))))</f>
        <v/>
      </c>
      <c r="P20" s="123">
        <f>IF(OR($C20="",$B$2="",$D$2=0),0,IF(P$3&lt;0,0,N(INDEX('CURVA PREVISION'!$A$1:$KZ$3000,$C20,10+3*MIN(P$3,$D$2-1)))))</f>
        <v/>
      </c>
      <c r="Q20" s="123">
        <f>IF(OR($C20="",$B$2="",$D$2=0),0,IF(Q$3&lt;0,0,N(INDEX('CURVA PREVISION'!$A$1:$KZ$3000,$C20,10+3*MIN(Q$3,$D$2-1)))))</f>
        <v/>
      </c>
      <c r="R20" s="123">
        <f>IF(OR($C20="",$B$2="",$D$2=0),0,IF(R$3&lt;0,0,N(INDEX('CURVA PREVISION'!$A$1:$KZ$3000,$C20,10+3*MIN(R$3,$D$2-1)))))</f>
        <v/>
      </c>
      <c r="S20" s="123">
        <f>IF(OR($C20="",$B$2="",$D$2=0),0,IF(S$3&lt;0,0,N(INDEX('CURVA PREVISION'!$A$1:$KZ$3000,$C20,10+3*MIN(S$3,$D$2-1)))))</f>
        <v/>
      </c>
      <c r="T20" s="123">
        <f>IF(OR($C20="",$B$2="",$D$2=0),0,IF(T$3&lt;0,0,N(INDEX('CURVA PREVISION'!$A$1:$KZ$3000,$C20,10+3*MIN(T$3,$D$2-1)))))</f>
        <v/>
      </c>
      <c r="U20" s="123">
        <f>IF(OR($C20="",$B$2="",$D$2=0),0,IF(U$3&lt;0,0,N(INDEX('CURVA PREVISION'!$A$1:$KZ$3000,$C20,10+3*MIN(U$3,$D$2-1)))))</f>
        <v/>
      </c>
      <c r="V20" s="123">
        <f>IF(OR($C20="",$B$2="",$D$2=0),0,IF(V$3&lt;0,0,N(INDEX('CURVA PREVISION'!$A$1:$KZ$3000,$C20,10+3*MIN(V$3,$D$2-1)))))</f>
        <v/>
      </c>
      <c r="W20" s="123">
        <f>IF(OR($C20="",$B$2="",$D$2=0),0,IF(W$3&lt;0,0,N(INDEX('CURVA PREVISION'!$A$1:$KZ$3000,$C20,10+3*MIN(W$3,$D$2-1)))))</f>
        <v/>
      </c>
      <c r="X20" s="123">
        <f>IF(OR($C20="",$B$2="",$D$2=0),0,IF(X$3&lt;0,0,N(INDEX('CURVA PREVISION'!$A$1:$KZ$3000,$C20,10+3*MIN(X$3,$D$2-1)))))</f>
        <v/>
      </c>
      <c r="Y20" s="123">
        <f>IF(OR($C20="",$B$2="",$D$2=0),0,IF(Y$3&lt;0,0,N(INDEX('CURVA PREVISION'!$A$1:$KZ$3000,$C20,10+3*MIN(Y$3,$D$2-1)))))</f>
        <v/>
      </c>
      <c r="Z20" s="123">
        <f>IF(OR($C20="",$B$2="",$D$2=0),0,IF(Z$3&lt;0,0,N(INDEX('CURVA PREVISION'!$A$1:$KZ$3000,$C20,10+3*MIN(Z$3,$D$2-1)))))</f>
        <v/>
      </c>
      <c r="AA20" s="123">
        <f>IF(OR($C20="",$B$2="",$D$2=0),0,IF(AA$3&lt;0,0,N(INDEX('CURVA PREVISION'!$A$1:$KZ$3000,$C20,10+3*MIN(AA$3,$D$2-1)))))</f>
        <v/>
      </c>
      <c r="AB20" s="123">
        <f>IF(OR($C20="",$B$2="",$D$2=0),0,IF(AB$3&lt;0,0,N(INDEX('CURVA PREVISION'!$A$1:$KZ$3000,$C20,10+3*MIN(AB$3,$D$2-1)))))</f>
        <v/>
      </c>
      <c r="AC20" s="123">
        <f>IF(OR($C20="",$B$2="",$D$2=0),0,IF(AC$3&lt;0,0,N(INDEX('CURVA PREVISION'!$A$1:$KZ$3000,$C20,10+3*MIN(AC$3,$D$2-1)))))</f>
        <v/>
      </c>
      <c r="AD20" s="123">
        <f>IF(OR($C20="",$B$2="",$D$2=0),0,IF(AD$3&lt;0,0,N(INDEX('CURVA PREVISION'!$A$1:$KZ$3000,$C20,10+3*MIN(AD$3,$D$2-1)))))</f>
        <v/>
      </c>
      <c r="AE20" s="123">
        <f>IF(OR($C20="",$B$2="",$D$2=0),0,IF(AE$3&lt;0,0,N(INDEX('CURVA PREVISION'!$A$1:$KZ$3000,$C20,10+3*MIN(AE$3,$D$2-1)))))</f>
        <v/>
      </c>
      <c r="AF20" s="123">
        <f>IF(OR($C20="",$B$2="",$D$2=0),0,IF(AF$3&lt;0,0,N(INDEX('CURVA PREVISION'!$A$1:$KZ$3000,$C20,10+3*MIN(AF$3,$D$2-1)))))</f>
        <v/>
      </c>
      <c r="AG20" s="123">
        <f>IF(OR($C20="",$B$2="",$D$2=0),0,IF(AG$3&lt;0,0,N(INDEX('CURVA PREVISION'!$A$1:$KZ$3000,$C20,10+3*MIN(AG$3,$D$2-1)))))</f>
        <v/>
      </c>
      <c r="AH20" s="123">
        <f>IF(OR($C20="",$B$2="",$D$2=0),0,IF(AH$3&lt;0,0,N(INDEX('CURVA PREVISION'!$A$1:$KZ$3000,$C20,10+3*MIN(AH$3,$D$2-1)))))</f>
        <v/>
      </c>
      <c r="AI20" s="123">
        <f>IF(OR($C20="",$B$2="",$D$2=0),0,IF(AI$3&lt;0,0,N(INDEX('CURVA PREVISION'!$A$1:$KZ$3000,$C20,10+3*MIN(AI$3,$D$2-1)))))</f>
        <v/>
      </c>
      <c r="AJ20" s="123">
        <f>IF(OR($C20="",$B$2="",$D$2=0),0,IF(AJ$3&lt;0,0,N(INDEX('CURVA PREVISION'!$A$1:$KZ$3000,$C20,10+3*MIN(AJ$3,$D$2-1)))))</f>
        <v/>
      </c>
      <c r="AK20" s="123">
        <f>IF(OR($C20="",$B$2="",$D$2=0),0,IF(AK$3&lt;0,0,N(INDEX('CURVA PREVISION'!$A$1:$KZ$3000,$C20,10+3*MIN(AK$3,$D$2-1)))))</f>
        <v/>
      </c>
      <c r="AL20" s="123">
        <f>IF(OR($C20="",$B$2="",$D$2=0),0,IF(AL$3&lt;0,0,N(INDEX('CURVA PREVISION'!$A$1:$KZ$3000,$C20,10+3*MIN(AL$3,$D$2-1)))))</f>
        <v/>
      </c>
      <c r="AM20" s="123">
        <f>IF(OR($C20="",$B$2="",$D$2=0),0,IF(AM$3&lt;0,0,N(INDEX('CURVA PREVISION'!$A$1:$KZ$3000,$C20,10+3*MIN(AM$3,$D$2-1)))))</f>
        <v/>
      </c>
      <c r="AN20" s="123">
        <f>IF(OR($C20="",$B$2="",$D$2=0),0,IF(AN$3&lt;0,0,N(INDEX('CURVA PREVISION'!$A$1:$KZ$3000,$C20,10+3*MIN(AN$3,$D$2-1)))))</f>
        <v/>
      </c>
      <c r="AO20" s="123">
        <f>IF(OR($C20="",$B$2="",$D$2=0),0,IF(AO$3&lt;0,0,N(INDEX('CURVA PREVISION'!$A$1:$KZ$3000,$C20,10+3*MIN(AO$3,$D$2-1)))))</f>
        <v/>
      </c>
      <c r="AP20" s="123">
        <f>IF(OR($C20="",$B$2="",$D$2=0),0,IF(AP$3&lt;0,0,N(INDEX('CURVA PREVISION'!$A$1:$KZ$3000,$C20,10+3*MIN(AP$3,$D$2-1)))))</f>
        <v/>
      </c>
      <c r="AQ20" s="123">
        <f>IF(OR($C20="",$B$2="",$D$2=0),0,IF(AQ$3&lt;0,0,N(INDEX('CURVA PREVISION'!$A$1:$KZ$3000,$C20,10+3*MIN(AQ$3,$D$2-1)))))</f>
        <v/>
      </c>
      <c r="AR20" s="123">
        <f>IF(OR($C20="",$B$2="",$D$2=0),0,IF(AR$3&lt;0,0,N(INDEX('CURVA PREVISION'!$A$1:$KZ$3000,$C20,10+3*MIN(AR$3,$D$2-1)))))</f>
        <v/>
      </c>
      <c r="AS20" s="123">
        <f>IF(OR($C20="",$B$2="",$D$2=0),0,IF(AS$3&lt;0,0,N(INDEX('CURVA PREVISION'!$A$1:$KZ$3000,$C20,10+3*MIN(AS$3,$D$2-1)))))</f>
        <v/>
      </c>
      <c r="AT20" s="123">
        <f>IF(OR($C20="",$B$2="",$D$2=0),0,IF(AT$3&lt;0,0,N(INDEX('CURVA PREVISION'!$A$1:$KZ$3000,$C20,10+3*MIN(AT$3,$D$2-1)))))</f>
        <v/>
      </c>
      <c r="AU20" s="123">
        <f>IF(OR($C20="",$B$2="",$D$2=0),0,IF(AU$3&lt;0,0,N(INDEX('CURVA PREVISION'!$A$1:$KZ$3000,$C20,10+3*MIN(AU$3,$D$2-1)))))</f>
        <v/>
      </c>
      <c r="AV20" s="123">
        <f>IF(OR($C20="",$B$2="",$D$2=0),0,IF(AV$3&lt;0,0,N(INDEX('CURVA PREVISION'!$A$1:$KZ$3000,$C20,10+3*MIN(AV$3,$D$2-1)))))</f>
        <v/>
      </c>
      <c r="AW20" s="123">
        <f>IF(OR($C20="",$B$2="",$D$2=0),0,IF(AW$3&lt;0,0,N(INDEX('CURVA PREVISION'!$A$1:$KZ$3000,$C20,10+3*MIN(AW$3,$D$2-1)))))</f>
        <v/>
      </c>
      <c r="AX20" s="123">
        <f>IF(OR($C20="",$B$2="",$D$2=0),0,IF(AX$3&lt;0,0,N(INDEX('CURVA PREVISION'!$A$1:$KZ$3000,$C20,10+3*MIN(AX$3,$D$2-1)))))</f>
        <v/>
      </c>
      <c r="AY20" s="123">
        <f>IF(OR($C20="",$B$2="",$D$2=0),0,IF(AY$3&lt;0,0,N(INDEX('CURVA PREVISION'!$A$1:$KZ$3000,$C20,10+3*MIN(AY$3,$D$2-1)))))</f>
        <v/>
      </c>
      <c r="AZ20" s="123">
        <f>IF(OR($C20="",$B$2="",$D$2=0),0,IF(AZ$3&lt;0,0,N(INDEX('CURVA PREVISION'!$A$1:$KZ$3000,$C20,10+3*MIN(AZ$3,$D$2-1)))))</f>
        <v/>
      </c>
      <c r="BA20" s="123">
        <f>IF(OR($C20="",$B$2="",$D$2=0),0,IF(BA$3&lt;0,0,N(INDEX('CURVA PREVISION'!$A$1:$KZ$3000,$C20,10+3*MIN(BA$3,$D$2-1)))))</f>
        <v/>
      </c>
      <c r="BB20" s="123">
        <f>IF(OR($C20="",$B$2="",$D$2=0),0,IF(BB$3&lt;0,0,N(INDEX('CURVA PREVISION'!$A$1:$KZ$3000,$C20,10+3*MIN(BB$3,$D$2-1)))))</f>
        <v/>
      </c>
      <c r="BC20" s="123">
        <f>IF(OR($C20="",$B$2="",$D$2=0),0,IF(BC$3&lt;0,0,N(INDEX('CURVA PREVISION'!$A$1:$KZ$3000,$C20,10+3*MIN(BC$3,$D$2-1)))))</f>
        <v/>
      </c>
      <c r="BD20" s="123">
        <f>IF(OR($C20="",$B$2="",$D$2=0),0,IF(BD$3&lt;0,0,N(INDEX('CURVA PREVISION'!$A$1:$KZ$3000,$C20,10+3*MIN(BD$3,$D$2-1)))))</f>
        <v/>
      </c>
      <c r="BE20" s="123">
        <f>IF(OR($C20="",$B$2="",$D$2=0),0,IF(BE$3&lt;0,0,N(INDEX('CURVA PREVISION'!$A$1:$KZ$3000,$C20,10+3*MIN(BE$3,$D$2-1)))))</f>
        <v/>
      </c>
      <c r="BF20" s="123">
        <f>IF(OR($C20="",$B$2="",$D$2=0),0,IF(BF$3&lt;0,0,N(INDEX('CURVA PREVISION'!$A$1:$KZ$3000,$C20,10+3*MIN(BF$3,$D$2-1)))))</f>
        <v/>
      </c>
      <c r="BG20" s="123">
        <f>IF(OR($C20="",$B$2="",$D$2=0),0,IF(BG$3&lt;0,0,N(INDEX('CURVA PREVISION'!$A$1:$KZ$3000,$C20,10+3*MIN(BG$3,$D$2-1)))))</f>
        <v/>
      </c>
      <c r="BH20" s="123">
        <f>IF(OR($C20="",$B$2="",$D$2=0),0,IF(BH$3&lt;0,0,N(INDEX('CURVA PREVISION'!$A$1:$KZ$3000,$C20,10+3*MIN(BH$3,$D$2-1)))))</f>
        <v/>
      </c>
      <c r="BI20" s="123">
        <f>IF(OR($C20="",$B$2="",$D$2=0),0,IF(BI$3&lt;0,0,N(INDEX('CURVA PREVISION'!$A$1:$KZ$3000,$C20,10+3*MIN(BI$3,$D$2-1)))))</f>
        <v/>
      </c>
      <c r="BJ20" s="123">
        <f>IF(OR($C20="",$B$2="",$D$2=0),0,IF(BJ$3&lt;0,0,N(INDEX('CURVA PREVISION'!$A$1:$KZ$3000,$C20,10+3*MIN(BJ$3,$D$2-1)))))</f>
        <v/>
      </c>
      <c r="BK20" s="123">
        <f>IF(OR($C20="",$B$2="",$D$2=0),0,IF(BK$3&lt;0,0,N(INDEX('CURVA PREVISION'!$A$1:$KZ$3000,$C20,10+3*MIN(BK$3,$D$2-1)))))</f>
        <v/>
      </c>
      <c r="BL20" s="123">
        <f>IF(OR($C20="",$B$2="",$D$2=0),0,IF(BL$3&lt;0,0,N(INDEX('CURVA PREVISION'!$A$1:$KZ$3000,$C20,10+3*MIN(BL$3,$D$2-1)))))</f>
        <v/>
      </c>
      <c r="BM20" s="123">
        <f>IF(OR($C20="",$B$2="",$D$2=0),0,IF(BM$3&lt;0,0,N(INDEX('CURVA PREVISION'!$A$1:$KZ$3000,$C20,10+3*MIN(BM$3,$D$2-1)))))</f>
        <v/>
      </c>
      <c r="BN20" s="123">
        <f>IF(OR($C20="",$B$2="",$D$2=0),0,IF(BN$3&lt;0,0,N(INDEX('CURVA PREVISION'!$A$1:$KZ$3000,$C20,10+3*MIN(BN$3,$D$2-1)))))</f>
        <v/>
      </c>
      <c r="BO20" s="123">
        <f>IF(OR($C20="",$B$2="",$D$2=0),0,IF(BO$3&lt;0,0,N(INDEX('CURVA PREVISION'!$A$1:$KZ$3000,$C20,10+3*MIN(BO$3,$D$2-1)))))</f>
        <v/>
      </c>
      <c r="BP20" s="123">
        <f>IF(OR($C20="",$B$2="",$D$2=0),0,IF(BP$3&lt;0,0,N(INDEX('CURVA PREVISION'!$A$1:$KZ$3000,$C20,10+3*MIN(BP$3,$D$2-1)))))</f>
        <v/>
      </c>
      <c r="BQ20" s="123">
        <f>IF(OR($C20="",$B$2="",$D$2=0),0,IF(BQ$3&lt;0,0,N(INDEX('CURVA PREVISION'!$A$1:$KZ$3000,$C20,10+3*MIN(BQ$3,$D$2-1)))))</f>
        <v/>
      </c>
      <c r="BR20" s="123">
        <f>IF(OR($C20="",$B$2="",$D$2=0),0,IF(BR$3&lt;0,0,N(INDEX('CURVA PREVISION'!$A$1:$KZ$3000,$C20,10+3*MIN(BR$3,$D$2-1)))))</f>
        <v/>
      </c>
      <c r="BS20" s="123">
        <f>IF(OR($C20="",$B$2="",$D$2=0),0,IF(BS$3&lt;0,0,N(INDEX('CURVA PREVISION'!$A$1:$KZ$3000,$C20,10+3*MIN(BS$3,$D$2-1)))))</f>
        <v/>
      </c>
      <c r="BT20" s="123">
        <f>IF(OR($C20="",$B$2="",$D$2=0),0,IF(BT$3&lt;0,0,N(INDEX('CURVA PREVISION'!$A$1:$KZ$3000,$C20,10+3*MIN(BT$3,$D$2-1)))))</f>
        <v/>
      </c>
      <c r="BU20" s="123">
        <f>IF(OR($C20="",$B$2="",$D$2=0),0,IF(BU$3&lt;0,0,N(INDEX('CURVA PREVISION'!$A$1:$KZ$3000,$C20,10+3*MIN(BU$3,$D$2-1)))))</f>
        <v/>
      </c>
      <c r="BV20" s="123">
        <f>IF(OR($C20="",$B$2="",$D$2=0),0,IF(BV$3&lt;0,0,N(INDEX('CURVA PREVISION'!$A$1:$KZ$3000,$C20,10+3*MIN(BV$3,$D$2-1)))))</f>
        <v/>
      </c>
      <c r="BW20" s="123">
        <f>IF(OR($C20="",$B$2="",$D$2=0),0,IF(BW$3&lt;0,0,N(INDEX('CURVA PREVISION'!$A$1:$KZ$3000,$C20,10+3*MIN(BW$3,$D$2-1)))))</f>
        <v/>
      </c>
    </row>
    <row r="21">
      <c r="A21" s="61">
        <f>IF('VALOR POR PL'!R27&lt;&gt;"",'VALOR POR PL'!R27,IF('VALOR POR PL'!Q27="",'VALOR POR PL'!C27,'VALOR POR PL'!Q27))</f>
        <v/>
      </c>
      <c r="B21" s="61">
        <f>'VALOR POR PL'!D27</f>
        <v/>
      </c>
      <c r="C21" s="70">
        <f>IFERROR(MATCH(A21,'CURVA PREVISION'!$B$1:$B$3000,0),"")</f>
        <v/>
      </c>
      <c r="D21" s="123">
        <f>IF(OR($C21="",$B$2="",$D$2=0),0,IF(D$3&lt;0,0,N(INDEX('CURVA PREVISION'!$A$1:$KZ$3000,$C21,10+3*MIN(D$3,$D$2-1)))))</f>
        <v/>
      </c>
      <c r="E21" s="123">
        <f>IF(OR($C21="",$B$2="",$D$2=0),0,IF(E$3&lt;0,0,N(INDEX('CURVA PREVISION'!$A$1:$KZ$3000,$C21,10+3*MIN(E$3,$D$2-1)))))</f>
        <v/>
      </c>
      <c r="F21" s="123">
        <f>IF(OR($C21="",$B$2="",$D$2=0),0,IF(F$3&lt;0,0,N(INDEX('CURVA PREVISION'!$A$1:$KZ$3000,$C21,10+3*MIN(F$3,$D$2-1)))))</f>
        <v/>
      </c>
      <c r="G21" s="123">
        <f>IF(OR($C21="",$B$2="",$D$2=0),0,IF(G$3&lt;0,0,N(INDEX('CURVA PREVISION'!$A$1:$KZ$3000,$C21,10+3*MIN(G$3,$D$2-1)))))</f>
        <v/>
      </c>
      <c r="H21" s="123">
        <f>IF(OR($C21="",$B$2="",$D$2=0),0,IF(H$3&lt;0,0,N(INDEX('CURVA PREVISION'!$A$1:$KZ$3000,$C21,10+3*MIN(H$3,$D$2-1)))))</f>
        <v/>
      </c>
      <c r="I21" s="123">
        <f>IF(OR($C21="",$B$2="",$D$2=0),0,IF(I$3&lt;0,0,N(INDEX('CURVA PREVISION'!$A$1:$KZ$3000,$C21,10+3*MIN(I$3,$D$2-1)))))</f>
        <v/>
      </c>
      <c r="J21" s="123">
        <f>IF(OR($C21="",$B$2="",$D$2=0),0,IF(J$3&lt;0,0,N(INDEX('CURVA PREVISION'!$A$1:$KZ$3000,$C21,10+3*MIN(J$3,$D$2-1)))))</f>
        <v/>
      </c>
      <c r="K21" s="123">
        <f>IF(OR($C21="",$B$2="",$D$2=0),0,IF(K$3&lt;0,0,N(INDEX('CURVA PREVISION'!$A$1:$KZ$3000,$C21,10+3*MIN(K$3,$D$2-1)))))</f>
        <v/>
      </c>
      <c r="L21" s="123">
        <f>IF(OR($C21="",$B$2="",$D$2=0),0,IF(L$3&lt;0,0,N(INDEX('CURVA PREVISION'!$A$1:$KZ$3000,$C21,10+3*MIN(L$3,$D$2-1)))))</f>
        <v/>
      </c>
      <c r="M21" s="123">
        <f>IF(OR($C21="",$B$2="",$D$2=0),0,IF(M$3&lt;0,0,N(INDEX('CURVA PREVISION'!$A$1:$KZ$3000,$C21,10+3*MIN(M$3,$D$2-1)))))</f>
        <v/>
      </c>
      <c r="N21" s="123">
        <f>IF(OR($C21="",$B$2="",$D$2=0),0,IF(N$3&lt;0,0,N(INDEX('CURVA PREVISION'!$A$1:$KZ$3000,$C21,10+3*MIN(N$3,$D$2-1)))))</f>
        <v/>
      </c>
      <c r="O21" s="123">
        <f>IF(OR($C21="",$B$2="",$D$2=0),0,IF(O$3&lt;0,0,N(INDEX('CURVA PREVISION'!$A$1:$KZ$3000,$C21,10+3*MIN(O$3,$D$2-1)))))</f>
        <v/>
      </c>
      <c r="P21" s="123">
        <f>IF(OR($C21="",$B$2="",$D$2=0),0,IF(P$3&lt;0,0,N(INDEX('CURVA PREVISION'!$A$1:$KZ$3000,$C21,10+3*MIN(P$3,$D$2-1)))))</f>
        <v/>
      </c>
      <c r="Q21" s="123">
        <f>IF(OR($C21="",$B$2="",$D$2=0),0,IF(Q$3&lt;0,0,N(INDEX('CURVA PREVISION'!$A$1:$KZ$3000,$C21,10+3*MIN(Q$3,$D$2-1)))))</f>
        <v/>
      </c>
      <c r="R21" s="123">
        <f>IF(OR($C21="",$B$2="",$D$2=0),0,IF(R$3&lt;0,0,N(INDEX('CURVA PREVISION'!$A$1:$KZ$3000,$C21,10+3*MIN(R$3,$D$2-1)))))</f>
        <v/>
      </c>
      <c r="S21" s="123">
        <f>IF(OR($C21="",$B$2="",$D$2=0),0,IF(S$3&lt;0,0,N(INDEX('CURVA PREVISION'!$A$1:$KZ$3000,$C21,10+3*MIN(S$3,$D$2-1)))))</f>
        <v/>
      </c>
      <c r="T21" s="123">
        <f>IF(OR($C21="",$B$2="",$D$2=0),0,IF(T$3&lt;0,0,N(INDEX('CURVA PREVISION'!$A$1:$KZ$3000,$C21,10+3*MIN(T$3,$D$2-1)))))</f>
        <v/>
      </c>
      <c r="U21" s="123">
        <f>IF(OR($C21="",$B$2="",$D$2=0),0,IF(U$3&lt;0,0,N(INDEX('CURVA PREVISION'!$A$1:$KZ$3000,$C21,10+3*MIN(U$3,$D$2-1)))))</f>
        <v/>
      </c>
      <c r="V21" s="123">
        <f>IF(OR($C21="",$B$2="",$D$2=0),0,IF(V$3&lt;0,0,N(INDEX('CURVA PREVISION'!$A$1:$KZ$3000,$C21,10+3*MIN(V$3,$D$2-1)))))</f>
        <v/>
      </c>
      <c r="W21" s="123">
        <f>IF(OR($C21="",$B$2="",$D$2=0),0,IF(W$3&lt;0,0,N(INDEX('CURVA PREVISION'!$A$1:$KZ$3000,$C21,10+3*MIN(W$3,$D$2-1)))))</f>
        <v/>
      </c>
      <c r="X21" s="123">
        <f>IF(OR($C21="",$B$2="",$D$2=0),0,IF(X$3&lt;0,0,N(INDEX('CURVA PREVISION'!$A$1:$KZ$3000,$C21,10+3*MIN(X$3,$D$2-1)))))</f>
        <v/>
      </c>
      <c r="Y21" s="123">
        <f>IF(OR($C21="",$B$2="",$D$2=0),0,IF(Y$3&lt;0,0,N(INDEX('CURVA PREVISION'!$A$1:$KZ$3000,$C21,10+3*MIN(Y$3,$D$2-1)))))</f>
        <v/>
      </c>
      <c r="Z21" s="123">
        <f>IF(OR($C21="",$B$2="",$D$2=0),0,IF(Z$3&lt;0,0,N(INDEX('CURVA PREVISION'!$A$1:$KZ$3000,$C21,10+3*MIN(Z$3,$D$2-1)))))</f>
        <v/>
      </c>
      <c r="AA21" s="123">
        <f>IF(OR($C21="",$B$2="",$D$2=0),0,IF(AA$3&lt;0,0,N(INDEX('CURVA PREVISION'!$A$1:$KZ$3000,$C21,10+3*MIN(AA$3,$D$2-1)))))</f>
        <v/>
      </c>
      <c r="AB21" s="123">
        <f>IF(OR($C21="",$B$2="",$D$2=0),0,IF(AB$3&lt;0,0,N(INDEX('CURVA PREVISION'!$A$1:$KZ$3000,$C21,10+3*MIN(AB$3,$D$2-1)))))</f>
        <v/>
      </c>
      <c r="AC21" s="123">
        <f>IF(OR($C21="",$B$2="",$D$2=0),0,IF(AC$3&lt;0,0,N(INDEX('CURVA PREVISION'!$A$1:$KZ$3000,$C21,10+3*MIN(AC$3,$D$2-1)))))</f>
        <v/>
      </c>
      <c r="AD21" s="123">
        <f>IF(OR($C21="",$B$2="",$D$2=0),0,IF(AD$3&lt;0,0,N(INDEX('CURVA PREVISION'!$A$1:$KZ$3000,$C21,10+3*MIN(AD$3,$D$2-1)))))</f>
        <v/>
      </c>
      <c r="AE21" s="123">
        <f>IF(OR($C21="",$B$2="",$D$2=0),0,IF(AE$3&lt;0,0,N(INDEX('CURVA PREVISION'!$A$1:$KZ$3000,$C21,10+3*MIN(AE$3,$D$2-1)))))</f>
        <v/>
      </c>
      <c r="AF21" s="123">
        <f>IF(OR($C21="",$B$2="",$D$2=0),0,IF(AF$3&lt;0,0,N(INDEX('CURVA PREVISION'!$A$1:$KZ$3000,$C21,10+3*MIN(AF$3,$D$2-1)))))</f>
        <v/>
      </c>
      <c r="AG21" s="123">
        <f>IF(OR($C21="",$B$2="",$D$2=0),0,IF(AG$3&lt;0,0,N(INDEX('CURVA PREVISION'!$A$1:$KZ$3000,$C21,10+3*MIN(AG$3,$D$2-1)))))</f>
        <v/>
      </c>
      <c r="AH21" s="123">
        <f>IF(OR($C21="",$B$2="",$D$2=0),0,IF(AH$3&lt;0,0,N(INDEX('CURVA PREVISION'!$A$1:$KZ$3000,$C21,10+3*MIN(AH$3,$D$2-1)))))</f>
        <v/>
      </c>
      <c r="AI21" s="123">
        <f>IF(OR($C21="",$B$2="",$D$2=0),0,IF(AI$3&lt;0,0,N(INDEX('CURVA PREVISION'!$A$1:$KZ$3000,$C21,10+3*MIN(AI$3,$D$2-1)))))</f>
        <v/>
      </c>
      <c r="AJ21" s="123">
        <f>IF(OR($C21="",$B$2="",$D$2=0),0,IF(AJ$3&lt;0,0,N(INDEX('CURVA PREVISION'!$A$1:$KZ$3000,$C21,10+3*MIN(AJ$3,$D$2-1)))))</f>
        <v/>
      </c>
      <c r="AK21" s="123">
        <f>IF(OR($C21="",$B$2="",$D$2=0),0,IF(AK$3&lt;0,0,N(INDEX('CURVA PREVISION'!$A$1:$KZ$3000,$C21,10+3*MIN(AK$3,$D$2-1)))))</f>
        <v/>
      </c>
      <c r="AL21" s="123">
        <f>IF(OR($C21="",$B$2="",$D$2=0),0,IF(AL$3&lt;0,0,N(INDEX('CURVA PREVISION'!$A$1:$KZ$3000,$C21,10+3*MIN(AL$3,$D$2-1)))))</f>
        <v/>
      </c>
      <c r="AM21" s="123">
        <f>IF(OR($C21="",$B$2="",$D$2=0),0,IF(AM$3&lt;0,0,N(INDEX('CURVA PREVISION'!$A$1:$KZ$3000,$C21,10+3*MIN(AM$3,$D$2-1)))))</f>
        <v/>
      </c>
      <c r="AN21" s="123">
        <f>IF(OR($C21="",$B$2="",$D$2=0),0,IF(AN$3&lt;0,0,N(INDEX('CURVA PREVISION'!$A$1:$KZ$3000,$C21,10+3*MIN(AN$3,$D$2-1)))))</f>
        <v/>
      </c>
      <c r="AO21" s="123">
        <f>IF(OR($C21="",$B$2="",$D$2=0),0,IF(AO$3&lt;0,0,N(INDEX('CURVA PREVISION'!$A$1:$KZ$3000,$C21,10+3*MIN(AO$3,$D$2-1)))))</f>
        <v/>
      </c>
      <c r="AP21" s="123">
        <f>IF(OR($C21="",$B$2="",$D$2=0),0,IF(AP$3&lt;0,0,N(INDEX('CURVA PREVISION'!$A$1:$KZ$3000,$C21,10+3*MIN(AP$3,$D$2-1)))))</f>
        <v/>
      </c>
      <c r="AQ21" s="123">
        <f>IF(OR($C21="",$B$2="",$D$2=0),0,IF(AQ$3&lt;0,0,N(INDEX('CURVA PREVISION'!$A$1:$KZ$3000,$C21,10+3*MIN(AQ$3,$D$2-1)))))</f>
        <v/>
      </c>
      <c r="AR21" s="123">
        <f>IF(OR($C21="",$B$2="",$D$2=0),0,IF(AR$3&lt;0,0,N(INDEX('CURVA PREVISION'!$A$1:$KZ$3000,$C21,10+3*MIN(AR$3,$D$2-1)))))</f>
        <v/>
      </c>
      <c r="AS21" s="123">
        <f>IF(OR($C21="",$B$2="",$D$2=0),0,IF(AS$3&lt;0,0,N(INDEX('CURVA PREVISION'!$A$1:$KZ$3000,$C21,10+3*MIN(AS$3,$D$2-1)))))</f>
        <v/>
      </c>
      <c r="AT21" s="123">
        <f>IF(OR($C21="",$B$2="",$D$2=0),0,IF(AT$3&lt;0,0,N(INDEX('CURVA PREVISION'!$A$1:$KZ$3000,$C21,10+3*MIN(AT$3,$D$2-1)))))</f>
        <v/>
      </c>
      <c r="AU21" s="123">
        <f>IF(OR($C21="",$B$2="",$D$2=0),0,IF(AU$3&lt;0,0,N(INDEX('CURVA PREVISION'!$A$1:$KZ$3000,$C21,10+3*MIN(AU$3,$D$2-1)))))</f>
        <v/>
      </c>
      <c r="AV21" s="123">
        <f>IF(OR($C21="",$B$2="",$D$2=0),0,IF(AV$3&lt;0,0,N(INDEX('CURVA PREVISION'!$A$1:$KZ$3000,$C21,10+3*MIN(AV$3,$D$2-1)))))</f>
        <v/>
      </c>
      <c r="AW21" s="123">
        <f>IF(OR($C21="",$B$2="",$D$2=0),0,IF(AW$3&lt;0,0,N(INDEX('CURVA PREVISION'!$A$1:$KZ$3000,$C21,10+3*MIN(AW$3,$D$2-1)))))</f>
        <v/>
      </c>
      <c r="AX21" s="123">
        <f>IF(OR($C21="",$B$2="",$D$2=0),0,IF(AX$3&lt;0,0,N(INDEX('CURVA PREVISION'!$A$1:$KZ$3000,$C21,10+3*MIN(AX$3,$D$2-1)))))</f>
        <v/>
      </c>
      <c r="AY21" s="123">
        <f>IF(OR($C21="",$B$2="",$D$2=0),0,IF(AY$3&lt;0,0,N(INDEX('CURVA PREVISION'!$A$1:$KZ$3000,$C21,10+3*MIN(AY$3,$D$2-1)))))</f>
        <v/>
      </c>
      <c r="AZ21" s="123">
        <f>IF(OR($C21="",$B$2="",$D$2=0),0,IF(AZ$3&lt;0,0,N(INDEX('CURVA PREVISION'!$A$1:$KZ$3000,$C21,10+3*MIN(AZ$3,$D$2-1)))))</f>
        <v/>
      </c>
      <c r="BA21" s="123">
        <f>IF(OR($C21="",$B$2="",$D$2=0),0,IF(BA$3&lt;0,0,N(INDEX('CURVA PREVISION'!$A$1:$KZ$3000,$C21,10+3*MIN(BA$3,$D$2-1)))))</f>
        <v/>
      </c>
      <c r="BB21" s="123">
        <f>IF(OR($C21="",$B$2="",$D$2=0),0,IF(BB$3&lt;0,0,N(INDEX('CURVA PREVISION'!$A$1:$KZ$3000,$C21,10+3*MIN(BB$3,$D$2-1)))))</f>
        <v/>
      </c>
      <c r="BC21" s="123">
        <f>IF(OR($C21="",$B$2="",$D$2=0),0,IF(BC$3&lt;0,0,N(INDEX('CURVA PREVISION'!$A$1:$KZ$3000,$C21,10+3*MIN(BC$3,$D$2-1)))))</f>
        <v/>
      </c>
      <c r="BD21" s="123">
        <f>IF(OR($C21="",$B$2="",$D$2=0),0,IF(BD$3&lt;0,0,N(INDEX('CURVA PREVISION'!$A$1:$KZ$3000,$C21,10+3*MIN(BD$3,$D$2-1)))))</f>
        <v/>
      </c>
      <c r="BE21" s="123">
        <f>IF(OR($C21="",$B$2="",$D$2=0),0,IF(BE$3&lt;0,0,N(INDEX('CURVA PREVISION'!$A$1:$KZ$3000,$C21,10+3*MIN(BE$3,$D$2-1)))))</f>
        <v/>
      </c>
      <c r="BF21" s="123">
        <f>IF(OR($C21="",$B$2="",$D$2=0),0,IF(BF$3&lt;0,0,N(INDEX('CURVA PREVISION'!$A$1:$KZ$3000,$C21,10+3*MIN(BF$3,$D$2-1)))))</f>
        <v/>
      </c>
      <c r="BG21" s="123">
        <f>IF(OR($C21="",$B$2="",$D$2=0),0,IF(BG$3&lt;0,0,N(INDEX('CURVA PREVISION'!$A$1:$KZ$3000,$C21,10+3*MIN(BG$3,$D$2-1)))))</f>
        <v/>
      </c>
      <c r="BH21" s="123">
        <f>IF(OR($C21="",$B$2="",$D$2=0),0,IF(BH$3&lt;0,0,N(INDEX('CURVA PREVISION'!$A$1:$KZ$3000,$C21,10+3*MIN(BH$3,$D$2-1)))))</f>
        <v/>
      </c>
      <c r="BI21" s="123">
        <f>IF(OR($C21="",$B$2="",$D$2=0),0,IF(BI$3&lt;0,0,N(INDEX('CURVA PREVISION'!$A$1:$KZ$3000,$C21,10+3*MIN(BI$3,$D$2-1)))))</f>
        <v/>
      </c>
      <c r="BJ21" s="123">
        <f>IF(OR($C21="",$B$2="",$D$2=0),0,IF(BJ$3&lt;0,0,N(INDEX('CURVA PREVISION'!$A$1:$KZ$3000,$C21,10+3*MIN(BJ$3,$D$2-1)))))</f>
        <v/>
      </c>
      <c r="BK21" s="123">
        <f>IF(OR($C21="",$B$2="",$D$2=0),0,IF(BK$3&lt;0,0,N(INDEX('CURVA PREVISION'!$A$1:$KZ$3000,$C21,10+3*MIN(BK$3,$D$2-1)))))</f>
        <v/>
      </c>
      <c r="BL21" s="123">
        <f>IF(OR($C21="",$B$2="",$D$2=0),0,IF(BL$3&lt;0,0,N(INDEX('CURVA PREVISION'!$A$1:$KZ$3000,$C21,10+3*MIN(BL$3,$D$2-1)))))</f>
        <v/>
      </c>
      <c r="BM21" s="123">
        <f>IF(OR($C21="",$B$2="",$D$2=0),0,IF(BM$3&lt;0,0,N(INDEX('CURVA PREVISION'!$A$1:$KZ$3000,$C21,10+3*MIN(BM$3,$D$2-1)))))</f>
        <v/>
      </c>
      <c r="BN21" s="123">
        <f>IF(OR($C21="",$B$2="",$D$2=0),0,IF(BN$3&lt;0,0,N(INDEX('CURVA PREVISION'!$A$1:$KZ$3000,$C21,10+3*MIN(BN$3,$D$2-1)))))</f>
        <v/>
      </c>
      <c r="BO21" s="123">
        <f>IF(OR($C21="",$B$2="",$D$2=0),0,IF(BO$3&lt;0,0,N(INDEX('CURVA PREVISION'!$A$1:$KZ$3000,$C21,10+3*MIN(BO$3,$D$2-1)))))</f>
        <v/>
      </c>
      <c r="BP21" s="123">
        <f>IF(OR($C21="",$B$2="",$D$2=0),0,IF(BP$3&lt;0,0,N(INDEX('CURVA PREVISION'!$A$1:$KZ$3000,$C21,10+3*MIN(BP$3,$D$2-1)))))</f>
        <v/>
      </c>
      <c r="BQ21" s="123">
        <f>IF(OR($C21="",$B$2="",$D$2=0),0,IF(BQ$3&lt;0,0,N(INDEX('CURVA PREVISION'!$A$1:$KZ$3000,$C21,10+3*MIN(BQ$3,$D$2-1)))))</f>
        <v/>
      </c>
      <c r="BR21" s="123">
        <f>IF(OR($C21="",$B$2="",$D$2=0),0,IF(BR$3&lt;0,0,N(INDEX('CURVA PREVISION'!$A$1:$KZ$3000,$C21,10+3*MIN(BR$3,$D$2-1)))))</f>
        <v/>
      </c>
      <c r="BS21" s="123">
        <f>IF(OR($C21="",$B$2="",$D$2=0),0,IF(BS$3&lt;0,0,N(INDEX('CURVA PREVISION'!$A$1:$KZ$3000,$C21,10+3*MIN(BS$3,$D$2-1)))))</f>
        <v/>
      </c>
      <c r="BT21" s="123">
        <f>IF(OR($C21="",$B$2="",$D$2=0),0,IF(BT$3&lt;0,0,N(INDEX('CURVA PREVISION'!$A$1:$KZ$3000,$C21,10+3*MIN(BT$3,$D$2-1)))))</f>
        <v/>
      </c>
      <c r="BU21" s="123">
        <f>IF(OR($C21="",$B$2="",$D$2=0),0,IF(BU$3&lt;0,0,N(INDEX('CURVA PREVISION'!$A$1:$KZ$3000,$C21,10+3*MIN(BU$3,$D$2-1)))))</f>
        <v/>
      </c>
      <c r="BV21" s="123">
        <f>IF(OR($C21="",$B$2="",$D$2=0),0,IF(BV$3&lt;0,0,N(INDEX('CURVA PREVISION'!$A$1:$KZ$3000,$C21,10+3*MIN(BV$3,$D$2-1)))))</f>
        <v/>
      </c>
      <c r="BW21" s="123">
        <f>IF(OR($C21="",$B$2="",$D$2=0),0,IF(BW$3&lt;0,0,N(INDEX('CURVA PREVISION'!$A$1:$KZ$3000,$C21,10+3*MIN(BW$3,$D$2-1)))))</f>
        <v/>
      </c>
    </row>
    <row r="22">
      <c r="A22" s="61">
        <f>IF('VALOR POR PL'!R28&lt;&gt;"",'VALOR POR PL'!R28,IF('VALOR POR PL'!Q28="",'VALOR POR PL'!C28,'VALOR POR PL'!Q28))</f>
        <v/>
      </c>
      <c r="B22" s="61">
        <f>'VALOR POR PL'!D28</f>
        <v/>
      </c>
      <c r="C22" s="70">
        <f>IFERROR(MATCH(A22,'CURVA PREVISION'!$B$1:$B$3000,0),"")</f>
        <v/>
      </c>
      <c r="D22" s="123">
        <f>IF(OR($C22="",$B$2="",$D$2=0),0,IF(D$3&lt;0,0,N(INDEX('CURVA PREVISION'!$A$1:$KZ$3000,$C22,10+3*MIN(D$3,$D$2-1)))))</f>
        <v/>
      </c>
      <c r="E22" s="123">
        <f>IF(OR($C22="",$B$2="",$D$2=0),0,IF(E$3&lt;0,0,N(INDEX('CURVA PREVISION'!$A$1:$KZ$3000,$C22,10+3*MIN(E$3,$D$2-1)))))</f>
        <v/>
      </c>
      <c r="F22" s="123">
        <f>IF(OR($C22="",$B$2="",$D$2=0),0,IF(F$3&lt;0,0,N(INDEX('CURVA PREVISION'!$A$1:$KZ$3000,$C22,10+3*MIN(F$3,$D$2-1)))))</f>
        <v/>
      </c>
      <c r="G22" s="123">
        <f>IF(OR($C22="",$B$2="",$D$2=0),0,IF(G$3&lt;0,0,N(INDEX('CURVA PREVISION'!$A$1:$KZ$3000,$C22,10+3*MIN(G$3,$D$2-1)))))</f>
        <v/>
      </c>
      <c r="H22" s="123">
        <f>IF(OR($C22="",$B$2="",$D$2=0),0,IF(H$3&lt;0,0,N(INDEX('CURVA PREVISION'!$A$1:$KZ$3000,$C22,10+3*MIN(H$3,$D$2-1)))))</f>
        <v/>
      </c>
      <c r="I22" s="123">
        <f>IF(OR($C22="",$B$2="",$D$2=0),0,IF(I$3&lt;0,0,N(INDEX('CURVA PREVISION'!$A$1:$KZ$3000,$C22,10+3*MIN(I$3,$D$2-1)))))</f>
        <v/>
      </c>
      <c r="J22" s="123">
        <f>IF(OR($C22="",$B$2="",$D$2=0),0,IF(J$3&lt;0,0,N(INDEX('CURVA PREVISION'!$A$1:$KZ$3000,$C22,10+3*MIN(J$3,$D$2-1)))))</f>
        <v/>
      </c>
      <c r="K22" s="123">
        <f>IF(OR($C22="",$B$2="",$D$2=0),0,IF(K$3&lt;0,0,N(INDEX('CURVA PREVISION'!$A$1:$KZ$3000,$C22,10+3*MIN(K$3,$D$2-1)))))</f>
        <v/>
      </c>
      <c r="L22" s="123">
        <f>IF(OR($C22="",$B$2="",$D$2=0),0,IF(L$3&lt;0,0,N(INDEX('CURVA PREVISION'!$A$1:$KZ$3000,$C22,10+3*MIN(L$3,$D$2-1)))))</f>
        <v/>
      </c>
      <c r="M22" s="123">
        <f>IF(OR($C22="",$B$2="",$D$2=0),0,IF(M$3&lt;0,0,N(INDEX('CURVA PREVISION'!$A$1:$KZ$3000,$C22,10+3*MIN(M$3,$D$2-1)))))</f>
        <v/>
      </c>
      <c r="N22" s="123">
        <f>IF(OR($C22="",$B$2="",$D$2=0),0,IF(N$3&lt;0,0,N(INDEX('CURVA PREVISION'!$A$1:$KZ$3000,$C22,10+3*MIN(N$3,$D$2-1)))))</f>
        <v/>
      </c>
      <c r="O22" s="123">
        <f>IF(OR($C22="",$B$2="",$D$2=0),0,IF(O$3&lt;0,0,N(INDEX('CURVA PREVISION'!$A$1:$KZ$3000,$C22,10+3*MIN(O$3,$D$2-1)))))</f>
        <v/>
      </c>
      <c r="P22" s="123">
        <f>IF(OR($C22="",$B$2="",$D$2=0),0,IF(P$3&lt;0,0,N(INDEX('CURVA PREVISION'!$A$1:$KZ$3000,$C22,10+3*MIN(P$3,$D$2-1)))))</f>
        <v/>
      </c>
      <c r="Q22" s="123">
        <f>IF(OR($C22="",$B$2="",$D$2=0),0,IF(Q$3&lt;0,0,N(INDEX('CURVA PREVISION'!$A$1:$KZ$3000,$C22,10+3*MIN(Q$3,$D$2-1)))))</f>
        <v/>
      </c>
      <c r="R22" s="123">
        <f>IF(OR($C22="",$B$2="",$D$2=0),0,IF(R$3&lt;0,0,N(INDEX('CURVA PREVISION'!$A$1:$KZ$3000,$C22,10+3*MIN(R$3,$D$2-1)))))</f>
        <v/>
      </c>
      <c r="S22" s="123">
        <f>IF(OR($C22="",$B$2="",$D$2=0),0,IF(S$3&lt;0,0,N(INDEX('CURVA PREVISION'!$A$1:$KZ$3000,$C22,10+3*MIN(S$3,$D$2-1)))))</f>
        <v/>
      </c>
      <c r="T22" s="123">
        <f>IF(OR($C22="",$B$2="",$D$2=0),0,IF(T$3&lt;0,0,N(INDEX('CURVA PREVISION'!$A$1:$KZ$3000,$C22,10+3*MIN(T$3,$D$2-1)))))</f>
        <v/>
      </c>
      <c r="U22" s="123">
        <f>IF(OR($C22="",$B$2="",$D$2=0),0,IF(U$3&lt;0,0,N(INDEX('CURVA PREVISION'!$A$1:$KZ$3000,$C22,10+3*MIN(U$3,$D$2-1)))))</f>
        <v/>
      </c>
      <c r="V22" s="123">
        <f>IF(OR($C22="",$B$2="",$D$2=0),0,IF(V$3&lt;0,0,N(INDEX('CURVA PREVISION'!$A$1:$KZ$3000,$C22,10+3*MIN(V$3,$D$2-1)))))</f>
        <v/>
      </c>
      <c r="W22" s="123">
        <f>IF(OR($C22="",$B$2="",$D$2=0),0,IF(W$3&lt;0,0,N(INDEX('CURVA PREVISION'!$A$1:$KZ$3000,$C22,10+3*MIN(W$3,$D$2-1)))))</f>
        <v/>
      </c>
      <c r="X22" s="123">
        <f>IF(OR($C22="",$B$2="",$D$2=0),0,IF(X$3&lt;0,0,N(INDEX('CURVA PREVISION'!$A$1:$KZ$3000,$C22,10+3*MIN(X$3,$D$2-1)))))</f>
        <v/>
      </c>
      <c r="Y22" s="123">
        <f>IF(OR($C22="",$B$2="",$D$2=0),0,IF(Y$3&lt;0,0,N(INDEX('CURVA PREVISION'!$A$1:$KZ$3000,$C22,10+3*MIN(Y$3,$D$2-1)))))</f>
        <v/>
      </c>
      <c r="Z22" s="123">
        <f>IF(OR($C22="",$B$2="",$D$2=0),0,IF(Z$3&lt;0,0,N(INDEX('CURVA PREVISION'!$A$1:$KZ$3000,$C22,10+3*MIN(Z$3,$D$2-1)))))</f>
        <v/>
      </c>
      <c r="AA22" s="123">
        <f>IF(OR($C22="",$B$2="",$D$2=0),0,IF(AA$3&lt;0,0,N(INDEX('CURVA PREVISION'!$A$1:$KZ$3000,$C22,10+3*MIN(AA$3,$D$2-1)))))</f>
        <v/>
      </c>
      <c r="AB22" s="123">
        <f>IF(OR($C22="",$B$2="",$D$2=0),0,IF(AB$3&lt;0,0,N(INDEX('CURVA PREVISION'!$A$1:$KZ$3000,$C22,10+3*MIN(AB$3,$D$2-1)))))</f>
        <v/>
      </c>
      <c r="AC22" s="123">
        <f>IF(OR($C22="",$B$2="",$D$2=0),0,IF(AC$3&lt;0,0,N(INDEX('CURVA PREVISION'!$A$1:$KZ$3000,$C22,10+3*MIN(AC$3,$D$2-1)))))</f>
        <v/>
      </c>
      <c r="AD22" s="123">
        <f>IF(OR($C22="",$B$2="",$D$2=0),0,IF(AD$3&lt;0,0,N(INDEX('CURVA PREVISION'!$A$1:$KZ$3000,$C22,10+3*MIN(AD$3,$D$2-1)))))</f>
        <v/>
      </c>
      <c r="AE22" s="123">
        <f>IF(OR($C22="",$B$2="",$D$2=0),0,IF(AE$3&lt;0,0,N(INDEX('CURVA PREVISION'!$A$1:$KZ$3000,$C22,10+3*MIN(AE$3,$D$2-1)))))</f>
        <v/>
      </c>
      <c r="AF22" s="123">
        <f>IF(OR($C22="",$B$2="",$D$2=0),0,IF(AF$3&lt;0,0,N(INDEX('CURVA PREVISION'!$A$1:$KZ$3000,$C22,10+3*MIN(AF$3,$D$2-1)))))</f>
        <v/>
      </c>
      <c r="AG22" s="123">
        <f>IF(OR($C22="",$B$2="",$D$2=0),0,IF(AG$3&lt;0,0,N(INDEX('CURVA PREVISION'!$A$1:$KZ$3000,$C22,10+3*MIN(AG$3,$D$2-1)))))</f>
        <v/>
      </c>
      <c r="AH22" s="123">
        <f>IF(OR($C22="",$B$2="",$D$2=0),0,IF(AH$3&lt;0,0,N(INDEX('CURVA PREVISION'!$A$1:$KZ$3000,$C22,10+3*MIN(AH$3,$D$2-1)))))</f>
        <v/>
      </c>
      <c r="AI22" s="123">
        <f>IF(OR($C22="",$B$2="",$D$2=0),0,IF(AI$3&lt;0,0,N(INDEX('CURVA PREVISION'!$A$1:$KZ$3000,$C22,10+3*MIN(AI$3,$D$2-1)))))</f>
        <v/>
      </c>
      <c r="AJ22" s="123">
        <f>IF(OR($C22="",$B$2="",$D$2=0),0,IF(AJ$3&lt;0,0,N(INDEX('CURVA PREVISION'!$A$1:$KZ$3000,$C22,10+3*MIN(AJ$3,$D$2-1)))))</f>
        <v/>
      </c>
      <c r="AK22" s="123">
        <f>IF(OR($C22="",$B$2="",$D$2=0),0,IF(AK$3&lt;0,0,N(INDEX('CURVA PREVISION'!$A$1:$KZ$3000,$C22,10+3*MIN(AK$3,$D$2-1)))))</f>
        <v/>
      </c>
      <c r="AL22" s="123">
        <f>IF(OR($C22="",$B$2="",$D$2=0),0,IF(AL$3&lt;0,0,N(INDEX('CURVA PREVISION'!$A$1:$KZ$3000,$C22,10+3*MIN(AL$3,$D$2-1)))))</f>
        <v/>
      </c>
      <c r="AM22" s="123">
        <f>IF(OR($C22="",$B$2="",$D$2=0),0,IF(AM$3&lt;0,0,N(INDEX('CURVA PREVISION'!$A$1:$KZ$3000,$C22,10+3*MIN(AM$3,$D$2-1)))))</f>
        <v/>
      </c>
      <c r="AN22" s="123">
        <f>IF(OR($C22="",$B$2="",$D$2=0),0,IF(AN$3&lt;0,0,N(INDEX('CURVA PREVISION'!$A$1:$KZ$3000,$C22,10+3*MIN(AN$3,$D$2-1)))))</f>
        <v/>
      </c>
      <c r="AO22" s="123">
        <f>IF(OR($C22="",$B$2="",$D$2=0),0,IF(AO$3&lt;0,0,N(INDEX('CURVA PREVISION'!$A$1:$KZ$3000,$C22,10+3*MIN(AO$3,$D$2-1)))))</f>
        <v/>
      </c>
      <c r="AP22" s="123">
        <f>IF(OR($C22="",$B$2="",$D$2=0),0,IF(AP$3&lt;0,0,N(INDEX('CURVA PREVISION'!$A$1:$KZ$3000,$C22,10+3*MIN(AP$3,$D$2-1)))))</f>
        <v/>
      </c>
      <c r="AQ22" s="123">
        <f>IF(OR($C22="",$B$2="",$D$2=0),0,IF(AQ$3&lt;0,0,N(INDEX('CURVA PREVISION'!$A$1:$KZ$3000,$C22,10+3*MIN(AQ$3,$D$2-1)))))</f>
        <v/>
      </c>
      <c r="AR22" s="123">
        <f>IF(OR($C22="",$B$2="",$D$2=0),0,IF(AR$3&lt;0,0,N(INDEX('CURVA PREVISION'!$A$1:$KZ$3000,$C22,10+3*MIN(AR$3,$D$2-1)))))</f>
        <v/>
      </c>
      <c r="AS22" s="123">
        <f>IF(OR($C22="",$B$2="",$D$2=0),0,IF(AS$3&lt;0,0,N(INDEX('CURVA PREVISION'!$A$1:$KZ$3000,$C22,10+3*MIN(AS$3,$D$2-1)))))</f>
        <v/>
      </c>
      <c r="AT22" s="123">
        <f>IF(OR($C22="",$B$2="",$D$2=0),0,IF(AT$3&lt;0,0,N(INDEX('CURVA PREVISION'!$A$1:$KZ$3000,$C22,10+3*MIN(AT$3,$D$2-1)))))</f>
        <v/>
      </c>
      <c r="AU22" s="123">
        <f>IF(OR($C22="",$B$2="",$D$2=0),0,IF(AU$3&lt;0,0,N(INDEX('CURVA PREVISION'!$A$1:$KZ$3000,$C22,10+3*MIN(AU$3,$D$2-1)))))</f>
        <v/>
      </c>
      <c r="AV22" s="123">
        <f>IF(OR($C22="",$B$2="",$D$2=0),0,IF(AV$3&lt;0,0,N(INDEX('CURVA PREVISION'!$A$1:$KZ$3000,$C22,10+3*MIN(AV$3,$D$2-1)))))</f>
        <v/>
      </c>
      <c r="AW22" s="123">
        <f>IF(OR($C22="",$B$2="",$D$2=0),0,IF(AW$3&lt;0,0,N(INDEX('CURVA PREVISION'!$A$1:$KZ$3000,$C22,10+3*MIN(AW$3,$D$2-1)))))</f>
        <v/>
      </c>
      <c r="AX22" s="123">
        <f>IF(OR($C22="",$B$2="",$D$2=0),0,IF(AX$3&lt;0,0,N(INDEX('CURVA PREVISION'!$A$1:$KZ$3000,$C22,10+3*MIN(AX$3,$D$2-1)))))</f>
        <v/>
      </c>
      <c r="AY22" s="123">
        <f>IF(OR($C22="",$B$2="",$D$2=0),0,IF(AY$3&lt;0,0,N(INDEX('CURVA PREVISION'!$A$1:$KZ$3000,$C22,10+3*MIN(AY$3,$D$2-1)))))</f>
        <v/>
      </c>
      <c r="AZ22" s="123">
        <f>IF(OR($C22="",$B$2="",$D$2=0),0,IF(AZ$3&lt;0,0,N(INDEX('CURVA PREVISION'!$A$1:$KZ$3000,$C22,10+3*MIN(AZ$3,$D$2-1)))))</f>
        <v/>
      </c>
      <c r="BA22" s="123">
        <f>IF(OR($C22="",$B$2="",$D$2=0),0,IF(BA$3&lt;0,0,N(INDEX('CURVA PREVISION'!$A$1:$KZ$3000,$C22,10+3*MIN(BA$3,$D$2-1)))))</f>
        <v/>
      </c>
      <c r="BB22" s="123">
        <f>IF(OR($C22="",$B$2="",$D$2=0),0,IF(BB$3&lt;0,0,N(INDEX('CURVA PREVISION'!$A$1:$KZ$3000,$C22,10+3*MIN(BB$3,$D$2-1)))))</f>
        <v/>
      </c>
      <c r="BC22" s="123">
        <f>IF(OR($C22="",$B$2="",$D$2=0),0,IF(BC$3&lt;0,0,N(INDEX('CURVA PREVISION'!$A$1:$KZ$3000,$C22,10+3*MIN(BC$3,$D$2-1)))))</f>
        <v/>
      </c>
      <c r="BD22" s="123">
        <f>IF(OR($C22="",$B$2="",$D$2=0),0,IF(BD$3&lt;0,0,N(INDEX('CURVA PREVISION'!$A$1:$KZ$3000,$C22,10+3*MIN(BD$3,$D$2-1)))))</f>
        <v/>
      </c>
      <c r="BE22" s="123">
        <f>IF(OR($C22="",$B$2="",$D$2=0),0,IF(BE$3&lt;0,0,N(INDEX('CURVA PREVISION'!$A$1:$KZ$3000,$C22,10+3*MIN(BE$3,$D$2-1)))))</f>
        <v/>
      </c>
      <c r="BF22" s="123">
        <f>IF(OR($C22="",$B$2="",$D$2=0),0,IF(BF$3&lt;0,0,N(INDEX('CURVA PREVISION'!$A$1:$KZ$3000,$C22,10+3*MIN(BF$3,$D$2-1)))))</f>
        <v/>
      </c>
      <c r="BG22" s="123">
        <f>IF(OR($C22="",$B$2="",$D$2=0),0,IF(BG$3&lt;0,0,N(INDEX('CURVA PREVISION'!$A$1:$KZ$3000,$C22,10+3*MIN(BG$3,$D$2-1)))))</f>
        <v/>
      </c>
      <c r="BH22" s="123">
        <f>IF(OR($C22="",$B$2="",$D$2=0),0,IF(BH$3&lt;0,0,N(INDEX('CURVA PREVISION'!$A$1:$KZ$3000,$C22,10+3*MIN(BH$3,$D$2-1)))))</f>
        <v/>
      </c>
      <c r="BI22" s="123">
        <f>IF(OR($C22="",$B$2="",$D$2=0),0,IF(BI$3&lt;0,0,N(INDEX('CURVA PREVISION'!$A$1:$KZ$3000,$C22,10+3*MIN(BI$3,$D$2-1)))))</f>
        <v/>
      </c>
      <c r="BJ22" s="123">
        <f>IF(OR($C22="",$B$2="",$D$2=0),0,IF(BJ$3&lt;0,0,N(INDEX('CURVA PREVISION'!$A$1:$KZ$3000,$C22,10+3*MIN(BJ$3,$D$2-1)))))</f>
        <v/>
      </c>
      <c r="BK22" s="123">
        <f>IF(OR($C22="",$B$2="",$D$2=0),0,IF(BK$3&lt;0,0,N(INDEX('CURVA PREVISION'!$A$1:$KZ$3000,$C22,10+3*MIN(BK$3,$D$2-1)))))</f>
        <v/>
      </c>
      <c r="BL22" s="123">
        <f>IF(OR($C22="",$B$2="",$D$2=0),0,IF(BL$3&lt;0,0,N(INDEX('CURVA PREVISION'!$A$1:$KZ$3000,$C22,10+3*MIN(BL$3,$D$2-1)))))</f>
        <v/>
      </c>
      <c r="BM22" s="123">
        <f>IF(OR($C22="",$B$2="",$D$2=0),0,IF(BM$3&lt;0,0,N(INDEX('CURVA PREVISION'!$A$1:$KZ$3000,$C22,10+3*MIN(BM$3,$D$2-1)))))</f>
        <v/>
      </c>
      <c r="BN22" s="123">
        <f>IF(OR($C22="",$B$2="",$D$2=0),0,IF(BN$3&lt;0,0,N(INDEX('CURVA PREVISION'!$A$1:$KZ$3000,$C22,10+3*MIN(BN$3,$D$2-1)))))</f>
        <v/>
      </c>
      <c r="BO22" s="123">
        <f>IF(OR($C22="",$B$2="",$D$2=0),0,IF(BO$3&lt;0,0,N(INDEX('CURVA PREVISION'!$A$1:$KZ$3000,$C22,10+3*MIN(BO$3,$D$2-1)))))</f>
        <v/>
      </c>
      <c r="BP22" s="123">
        <f>IF(OR($C22="",$B$2="",$D$2=0),0,IF(BP$3&lt;0,0,N(INDEX('CURVA PREVISION'!$A$1:$KZ$3000,$C22,10+3*MIN(BP$3,$D$2-1)))))</f>
        <v/>
      </c>
      <c r="BQ22" s="123">
        <f>IF(OR($C22="",$B$2="",$D$2=0),0,IF(BQ$3&lt;0,0,N(INDEX('CURVA PREVISION'!$A$1:$KZ$3000,$C22,10+3*MIN(BQ$3,$D$2-1)))))</f>
        <v/>
      </c>
      <c r="BR22" s="123">
        <f>IF(OR($C22="",$B$2="",$D$2=0),0,IF(BR$3&lt;0,0,N(INDEX('CURVA PREVISION'!$A$1:$KZ$3000,$C22,10+3*MIN(BR$3,$D$2-1)))))</f>
        <v/>
      </c>
      <c r="BS22" s="123">
        <f>IF(OR($C22="",$B$2="",$D$2=0),0,IF(BS$3&lt;0,0,N(INDEX('CURVA PREVISION'!$A$1:$KZ$3000,$C22,10+3*MIN(BS$3,$D$2-1)))))</f>
        <v/>
      </c>
      <c r="BT22" s="123">
        <f>IF(OR($C22="",$B$2="",$D$2=0),0,IF(BT$3&lt;0,0,N(INDEX('CURVA PREVISION'!$A$1:$KZ$3000,$C22,10+3*MIN(BT$3,$D$2-1)))))</f>
        <v/>
      </c>
      <c r="BU22" s="123">
        <f>IF(OR($C22="",$B$2="",$D$2=0),0,IF(BU$3&lt;0,0,N(INDEX('CURVA PREVISION'!$A$1:$KZ$3000,$C22,10+3*MIN(BU$3,$D$2-1)))))</f>
        <v/>
      </c>
      <c r="BV22" s="123">
        <f>IF(OR($C22="",$B$2="",$D$2=0),0,IF(BV$3&lt;0,0,N(INDEX('CURVA PREVISION'!$A$1:$KZ$3000,$C22,10+3*MIN(BV$3,$D$2-1)))))</f>
        <v/>
      </c>
      <c r="BW22" s="123">
        <f>IF(OR($C22="",$B$2="",$D$2=0),0,IF(BW$3&lt;0,0,N(INDEX('CURVA PREVISION'!$A$1:$KZ$3000,$C22,10+3*MIN(BW$3,$D$2-1)))))</f>
        <v/>
      </c>
    </row>
    <row r="23">
      <c r="A23" s="61">
        <f>IF('VALOR POR PL'!R29&lt;&gt;"",'VALOR POR PL'!R29,IF('VALOR POR PL'!Q29="",'VALOR POR PL'!C29,'VALOR POR PL'!Q29))</f>
        <v/>
      </c>
      <c r="B23" s="61">
        <f>'VALOR POR PL'!D29</f>
        <v/>
      </c>
      <c r="C23" s="70">
        <f>IFERROR(MATCH(A23,'CURVA PREVISION'!$B$1:$B$3000,0),"")</f>
        <v/>
      </c>
      <c r="D23" s="123">
        <f>IF(OR($C23="",$B$2="",$D$2=0),0,IF(D$3&lt;0,0,N(INDEX('CURVA PREVISION'!$A$1:$KZ$3000,$C23,10+3*MIN(D$3,$D$2-1)))))</f>
        <v/>
      </c>
      <c r="E23" s="123">
        <f>IF(OR($C23="",$B$2="",$D$2=0),0,IF(E$3&lt;0,0,N(INDEX('CURVA PREVISION'!$A$1:$KZ$3000,$C23,10+3*MIN(E$3,$D$2-1)))))</f>
        <v/>
      </c>
      <c r="F23" s="123">
        <f>IF(OR($C23="",$B$2="",$D$2=0),0,IF(F$3&lt;0,0,N(INDEX('CURVA PREVISION'!$A$1:$KZ$3000,$C23,10+3*MIN(F$3,$D$2-1)))))</f>
        <v/>
      </c>
      <c r="G23" s="123">
        <f>IF(OR($C23="",$B$2="",$D$2=0),0,IF(G$3&lt;0,0,N(INDEX('CURVA PREVISION'!$A$1:$KZ$3000,$C23,10+3*MIN(G$3,$D$2-1)))))</f>
        <v/>
      </c>
      <c r="H23" s="123">
        <f>IF(OR($C23="",$B$2="",$D$2=0),0,IF(H$3&lt;0,0,N(INDEX('CURVA PREVISION'!$A$1:$KZ$3000,$C23,10+3*MIN(H$3,$D$2-1)))))</f>
        <v/>
      </c>
      <c r="I23" s="123">
        <f>IF(OR($C23="",$B$2="",$D$2=0),0,IF(I$3&lt;0,0,N(INDEX('CURVA PREVISION'!$A$1:$KZ$3000,$C23,10+3*MIN(I$3,$D$2-1)))))</f>
        <v/>
      </c>
      <c r="J23" s="123">
        <f>IF(OR($C23="",$B$2="",$D$2=0),0,IF(J$3&lt;0,0,N(INDEX('CURVA PREVISION'!$A$1:$KZ$3000,$C23,10+3*MIN(J$3,$D$2-1)))))</f>
        <v/>
      </c>
      <c r="K23" s="123">
        <f>IF(OR($C23="",$B$2="",$D$2=0),0,IF(K$3&lt;0,0,N(INDEX('CURVA PREVISION'!$A$1:$KZ$3000,$C23,10+3*MIN(K$3,$D$2-1)))))</f>
        <v/>
      </c>
      <c r="L23" s="123">
        <f>IF(OR($C23="",$B$2="",$D$2=0),0,IF(L$3&lt;0,0,N(INDEX('CURVA PREVISION'!$A$1:$KZ$3000,$C23,10+3*MIN(L$3,$D$2-1)))))</f>
        <v/>
      </c>
      <c r="M23" s="123">
        <f>IF(OR($C23="",$B$2="",$D$2=0),0,IF(M$3&lt;0,0,N(INDEX('CURVA PREVISION'!$A$1:$KZ$3000,$C23,10+3*MIN(M$3,$D$2-1)))))</f>
        <v/>
      </c>
      <c r="N23" s="123">
        <f>IF(OR($C23="",$B$2="",$D$2=0),0,IF(N$3&lt;0,0,N(INDEX('CURVA PREVISION'!$A$1:$KZ$3000,$C23,10+3*MIN(N$3,$D$2-1)))))</f>
        <v/>
      </c>
      <c r="O23" s="123">
        <f>IF(OR($C23="",$B$2="",$D$2=0),0,IF(O$3&lt;0,0,N(INDEX('CURVA PREVISION'!$A$1:$KZ$3000,$C23,10+3*MIN(O$3,$D$2-1)))))</f>
        <v/>
      </c>
      <c r="P23" s="123">
        <f>IF(OR($C23="",$B$2="",$D$2=0),0,IF(P$3&lt;0,0,N(INDEX('CURVA PREVISION'!$A$1:$KZ$3000,$C23,10+3*MIN(P$3,$D$2-1)))))</f>
        <v/>
      </c>
      <c r="Q23" s="123">
        <f>IF(OR($C23="",$B$2="",$D$2=0),0,IF(Q$3&lt;0,0,N(INDEX('CURVA PREVISION'!$A$1:$KZ$3000,$C23,10+3*MIN(Q$3,$D$2-1)))))</f>
        <v/>
      </c>
      <c r="R23" s="123">
        <f>IF(OR($C23="",$B$2="",$D$2=0),0,IF(R$3&lt;0,0,N(INDEX('CURVA PREVISION'!$A$1:$KZ$3000,$C23,10+3*MIN(R$3,$D$2-1)))))</f>
        <v/>
      </c>
      <c r="S23" s="123">
        <f>IF(OR($C23="",$B$2="",$D$2=0),0,IF(S$3&lt;0,0,N(INDEX('CURVA PREVISION'!$A$1:$KZ$3000,$C23,10+3*MIN(S$3,$D$2-1)))))</f>
        <v/>
      </c>
      <c r="T23" s="123">
        <f>IF(OR($C23="",$B$2="",$D$2=0),0,IF(T$3&lt;0,0,N(INDEX('CURVA PREVISION'!$A$1:$KZ$3000,$C23,10+3*MIN(T$3,$D$2-1)))))</f>
        <v/>
      </c>
      <c r="U23" s="123">
        <f>IF(OR($C23="",$B$2="",$D$2=0),0,IF(U$3&lt;0,0,N(INDEX('CURVA PREVISION'!$A$1:$KZ$3000,$C23,10+3*MIN(U$3,$D$2-1)))))</f>
        <v/>
      </c>
      <c r="V23" s="123">
        <f>IF(OR($C23="",$B$2="",$D$2=0),0,IF(V$3&lt;0,0,N(INDEX('CURVA PREVISION'!$A$1:$KZ$3000,$C23,10+3*MIN(V$3,$D$2-1)))))</f>
        <v/>
      </c>
      <c r="W23" s="123">
        <f>IF(OR($C23="",$B$2="",$D$2=0),0,IF(W$3&lt;0,0,N(INDEX('CURVA PREVISION'!$A$1:$KZ$3000,$C23,10+3*MIN(W$3,$D$2-1)))))</f>
        <v/>
      </c>
      <c r="X23" s="123">
        <f>IF(OR($C23="",$B$2="",$D$2=0),0,IF(X$3&lt;0,0,N(INDEX('CURVA PREVISION'!$A$1:$KZ$3000,$C23,10+3*MIN(X$3,$D$2-1)))))</f>
        <v/>
      </c>
      <c r="Y23" s="123">
        <f>IF(OR($C23="",$B$2="",$D$2=0),0,IF(Y$3&lt;0,0,N(INDEX('CURVA PREVISION'!$A$1:$KZ$3000,$C23,10+3*MIN(Y$3,$D$2-1)))))</f>
        <v/>
      </c>
      <c r="Z23" s="123">
        <f>IF(OR($C23="",$B$2="",$D$2=0),0,IF(Z$3&lt;0,0,N(INDEX('CURVA PREVISION'!$A$1:$KZ$3000,$C23,10+3*MIN(Z$3,$D$2-1)))))</f>
        <v/>
      </c>
      <c r="AA23" s="123">
        <f>IF(OR($C23="",$B$2="",$D$2=0),0,IF(AA$3&lt;0,0,N(INDEX('CURVA PREVISION'!$A$1:$KZ$3000,$C23,10+3*MIN(AA$3,$D$2-1)))))</f>
        <v/>
      </c>
      <c r="AB23" s="123">
        <f>IF(OR($C23="",$B$2="",$D$2=0),0,IF(AB$3&lt;0,0,N(INDEX('CURVA PREVISION'!$A$1:$KZ$3000,$C23,10+3*MIN(AB$3,$D$2-1)))))</f>
        <v/>
      </c>
      <c r="AC23" s="123">
        <f>IF(OR($C23="",$B$2="",$D$2=0),0,IF(AC$3&lt;0,0,N(INDEX('CURVA PREVISION'!$A$1:$KZ$3000,$C23,10+3*MIN(AC$3,$D$2-1)))))</f>
        <v/>
      </c>
      <c r="AD23" s="123">
        <f>IF(OR($C23="",$B$2="",$D$2=0),0,IF(AD$3&lt;0,0,N(INDEX('CURVA PREVISION'!$A$1:$KZ$3000,$C23,10+3*MIN(AD$3,$D$2-1)))))</f>
        <v/>
      </c>
      <c r="AE23" s="123">
        <f>IF(OR($C23="",$B$2="",$D$2=0),0,IF(AE$3&lt;0,0,N(INDEX('CURVA PREVISION'!$A$1:$KZ$3000,$C23,10+3*MIN(AE$3,$D$2-1)))))</f>
        <v/>
      </c>
      <c r="AF23" s="123">
        <f>IF(OR($C23="",$B$2="",$D$2=0),0,IF(AF$3&lt;0,0,N(INDEX('CURVA PREVISION'!$A$1:$KZ$3000,$C23,10+3*MIN(AF$3,$D$2-1)))))</f>
        <v/>
      </c>
      <c r="AG23" s="123">
        <f>IF(OR($C23="",$B$2="",$D$2=0),0,IF(AG$3&lt;0,0,N(INDEX('CURVA PREVISION'!$A$1:$KZ$3000,$C23,10+3*MIN(AG$3,$D$2-1)))))</f>
        <v/>
      </c>
      <c r="AH23" s="123">
        <f>IF(OR($C23="",$B$2="",$D$2=0),0,IF(AH$3&lt;0,0,N(INDEX('CURVA PREVISION'!$A$1:$KZ$3000,$C23,10+3*MIN(AH$3,$D$2-1)))))</f>
        <v/>
      </c>
      <c r="AI23" s="123">
        <f>IF(OR($C23="",$B$2="",$D$2=0),0,IF(AI$3&lt;0,0,N(INDEX('CURVA PREVISION'!$A$1:$KZ$3000,$C23,10+3*MIN(AI$3,$D$2-1)))))</f>
        <v/>
      </c>
      <c r="AJ23" s="123">
        <f>IF(OR($C23="",$B$2="",$D$2=0),0,IF(AJ$3&lt;0,0,N(INDEX('CURVA PREVISION'!$A$1:$KZ$3000,$C23,10+3*MIN(AJ$3,$D$2-1)))))</f>
        <v/>
      </c>
      <c r="AK23" s="123">
        <f>IF(OR($C23="",$B$2="",$D$2=0),0,IF(AK$3&lt;0,0,N(INDEX('CURVA PREVISION'!$A$1:$KZ$3000,$C23,10+3*MIN(AK$3,$D$2-1)))))</f>
        <v/>
      </c>
      <c r="AL23" s="123">
        <f>IF(OR($C23="",$B$2="",$D$2=0),0,IF(AL$3&lt;0,0,N(INDEX('CURVA PREVISION'!$A$1:$KZ$3000,$C23,10+3*MIN(AL$3,$D$2-1)))))</f>
        <v/>
      </c>
      <c r="AM23" s="123">
        <f>IF(OR($C23="",$B$2="",$D$2=0),0,IF(AM$3&lt;0,0,N(INDEX('CURVA PREVISION'!$A$1:$KZ$3000,$C23,10+3*MIN(AM$3,$D$2-1)))))</f>
        <v/>
      </c>
      <c r="AN23" s="123">
        <f>IF(OR($C23="",$B$2="",$D$2=0),0,IF(AN$3&lt;0,0,N(INDEX('CURVA PREVISION'!$A$1:$KZ$3000,$C23,10+3*MIN(AN$3,$D$2-1)))))</f>
        <v/>
      </c>
      <c r="AO23" s="123">
        <f>IF(OR($C23="",$B$2="",$D$2=0),0,IF(AO$3&lt;0,0,N(INDEX('CURVA PREVISION'!$A$1:$KZ$3000,$C23,10+3*MIN(AO$3,$D$2-1)))))</f>
        <v/>
      </c>
      <c r="AP23" s="123">
        <f>IF(OR($C23="",$B$2="",$D$2=0),0,IF(AP$3&lt;0,0,N(INDEX('CURVA PREVISION'!$A$1:$KZ$3000,$C23,10+3*MIN(AP$3,$D$2-1)))))</f>
        <v/>
      </c>
      <c r="AQ23" s="123">
        <f>IF(OR($C23="",$B$2="",$D$2=0),0,IF(AQ$3&lt;0,0,N(INDEX('CURVA PREVISION'!$A$1:$KZ$3000,$C23,10+3*MIN(AQ$3,$D$2-1)))))</f>
        <v/>
      </c>
      <c r="AR23" s="123">
        <f>IF(OR($C23="",$B$2="",$D$2=0),0,IF(AR$3&lt;0,0,N(INDEX('CURVA PREVISION'!$A$1:$KZ$3000,$C23,10+3*MIN(AR$3,$D$2-1)))))</f>
        <v/>
      </c>
      <c r="AS23" s="123">
        <f>IF(OR($C23="",$B$2="",$D$2=0),0,IF(AS$3&lt;0,0,N(INDEX('CURVA PREVISION'!$A$1:$KZ$3000,$C23,10+3*MIN(AS$3,$D$2-1)))))</f>
        <v/>
      </c>
      <c r="AT23" s="123">
        <f>IF(OR($C23="",$B$2="",$D$2=0),0,IF(AT$3&lt;0,0,N(INDEX('CURVA PREVISION'!$A$1:$KZ$3000,$C23,10+3*MIN(AT$3,$D$2-1)))))</f>
        <v/>
      </c>
      <c r="AU23" s="123">
        <f>IF(OR($C23="",$B$2="",$D$2=0),0,IF(AU$3&lt;0,0,N(INDEX('CURVA PREVISION'!$A$1:$KZ$3000,$C23,10+3*MIN(AU$3,$D$2-1)))))</f>
        <v/>
      </c>
      <c r="AV23" s="123">
        <f>IF(OR($C23="",$B$2="",$D$2=0),0,IF(AV$3&lt;0,0,N(INDEX('CURVA PREVISION'!$A$1:$KZ$3000,$C23,10+3*MIN(AV$3,$D$2-1)))))</f>
        <v/>
      </c>
      <c r="AW23" s="123">
        <f>IF(OR($C23="",$B$2="",$D$2=0),0,IF(AW$3&lt;0,0,N(INDEX('CURVA PREVISION'!$A$1:$KZ$3000,$C23,10+3*MIN(AW$3,$D$2-1)))))</f>
        <v/>
      </c>
      <c r="AX23" s="123">
        <f>IF(OR($C23="",$B$2="",$D$2=0),0,IF(AX$3&lt;0,0,N(INDEX('CURVA PREVISION'!$A$1:$KZ$3000,$C23,10+3*MIN(AX$3,$D$2-1)))))</f>
        <v/>
      </c>
      <c r="AY23" s="123">
        <f>IF(OR($C23="",$B$2="",$D$2=0),0,IF(AY$3&lt;0,0,N(INDEX('CURVA PREVISION'!$A$1:$KZ$3000,$C23,10+3*MIN(AY$3,$D$2-1)))))</f>
        <v/>
      </c>
      <c r="AZ23" s="123">
        <f>IF(OR($C23="",$B$2="",$D$2=0),0,IF(AZ$3&lt;0,0,N(INDEX('CURVA PREVISION'!$A$1:$KZ$3000,$C23,10+3*MIN(AZ$3,$D$2-1)))))</f>
        <v/>
      </c>
      <c r="BA23" s="123">
        <f>IF(OR($C23="",$B$2="",$D$2=0),0,IF(BA$3&lt;0,0,N(INDEX('CURVA PREVISION'!$A$1:$KZ$3000,$C23,10+3*MIN(BA$3,$D$2-1)))))</f>
        <v/>
      </c>
      <c r="BB23" s="123">
        <f>IF(OR($C23="",$B$2="",$D$2=0),0,IF(BB$3&lt;0,0,N(INDEX('CURVA PREVISION'!$A$1:$KZ$3000,$C23,10+3*MIN(BB$3,$D$2-1)))))</f>
        <v/>
      </c>
      <c r="BC23" s="123">
        <f>IF(OR($C23="",$B$2="",$D$2=0),0,IF(BC$3&lt;0,0,N(INDEX('CURVA PREVISION'!$A$1:$KZ$3000,$C23,10+3*MIN(BC$3,$D$2-1)))))</f>
        <v/>
      </c>
      <c r="BD23" s="123">
        <f>IF(OR($C23="",$B$2="",$D$2=0),0,IF(BD$3&lt;0,0,N(INDEX('CURVA PREVISION'!$A$1:$KZ$3000,$C23,10+3*MIN(BD$3,$D$2-1)))))</f>
        <v/>
      </c>
      <c r="BE23" s="123">
        <f>IF(OR($C23="",$B$2="",$D$2=0),0,IF(BE$3&lt;0,0,N(INDEX('CURVA PREVISION'!$A$1:$KZ$3000,$C23,10+3*MIN(BE$3,$D$2-1)))))</f>
        <v/>
      </c>
      <c r="BF23" s="123">
        <f>IF(OR($C23="",$B$2="",$D$2=0),0,IF(BF$3&lt;0,0,N(INDEX('CURVA PREVISION'!$A$1:$KZ$3000,$C23,10+3*MIN(BF$3,$D$2-1)))))</f>
        <v/>
      </c>
      <c r="BG23" s="123">
        <f>IF(OR($C23="",$B$2="",$D$2=0),0,IF(BG$3&lt;0,0,N(INDEX('CURVA PREVISION'!$A$1:$KZ$3000,$C23,10+3*MIN(BG$3,$D$2-1)))))</f>
        <v/>
      </c>
      <c r="BH23" s="123">
        <f>IF(OR($C23="",$B$2="",$D$2=0),0,IF(BH$3&lt;0,0,N(INDEX('CURVA PREVISION'!$A$1:$KZ$3000,$C23,10+3*MIN(BH$3,$D$2-1)))))</f>
        <v/>
      </c>
      <c r="BI23" s="123">
        <f>IF(OR($C23="",$B$2="",$D$2=0),0,IF(BI$3&lt;0,0,N(INDEX('CURVA PREVISION'!$A$1:$KZ$3000,$C23,10+3*MIN(BI$3,$D$2-1)))))</f>
        <v/>
      </c>
      <c r="BJ23" s="123">
        <f>IF(OR($C23="",$B$2="",$D$2=0),0,IF(BJ$3&lt;0,0,N(INDEX('CURVA PREVISION'!$A$1:$KZ$3000,$C23,10+3*MIN(BJ$3,$D$2-1)))))</f>
        <v/>
      </c>
      <c r="BK23" s="123">
        <f>IF(OR($C23="",$B$2="",$D$2=0),0,IF(BK$3&lt;0,0,N(INDEX('CURVA PREVISION'!$A$1:$KZ$3000,$C23,10+3*MIN(BK$3,$D$2-1)))))</f>
        <v/>
      </c>
      <c r="BL23" s="123">
        <f>IF(OR($C23="",$B$2="",$D$2=0),0,IF(BL$3&lt;0,0,N(INDEX('CURVA PREVISION'!$A$1:$KZ$3000,$C23,10+3*MIN(BL$3,$D$2-1)))))</f>
        <v/>
      </c>
      <c r="BM23" s="123">
        <f>IF(OR($C23="",$B$2="",$D$2=0),0,IF(BM$3&lt;0,0,N(INDEX('CURVA PREVISION'!$A$1:$KZ$3000,$C23,10+3*MIN(BM$3,$D$2-1)))))</f>
        <v/>
      </c>
      <c r="BN23" s="123">
        <f>IF(OR($C23="",$B$2="",$D$2=0),0,IF(BN$3&lt;0,0,N(INDEX('CURVA PREVISION'!$A$1:$KZ$3000,$C23,10+3*MIN(BN$3,$D$2-1)))))</f>
        <v/>
      </c>
      <c r="BO23" s="123">
        <f>IF(OR($C23="",$B$2="",$D$2=0),0,IF(BO$3&lt;0,0,N(INDEX('CURVA PREVISION'!$A$1:$KZ$3000,$C23,10+3*MIN(BO$3,$D$2-1)))))</f>
        <v/>
      </c>
      <c r="BP23" s="123">
        <f>IF(OR($C23="",$B$2="",$D$2=0),0,IF(BP$3&lt;0,0,N(INDEX('CURVA PREVISION'!$A$1:$KZ$3000,$C23,10+3*MIN(BP$3,$D$2-1)))))</f>
        <v/>
      </c>
      <c r="BQ23" s="123">
        <f>IF(OR($C23="",$B$2="",$D$2=0),0,IF(BQ$3&lt;0,0,N(INDEX('CURVA PREVISION'!$A$1:$KZ$3000,$C23,10+3*MIN(BQ$3,$D$2-1)))))</f>
        <v/>
      </c>
      <c r="BR23" s="123">
        <f>IF(OR($C23="",$B$2="",$D$2=0),0,IF(BR$3&lt;0,0,N(INDEX('CURVA PREVISION'!$A$1:$KZ$3000,$C23,10+3*MIN(BR$3,$D$2-1)))))</f>
        <v/>
      </c>
      <c r="BS23" s="123">
        <f>IF(OR($C23="",$B$2="",$D$2=0),0,IF(BS$3&lt;0,0,N(INDEX('CURVA PREVISION'!$A$1:$KZ$3000,$C23,10+3*MIN(BS$3,$D$2-1)))))</f>
        <v/>
      </c>
      <c r="BT23" s="123">
        <f>IF(OR($C23="",$B$2="",$D$2=0),0,IF(BT$3&lt;0,0,N(INDEX('CURVA PREVISION'!$A$1:$KZ$3000,$C23,10+3*MIN(BT$3,$D$2-1)))))</f>
        <v/>
      </c>
      <c r="BU23" s="123">
        <f>IF(OR($C23="",$B$2="",$D$2=0),0,IF(BU$3&lt;0,0,N(INDEX('CURVA PREVISION'!$A$1:$KZ$3000,$C23,10+3*MIN(BU$3,$D$2-1)))))</f>
        <v/>
      </c>
      <c r="BV23" s="123">
        <f>IF(OR($C23="",$B$2="",$D$2=0),0,IF(BV$3&lt;0,0,N(INDEX('CURVA PREVISION'!$A$1:$KZ$3000,$C23,10+3*MIN(BV$3,$D$2-1)))))</f>
        <v/>
      </c>
      <c r="BW23" s="123">
        <f>IF(OR($C23="",$B$2="",$D$2=0),0,IF(BW$3&lt;0,0,N(INDEX('CURVA PREVISION'!$A$1:$KZ$3000,$C23,10+3*MIN(BW$3,$D$2-1)))))</f>
        <v/>
      </c>
    </row>
    <row r="24">
      <c r="A24" s="61">
        <f>IF('VALOR POR PL'!R30&lt;&gt;"",'VALOR POR PL'!R30,IF('VALOR POR PL'!Q30="",'VALOR POR PL'!C30,'VALOR POR PL'!Q30))</f>
        <v/>
      </c>
      <c r="B24" s="61">
        <f>'VALOR POR PL'!D30</f>
        <v/>
      </c>
      <c r="C24" s="70">
        <f>IFERROR(MATCH(A24,'CURVA PREVISION'!$B$1:$B$3000,0),"")</f>
        <v/>
      </c>
      <c r="D24" s="123">
        <f>IF(OR($C24="",$B$2="",$D$2=0),0,IF(D$3&lt;0,0,N(INDEX('CURVA PREVISION'!$A$1:$KZ$3000,$C24,10+3*MIN(D$3,$D$2-1)))))</f>
        <v/>
      </c>
      <c r="E24" s="123">
        <f>IF(OR($C24="",$B$2="",$D$2=0),0,IF(E$3&lt;0,0,N(INDEX('CURVA PREVISION'!$A$1:$KZ$3000,$C24,10+3*MIN(E$3,$D$2-1)))))</f>
        <v/>
      </c>
      <c r="F24" s="123">
        <f>IF(OR($C24="",$B$2="",$D$2=0),0,IF(F$3&lt;0,0,N(INDEX('CURVA PREVISION'!$A$1:$KZ$3000,$C24,10+3*MIN(F$3,$D$2-1)))))</f>
        <v/>
      </c>
      <c r="G24" s="123">
        <f>IF(OR($C24="",$B$2="",$D$2=0),0,IF(G$3&lt;0,0,N(INDEX('CURVA PREVISION'!$A$1:$KZ$3000,$C24,10+3*MIN(G$3,$D$2-1)))))</f>
        <v/>
      </c>
      <c r="H24" s="123">
        <f>IF(OR($C24="",$B$2="",$D$2=0),0,IF(H$3&lt;0,0,N(INDEX('CURVA PREVISION'!$A$1:$KZ$3000,$C24,10+3*MIN(H$3,$D$2-1)))))</f>
        <v/>
      </c>
      <c r="I24" s="123">
        <f>IF(OR($C24="",$B$2="",$D$2=0),0,IF(I$3&lt;0,0,N(INDEX('CURVA PREVISION'!$A$1:$KZ$3000,$C24,10+3*MIN(I$3,$D$2-1)))))</f>
        <v/>
      </c>
      <c r="J24" s="123">
        <f>IF(OR($C24="",$B$2="",$D$2=0),0,IF(J$3&lt;0,0,N(INDEX('CURVA PREVISION'!$A$1:$KZ$3000,$C24,10+3*MIN(J$3,$D$2-1)))))</f>
        <v/>
      </c>
      <c r="K24" s="123">
        <f>IF(OR($C24="",$B$2="",$D$2=0),0,IF(K$3&lt;0,0,N(INDEX('CURVA PREVISION'!$A$1:$KZ$3000,$C24,10+3*MIN(K$3,$D$2-1)))))</f>
        <v/>
      </c>
      <c r="L24" s="123">
        <f>IF(OR($C24="",$B$2="",$D$2=0),0,IF(L$3&lt;0,0,N(INDEX('CURVA PREVISION'!$A$1:$KZ$3000,$C24,10+3*MIN(L$3,$D$2-1)))))</f>
        <v/>
      </c>
      <c r="M24" s="123">
        <f>IF(OR($C24="",$B$2="",$D$2=0),0,IF(M$3&lt;0,0,N(INDEX('CURVA PREVISION'!$A$1:$KZ$3000,$C24,10+3*MIN(M$3,$D$2-1)))))</f>
        <v/>
      </c>
      <c r="N24" s="123">
        <f>IF(OR($C24="",$B$2="",$D$2=0),0,IF(N$3&lt;0,0,N(INDEX('CURVA PREVISION'!$A$1:$KZ$3000,$C24,10+3*MIN(N$3,$D$2-1)))))</f>
        <v/>
      </c>
      <c r="O24" s="123">
        <f>IF(OR($C24="",$B$2="",$D$2=0),0,IF(O$3&lt;0,0,N(INDEX('CURVA PREVISION'!$A$1:$KZ$3000,$C24,10+3*MIN(O$3,$D$2-1)))))</f>
        <v/>
      </c>
      <c r="P24" s="123">
        <f>IF(OR($C24="",$B$2="",$D$2=0),0,IF(P$3&lt;0,0,N(INDEX('CURVA PREVISION'!$A$1:$KZ$3000,$C24,10+3*MIN(P$3,$D$2-1)))))</f>
        <v/>
      </c>
      <c r="Q24" s="123">
        <f>IF(OR($C24="",$B$2="",$D$2=0),0,IF(Q$3&lt;0,0,N(INDEX('CURVA PREVISION'!$A$1:$KZ$3000,$C24,10+3*MIN(Q$3,$D$2-1)))))</f>
        <v/>
      </c>
      <c r="R24" s="123">
        <f>IF(OR($C24="",$B$2="",$D$2=0),0,IF(R$3&lt;0,0,N(INDEX('CURVA PREVISION'!$A$1:$KZ$3000,$C24,10+3*MIN(R$3,$D$2-1)))))</f>
        <v/>
      </c>
      <c r="S24" s="123">
        <f>IF(OR($C24="",$B$2="",$D$2=0),0,IF(S$3&lt;0,0,N(INDEX('CURVA PREVISION'!$A$1:$KZ$3000,$C24,10+3*MIN(S$3,$D$2-1)))))</f>
        <v/>
      </c>
      <c r="T24" s="123">
        <f>IF(OR($C24="",$B$2="",$D$2=0),0,IF(T$3&lt;0,0,N(INDEX('CURVA PREVISION'!$A$1:$KZ$3000,$C24,10+3*MIN(T$3,$D$2-1)))))</f>
        <v/>
      </c>
      <c r="U24" s="123">
        <f>IF(OR($C24="",$B$2="",$D$2=0),0,IF(U$3&lt;0,0,N(INDEX('CURVA PREVISION'!$A$1:$KZ$3000,$C24,10+3*MIN(U$3,$D$2-1)))))</f>
        <v/>
      </c>
      <c r="V24" s="123">
        <f>IF(OR($C24="",$B$2="",$D$2=0),0,IF(V$3&lt;0,0,N(INDEX('CURVA PREVISION'!$A$1:$KZ$3000,$C24,10+3*MIN(V$3,$D$2-1)))))</f>
        <v/>
      </c>
      <c r="W24" s="123">
        <f>IF(OR($C24="",$B$2="",$D$2=0),0,IF(W$3&lt;0,0,N(INDEX('CURVA PREVISION'!$A$1:$KZ$3000,$C24,10+3*MIN(W$3,$D$2-1)))))</f>
        <v/>
      </c>
      <c r="X24" s="123">
        <f>IF(OR($C24="",$B$2="",$D$2=0),0,IF(X$3&lt;0,0,N(INDEX('CURVA PREVISION'!$A$1:$KZ$3000,$C24,10+3*MIN(X$3,$D$2-1)))))</f>
        <v/>
      </c>
      <c r="Y24" s="123">
        <f>IF(OR($C24="",$B$2="",$D$2=0),0,IF(Y$3&lt;0,0,N(INDEX('CURVA PREVISION'!$A$1:$KZ$3000,$C24,10+3*MIN(Y$3,$D$2-1)))))</f>
        <v/>
      </c>
      <c r="Z24" s="123">
        <f>IF(OR($C24="",$B$2="",$D$2=0),0,IF(Z$3&lt;0,0,N(INDEX('CURVA PREVISION'!$A$1:$KZ$3000,$C24,10+3*MIN(Z$3,$D$2-1)))))</f>
        <v/>
      </c>
      <c r="AA24" s="123">
        <f>IF(OR($C24="",$B$2="",$D$2=0),0,IF(AA$3&lt;0,0,N(INDEX('CURVA PREVISION'!$A$1:$KZ$3000,$C24,10+3*MIN(AA$3,$D$2-1)))))</f>
        <v/>
      </c>
      <c r="AB24" s="123">
        <f>IF(OR($C24="",$B$2="",$D$2=0),0,IF(AB$3&lt;0,0,N(INDEX('CURVA PREVISION'!$A$1:$KZ$3000,$C24,10+3*MIN(AB$3,$D$2-1)))))</f>
        <v/>
      </c>
      <c r="AC24" s="123">
        <f>IF(OR($C24="",$B$2="",$D$2=0),0,IF(AC$3&lt;0,0,N(INDEX('CURVA PREVISION'!$A$1:$KZ$3000,$C24,10+3*MIN(AC$3,$D$2-1)))))</f>
        <v/>
      </c>
      <c r="AD24" s="123">
        <f>IF(OR($C24="",$B$2="",$D$2=0),0,IF(AD$3&lt;0,0,N(INDEX('CURVA PREVISION'!$A$1:$KZ$3000,$C24,10+3*MIN(AD$3,$D$2-1)))))</f>
        <v/>
      </c>
      <c r="AE24" s="123">
        <f>IF(OR($C24="",$B$2="",$D$2=0),0,IF(AE$3&lt;0,0,N(INDEX('CURVA PREVISION'!$A$1:$KZ$3000,$C24,10+3*MIN(AE$3,$D$2-1)))))</f>
        <v/>
      </c>
      <c r="AF24" s="123">
        <f>IF(OR($C24="",$B$2="",$D$2=0),0,IF(AF$3&lt;0,0,N(INDEX('CURVA PREVISION'!$A$1:$KZ$3000,$C24,10+3*MIN(AF$3,$D$2-1)))))</f>
        <v/>
      </c>
      <c r="AG24" s="123">
        <f>IF(OR($C24="",$B$2="",$D$2=0),0,IF(AG$3&lt;0,0,N(INDEX('CURVA PREVISION'!$A$1:$KZ$3000,$C24,10+3*MIN(AG$3,$D$2-1)))))</f>
        <v/>
      </c>
      <c r="AH24" s="123">
        <f>IF(OR($C24="",$B$2="",$D$2=0),0,IF(AH$3&lt;0,0,N(INDEX('CURVA PREVISION'!$A$1:$KZ$3000,$C24,10+3*MIN(AH$3,$D$2-1)))))</f>
        <v/>
      </c>
      <c r="AI24" s="123">
        <f>IF(OR($C24="",$B$2="",$D$2=0),0,IF(AI$3&lt;0,0,N(INDEX('CURVA PREVISION'!$A$1:$KZ$3000,$C24,10+3*MIN(AI$3,$D$2-1)))))</f>
        <v/>
      </c>
      <c r="AJ24" s="123">
        <f>IF(OR($C24="",$B$2="",$D$2=0),0,IF(AJ$3&lt;0,0,N(INDEX('CURVA PREVISION'!$A$1:$KZ$3000,$C24,10+3*MIN(AJ$3,$D$2-1)))))</f>
        <v/>
      </c>
      <c r="AK24" s="123">
        <f>IF(OR($C24="",$B$2="",$D$2=0),0,IF(AK$3&lt;0,0,N(INDEX('CURVA PREVISION'!$A$1:$KZ$3000,$C24,10+3*MIN(AK$3,$D$2-1)))))</f>
        <v/>
      </c>
      <c r="AL24" s="123">
        <f>IF(OR($C24="",$B$2="",$D$2=0),0,IF(AL$3&lt;0,0,N(INDEX('CURVA PREVISION'!$A$1:$KZ$3000,$C24,10+3*MIN(AL$3,$D$2-1)))))</f>
        <v/>
      </c>
      <c r="AM24" s="123">
        <f>IF(OR($C24="",$B$2="",$D$2=0),0,IF(AM$3&lt;0,0,N(INDEX('CURVA PREVISION'!$A$1:$KZ$3000,$C24,10+3*MIN(AM$3,$D$2-1)))))</f>
        <v/>
      </c>
      <c r="AN24" s="123">
        <f>IF(OR($C24="",$B$2="",$D$2=0),0,IF(AN$3&lt;0,0,N(INDEX('CURVA PREVISION'!$A$1:$KZ$3000,$C24,10+3*MIN(AN$3,$D$2-1)))))</f>
        <v/>
      </c>
      <c r="AO24" s="123">
        <f>IF(OR($C24="",$B$2="",$D$2=0),0,IF(AO$3&lt;0,0,N(INDEX('CURVA PREVISION'!$A$1:$KZ$3000,$C24,10+3*MIN(AO$3,$D$2-1)))))</f>
        <v/>
      </c>
      <c r="AP24" s="123">
        <f>IF(OR($C24="",$B$2="",$D$2=0),0,IF(AP$3&lt;0,0,N(INDEX('CURVA PREVISION'!$A$1:$KZ$3000,$C24,10+3*MIN(AP$3,$D$2-1)))))</f>
        <v/>
      </c>
      <c r="AQ24" s="123">
        <f>IF(OR($C24="",$B$2="",$D$2=0),0,IF(AQ$3&lt;0,0,N(INDEX('CURVA PREVISION'!$A$1:$KZ$3000,$C24,10+3*MIN(AQ$3,$D$2-1)))))</f>
        <v/>
      </c>
      <c r="AR24" s="123">
        <f>IF(OR($C24="",$B$2="",$D$2=0),0,IF(AR$3&lt;0,0,N(INDEX('CURVA PREVISION'!$A$1:$KZ$3000,$C24,10+3*MIN(AR$3,$D$2-1)))))</f>
        <v/>
      </c>
      <c r="AS24" s="123">
        <f>IF(OR($C24="",$B$2="",$D$2=0),0,IF(AS$3&lt;0,0,N(INDEX('CURVA PREVISION'!$A$1:$KZ$3000,$C24,10+3*MIN(AS$3,$D$2-1)))))</f>
        <v/>
      </c>
      <c r="AT24" s="123">
        <f>IF(OR($C24="",$B$2="",$D$2=0),0,IF(AT$3&lt;0,0,N(INDEX('CURVA PREVISION'!$A$1:$KZ$3000,$C24,10+3*MIN(AT$3,$D$2-1)))))</f>
        <v/>
      </c>
      <c r="AU24" s="123">
        <f>IF(OR($C24="",$B$2="",$D$2=0),0,IF(AU$3&lt;0,0,N(INDEX('CURVA PREVISION'!$A$1:$KZ$3000,$C24,10+3*MIN(AU$3,$D$2-1)))))</f>
        <v/>
      </c>
      <c r="AV24" s="123">
        <f>IF(OR($C24="",$B$2="",$D$2=0),0,IF(AV$3&lt;0,0,N(INDEX('CURVA PREVISION'!$A$1:$KZ$3000,$C24,10+3*MIN(AV$3,$D$2-1)))))</f>
        <v/>
      </c>
      <c r="AW24" s="123">
        <f>IF(OR($C24="",$B$2="",$D$2=0),0,IF(AW$3&lt;0,0,N(INDEX('CURVA PREVISION'!$A$1:$KZ$3000,$C24,10+3*MIN(AW$3,$D$2-1)))))</f>
        <v/>
      </c>
      <c r="AX24" s="123">
        <f>IF(OR($C24="",$B$2="",$D$2=0),0,IF(AX$3&lt;0,0,N(INDEX('CURVA PREVISION'!$A$1:$KZ$3000,$C24,10+3*MIN(AX$3,$D$2-1)))))</f>
        <v/>
      </c>
      <c r="AY24" s="123">
        <f>IF(OR($C24="",$B$2="",$D$2=0),0,IF(AY$3&lt;0,0,N(INDEX('CURVA PREVISION'!$A$1:$KZ$3000,$C24,10+3*MIN(AY$3,$D$2-1)))))</f>
        <v/>
      </c>
      <c r="AZ24" s="123">
        <f>IF(OR($C24="",$B$2="",$D$2=0),0,IF(AZ$3&lt;0,0,N(INDEX('CURVA PREVISION'!$A$1:$KZ$3000,$C24,10+3*MIN(AZ$3,$D$2-1)))))</f>
        <v/>
      </c>
      <c r="BA24" s="123">
        <f>IF(OR($C24="",$B$2="",$D$2=0),0,IF(BA$3&lt;0,0,N(INDEX('CURVA PREVISION'!$A$1:$KZ$3000,$C24,10+3*MIN(BA$3,$D$2-1)))))</f>
        <v/>
      </c>
      <c r="BB24" s="123">
        <f>IF(OR($C24="",$B$2="",$D$2=0),0,IF(BB$3&lt;0,0,N(INDEX('CURVA PREVISION'!$A$1:$KZ$3000,$C24,10+3*MIN(BB$3,$D$2-1)))))</f>
        <v/>
      </c>
      <c r="BC24" s="123">
        <f>IF(OR($C24="",$B$2="",$D$2=0),0,IF(BC$3&lt;0,0,N(INDEX('CURVA PREVISION'!$A$1:$KZ$3000,$C24,10+3*MIN(BC$3,$D$2-1)))))</f>
        <v/>
      </c>
      <c r="BD24" s="123">
        <f>IF(OR($C24="",$B$2="",$D$2=0),0,IF(BD$3&lt;0,0,N(INDEX('CURVA PREVISION'!$A$1:$KZ$3000,$C24,10+3*MIN(BD$3,$D$2-1)))))</f>
        <v/>
      </c>
      <c r="BE24" s="123">
        <f>IF(OR($C24="",$B$2="",$D$2=0),0,IF(BE$3&lt;0,0,N(INDEX('CURVA PREVISION'!$A$1:$KZ$3000,$C24,10+3*MIN(BE$3,$D$2-1)))))</f>
        <v/>
      </c>
      <c r="BF24" s="123">
        <f>IF(OR($C24="",$B$2="",$D$2=0),0,IF(BF$3&lt;0,0,N(INDEX('CURVA PREVISION'!$A$1:$KZ$3000,$C24,10+3*MIN(BF$3,$D$2-1)))))</f>
        <v/>
      </c>
      <c r="BG24" s="123">
        <f>IF(OR($C24="",$B$2="",$D$2=0),0,IF(BG$3&lt;0,0,N(INDEX('CURVA PREVISION'!$A$1:$KZ$3000,$C24,10+3*MIN(BG$3,$D$2-1)))))</f>
        <v/>
      </c>
      <c r="BH24" s="123">
        <f>IF(OR($C24="",$B$2="",$D$2=0),0,IF(BH$3&lt;0,0,N(INDEX('CURVA PREVISION'!$A$1:$KZ$3000,$C24,10+3*MIN(BH$3,$D$2-1)))))</f>
        <v/>
      </c>
      <c r="BI24" s="123">
        <f>IF(OR($C24="",$B$2="",$D$2=0),0,IF(BI$3&lt;0,0,N(INDEX('CURVA PREVISION'!$A$1:$KZ$3000,$C24,10+3*MIN(BI$3,$D$2-1)))))</f>
        <v/>
      </c>
      <c r="BJ24" s="123">
        <f>IF(OR($C24="",$B$2="",$D$2=0),0,IF(BJ$3&lt;0,0,N(INDEX('CURVA PREVISION'!$A$1:$KZ$3000,$C24,10+3*MIN(BJ$3,$D$2-1)))))</f>
        <v/>
      </c>
      <c r="BK24" s="123">
        <f>IF(OR($C24="",$B$2="",$D$2=0),0,IF(BK$3&lt;0,0,N(INDEX('CURVA PREVISION'!$A$1:$KZ$3000,$C24,10+3*MIN(BK$3,$D$2-1)))))</f>
        <v/>
      </c>
      <c r="BL24" s="123">
        <f>IF(OR($C24="",$B$2="",$D$2=0),0,IF(BL$3&lt;0,0,N(INDEX('CURVA PREVISION'!$A$1:$KZ$3000,$C24,10+3*MIN(BL$3,$D$2-1)))))</f>
        <v/>
      </c>
      <c r="BM24" s="123">
        <f>IF(OR($C24="",$B$2="",$D$2=0),0,IF(BM$3&lt;0,0,N(INDEX('CURVA PREVISION'!$A$1:$KZ$3000,$C24,10+3*MIN(BM$3,$D$2-1)))))</f>
        <v/>
      </c>
      <c r="BN24" s="123">
        <f>IF(OR($C24="",$B$2="",$D$2=0),0,IF(BN$3&lt;0,0,N(INDEX('CURVA PREVISION'!$A$1:$KZ$3000,$C24,10+3*MIN(BN$3,$D$2-1)))))</f>
        <v/>
      </c>
      <c r="BO24" s="123">
        <f>IF(OR($C24="",$B$2="",$D$2=0),0,IF(BO$3&lt;0,0,N(INDEX('CURVA PREVISION'!$A$1:$KZ$3000,$C24,10+3*MIN(BO$3,$D$2-1)))))</f>
        <v/>
      </c>
      <c r="BP24" s="123">
        <f>IF(OR($C24="",$B$2="",$D$2=0),0,IF(BP$3&lt;0,0,N(INDEX('CURVA PREVISION'!$A$1:$KZ$3000,$C24,10+3*MIN(BP$3,$D$2-1)))))</f>
        <v/>
      </c>
      <c r="BQ24" s="123">
        <f>IF(OR($C24="",$B$2="",$D$2=0),0,IF(BQ$3&lt;0,0,N(INDEX('CURVA PREVISION'!$A$1:$KZ$3000,$C24,10+3*MIN(BQ$3,$D$2-1)))))</f>
        <v/>
      </c>
      <c r="BR24" s="123">
        <f>IF(OR($C24="",$B$2="",$D$2=0),0,IF(BR$3&lt;0,0,N(INDEX('CURVA PREVISION'!$A$1:$KZ$3000,$C24,10+3*MIN(BR$3,$D$2-1)))))</f>
        <v/>
      </c>
      <c r="BS24" s="123">
        <f>IF(OR($C24="",$B$2="",$D$2=0),0,IF(BS$3&lt;0,0,N(INDEX('CURVA PREVISION'!$A$1:$KZ$3000,$C24,10+3*MIN(BS$3,$D$2-1)))))</f>
        <v/>
      </c>
      <c r="BT24" s="123">
        <f>IF(OR($C24="",$B$2="",$D$2=0),0,IF(BT$3&lt;0,0,N(INDEX('CURVA PREVISION'!$A$1:$KZ$3000,$C24,10+3*MIN(BT$3,$D$2-1)))))</f>
        <v/>
      </c>
      <c r="BU24" s="123">
        <f>IF(OR($C24="",$B$2="",$D$2=0),0,IF(BU$3&lt;0,0,N(INDEX('CURVA PREVISION'!$A$1:$KZ$3000,$C24,10+3*MIN(BU$3,$D$2-1)))))</f>
        <v/>
      </c>
      <c r="BV24" s="123">
        <f>IF(OR($C24="",$B$2="",$D$2=0),0,IF(BV$3&lt;0,0,N(INDEX('CURVA PREVISION'!$A$1:$KZ$3000,$C24,10+3*MIN(BV$3,$D$2-1)))))</f>
        <v/>
      </c>
      <c r="BW24" s="123">
        <f>IF(OR($C24="",$B$2="",$D$2=0),0,IF(BW$3&lt;0,0,N(INDEX('CURVA PREVISION'!$A$1:$KZ$3000,$C24,10+3*MIN(BW$3,$D$2-1)))))</f>
        <v/>
      </c>
    </row>
    <row r="25">
      <c r="A25" s="61">
        <f>IF('VALOR POR PL'!R31&lt;&gt;"",'VALOR POR PL'!R31,IF('VALOR POR PL'!Q31="",'VALOR POR PL'!C31,'VALOR POR PL'!Q31))</f>
        <v/>
      </c>
      <c r="B25" s="61">
        <f>'VALOR POR PL'!D31</f>
        <v/>
      </c>
      <c r="C25" s="70">
        <f>IFERROR(MATCH(A25,'CURVA PREVISION'!$B$1:$B$3000,0),"")</f>
        <v/>
      </c>
      <c r="D25" s="123">
        <f>IF(OR($C25="",$B$2="",$D$2=0),0,IF(D$3&lt;0,0,N(INDEX('CURVA PREVISION'!$A$1:$KZ$3000,$C25,10+3*MIN(D$3,$D$2-1)))))</f>
        <v/>
      </c>
      <c r="E25" s="123">
        <f>IF(OR($C25="",$B$2="",$D$2=0),0,IF(E$3&lt;0,0,N(INDEX('CURVA PREVISION'!$A$1:$KZ$3000,$C25,10+3*MIN(E$3,$D$2-1)))))</f>
        <v/>
      </c>
      <c r="F25" s="123">
        <f>IF(OR($C25="",$B$2="",$D$2=0),0,IF(F$3&lt;0,0,N(INDEX('CURVA PREVISION'!$A$1:$KZ$3000,$C25,10+3*MIN(F$3,$D$2-1)))))</f>
        <v/>
      </c>
      <c r="G25" s="123">
        <f>IF(OR($C25="",$B$2="",$D$2=0),0,IF(G$3&lt;0,0,N(INDEX('CURVA PREVISION'!$A$1:$KZ$3000,$C25,10+3*MIN(G$3,$D$2-1)))))</f>
        <v/>
      </c>
      <c r="H25" s="123">
        <f>IF(OR($C25="",$B$2="",$D$2=0),0,IF(H$3&lt;0,0,N(INDEX('CURVA PREVISION'!$A$1:$KZ$3000,$C25,10+3*MIN(H$3,$D$2-1)))))</f>
        <v/>
      </c>
      <c r="I25" s="123">
        <f>IF(OR($C25="",$B$2="",$D$2=0),0,IF(I$3&lt;0,0,N(INDEX('CURVA PREVISION'!$A$1:$KZ$3000,$C25,10+3*MIN(I$3,$D$2-1)))))</f>
        <v/>
      </c>
      <c r="J25" s="123">
        <f>IF(OR($C25="",$B$2="",$D$2=0),0,IF(J$3&lt;0,0,N(INDEX('CURVA PREVISION'!$A$1:$KZ$3000,$C25,10+3*MIN(J$3,$D$2-1)))))</f>
        <v/>
      </c>
      <c r="K25" s="123">
        <f>IF(OR($C25="",$B$2="",$D$2=0),0,IF(K$3&lt;0,0,N(INDEX('CURVA PREVISION'!$A$1:$KZ$3000,$C25,10+3*MIN(K$3,$D$2-1)))))</f>
        <v/>
      </c>
      <c r="L25" s="123">
        <f>IF(OR($C25="",$B$2="",$D$2=0),0,IF(L$3&lt;0,0,N(INDEX('CURVA PREVISION'!$A$1:$KZ$3000,$C25,10+3*MIN(L$3,$D$2-1)))))</f>
        <v/>
      </c>
      <c r="M25" s="123">
        <f>IF(OR($C25="",$B$2="",$D$2=0),0,IF(M$3&lt;0,0,N(INDEX('CURVA PREVISION'!$A$1:$KZ$3000,$C25,10+3*MIN(M$3,$D$2-1)))))</f>
        <v/>
      </c>
      <c r="N25" s="123">
        <f>IF(OR($C25="",$B$2="",$D$2=0),0,IF(N$3&lt;0,0,N(INDEX('CURVA PREVISION'!$A$1:$KZ$3000,$C25,10+3*MIN(N$3,$D$2-1)))))</f>
        <v/>
      </c>
      <c r="O25" s="123">
        <f>IF(OR($C25="",$B$2="",$D$2=0),0,IF(O$3&lt;0,0,N(INDEX('CURVA PREVISION'!$A$1:$KZ$3000,$C25,10+3*MIN(O$3,$D$2-1)))))</f>
        <v/>
      </c>
      <c r="P25" s="123">
        <f>IF(OR($C25="",$B$2="",$D$2=0),0,IF(P$3&lt;0,0,N(INDEX('CURVA PREVISION'!$A$1:$KZ$3000,$C25,10+3*MIN(P$3,$D$2-1)))))</f>
        <v/>
      </c>
      <c r="Q25" s="123">
        <f>IF(OR($C25="",$B$2="",$D$2=0),0,IF(Q$3&lt;0,0,N(INDEX('CURVA PREVISION'!$A$1:$KZ$3000,$C25,10+3*MIN(Q$3,$D$2-1)))))</f>
        <v/>
      </c>
      <c r="R25" s="123">
        <f>IF(OR($C25="",$B$2="",$D$2=0),0,IF(R$3&lt;0,0,N(INDEX('CURVA PREVISION'!$A$1:$KZ$3000,$C25,10+3*MIN(R$3,$D$2-1)))))</f>
        <v/>
      </c>
      <c r="S25" s="123">
        <f>IF(OR($C25="",$B$2="",$D$2=0),0,IF(S$3&lt;0,0,N(INDEX('CURVA PREVISION'!$A$1:$KZ$3000,$C25,10+3*MIN(S$3,$D$2-1)))))</f>
        <v/>
      </c>
      <c r="T25" s="123">
        <f>IF(OR($C25="",$B$2="",$D$2=0),0,IF(T$3&lt;0,0,N(INDEX('CURVA PREVISION'!$A$1:$KZ$3000,$C25,10+3*MIN(T$3,$D$2-1)))))</f>
        <v/>
      </c>
      <c r="U25" s="123">
        <f>IF(OR($C25="",$B$2="",$D$2=0),0,IF(U$3&lt;0,0,N(INDEX('CURVA PREVISION'!$A$1:$KZ$3000,$C25,10+3*MIN(U$3,$D$2-1)))))</f>
        <v/>
      </c>
      <c r="V25" s="123">
        <f>IF(OR($C25="",$B$2="",$D$2=0),0,IF(V$3&lt;0,0,N(INDEX('CURVA PREVISION'!$A$1:$KZ$3000,$C25,10+3*MIN(V$3,$D$2-1)))))</f>
        <v/>
      </c>
      <c r="W25" s="123">
        <f>IF(OR($C25="",$B$2="",$D$2=0),0,IF(W$3&lt;0,0,N(INDEX('CURVA PREVISION'!$A$1:$KZ$3000,$C25,10+3*MIN(W$3,$D$2-1)))))</f>
        <v/>
      </c>
      <c r="X25" s="123">
        <f>IF(OR($C25="",$B$2="",$D$2=0),0,IF(X$3&lt;0,0,N(INDEX('CURVA PREVISION'!$A$1:$KZ$3000,$C25,10+3*MIN(X$3,$D$2-1)))))</f>
        <v/>
      </c>
      <c r="Y25" s="123">
        <f>IF(OR($C25="",$B$2="",$D$2=0),0,IF(Y$3&lt;0,0,N(INDEX('CURVA PREVISION'!$A$1:$KZ$3000,$C25,10+3*MIN(Y$3,$D$2-1)))))</f>
        <v/>
      </c>
      <c r="Z25" s="123">
        <f>IF(OR($C25="",$B$2="",$D$2=0),0,IF(Z$3&lt;0,0,N(INDEX('CURVA PREVISION'!$A$1:$KZ$3000,$C25,10+3*MIN(Z$3,$D$2-1)))))</f>
        <v/>
      </c>
      <c r="AA25" s="123">
        <f>IF(OR($C25="",$B$2="",$D$2=0),0,IF(AA$3&lt;0,0,N(INDEX('CURVA PREVISION'!$A$1:$KZ$3000,$C25,10+3*MIN(AA$3,$D$2-1)))))</f>
        <v/>
      </c>
      <c r="AB25" s="123">
        <f>IF(OR($C25="",$B$2="",$D$2=0),0,IF(AB$3&lt;0,0,N(INDEX('CURVA PREVISION'!$A$1:$KZ$3000,$C25,10+3*MIN(AB$3,$D$2-1)))))</f>
        <v/>
      </c>
      <c r="AC25" s="123">
        <f>IF(OR($C25="",$B$2="",$D$2=0),0,IF(AC$3&lt;0,0,N(INDEX('CURVA PREVISION'!$A$1:$KZ$3000,$C25,10+3*MIN(AC$3,$D$2-1)))))</f>
        <v/>
      </c>
      <c r="AD25" s="123">
        <f>IF(OR($C25="",$B$2="",$D$2=0),0,IF(AD$3&lt;0,0,N(INDEX('CURVA PREVISION'!$A$1:$KZ$3000,$C25,10+3*MIN(AD$3,$D$2-1)))))</f>
        <v/>
      </c>
      <c r="AE25" s="123">
        <f>IF(OR($C25="",$B$2="",$D$2=0),0,IF(AE$3&lt;0,0,N(INDEX('CURVA PREVISION'!$A$1:$KZ$3000,$C25,10+3*MIN(AE$3,$D$2-1)))))</f>
        <v/>
      </c>
      <c r="AF25" s="123">
        <f>IF(OR($C25="",$B$2="",$D$2=0),0,IF(AF$3&lt;0,0,N(INDEX('CURVA PREVISION'!$A$1:$KZ$3000,$C25,10+3*MIN(AF$3,$D$2-1)))))</f>
        <v/>
      </c>
      <c r="AG25" s="123">
        <f>IF(OR($C25="",$B$2="",$D$2=0),0,IF(AG$3&lt;0,0,N(INDEX('CURVA PREVISION'!$A$1:$KZ$3000,$C25,10+3*MIN(AG$3,$D$2-1)))))</f>
        <v/>
      </c>
      <c r="AH25" s="123">
        <f>IF(OR($C25="",$B$2="",$D$2=0),0,IF(AH$3&lt;0,0,N(INDEX('CURVA PREVISION'!$A$1:$KZ$3000,$C25,10+3*MIN(AH$3,$D$2-1)))))</f>
        <v/>
      </c>
      <c r="AI25" s="123">
        <f>IF(OR($C25="",$B$2="",$D$2=0),0,IF(AI$3&lt;0,0,N(INDEX('CURVA PREVISION'!$A$1:$KZ$3000,$C25,10+3*MIN(AI$3,$D$2-1)))))</f>
        <v/>
      </c>
      <c r="AJ25" s="123">
        <f>IF(OR($C25="",$B$2="",$D$2=0),0,IF(AJ$3&lt;0,0,N(INDEX('CURVA PREVISION'!$A$1:$KZ$3000,$C25,10+3*MIN(AJ$3,$D$2-1)))))</f>
        <v/>
      </c>
      <c r="AK25" s="123">
        <f>IF(OR($C25="",$B$2="",$D$2=0),0,IF(AK$3&lt;0,0,N(INDEX('CURVA PREVISION'!$A$1:$KZ$3000,$C25,10+3*MIN(AK$3,$D$2-1)))))</f>
        <v/>
      </c>
      <c r="AL25" s="123">
        <f>IF(OR($C25="",$B$2="",$D$2=0),0,IF(AL$3&lt;0,0,N(INDEX('CURVA PREVISION'!$A$1:$KZ$3000,$C25,10+3*MIN(AL$3,$D$2-1)))))</f>
        <v/>
      </c>
      <c r="AM25" s="123">
        <f>IF(OR($C25="",$B$2="",$D$2=0),0,IF(AM$3&lt;0,0,N(INDEX('CURVA PREVISION'!$A$1:$KZ$3000,$C25,10+3*MIN(AM$3,$D$2-1)))))</f>
        <v/>
      </c>
      <c r="AN25" s="123">
        <f>IF(OR($C25="",$B$2="",$D$2=0),0,IF(AN$3&lt;0,0,N(INDEX('CURVA PREVISION'!$A$1:$KZ$3000,$C25,10+3*MIN(AN$3,$D$2-1)))))</f>
        <v/>
      </c>
      <c r="AO25" s="123">
        <f>IF(OR($C25="",$B$2="",$D$2=0),0,IF(AO$3&lt;0,0,N(INDEX('CURVA PREVISION'!$A$1:$KZ$3000,$C25,10+3*MIN(AO$3,$D$2-1)))))</f>
        <v/>
      </c>
      <c r="AP25" s="123">
        <f>IF(OR($C25="",$B$2="",$D$2=0),0,IF(AP$3&lt;0,0,N(INDEX('CURVA PREVISION'!$A$1:$KZ$3000,$C25,10+3*MIN(AP$3,$D$2-1)))))</f>
        <v/>
      </c>
      <c r="AQ25" s="123">
        <f>IF(OR($C25="",$B$2="",$D$2=0),0,IF(AQ$3&lt;0,0,N(INDEX('CURVA PREVISION'!$A$1:$KZ$3000,$C25,10+3*MIN(AQ$3,$D$2-1)))))</f>
        <v/>
      </c>
      <c r="AR25" s="123">
        <f>IF(OR($C25="",$B$2="",$D$2=0),0,IF(AR$3&lt;0,0,N(INDEX('CURVA PREVISION'!$A$1:$KZ$3000,$C25,10+3*MIN(AR$3,$D$2-1)))))</f>
        <v/>
      </c>
      <c r="AS25" s="123">
        <f>IF(OR($C25="",$B$2="",$D$2=0),0,IF(AS$3&lt;0,0,N(INDEX('CURVA PREVISION'!$A$1:$KZ$3000,$C25,10+3*MIN(AS$3,$D$2-1)))))</f>
        <v/>
      </c>
      <c r="AT25" s="123">
        <f>IF(OR($C25="",$B$2="",$D$2=0),0,IF(AT$3&lt;0,0,N(INDEX('CURVA PREVISION'!$A$1:$KZ$3000,$C25,10+3*MIN(AT$3,$D$2-1)))))</f>
        <v/>
      </c>
      <c r="AU25" s="123">
        <f>IF(OR($C25="",$B$2="",$D$2=0),0,IF(AU$3&lt;0,0,N(INDEX('CURVA PREVISION'!$A$1:$KZ$3000,$C25,10+3*MIN(AU$3,$D$2-1)))))</f>
        <v/>
      </c>
      <c r="AV25" s="123">
        <f>IF(OR($C25="",$B$2="",$D$2=0),0,IF(AV$3&lt;0,0,N(INDEX('CURVA PREVISION'!$A$1:$KZ$3000,$C25,10+3*MIN(AV$3,$D$2-1)))))</f>
        <v/>
      </c>
      <c r="AW25" s="123">
        <f>IF(OR($C25="",$B$2="",$D$2=0),0,IF(AW$3&lt;0,0,N(INDEX('CURVA PREVISION'!$A$1:$KZ$3000,$C25,10+3*MIN(AW$3,$D$2-1)))))</f>
        <v/>
      </c>
      <c r="AX25" s="123">
        <f>IF(OR($C25="",$B$2="",$D$2=0),0,IF(AX$3&lt;0,0,N(INDEX('CURVA PREVISION'!$A$1:$KZ$3000,$C25,10+3*MIN(AX$3,$D$2-1)))))</f>
        <v/>
      </c>
      <c r="AY25" s="123">
        <f>IF(OR($C25="",$B$2="",$D$2=0),0,IF(AY$3&lt;0,0,N(INDEX('CURVA PREVISION'!$A$1:$KZ$3000,$C25,10+3*MIN(AY$3,$D$2-1)))))</f>
        <v/>
      </c>
      <c r="AZ25" s="123">
        <f>IF(OR($C25="",$B$2="",$D$2=0),0,IF(AZ$3&lt;0,0,N(INDEX('CURVA PREVISION'!$A$1:$KZ$3000,$C25,10+3*MIN(AZ$3,$D$2-1)))))</f>
        <v/>
      </c>
      <c r="BA25" s="123">
        <f>IF(OR($C25="",$B$2="",$D$2=0),0,IF(BA$3&lt;0,0,N(INDEX('CURVA PREVISION'!$A$1:$KZ$3000,$C25,10+3*MIN(BA$3,$D$2-1)))))</f>
        <v/>
      </c>
      <c r="BB25" s="123">
        <f>IF(OR($C25="",$B$2="",$D$2=0),0,IF(BB$3&lt;0,0,N(INDEX('CURVA PREVISION'!$A$1:$KZ$3000,$C25,10+3*MIN(BB$3,$D$2-1)))))</f>
        <v/>
      </c>
      <c r="BC25" s="123">
        <f>IF(OR($C25="",$B$2="",$D$2=0),0,IF(BC$3&lt;0,0,N(INDEX('CURVA PREVISION'!$A$1:$KZ$3000,$C25,10+3*MIN(BC$3,$D$2-1)))))</f>
        <v/>
      </c>
      <c r="BD25" s="123">
        <f>IF(OR($C25="",$B$2="",$D$2=0),0,IF(BD$3&lt;0,0,N(INDEX('CURVA PREVISION'!$A$1:$KZ$3000,$C25,10+3*MIN(BD$3,$D$2-1)))))</f>
        <v/>
      </c>
      <c r="BE25" s="123">
        <f>IF(OR($C25="",$B$2="",$D$2=0),0,IF(BE$3&lt;0,0,N(INDEX('CURVA PREVISION'!$A$1:$KZ$3000,$C25,10+3*MIN(BE$3,$D$2-1)))))</f>
        <v/>
      </c>
      <c r="BF25" s="123">
        <f>IF(OR($C25="",$B$2="",$D$2=0),0,IF(BF$3&lt;0,0,N(INDEX('CURVA PREVISION'!$A$1:$KZ$3000,$C25,10+3*MIN(BF$3,$D$2-1)))))</f>
        <v/>
      </c>
      <c r="BG25" s="123">
        <f>IF(OR($C25="",$B$2="",$D$2=0),0,IF(BG$3&lt;0,0,N(INDEX('CURVA PREVISION'!$A$1:$KZ$3000,$C25,10+3*MIN(BG$3,$D$2-1)))))</f>
        <v/>
      </c>
      <c r="BH25" s="123">
        <f>IF(OR($C25="",$B$2="",$D$2=0),0,IF(BH$3&lt;0,0,N(INDEX('CURVA PREVISION'!$A$1:$KZ$3000,$C25,10+3*MIN(BH$3,$D$2-1)))))</f>
        <v/>
      </c>
      <c r="BI25" s="123">
        <f>IF(OR($C25="",$B$2="",$D$2=0),0,IF(BI$3&lt;0,0,N(INDEX('CURVA PREVISION'!$A$1:$KZ$3000,$C25,10+3*MIN(BI$3,$D$2-1)))))</f>
        <v/>
      </c>
      <c r="BJ25" s="123">
        <f>IF(OR($C25="",$B$2="",$D$2=0),0,IF(BJ$3&lt;0,0,N(INDEX('CURVA PREVISION'!$A$1:$KZ$3000,$C25,10+3*MIN(BJ$3,$D$2-1)))))</f>
        <v/>
      </c>
      <c r="BK25" s="123">
        <f>IF(OR($C25="",$B$2="",$D$2=0),0,IF(BK$3&lt;0,0,N(INDEX('CURVA PREVISION'!$A$1:$KZ$3000,$C25,10+3*MIN(BK$3,$D$2-1)))))</f>
        <v/>
      </c>
      <c r="BL25" s="123">
        <f>IF(OR($C25="",$B$2="",$D$2=0),0,IF(BL$3&lt;0,0,N(INDEX('CURVA PREVISION'!$A$1:$KZ$3000,$C25,10+3*MIN(BL$3,$D$2-1)))))</f>
        <v/>
      </c>
      <c r="BM25" s="123">
        <f>IF(OR($C25="",$B$2="",$D$2=0),0,IF(BM$3&lt;0,0,N(INDEX('CURVA PREVISION'!$A$1:$KZ$3000,$C25,10+3*MIN(BM$3,$D$2-1)))))</f>
        <v/>
      </c>
      <c r="BN25" s="123">
        <f>IF(OR($C25="",$B$2="",$D$2=0),0,IF(BN$3&lt;0,0,N(INDEX('CURVA PREVISION'!$A$1:$KZ$3000,$C25,10+3*MIN(BN$3,$D$2-1)))))</f>
        <v/>
      </c>
      <c r="BO25" s="123">
        <f>IF(OR($C25="",$B$2="",$D$2=0),0,IF(BO$3&lt;0,0,N(INDEX('CURVA PREVISION'!$A$1:$KZ$3000,$C25,10+3*MIN(BO$3,$D$2-1)))))</f>
        <v/>
      </c>
      <c r="BP25" s="123">
        <f>IF(OR($C25="",$B$2="",$D$2=0),0,IF(BP$3&lt;0,0,N(INDEX('CURVA PREVISION'!$A$1:$KZ$3000,$C25,10+3*MIN(BP$3,$D$2-1)))))</f>
        <v/>
      </c>
      <c r="BQ25" s="123">
        <f>IF(OR($C25="",$B$2="",$D$2=0),0,IF(BQ$3&lt;0,0,N(INDEX('CURVA PREVISION'!$A$1:$KZ$3000,$C25,10+3*MIN(BQ$3,$D$2-1)))))</f>
        <v/>
      </c>
      <c r="BR25" s="123">
        <f>IF(OR($C25="",$B$2="",$D$2=0),0,IF(BR$3&lt;0,0,N(INDEX('CURVA PREVISION'!$A$1:$KZ$3000,$C25,10+3*MIN(BR$3,$D$2-1)))))</f>
        <v/>
      </c>
      <c r="BS25" s="123">
        <f>IF(OR($C25="",$B$2="",$D$2=0),0,IF(BS$3&lt;0,0,N(INDEX('CURVA PREVISION'!$A$1:$KZ$3000,$C25,10+3*MIN(BS$3,$D$2-1)))))</f>
        <v/>
      </c>
      <c r="BT25" s="123">
        <f>IF(OR($C25="",$B$2="",$D$2=0),0,IF(BT$3&lt;0,0,N(INDEX('CURVA PREVISION'!$A$1:$KZ$3000,$C25,10+3*MIN(BT$3,$D$2-1)))))</f>
        <v/>
      </c>
      <c r="BU25" s="123">
        <f>IF(OR($C25="",$B$2="",$D$2=0),0,IF(BU$3&lt;0,0,N(INDEX('CURVA PREVISION'!$A$1:$KZ$3000,$C25,10+3*MIN(BU$3,$D$2-1)))))</f>
        <v/>
      </c>
      <c r="BV25" s="123">
        <f>IF(OR($C25="",$B$2="",$D$2=0),0,IF(BV$3&lt;0,0,N(INDEX('CURVA PREVISION'!$A$1:$KZ$3000,$C25,10+3*MIN(BV$3,$D$2-1)))))</f>
        <v/>
      </c>
      <c r="BW25" s="123">
        <f>IF(OR($C25="",$B$2="",$D$2=0),0,IF(BW$3&lt;0,0,N(INDEX('CURVA PREVISION'!$A$1:$KZ$3000,$C25,10+3*MIN(BW$3,$D$2-1)))))</f>
        <v/>
      </c>
    </row>
    <row r="26">
      <c r="A26" s="61">
        <f>IF('VALOR POR PL'!R32&lt;&gt;"",'VALOR POR PL'!R32,IF('VALOR POR PL'!Q32="",'VALOR POR PL'!C32,'VALOR POR PL'!Q32))</f>
        <v/>
      </c>
      <c r="B26" s="61">
        <f>'VALOR POR PL'!D32</f>
        <v/>
      </c>
      <c r="C26" s="70">
        <f>IFERROR(MATCH(A26,'CURVA PREVISION'!$B$1:$B$3000,0),"")</f>
        <v/>
      </c>
      <c r="D26" s="123">
        <f>IF(OR($C26="",$B$2="",$D$2=0),0,IF(D$3&lt;0,0,N(INDEX('CURVA PREVISION'!$A$1:$KZ$3000,$C26,10+3*MIN(D$3,$D$2-1)))))</f>
        <v/>
      </c>
      <c r="E26" s="123">
        <f>IF(OR($C26="",$B$2="",$D$2=0),0,IF(E$3&lt;0,0,N(INDEX('CURVA PREVISION'!$A$1:$KZ$3000,$C26,10+3*MIN(E$3,$D$2-1)))))</f>
        <v/>
      </c>
      <c r="F26" s="123">
        <f>IF(OR($C26="",$B$2="",$D$2=0),0,IF(F$3&lt;0,0,N(INDEX('CURVA PREVISION'!$A$1:$KZ$3000,$C26,10+3*MIN(F$3,$D$2-1)))))</f>
        <v/>
      </c>
      <c r="G26" s="123">
        <f>IF(OR($C26="",$B$2="",$D$2=0),0,IF(G$3&lt;0,0,N(INDEX('CURVA PREVISION'!$A$1:$KZ$3000,$C26,10+3*MIN(G$3,$D$2-1)))))</f>
        <v/>
      </c>
      <c r="H26" s="123">
        <f>IF(OR($C26="",$B$2="",$D$2=0),0,IF(H$3&lt;0,0,N(INDEX('CURVA PREVISION'!$A$1:$KZ$3000,$C26,10+3*MIN(H$3,$D$2-1)))))</f>
        <v/>
      </c>
      <c r="I26" s="123">
        <f>IF(OR($C26="",$B$2="",$D$2=0),0,IF(I$3&lt;0,0,N(INDEX('CURVA PREVISION'!$A$1:$KZ$3000,$C26,10+3*MIN(I$3,$D$2-1)))))</f>
        <v/>
      </c>
      <c r="J26" s="123">
        <f>IF(OR($C26="",$B$2="",$D$2=0),0,IF(J$3&lt;0,0,N(INDEX('CURVA PREVISION'!$A$1:$KZ$3000,$C26,10+3*MIN(J$3,$D$2-1)))))</f>
        <v/>
      </c>
      <c r="K26" s="123">
        <f>IF(OR($C26="",$B$2="",$D$2=0),0,IF(K$3&lt;0,0,N(INDEX('CURVA PREVISION'!$A$1:$KZ$3000,$C26,10+3*MIN(K$3,$D$2-1)))))</f>
        <v/>
      </c>
      <c r="L26" s="123">
        <f>IF(OR($C26="",$B$2="",$D$2=0),0,IF(L$3&lt;0,0,N(INDEX('CURVA PREVISION'!$A$1:$KZ$3000,$C26,10+3*MIN(L$3,$D$2-1)))))</f>
        <v/>
      </c>
      <c r="M26" s="123">
        <f>IF(OR($C26="",$B$2="",$D$2=0),0,IF(M$3&lt;0,0,N(INDEX('CURVA PREVISION'!$A$1:$KZ$3000,$C26,10+3*MIN(M$3,$D$2-1)))))</f>
        <v/>
      </c>
      <c r="N26" s="123">
        <f>IF(OR($C26="",$B$2="",$D$2=0),0,IF(N$3&lt;0,0,N(INDEX('CURVA PREVISION'!$A$1:$KZ$3000,$C26,10+3*MIN(N$3,$D$2-1)))))</f>
        <v/>
      </c>
      <c r="O26" s="123">
        <f>IF(OR($C26="",$B$2="",$D$2=0),0,IF(O$3&lt;0,0,N(INDEX('CURVA PREVISION'!$A$1:$KZ$3000,$C26,10+3*MIN(O$3,$D$2-1)))))</f>
        <v/>
      </c>
      <c r="P26" s="123">
        <f>IF(OR($C26="",$B$2="",$D$2=0),0,IF(P$3&lt;0,0,N(INDEX('CURVA PREVISION'!$A$1:$KZ$3000,$C26,10+3*MIN(P$3,$D$2-1)))))</f>
        <v/>
      </c>
      <c r="Q26" s="123">
        <f>IF(OR($C26="",$B$2="",$D$2=0),0,IF(Q$3&lt;0,0,N(INDEX('CURVA PREVISION'!$A$1:$KZ$3000,$C26,10+3*MIN(Q$3,$D$2-1)))))</f>
        <v/>
      </c>
      <c r="R26" s="123">
        <f>IF(OR($C26="",$B$2="",$D$2=0),0,IF(R$3&lt;0,0,N(INDEX('CURVA PREVISION'!$A$1:$KZ$3000,$C26,10+3*MIN(R$3,$D$2-1)))))</f>
        <v/>
      </c>
      <c r="S26" s="123">
        <f>IF(OR($C26="",$B$2="",$D$2=0),0,IF(S$3&lt;0,0,N(INDEX('CURVA PREVISION'!$A$1:$KZ$3000,$C26,10+3*MIN(S$3,$D$2-1)))))</f>
        <v/>
      </c>
      <c r="T26" s="123">
        <f>IF(OR($C26="",$B$2="",$D$2=0),0,IF(T$3&lt;0,0,N(INDEX('CURVA PREVISION'!$A$1:$KZ$3000,$C26,10+3*MIN(T$3,$D$2-1)))))</f>
        <v/>
      </c>
      <c r="U26" s="123">
        <f>IF(OR($C26="",$B$2="",$D$2=0),0,IF(U$3&lt;0,0,N(INDEX('CURVA PREVISION'!$A$1:$KZ$3000,$C26,10+3*MIN(U$3,$D$2-1)))))</f>
        <v/>
      </c>
      <c r="V26" s="123">
        <f>IF(OR($C26="",$B$2="",$D$2=0),0,IF(V$3&lt;0,0,N(INDEX('CURVA PREVISION'!$A$1:$KZ$3000,$C26,10+3*MIN(V$3,$D$2-1)))))</f>
        <v/>
      </c>
      <c r="W26" s="123">
        <f>IF(OR($C26="",$B$2="",$D$2=0),0,IF(W$3&lt;0,0,N(INDEX('CURVA PREVISION'!$A$1:$KZ$3000,$C26,10+3*MIN(W$3,$D$2-1)))))</f>
        <v/>
      </c>
      <c r="X26" s="123">
        <f>IF(OR($C26="",$B$2="",$D$2=0),0,IF(X$3&lt;0,0,N(INDEX('CURVA PREVISION'!$A$1:$KZ$3000,$C26,10+3*MIN(X$3,$D$2-1)))))</f>
        <v/>
      </c>
      <c r="Y26" s="123">
        <f>IF(OR($C26="",$B$2="",$D$2=0),0,IF(Y$3&lt;0,0,N(INDEX('CURVA PREVISION'!$A$1:$KZ$3000,$C26,10+3*MIN(Y$3,$D$2-1)))))</f>
        <v/>
      </c>
      <c r="Z26" s="123">
        <f>IF(OR($C26="",$B$2="",$D$2=0),0,IF(Z$3&lt;0,0,N(INDEX('CURVA PREVISION'!$A$1:$KZ$3000,$C26,10+3*MIN(Z$3,$D$2-1)))))</f>
        <v/>
      </c>
      <c r="AA26" s="123">
        <f>IF(OR($C26="",$B$2="",$D$2=0),0,IF(AA$3&lt;0,0,N(INDEX('CURVA PREVISION'!$A$1:$KZ$3000,$C26,10+3*MIN(AA$3,$D$2-1)))))</f>
        <v/>
      </c>
      <c r="AB26" s="123">
        <f>IF(OR($C26="",$B$2="",$D$2=0),0,IF(AB$3&lt;0,0,N(INDEX('CURVA PREVISION'!$A$1:$KZ$3000,$C26,10+3*MIN(AB$3,$D$2-1)))))</f>
        <v/>
      </c>
      <c r="AC26" s="123">
        <f>IF(OR($C26="",$B$2="",$D$2=0),0,IF(AC$3&lt;0,0,N(INDEX('CURVA PREVISION'!$A$1:$KZ$3000,$C26,10+3*MIN(AC$3,$D$2-1)))))</f>
        <v/>
      </c>
      <c r="AD26" s="123">
        <f>IF(OR($C26="",$B$2="",$D$2=0),0,IF(AD$3&lt;0,0,N(INDEX('CURVA PREVISION'!$A$1:$KZ$3000,$C26,10+3*MIN(AD$3,$D$2-1)))))</f>
        <v/>
      </c>
      <c r="AE26" s="123">
        <f>IF(OR($C26="",$B$2="",$D$2=0),0,IF(AE$3&lt;0,0,N(INDEX('CURVA PREVISION'!$A$1:$KZ$3000,$C26,10+3*MIN(AE$3,$D$2-1)))))</f>
        <v/>
      </c>
      <c r="AF26" s="123">
        <f>IF(OR($C26="",$B$2="",$D$2=0),0,IF(AF$3&lt;0,0,N(INDEX('CURVA PREVISION'!$A$1:$KZ$3000,$C26,10+3*MIN(AF$3,$D$2-1)))))</f>
        <v/>
      </c>
      <c r="AG26" s="123">
        <f>IF(OR($C26="",$B$2="",$D$2=0),0,IF(AG$3&lt;0,0,N(INDEX('CURVA PREVISION'!$A$1:$KZ$3000,$C26,10+3*MIN(AG$3,$D$2-1)))))</f>
        <v/>
      </c>
      <c r="AH26" s="123">
        <f>IF(OR($C26="",$B$2="",$D$2=0),0,IF(AH$3&lt;0,0,N(INDEX('CURVA PREVISION'!$A$1:$KZ$3000,$C26,10+3*MIN(AH$3,$D$2-1)))))</f>
        <v/>
      </c>
      <c r="AI26" s="123">
        <f>IF(OR($C26="",$B$2="",$D$2=0),0,IF(AI$3&lt;0,0,N(INDEX('CURVA PREVISION'!$A$1:$KZ$3000,$C26,10+3*MIN(AI$3,$D$2-1)))))</f>
        <v/>
      </c>
      <c r="AJ26" s="123">
        <f>IF(OR($C26="",$B$2="",$D$2=0),0,IF(AJ$3&lt;0,0,N(INDEX('CURVA PREVISION'!$A$1:$KZ$3000,$C26,10+3*MIN(AJ$3,$D$2-1)))))</f>
        <v/>
      </c>
      <c r="AK26" s="123">
        <f>IF(OR($C26="",$B$2="",$D$2=0),0,IF(AK$3&lt;0,0,N(INDEX('CURVA PREVISION'!$A$1:$KZ$3000,$C26,10+3*MIN(AK$3,$D$2-1)))))</f>
        <v/>
      </c>
      <c r="AL26" s="123">
        <f>IF(OR($C26="",$B$2="",$D$2=0),0,IF(AL$3&lt;0,0,N(INDEX('CURVA PREVISION'!$A$1:$KZ$3000,$C26,10+3*MIN(AL$3,$D$2-1)))))</f>
        <v/>
      </c>
      <c r="AM26" s="123">
        <f>IF(OR($C26="",$B$2="",$D$2=0),0,IF(AM$3&lt;0,0,N(INDEX('CURVA PREVISION'!$A$1:$KZ$3000,$C26,10+3*MIN(AM$3,$D$2-1)))))</f>
        <v/>
      </c>
      <c r="AN26" s="123">
        <f>IF(OR($C26="",$B$2="",$D$2=0),0,IF(AN$3&lt;0,0,N(INDEX('CURVA PREVISION'!$A$1:$KZ$3000,$C26,10+3*MIN(AN$3,$D$2-1)))))</f>
        <v/>
      </c>
      <c r="AO26" s="123">
        <f>IF(OR($C26="",$B$2="",$D$2=0),0,IF(AO$3&lt;0,0,N(INDEX('CURVA PREVISION'!$A$1:$KZ$3000,$C26,10+3*MIN(AO$3,$D$2-1)))))</f>
        <v/>
      </c>
      <c r="AP26" s="123">
        <f>IF(OR($C26="",$B$2="",$D$2=0),0,IF(AP$3&lt;0,0,N(INDEX('CURVA PREVISION'!$A$1:$KZ$3000,$C26,10+3*MIN(AP$3,$D$2-1)))))</f>
        <v/>
      </c>
      <c r="AQ26" s="123">
        <f>IF(OR($C26="",$B$2="",$D$2=0),0,IF(AQ$3&lt;0,0,N(INDEX('CURVA PREVISION'!$A$1:$KZ$3000,$C26,10+3*MIN(AQ$3,$D$2-1)))))</f>
        <v/>
      </c>
      <c r="AR26" s="123">
        <f>IF(OR($C26="",$B$2="",$D$2=0),0,IF(AR$3&lt;0,0,N(INDEX('CURVA PREVISION'!$A$1:$KZ$3000,$C26,10+3*MIN(AR$3,$D$2-1)))))</f>
        <v/>
      </c>
      <c r="AS26" s="123">
        <f>IF(OR($C26="",$B$2="",$D$2=0),0,IF(AS$3&lt;0,0,N(INDEX('CURVA PREVISION'!$A$1:$KZ$3000,$C26,10+3*MIN(AS$3,$D$2-1)))))</f>
        <v/>
      </c>
      <c r="AT26" s="123">
        <f>IF(OR($C26="",$B$2="",$D$2=0),0,IF(AT$3&lt;0,0,N(INDEX('CURVA PREVISION'!$A$1:$KZ$3000,$C26,10+3*MIN(AT$3,$D$2-1)))))</f>
        <v/>
      </c>
      <c r="AU26" s="123">
        <f>IF(OR($C26="",$B$2="",$D$2=0),0,IF(AU$3&lt;0,0,N(INDEX('CURVA PREVISION'!$A$1:$KZ$3000,$C26,10+3*MIN(AU$3,$D$2-1)))))</f>
        <v/>
      </c>
      <c r="AV26" s="123">
        <f>IF(OR($C26="",$B$2="",$D$2=0),0,IF(AV$3&lt;0,0,N(INDEX('CURVA PREVISION'!$A$1:$KZ$3000,$C26,10+3*MIN(AV$3,$D$2-1)))))</f>
        <v/>
      </c>
      <c r="AW26" s="123">
        <f>IF(OR($C26="",$B$2="",$D$2=0),0,IF(AW$3&lt;0,0,N(INDEX('CURVA PREVISION'!$A$1:$KZ$3000,$C26,10+3*MIN(AW$3,$D$2-1)))))</f>
        <v/>
      </c>
      <c r="AX26" s="123">
        <f>IF(OR($C26="",$B$2="",$D$2=0),0,IF(AX$3&lt;0,0,N(INDEX('CURVA PREVISION'!$A$1:$KZ$3000,$C26,10+3*MIN(AX$3,$D$2-1)))))</f>
        <v/>
      </c>
      <c r="AY26" s="123">
        <f>IF(OR($C26="",$B$2="",$D$2=0),0,IF(AY$3&lt;0,0,N(INDEX('CURVA PREVISION'!$A$1:$KZ$3000,$C26,10+3*MIN(AY$3,$D$2-1)))))</f>
        <v/>
      </c>
      <c r="AZ26" s="123">
        <f>IF(OR($C26="",$B$2="",$D$2=0),0,IF(AZ$3&lt;0,0,N(INDEX('CURVA PREVISION'!$A$1:$KZ$3000,$C26,10+3*MIN(AZ$3,$D$2-1)))))</f>
        <v/>
      </c>
      <c r="BA26" s="123">
        <f>IF(OR($C26="",$B$2="",$D$2=0),0,IF(BA$3&lt;0,0,N(INDEX('CURVA PREVISION'!$A$1:$KZ$3000,$C26,10+3*MIN(BA$3,$D$2-1)))))</f>
        <v/>
      </c>
      <c r="BB26" s="123">
        <f>IF(OR($C26="",$B$2="",$D$2=0),0,IF(BB$3&lt;0,0,N(INDEX('CURVA PREVISION'!$A$1:$KZ$3000,$C26,10+3*MIN(BB$3,$D$2-1)))))</f>
        <v/>
      </c>
      <c r="BC26" s="123">
        <f>IF(OR($C26="",$B$2="",$D$2=0),0,IF(BC$3&lt;0,0,N(INDEX('CURVA PREVISION'!$A$1:$KZ$3000,$C26,10+3*MIN(BC$3,$D$2-1)))))</f>
        <v/>
      </c>
      <c r="BD26" s="123">
        <f>IF(OR($C26="",$B$2="",$D$2=0),0,IF(BD$3&lt;0,0,N(INDEX('CURVA PREVISION'!$A$1:$KZ$3000,$C26,10+3*MIN(BD$3,$D$2-1)))))</f>
        <v/>
      </c>
      <c r="BE26" s="123">
        <f>IF(OR($C26="",$B$2="",$D$2=0),0,IF(BE$3&lt;0,0,N(INDEX('CURVA PREVISION'!$A$1:$KZ$3000,$C26,10+3*MIN(BE$3,$D$2-1)))))</f>
        <v/>
      </c>
      <c r="BF26" s="123">
        <f>IF(OR($C26="",$B$2="",$D$2=0),0,IF(BF$3&lt;0,0,N(INDEX('CURVA PREVISION'!$A$1:$KZ$3000,$C26,10+3*MIN(BF$3,$D$2-1)))))</f>
        <v/>
      </c>
      <c r="BG26" s="123">
        <f>IF(OR($C26="",$B$2="",$D$2=0),0,IF(BG$3&lt;0,0,N(INDEX('CURVA PREVISION'!$A$1:$KZ$3000,$C26,10+3*MIN(BG$3,$D$2-1)))))</f>
        <v/>
      </c>
      <c r="BH26" s="123">
        <f>IF(OR($C26="",$B$2="",$D$2=0),0,IF(BH$3&lt;0,0,N(INDEX('CURVA PREVISION'!$A$1:$KZ$3000,$C26,10+3*MIN(BH$3,$D$2-1)))))</f>
        <v/>
      </c>
      <c r="BI26" s="123">
        <f>IF(OR($C26="",$B$2="",$D$2=0),0,IF(BI$3&lt;0,0,N(INDEX('CURVA PREVISION'!$A$1:$KZ$3000,$C26,10+3*MIN(BI$3,$D$2-1)))))</f>
        <v/>
      </c>
      <c r="BJ26" s="123">
        <f>IF(OR($C26="",$B$2="",$D$2=0),0,IF(BJ$3&lt;0,0,N(INDEX('CURVA PREVISION'!$A$1:$KZ$3000,$C26,10+3*MIN(BJ$3,$D$2-1)))))</f>
        <v/>
      </c>
      <c r="BK26" s="123">
        <f>IF(OR($C26="",$B$2="",$D$2=0),0,IF(BK$3&lt;0,0,N(INDEX('CURVA PREVISION'!$A$1:$KZ$3000,$C26,10+3*MIN(BK$3,$D$2-1)))))</f>
        <v/>
      </c>
      <c r="BL26" s="123">
        <f>IF(OR($C26="",$B$2="",$D$2=0),0,IF(BL$3&lt;0,0,N(INDEX('CURVA PREVISION'!$A$1:$KZ$3000,$C26,10+3*MIN(BL$3,$D$2-1)))))</f>
        <v/>
      </c>
      <c r="BM26" s="123">
        <f>IF(OR($C26="",$B$2="",$D$2=0),0,IF(BM$3&lt;0,0,N(INDEX('CURVA PREVISION'!$A$1:$KZ$3000,$C26,10+3*MIN(BM$3,$D$2-1)))))</f>
        <v/>
      </c>
      <c r="BN26" s="123">
        <f>IF(OR($C26="",$B$2="",$D$2=0),0,IF(BN$3&lt;0,0,N(INDEX('CURVA PREVISION'!$A$1:$KZ$3000,$C26,10+3*MIN(BN$3,$D$2-1)))))</f>
        <v/>
      </c>
      <c r="BO26" s="123">
        <f>IF(OR($C26="",$B$2="",$D$2=0),0,IF(BO$3&lt;0,0,N(INDEX('CURVA PREVISION'!$A$1:$KZ$3000,$C26,10+3*MIN(BO$3,$D$2-1)))))</f>
        <v/>
      </c>
      <c r="BP26" s="123">
        <f>IF(OR($C26="",$B$2="",$D$2=0),0,IF(BP$3&lt;0,0,N(INDEX('CURVA PREVISION'!$A$1:$KZ$3000,$C26,10+3*MIN(BP$3,$D$2-1)))))</f>
        <v/>
      </c>
      <c r="BQ26" s="123">
        <f>IF(OR($C26="",$B$2="",$D$2=0),0,IF(BQ$3&lt;0,0,N(INDEX('CURVA PREVISION'!$A$1:$KZ$3000,$C26,10+3*MIN(BQ$3,$D$2-1)))))</f>
        <v/>
      </c>
      <c r="BR26" s="123">
        <f>IF(OR($C26="",$B$2="",$D$2=0),0,IF(BR$3&lt;0,0,N(INDEX('CURVA PREVISION'!$A$1:$KZ$3000,$C26,10+3*MIN(BR$3,$D$2-1)))))</f>
        <v/>
      </c>
      <c r="BS26" s="123">
        <f>IF(OR($C26="",$B$2="",$D$2=0),0,IF(BS$3&lt;0,0,N(INDEX('CURVA PREVISION'!$A$1:$KZ$3000,$C26,10+3*MIN(BS$3,$D$2-1)))))</f>
        <v/>
      </c>
      <c r="BT26" s="123">
        <f>IF(OR($C26="",$B$2="",$D$2=0),0,IF(BT$3&lt;0,0,N(INDEX('CURVA PREVISION'!$A$1:$KZ$3000,$C26,10+3*MIN(BT$3,$D$2-1)))))</f>
        <v/>
      </c>
      <c r="BU26" s="123">
        <f>IF(OR($C26="",$B$2="",$D$2=0),0,IF(BU$3&lt;0,0,N(INDEX('CURVA PREVISION'!$A$1:$KZ$3000,$C26,10+3*MIN(BU$3,$D$2-1)))))</f>
        <v/>
      </c>
      <c r="BV26" s="123">
        <f>IF(OR($C26="",$B$2="",$D$2=0),0,IF(BV$3&lt;0,0,N(INDEX('CURVA PREVISION'!$A$1:$KZ$3000,$C26,10+3*MIN(BV$3,$D$2-1)))))</f>
        <v/>
      </c>
      <c r="BW26" s="123">
        <f>IF(OR($C26="",$B$2="",$D$2=0),0,IF(BW$3&lt;0,0,N(INDEX('CURVA PREVISION'!$A$1:$KZ$3000,$C26,10+3*MIN(BW$3,$D$2-1)))))</f>
        <v/>
      </c>
    </row>
    <row r="27">
      <c r="A27" s="61">
        <f>IF('VALOR POR PL'!R33&lt;&gt;"",'VALOR POR PL'!R33,IF('VALOR POR PL'!Q33="",'VALOR POR PL'!C33,'VALOR POR PL'!Q33))</f>
        <v/>
      </c>
      <c r="B27" s="61">
        <f>'VALOR POR PL'!D33</f>
        <v/>
      </c>
      <c r="C27" s="70">
        <f>IFERROR(MATCH(A27,'CURVA PREVISION'!$B$1:$B$3000,0),"")</f>
        <v/>
      </c>
      <c r="D27" s="123">
        <f>IF(OR($C27="",$B$2="",$D$2=0),0,IF(D$3&lt;0,0,N(INDEX('CURVA PREVISION'!$A$1:$KZ$3000,$C27,10+3*MIN(D$3,$D$2-1)))))</f>
        <v/>
      </c>
      <c r="E27" s="123">
        <f>IF(OR($C27="",$B$2="",$D$2=0),0,IF(E$3&lt;0,0,N(INDEX('CURVA PREVISION'!$A$1:$KZ$3000,$C27,10+3*MIN(E$3,$D$2-1)))))</f>
        <v/>
      </c>
      <c r="F27" s="123">
        <f>IF(OR($C27="",$B$2="",$D$2=0),0,IF(F$3&lt;0,0,N(INDEX('CURVA PREVISION'!$A$1:$KZ$3000,$C27,10+3*MIN(F$3,$D$2-1)))))</f>
        <v/>
      </c>
      <c r="G27" s="123">
        <f>IF(OR($C27="",$B$2="",$D$2=0),0,IF(G$3&lt;0,0,N(INDEX('CURVA PREVISION'!$A$1:$KZ$3000,$C27,10+3*MIN(G$3,$D$2-1)))))</f>
        <v/>
      </c>
      <c r="H27" s="123">
        <f>IF(OR($C27="",$B$2="",$D$2=0),0,IF(H$3&lt;0,0,N(INDEX('CURVA PREVISION'!$A$1:$KZ$3000,$C27,10+3*MIN(H$3,$D$2-1)))))</f>
        <v/>
      </c>
      <c r="I27" s="123">
        <f>IF(OR($C27="",$B$2="",$D$2=0),0,IF(I$3&lt;0,0,N(INDEX('CURVA PREVISION'!$A$1:$KZ$3000,$C27,10+3*MIN(I$3,$D$2-1)))))</f>
        <v/>
      </c>
      <c r="J27" s="123">
        <f>IF(OR($C27="",$B$2="",$D$2=0),0,IF(J$3&lt;0,0,N(INDEX('CURVA PREVISION'!$A$1:$KZ$3000,$C27,10+3*MIN(J$3,$D$2-1)))))</f>
        <v/>
      </c>
      <c r="K27" s="123">
        <f>IF(OR($C27="",$B$2="",$D$2=0),0,IF(K$3&lt;0,0,N(INDEX('CURVA PREVISION'!$A$1:$KZ$3000,$C27,10+3*MIN(K$3,$D$2-1)))))</f>
        <v/>
      </c>
      <c r="L27" s="123">
        <f>IF(OR($C27="",$B$2="",$D$2=0),0,IF(L$3&lt;0,0,N(INDEX('CURVA PREVISION'!$A$1:$KZ$3000,$C27,10+3*MIN(L$3,$D$2-1)))))</f>
        <v/>
      </c>
      <c r="M27" s="123">
        <f>IF(OR($C27="",$B$2="",$D$2=0),0,IF(M$3&lt;0,0,N(INDEX('CURVA PREVISION'!$A$1:$KZ$3000,$C27,10+3*MIN(M$3,$D$2-1)))))</f>
        <v/>
      </c>
      <c r="N27" s="123">
        <f>IF(OR($C27="",$B$2="",$D$2=0),0,IF(N$3&lt;0,0,N(INDEX('CURVA PREVISION'!$A$1:$KZ$3000,$C27,10+3*MIN(N$3,$D$2-1)))))</f>
        <v/>
      </c>
      <c r="O27" s="123">
        <f>IF(OR($C27="",$B$2="",$D$2=0),0,IF(O$3&lt;0,0,N(INDEX('CURVA PREVISION'!$A$1:$KZ$3000,$C27,10+3*MIN(O$3,$D$2-1)))))</f>
        <v/>
      </c>
      <c r="P27" s="123">
        <f>IF(OR($C27="",$B$2="",$D$2=0),0,IF(P$3&lt;0,0,N(INDEX('CURVA PREVISION'!$A$1:$KZ$3000,$C27,10+3*MIN(P$3,$D$2-1)))))</f>
        <v/>
      </c>
      <c r="Q27" s="123">
        <f>IF(OR($C27="",$B$2="",$D$2=0),0,IF(Q$3&lt;0,0,N(INDEX('CURVA PREVISION'!$A$1:$KZ$3000,$C27,10+3*MIN(Q$3,$D$2-1)))))</f>
        <v/>
      </c>
      <c r="R27" s="123">
        <f>IF(OR($C27="",$B$2="",$D$2=0),0,IF(R$3&lt;0,0,N(INDEX('CURVA PREVISION'!$A$1:$KZ$3000,$C27,10+3*MIN(R$3,$D$2-1)))))</f>
        <v/>
      </c>
      <c r="S27" s="123">
        <f>IF(OR($C27="",$B$2="",$D$2=0),0,IF(S$3&lt;0,0,N(INDEX('CURVA PREVISION'!$A$1:$KZ$3000,$C27,10+3*MIN(S$3,$D$2-1)))))</f>
        <v/>
      </c>
      <c r="T27" s="123">
        <f>IF(OR($C27="",$B$2="",$D$2=0),0,IF(T$3&lt;0,0,N(INDEX('CURVA PREVISION'!$A$1:$KZ$3000,$C27,10+3*MIN(T$3,$D$2-1)))))</f>
        <v/>
      </c>
      <c r="U27" s="123">
        <f>IF(OR($C27="",$B$2="",$D$2=0),0,IF(U$3&lt;0,0,N(INDEX('CURVA PREVISION'!$A$1:$KZ$3000,$C27,10+3*MIN(U$3,$D$2-1)))))</f>
        <v/>
      </c>
      <c r="V27" s="123">
        <f>IF(OR($C27="",$B$2="",$D$2=0),0,IF(V$3&lt;0,0,N(INDEX('CURVA PREVISION'!$A$1:$KZ$3000,$C27,10+3*MIN(V$3,$D$2-1)))))</f>
        <v/>
      </c>
      <c r="W27" s="123">
        <f>IF(OR($C27="",$B$2="",$D$2=0),0,IF(W$3&lt;0,0,N(INDEX('CURVA PREVISION'!$A$1:$KZ$3000,$C27,10+3*MIN(W$3,$D$2-1)))))</f>
        <v/>
      </c>
      <c r="X27" s="123">
        <f>IF(OR($C27="",$B$2="",$D$2=0),0,IF(X$3&lt;0,0,N(INDEX('CURVA PREVISION'!$A$1:$KZ$3000,$C27,10+3*MIN(X$3,$D$2-1)))))</f>
        <v/>
      </c>
      <c r="Y27" s="123">
        <f>IF(OR($C27="",$B$2="",$D$2=0),0,IF(Y$3&lt;0,0,N(INDEX('CURVA PREVISION'!$A$1:$KZ$3000,$C27,10+3*MIN(Y$3,$D$2-1)))))</f>
        <v/>
      </c>
      <c r="Z27" s="123">
        <f>IF(OR($C27="",$B$2="",$D$2=0),0,IF(Z$3&lt;0,0,N(INDEX('CURVA PREVISION'!$A$1:$KZ$3000,$C27,10+3*MIN(Z$3,$D$2-1)))))</f>
        <v/>
      </c>
      <c r="AA27" s="123">
        <f>IF(OR($C27="",$B$2="",$D$2=0),0,IF(AA$3&lt;0,0,N(INDEX('CURVA PREVISION'!$A$1:$KZ$3000,$C27,10+3*MIN(AA$3,$D$2-1)))))</f>
        <v/>
      </c>
      <c r="AB27" s="123">
        <f>IF(OR($C27="",$B$2="",$D$2=0),0,IF(AB$3&lt;0,0,N(INDEX('CURVA PREVISION'!$A$1:$KZ$3000,$C27,10+3*MIN(AB$3,$D$2-1)))))</f>
        <v/>
      </c>
      <c r="AC27" s="123">
        <f>IF(OR($C27="",$B$2="",$D$2=0),0,IF(AC$3&lt;0,0,N(INDEX('CURVA PREVISION'!$A$1:$KZ$3000,$C27,10+3*MIN(AC$3,$D$2-1)))))</f>
        <v/>
      </c>
      <c r="AD27" s="123">
        <f>IF(OR($C27="",$B$2="",$D$2=0),0,IF(AD$3&lt;0,0,N(INDEX('CURVA PREVISION'!$A$1:$KZ$3000,$C27,10+3*MIN(AD$3,$D$2-1)))))</f>
        <v/>
      </c>
      <c r="AE27" s="123">
        <f>IF(OR($C27="",$B$2="",$D$2=0),0,IF(AE$3&lt;0,0,N(INDEX('CURVA PREVISION'!$A$1:$KZ$3000,$C27,10+3*MIN(AE$3,$D$2-1)))))</f>
        <v/>
      </c>
      <c r="AF27" s="123">
        <f>IF(OR($C27="",$B$2="",$D$2=0),0,IF(AF$3&lt;0,0,N(INDEX('CURVA PREVISION'!$A$1:$KZ$3000,$C27,10+3*MIN(AF$3,$D$2-1)))))</f>
        <v/>
      </c>
      <c r="AG27" s="123">
        <f>IF(OR($C27="",$B$2="",$D$2=0),0,IF(AG$3&lt;0,0,N(INDEX('CURVA PREVISION'!$A$1:$KZ$3000,$C27,10+3*MIN(AG$3,$D$2-1)))))</f>
        <v/>
      </c>
      <c r="AH27" s="123">
        <f>IF(OR($C27="",$B$2="",$D$2=0),0,IF(AH$3&lt;0,0,N(INDEX('CURVA PREVISION'!$A$1:$KZ$3000,$C27,10+3*MIN(AH$3,$D$2-1)))))</f>
        <v/>
      </c>
      <c r="AI27" s="123">
        <f>IF(OR($C27="",$B$2="",$D$2=0),0,IF(AI$3&lt;0,0,N(INDEX('CURVA PREVISION'!$A$1:$KZ$3000,$C27,10+3*MIN(AI$3,$D$2-1)))))</f>
        <v/>
      </c>
      <c r="AJ27" s="123">
        <f>IF(OR($C27="",$B$2="",$D$2=0),0,IF(AJ$3&lt;0,0,N(INDEX('CURVA PREVISION'!$A$1:$KZ$3000,$C27,10+3*MIN(AJ$3,$D$2-1)))))</f>
        <v/>
      </c>
      <c r="AK27" s="123">
        <f>IF(OR($C27="",$B$2="",$D$2=0),0,IF(AK$3&lt;0,0,N(INDEX('CURVA PREVISION'!$A$1:$KZ$3000,$C27,10+3*MIN(AK$3,$D$2-1)))))</f>
        <v/>
      </c>
      <c r="AL27" s="123">
        <f>IF(OR($C27="",$B$2="",$D$2=0),0,IF(AL$3&lt;0,0,N(INDEX('CURVA PREVISION'!$A$1:$KZ$3000,$C27,10+3*MIN(AL$3,$D$2-1)))))</f>
        <v/>
      </c>
      <c r="AM27" s="123">
        <f>IF(OR($C27="",$B$2="",$D$2=0),0,IF(AM$3&lt;0,0,N(INDEX('CURVA PREVISION'!$A$1:$KZ$3000,$C27,10+3*MIN(AM$3,$D$2-1)))))</f>
        <v/>
      </c>
      <c r="AN27" s="123">
        <f>IF(OR($C27="",$B$2="",$D$2=0),0,IF(AN$3&lt;0,0,N(INDEX('CURVA PREVISION'!$A$1:$KZ$3000,$C27,10+3*MIN(AN$3,$D$2-1)))))</f>
        <v/>
      </c>
      <c r="AO27" s="123">
        <f>IF(OR($C27="",$B$2="",$D$2=0),0,IF(AO$3&lt;0,0,N(INDEX('CURVA PREVISION'!$A$1:$KZ$3000,$C27,10+3*MIN(AO$3,$D$2-1)))))</f>
        <v/>
      </c>
      <c r="AP27" s="123">
        <f>IF(OR($C27="",$B$2="",$D$2=0),0,IF(AP$3&lt;0,0,N(INDEX('CURVA PREVISION'!$A$1:$KZ$3000,$C27,10+3*MIN(AP$3,$D$2-1)))))</f>
        <v/>
      </c>
      <c r="AQ27" s="123">
        <f>IF(OR($C27="",$B$2="",$D$2=0),0,IF(AQ$3&lt;0,0,N(INDEX('CURVA PREVISION'!$A$1:$KZ$3000,$C27,10+3*MIN(AQ$3,$D$2-1)))))</f>
        <v/>
      </c>
      <c r="AR27" s="123">
        <f>IF(OR($C27="",$B$2="",$D$2=0),0,IF(AR$3&lt;0,0,N(INDEX('CURVA PREVISION'!$A$1:$KZ$3000,$C27,10+3*MIN(AR$3,$D$2-1)))))</f>
        <v/>
      </c>
      <c r="AS27" s="123">
        <f>IF(OR($C27="",$B$2="",$D$2=0),0,IF(AS$3&lt;0,0,N(INDEX('CURVA PREVISION'!$A$1:$KZ$3000,$C27,10+3*MIN(AS$3,$D$2-1)))))</f>
        <v/>
      </c>
      <c r="AT27" s="123">
        <f>IF(OR($C27="",$B$2="",$D$2=0),0,IF(AT$3&lt;0,0,N(INDEX('CURVA PREVISION'!$A$1:$KZ$3000,$C27,10+3*MIN(AT$3,$D$2-1)))))</f>
        <v/>
      </c>
      <c r="AU27" s="123">
        <f>IF(OR($C27="",$B$2="",$D$2=0),0,IF(AU$3&lt;0,0,N(INDEX('CURVA PREVISION'!$A$1:$KZ$3000,$C27,10+3*MIN(AU$3,$D$2-1)))))</f>
        <v/>
      </c>
      <c r="AV27" s="123">
        <f>IF(OR($C27="",$B$2="",$D$2=0),0,IF(AV$3&lt;0,0,N(INDEX('CURVA PREVISION'!$A$1:$KZ$3000,$C27,10+3*MIN(AV$3,$D$2-1)))))</f>
        <v/>
      </c>
      <c r="AW27" s="123">
        <f>IF(OR($C27="",$B$2="",$D$2=0),0,IF(AW$3&lt;0,0,N(INDEX('CURVA PREVISION'!$A$1:$KZ$3000,$C27,10+3*MIN(AW$3,$D$2-1)))))</f>
        <v/>
      </c>
      <c r="AX27" s="123">
        <f>IF(OR($C27="",$B$2="",$D$2=0),0,IF(AX$3&lt;0,0,N(INDEX('CURVA PREVISION'!$A$1:$KZ$3000,$C27,10+3*MIN(AX$3,$D$2-1)))))</f>
        <v/>
      </c>
      <c r="AY27" s="123">
        <f>IF(OR($C27="",$B$2="",$D$2=0),0,IF(AY$3&lt;0,0,N(INDEX('CURVA PREVISION'!$A$1:$KZ$3000,$C27,10+3*MIN(AY$3,$D$2-1)))))</f>
        <v/>
      </c>
      <c r="AZ27" s="123">
        <f>IF(OR($C27="",$B$2="",$D$2=0),0,IF(AZ$3&lt;0,0,N(INDEX('CURVA PREVISION'!$A$1:$KZ$3000,$C27,10+3*MIN(AZ$3,$D$2-1)))))</f>
        <v/>
      </c>
      <c r="BA27" s="123">
        <f>IF(OR($C27="",$B$2="",$D$2=0),0,IF(BA$3&lt;0,0,N(INDEX('CURVA PREVISION'!$A$1:$KZ$3000,$C27,10+3*MIN(BA$3,$D$2-1)))))</f>
        <v/>
      </c>
      <c r="BB27" s="123">
        <f>IF(OR($C27="",$B$2="",$D$2=0),0,IF(BB$3&lt;0,0,N(INDEX('CURVA PREVISION'!$A$1:$KZ$3000,$C27,10+3*MIN(BB$3,$D$2-1)))))</f>
        <v/>
      </c>
      <c r="BC27" s="123">
        <f>IF(OR($C27="",$B$2="",$D$2=0),0,IF(BC$3&lt;0,0,N(INDEX('CURVA PREVISION'!$A$1:$KZ$3000,$C27,10+3*MIN(BC$3,$D$2-1)))))</f>
        <v/>
      </c>
      <c r="BD27" s="123">
        <f>IF(OR($C27="",$B$2="",$D$2=0),0,IF(BD$3&lt;0,0,N(INDEX('CURVA PREVISION'!$A$1:$KZ$3000,$C27,10+3*MIN(BD$3,$D$2-1)))))</f>
        <v/>
      </c>
      <c r="BE27" s="123">
        <f>IF(OR($C27="",$B$2="",$D$2=0),0,IF(BE$3&lt;0,0,N(INDEX('CURVA PREVISION'!$A$1:$KZ$3000,$C27,10+3*MIN(BE$3,$D$2-1)))))</f>
        <v/>
      </c>
      <c r="BF27" s="123">
        <f>IF(OR($C27="",$B$2="",$D$2=0),0,IF(BF$3&lt;0,0,N(INDEX('CURVA PREVISION'!$A$1:$KZ$3000,$C27,10+3*MIN(BF$3,$D$2-1)))))</f>
        <v/>
      </c>
      <c r="BG27" s="123">
        <f>IF(OR($C27="",$B$2="",$D$2=0),0,IF(BG$3&lt;0,0,N(INDEX('CURVA PREVISION'!$A$1:$KZ$3000,$C27,10+3*MIN(BG$3,$D$2-1)))))</f>
        <v/>
      </c>
      <c r="BH27" s="123">
        <f>IF(OR($C27="",$B$2="",$D$2=0),0,IF(BH$3&lt;0,0,N(INDEX('CURVA PREVISION'!$A$1:$KZ$3000,$C27,10+3*MIN(BH$3,$D$2-1)))))</f>
        <v/>
      </c>
      <c r="BI27" s="123">
        <f>IF(OR($C27="",$B$2="",$D$2=0),0,IF(BI$3&lt;0,0,N(INDEX('CURVA PREVISION'!$A$1:$KZ$3000,$C27,10+3*MIN(BI$3,$D$2-1)))))</f>
        <v/>
      </c>
      <c r="BJ27" s="123">
        <f>IF(OR($C27="",$B$2="",$D$2=0),0,IF(BJ$3&lt;0,0,N(INDEX('CURVA PREVISION'!$A$1:$KZ$3000,$C27,10+3*MIN(BJ$3,$D$2-1)))))</f>
        <v/>
      </c>
      <c r="BK27" s="123">
        <f>IF(OR($C27="",$B$2="",$D$2=0),0,IF(BK$3&lt;0,0,N(INDEX('CURVA PREVISION'!$A$1:$KZ$3000,$C27,10+3*MIN(BK$3,$D$2-1)))))</f>
        <v/>
      </c>
      <c r="BL27" s="123">
        <f>IF(OR($C27="",$B$2="",$D$2=0),0,IF(BL$3&lt;0,0,N(INDEX('CURVA PREVISION'!$A$1:$KZ$3000,$C27,10+3*MIN(BL$3,$D$2-1)))))</f>
        <v/>
      </c>
      <c r="BM27" s="123">
        <f>IF(OR($C27="",$B$2="",$D$2=0),0,IF(BM$3&lt;0,0,N(INDEX('CURVA PREVISION'!$A$1:$KZ$3000,$C27,10+3*MIN(BM$3,$D$2-1)))))</f>
        <v/>
      </c>
      <c r="BN27" s="123">
        <f>IF(OR($C27="",$B$2="",$D$2=0),0,IF(BN$3&lt;0,0,N(INDEX('CURVA PREVISION'!$A$1:$KZ$3000,$C27,10+3*MIN(BN$3,$D$2-1)))))</f>
        <v/>
      </c>
      <c r="BO27" s="123">
        <f>IF(OR($C27="",$B$2="",$D$2=0),0,IF(BO$3&lt;0,0,N(INDEX('CURVA PREVISION'!$A$1:$KZ$3000,$C27,10+3*MIN(BO$3,$D$2-1)))))</f>
        <v/>
      </c>
      <c r="BP27" s="123">
        <f>IF(OR($C27="",$B$2="",$D$2=0),0,IF(BP$3&lt;0,0,N(INDEX('CURVA PREVISION'!$A$1:$KZ$3000,$C27,10+3*MIN(BP$3,$D$2-1)))))</f>
        <v/>
      </c>
      <c r="BQ27" s="123">
        <f>IF(OR($C27="",$B$2="",$D$2=0),0,IF(BQ$3&lt;0,0,N(INDEX('CURVA PREVISION'!$A$1:$KZ$3000,$C27,10+3*MIN(BQ$3,$D$2-1)))))</f>
        <v/>
      </c>
      <c r="BR27" s="123">
        <f>IF(OR($C27="",$B$2="",$D$2=0),0,IF(BR$3&lt;0,0,N(INDEX('CURVA PREVISION'!$A$1:$KZ$3000,$C27,10+3*MIN(BR$3,$D$2-1)))))</f>
        <v/>
      </c>
      <c r="BS27" s="123">
        <f>IF(OR($C27="",$B$2="",$D$2=0),0,IF(BS$3&lt;0,0,N(INDEX('CURVA PREVISION'!$A$1:$KZ$3000,$C27,10+3*MIN(BS$3,$D$2-1)))))</f>
        <v/>
      </c>
      <c r="BT27" s="123">
        <f>IF(OR($C27="",$B$2="",$D$2=0),0,IF(BT$3&lt;0,0,N(INDEX('CURVA PREVISION'!$A$1:$KZ$3000,$C27,10+3*MIN(BT$3,$D$2-1)))))</f>
        <v/>
      </c>
      <c r="BU27" s="123">
        <f>IF(OR($C27="",$B$2="",$D$2=0),0,IF(BU$3&lt;0,0,N(INDEX('CURVA PREVISION'!$A$1:$KZ$3000,$C27,10+3*MIN(BU$3,$D$2-1)))))</f>
        <v/>
      </c>
      <c r="BV27" s="123">
        <f>IF(OR($C27="",$B$2="",$D$2=0),0,IF(BV$3&lt;0,0,N(INDEX('CURVA PREVISION'!$A$1:$KZ$3000,$C27,10+3*MIN(BV$3,$D$2-1)))))</f>
        <v/>
      </c>
      <c r="BW27" s="123">
        <f>IF(OR($C27="",$B$2="",$D$2=0),0,IF(BW$3&lt;0,0,N(INDEX('CURVA PREVISION'!$A$1:$KZ$3000,$C27,10+3*MIN(BW$3,$D$2-1)))))</f>
        <v/>
      </c>
    </row>
    <row r="28">
      <c r="A28" s="61">
        <f>IF('VALOR POR PL'!R34&lt;&gt;"",'VALOR POR PL'!R34,IF('VALOR POR PL'!Q34="",'VALOR POR PL'!C34,'VALOR POR PL'!Q34))</f>
        <v/>
      </c>
      <c r="B28" s="61">
        <f>'VALOR POR PL'!D34</f>
        <v/>
      </c>
      <c r="C28" s="70">
        <f>IFERROR(MATCH(A28,'CURVA PREVISION'!$B$1:$B$3000,0),"")</f>
        <v/>
      </c>
      <c r="D28" s="123">
        <f>IF(OR($C28="",$B$2="",$D$2=0),0,IF(D$3&lt;0,0,N(INDEX('CURVA PREVISION'!$A$1:$KZ$3000,$C28,10+3*MIN(D$3,$D$2-1)))))</f>
        <v/>
      </c>
      <c r="E28" s="123">
        <f>IF(OR($C28="",$B$2="",$D$2=0),0,IF(E$3&lt;0,0,N(INDEX('CURVA PREVISION'!$A$1:$KZ$3000,$C28,10+3*MIN(E$3,$D$2-1)))))</f>
        <v/>
      </c>
      <c r="F28" s="123">
        <f>IF(OR($C28="",$B$2="",$D$2=0),0,IF(F$3&lt;0,0,N(INDEX('CURVA PREVISION'!$A$1:$KZ$3000,$C28,10+3*MIN(F$3,$D$2-1)))))</f>
        <v/>
      </c>
      <c r="G28" s="123">
        <f>IF(OR($C28="",$B$2="",$D$2=0),0,IF(G$3&lt;0,0,N(INDEX('CURVA PREVISION'!$A$1:$KZ$3000,$C28,10+3*MIN(G$3,$D$2-1)))))</f>
        <v/>
      </c>
      <c r="H28" s="123">
        <f>IF(OR($C28="",$B$2="",$D$2=0),0,IF(H$3&lt;0,0,N(INDEX('CURVA PREVISION'!$A$1:$KZ$3000,$C28,10+3*MIN(H$3,$D$2-1)))))</f>
        <v/>
      </c>
      <c r="I28" s="123">
        <f>IF(OR($C28="",$B$2="",$D$2=0),0,IF(I$3&lt;0,0,N(INDEX('CURVA PREVISION'!$A$1:$KZ$3000,$C28,10+3*MIN(I$3,$D$2-1)))))</f>
        <v/>
      </c>
      <c r="J28" s="123">
        <f>IF(OR($C28="",$B$2="",$D$2=0),0,IF(J$3&lt;0,0,N(INDEX('CURVA PREVISION'!$A$1:$KZ$3000,$C28,10+3*MIN(J$3,$D$2-1)))))</f>
        <v/>
      </c>
      <c r="K28" s="123">
        <f>IF(OR($C28="",$B$2="",$D$2=0),0,IF(K$3&lt;0,0,N(INDEX('CURVA PREVISION'!$A$1:$KZ$3000,$C28,10+3*MIN(K$3,$D$2-1)))))</f>
        <v/>
      </c>
      <c r="L28" s="123">
        <f>IF(OR($C28="",$B$2="",$D$2=0),0,IF(L$3&lt;0,0,N(INDEX('CURVA PREVISION'!$A$1:$KZ$3000,$C28,10+3*MIN(L$3,$D$2-1)))))</f>
        <v/>
      </c>
      <c r="M28" s="123">
        <f>IF(OR($C28="",$B$2="",$D$2=0),0,IF(M$3&lt;0,0,N(INDEX('CURVA PREVISION'!$A$1:$KZ$3000,$C28,10+3*MIN(M$3,$D$2-1)))))</f>
        <v/>
      </c>
      <c r="N28" s="123">
        <f>IF(OR($C28="",$B$2="",$D$2=0),0,IF(N$3&lt;0,0,N(INDEX('CURVA PREVISION'!$A$1:$KZ$3000,$C28,10+3*MIN(N$3,$D$2-1)))))</f>
        <v/>
      </c>
      <c r="O28" s="123">
        <f>IF(OR($C28="",$B$2="",$D$2=0),0,IF(O$3&lt;0,0,N(INDEX('CURVA PREVISION'!$A$1:$KZ$3000,$C28,10+3*MIN(O$3,$D$2-1)))))</f>
        <v/>
      </c>
      <c r="P28" s="123">
        <f>IF(OR($C28="",$B$2="",$D$2=0),0,IF(P$3&lt;0,0,N(INDEX('CURVA PREVISION'!$A$1:$KZ$3000,$C28,10+3*MIN(P$3,$D$2-1)))))</f>
        <v/>
      </c>
      <c r="Q28" s="123">
        <f>IF(OR($C28="",$B$2="",$D$2=0),0,IF(Q$3&lt;0,0,N(INDEX('CURVA PREVISION'!$A$1:$KZ$3000,$C28,10+3*MIN(Q$3,$D$2-1)))))</f>
        <v/>
      </c>
      <c r="R28" s="123">
        <f>IF(OR($C28="",$B$2="",$D$2=0),0,IF(R$3&lt;0,0,N(INDEX('CURVA PREVISION'!$A$1:$KZ$3000,$C28,10+3*MIN(R$3,$D$2-1)))))</f>
        <v/>
      </c>
      <c r="S28" s="123">
        <f>IF(OR($C28="",$B$2="",$D$2=0),0,IF(S$3&lt;0,0,N(INDEX('CURVA PREVISION'!$A$1:$KZ$3000,$C28,10+3*MIN(S$3,$D$2-1)))))</f>
        <v/>
      </c>
      <c r="T28" s="123">
        <f>IF(OR($C28="",$B$2="",$D$2=0),0,IF(T$3&lt;0,0,N(INDEX('CURVA PREVISION'!$A$1:$KZ$3000,$C28,10+3*MIN(T$3,$D$2-1)))))</f>
        <v/>
      </c>
      <c r="U28" s="123">
        <f>IF(OR($C28="",$B$2="",$D$2=0),0,IF(U$3&lt;0,0,N(INDEX('CURVA PREVISION'!$A$1:$KZ$3000,$C28,10+3*MIN(U$3,$D$2-1)))))</f>
        <v/>
      </c>
      <c r="V28" s="123">
        <f>IF(OR($C28="",$B$2="",$D$2=0),0,IF(V$3&lt;0,0,N(INDEX('CURVA PREVISION'!$A$1:$KZ$3000,$C28,10+3*MIN(V$3,$D$2-1)))))</f>
        <v/>
      </c>
      <c r="W28" s="123">
        <f>IF(OR($C28="",$B$2="",$D$2=0),0,IF(W$3&lt;0,0,N(INDEX('CURVA PREVISION'!$A$1:$KZ$3000,$C28,10+3*MIN(W$3,$D$2-1)))))</f>
        <v/>
      </c>
      <c r="X28" s="123">
        <f>IF(OR($C28="",$B$2="",$D$2=0),0,IF(X$3&lt;0,0,N(INDEX('CURVA PREVISION'!$A$1:$KZ$3000,$C28,10+3*MIN(X$3,$D$2-1)))))</f>
        <v/>
      </c>
      <c r="Y28" s="123">
        <f>IF(OR($C28="",$B$2="",$D$2=0),0,IF(Y$3&lt;0,0,N(INDEX('CURVA PREVISION'!$A$1:$KZ$3000,$C28,10+3*MIN(Y$3,$D$2-1)))))</f>
        <v/>
      </c>
      <c r="Z28" s="123">
        <f>IF(OR($C28="",$B$2="",$D$2=0),0,IF(Z$3&lt;0,0,N(INDEX('CURVA PREVISION'!$A$1:$KZ$3000,$C28,10+3*MIN(Z$3,$D$2-1)))))</f>
        <v/>
      </c>
      <c r="AA28" s="123">
        <f>IF(OR($C28="",$B$2="",$D$2=0),0,IF(AA$3&lt;0,0,N(INDEX('CURVA PREVISION'!$A$1:$KZ$3000,$C28,10+3*MIN(AA$3,$D$2-1)))))</f>
        <v/>
      </c>
      <c r="AB28" s="123">
        <f>IF(OR($C28="",$B$2="",$D$2=0),0,IF(AB$3&lt;0,0,N(INDEX('CURVA PREVISION'!$A$1:$KZ$3000,$C28,10+3*MIN(AB$3,$D$2-1)))))</f>
        <v/>
      </c>
      <c r="AC28" s="123">
        <f>IF(OR($C28="",$B$2="",$D$2=0),0,IF(AC$3&lt;0,0,N(INDEX('CURVA PREVISION'!$A$1:$KZ$3000,$C28,10+3*MIN(AC$3,$D$2-1)))))</f>
        <v/>
      </c>
      <c r="AD28" s="123">
        <f>IF(OR($C28="",$B$2="",$D$2=0),0,IF(AD$3&lt;0,0,N(INDEX('CURVA PREVISION'!$A$1:$KZ$3000,$C28,10+3*MIN(AD$3,$D$2-1)))))</f>
        <v/>
      </c>
      <c r="AE28" s="123">
        <f>IF(OR($C28="",$B$2="",$D$2=0),0,IF(AE$3&lt;0,0,N(INDEX('CURVA PREVISION'!$A$1:$KZ$3000,$C28,10+3*MIN(AE$3,$D$2-1)))))</f>
        <v/>
      </c>
      <c r="AF28" s="123">
        <f>IF(OR($C28="",$B$2="",$D$2=0),0,IF(AF$3&lt;0,0,N(INDEX('CURVA PREVISION'!$A$1:$KZ$3000,$C28,10+3*MIN(AF$3,$D$2-1)))))</f>
        <v/>
      </c>
      <c r="AG28" s="123">
        <f>IF(OR($C28="",$B$2="",$D$2=0),0,IF(AG$3&lt;0,0,N(INDEX('CURVA PREVISION'!$A$1:$KZ$3000,$C28,10+3*MIN(AG$3,$D$2-1)))))</f>
        <v/>
      </c>
      <c r="AH28" s="123">
        <f>IF(OR($C28="",$B$2="",$D$2=0),0,IF(AH$3&lt;0,0,N(INDEX('CURVA PREVISION'!$A$1:$KZ$3000,$C28,10+3*MIN(AH$3,$D$2-1)))))</f>
        <v/>
      </c>
      <c r="AI28" s="123">
        <f>IF(OR($C28="",$B$2="",$D$2=0),0,IF(AI$3&lt;0,0,N(INDEX('CURVA PREVISION'!$A$1:$KZ$3000,$C28,10+3*MIN(AI$3,$D$2-1)))))</f>
        <v/>
      </c>
      <c r="AJ28" s="123">
        <f>IF(OR($C28="",$B$2="",$D$2=0),0,IF(AJ$3&lt;0,0,N(INDEX('CURVA PREVISION'!$A$1:$KZ$3000,$C28,10+3*MIN(AJ$3,$D$2-1)))))</f>
        <v/>
      </c>
      <c r="AK28" s="123">
        <f>IF(OR($C28="",$B$2="",$D$2=0),0,IF(AK$3&lt;0,0,N(INDEX('CURVA PREVISION'!$A$1:$KZ$3000,$C28,10+3*MIN(AK$3,$D$2-1)))))</f>
        <v/>
      </c>
      <c r="AL28" s="123">
        <f>IF(OR($C28="",$B$2="",$D$2=0),0,IF(AL$3&lt;0,0,N(INDEX('CURVA PREVISION'!$A$1:$KZ$3000,$C28,10+3*MIN(AL$3,$D$2-1)))))</f>
        <v/>
      </c>
      <c r="AM28" s="123">
        <f>IF(OR($C28="",$B$2="",$D$2=0),0,IF(AM$3&lt;0,0,N(INDEX('CURVA PREVISION'!$A$1:$KZ$3000,$C28,10+3*MIN(AM$3,$D$2-1)))))</f>
        <v/>
      </c>
      <c r="AN28" s="123">
        <f>IF(OR($C28="",$B$2="",$D$2=0),0,IF(AN$3&lt;0,0,N(INDEX('CURVA PREVISION'!$A$1:$KZ$3000,$C28,10+3*MIN(AN$3,$D$2-1)))))</f>
        <v/>
      </c>
      <c r="AO28" s="123">
        <f>IF(OR($C28="",$B$2="",$D$2=0),0,IF(AO$3&lt;0,0,N(INDEX('CURVA PREVISION'!$A$1:$KZ$3000,$C28,10+3*MIN(AO$3,$D$2-1)))))</f>
        <v/>
      </c>
      <c r="AP28" s="123">
        <f>IF(OR($C28="",$B$2="",$D$2=0),0,IF(AP$3&lt;0,0,N(INDEX('CURVA PREVISION'!$A$1:$KZ$3000,$C28,10+3*MIN(AP$3,$D$2-1)))))</f>
        <v/>
      </c>
      <c r="AQ28" s="123">
        <f>IF(OR($C28="",$B$2="",$D$2=0),0,IF(AQ$3&lt;0,0,N(INDEX('CURVA PREVISION'!$A$1:$KZ$3000,$C28,10+3*MIN(AQ$3,$D$2-1)))))</f>
        <v/>
      </c>
      <c r="AR28" s="123">
        <f>IF(OR($C28="",$B$2="",$D$2=0),0,IF(AR$3&lt;0,0,N(INDEX('CURVA PREVISION'!$A$1:$KZ$3000,$C28,10+3*MIN(AR$3,$D$2-1)))))</f>
        <v/>
      </c>
      <c r="AS28" s="123">
        <f>IF(OR($C28="",$B$2="",$D$2=0),0,IF(AS$3&lt;0,0,N(INDEX('CURVA PREVISION'!$A$1:$KZ$3000,$C28,10+3*MIN(AS$3,$D$2-1)))))</f>
        <v/>
      </c>
      <c r="AT28" s="123">
        <f>IF(OR($C28="",$B$2="",$D$2=0),0,IF(AT$3&lt;0,0,N(INDEX('CURVA PREVISION'!$A$1:$KZ$3000,$C28,10+3*MIN(AT$3,$D$2-1)))))</f>
        <v/>
      </c>
      <c r="AU28" s="123">
        <f>IF(OR($C28="",$B$2="",$D$2=0),0,IF(AU$3&lt;0,0,N(INDEX('CURVA PREVISION'!$A$1:$KZ$3000,$C28,10+3*MIN(AU$3,$D$2-1)))))</f>
        <v/>
      </c>
      <c r="AV28" s="123">
        <f>IF(OR($C28="",$B$2="",$D$2=0),0,IF(AV$3&lt;0,0,N(INDEX('CURVA PREVISION'!$A$1:$KZ$3000,$C28,10+3*MIN(AV$3,$D$2-1)))))</f>
        <v/>
      </c>
      <c r="AW28" s="123">
        <f>IF(OR($C28="",$B$2="",$D$2=0),0,IF(AW$3&lt;0,0,N(INDEX('CURVA PREVISION'!$A$1:$KZ$3000,$C28,10+3*MIN(AW$3,$D$2-1)))))</f>
        <v/>
      </c>
      <c r="AX28" s="123">
        <f>IF(OR($C28="",$B$2="",$D$2=0),0,IF(AX$3&lt;0,0,N(INDEX('CURVA PREVISION'!$A$1:$KZ$3000,$C28,10+3*MIN(AX$3,$D$2-1)))))</f>
        <v/>
      </c>
      <c r="AY28" s="123">
        <f>IF(OR($C28="",$B$2="",$D$2=0),0,IF(AY$3&lt;0,0,N(INDEX('CURVA PREVISION'!$A$1:$KZ$3000,$C28,10+3*MIN(AY$3,$D$2-1)))))</f>
        <v/>
      </c>
      <c r="AZ28" s="123">
        <f>IF(OR($C28="",$B$2="",$D$2=0),0,IF(AZ$3&lt;0,0,N(INDEX('CURVA PREVISION'!$A$1:$KZ$3000,$C28,10+3*MIN(AZ$3,$D$2-1)))))</f>
        <v/>
      </c>
      <c r="BA28" s="123">
        <f>IF(OR($C28="",$B$2="",$D$2=0),0,IF(BA$3&lt;0,0,N(INDEX('CURVA PREVISION'!$A$1:$KZ$3000,$C28,10+3*MIN(BA$3,$D$2-1)))))</f>
        <v/>
      </c>
      <c r="BB28" s="123">
        <f>IF(OR($C28="",$B$2="",$D$2=0),0,IF(BB$3&lt;0,0,N(INDEX('CURVA PREVISION'!$A$1:$KZ$3000,$C28,10+3*MIN(BB$3,$D$2-1)))))</f>
        <v/>
      </c>
      <c r="BC28" s="123">
        <f>IF(OR($C28="",$B$2="",$D$2=0),0,IF(BC$3&lt;0,0,N(INDEX('CURVA PREVISION'!$A$1:$KZ$3000,$C28,10+3*MIN(BC$3,$D$2-1)))))</f>
        <v/>
      </c>
      <c r="BD28" s="123">
        <f>IF(OR($C28="",$B$2="",$D$2=0),0,IF(BD$3&lt;0,0,N(INDEX('CURVA PREVISION'!$A$1:$KZ$3000,$C28,10+3*MIN(BD$3,$D$2-1)))))</f>
        <v/>
      </c>
      <c r="BE28" s="123">
        <f>IF(OR($C28="",$B$2="",$D$2=0),0,IF(BE$3&lt;0,0,N(INDEX('CURVA PREVISION'!$A$1:$KZ$3000,$C28,10+3*MIN(BE$3,$D$2-1)))))</f>
        <v/>
      </c>
      <c r="BF28" s="123">
        <f>IF(OR($C28="",$B$2="",$D$2=0),0,IF(BF$3&lt;0,0,N(INDEX('CURVA PREVISION'!$A$1:$KZ$3000,$C28,10+3*MIN(BF$3,$D$2-1)))))</f>
        <v/>
      </c>
      <c r="BG28" s="123">
        <f>IF(OR($C28="",$B$2="",$D$2=0),0,IF(BG$3&lt;0,0,N(INDEX('CURVA PREVISION'!$A$1:$KZ$3000,$C28,10+3*MIN(BG$3,$D$2-1)))))</f>
        <v/>
      </c>
      <c r="BH28" s="123">
        <f>IF(OR($C28="",$B$2="",$D$2=0),0,IF(BH$3&lt;0,0,N(INDEX('CURVA PREVISION'!$A$1:$KZ$3000,$C28,10+3*MIN(BH$3,$D$2-1)))))</f>
        <v/>
      </c>
      <c r="BI28" s="123">
        <f>IF(OR($C28="",$B$2="",$D$2=0),0,IF(BI$3&lt;0,0,N(INDEX('CURVA PREVISION'!$A$1:$KZ$3000,$C28,10+3*MIN(BI$3,$D$2-1)))))</f>
        <v/>
      </c>
      <c r="BJ28" s="123">
        <f>IF(OR($C28="",$B$2="",$D$2=0),0,IF(BJ$3&lt;0,0,N(INDEX('CURVA PREVISION'!$A$1:$KZ$3000,$C28,10+3*MIN(BJ$3,$D$2-1)))))</f>
        <v/>
      </c>
      <c r="BK28" s="123">
        <f>IF(OR($C28="",$B$2="",$D$2=0),0,IF(BK$3&lt;0,0,N(INDEX('CURVA PREVISION'!$A$1:$KZ$3000,$C28,10+3*MIN(BK$3,$D$2-1)))))</f>
        <v/>
      </c>
      <c r="BL28" s="123">
        <f>IF(OR($C28="",$B$2="",$D$2=0),0,IF(BL$3&lt;0,0,N(INDEX('CURVA PREVISION'!$A$1:$KZ$3000,$C28,10+3*MIN(BL$3,$D$2-1)))))</f>
        <v/>
      </c>
      <c r="BM28" s="123">
        <f>IF(OR($C28="",$B$2="",$D$2=0),0,IF(BM$3&lt;0,0,N(INDEX('CURVA PREVISION'!$A$1:$KZ$3000,$C28,10+3*MIN(BM$3,$D$2-1)))))</f>
        <v/>
      </c>
      <c r="BN28" s="123">
        <f>IF(OR($C28="",$B$2="",$D$2=0),0,IF(BN$3&lt;0,0,N(INDEX('CURVA PREVISION'!$A$1:$KZ$3000,$C28,10+3*MIN(BN$3,$D$2-1)))))</f>
        <v/>
      </c>
      <c r="BO28" s="123">
        <f>IF(OR($C28="",$B$2="",$D$2=0),0,IF(BO$3&lt;0,0,N(INDEX('CURVA PREVISION'!$A$1:$KZ$3000,$C28,10+3*MIN(BO$3,$D$2-1)))))</f>
        <v/>
      </c>
      <c r="BP28" s="123">
        <f>IF(OR($C28="",$B$2="",$D$2=0),0,IF(BP$3&lt;0,0,N(INDEX('CURVA PREVISION'!$A$1:$KZ$3000,$C28,10+3*MIN(BP$3,$D$2-1)))))</f>
        <v/>
      </c>
      <c r="BQ28" s="123">
        <f>IF(OR($C28="",$B$2="",$D$2=0),0,IF(BQ$3&lt;0,0,N(INDEX('CURVA PREVISION'!$A$1:$KZ$3000,$C28,10+3*MIN(BQ$3,$D$2-1)))))</f>
        <v/>
      </c>
      <c r="BR28" s="123">
        <f>IF(OR($C28="",$B$2="",$D$2=0),0,IF(BR$3&lt;0,0,N(INDEX('CURVA PREVISION'!$A$1:$KZ$3000,$C28,10+3*MIN(BR$3,$D$2-1)))))</f>
        <v/>
      </c>
      <c r="BS28" s="123">
        <f>IF(OR($C28="",$B$2="",$D$2=0),0,IF(BS$3&lt;0,0,N(INDEX('CURVA PREVISION'!$A$1:$KZ$3000,$C28,10+3*MIN(BS$3,$D$2-1)))))</f>
        <v/>
      </c>
      <c r="BT28" s="123">
        <f>IF(OR($C28="",$B$2="",$D$2=0),0,IF(BT$3&lt;0,0,N(INDEX('CURVA PREVISION'!$A$1:$KZ$3000,$C28,10+3*MIN(BT$3,$D$2-1)))))</f>
        <v/>
      </c>
      <c r="BU28" s="123">
        <f>IF(OR($C28="",$B$2="",$D$2=0),0,IF(BU$3&lt;0,0,N(INDEX('CURVA PREVISION'!$A$1:$KZ$3000,$C28,10+3*MIN(BU$3,$D$2-1)))))</f>
        <v/>
      </c>
      <c r="BV28" s="123">
        <f>IF(OR($C28="",$B$2="",$D$2=0),0,IF(BV$3&lt;0,0,N(INDEX('CURVA PREVISION'!$A$1:$KZ$3000,$C28,10+3*MIN(BV$3,$D$2-1)))))</f>
        <v/>
      </c>
      <c r="BW28" s="123">
        <f>IF(OR($C28="",$B$2="",$D$2=0),0,IF(BW$3&lt;0,0,N(INDEX('CURVA PREVISION'!$A$1:$KZ$3000,$C28,10+3*MIN(BW$3,$D$2-1)))))</f>
        <v/>
      </c>
    </row>
    <row r="29">
      <c r="A29" s="61">
        <f>IF('VALOR POR PL'!R35&lt;&gt;"",'VALOR POR PL'!R35,IF('VALOR POR PL'!Q35="",'VALOR POR PL'!C35,'VALOR POR PL'!Q35))</f>
        <v/>
      </c>
      <c r="B29" s="61">
        <f>'VALOR POR PL'!D35</f>
        <v/>
      </c>
      <c r="C29" s="70">
        <f>IFERROR(MATCH(A29,'CURVA PREVISION'!$B$1:$B$3000,0),"")</f>
        <v/>
      </c>
      <c r="D29" s="123">
        <f>IF(OR($C29="",$B$2="",$D$2=0),0,IF(D$3&lt;0,0,N(INDEX('CURVA PREVISION'!$A$1:$KZ$3000,$C29,10+3*MIN(D$3,$D$2-1)))))</f>
        <v/>
      </c>
      <c r="E29" s="123">
        <f>IF(OR($C29="",$B$2="",$D$2=0),0,IF(E$3&lt;0,0,N(INDEX('CURVA PREVISION'!$A$1:$KZ$3000,$C29,10+3*MIN(E$3,$D$2-1)))))</f>
        <v/>
      </c>
      <c r="F29" s="123">
        <f>IF(OR($C29="",$B$2="",$D$2=0),0,IF(F$3&lt;0,0,N(INDEX('CURVA PREVISION'!$A$1:$KZ$3000,$C29,10+3*MIN(F$3,$D$2-1)))))</f>
        <v/>
      </c>
      <c r="G29" s="123">
        <f>IF(OR($C29="",$B$2="",$D$2=0),0,IF(G$3&lt;0,0,N(INDEX('CURVA PREVISION'!$A$1:$KZ$3000,$C29,10+3*MIN(G$3,$D$2-1)))))</f>
        <v/>
      </c>
      <c r="H29" s="123">
        <f>IF(OR($C29="",$B$2="",$D$2=0),0,IF(H$3&lt;0,0,N(INDEX('CURVA PREVISION'!$A$1:$KZ$3000,$C29,10+3*MIN(H$3,$D$2-1)))))</f>
        <v/>
      </c>
      <c r="I29" s="123">
        <f>IF(OR($C29="",$B$2="",$D$2=0),0,IF(I$3&lt;0,0,N(INDEX('CURVA PREVISION'!$A$1:$KZ$3000,$C29,10+3*MIN(I$3,$D$2-1)))))</f>
        <v/>
      </c>
      <c r="J29" s="123">
        <f>IF(OR($C29="",$B$2="",$D$2=0),0,IF(J$3&lt;0,0,N(INDEX('CURVA PREVISION'!$A$1:$KZ$3000,$C29,10+3*MIN(J$3,$D$2-1)))))</f>
        <v/>
      </c>
      <c r="K29" s="123">
        <f>IF(OR($C29="",$B$2="",$D$2=0),0,IF(K$3&lt;0,0,N(INDEX('CURVA PREVISION'!$A$1:$KZ$3000,$C29,10+3*MIN(K$3,$D$2-1)))))</f>
        <v/>
      </c>
      <c r="L29" s="123">
        <f>IF(OR($C29="",$B$2="",$D$2=0),0,IF(L$3&lt;0,0,N(INDEX('CURVA PREVISION'!$A$1:$KZ$3000,$C29,10+3*MIN(L$3,$D$2-1)))))</f>
        <v/>
      </c>
      <c r="M29" s="123">
        <f>IF(OR($C29="",$B$2="",$D$2=0),0,IF(M$3&lt;0,0,N(INDEX('CURVA PREVISION'!$A$1:$KZ$3000,$C29,10+3*MIN(M$3,$D$2-1)))))</f>
        <v/>
      </c>
      <c r="N29" s="123">
        <f>IF(OR($C29="",$B$2="",$D$2=0),0,IF(N$3&lt;0,0,N(INDEX('CURVA PREVISION'!$A$1:$KZ$3000,$C29,10+3*MIN(N$3,$D$2-1)))))</f>
        <v/>
      </c>
      <c r="O29" s="123">
        <f>IF(OR($C29="",$B$2="",$D$2=0),0,IF(O$3&lt;0,0,N(INDEX('CURVA PREVISION'!$A$1:$KZ$3000,$C29,10+3*MIN(O$3,$D$2-1)))))</f>
        <v/>
      </c>
      <c r="P29" s="123">
        <f>IF(OR($C29="",$B$2="",$D$2=0),0,IF(P$3&lt;0,0,N(INDEX('CURVA PREVISION'!$A$1:$KZ$3000,$C29,10+3*MIN(P$3,$D$2-1)))))</f>
        <v/>
      </c>
      <c r="Q29" s="123">
        <f>IF(OR($C29="",$B$2="",$D$2=0),0,IF(Q$3&lt;0,0,N(INDEX('CURVA PREVISION'!$A$1:$KZ$3000,$C29,10+3*MIN(Q$3,$D$2-1)))))</f>
        <v/>
      </c>
      <c r="R29" s="123">
        <f>IF(OR($C29="",$B$2="",$D$2=0),0,IF(R$3&lt;0,0,N(INDEX('CURVA PREVISION'!$A$1:$KZ$3000,$C29,10+3*MIN(R$3,$D$2-1)))))</f>
        <v/>
      </c>
      <c r="S29" s="123">
        <f>IF(OR($C29="",$B$2="",$D$2=0),0,IF(S$3&lt;0,0,N(INDEX('CURVA PREVISION'!$A$1:$KZ$3000,$C29,10+3*MIN(S$3,$D$2-1)))))</f>
        <v/>
      </c>
      <c r="T29" s="123">
        <f>IF(OR($C29="",$B$2="",$D$2=0),0,IF(T$3&lt;0,0,N(INDEX('CURVA PREVISION'!$A$1:$KZ$3000,$C29,10+3*MIN(T$3,$D$2-1)))))</f>
        <v/>
      </c>
      <c r="U29" s="123">
        <f>IF(OR($C29="",$B$2="",$D$2=0),0,IF(U$3&lt;0,0,N(INDEX('CURVA PREVISION'!$A$1:$KZ$3000,$C29,10+3*MIN(U$3,$D$2-1)))))</f>
        <v/>
      </c>
      <c r="V29" s="123">
        <f>IF(OR($C29="",$B$2="",$D$2=0),0,IF(V$3&lt;0,0,N(INDEX('CURVA PREVISION'!$A$1:$KZ$3000,$C29,10+3*MIN(V$3,$D$2-1)))))</f>
        <v/>
      </c>
      <c r="W29" s="123">
        <f>IF(OR($C29="",$B$2="",$D$2=0),0,IF(W$3&lt;0,0,N(INDEX('CURVA PREVISION'!$A$1:$KZ$3000,$C29,10+3*MIN(W$3,$D$2-1)))))</f>
        <v/>
      </c>
      <c r="X29" s="123">
        <f>IF(OR($C29="",$B$2="",$D$2=0),0,IF(X$3&lt;0,0,N(INDEX('CURVA PREVISION'!$A$1:$KZ$3000,$C29,10+3*MIN(X$3,$D$2-1)))))</f>
        <v/>
      </c>
      <c r="Y29" s="123">
        <f>IF(OR($C29="",$B$2="",$D$2=0),0,IF(Y$3&lt;0,0,N(INDEX('CURVA PREVISION'!$A$1:$KZ$3000,$C29,10+3*MIN(Y$3,$D$2-1)))))</f>
        <v/>
      </c>
      <c r="Z29" s="123">
        <f>IF(OR($C29="",$B$2="",$D$2=0),0,IF(Z$3&lt;0,0,N(INDEX('CURVA PREVISION'!$A$1:$KZ$3000,$C29,10+3*MIN(Z$3,$D$2-1)))))</f>
        <v/>
      </c>
      <c r="AA29" s="123">
        <f>IF(OR($C29="",$B$2="",$D$2=0),0,IF(AA$3&lt;0,0,N(INDEX('CURVA PREVISION'!$A$1:$KZ$3000,$C29,10+3*MIN(AA$3,$D$2-1)))))</f>
        <v/>
      </c>
      <c r="AB29" s="123">
        <f>IF(OR($C29="",$B$2="",$D$2=0),0,IF(AB$3&lt;0,0,N(INDEX('CURVA PREVISION'!$A$1:$KZ$3000,$C29,10+3*MIN(AB$3,$D$2-1)))))</f>
        <v/>
      </c>
      <c r="AC29" s="123">
        <f>IF(OR($C29="",$B$2="",$D$2=0),0,IF(AC$3&lt;0,0,N(INDEX('CURVA PREVISION'!$A$1:$KZ$3000,$C29,10+3*MIN(AC$3,$D$2-1)))))</f>
        <v/>
      </c>
      <c r="AD29" s="123">
        <f>IF(OR($C29="",$B$2="",$D$2=0),0,IF(AD$3&lt;0,0,N(INDEX('CURVA PREVISION'!$A$1:$KZ$3000,$C29,10+3*MIN(AD$3,$D$2-1)))))</f>
        <v/>
      </c>
      <c r="AE29" s="123">
        <f>IF(OR($C29="",$B$2="",$D$2=0),0,IF(AE$3&lt;0,0,N(INDEX('CURVA PREVISION'!$A$1:$KZ$3000,$C29,10+3*MIN(AE$3,$D$2-1)))))</f>
        <v/>
      </c>
      <c r="AF29" s="123">
        <f>IF(OR($C29="",$B$2="",$D$2=0),0,IF(AF$3&lt;0,0,N(INDEX('CURVA PREVISION'!$A$1:$KZ$3000,$C29,10+3*MIN(AF$3,$D$2-1)))))</f>
        <v/>
      </c>
      <c r="AG29" s="123">
        <f>IF(OR($C29="",$B$2="",$D$2=0),0,IF(AG$3&lt;0,0,N(INDEX('CURVA PREVISION'!$A$1:$KZ$3000,$C29,10+3*MIN(AG$3,$D$2-1)))))</f>
        <v/>
      </c>
      <c r="AH29" s="123">
        <f>IF(OR($C29="",$B$2="",$D$2=0),0,IF(AH$3&lt;0,0,N(INDEX('CURVA PREVISION'!$A$1:$KZ$3000,$C29,10+3*MIN(AH$3,$D$2-1)))))</f>
        <v/>
      </c>
      <c r="AI29" s="123">
        <f>IF(OR($C29="",$B$2="",$D$2=0),0,IF(AI$3&lt;0,0,N(INDEX('CURVA PREVISION'!$A$1:$KZ$3000,$C29,10+3*MIN(AI$3,$D$2-1)))))</f>
        <v/>
      </c>
      <c r="AJ29" s="123">
        <f>IF(OR($C29="",$B$2="",$D$2=0),0,IF(AJ$3&lt;0,0,N(INDEX('CURVA PREVISION'!$A$1:$KZ$3000,$C29,10+3*MIN(AJ$3,$D$2-1)))))</f>
        <v/>
      </c>
      <c r="AK29" s="123">
        <f>IF(OR($C29="",$B$2="",$D$2=0),0,IF(AK$3&lt;0,0,N(INDEX('CURVA PREVISION'!$A$1:$KZ$3000,$C29,10+3*MIN(AK$3,$D$2-1)))))</f>
        <v/>
      </c>
      <c r="AL29" s="123">
        <f>IF(OR($C29="",$B$2="",$D$2=0),0,IF(AL$3&lt;0,0,N(INDEX('CURVA PREVISION'!$A$1:$KZ$3000,$C29,10+3*MIN(AL$3,$D$2-1)))))</f>
        <v/>
      </c>
      <c r="AM29" s="123">
        <f>IF(OR($C29="",$B$2="",$D$2=0),0,IF(AM$3&lt;0,0,N(INDEX('CURVA PREVISION'!$A$1:$KZ$3000,$C29,10+3*MIN(AM$3,$D$2-1)))))</f>
        <v/>
      </c>
      <c r="AN29" s="123">
        <f>IF(OR($C29="",$B$2="",$D$2=0),0,IF(AN$3&lt;0,0,N(INDEX('CURVA PREVISION'!$A$1:$KZ$3000,$C29,10+3*MIN(AN$3,$D$2-1)))))</f>
        <v/>
      </c>
      <c r="AO29" s="123">
        <f>IF(OR($C29="",$B$2="",$D$2=0),0,IF(AO$3&lt;0,0,N(INDEX('CURVA PREVISION'!$A$1:$KZ$3000,$C29,10+3*MIN(AO$3,$D$2-1)))))</f>
        <v/>
      </c>
      <c r="AP29" s="123">
        <f>IF(OR($C29="",$B$2="",$D$2=0),0,IF(AP$3&lt;0,0,N(INDEX('CURVA PREVISION'!$A$1:$KZ$3000,$C29,10+3*MIN(AP$3,$D$2-1)))))</f>
        <v/>
      </c>
      <c r="AQ29" s="123">
        <f>IF(OR($C29="",$B$2="",$D$2=0),0,IF(AQ$3&lt;0,0,N(INDEX('CURVA PREVISION'!$A$1:$KZ$3000,$C29,10+3*MIN(AQ$3,$D$2-1)))))</f>
        <v/>
      </c>
      <c r="AR29" s="123">
        <f>IF(OR($C29="",$B$2="",$D$2=0),0,IF(AR$3&lt;0,0,N(INDEX('CURVA PREVISION'!$A$1:$KZ$3000,$C29,10+3*MIN(AR$3,$D$2-1)))))</f>
        <v/>
      </c>
      <c r="AS29" s="123">
        <f>IF(OR($C29="",$B$2="",$D$2=0),0,IF(AS$3&lt;0,0,N(INDEX('CURVA PREVISION'!$A$1:$KZ$3000,$C29,10+3*MIN(AS$3,$D$2-1)))))</f>
        <v/>
      </c>
      <c r="AT29" s="123">
        <f>IF(OR($C29="",$B$2="",$D$2=0),0,IF(AT$3&lt;0,0,N(INDEX('CURVA PREVISION'!$A$1:$KZ$3000,$C29,10+3*MIN(AT$3,$D$2-1)))))</f>
        <v/>
      </c>
      <c r="AU29" s="123">
        <f>IF(OR($C29="",$B$2="",$D$2=0),0,IF(AU$3&lt;0,0,N(INDEX('CURVA PREVISION'!$A$1:$KZ$3000,$C29,10+3*MIN(AU$3,$D$2-1)))))</f>
        <v/>
      </c>
      <c r="AV29" s="123">
        <f>IF(OR($C29="",$B$2="",$D$2=0),0,IF(AV$3&lt;0,0,N(INDEX('CURVA PREVISION'!$A$1:$KZ$3000,$C29,10+3*MIN(AV$3,$D$2-1)))))</f>
        <v/>
      </c>
      <c r="AW29" s="123">
        <f>IF(OR($C29="",$B$2="",$D$2=0),0,IF(AW$3&lt;0,0,N(INDEX('CURVA PREVISION'!$A$1:$KZ$3000,$C29,10+3*MIN(AW$3,$D$2-1)))))</f>
        <v/>
      </c>
      <c r="AX29" s="123">
        <f>IF(OR($C29="",$B$2="",$D$2=0),0,IF(AX$3&lt;0,0,N(INDEX('CURVA PREVISION'!$A$1:$KZ$3000,$C29,10+3*MIN(AX$3,$D$2-1)))))</f>
        <v/>
      </c>
      <c r="AY29" s="123">
        <f>IF(OR($C29="",$B$2="",$D$2=0),0,IF(AY$3&lt;0,0,N(INDEX('CURVA PREVISION'!$A$1:$KZ$3000,$C29,10+3*MIN(AY$3,$D$2-1)))))</f>
        <v/>
      </c>
      <c r="AZ29" s="123">
        <f>IF(OR($C29="",$B$2="",$D$2=0),0,IF(AZ$3&lt;0,0,N(INDEX('CURVA PREVISION'!$A$1:$KZ$3000,$C29,10+3*MIN(AZ$3,$D$2-1)))))</f>
        <v/>
      </c>
      <c r="BA29" s="123">
        <f>IF(OR($C29="",$B$2="",$D$2=0),0,IF(BA$3&lt;0,0,N(INDEX('CURVA PREVISION'!$A$1:$KZ$3000,$C29,10+3*MIN(BA$3,$D$2-1)))))</f>
        <v/>
      </c>
      <c r="BB29" s="123">
        <f>IF(OR($C29="",$B$2="",$D$2=0),0,IF(BB$3&lt;0,0,N(INDEX('CURVA PREVISION'!$A$1:$KZ$3000,$C29,10+3*MIN(BB$3,$D$2-1)))))</f>
        <v/>
      </c>
      <c r="BC29" s="123">
        <f>IF(OR($C29="",$B$2="",$D$2=0),0,IF(BC$3&lt;0,0,N(INDEX('CURVA PREVISION'!$A$1:$KZ$3000,$C29,10+3*MIN(BC$3,$D$2-1)))))</f>
        <v/>
      </c>
      <c r="BD29" s="123">
        <f>IF(OR($C29="",$B$2="",$D$2=0),0,IF(BD$3&lt;0,0,N(INDEX('CURVA PREVISION'!$A$1:$KZ$3000,$C29,10+3*MIN(BD$3,$D$2-1)))))</f>
        <v/>
      </c>
      <c r="BE29" s="123">
        <f>IF(OR($C29="",$B$2="",$D$2=0),0,IF(BE$3&lt;0,0,N(INDEX('CURVA PREVISION'!$A$1:$KZ$3000,$C29,10+3*MIN(BE$3,$D$2-1)))))</f>
        <v/>
      </c>
      <c r="BF29" s="123">
        <f>IF(OR($C29="",$B$2="",$D$2=0),0,IF(BF$3&lt;0,0,N(INDEX('CURVA PREVISION'!$A$1:$KZ$3000,$C29,10+3*MIN(BF$3,$D$2-1)))))</f>
        <v/>
      </c>
      <c r="BG29" s="123">
        <f>IF(OR($C29="",$B$2="",$D$2=0),0,IF(BG$3&lt;0,0,N(INDEX('CURVA PREVISION'!$A$1:$KZ$3000,$C29,10+3*MIN(BG$3,$D$2-1)))))</f>
        <v/>
      </c>
      <c r="BH29" s="123">
        <f>IF(OR($C29="",$B$2="",$D$2=0),0,IF(BH$3&lt;0,0,N(INDEX('CURVA PREVISION'!$A$1:$KZ$3000,$C29,10+3*MIN(BH$3,$D$2-1)))))</f>
        <v/>
      </c>
      <c r="BI29" s="123">
        <f>IF(OR($C29="",$B$2="",$D$2=0),0,IF(BI$3&lt;0,0,N(INDEX('CURVA PREVISION'!$A$1:$KZ$3000,$C29,10+3*MIN(BI$3,$D$2-1)))))</f>
        <v/>
      </c>
      <c r="BJ29" s="123">
        <f>IF(OR($C29="",$B$2="",$D$2=0),0,IF(BJ$3&lt;0,0,N(INDEX('CURVA PREVISION'!$A$1:$KZ$3000,$C29,10+3*MIN(BJ$3,$D$2-1)))))</f>
        <v/>
      </c>
      <c r="BK29" s="123">
        <f>IF(OR($C29="",$B$2="",$D$2=0),0,IF(BK$3&lt;0,0,N(INDEX('CURVA PREVISION'!$A$1:$KZ$3000,$C29,10+3*MIN(BK$3,$D$2-1)))))</f>
        <v/>
      </c>
      <c r="BL29" s="123">
        <f>IF(OR($C29="",$B$2="",$D$2=0),0,IF(BL$3&lt;0,0,N(INDEX('CURVA PREVISION'!$A$1:$KZ$3000,$C29,10+3*MIN(BL$3,$D$2-1)))))</f>
        <v/>
      </c>
      <c r="BM29" s="123">
        <f>IF(OR($C29="",$B$2="",$D$2=0),0,IF(BM$3&lt;0,0,N(INDEX('CURVA PREVISION'!$A$1:$KZ$3000,$C29,10+3*MIN(BM$3,$D$2-1)))))</f>
        <v/>
      </c>
      <c r="BN29" s="123">
        <f>IF(OR($C29="",$B$2="",$D$2=0),0,IF(BN$3&lt;0,0,N(INDEX('CURVA PREVISION'!$A$1:$KZ$3000,$C29,10+3*MIN(BN$3,$D$2-1)))))</f>
        <v/>
      </c>
      <c r="BO29" s="123">
        <f>IF(OR($C29="",$B$2="",$D$2=0),0,IF(BO$3&lt;0,0,N(INDEX('CURVA PREVISION'!$A$1:$KZ$3000,$C29,10+3*MIN(BO$3,$D$2-1)))))</f>
        <v/>
      </c>
      <c r="BP29" s="123">
        <f>IF(OR($C29="",$B$2="",$D$2=0),0,IF(BP$3&lt;0,0,N(INDEX('CURVA PREVISION'!$A$1:$KZ$3000,$C29,10+3*MIN(BP$3,$D$2-1)))))</f>
        <v/>
      </c>
      <c r="BQ29" s="123">
        <f>IF(OR($C29="",$B$2="",$D$2=0),0,IF(BQ$3&lt;0,0,N(INDEX('CURVA PREVISION'!$A$1:$KZ$3000,$C29,10+3*MIN(BQ$3,$D$2-1)))))</f>
        <v/>
      </c>
      <c r="BR29" s="123">
        <f>IF(OR($C29="",$B$2="",$D$2=0),0,IF(BR$3&lt;0,0,N(INDEX('CURVA PREVISION'!$A$1:$KZ$3000,$C29,10+3*MIN(BR$3,$D$2-1)))))</f>
        <v/>
      </c>
      <c r="BS29" s="123">
        <f>IF(OR($C29="",$B$2="",$D$2=0),0,IF(BS$3&lt;0,0,N(INDEX('CURVA PREVISION'!$A$1:$KZ$3000,$C29,10+3*MIN(BS$3,$D$2-1)))))</f>
        <v/>
      </c>
      <c r="BT29" s="123">
        <f>IF(OR($C29="",$B$2="",$D$2=0),0,IF(BT$3&lt;0,0,N(INDEX('CURVA PREVISION'!$A$1:$KZ$3000,$C29,10+3*MIN(BT$3,$D$2-1)))))</f>
        <v/>
      </c>
      <c r="BU29" s="123">
        <f>IF(OR($C29="",$B$2="",$D$2=0),0,IF(BU$3&lt;0,0,N(INDEX('CURVA PREVISION'!$A$1:$KZ$3000,$C29,10+3*MIN(BU$3,$D$2-1)))))</f>
        <v/>
      </c>
      <c r="BV29" s="123">
        <f>IF(OR($C29="",$B$2="",$D$2=0),0,IF(BV$3&lt;0,0,N(INDEX('CURVA PREVISION'!$A$1:$KZ$3000,$C29,10+3*MIN(BV$3,$D$2-1)))))</f>
        <v/>
      </c>
      <c r="BW29" s="123">
        <f>IF(OR($C29="",$B$2="",$D$2=0),0,IF(BW$3&lt;0,0,N(INDEX('CURVA PREVISION'!$A$1:$KZ$3000,$C29,10+3*MIN(BW$3,$D$2-1)))))</f>
        <v/>
      </c>
    </row>
    <row r="30">
      <c r="A30" s="61">
        <f>IF('VALOR POR PL'!R36&lt;&gt;"",'VALOR POR PL'!R36,IF('VALOR POR PL'!Q36="",'VALOR POR PL'!C36,'VALOR POR PL'!Q36))</f>
        <v/>
      </c>
      <c r="B30" s="61">
        <f>'VALOR POR PL'!D36</f>
        <v/>
      </c>
      <c r="C30" s="70">
        <f>IFERROR(MATCH(A30,'CURVA PREVISION'!$B$1:$B$3000,0),"")</f>
        <v/>
      </c>
      <c r="D30" s="123">
        <f>IF(OR($C30="",$B$2="",$D$2=0),0,IF(D$3&lt;0,0,N(INDEX('CURVA PREVISION'!$A$1:$KZ$3000,$C30,10+3*MIN(D$3,$D$2-1)))))</f>
        <v/>
      </c>
      <c r="E30" s="123">
        <f>IF(OR($C30="",$B$2="",$D$2=0),0,IF(E$3&lt;0,0,N(INDEX('CURVA PREVISION'!$A$1:$KZ$3000,$C30,10+3*MIN(E$3,$D$2-1)))))</f>
        <v/>
      </c>
      <c r="F30" s="123">
        <f>IF(OR($C30="",$B$2="",$D$2=0),0,IF(F$3&lt;0,0,N(INDEX('CURVA PREVISION'!$A$1:$KZ$3000,$C30,10+3*MIN(F$3,$D$2-1)))))</f>
        <v/>
      </c>
      <c r="G30" s="123">
        <f>IF(OR($C30="",$B$2="",$D$2=0),0,IF(G$3&lt;0,0,N(INDEX('CURVA PREVISION'!$A$1:$KZ$3000,$C30,10+3*MIN(G$3,$D$2-1)))))</f>
        <v/>
      </c>
      <c r="H30" s="123">
        <f>IF(OR($C30="",$B$2="",$D$2=0),0,IF(H$3&lt;0,0,N(INDEX('CURVA PREVISION'!$A$1:$KZ$3000,$C30,10+3*MIN(H$3,$D$2-1)))))</f>
        <v/>
      </c>
      <c r="I30" s="123">
        <f>IF(OR($C30="",$B$2="",$D$2=0),0,IF(I$3&lt;0,0,N(INDEX('CURVA PREVISION'!$A$1:$KZ$3000,$C30,10+3*MIN(I$3,$D$2-1)))))</f>
        <v/>
      </c>
      <c r="J30" s="123">
        <f>IF(OR($C30="",$B$2="",$D$2=0),0,IF(J$3&lt;0,0,N(INDEX('CURVA PREVISION'!$A$1:$KZ$3000,$C30,10+3*MIN(J$3,$D$2-1)))))</f>
        <v/>
      </c>
      <c r="K30" s="123">
        <f>IF(OR($C30="",$B$2="",$D$2=0),0,IF(K$3&lt;0,0,N(INDEX('CURVA PREVISION'!$A$1:$KZ$3000,$C30,10+3*MIN(K$3,$D$2-1)))))</f>
        <v/>
      </c>
      <c r="L30" s="123">
        <f>IF(OR($C30="",$B$2="",$D$2=0),0,IF(L$3&lt;0,0,N(INDEX('CURVA PREVISION'!$A$1:$KZ$3000,$C30,10+3*MIN(L$3,$D$2-1)))))</f>
        <v/>
      </c>
      <c r="M30" s="123">
        <f>IF(OR($C30="",$B$2="",$D$2=0),0,IF(M$3&lt;0,0,N(INDEX('CURVA PREVISION'!$A$1:$KZ$3000,$C30,10+3*MIN(M$3,$D$2-1)))))</f>
        <v/>
      </c>
      <c r="N30" s="123">
        <f>IF(OR($C30="",$B$2="",$D$2=0),0,IF(N$3&lt;0,0,N(INDEX('CURVA PREVISION'!$A$1:$KZ$3000,$C30,10+3*MIN(N$3,$D$2-1)))))</f>
        <v/>
      </c>
      <c r="O30" s="123">
        <f>IF(OR($C30="",$B$2="",$D$2=0),0,IF(O$3&lt;0,0,N(INDEX('CURVA PREVISION'!$A$1:$KZ$3000,$C30,10+3*MIN(O$3,$D$2-1)))))</f>
        <v/>
      </c>
      <c r="P30" s="123">
        <f>IF(OR($C30="",$B$2="",$D$2=0),0,IF(P$3&lt;0,0,N(INDEX('CURVA PREVISION'!$A$1:$KZ$3000,$C30,10+3*MIN(P$3,$D$2-1)))))</f>
        <v/>
      </c>
      <c r="Q30" s="123">
        <f>IF(OR($C30="",$B$2="",$D$2=0),0,IF(Q$3&lt;0,0,N(INDEX('CURVA PREVISION'!$A$1:$KZ$3000,$C30,10+3*MIN(Q$3,$D$2-1)))))</f>
        <v/>
      </c>
      <c r="R30" s="123">
        <f>IF(OR($C30="",$B$2="",$D$2=0),0,IF(R$3&lt;0,0,N(INDEX('CURVA PREVISION'!$A$1:$KZ$3000,$C30,10+3*MIN(R$3,$D$2-1)))))</f>
        <v/>
      </c>
      <c r="S30" s="123">
        <f>IF(OR($C30="",$B$2="",$D$2=0),0,IF(S$3&lt;0,0,N(INDEX('CURVA PREVISION'!$A$1:$KZ$3000,$C30,10+3*MIN(S$3,$D$2-1)))))</f>
        <v/>
      </c>
      <c r="T30" s="123">
        <f>IF(OR($C30="",$B$2="",$D$2=0),0,IF(T$3&lt;0,0,N(INDEX('CURVA PREVISION'!$A$1:$KZ$3000,$C30,10+3*MIN(T$3,$D$2-1)))))</f>
        <v/>
      </c>
      <c r="U30" s="123">
        <f>IF(OR($C30="",$B$2="",$D$2=0),0,IF(U$3&lt;0,0,N(INDEX('CURVA PREVISION'!$A$1:$KZ$3000,$C30,10+3*MIN(U$3,$D$2-1)))))</f>
        <v/>
      </c>
      <c r="V30" s="123">
        <f>IF(OR($C30="",$B$2="",$D$2=0),0,IF(V$3&lt;0,0,N(INDEX('CURVA PREVISION'!$A$1:$KZ$3000,$C30,10+3*MIN(V$3,$D$2-1)))))</f>
        <v/>
      </c>
      <c r="W30" s="123">
        <f>IF(OR($C30="",$B$2="",$D$2=0),0,IF(W$3&lt;0,0,N(INDEX('CURVA PREVISION'!$A$1:$KZ$3000,$C30,10+3*MIN(W$3,$D$2-1)))))</f>
        <v/>
      </c>
      <c r="X30" s="123">
        <f>IF(OR($C30="",$B$2="",$D$2=0),0,IF(X$3&lt;0,0,N(INDEX('CURVA PREVISION'!$A$1:$KZ$3000,$C30,10+3*MIN(X$3,$D$2-1)))))</f>
        <v/>
      </c>
      <c r="Y30" s="123">
        <f>IF(OR($C30="",$B$2="",$D$2=0),0,IF(Y$3&lt;0,0,N(INDEX('CURVA PREVISION'!$A$1:$KZ$3000,$C30,10+3*MIN(Y$3,$D$2-1)))))</f>
        <v/>
      </c>
      <c r="Z30" s="123">
        <f>IF(OR($C30="",$B$2="",$D$2=0),0,IF(Z$3&lt;0,0,N(INDEX('CURVA PREVISION'!$A$1:$KZ$3000,$C30,10+3*MIN(Z$3,$D$2-1)))))</f>
        <v/>
      </c>
      <c r="AA30" s="123">
        <f>IF(OR($C30="",$B$2="",$D$2=0),0,IF(AA$3&lt;0,0,N(INDEX('CURVA PREVISION'!$A$1:$KZ$3000,$C30,10+3*MIN(AA$3,$D$2-1)))))</f>
        <v/>
      </c>
      <c r="AB30" s="123">
        <f>IF(OR($C30="",$B$2="",$D$2=0),0,IF(AB$3&lt;0,0,N(INDEX('CURVA PREVISION'!$A$1:$KZ$3000,$C30,10+3*MIN(AB$3,$D$2-1)))))</f>
        <v/>
      </c>
      <c r="AC30" s="123">
        <f>IF(OR($C30="",$B$2="",$D$2=0),0,IF(AC$3&lt;0,0,N(INDEX('CURVA PREVISION'!$A$1:$KZ$3000,$C30,10+3*MIN(AC$3,$D$2-1)))))</f>
        <v/>
      </c>
      <c r="AD30" s="123">
        <f>IF(OR($C30="",$B$2="",$D$2=0),0,IF(AD$3&lt;0,0,N(INDEX('CURVA PREVISION'!$A$1:$KZ$3000,$C30,10+3*MIN(AD$3,$D$2-1)))))</f>
        <v/>
      </c>
      <c r="AE30" s="123">
        <f>IF(OR($C30="",$B$2="",$D$2=0),0,IF(AE$3&lt;0,0,N(INDEX('CURVA PREVISION'!$A$1:$KZ$3000,$C30,10+3*MIN(AE$3,$D$2-1)))))</f>
        <v/>
      </c>
      <c r="AF30" s="123">
        <f>IF(OR($C30="",$B$2="",$D$2=0),0,IF(AF$3&lt;0,0,N(INDEX('CURVA PREVISION'!$A$1:$KZ$3000,$C30,10+3*MIN(AF$3,$D$2-1)))))</f>
        <v/>
      </c>
      <c r="AG30" s="123">
        <f>IF(OR($C30="",$B$2="",$D$2=0),0,IF(AG$3&lt;0,0,N(INDEX('CURVA PREVISION'!$A$1:$KZ$3000,$C30,10+3*MIN(AG$3,$D$2-1)))))</f>
        <v/>
      </c>
      <c r="AH30" s="123">
        <f>IF(OR($C30="",$B$2="",$D$2=0),0,IF(AH$3&lt;0,0,N(INDEX('CURVA PREVISION'!$A$1:$KZ$3000,$C30,10+3*MIN(AH$3,$D$2-1)))))</f>
        <v/>
      </c>
      <c r="AI30" s="123">
        <f>IF(OR($C30="",$B$2="",$D$2=0),0,IF(AI$3&lt;0,0,N(INDEX('CURVA PREVISION'!$A$1:$KZ$3000,$C30,10+3*MIN(AI$3,$D$2-1)))))</f>
        <v/>
      </c>
      <c r="AJ30" s="123">
        <f>IF(OR($C30="",$B$2="",$D$2=0),0,IF(AJ$3&lt;0,0,N(INDEX('CURVA PREVISION'!$A$1:$KZ$3000,$C30,10+3*MIN(AJ$3,$D$2-1)))))</f>
        <v/>
      </c>
      <c r="AK30" s="123">
        <f>IF(OR($C30="",$B$2="",$D$2=0),0,IF(AK$3&lt;0,0,N(INDEX('CURVA PREVISION'!$A$1:$KZ$3000,$C30,10+3*MIN(AK$3,$D$2-1)))))</f>
        <v/>
      </c>
      <c r="AL30" s="123">
        <f>IF(OR($C30="",$B$2="",$D$2=0),0,IF(AL$3&lt;0,0,N(INDEX('CURVA PREVISION'!$A$1:$KZ$3000,$C30,10+3*MIN(AL$3,$D$2-1)))))</f>
        <v/>
      </c>
      <c r="AM30" s="123">
        <f>IF(OR($C30="",$B$2="",$D$2=0),0,IF(AM$3&lt;0,0,N(INDEX('CURVA PREVISION'!$A$1:$KZ$3000,$C30,10+3*MIN(AM$3,$D$2-1)))))</f>
        <v/>
      </c>
      <c r="AN30" s="123">
        <f>IF(OR($C30="",$B$2="",$D$2=0),0,IF(AN$3&lt;0,0,N(INDEX('CURVA PREVISION'!$A$1:$KZ$3000,$C30,10+3*MIN(AN$3,$D$2-1)))))</f>
        <v/>
      </c>
      <c r="AO30" s="123">
        <f>IF(OR($C30="",$B$2="",$D$2=0),0,IF(AO$3&lt;0,0,N(INDEX('CURVA PREVISION'!$A$1:$KZ$3000,$C30,10+3*MIN(AO$3,$D$2-1)))))</f>
        <v/>
      </c>
      <c r="AP30" s="123">
        <f>IF(OR($C30="",$B$2="",$D$2=0),0,IF(AP$3&lt;0,0,N(INDEX('CURVA PREVISION'!$A$1:$KZ$3000,$C30,10+3*MIN(AP$3,$D$2-1)))))</f>
        <v/>
      </c>
      <c r="AQ30" s="123">
        <f>IF(OR($C30="",$B$2="",$D$2=0),0,IF(AQ$3&lt;0,0,N(INDEX('CURVA PREVISION'!$A$1:$KZ$3000,$C30,10+3*MIN(AQ$3,$D$2-1)))))</f>
        <v/>
      </c>
      <c r="AR30" s="123">
        <f>IF(OR($C30="",$B$2="",$D$2=0),0,IF(AR$3&lt;0,0,N(INDEX('CURVA PREVISION'!$A$1:$KZ$3000,$C30,10+3*MIN(AR$3,$D$2-1)))))</f>
        <v/>
      </c>
      <c r="AS30" s="123">
        <f>IF(OR($C30="",$B$2="",$D$2=0),0,IF(AS$3&lt;0,0,N(INDEX('CURVA PREVISION'!$A$1:$KZ$3000,$C30,10+3*MIN(AS$3,$D$2-1)))))</f>
        <v/>
      </c>
      <c r="AT30" s="123">
        <f>IF(OR($C30="",$B$2="",$D$2=0),0,IF(AT$3&lt;0,0,N(INDEX('CURVA PREVISION'!$A$1:$KZ$3000,$C30,10+3*MIN(AT$3,$D$2-1)))))</f>
        <v/>
      </c>
      <c r="AU30" s="123">
        <f>IF(OR($C30="",$B$2="",$D$2=0),0,IF(AU$3&lt;0,0,N(INDEX('CURVA PREVISION'!$A$1:$KZ$3000,$C30,10+3*MIN(AU$3,$D$2-1)))))</f>
        <v/>
      </c>
      <c r="AV30" s="123">
        <f>IF(OR($C30="",$B$2="",$D$2=0),0,IF(AV$3&lt;0,0,N(INDEX('CURVA PREVISION'!$A$1:$KZ$3000,$C30,10+3*MIN(AV$3,$D$2-1)))))</f>
        <v/>
      </c>
      <c r="AW30" s="123">
        <f>IF(OR($C30="",$B$2="",$D$2=0),0,IF(AW$3&lt;0,0,N(INDEX('CURVA PREVISION'!$A$1:$KZ$3000,$C30,10+3*MIN(AW$3,$D$2-1)))))</f>
        <v/>
      </c>
      <c r="AX30" s="123">
        <f>IF(OR($C30="",$B$2="",$D$2=0),0,IF(AX$3&lt;0,0,N(INDEX('CURVA PREVISION'!$A$1:$KZ$3000,$C30,10+3*MIN(AX$3,$D$2-1)))))</f>
        <v/>
      </c>
      <c r="AY30" s="123">
        <f>IF(OR($C30="",$B$2="",$D$2=0),0,IF(AY$3&lt;0,0,N(INDEX('CURVA PREVISION'!$A$1:$KZ$3000,$C30,10+3*MIN(AY$3,$D$2-1)))))</f>
        <v/>
      </c>
      <c r="AZ30" s="123">
        <f>IF(OR($C30="",$B$2="",$D$2=0),0,IF(AZ$3&lt;0,0,N(INDEX('CURVA PREVISION'!$A$1:$KZ$3000,$C30,10+3*MIN(AZ$3,$D$2-1)))))</f>
        <v/>
      </c>
      <c r="BA30" s="123">
        <f>IF(OR($C30="",$B$2="",$D$2=0),0,IF(BA$3&lt;0,0,N(INDEX('CURVA PREVISION'!$A$1:$KZ$3000,$C30,10+3*MIN(BA$3,$D$2-1)))))</f>
        <v/>
      </c>
      <c r="BB30" s="123">
        <f>IF(OR($C30="",$B$2="",$D$2=0),0,IF(BB$3&lt;0,0,N(INDEX('CURVA PREVISION'!$A$1:$KZ$3000,$C30,10+3*MIN(BB$3,$D$2-1)))))</f>
        <v/>
      </c>
      <c r="BC30" s="123">
        <f>IF(OR($C30="",$B$2="",$D$2=0),0,IF(BC$3&lt;0,0,N(INDEX('CURVA PREVISION'!$A$1:$KZ$3000,$C30,10+3*MIN(BC$3,$D$2-1)))))</f>
        <v/>
      </c>
      <c r="BD30" s="123">
        <f>IF(OR($C30="",$B$2="",$D$2=0),0,IF(BD$3&lt;0,0,N(INDEX('CURVA PREVISION'!$A$1:$KZ$3000,$C30,10+3*MIN(BD$3,$D$2-1)))))</f>
        <v/>
      </c>
      <c r="BE30" s="123">
        <f>IF(OR($C30="",$B$2="",$D$2=0),0,IF(BE$3&lt;0,0,N(INDEX('CURVA PREVISION'!$A$1:$KZ$3000,$C30,10+3*MIN(BE$3,$D$2-1)))))</f>
        <v/>
      </c>
      <c r="BF30" s="123">
        <f>IF(OR($C30="",$B$2="",$D$2=0),0,IF(BF$3&lt;0,0,N(INDEX('CURVA PREVISION'!$A$1:$KZ$3000,$C30,10+3*MIN(BF$3,$D$2-1)))))</f>
        <v/>
      </c>
      <c r="BG30" s="123">
        <f>IF(OR($C30="",$B$2="",$D$2=0),0,IF(BG$3&lt;0,0,N(INDEX('CURVA PREVISION'!$A$1:$KZ$3000,$C30,10+3*MIN(BG$3,$D$2-1)))))</f>
        <v/>
      </c>
      <c r="BH30" s="123">
        <f>IF(OR($C30="",$B$2="",$D$2=0),0,IF(BH$3&lt;0,0,N(INDEX('CURVA PREVISION'!$A$1:$KZ$3000,$C30,10+3*MIN(BH$3,$D$2-1)))))</f>
        <v/>
      </c>
      <c r="BI30" s="123">
        <f>IF(OR($C30="",$B$2="",$D$2=0),0,IF(BI$3&lt;0,0,N(INDEX('CURVA PREVISION'!$A$1:$KZ$3000,$C30,10+3*MIN(BI$3,$D$2-1)))))</f>
        <v/>
      </c>
      <c r="BJ30" s="123">
        <f>IF(OR($C30="",$B$2="",$D$2=0),0,IF(BJ$3&lt;0,0,N(INDEX('CURVA PREVISION'!$A$1:$KZ$3000,$C30,10+3*MIN(BJ$3,$D$2-1)))))</f>
        <v/>
      </c>
      <c r="BK30" s="123">
        <f>IF(OR($C30="",$B$2="",$D$2=0),0,IF(BK$3&lt;0,0,N(INDEX('CURVA PREVISION'!$A$1:$KZ$3000,$C30,10+3*MIN(BK$3,$D$2-1)))))</f>
        <v/>
      </c>
      <c r="BL30" s="123">
        <f>IF(OR($C30="",$B$2="",$D$2=0),0,IF(BL$3&lt;0,0,N(INDEX('CURVA PREVISION'!$A$1:$KZ$3000,$C30,10+3*MIN(BL$3,$D$2-1)))))</f>
        <v/>
      </c>
      <c r="BM30" s="123">
        <f>IF(OR($C30="",$B$2="",$D$2=0),0,IF(BM$3&lt;0,0,N(INDEX('CURVA PREVISION'!$A$1:$KZ$3000,$C30,10+3*MIN(BM$3,$D$2-1)))))</f>
        <v/>
      </c>
      <c r="BN30" s="123">
        <f>IF(OR($C30="",$B$2="",$D$2=0),0,IF(BN$3&lt;0,0,N(INDEX('CURVA PREVISION'!$A$1:$KZ$3000,$C30,10+3*MIN(BN$3,$D$2-1)))))</f>
        <v/>
      </c>
      <c r="BO30" s="123">
        <f>IF(OR($C30="",$B$2="",$D$2=0),0,IF(BO$3&lt;0,0,N(INDEX('CURVA PREVISION'!$A$1:$KZ$3000,$C30,10+3*MIN(BO$3,$D$2-1)))))</f>
        <v/>
      </c>
      <c r="BP30" s="123">
        <f>IF(OR($C30="",$B$2="",$D$2=0),0,IF(BP$3&lt;0,0,N(INDEX('CURVA PREVISION'!$A$1:$KZ$3000,$C30,10+3*MIN(BP$3,$D$2-1)))))</f>
        <v/>
      </c>
      <c r="BQ30" s="123">
        <f>IF(OR($C30="",$B$2="",$D$2=0),0,IF(BQ$3&lt;0,0,N(INDEX('CURVA PREVISION'!$A$1:$KZ$3000,$C30,10+3*MIN(BQ$3,$D$2-1)))))</f>
        <v/>
      </c>
      <c r="BR30" s="123">
        <f>IF(OR($C30="",$B$2="",$D$2=0),0,IF(BR$3&lt;0,0,N(INDEX('CURVA PREVISION'!$A$1:$KZ$3000,$C30,10+3*MIN(BR$3,$D$2-1)))))</f>
        <v/>
      </c>
      <c r="BS30" s="123">
        <f>IF(OR($C30="",$B$2="",$D$2=0),0,IF(BS$3&lt;0,0,N(INDEX('CURVA PREVISION'!$A$1:$KZ$3000,$C30,10+3*MIN(BS$3,$D$2-1)))))</f>
        <v/>
      </c>
      <c r="BT30" s="123">
        <f>IF(OR($C30="",$B$2="",$D$2=0),0,IF(BT$3&lt;0,0,N(INDEX('CURVA PREVISION'!$A$1:$KZ$3000,$C30,10+3*MIN(BT$3,$D$2-1)))))</f>
        <v/>
      </c>
      <c r="BU30" s="123">
        <f>IF(OR($C30="",$B$2="",$D$2=0),0,IF(BU$3&lt;0,0,N(INDEX('CURVA PREVISION'!$A$1:$KZ$3000,$C30,10+3*MIN(BU$3,$D$2-1)))))</f>
        <v/>
      </c>
      <c r="BV30" s="123">
        <f>IF(OR($C30="",$B$2="",$D$2=0),0,IF(BV$3&lt;0,0,N(INDEX('CURVA PREVISION'!$A$1:$KZ$3000,$C30,10+3*MIN(BV$3,$D$2-1)))))</f>
        <v/>
      </c>
      <c r="BW30" s="123">
        <f>IF(OR($C30="",$B$2="",$D$2=0),0,IF(BW$3&lt;0,0,N(INDEX('CURVA PREVISION'!$A$1:$KZ$3000,$C30,10+3*MIN(BW$3,$D$2-1)))))</f>
        <v/>
      </c>
    </row>
    <row r="31">
      <c r="A31" s="61">
        <f>IF('VALOR POR PL'!R37&lt;&gt;"",'VALOR POR PL'!R37,IF('VALOR POR PL'!Q37="",'VALOR POR PL'!C37,'VALOR POR PL'!Q37))</f>
        <v/>
      </c>
      <c r="B31" s="61">
        <f>'VALOR POR PL'!D37</f>
        <v/>
      </c>
      <c r="C31" s="70">
        <f>IFERROR(MATCH(A31,'CURVA PREVISION'!$B$1:$B$3000,0),"")</f>
        <v/>
      </c>
      <c r="D31" s="123">
        <f>IF(OR($C31="",$B$2="",$D$2=0),0,IF(D$3&lt;0,0,N(INDEX('CURVA PREVISION'!$A$1:$KZ$3000,$C31,10+3*MIN(D$3,$D$2-1)))))</f>
        <v/>
      </c>
      <c r="E31" s="123">
        <f>IF(OR($C31="",$B$2="",$D$2=0),0,IF(E$3&lt;0,0,N(INDEX('CURVA PREVISION'!$A$1:$KZ$3000,$C31,10+3*MIN(E$3,$D$2-1)))))</f>
        <v/>
      </c>
      <c r="F31" s="123">
        <f>IF(OR($C31="",$B$2="",$D$2=0),0,IF(F$3&lt;0,0,N(INDEX('CURVA PREVISION'!$A$1:$KZ$3000,$C31,10+3*MIN(F$3,$D$2-1)))))</f>
        <v/>
      </c>
      <c r="G31" s="123">
        <f>IF(OR($C31="",$B$2="",$D$2=0),0,IF(G$3&lt;0,0,N(INDEX('CURVA PREVISION'!$A$1:$KZ$3000,$C31,10+3*MIN(G$3,$D$2-1)))))</f>
        <v/>
      </c>
      <c r="H31" s="123">
        <f>IF(OR($C31="",$B$2="",$D$2=0),0,IF(H$3&lt;0,0,N(INDEX('CURVA PREVISION'!$A$1:$KZ$3000,$C31,10+3*MIN(H$3,$D$2-1)))))</f>
        <v/>
      </c>
      <c r="I31" s="123">
        <f>IF(OR($C31="",$B$2="",$D$2=0),0,IF(I$3&lt;0,0,N(INDEX('CURVA PREVISION'!$A$1:$KZ$3000,$C31,10+3*MIN(I$3,$D$2-1)))))</f>
        <v/>
      </c>
      <c r="J31" s="123">
        <f>IF(OR($C31="",$B$2="",$D$2=0),0,IF(J$3&lt;0,0,N(INDEX('CURVA PREVISION'!$A$1:$KZ$3000,$C31,10+3*MIN(J$3,$D$2-1)))))</f>
        <v/>
      </c>
      <c r="K31" s="123">
        <f>IF(OR($C31="",$B$2="",$D$2=0),0,IF(K$3&lt;0,0,N(INDEX('CURVA PREVISION'!$A$1:$KZ$3000,$C31,10+3*MIN(K$3,$D$2-1)))))</f>
        <v/>
      </c>
      <c r="L31" s="123">
        <f>IF(OR($C31="",$B$2="",$D$2=0),0,IF(L$3&lt;0,0,N(INDEX('CURVA PREVISION'!$A$1:$KZ$3000,$C31,10+3*MIN(L$3,$D$2-1)))))</f>
        <v/>
      </c>
      <c r="M31" s="123">
        <f>IF(OR($C31="",$B$2="",$D$2=0),0,IF(M$3&lt;0,0,N(INDEX('CURVA PREVISION'!$A$1:$KZ$3000,$C31,10+3*MIN(M$3,$D$2-1)))))</f>
        <v/>
      </c>
      <c r="N31" s="123">
        <f>IF(OR($C31="",$B$2="",$D$2=0),0,IF(N$3&lt;0,0,N(INDEX('CURVA PREVISION'!$A$1:$KZ$3000,$C31,10+3*MIN(N$3,$D$2-1)))))</f>
        <v/>
      </c>
      <c r="O31" s="123">
        <f>IF(OR($C31="",$B$2="",$D$2=0),0,IF(O$3&lt;0,0,N(INDEX('CURVA PREVISION'!$A$1:$KZ$3000,$C31,10+3*MIN(O$3,$D$2-1)))))</f>
        <v/>
      </c>
      <c r="P31" s="123">
        <f>IF(OR($C31="",$B$2="",$D$2=0),0,IF(P$3&lt;0,0,N(INDEX('CURVA PREVISION'!$A$1:$KZ$3000,$C31,10+3*MIN(P$3,$D$2-1)))))</f>
        <v/>
      </c>
      <c r="Q31" s="123">
        <f>IF(OR($C31="",$B$2="",$D$2=0),0,IF(Q$3&lt;0,0,N(INDEX('CURVA PREVISION'!$A$1:$KZ$3000,$C31,10+3*MIN(Q$3,$D$2-1)))))</f>
        <v/>
      </c>
      <c r="R31" s="123">
        <f>IF(OR($C31="",$B$2="",$D$2=0),0,IF(R$3&lt;0,0,N(INDEX('CURVA PREVISION'!$A$1:$KZ$3000,$C31,10+3*MIN(R$3,$D$2-1)))))</f>
        <v/>
      </c>
      <c r="S31" s="123">
        <f>IF(OR($C31="",$B$2="",$D$2=0),0,IF(S$3&lt;0,0,N(INDEX('CURVA PREVISION'!$A$1:$KZ$3000,$C31,10+3*MIN(S$3,$D$2-1)))))</f>
        <v/>
      </c>
      <c r="T31" s="123">
        <f>IF(OR($C31="",$B$2="",$D$2=0),0,IF(T$3&lt;0,0,N(INDEX('CURVA PREVISION'!$A$1:$KZ$3000,$C31,10+3*MIN(T$3,$D$2-1)))))</f>
        <v/>
      </c>
      <c r="U31" s="123">
        <f>IF(OR($C31="",$B$2="",$D$2=0),0,IF(U$3&lt;0,0,N(INDEX('CURVA PREVISION'!$A$1:$KZ$3000,$C31,10+3*MIN(U$3,$D$2-1)))))</f>
        <v/>
      </c>
      <c r="V31" s="123">
        <f>IF(OR($C31="",$B$2="",$D$2=0),0,IF(V$3&lt;0,0,N(INDEX('CURVA PREVISION'!$A$1:$KZ$3000,$C31,10+3*MIN(V$3,$D$2-1)))))</f>
        <v/>
      </c>
      <c r="W31" s="123">
        <f>IF(OR($C31="",$B$2="",$D$2=0),0,IF(W$3&lt;0,0,N(INDEX('CURVA PREVISION'!$A$1:$KZ$3000,$C31,10+3*MIN(W$3,$D$2-1)))))</f>
        <v/>
      </c>
      <c r="X31" s="123">
        <f>IF(OR($C31="",$B$2="",$D$2=0),0,IF(X$3&lt;0,0,N(INDEX('CURVA PREVISION'!$A$1:$KZ$3000,$C31,10+3*MIN(X$3,$D$2-1)))))</f>
        <v/>
      </c>
      <c r="Y31" s="123">
        <f>IF(OR($C31="",$B$2="",$D$2=0),0,IF(Y$3&lt;0,0,N(INDEX('CURVA PREVISION'!$A$1:$KZ$3000,$C31,10+3*MIN(Y$3,$D$2-1)))))</f>
        <v/>
      </c>
      <c r="Z31" s="123">
        <f>IF(OR($C31="",$B$2="",$D$2=0),0,IF(Z$3&lt;0,0,N(INDEX('CURVA PREVISION'!$A$1:$KZ$3000,$C31,10+3*MIN(Z$3,$D$2-1)))))</f>
        <v/>
      </c>
      <c r="AA31" s="123">
        <f>IF(OR($C31="",$B$2="",$D$2=0),0,IF(AA$3&lt;0,0,N(INDEX('CURVA PREVISION'!$A$1:$KZ$3000,$C31,10+3*MIN(AA$3,$D$2-1)))))</f>
        <v/>
      </c>
      <c r="AB31" s="123">
        <f>IF(OR($C31="",$B$2="",$D$2=0),0,IF(AB$3&lt;0,0,N(INDEX('CURVA PREVISION'!$A$1:$KZ$3000,$C31,10+3*MIN(AB$3,$D$2-1)))))</f>
        <v/>
      </c>
      <c r="AC31" s="123">
        <f>IF(OR($C31="",$B$2="",$D$2=0),0,IF(AC$3&lt;0,0,N(INDEX('CURVA PREVISION'!$A$1:$KZ$3000,$C31,10+3*MIN(AC$3,$D$2-1)))))</f>
        <v/>
      </c>
      <c r="AD31" s="123">
        <f>IF(OR($C31="",$B$2="",$D$2=0),0,IF(AD$3&lt;0,0,N(INDEX('CURVA PREVISION'!$A$1:$KZ$3000,$C31,10+3*MIN(AD$3,$D$2-1)))))</f>
        <v/>
      </c>
      <c r="AE31" s="123">
        <f>IF(OR($C31="",$B$2="",$D$2=0),0,IF(AE$3&lt;0,0,N(INDEX('CURVA PREVISION'!$A$1:$KZ$3000,$C31,10+3*MIN(AE$3,$D$2-1)))))</f>
        <v/>
      </c>
      <c r="AF31" s="123">
        <f>IF(OR($C31="",$B$2="",$D$2=0),0,IF(AF$3&lt;0,0,N(INDEX('CURVA PREVISION'!$A$1:$KZ$3000,$C31,10+3*MIN(AF$3,$D$2-1)))))</f>
        <v/>
      </c>
      <c r="AG31" s="123">
        <f>IF(OR($C31="",$B$2="",$D$2=0),0,IF(AG$3&lt;0,0,N(INDEX('CURVA PREVISION'!$A$1:$KZ$3000,$C31,10+3*MIN(AG$3,$D$2-1)))))</f>
        <v/>
      </c>
      <c r="AH31" s="123">
        <f>IF(OR($C31="",$B$2="",$D$2=0),0,IF(AH$3&lt;0,0,N(INDEX('CURVA PREVISION'!$A$1:$KZ$3000,$C31,10+3*MIN(AH$3,$D$2-1)))))</f>
        <v/>
      </c>
      <c r="AI31" s="123">
        <f>IF(OR($C31="",$B$2="",$D$2=0),0,IF(AI$3&lt;0,0,N(INDEX('CURVA PREVISION'!$A$1:$KZ$3000,$C31,10+3*MIN(AI$3,$D$2-1)))))</f>
        <v/>
      </c>
      <c r="AJ31" s="123">
        <f>IF(OR($C31="",$B$2="",$D$2=0),0,IF(AJ$3&lt;0,0,N(INDEX('CURVA PREVISION'!$A$1:$KZ$3000,$C31,10+3*MIN(AJ$3,$D$2-1)))))</f>
        <v/>
      </c>
      <c r="AK31" s="123">
        <f>IF(OR($C31="",$B$2="",$D$2=0),0,IF(AK$3&lt;0,0,N(INDEX('CURVA PREVISION'!$A$1:$KZ$3000,$C31,10+3*MIN(AK$3,$D$2-1)))))</f>
        <v/>
      </c>
      <c r="AL31" s="123">
        <f>IF(OR($C31="",$B$2="",$D$2=0),0,IF(AL$3&lt;0,0,N(INDEX('CURVA PREVISION'!$A$1:$KZ$3000,$C31,10+3*MIN(AL$3,$D$2-1)))))</f>
        <v/>
      </c>
      <c r="AM31" s="123">
        <f>IF(OR($C31="",$B$2="",$D$2=0),0,IF(AM$3&lt;0,0,N(INDEX('CURVA PREVISION'!$A$1:$KZ$3000,$C31,10+3*MIN(AM$3,$D$2-1)))))</f>
        <v/>
      </c>
      <c r="AN31" s="123">
        <f>IF(OR($C31="",$B$2="",$D$2=0),0,IF(AN$3&lt;0,0,N(INDEX('CURVA PREVISION'!$A$1:$KZ$3000,$C31,10+3*MIN(AN$3,$D$2-1)))))</f>
        <v/>
      </c>
      <c r="AO31" s="123">
        <f>IF(OR($C31="",$B$2="",$D$2=0),0,IF(AO$3&lt;0,0,N(INDEX('CURVA PREVISION'!$A$1:$KZ$3000,$C31,10+3*MIN(AO$3,$D$2-1)))))</f>
        <v/>
      </c>
      <c r="AP31" s="123">
        <f>IF(OR($C31="",$B$2="",$D$2=0),0,IF(AP$3&lt;0,0,N(INDEX('CURVA PREVISION'!$A$1:$KZ$3000,$C31,10+3*MIN(AP$3,$D$2-1)))))</f>
        <v/>
      </c>
      <c r="AQ31" s="123">
        <f>IF(OR($C31="",$B$2="",$D$2=0),0,IF(AQ$3&lt;0,0,N(INDEX('CURVA PREVISION'!$A$1:$KZ$3000,$C31,10+3*MIN(AQ$3,$D$2-1)))))</f>
        <v/>
      </c>
      <c r="AR31" s="123">
        <f>IF(OR($C31="",$B$2="",$D$2=0),0,IF(AR$3&lt;0,0,N(INDEX('CURVA PREVISION'!$A$1:$KZ$3000,$C31,10+3*MIN(AR$3,$D$2-1)))))</f>
        <v/>
      </c>
      <c r="AS31" s="123">
        <f>IF(OR($C31="",$B$2="",$D$2=0),0,IF(AS$3&lt;0,0,N(INDEX('CURVA PREVISION'!$A$1:$KZ$3000,$C31,10+3*MIN(AS$3,$D$2-1)))))</f>
        <v/>
      </c>
      <c r="AT31" s="123">
        <f>IF(OR($C31="",$B$2="",$D$2=0),0,IF(AT$3&lt;0,0,N(INDEX('CURVA PREVISION'!$A$1:$KZ$3000,$C31,10+3*MIN(AT$3,$D$2-1)))))</f>
        <v/>
      </c>
      <c r="AU31" s="123">
        <f>IF(OR($C31="",$B$2="",$D$2=0),0,IF(AU$3&lt;0,0,N(INDEX('CURVA PREVISION'!$A$1:$KZ$3000,$C31,10+3*MIN(AU$3,$D$2-1)))))</f>
        <v/>
      </c>
      <c r="AV31" s="123">
        <f>IF(OR($C31="",$B$2="",$D$2=0),0,IF(AV$3&lt;0,0,N(INDEX('CURVA PREVISION'!$A$1:$KZ$3000,$C31,10+3*MIN(AV$3,$D$2-1)))))</f>
        <v/>
      </c>
      <c r="AW31" s="123">
        <f>IF(OR($C31="",$B$2="",$D$2=0),0,IF(AW$3&lt;0,0,N(INDEX('CURVA PREVISION'!$A$1:$KZ$3000,$C31,10+3*MIN(AW$3,$D$2-1)))))</f>
        <v/>
      </c>
      <c r="AX31" s="123">
        <f>IF(OR($C31="",$B$2="",$D$2=0),0,IF(AX$3&lt;0,0,N(INDEX('CURVA PREVISION'!$A$1:$KZ$3000,$C31,10+3*MIN(AX$3,$D$2-1)))))</f>
        <v/>
      </c>
      <c r="AY31" s="123">
        <f>IF(OR($C31="",$B$2="",$D$2=0),0,IF(AY$3&lt;0,0,N(INDEX('CURVA PREVISION'!$A$1:$KZ$3000,$C31,10+3*MIN(AY$3,$D$2-1)))))</f>
        <v/>
      </c>
      <c r="AZ31" s="123">
        <f>IF(OR($C31="",$B$2="",$D$2=0),0,IF(AZ$3&lt;0,0,N(INDEX('CURVA PREVISION'!$A$1:$KZ$3000,$C31,10+3*MIN(AZ$3,$D$2-1)))))</f>
        <v/>
      </c>
      <c r="BA31" s="123">
        <f>IF(OR($C31="",$B$2="",$D$2=0),0,IF(BA$3&lt;0,0,N(INDEX('CURVA PREVISION'!$A$1:$KZ$3000,$C31,10+3*MIN(BA$3,$D$2-1)))))</f>
        <v/>
      </c>
      <c r="BB31" s="123">
        <f>IF(OR($C31="",$B$2="",$D$2=0),0,IF(BB$3&lt;0,0,N(INDEX('CURVA PREVISION'!$A$1:$KZ$3000,$C31,10+3*MIN(BB$3,$D$2-1)))))</f>
        <v/>
      </c>
      <c r="BC31" s="123">
        <f>IF(OR($C31="",$B$2="",$D$2=0),0,IF(BC$3&lt;0,0,N(INDEX('CURVA PREVISION'!$A$1:$KZ$3000,$C31,10+3*MIN(BC$3,$D$2-1)))))</f>
        <v/>
      </c>
      <c r="BD31" s="123">
        <f>IF(OR($C31="",$B$2="",$D$2=0),0,IF(BD$3&lt;0,0,N(INDEX('CURVA PREVISION'!$A$1:$KZ$3000,$C31,10+3*MIN(BD$3,$D$2-1)))))</f>
        <v/>
      </c>
      <c r="BE31" s="123">
        <f>IF(OR($C31="",$B$2="",$D$2=0),0,IF(BE$3&lt;0,0,N(INDEX('CURVA PREVISION'!$A$1:$KZ$3000,$C31,10+3*MIN(BE$3,$D$2-1)))))</f>
        <v/>
      </c>
      <c r="BF31" s="123">
        <f>IF(OR($C31="",$B$2="",$D$2=0),0,IF(BF$3&lt;0,0,N(INDEX('CURVA PREVISION'!$A$1:$KZ$3000,$C31,10+3*MIN(BF$3,$D$2-1)))))</f>
        <v/>
      </c>
      <c r="BG31" s="123">
        <f>IF(OR($C31="",$B$2="",$D$2=0),0,IF(BG$3&lt;0,0,N(INDEX('CURVA PREVISION'!$A$1:$KZ$3000,$C31,10+3*MIN(BG$3,$D$2-1)))))</f>
        <v/>
      </c>
      <c r="BH31" s="123">
        <f>IF(OR($C31="",$B$2="",$D$2=0),0,IF(BH$3&lt;0,0,N(INDEX('CURVA PREVISION'!$A$1:$KZ$3000,$C31,10+3*MIN(BH$3,$D$2-1)))))</f>
        <v/>
      </c>
      <c r="BI31" s="123">
        <f>IF(OR($C31="",$B$2="",$D$2=0),0,IF(BI$3&lt;0,0,N(INDEX('CURVA PREVISION'!$A$1:$KZ$3000,$C31,10+3*MIN(BI$3,$D$2-1)))))</f>
        <v/>
      </c>
      <c r="BJ31" s="123">
        <f>IF(OR($C31="",$B$2="",$D$2=0),0,IF(BJ$3&lt;0,0,N(INDEX('CURVA PREVISION'!$A$1:$KZ$3000,$C31,10+3*MIN(BJ$3,$D$2-1)))))</f>
        <v/>
      </c>
      <c r="BK31" s="123">
        <f>IF(OR($C31="",$B$2="",$D$2=0),0,IF(BK$3&lt;0,0,N(INDEX('CURVA PREVISION'!$A$1:$KZ$3000,$C31,10+3*MIN(BK$3,$D$2-1)))))</f>
        <v/>
      </c>
      <c r="BL31" s="123">
        <f>IF(OR($C31="",$B$2="",$D$2=0),0,IF(BL$3&lt;0,0,N(INDEX('CURVA PREVISION'!$A$1:$KZ$3000,$C31,10+3*MIN(BL$3,$D$2-1)))))</f>
        <v/>
      </c>
      <c r="BM31" s="123">
        <f>IF(OR($C31="",$B$2="",$D$2=0),0,IF(BM$3&lt;0,0,N(INDEX('CURVA PREVISION'!$A$1:$KZ$3000,$C31,10+3*MIN(BM$3,$D$2-1)))))</f>
        <v/>
      </c>
      <c r="BN31" s="123">
        <f>IF(OR($C31="",$B$2="",$D$2=0),0,IF(BN$3&lt;0,0,N(INDEX('CURVA PREVISION'!$A$1:$KZ$3000,$C31,10+3*MIN(BN$3,$D$2-1)))))</f>
        <v/>
      </c>
      <c r="BO31" s="123">
        <f>IF(OR($C31="",$B$2="",$D$2=0),0,IF(BO$3&lt;0,0,N(INDEX('CURVA PREVISION'!$A$1:$KZ$3000,$C31,10+3*MIN(BO$3,$D$2-1)))))</f>
        <v/>
      </c>
      <c r="BP31" s="123">
        <f>IF(OR($C31="",$B$2="",$D$2=0),0,IF(BP$3&lt;0,0,N(INDEX('CURVA PREVISION'!$A$1:$KZ$3000,$C31,10+3*MIN(BP$3,$D$2-1)))))</f>
        <v/>
      </c>
      <c r="BQ31" s="123">
        <f>IF(OR($C31="",$B$2="",$D$2=0),0,IF(BQ$3&lt;0,0,N(INDEX('CURVA PREVISION'!$A$1:$KZ$3000,$C31,10+3*MIN(BQ$3,$D$2-1)))))</f>
        <v/>
      </c>
      <c r="BR31" s="123">
        <f>IF(OR($C31="",$B$2="",$D$2=0),0,IF(BR$3&lt;0,0,N(INDEX('CURVA PREVISION'!$A$1:$KZ$3000,$C31,10+3*MIN(BR$3,$D$2-1)))))</f>
        <v/>
      </c>
      <c r="BS31" s="123">
        <f>IF(OR($C31="",$B$2="",$D$2=0),0,IF(BS$3&lt;0,0,N(INDEX('CURVA PREVISION'!$A$1:$KZ$3000,$C31,10+3*MIN(BS$3,$D$2-1)))))</f>
        <v/>
      </c>
      <c r="BT31" s="123">
        <f>IF(OR($C31="",$B$2="",$D$2=0),0,IF(BT$3&lt;0,0,N(INDEX('CURVA PREVISION'!$A$1:$KZ$3000,$C31,10+3*MIN(BT$3,$D$2-1)))))</f>
        <v/>
      </c>
      <c r="BU31" s="123">
        <f>IF(OR($C31="",$B$2="",$D$2=0),0,IF(BU$3&lt;0,0,N(INDEX('CURVA PREVISION'!$A$1:$KZ$3000,$C31,10+3*MIN(BU$3,$D$2-1)))))</f>
        <v/>
      </c>
      <c r="BV31" s="123">
        <f>IF(OR($C31="",$B$2="",$D$2=0),0,IF(BV$3&lt;0,0,N(INDEX('CURVA PREVISION'!$A$1:$KZ$3000,$C31,10+3*MIN(BV$3,$D$2-1)))))</f>
        <v/>
      </c>
      <c r="BW31" s="123">
        <f>IF(OR($C31="",$B$2="",$D$2=0),0,IF(BW$3&lt;0,0,N(INDEX('CURVA PREVISION'!$A$1:$KZ$3000,$C31,10+3*MIN(BW$3,$D$2-1)))))</f>
        <v/>
      </c>
    </row>
    <row r="32">
      <c r="A32" s="61">
        <f>IF('VALOR POR PL'!R38&lt;&gt;"",'VALOR POR PL'!R38,IF('VALOR POR PL'!Q38="",'VALOR POR PL'!C38,'VALOR POR PL'!Q38))</f>
        <v/>
      </c>
      <c r="B32" s="61">
        <f>'VALOR POR PL'!D38</f>
        <v/>
      </c>
      <c r="C32" s="70">
        <f>IFERROR(MATCH(A32,'CURVA PREVISION'!$B$1:$B$3000,0),"")</f>
        <v/>
      </c>
      <c r="D32" s="123">
        <f>IF(OR($C32="",$B$2="",$D$2=0),0,IF(D$3&lt;0,0,N(INDEX('CURVA PREVISION'!$A$1:$KZ$3000,$C32,10+3*MIN(D$3,$D$2-1)))))</f>
        <v/>
      </c>
      <c r="E32" s="123">
        <f>IF(OR($C32="",$B$2="",$D$2=0),0,IF(E$3&lt;0,0,N(INDEX('CURVA PREVISION'!$A$1:$KZ$3000,$C32,10+3*MIN(E$3,$D$2-1)))))</f>
        <v/>
      </c>
      <c r="F32" s="123">
        <f>IF(OR($C32="",$B$2="",$D$2=0),0,IF(F$3&lt;0,0,N(INDEX('CURVA PREVISION'!$A$1:$KZ$3000,$C32,10+3*MIN(F$3,$D$2-1)))))</f>
        <v/>
      </c>
      <c r="G32" s="123">
        <f>IF(OR($C32="",$B$2="",$D$2=0),0,IF(G$3&lt;0,0,N(INDEX('CURVA PREVISION'!$A$1:$KZ$3000,$C32,10+3*MIN(G$3,$D$2-1)))))</f>
        <v/>
      </c>
      <c r="H32" s="123">
        <f>IF(OR($C32="",$B$2="",$D$2=0),0,IF(H$3&lt;0,0,N(INDEX('CURVA PREVISION'!$A$1:$KZ$3000,$C32,10+3*MIN(H$3,$D$2-1)))))</f>
        <v/>
      </c>
      <c r="I32" s="123">
        <f>IF(OR($C32="",$B$2="",$D$2=0),0,IF(I$3&lt;0,0,N(INDEX('CURVA PREVISION'!$A$1:$KZ$3000,$C32,10+3*MIN(I$3,$D$2-1)))))</f>
        <v/>
      </c>
      <c r="J32" s="123">
        <f>IF(OR($C32="",$B$2="",$D$2=0),0,IF(J$3&lt;0,0,N(INDEX('CURVA PREVISION'!$A$1:$KZ$3000,$C32,10+3*MIN(J$3,$D$2-1)))))</f>
        <v/>
      </c>
      <c r="K32" s="123">
        <f>IF(OR($C32="",$B$2="",$D$2=0),0,IF(K$3&lt;0,0,N(INDEX('CURVA PREVISION'!$A$1:$KZ$3000,$C32,10+3*MIN(K$3,$D$2-1)))))</f>
        <v/>
      </c>
      <c r="L32" s="123">
        <f>IF(OR($C32="",$B$2="",$D$2=0),0,IF(L$3&lt;0,0,N(INDEX('CURVA PREVISION'!$A$1:$KZ$3000,$C32,10+3*MIN(L$3,$D$2-1)))))</f>
        <v/>
      </c>
      <c r="M32" s="123">
        <f>IF(OR($C32="",$B$2="",$D$2=0),0,IF(M$3&lt;0,0,N(INDEX('CURVA PREVISION'!$A$1:$KZ$3000,$C32,10+3*MIN(M$3,$D$2-1)))))</f>
        <v/>
      </c>
      <c r="N32" s="123">
        <f>IF(OR($C32="",$B$2="",$D$2=0),0,IF(N$3&lt;0,0,N(INDEX('CURVA PREVISION'!$A$1:$KZ$3000,$C32,10+3*MIN(N$3,$D$2-1)))))</f>
        <v/>
      </c>
      <c r="O32" s="123">
        <f>IF(OR($C32="",$B$2="",$D$2=0),0,IF(O$3&lt;0,0,N(INDEX('CURVA PREVISION'!$A$1:$KZ$3000,$C32,10+3*MIN(O$3,$D$2-1)))))</f>
        <v/>
      </c>
      <c r="P32" s="123">
        <f>IF(OR($C32="",$B$2="",$D$2=0),0,IF(P$3&lt;0,0,N(INDEX('CURVA PREVISION'!$A$1:$KZ$3000,$C32,10+3*MIN(P$3,$D$2-1)))))</f>
        <v/>
      </c>
      <c r="Q32" s="123">
        <f>IF(OR($C32="",$B$2="",$D$2=0),0,IF(Q$3&lt;0,0,N(INDEX('CURVA PREVISION'!$A$1:$KZ$3000,$C32,10+3*MIN(Q$3,$D$2-1)))))</f>
        <v/>
      </c>
      <c r="R32" s="123">
        <f>IF(OR($C32="",$B$2="",$D$2=0),0,IF(R$3&lt;0,0,N(INDEX('CURVA PREVISION'!$A$1:$KZ$3000,$C32,10+3*MIN(R$3,$D$2-1)))))</f>
        <v/>
      </c>
      <c r="S32" s="123">
        <f>IF(OR($C32="",$B$2="",$D$2=0),0,IF(S$3&lt;0,0,N(INDEX('CURVA PREVISION'!$A$1:$KZ$3000,$C32,10+3*MIN(S$3,$D$2-1)))))</f>
        <v/>
      </c>
      <c r="T32" s="123">
        <f>IF(OR($C32="",$B$2="",$D$2=0),0,IF(T$3&lt;0,0,N(INDEX('CURVA PREVISION'!$A$1:$KZ$3000,$C32,10+3*MIN(T$3,$D$2-1)))))</f>
        <v/>
      </c>
      <c r="U32" s="123">
        <f>IF(OR($C32="",$B$2="",$D$2=0),0,IF(U$3&lt;0,0,N(INDEX('CURVA PREVISION'!$A$1:$KZ$3000,$C32,10+3*MIN(U$3,$D$2-1)))))</f>
        <v/>
      </c>
      <c r="V32" s="123">
        <f>IF(OR($C32="",$B$2="",$D$2=0),0,IF(V$3&lt;0,0,N(INDEX('CURVA PREVISION'!$A$1:$KZ$3000,$C32,10+3*MIN(V$3,$D$2-1)))))</f>
        <v/>
      </c>
      <c r="W32" s="123">
        <f>IF(OR($C32="",$B$2="",$D$2=0),0,IF(W$3&lt;0,0,N(INDEX('CURVA PREVISION'!$A$1:$KZ$3000,$C32,10+3*MIN(W$3,$D$2-1)))))</f>
        <v/>
      </c>
      <c r="X32" s="123">
        <f>IF(OR($C32="",$B$2="",$D$2=0),0,IF(X$3&lt;0,0,N(INDEX('CURVA PREVISION'!$A$1:$KZ$3000,$C32,10+3*MIN(X$3,$D$2-1)))))</f>
        <v/>
      </c>
      <c r="Y32" s="123">
        <f>IF(OR($C32="",$B$2="",$D$2=0),0,IF(Y$3&lt;0,0,N(INDEX('CURVA PREVISION'!$A$1:$KZ$3000,$C32,10+3*MIN(Y$3,$D$2-1)))))</f>
        <v/>
      </c>
      <c r="Z32" s="123">
        <f>IF(OR($C32="",$B$2="",$D$2=0),0,IF(Z$3&lt;0,0,N(INDEX('CURVA PREVISION'!$A$1:$KZ$3000,$C32,10+3*MIN(Z$3,$D$2-1)))))</f>
        <v/>
      </c>
      <c r="AA32" s="123">
        <f>IF(OR($C32="",$B$2="",$D$2=0),0,IF(AA$3&lt;0,0,N(INDEX('CURVA PREVISION'!$A$1:$KZ$3000,$C32,10+3*MIN(AA$3,$D$2-1)))))</f>
        <v/>
      </c>
      <c r="AB32" s="123">
        <f>IF(OR($C32="",$B$2="",$D$2=0),0,IF(AB$3&lt;0,0,N(INDEX('CURVA PREVISION'!$A$1:$KZ$3000,$C32,10+3*MIN(AB$3,$D$2-1)))))</f>
        <v/>
      </c>
      <c r="AC32" s="123">
        <f>IF(OR($C32="",$B$2="",$D$2=0),0,IF(AC$3&lt;0,0,N(INDEX('CURVA PREVISION'!$A$1:$KZ$3000,$C32,10+3*MIN(AC$3,$D$2-1)))))</f>
        <v/>
      </c>
      <c r="AD32" s="123">
        <f>IF(OR($C32="",$B$2="",$D$2=0),0,IF(AD$3&lt;0,0,N(INDEX('CURVA PREVISION'!$A$1:$KZ$3000,$C32,10+3*MIN(AD$3,$D$2-1)))))</f>
        <v/>
      </c>
      <c r="AE32" s="123">
        <f>IF(OR($C32="",$B$2="",$D$2=0),0,IF(AE$3&lt;0,0,N(INDEX('CURVA PREVISION'!$A$1:$KZ$3000,$C32,10+3*MIN(AE$3,$D$2-1)))))</f>
        <v/>
      </c>
      <c r="AF32" s="123">
        <f>IF(OR($C32="",$B$2="",$D$2=0),0,IF(AF$3&lt;0,0,N(INDEX('CURVA PREVISION'!$A$1:$KZ$3000,$C32,10+3*MIN(AF$3,$D$2-1)))))</f>
        <v/>
      </c>
      <c r="AG32" s="123">
        <f>IF(OR($C32="",$B$2="",$D$2=0),0,IF(AG$3&lt;0,0,N(INDEX('CURVA PREVISION'!$A$1:$KZ$3000,$C32,10+3*MIN(AG$3,$D$2-1)))))</f>
        <v/>
      </c>
      <c r="AH32" s="123">
        <f>IF(OR($C32="",$B$2="",$D$2=0),0,IF(AH$3&lt;0,0,N(INDEX('CURVA PREVISION'!$A$1:$KZ$3000,$C32,10+3*MIN(AH$3,$D$2-1)))))</f>
        <v/>
      </c>
      <c r="AI32" s="123">
        <f>IF(OR($C32="",$B$2="",$D$2=0),0,IF(AI$3&lt;0,0,N(INDEX('CURVA PREVISION'!$A$1:$KZ$3000,$C32,10+3*MIN(AI$3,$D$2-1)))))</f>
        <v/>
      </c>
      <c r="AJ32" s="123">
        <f>IF(OR($C32="",$B$2="",$D$2=0),0,IF(AJ$3&lt;0,0,N(INDEX('CURVA PREVISION'!$A$1:$KZ$3000,$C32,10+3*MIN(AJ$3,$D$2-1)))))</f>
        <v/>
      </c>
      <c r="AK32" s="123">
        <f>IF(OR($C32="",$B$2="",$D$2=0),0,IF(AK$3&lt;0,0,N(INDEX('CURVA PREVISION'!$A$1:$KZ$3000,$C32,10+3*MIN(AK$3,$D$2-1)))))</f>
        <v/>
      </c>
      <c r="AL32" s="123">
        <f>IF(OR($C32="",$B$2="",$D$2=0),0,IF(AL$3&lt;0,0,N(INDEX('CURVA PREVISION'!$A$1:$KZ$3000,$C32,10+3*MIN(AL$3,$D$2-1)))))</f>
        <v/>
      </c>
      <c r="AM32" s="123">
        <f>IF(OR($C32="",$B$2="",$D$2=0),0,IF(AM$3&lt;0,0,N(INDEX('CURVA PREVISION'!$A$1:$KZ$3000,$C32,10+3*MIN(AM$3,$D$2-1)))))</f>
        <v/>
      </c>
      <c r="AN32" s="123">
        <f>IF(OR($C32="",$B$2="",$D$2=0),0,IF(AN$3&lt;0,0,N(INDEX('CURVA PREVISION'!$A$1:$KZ$3000,$C32,10+3*MIN(AN$3,$D$2-1)))))</f>
        <v/>
      </c>
      <c r="AO32" s="123">
        <f>IF(OR($C32="",$B$2="",$D$2=0),0,IF(AO$3&lt;0,0,N(INDEX('CURVA PREVISION'!$A$1:$KZ$3000,$C32,10+3*MIN(AO$3,$D$2-1)))))</f>
        <v/>
      </c>
      <c r="AP32" s="123">
        <f>IF(OR($C32="",$B$2="",$D$2=0),0,IF(AP$3&lt;0,0,N(INDEX('CURVA PREVISION'!$A$1:$KZ$3000,$C32,10+3*MIN(AP$3,$D$2-1)))))</f>
        <v/>
      </c>
      <c r="AQ32" s="123">
        <f>IF(OR($C32="",$B$2="",$D$2=0),0,IF(AQ$3&lt;0,0,N(INDEX('CURVA PREVISION'!$A$1:$KZ$3000,$C32,10+3*MIN(AQ$3,$D$2-1)))))</f>
        <v/>
      </c>
      <c r="AR32" s="123">
        <f>IF(OR($C32="",$B$2="",$D$2=0),0,IF(AR$3&lt;0,0,N(INDEX('CURVA PREVISION'!$A$1:$KZ$3000,$C32,10+3*MIN(AR$3,$D$2-1)))))</f>
        <v/>
      </c>
      <c r="AS32" s="123">
        <f>IF(OR($C32="",$B$2="",$D$2=0),0,IF(AS$3&lt;0,0,N(INDEX('CURVA PREVISION'!$A$1:$KZ$3000,$C32,10+3*MIN(AS$3,$D$2-1)))))</f>
        <v/>
      </c>
      <c r="AT32" s="123">
        <f>IF(OR($C32="",$B$2="",$D$2=0),0,IF(AT$3&lt;0,0,N(INDEX('CURVA PREVISION'!$A$1:$KZ$3000,$C32,10+3*MIN(AT$3,$D$2-1)))))</f>
        <v/>
      </c>
      <c r="AU32" s="123">
        <f>IF(OR($C32="",$B$2="",$D$2=0),0,IF(AU$3&lt;0,0,N(INDEX('CURVA PREVISION'!$A$1:$KZ$3000,$C32,10+3*MIN(AU$3,$D$2-1)))))</f>
        <v/>
      </c>
      <c r="AV32" s="123">
        <f>IF(OR($C32="",$B$2="",$D$2=0),0,IF(AV$3&lt;0,0,N(INDEX('CURVA PREVISION'!$A$1:$KZ$3000,$C32,10+3*MIN(AV$3,$D$2-1)))))</f>
        <v/>
      </c>
      <c r="AW32" s="123">
        <f>IF(OR($C32="",$B$2="",$D$2=0),0,IF(AW$3&lt;0,0,N(INDEX('CURVA PREVISION'!$A$1:$KZ$3000,$C32,10+3*MIN(AW$3,$D$2-1)))))</f>
        <v/>
      </c>
      <c r="AX32" s="123">
        <f>IF(OR($C32="",$B$2="",$D$2=0),0,IF(AX$3&lt;0,0,N(INDEX('CURVA PREVISION'!$A$1:$KZ$3000,$C32,10+3*MIN(AX$3,$D$2-1)))))</f>
        <v/>
      </c>
      <c r="AY32" s="123">
        <f>IF(OR($C32="",$B$2="",$D$2=0),0,IF(AY$3&lt;0,0,N(INDEX('CURVA PREVISION'!$A$1:$KZ$3000,$C32,10+3*MIN(AY$3,$D$2-1)))))</f>
        <v/>
      </c>
      <c r="AZ32" s="123">
        <f>IF(OR($C32="",$B$2="",$D$2=0),0,IF(AZ$3&lt;0,0,N(INDEX('CURVA PREVISION'!$A$1:$KZ$3000,$C32,10+3*MIN(AZ$3,$D$2-1)))))</f>
        <v/>
      </c>
      <c r="BA32" s="123">
        <f>IF(OR($C32="",$B$2="",$D$2=0),0,IF(BA$3&lt;0,0,N(INDEX('CURVA PREVISION'!$A$1:$KZ$3000,$C32,10+3*MIN(BA$3,$D$2-1)))))</f>
        <v/>
      </c>
      <c r="BB32" s="123">
        <f>IF(OR($C32="",$B$2="",$D$2=0),0,IF(BB$3&lt;0,0,N(INDEX('CURVA PREVISION'!$A$1:$KZ$3000,$C32,10+3*MIN(BB$3,$D$2-1)))))</f>
        <v/>
      </c>
      <c r="BC32" s="123">
        <f>IF(OR($C32="",$B$2="",$D$2=0),0,IF(BC$3&lt;0,0,N(INDEX('CURVA PREVISION'!$A$1:$KZ$3000,$C32,10+3*MIN(BC$3,$D$2-1)))))</f>
        <v/>
      </c>
      <c r="BD32" s="123">
        <f>IF(OR($C32="",$B$2="",$D$2=0),0,IF(BD$3&lt;0,0,N(INDEX('CURVA PREVISION'!$A$1:$KZ$3000,$C32,10+3*MIN(BD$3,$D$2-1)))))</f>
        <v/>
      </c>
      <c r="BE32" s="123">
        <f>IF(OR($C32="",$B$2="",$D$2=0),0,IF(BE$3&lt;0,0,N(INDEX('CURVA PREVISION'!$A$1:$KZ$3000,$C32,10+3*MIN(BE$3,$D$2-1)))))</f>
        <v/>
      </c>
      <c r="BF32" s="123">
        <f>IF(OR($C32="",$B$2="",$D$2=0),0,IF(BF$3&lt;0,0,N(INDEX('CURVA PREVISION'!$A$1:$KZ$3000,$C32,10+3*MIN(BF$3,$D$2-1)))))</f>
        <v/>
      </c>
      <c r="BG32" s="123">
        <f>IF(OR($C32="",$B$2="",$D$2=0),0,IF(BG$3&lt;0,0,N(INDEX('CURVA PREVISION'!$A$1:$KZ$3000,$C32,10+3*MIN(BG$3,$D$2-1)))))</f>
        <v/>
      </c>
      <c r="BH32" s="123">
        <f>IF(OR($C32="",$B$2="",$D$2=0),0,IF(BH$3&lt;0,0,N(INDEX('CURVA PREVISION'!$A$1:$KZ$3000,$C32,10+3*MIN(BH$3,$D$2-1)))))</f>
        <v/>
      </c>
      <c r="BI32" s="123">
        <f>IF(OR($C32="",$B$2="",$D$2=0),0,IF(BI$3&lt;0,0,N(INDEX('CURVA PREVISION'!$A$1:$KZ$3000,$C32,10+3*MIN(BI$3,$D$2-1)))))</f>
        <v/>
      </c>
      <c r="BJ32" s="123">
        <f>IF(OR($C32="",$B$2="",$D$2=0),0,IF(BJ$3&lt;0,0,N(INDEX('CURVA PREVISION'!$A$1:$KZ$3000,$C32,10+3*MIN(BJ$3,$D$2-1)))))</f>
        <v/>
      </c>
      <c r="BK32" s="123">
        <f>IF(OR($C32="",$B$2="",$D$2=0),0,IF(BK$3&lt;0,0,N(INDEX('CURVA PREVISION'!$A$1:$KZ$3000,$C32,10+3*MIN(BK$3,$D$2-1)))))</f>
        <v/>
      </c>
      <c r="BL32" s="123">
        <f>IF(OR($C32="",$B$2="",$D$2=0),0,IF(BL$3&lt;0,0,N(INDEX('CURVA PREVISION'!$A$1:$KZ$3000,$C32,10+3*MIN(BL$3,$D$2-1)))))</f>
        <v/>
      </c>
      <c r="BM32" s="123">
        <f>IF(OR($C32="",$B$2="",$D$2=0),0,IF(BM$3&lt;0,0,N(INDEX('CURVA PREVISION'!$A$1:$KZ$3000,$C32,10+3*MIN(BM$3,$D$2-1)))))</f>
        <v/>
      </c>
      <c r="BN32" s="123">
        <f>IF(OR($C32="",$B$2="",$D$2=0),0,IF(BN$3&lt;0,0,N(INDEX('CURVA PREVISION'!$A$1:$KZ$3000,$C32,10+3*MIN(BN$3,$D$2-1)))))</f>
        <v/>
      </c>
      <c r="BO32" s="123">
        <f>IF(OR($C32="",$B$2="",$D$2=0),0,IF(BO$3&lt;0,0,N(INDEX('CURVA PREVISION'!$A$1:$KZ$3000,$C32,10+3*MIN(BO$3,$D$2-1)))))</f>
        <v/>
      </c>
      <c r="BP32" s="123">
        <f>IF(OR($C32="",$B$2="",$D$2=0),0,IF(BP$3&lt;0,0,N(INDEX('CURVA PREVISION'!$A$1:$KZ$3000,$C32,10+3*MIN(BP$3,$D$2-1)))))</f>
        <v/>
      </c>
      <c r="BQ32" s="123">
        <f>IF(OR($C32="",$B$2="",$D$2=0),0,IF(BQ$3&lt;0,0,N(INDEX('CURVA PREVISION'!$A$1:$KZ$3000,$C32,10+3*MIN(BQ$3,$D$2-1)))))</f>
        <v/>
      </c>
      <c r="BR32" s="123">
        <f>IF(OR($C32="",$B$2="",$D$2=0),0,IF(BR$3&lt;0,0,N(INDEX('CURVA PREVISION'!$A$1:$KZ$3000,$C32,10+3*MIN(BR$3,$D$2-1)))))</f>
        <v/>
      </c>
      <c r="BS32" s="123">
        <f>IF(OR($C32="",$B$2="",$D$2=0),0,IF(BS$3&lt;0,0,N(INDEX('CURVA PREVISION'!$A$1:$KZ$3000,$C32,10+3*MIN(BS$3,$D$2-1)))))</f>
        <v/>
      </c>
      <c r="BT32" s="123">
        <f>IF(OR($C32="",$B$2="",$D$2=0),0,IF(BT$3&lt;0,0,N(INDEX('CURVA PREVISION'!$A$1:$KZ$3000,$C32,10+3*MIN(BT$3,$D$2-1)))))</f>
        <v/>
      </c>
      <c r="BU32" s="123">
        <f>IF(OR($C32="",$B$2="",$D$2=0),0,IF(BU$3&lt;0,0,N(INDEX('CURVA PREVISION'!$A$1:$KZ$3000,$C32,10+3*MIN(BU$3,$D$2-1)))))</f>
        <v/>
      </c>
      <c r="BV32" s="123">
        <f>IF(OR($C32="",$B$2="",$D$2=0),0,IF(BV$3&lt;0,0,N(INDEX('CURVA PREVISION'!$A$1:$KZ$3000,$C32,10+3*MIN(BV$3,$D$2-1)))))</f>
        <v/>
      </c>
      <c r="BW32" s="123">
        <f>IF(OR($C32="",$B$2="",$D$2=0),0,IF(BW$3&lt;0,0,N(INDEX('CURVA PREVISION'!$A$1:$KZ$3000,$C32,10+3*MIN(BW$3,$D$2-1)))))</f>
        <v/>
      </c>
    </row>
    <row r="33">
      <c r="A33" s="61">
        <f>IF('VALOR POR PL'!R39&lt;&gt;"",'VALOR POR PL'!R39,IF('VALOR POR PL'!Q39="",'VALOR POR PL'!C39,'VALOR POR PL'!Q39))</f>
        <v/>
      </c>
      <c r="B33" s="61">
        <f>'VALOR POR PL'!D39</f>
        <v/>
      </c>
      <c r="C33" s="70">
        <f>IFERROR(MATCH(A33,'CURVA PREVISION'!$B$1:$B$3000,0),"")</f>
        <v/>
      </c>
      <c r="D33" s="123">
        <f>IF(OR($C33="",$B$2="",$D$2=0),0,IF(D$3&lt;0,0,N(INDEX('CURVA PREVISION'!$A$1:$KZ$3000,$C33,10+3*MIN(D$3,$D$2-1)))))</f>
        <v/>
      </c>
      <c r="E33" s="123">
        <f>IF(OR($C33="",$B$2="",$D$2=0),0,IF(E$3&lt;0,0,N(INDEX('CURVA PREVISION'!$A$1:$KZ$3000,$C33,10+3*MIN(E$3,$D$2-1)))))</f>
        <v/>
      </c>
      <c r="F33" s="123">
        <f>IF(OR($C33="",$B$2="",$D$2=0),0,IF(F$3&lt;0,0,N(INDEX('CURVA PREVISION'!$A$1:$KZ$3000,$C33,10+3*MIN(F$3,$D$2-1)))))</f>
        <v/>
      </c>
      <c r="G33" s="123">
        <f>IF(OR($C33="",$B$2="",$D$2=0),0,IF(G$3&lt;0,0,N(INDEX('CURVA PREVISION'!$A$1:$KZ$3000,$C33,10+3*MIN(G$3,$D$2-1)))))</f>
        <v/>
      </c>
      <c r="H33" s="123">
        <f>IF(OR($C33="",$B$2="",$D$2=0),0,IF(H$3&lt;0,0,N(INDEX('CURVA PREVISION'!$A$1:$KZ$3000,$C33,10+3*MIN(H$3,$D$2-1)))))</f>
        <v/>
      </c>
      <c r="I33" s="123">
        <f>IF(OR($C33="",$B$2="",$D$2=0),0,IF(I$3&lt;0,0,N(INDEX('CURVA PREVISION'!$A$1:$KZ$3000,$C33,10+3*MIN(I$3,$D$2-1)))))</f>
        <v/>
      </c>
      <c r="J33" s="123">
        <f>IF(OR($C33="",$B$2="",$D$2=0),0,IF(J$3&lt;0,0,N(INDEX('CURVA PREVISION'!$A$1:$KZ$3000,$C33,10+3*MIN(J$3,$D$2-1)))))</f>
        <v/>
      </c>
      <c r="K33" s="123">
        <f>IF(OR($C33="",$B$2="",$D$2=0),0,IF(K$3&lt;0,0,N(INDEX('CURVA PREVISION'!$A$1:$KZ$3000,$C33,10+3*MIN(K$3,$D$2-1)))))</f>
        <v/>
      </c>
      <c r="L33" s="123">
        <f>IF(OR($C33="",$B$2="",$D$2=0),0,IF(L$3&lt;0,0,N(INDEX('CURVA PREVISION'!$A$1:$KZ$3000,$C33,10+3*MIN(L$3,$D$2-1)))))</f>
        <v/>
      </c>
      <c r="M33" s="123">
        <f>IF(OR($C33="",$B$2="",$D$2=0),0,IF(M$3&lt;0,0,N(INDEX('CURVA PREVISION'!$A$1:$KZ$3000,$C33,10+3*MIN(M$3,$D$2-1)))))</f>
        <v/>
      </c>
      <c r="N33" s="123">
        <f>IF(OR($C33="",$B$2="",$D$2=0),0,IF(N$3&lt;0,0,N(INDEX('CURVA PREVISION'!$A$1:$KZ$3000,$C33,10+3*MIN(N$3,$D$2-1)))))</f>
        <v/>
      </c>
      <c r="O33" s="123">
        <f>IF(OR($C33="",$B$2="",$D$2=0),0,IF(O$3&lt;0,0,N(INDEX('CURVA PREVISION'!$A$1:$KZ$3000,$C33,10+3*MIN(O$3,$D$2-1)))))</f>
        <v/>
      </c>
      <c r="P33" s="123">
        <f>IF(OR($C33="",$B$2="",$D$2=0),0,IF(P$3&lt;0,0,N(INDEX('CURVA PREVISION'!$A$1:$KZ$3000,$C33,10+3*MIN(P$3,$D$2-1)))))</f>
        <v/>
      </c>
      <c r="Q33" s="123">
        <f>IF(OR($C33="",$B$2="",$D$2=0),0,IF(Q$3&lt;0,0,N(INDEX('CURVA PREVISION'!$A$1:$KZ$3000,$C33,10+3*MIN(Q$3,$D$2-1)))))</f>
        <v/>
      </c>
      <c r="R33" s="123">
        <f>IF(OR($C33="",$B$2="",$D$2=0),0,IF(R$3&lt;0,0,N(INDEX('CURVA PREVISION'!$A$1:$KZ$3000,$C33,10+3*MIN(R$3,$D$2-1)))))</f>
        <v/>
      </c>
      <c r="S33" s="123">
        <f>IF(OR($C33="",$B$2="",$D$2=0),0,IF(S$3&lt;0,0,N(INDEX('CURVA PREVISION'!$A$1:$KZ$3000,$C33,10+3*MIN(S$3,$D$2-1)))))</f>
        <v/>
      </c>
      <c r="T33" s="123">
        <f>IF(OR($C33="",$B$2="",$D$2=0),0,IF(T$3&lt;0,0,N(INDEX('CURVA PREVISION'!$A$1:$KZ$3000,$C33,10+3*MIN(T$3,$D$2-1)))))</f>
        <v/>
      </c>
      <c r="U33" s="123">
        <f>IF(OR($C33="",$B$2="",$D$2=0),0,IF(U$3&lt;0,0,N(INDEX('CURVA PREVISION'!$A$1:$KZ$3000,$C33,10+3*MIN(U$3,$D$2-1)))))</f>
        <v/>
      </c>
      <c r="V33" s="123">
        <f>IF(OR($C33="",$B$2="",$D$2=0),0,IF(V$3&lt;0,0,N(INDEX('CURVA PREVISION'!$A$1:$KZ$3000,$C33,10+3*MIN(V$3,$D$2-1)))))</f>
        <v/>
      </c>
      <c r="W33" s="123">
        <f>IF(OR($C33="",$B$2="",$D$2=0),0,IF(W$3&lt;0,0,N(INDEX('CURVA PREVISION'!$A$1:$KZ$3000,$C33,10+3*MIN(W$3,$D$2-1)))))</f>
        <v/>
      </c>
      <c r="X33" s="123">
        <f>IF(OR($C33="",$B$2="",$D$2=0),0,IF(X$3&lt;0,0,N(INDEX('CURVA PREVISION'!$A$1:$KZ$3000,$C33,10+3*MIN(X$3,$D$2-1)))))</f>
        <v/>
      </c>
      <c r="Y33" s="123">
        <f>IF(OR($C33="",$B$2="",$D$2=0),0,IF(Y$3&lt;0,0,N(INDEX('CURVA PREVISION'!$A$1:$KZ$3000,$C33,10+3*MIN(Y$3,$D$2-1)))))</f>
        <v/>
      </c>
      <c r="Z33" s="123">
        <f>IF(OR($C33="",$B$2="",$D$2=0),0,IF(Z$3&lt;0,0,N(INDEX('CURVA PREVISION'!$A$1:$KZ$3000,$C33,10+3*MIN(Z$3,$D$2-1)))))</f>
        <v/>
      </c>
      <c r="AA33" s="123">
        <f>IF(OR($C33="",$B$2="",$D$2=0),0,IF(AA$3&lt;0,0,N(INDEX('CURVA PREVISION'!$A$1:$KZ$3000,$C33,10+3*MIN(AA$3,$D$2-1)))))</f>
        <v/>
      </c>
      <c r="AB33" s="123">
        <f>IF(OR($C33="",$B$2="",$D$2=0),0,IF(AB$3&lt;0,0,N(INDEX('CURVA PREVISION'!$A$1:$KZ$3000,$C33,10+3*MIN(AB$3,$D$2-1)))))</f>
        <v/>
      </c>
      <c r="AC33" s="123">
        <f>IF(OR($C33="",$B$2="",$D$2=0),0,IF(AC$3&lt;0,0,N(INDEX('CURVA PREVISION'!$A$1:$KZ$3000,$C33,10+3*MIN(AC$3,$D$2-1)))))</f>
        <v/>
      </c>
      <c r="AD33" s="123">
        <f>IF(OR($C33="",$B$2="",$D$2=0),0,IF(AD$3&lt;0,0,N(INDEX('CURVA PREVISION'!$A$1:$KZ$3000,$C33,10+3*MIN(AD$3,$D$2-1)))))</f>
        <v/>
      </c>
      <c r="AE33" s="123">
        <f>IF(OR($C33="",$B$2="",$D$2=0),0,IF(AE$3&lt;0,0,N(INDEX('CURVA PREVISION'!$A$1:$KZ$3000,$C33,10+3*MIN(AE$3,$D$2-1)))))</f>
        <v/>
      </c>
      <c r="AF33" s="123">
        <f>IF(OR($C33="",$B$2="",$D$2=0),0,IF(AF$3&lt;0,0,N(INDEX('CURVA PREVISION'!$A$1:$KZ$3000,$C33,10+3*MIN(AF$3,$D$2-1)))))</f>
        <v/>
      </c>
      <c r="AG33" s="123">
        <f>IF(OR($C33="",$B$2="",$D$2=0),0,IF(AG$3&lt;0,0,N(INDEX('CURVA PREVISION'!$A$1:$KZ$3000,$C33,10+3*MIN(AG$3,$D$2-1)))))</f>
        <v/>
      </c>
      <c r="AH33" s="123">
        <f>IF(OR($C33="",$B$2="",$D$2=0),0,IF(AH$3&lt;0,0,N(INDEX('CURVA PREVISION'!$A$1:$KZ$3000,$C33,10+3*MIN(AH$3,$D$2-1)))))</f>
        <v/>
      </c>
      <c r="AI33" s="123">
        <f>IF(OR($C33="",$B$2="",$D$2=0),0,IF(AI$3&lt;0,0,N(INDEX('CURVA PREVISION'!$A$1:$KZ$3000,$C33,10+3*MIN(AI$3,$D$2-1)))))</f>
        <v/>
      </c>
      <c r="AJ33" s="123">
        <f>IF(OR($C33="",$B$2="",$D$2=0),0,IF(AJ$3&lt;0,0,N(INDEX('CURVA PREVISION'!$A$1:$KZ$3000,$C33,10+3*MIN(AJ$3,$D$2-1)))))</f>
        <v/>
      </c>
      <c r="AK33" s="123">
        <f>IF(OR($C33="",$B$2="",$D$2=0),0,IF(AK$3&lt;0,0,N(INDEX('CURVA PREVISION'!$A$1:$KZ$3000,$C33,10+3*MIN(AK$3,$D$2-1)))))</f>
        <v/>
      </c>
      <c r="AL33" s="123">
        <f>IF(OR($C33="",$B$2="",$D$2=0),0,IF(AL$3&lt;0,0,N(INDEX('CURVA PREVISION'!$A$1:$KZ$3000,$C33,10+3*MIN(AL$3,$D$2-1)))))</f>
        <v/>
      </c>
      <c r="AM33" s="123">
        <f>IF(OR($C33="",$B$2="",$D$2=0),0,IF(AM$3&lt;0,0,N(INDEX('CURVA PREVISION'!$A$1:$KZ$3000,$C33,10+3*MIN(AM$3,$D$2-1)))))</f>
        <v/>
      </c>
      <c r="AN33" s="123">
        <f>IF(OR($C33="",$B$2="",$D$2=0),0,IF(AN$3&lt;0,0,N(INDEX('CURVA PREVISION'!$A$1:$KZ$3000,$C33,10+3*MIN(AN$3,$D$2-1)))))</f>
        <v/>
      </c>
      <c r="AO33" s="123">
        <f>IF(OR($C33="",$B$2="",$D$2=0),0,IF(AO$3&lt;0,0,N(INDEX('CURVA PREVISION'!$A$1:$KZ$3000,$C33,10+3*MIN(AO$3,$D$2-1)))))</f>
        <v/>
      </c>
      <c r="AP33" s="123">
        <f>IF(OR($C33="",$B$2="",$D$2=0),0,IF(AP$3&lt;0,0,N(INDEX('CURVA PREVISION'!$A$1:$KZ$3000,$C33,10+3*MIN(AP$3,$D$2-1)))))</f>
        <v/>
      </c>
      <c r="AQ33" s="123">
        <f>IF(OR($C33="",$B$2="",$D$2=0),0,IF(AQ$3&lt;0,0,N(INDEX('CURVA PREVISION'!$A$1:$KZ$3000,$C33,10+3*MIN(AQ$3,$D$2-1)))))</f>
        <v/>
      </c>
      <c r="AR33" s="123">
        <f>IF(OR($C33="",$B$2="",$D$2=0),0,IF(AR$3&lt;0,0,N(INDEX('CURVA PREVISION'!$A$1:$KZ$3000,$C33,10+3*MIN(AR$3,$D$2-1)))))</f>
        <v/>
      </c>
      <c r="AS33" s="123">
        <f>IF(OR($C33="",$B$2="",$D$2=0),0,IF(AS$3&lt;0,0,N(INDEX('CURVA PREVISION'!$A$1:$KZ$3000,$C33,10+3*MIN(AS$3,$D$2-1)))))</f>
        <v/>
      </c>
      <c r="AT33" s="123">
        <f>IF(OR($C33="",$B$2="",$D$2=0),0,IF(AT$3&lt;0,0,N(INDEX('CURVA PREVISION'!$A$1:$KZ$3000,$C33,10+3*MIN(AT$3,$D$2-1)))))</f>
        <v/>
      </c>
      <c r="AU33" s="123">
        <f>IF(OR($C33="",$B$2="",$D$2=0),0,IF(AU$3&lt;0,0,N(INDEX('CURVA PREVISION'!$A$1:$KZ$3000,$C33,10+3*MIN(AU$3,$D$2-1)))))</f>
        <v/>
      </c>
      <c r="AV33" s="123">
        <f>IF(OR($C33="",$B$2="",$D$2=0),0,IF(AV$3&lt;0,0,N(INDEX('CURVA PREVISION'!$A$1:$KZ$3000,$C33,10+3*MIN(AV$3,$D$2-1)))))</f>
        <v/>
      </c>
      <c r="AW33" s="123">
        <f>IF(OR($C33="",$B$2="",$D$2=0),0,IF(AW$3&lt;0,0,N(INDEX('CURVA PREVISION'!$A$1:$KZ$3000,$C33,10+3*MIN(AW$3,$D$2-1)))))</f>
        <v/>
      </c>
      <c r="AX33" s="123">
        <f>IF(OR($C33="",$B$2="",$D$2=0),0,IF(AX$3&lt;0,0,N(INDEX('CURVA PREVISION'!$A$1:$KZ$3000,$C33,10+3*MIN(AX$3,$D$2-1)))))</f>
        <v/>
      </c>
      <c r="AY33" s="123">
        <f>IF(OR($C33="",$B$2="",$D$2=0),0,IF(AY$3&lt;0,0,N(INDEX('CURVA PREVISION'!$A$1:$KZ$3000,$C33,10+3*MIN(AY$3,$D$2-1)))))</f>
        <v/>
      </c>
      <c r="AZ33" s="123">
        <f>IF(OR($C33="",$B$2="",$D$2=0),0,IF(AZ$3&lt;0,0,N(INDEX('CURVA PREVISION'!$A$1:$KZ$3000,$C33,10+3*MIN(AZ$3,$D$2-1)))))</f>
        <v/>
      </c>
      <c r="BA33" s="123">
        <f>IF(OR($C33="",$B$2="",$D$2=0),0,IF(BA$3&lt;0,0,N(INDEX('CURVA PREVISION'!$A$1:$KZ$3000,$C33,10+3*MIN(BA$3,$D$2-1)))))</f>
        <v/>
      </c>
      <c r="BB33" s="123">
        <f>IF(OR($C33="",$B$2="",$D$2=0),0,IF(BB$3&lt;0,0,N(INDEX('CURVA PREVISION'!$A$1:$KZ$3000,$C33,10+3*MIN(BB$3,$D$2-1)))))</f>
        <v/>
      </c>
      <c r="BC33" s="123">
        <f>IF(OR($C33="",$B$2="",$D$2=0),0,IF(BC$3&lt;0,0,N(INDEX('CURVA PREVISION'!$A$1:$KZ$3000,$C33,10+3*MIN(BC$3,$D$2-1)))))</f>
        <v/>
      </c>
      <c r="BD33" s="123">
        <f>IF(OR($C33="",$B$2="",$D$2=0),0,IF(BD$3&lt;0,0,N(INDEX('CURVA PREVISION'!$A$1:$KZ$3000,$C33,10+3*MIN(BD$3,$D$2-1)))))</f>
        <v/>
      </c>
      <c r="BE33" s="123">
        <f>IF(OR($C33="",$B$2="",$D$2=0),0,IF(BE$3&lt;0,0,N(INDEX('CURVA PREVISION'!$A$1:$KZ$3000,$C33,10+3*MIN(BE$3,$D$2-1)))))</f>
        <v/>
      </c>
      <c r="BF33" s="123">
        <f>IF(OR($C33="",$B$2="",$D$2=0),0,IF(BF$3&lt;0,0,N(INDEX('CURVA PREVISION'!$A$1:$KZ$3000,$C33,10+3*MIN(BF$3,$D$2-1)))))</f>
        <v/>
      </c>
      <c r="BG33" s="123">
        <f>IF(OR($C33="",$B$2="",$D$2=0),0,IF(BG$3&lt;0,0,N(INDEX('CURVA PREVISION'!$A$1:$KZ$3000,$C33,10+3*MIN(BG$3,$D$2-1)))))</f>
        <v/>
      </c>
      <c r="BH33" s="123">
        <f>IF(OR($C33="",$B$2="",$D$2=0),0,IF(BH$3&lt;0,0,N(INDEX('CURVA PREVISION'!$A$1:$KZ$3000,$C33,10+3*MIN(BH$3,$D$2-1)))))</f>
        <v/>
      </c>
      <c r="BI33" s="123">
        <f>IF(OR($C33="",$B$2="",$D$2=0),0,IF(BI$3&lt;0,0,N(INDEX('CURVA PREVISION'!$A$1:$KZ$3000,$C33,10+3*MIN(BI$3,$D$2-1)))))</f>
        <v/>
      </c>
      <c r="BJ33" s="123">
        <f>IF(OR($C33="",$B$2="",$D$2=0),0,IF(BJ$3&lt;0,0,N(INDEX('CURVA PREVISION'!$A$1:$KZ$3000,$C33,10+3*MIN(BJ$3,$D$2-1)))))</f>
        <v/>
      </c>
      <c r="BK33" s="123">
        <f>IF(OR($C33="",$B$2="",$D$2=0),0,IF(BK$3&lt;0,0,N(INDEX('CURVA PREVISION'!$A$1:$KZ$3000,$C33,10+3*MIN(BK$3,$D$2-1)))))</f>
        <v/>
      </c>
      <c r="BL33" s="123">
        <f>IF(OR($C33="",$B$2="",$D$2=0),0,IF(BL$3&lt;0,0,N(INDEX('CURVA PREVISION'!$A$1:$KZ$3000,$C33,10+3*MIN(BL$3,$D$2-1)))))</f>
        <v/>
      </c>
      <c r="BM33" s="123">
        <f>IF(OR($C33="",$B$2="",$D$2=0),0,IF(BM$3&lt;0,0,N(INDEX('CURVA PREVISION'!$A$1:$KZ$3000,$C33,10+3*MIN(BM$3,$D$2-1)))))</f>
        <v/>
      </c>
      <c r="BN33" s="123">
        <f>IF(OR($C33="",$B$2="",$D$2=0),0,IF(BN$3&lt;0,0,N(INDEX('CURVA PREVISION'!$A$1:$KZ$3000,$C33,10+3*MIN(BN$3,$D$2-1)))))</f>
        <v/>
      </c>
      <c r="BO33" s="123">
        <f>IF(OR($C33="",$B$2="",$D$2=0),0,IF(BO$3&lt;0,0,N(INDEX('CURVA PREVISION'!$A$1:$KZ$3000,$C33,10+3*MIN(BO$3,$D$2-1)))))</f>
        <v/>
      </c>
      <c r="BP33" s="123">
        <f>IF(OR($C33="",$B$2="",$D$2=0),0,IF(BP$3&lt;0,0,N(INDEX('CURVA PREVISION'!$A$1:$KZ$3000,$C33,10+3*MIN(BP$3,$D$2-1)))))</f>
        <v/>
      </c>
      <c r="BQ33" s="123">
        <f>IF(OR($C33="",$B$2="",$D$2=0),0,IF(BQ$3&lt;0,0,N(INDEX('CURVA PREVISION'!$A$1:$KZ$3000,$C33,10+3*MIN(BQ$3,$D$2-1)))))</f>
        <v/>
      </c>
      <c r="BR33" s="123">
        <f>IF(OR($C33="",$B$2="",$D$2=0),0,IF(BR$3&lt;0,0,N(INDEX('CURVA PREVISION'!$A$1:$KZ$3000,$C33,10+3*MIN(BR$3,$D$2-1)))))</f>
        <v/>
      </c>
      <c r="BS33" s="123">
        <f>IF(OR($C33="",$B$2="",$D$2=0),0,IF(BS$3&lt;0,0,N(INDEX('CURVA PREVISION'!$A$1:$KZ$3000,$C33,10+3*MIN(BS$3,$D$2-1)))))</f>
        <v/>
      </c>
      <c r="BT33" s="123">
        <f>IF(OR($C33="",$B$2="",$D$2=0),0,IF(BT$3&lt;0,0,N(INDEX('CURVA PREVISION'!$A$1:$KZ$3000,$C33,10+3*MIN(BT$3,$D$2-1)))))</f>
        <v/>
      </c>
      <c r="BU33" s="123">
        <f>IF(OR($C33="",$B$2="",$D$2=0),0,IF(BU$3&lt;0,0,N(INDEX('CURVA PREVISION'!$A$1:$KZ$3000,$C33,10+3*MIN(BU$3,$D$2-1)))))</f>
        <v/>
      </c>
      <c r="BV33" s="123">
        <f>IF(OR($C33="",$B$2="",$D$2=0),0,IF(BV$3&lt;0,0,N(INDEX('CURVA PREVISION'!$A$1:$KZ$3000,$C33,10+3*MIN(BV$3,$D$2-1)))))</f>
        <v/>
      </c>
      <c r="BW33" s="123">
        <f>IF(OR($C33="",$B$2="",$D$2=0),0,IF(BW$3&lt;0,0,N(INDEX('CURVA PREVISION'!$A$1:$KZ$3000,$C33,10+3*MIN(BW$3,$D$2-1)))))</f>
        <v/>
      </c>
    </row>
    <row r="34">
      <c r="A34" s="61">
        <f>IF('VALOR POR PL'!R40&lt;&gt;"",'VALOR POR PL'!R40,IF('VALOR POR PL'!Q40="",'VALOR POR PL'!C40,'VALOR POR PL'!Q40))</f>
        <v/>
      </c>
      <c r="B34" s="61">
        <f>'VALOR POR PL'!D40</f>
        <v/>
      </c>
      <c r="C34" s="70">
        <f>IFERROR(MATCH(A34,'CURVA PREVISION'!$B$1:$B$3000,0),"")</f>
        <v/>
      </c>
      <c r="D34" s="123">
        <f>IF(OR($C34="",$B$2="",$D$2=0),0,IF(D$3&lt;0,0,N(INDEX('CURVA PREVISION'!$A$1:$KZ$3000,$C34,10+3*MIN(D$3,$D$2-1)))))</f>
        <v/>
      </c>
      <c r="E34" s="123">
        <f>IF(OR($C34="",$B$2="",$D$2=0),0,IF(E$3&lt;0,0,N(INDEX('CURVA PREVISION'!$A$1:$KZ$3000,$C34,10+3*MIN(E$3,$D$2-1)))))</f>
        <v/>
      </c>
      <c r="F34" s="123">
        <f>IF(OR($C34="",$B$2="",$D$2=0),0,IF(F$3&lt;0,0,N(INDEX('CURVA PREVISION'!$A$1:$KZ$3000,$C34,10+3*MIN(F$3,$D$2-1)))))</f>
        <v/>
      </c>
      <c r="G34" s="123">
        <f>IF(OR($C34="",$B$2="",$D$2=0),0,IF(G$3&lt;0,0,N(INDEX('CURVA PREVISION'!$A$1:$KZ$3000,$C34,10+3*MIN(G$3,$D$2-1)))))</f>
        <v/>
      </c>
      <c r="H34" s="123">
        <f>IF(OR($C34="",$B$2="",$D$2=0),0,IF(H$3&lt;0,0,N(INDEX('CURVA PREVISION'!$A$1:$KZ$3000,$C34,10+3*MIN(H$3,$D$2-1)))))</f>
        <v/>
      </c>
      <c r="I34" s="123">
        <f>IF(OR($C34="",$B$2="",$D$2=0),0,IF(I$3&lt;0,0,N(INDEX('CURVA PREVISION'!$A$1:$KZ$3000,$C34,10+3*MIN(I$3,$D$2-1)))))</f>
        <v/>
      </c>
      <c r="J34" s="123">
        <f>IF(OR($C34="",$B$2="",$D$2=0),0,IF(J$3&lt;0,0,N(INDEX('CURVA PREVISION'!$A$1:$KZ$3000,$C34,10+3*MIN(J$3,$D$2-1)))))</f>
        <v/>
      </c>
      <c r="K34" s="123">
        <f>IF(OR($C34="",$B$2="",$D$2=0),0,IF(K$3&lt;0,0,N(INDEX('CURVA PREVISION'!$A$1:$KZ$3000,$C34,10+3*MIN(K$3,$D$2-1)))))</f>
        <v/>
      </c>
      <c r="L34" s="123">
        <f>IF(OR($C34="",$B$2="",$D$2=0),0,IF(L$3&lt;0,0,N(INDEX('CURVA PREVISION'!$A$1:$KZ$3000,$C34,10+3*MIN(L$3,$D$2-1)))))</f>
        <v/>
      </c>
      <c r="M34" s="123">
        <f>IF(OR($C34="",$B$2="",$D$2=0),0,IF(M$3&lt;0,0,N(INDEX('CURVA PREVISION'!$A$1:$KZ$3000,$C34,10+3*MIN(M$3,$D$2-1)))))</f>
        <v/>
      </c>
      <c r="N34" s="123">
        <f>IF(OR($C34="",$B$2="",$D$2=0),0,IF(N$3&lt;0,0,N(INDEX('CURVA PREVISION'!$A$1:$KZ$3000,$C34,10+3*MIN(N$3,$D$2-1)))))</f>
        <v/>
      </c>
      <c r="O34" s="123">
        <f>IF(OR($C34="",$B$2="",$D$2=0),0,IF(O$3&lt;0,0,N(INDEX('CURVA PREVISION'!$A$1:$KZ$3000,$C34,10+3*MIN(O$3,$D$2-1)))))</f>
        <v/>
      </c>
      <c r="P34" s="123">
        <f>IF(OR($C34="",$B$2="",$D$2=0),0,IF(P$3&lt;0,0,N(INDEX('CURVA PREVISION'!$A$1:$KZ$3000,$C34,10+3*MIN(P$3,$D$2-1)))))</f>
        <v/>
      </c>
      <c r="Q34" s="123">
        <f>IF(OR($C34="",$B$2="",$D$2=0),0,IF(Q$3&lt;0,0,N(INDEX('CURVA PREVISION'!$A$1:$KZ$3000,$C34,10+3*MIN(Q$3,$D$2-1)))))</f>
        <v/>
      </c>
      <c r="R34" s="123">
        <f>IF(OR($C34="",$B$2="",$D$2=0),0,IF(R$3&lt;0,0,N(INDEX('CURVA PREVISION'!$A$1:$KZ$3000,$C34,10+3*MIN(R$3,$D$2-1)))))</f>
        <v/>
      </c>
      <c r="S34" s="123">
        <f>IF(OR($C34="",$B$2="",$D$2=0),0,IF(S$3&lt;0,0,N(INDEX('CURVA PREVISION'!$A$1:$KZ$3000,$C34,10+3*MIN(S$3,$D$2-1)))))</f>
        <v/>
      </c>
      <c r="T34" s="123">
        <f>IF(OR($C34="",$B$2="",$D$2=0),0,IF(T$3&lt;0,0,N(INDEX('CURVA PREVISION'!$A$1:$KZ$3000,$C34,10+3*MIN(T$3,$D$2-1)))))</f>
        <v/>
      </c>
      <c r="U34" s="123">
        <f>IF(OR($C34="",$B$2="",$D$2=0),0,IF(U$3&lt;0,0,N(INDEX('CURVA PREVISION'!$A$1:$KZ$3000,$C34,10+3*MIN(U$3,$D$2-1)))))</f>
        <v/>
      </c>
      <c r="V34" s="123">
        <f>IF(OR($C34="",$B$2="",$D$2=0),0,IF(V$3&lt;0,0,N(INDEX('CURVA PREVISION'!$A$1:$KZ$3000,$C34,10+3*MIN(V$3,$D$2-1)))))</f>
        <v/>
      </c>
      <c r="W34" s="123">
        <f>IF(OR($C34="",$B$2="",$D$2=0),0,IF(W$3&lt;0,0,N(INDEX('CURVA PREVISION'!$A$1:$KZ$3000,$C34,10+3*MIN(W$3,$D$2-1)))))</f>
        <v/>
      </c>
      <c r="X34" s="123">
        <f>IF(OR($C34="",$B$2="",$D$2=0),0,IF(X$3&lt;0,0,N(INDEX('CURVA PREVISION'!$A$1:$KZ$3000,$C34,10+3*MIN(X$3,$D$2-1)))))</f>
        <v/>
      </c>
      <c r="Y34" s="123">
        <f>IF(OR($C34="",$B$2="",$D$2=0),0,IF(Y$3&lt;0,0,N(INDEX('CURVA PREVISION'!$A$1:$KZ$3000,$C34,10+3*MIN(Y$3,$D$2-1)))))</f>
        <v/>
      </c>
      <c r="Z34" s="123">
        <f>IF(OR($C34="",$B$2="",$D$2=0),0,IF(Z$3&lt;0,0,N(INDEX('CURVA PREVISION'!$A$1:$KZ$3000,$C34,10+3*MIN(Z$3,$D$2-1)))))</f>
        <v/>
      </c>
      <c r="AA34" s="123">
        <f>IF(OR($C34="",$B$2="",$D$2=0),0,IF(AA$3&lt;0,0,N(INDEX('CURVA PREVISION'!$A$1:$KZ$3000,$C34,10+3*MIN(AA$3,$D$2-1)))))</f>
        <v/>
      </c>
      <c r="AB34" s="123">
        <f>IF(OR($C34="",$B$2="",$D$2=0),0,IF(AB$3&lt;0,0,N(INDEX('CURVA PREVISION'!$A$1:$KZ$3000,$C34,10+3*MIN(AB$3,$D$2-1)))))</f>
        <v/>
      </c>
      <c r="AC34" s="123">
        <f>IF(OR($C34="",$B$2="",$D$2=0),0,IF(AC$3&lt;0,0,N(INDEX('CURVA PREVISION'!$A$1:$KZ$3000,$C34,10+3*MIN(AC$3,$D$2-1)))))</f>
        <v/>
      </c>
      <c r="AD34" s="123">
        <f>IF(OR($C34="",$B$2="",$D$2=0),0,IF(AD$3&lt;0,0,N(INDEX('CURVA PREVISION'!$A$1:$KZ$3000,$C34,10+3*MIN(AD$3,$D$2-1)))))</f>
        <v/>
      </c>
      <c r="AE34" s="123">
        <f>IF(OR($C34="",$B$2="",$D$2=0),0,IF(AE$3&lt;0,0,N(INDEX('CURVA PREVISION'!$A$1:$KZ$3000,$C34,10+3*MIN(AE$3,$D$2-1)))))</f>
        <v/>
      </c>
      <c r="AF34" s="123">
        <f>IF(OR($C34="",$B$2="",$D$2=0),0,IF(AF$3&lt;0,0,N(INDEX('CURVA PREVISION'!$A$1:$KZ$3000,$C34,10+3*MIN(AF$3,$D$2-1)))))</f>
        <v/>
      </c>
      <c r="AG34" s="123">
        <f>IF(OR($C34="",$B$2="",$D$2=0),0,IF(AG$3&lt;0,0,N(INDEX('CURVA PREVISION'!$A$1:$KZ$3000,$C34,10+3*MIN(AG$3,$D$2-1)))))</f>
        <v/>
      </c>
      <c r="AH34" s="123">
        <f>IF(OR($C34="",$B$2="",$D$2=0),0,IF(AH$3&lt;0,0,N(INDEX('CURVA PREVISION'!$A$1:$KZ$3000,$C34,10+3*MIN(AH$3,$D$2-1)))))</f>
        <v/>
      </c>
      <c r="AI34" s="123">
        <f>IF(OR($C34="",$B$2="",$D$2=0),0,IF(AI$3&lt;0,0,N(INDEX('CURVA PREVISION'!$A$1:$KZ$3000,$C34,10+3*MIN(AI$3,$D$2-1)))))</f>
        <v/>
      </c>
      <c r="AJ34" s="123">
        <f>IF(OR($C34="",$B$2="",$D$2=0),0,IF(AJ$3&lt;0,0,N(INDEX('CURVA PREVISION'!$A$1:$KZ$3000,$C34,10+3*MIN(AJ$3,$D$2-1)))))</f>
        <v/>
      </c>
      <c r="AK34" s="123">
        <f>IF(OR($C34="",$B$2="",$D$2=0),0,IF(AK$3&lt;0,0,N(INDEX('CURVA PREVISION'!$A$1:$KZ$3000,$C34,10+3*MIN(AK$3,$D$2-1)))))</f>
        <v/>
      </c>
      <c r="AL34" s="123">
        <f>IF(OR($C34="",$B$2="",$D$2=0),0,IF(AL$3&lt;0,0,N(INDEX('CURVA PREVISION'!$A$1:$KZ$3000,$C34,10+3*MIN(AL$3,$D$2-1)))))</f>
        <v/>
      </c>
      <c r="AM34" s="123">
        <f>IF(OR($C34="",$B$2="",$D$2=0),0,IF(AM$3&lt;0,0,N(INDEX('CURVA PREVISION'!$A$1:$KZ$3000,$C34,10+3*MIN(AM$3,$D$2-1)))))</f>
        <v/>
      </c>
      <c r="AN34" s="123">
        <f>IF(OR($C34="",$B$2="",$D$2=0),0,IF(AN$3&lt;0,0,N(INDEX('CURVA PREVISION'!$A$1:$KZ$3000,$C34,10+3*MIN(AN$3,$D$2-1)))))</f>
        <v/>
      </c>
      <c r="AO34" s="123">
        <f>IF(OR($C34="",$B$2="",$D$2=0),0,IF(AO$3&lt;0,0,N(INDEX('CURVA PREVISION'!$A$1:$KZ$3000,$C34,10+3*MIN(AO$3,$D$2-1)))))</f>
        <v/>
      </c>
      <c r="AP34" s="123">
        <f>IF(OR($C34="",$B$2="",$D$2=0),0,IF(AP$3&lt;0,0,N(INDEX('CURVA PREVISION'!$A$1:$KZ$3000,$C34,10+3*MIN(AP$3,$D$2-1)))))</f>
        <v/>
      </c>
      <c r="AQ34" s="123">
        <f>IF(OR($C34="",$B$2="",$D$2=0),0,IF(AQ$3&lt;0,0,N(INDEX('CURVA PREVISION'!$A$1:$KZ$3000,$C34,10+3*MIN(AQ$3,$D$2-1)))))</f>
        <v/>
      </c>
      <c r="AR34" s="123">
        <f>IF(OR($C34="",$B$2="",$D$2=0),0,IF(AR$3&lt;0,0,N(INDEX('CURVA PREVISION'!$A$1:$KZ$3000,$C34,10+3*MIN(AR$3,$D$2-1)))))</f>
        <v/>
      </c>
      <c r="AS34" s="123">
        <f>IF(OR($C34="",$B$2="",$D$2=0),0,IF(AS$3&lt;0,0,N(INDEX('CURVA PREVISION'!$A$1:$KZ$3000,$C34,10+3*MIN(AS$3,$D$2-1)))))</f>
        <v/>
      </c>
      <c r="AT34" s="123">
        <f>IF(OR($C34="",$B$2="",$D$2=0),0,IF(AT$3&lt;0,0,N(INDEX('CURVA PREVISION'!$A$1:$KZ$3000,$C34,10+3*MIN(AT$3,$D$2-1)))))</f>
        <v/>
      </c>
      <c r="AU34" s="123">
        <f>IF(OR($C34="",$B$2="",$D$2=0),0,IF(AU$3&lt;0,0,N(INDEX('CURVA PREVISION'!$A$1:$KZ$3000,$C34,10+3*MIN(AU$3,$D$2-1)))))</f>
        <v/>
      </c>
      <c r="AV34" s="123">
        <f>IF(OR($C34="",$B$2="",$D$2=0),0,IF(AV$3&lt;0,0,N(INDEX('CURVA PREVISION'!$A$1:$KZ$3000,$C34,10+3*MIN(AV$3,$D$2-1)))))</f>
        <v/>
      </c>
      <c r="AW34" s="123">
        <f>IF(OR($C34="",$B$2="",$D$2=0),0,IF(AW$3&lt;0,0,N(INDEX('CURVA PREVISION'!$A$1:$KZ$3000,$C34,10+3*MIN(AW$3,$D$2-1)))))</f>
        <v/>
      </c>
      <c r="AX34" s="123">
        <f>IF(OR($C34="",$B$2="",$D$2=0),0,IF(AX$3&lt;0,0,N(INDEX('CURVA PREVISION'!$A$1:$KZ$3000,$C34,10+3*MIN(AX$3,$D$2-1)))))</f>
        <v/>
      </c>
      <c r="AY34" s="123">
        <f>IF(OR($C34="",$B$2="",$D$2=0),0,IF(AY$3&lt;0,0,N(INDEX('CURVA PREVISION'!$A$1:$KZ$3000,$C34,10+3*MIN(AY$3,$D$2-1)))))</f>
        <v/>
      </c>
      <c r="AZ34" s="123">
        <f>IF(OR($C34="",$B$2="",$D$2=0),0,IF(AZ$3&lt;0,0,N(INDEX('CURVA PREVISION'!$A$1:$KZ$3000,$C34,10+3*MIN(AZ$3,$D$2-1)))))</f>
        <v/>
      </c>
      <c r="BA34" s="123">
        <f>IF(OR($C34="",$B$2="",$D$2=0),0,IF(BA$3&lt;0,0,N(INDEX('CURVA PREVISION'!$A$1:$KZ$3000,$C34,10+3*MIN(BA$3,$D$2-1)))))</f>
        <v/>
      </c>
      <c r="BB34" s="123">
        <f>IF(OR($C34="",$B$2="",$D$2=0),0,IF(BB$3&lt;0,0,N(INDEX('CURVA PREVISION'!$A$1:$KZ$3000,$C34,10+3*MIN(BB$3,$D$2-1)))))</f>
        <v/>
      </c>
      <c r="BC34" s="123">
        <f>IF(OR($C34="",$B$2="",$D$2=0),0,IF(BC$3&lt;0,0,N(INDEX('CURVA PREVISION'!$A$1:$KZ$3000,$C34,10+3*MIN(BC$3,$D$2-1)))))</f>
        <v/>
      </c>
      <c r="BD34" s="123">
        <f>IF(OR($C34="",$B$2="",$D$2=0),0,IF(BD$3&lt;0,0,N(INDEX('CURVA PREVISION'!$A$1:$KZ$3000,$C34,10+3*MIN(BD$3,$D$2-1)))))</f>
        <v/>
      </c>
      <c r="BE34" s="123">
        <f>IF(OR($C34="",$B$2="",$D$2=0),0,IF(BE$3&lt;0,0,N(INDEX('CURVA PREVISION'!$A$1:$KZ$3000,$C34,10+3*MIN(BE$3,$D$2-1)))))</f>
        <v/>
      </c>
      <c r="BF34" s="123">
        <f>IF(OR($C34="",$B$2="",$D$2=0),0,IF(BF$3&lt;0,0,N(INDEX('CURVA PREVISION'!$A$1:$KZ$3000,$C34,10+3*MIN(BF$3,$D$2-1)))))</f>
        <v/>
      </c>
      <c r="BG34" s="123">
        <f>IF(OR($C34="",$B$2="",$D$2=0),0,IF(BG$3&lt;0,0,N(INDEX('CURVA PREVISION'!$A$1:$KZ$3000,$C34,10+3*MIN(BG$3,$D$2-1)))))</f>
        <v/>
      </c>
      <c r="BH34" s="123">
        <f>IF(OR($C34="",$B$2="",$D$2=0),0,IF(BH$3&lt;0,0,N(INDEX('CURVA PREVISION'!$A$1:$KZ$3000,$C34,10+3*MIN(BH$3,$D$2-1)))))</f>
        <v/>
      </c>
      <c r="BI34" s="123">
        <f>IF(OR($C34="",$B$2="",$D$2=0),0,IF(BI$3&lt;0,0,N(INDEX('CURVA PREVISION'!$A$1:$KZ$3000,$C34,10+3*MIN(BI$3,$D$2-1)))))</f>
        <v/>
      </c>
      <c r="BJ34" s="123">
        <f>IF(OR($C34="",$B$2="",$D$2=0),0,IF(BJ$3&lt;0,0,N(INDEX('CURVA PREVISION'!$A$1:$KZ$3000,$C34,10+3*MIN(BJ$3,$D$2-1)))))</f>
        <v/>
      </c>
      <c r="BK34" s="123">
        <f>IF(OR($C34="",$B$2="",$D$2=0),0,IF(BK$3&lt;0,0,N(INDEX('CURVA PREVISION'!$A$1:$KZ$3000,$C34,10+3*MIN(BK$3,$D$2-1)))))</f>
        <v/>
      </c>
      <c r="BL34" s="123">
        <f>IF(OR($C34="",$B$2="",$D$2=0),0,IF(BL$3&lt;0,0,N(INDEX('CURVA PREVISION'!$A$1:$KZ$3000,$C34,10+3*MIN(BL$3,$D$2-1)))))</f>
        <v/>
      </c>
      <c r="BM34" s="123">
        <f>IF(OR($C34="",$B$2="",$D$2=0),0,IF(BM$3&lt;0,0,N(INDEX('CURVA PREVISION'!$A$1:$KZ$3000,$C34,10+3*MIN(BM$3,$D$2-1)))))</f>
        <v/>
      </c>
      <c r="BN34" s="123">
        <f>IF(OR($C34="",$B$2="",$D$2=0),0,IF(BN$3&lt;0,0,N(INDEX('CURVA PREVISION'!$A$1:$KZ$3000,$C34,10+3*MIN(BN$3,$D$2-1)))))</f>
        <v/>
      </c>
      <c r="BO34" s="123">
        <f>IF(OR($C34="",$B$2="",$D$2=0),0,IF(BO$3&lt;0,0,N(INDEX('CURVA PREVISION'!$A$1:$KZ$3000,$C34,10+3*MIN(BO$3,$D$2-1)))))</f>
        <v/>
      </c>
      <c r="BP34" s="123">
        <f>IF(OR($C34="",$B$2="",$D$2=0),0,IF(BP$3&lt;0,0,N(INDEX('CURVA PREVISION'!$A$1:$KZ$3000,$C34,10+3*MIN(BP$3,$D$2-1)))))</f>
        <v/>
      </c>
      <c r="BQ34" s="123">
        <f>IF(OR($C34="",$B$2="",$D$2=0),0,IF(BQ$3&lt;0,0,N(INDEX('CURVA PREVISION'!$A$1:$KZ$3000,$C34,10+3*MIN(BQ$3,$D$2-1)))))</f>
        <v/>
      </c>
      <c r="BR34" s="123">
        <f>IF(OR($C34="",$B$2="",$D$2=0),0,IF(BR$3&lt;0,0,N(INDEX('CURVA PREVISION'!$A$1:$KZ$3000,$C34,10+3*MIN(BR$3,$D$2-1)))))</f>
        <v/>
      </c>
      <c r="BS34" s="123">
        <f>IF(OR($C34="",$B$2="",$D$2=0),0,IF(BS$3&lt;0,0,N(INDEX('CURVA PREVISION'!$A$1:$KZ$3000,$C34,10+3*MIN(BS$3,$D$2-1)))))</f>
        <v/>
      </c>
      <c r="BT34" s="123">
        <f>IF(OR($C34="",$B$2="",$D$2=0),0,IF(BT$3&lt;0,0,N(INDEX('CURVA PREVISION'!$A$1:$KZ$3000,$C34,10+3*MIN(BT$3,$D$2-1)))))</f>
        <v/>
      </c>
      <c r="BU34" s="123">
        <f>IF(OR($C34="",$B$2="",$D$2=0),0,IF(BU$3&lt;0,0,N(INDEX('CURVA PREVISION'!$A$1:$KZ$3000,$C34,10+3*MIN(BU$3,$D$2-1)))))</f>
        <v/>
      </c>
      <c r="BV34" s="123">
        <f>IF(OR($C34="",$B$2="",$D$2=0),0,IF(BV$3&lt;0,0,N(INDEX('CURVA PREVISION'!$A$1:$KZ$3000,$C34,10+3*MIN(BV$3,$D$2-1)))))</f>
        <v/>
      </c>
      <c r="BW34" s="123">
        <f>IF(OR($C34="",$B$2="",$D$2=0),0,IF(BW$3&lt;0,0,N(INDEX('CURVA PREVISION'!$A$1:$KZ$3000,$C34,10+3*MIN(BW$3,$D$2-1)))))</f>
        <v/>
      </c>
    </row>
    <row r="35">
      <c r="A35" s="61">
        <f>IF('VALOR POR PL'!R41&lt;&gt;"",'VALOR POR PL'!R41,IF('VALOR POR PL'!Q41="",'VALOR POR PL'!C41,'VALOR POR PL'!Q41))</f>
        <v/>
      </c>
      <c r="B35" s="61">
        <f>'VALOR POR PL'!D41</f>
        <v/>
      </c>
      <c r="C35" s="70">
        <f>IFERROR(MATCH(A35,'CURVA PREVISION'!$B$1:$B$3000,0),"")</f>
        <v/>
      </c>
      <c r="D35" s="123">
        <f>IF(OR($C35="",$B$2="",$D$2=0),0,IF(D$3&lt;0,0,N(INDEX('CURVA PREVISION'!$A$1:$KZ$3000,$C35,10+3*MIN(D$3,$D$2-1)))))</f>
        <v/>
      </c>
      <c r="E35" s="123">
        <f>IF(OR($C35="",$B$2="",$D$2=0),0,IF(E$3&lt;0,0,N(INDEX('CURVA PREVISION'!$A$1:$KZ$3000,$C35,10+3*MIN(E$3,$D$2-1)))))</f>
        <v/>
      </c>
      <c r="F35" s="123">
        <f>IF(OR($C35="",$B$2="",$D$2=0),0,IF(F$3&lt;0,0,N(INDEX('CURVA PREVISION'!$A$1:$KZ$3000,$C35,10+3*MIN(F$3,$D$2-1)))))</f>
        <v/>
      </c>
      <c r="G35" s="123">
        <f>IF(OR($C35="",$B$2="",$D$2=0),0,IF(G$3&lt;0,0,N(INDEX('CURVA PREVISION'!$A$1:$KZ$3000,$C35,10+3*MIN(G$3,$D$2-1)))))</f>
        <v/>
      </c>
      <c r="H35" s="123">
        <f>IF(OR($C35="",$B$2="",$D$2=0),0,IF(H$3&lt;0,0,N(INDEX('CURVA PREVISION'!$A$1:$KZ$3000,$C35,10+3*MIN(H$3,$D$2-1)))))</f>
        <v/>
      </c>
      <c r="I35" s="123">
        <f>IF(OR($C35="",$B$2="",$D$2=0),0,IF(I$3&lt;0,0,N(INDEX('CURVA PREVISION'!$A$1:$KZ$3000,$C35,10+3*MIN(I$3,$D$2-1)))))</f>
        <v/>
      </c>
      <c r="J35" s="123">
        <f>IF(OR($C35="",$B$2="",$D$2=0),0,IF(J$3&lt;0,0,N(INDEX('CURVA PREVISION'!$A$1:$KZ$3000,$C35,10+3*MIN(J$3,$D$2-1)))))</f>
        <v/>
      </c>
      <c r="K35" s="123">
        <f>IF(OR($C35="",$B$2="",$D$2=0),0,IF(K$3&lt;0,0,N(INDEX('CURVA PREVISION'!$A$1:$KZ$3000,$C35,10+3*MIN(K$3,$D$2-1)))))</f>
        <v/>
      </c>
      <c r="L35" s="123">
        <f>IF(OR($C35="",$B$2="",$D$2=0),0,IF(L$3&lt;0,0,N(INDEX('CURVA PREVISION'!$A$1:$KZ$3000,$C35,10+3*MIN(L$3,$D$2-1)))))</f>
        <v/>
      </c>
      <c r="M35" s="123">
        <f>IF(OR($C35="",$B$2="",$D$2=0),0,IF(M$3&lt;0,0,N(INDEX('CURVA PREVISION'!$A$1:$KZ$3000,$C35,10+3*MIN(M$3,$D$2-1)))))</f>
        <v/>
      </c>
      <c r="N35" s="123">
        <f>IF(OR($C35="",$B$2="",$D$2=0),0,IF(N$3&lt;0,0,N(INDEX('CURVA PREVISION'!$A$1:$KZ$3000,$C35,10+3*MIN(N$3,$D$2-1)))))</f>
        <v/>
      </c>
      <c r="O35" s="123">
        <f>IF(OR($C35="",$B$2="",$D$2=0),0,IF(O$3&lt;0,0,N(INDEX('CURVA PREVISION'!$A$1:$KZ$3000,$C35,10+3*MIN(O$3,$D$2-1)))))</f>
        <v/>
      </c>
      <c r="P35" s="123">
        <f>IF(OR($C35="",$B$2="",$D$2=0),0,IF(P$3&lt;0,0,N(INDEX('CURVA PREVISION'!$A$1:$KZ$3000,$C35,10+3*MIN(P$3,$D$2-1)))))</f>
        <v/>
      </c>
      <c r="Q35" s="123">
        <f>IF(OR($C35="",$B$2="",$D$2=0),0,IF(Q$3&lt;0,0,N(INDEX('CURVA PREVISION'!$A$1:$KZ$3000,$C35,10+3*MIN(Q$3,$D$2-1)))))</f>
        <v/>
      </c>
      <c r="R35" s="123">
        <f>IF(OR($C35="",$B$2="",$D$2=0),0,IF(R$3&lt;0,0,N(INDEX('CURVA PREVISION'!$A$1:$KZ$3000,$C35,10+3*MIN(R$3,$D$2-1)))))</f>
        <v/>
      </c>
      <c r="S35" s="123">
        <f>IF(OR($C35="",$B$2="",$D$2=0),0,IF(S$3&lt;0,0,N(INDEX('CURVA PREVISION'!$A$1:$KZ$3000,$C35,10+3*MIN(S$3,$D$2-1)))))</f>
        <v/>
      </c>
      <c r="T35" s="123">
        <f>IF(OR($C35="",$B$2="",$D$2=0),0,IF(T$3&lt;0,0,N(INDEX('CURVA PREVISION'!$A$1:$KZ$3000,$C35,10+3*MIN(T$3,$D$2-1)))))</f>
        <v/>
      </c>
      <c r="U35" s="123">
        <f>IF(OR($C35="",$B$2="",$D$2=0),0,IF(U$3&lt;0,0,N(INDEX('CURVA PREVISION'!$A$1:$KZ$3000,$C35,10+3*MIN(U$3,$D$2-1)))))</f>
        <v/>
      </c>
      <c r="V35" s="123">
        <f>IF(OR($C35="",$B$2="",$D$2=0),0,IF(V$3&lt;0,0,N(INDEX('CURVA PREVISION'!$A$1:$KZ$3000,$C35,10+3*MIN(V$3,$D$2-1)))))</f>
        <v/>
      </c>
      <c r="W35" s="123">
        <f>IF(OR($C35="",$B$2="",$D$2=0),0,IF(W$3&lt;0,0,N(INDEX('CURVA PREVISION'!$A$1:$KZ$3000,$C35,10+3*MIN(W$3,$D$2-1)))))</f>
        <v/>
      </c>
      <c r="X35" s="123">
        <f>IF(OR($C35="",$B$2="",$D$2=0),0,IF(X$3&lt;0,0,N(INDEX('CURVA PREVISION'!$A$1:$KZ$3000,$C35,10+3*MIN(X$3,$D$2-1)))))</f>
        <v/>
      </c>
      <c r="Y35" s="123">
        <f>IF(OR($C35="",$B$2="",$D$2=0),0,IF(Y$3&lt;0,0,N(INDEX('CURVA PREVISION'!$A$1:$KZ$3000,$C35,10+3*MIN(Y$3,$D$2-1)))))</f>
        <v/>
      </c>
      <c r="Z35" s="123">
        <f>IF(OR($C35="",$B$2="",$D$2=0),0,IF(Z$3&lt;0,0,N(INDEX('CURVA PREVISION'!$A$1:$KZ$3000,$C35,10+3*MIN(Z$3,$D$2-1)))))</f>
        <v/>
      </c>
      <c r="AA35" s="123">
        <f>IF(OR($C35="",$B$2="",$D$2=0),0,IF(AA$3&lt;0,0,N(INDEX('CURVA PREVISION'!$A$1:$KZ$3000,$C35,10+3*MIN(AA$3,$D$2-1)))))</f>
        <v/>
      </c>
      <c r="AB35" s="123">
        <f>IF(OR($C35="",$B$2="",$D$2=0),0,IF(AB$3&lt;0,0,N(INDEX('CURVA PREVISION'!$A$1:$KZ$3000,$C35,10+3*MIN(AB$3,$D$2-1)))))</f>
        <v/>
      </c>
      <c r="AC35" s="123">
        <f>IF(OR($C35="",$B$2="",$D$2=0),0,IF(AC$3&lt;0,0,N(INDEX('CURVA PREVISION'!$A$1:$KZ$3000,$C35,10+3*MIN(AC$3,$D$2-1)))))</f>
        <v/>
      </c>
      <c r="AD35" s="123">
        <f>IF(OR($C35="",$B$2="",$D$2=0),0,IF(AD$3&lt;0,0,N(INDEX('CURVA PREVISION'!$A$1:$KZ$3000,$C35,10+3*MIN(AD$3,$D$2-1)))))</f>
        <v/>
      </c>
      <c r="AE35" s="123">
        <f>IF(OR($C35="",$B$2="",$D$2=0),0,IF(AE$3&lt;0,0,N(INDEX('CURVA PREVISION'!$A$1:$KZ$3000,$C35,10+3*MIN(AE$3,$D$2-1)))))</f>
        <v/>
      </c>
      <c r="AF35" s="123">
        <f>IF(OR($C35="",$B$2="",$D$2=0),0,IF(AF$3&lt;0,0,N(INDEX('CURVA PREVISION'!$A$1:$KZ$3000,$C35,10+3*MIN(AF$3,$D$2-1)))))</f>
        <v/>
      </c>
      <c r="AG35" s="123">
        <f>IF(OR($C35="",$B$2="",$D$2=0),0,IF(AG$3&lt;0,0,N(INDEX('CURVA PREVISION'!$A$1:$KZ$3000,$C35,10+3*MIN(AG$3,$D$2-1)))))</f>
        <v/>
      </c>
      <c r="AH35" s="123">
        <f>IF(OR($C35="",$B$2="",$D$2=0),0,IF(AH$3&lt;0,0,N(INDEX('CURVA PREVISION'!$A$1:$KZ$3000,$C35,10+3*MIN(AH$3,$D$2-1)))))</f>
        <v/>
      </c>
      <c r="AI35" s="123">
        <f>IF(OR($C35="",$B$2="",$D$2=0),0,IF(AI$3&lt;0,0,N(INDEX('CURVA PREVISION'!$A$1:$KZ$3000,$C35,10+3*MIN(AI$3,$D$2-1)))))</f>
        <v/>
      </c>
      <c r="AJ35" s="123">
        <f>IF(OR($C35="",$B$2="",$D$2=0),0,IF(AJ$3&lt;0,0,N(INDEX('CURVA PREVISION'!$A$1:$KZ$3000,$C35,10+3*MIN(AJ$3,$D$2-1)))))</f>
        <v/>
      </c>
      <c r="AK35" s="123">
        <f>IF(OR($C35="",$B$2="",$D$2=0),0,IF(AK$3&lt;0,0,N(INDEX('CURVA PREVISION'!$A$1:$KZ$3000,$C35,10+3*MIN(AK$3,$D$2-1)))))</f>
        <v/>
      </c>
      <c r="AL35" s="123">
        <f>IF(OR($C35="",$B$2="",$D$2=0),0,IF(AL$3&lt;0,0,N(INDEX('CURVA PREVISION'!$A$1:$KZ$3000,$C35,10+3*MIN(AL$3,$D$2-1)))))</f>
        <v/>
      </c>
      <c r="AM35" s="123">
        <f>IF(OR($C35="",$B$2="",$D$2=0),0,IF(AM$3&lt;0,0,N(INDEX('CURVA PREVISION'!$A$1:$KZ$3000,$C35,10+3*MIN(AM$3,$D$2-1)))))</f>
        <v/>
      </c>
      <c r="AN35" s="123">
        <f>IF(OR($C35="",$B$2="",$D$2=0),0,IF(AN$3&lt;0,0,N(INDEX('CURVA PREVISION'!$A$1:$KZ$3000,$C35,10+3*MIN(AN$3,$D$2-1)))))</f>
        <v/>
      </c>
      <c r="AO35" s="123">
        <f>IF(OR($C35="",$B$2="",$D$2=0),0,IF(AO$3&lt;0,0,N(INDEX('CURVA PREVISION'!$A$1:$KZ$3000,$C35,10+3*MIN(AO$3,$D$2-1)))))</f>
        <v/>
      </c>
      <c r="AP35" s="123">
        <f>IF(OR($C35="",$B$2="",$D$2=0),0,IF(AP$3&lt;0,0,N(INDEX('CURVA PREVISION'!$A$1:$KZ$3000,$C35,10+3*MIN(AP$3,$D$2-1)))))</f>
        <v/>
      </c>
      <c r="AQ35" s="123">
        <f>IF(OR($C35="",$B$2="",$D$2=0),0,IF(AQ$3&lt;0,0,N(INDEX('CURVA PREVISION'!$A$1:$KZ$3000,$C35,10+3*MIN(AQ$3,$D$2-1)))))</f>
        <v/>
      </c>
      <c r="AR35" s="123">
        <f>IF(OR($C35="",$B$2="",$D$2=0),0,IF(AR$3&lt;0,0,N(INDEX('CURVA PREVISION'!$A$1:$KZ$3000,$C35,10+3*MIN(AR$3,$D$2-1)))))</f>
        <v/>
      </c>
      <c r="AS35" s="123">
        <f>IF(OR($C35="",$B$2="",$D$2=0),0,IF(AS$3&lt;0,0,N(INDEX('CURVA PREVISION'!$A$1:$KZ$3000,$C35,10+3*MIN(AS$3,$D$2-1)))))</f>
        <v/>
      </c>
      <c r="AT35" s="123">
        <f>IF(OR($C35="",$B$2="",$D$2=0),0,IF(AT$3&lt;0,0,N(INDEX('CURVA PREVISION'!$A$1:$KZ$3000,$C35,10+3*MIN(AT$3,$D$2-1)))))</f>
        <v/>
      </c>
      <c r="AU35" s="123">
        <f>IF(OR($C35="",$B$2="",$D$2=0),0,IF(AU$3&lt;0,0,N(INDEX('CURVA PREVISION'!$A$1:$KZ$3000,$C35,10+3*MIN(AU$3,$D$2-1)))))</f>
        <v/>
      </c>
      <c r="AV35" s="123">
        <f>IF(OR($C35="",$B$2="",$D$2=0),0,IF(AV$3&lt;0,0,N(INDEX('CURVA PREVISION'!$A$1:$KZ$3000,$C35,10+3*MIN(AV$3,$D$2-1)))))</f>
        <v/>
      </c>
      <c r="AW35" s="123">
        <f>IF(OR($C35="",$B$2="",$D$2=0),0,IF(AW$3&lt;0,0,N(INDEX('CURVA PREVISION'!$A$1:$KZ$3000,$C35,10+3*MIN(AW$3,$D$2-1)))))</f>
        <v/>
      </c>
      <c r="AX35" s="123">
        <f>IF(OR($C35="",$B$2="",$D$2=0),0,IF(AX$3&lt;0,0,N(INDEX('CURVA PREVISION'!$A$1:$KZ$3000,$C35,10+3*MIN(AX$3,$D$2-1)))))</f>
        <v/>
      </c>
      <c r="AY35" s="123">
        <f>IF(OR($C35="",$B$2="",$D$2=0),0,IF(AY$3&lt;0,0,N(INDEX('CURVA PREVISION'!$A$1:$KZ$3000,$C35,10+3*MIN(AY$3,$D$2-1)))))</f>
        <v/>
      </c>
      <c r="AZ35" s="123">
        <f>IF(OR($C35="",$B$2="",$D$2=0),0,IF(AZ$3&lt;0,0,N(INDEX('CURVA PREVISION'!$A$1:$KZ$3000,$C35,10+3*MIN(AZ$3,$D$2-1)))))</f>
        <v/>
      </c>
      <c r="BA35" s="123">
        <f>IF(OR($C35="",$B$2="",$D$2=0),0,IF(BA$3&lt;0,0,N(INDEX('CURVA PREVISION'!$A$1:$KZ$3000,$C35,10+3*MIN(BA$3,$D$2-1)))))</f>
        <v/>
      </c>
      <c r="BB35" s="123">
        <f>IF(OR($C35="",$B$2="",$D$2=0),0,IF(BB$3&lt;0,0,N(INDEX('CURVA PREVISION'!$A$1:$KZ$3000,$C35,10+3*MIN(BB$3,$D$2-1)))))</f>
        <v/>
      </c>
      <c r="BC35" s="123">
        <f>IF(OR($C35="",$B$2="",$D$2=0),0,IF(BC$3&lt;0,0,N(INDEX('CURVA PREVISION'!$A$1:$KZ$3000,$C35,10+3*MIN(BC$3,$D$2-1)))))</f>
        <v/>
      </c>
      <c r="BD35" s="123">
        <f>IF(OR($C35="",$B$2="",$D$2=0),0,IF(BD$3&lt;0,0,N(INDEX('CURVA PREVISION'!$A$1:$KZ$3000,$C35,10+3*MIN(BD$3,$D$2-1)))))</f>
        <v/>
      </c>
      <c r="BE35" s="123">
        <f>IF(OR($C35="",$B$2="",$D$2=0),0,IF(BE$3&lt;0,0,N(INDEX('CURVA PREVISION'!$A$1:$KZ$3000,$C35,10+3*MIN(BE$3,$D$2-1)))))</f>
        <v/>
      </c>
      <c r="BF35" s="123">
        <f>IF(OR($C35="",$B$2="",$D$2=0),0,IF(BF$3&lt;0,0,N(INDEX('CURVA PREVISION'!$A$1:$KZ$3000,$C35,10+3*MIN(BF$3,$D$2-1)))))</f>
        <v/>
      </c>
      <c r="BG35" s="123">
        <f>IF(OR($C35="",$B$2="",$D$2=0),0,IF(BG$3&lt;0,0,N(INDEX('CURVA PREVISION'!$A$1:$KZ$3000,$C35,10+3*MIN(BG$3,$D$2-1)))))</f>
        <v/>
      </c>
      <c r="BH35" s="123">
        <f>IF(OR($C35="",$B$2="",$D$2=0),0,IF(BH$3&lt;0,0,N(INDEX('CURVA PREVISION'!$A$1:$KZ$3000,$C35,10+3*MIN(BH$3,$D$2-1)))))</f>
        <v/>
      </c>
      <c r="BI35" s="123">
        <f>IF(OR($C35="",$B$2="",$D$2=0),0,IF(BI$3&lt;0,0,N(INDEX('CURVA PREVISION'!$A$1:$KZ$3000,$C35,10+3*MIN(BI$3,$D$2-1)))))</f>
        <v/>
      </c>
      <c r="BJ35" s="123">
        <f>IF(OR($C35="",$B$2="",$D$2=0),0,IF(BJ$3&lt;0,0,N(INDEX('CURVA PREVISION'!$A$1:$KZ$3000,$C35,10+3*MIN(BJ$3,$D$2-1)))))</f>
        <v/>
      </c>
      <c r="BK35" s="123">
        <f>IF(OR($C35="",$B$2="",$D$2=0),0,IF(BK$3&lt;0,0,N(INDEX('CURVA PREVISION'!$A$1:$KZ$3000,$C35,10+3*MIN(BK$3,$D$2-1)))))</f>
        <v/>
      </c>
      <c r="BL35" s="123">
        <f>IF(OR($C35="",$B$2="",$D$2=0),0,IF(BL$3&lt;0,0,N(INDEX('CURVA PREVISION'!$A$1:$KZ$3000,$C35,10+3*MIN(BL$3,$D$2-1)))))</f>
        <v/>
      </c>
      <c r="BM35" s="123">
        <f>IF(OR($C35="",$B$2="",$D$2=0),0,IF(BM$3&lt;0,0,N(INDEX('CURVA PREVISION'!$A$1:$KZ$3000,$C35,10+3*MIN(BM$3,$D$2-1)))))</f>
        <v/>
      </c>
      <c r="BN35" s="123">
        <f>IF(OR($C35="",$B$2="",$D$2=0),0,IF(BN$3&lt;0,0,N(INDEX('CURVA PREVISION'!$A$1:$KZ$3000,$C35,10+3*MIN(BN$3,$D$2-1)))))</f>
        <v/>
      </c>
      <c r="BO35" s="123">
        <f>IF(OR($C35="",$B$2="",$D$2=0),0,IF(BO$3&lt;0,0,N(INDEX('CURVA PREVISION'!$A$1:$KZ$3000,$C35,10+3*MIN(BO$3,$D$2-1)))))</f>
        <v/>
      </c>
      <c r="BP35" s="123">
        <f>IF(OR($C35="",$B$2="",$D$2=0),0,IF(BP$3&lt;0,0,N(INDEX('CURVA PREVISION'!$A$1:$KZ$3000,$C35,10+3*MIN(BP$3,$D$2-1)))))</f>
        <v/>
      </c>
      <c r="BQ35" s="123">
        <f>IF(OR($C35="",$B$2="",$D$2=0),0,IF(BQ$3&lt;0,0,N(INDEX('CURVA PREVISION'!$A$1:$KZ$3000,$C35,10+3*MIN(BQ$3,$D$2-1)))))</f>
        <v/>
      </c>
      <c r="BR35" s="123">
        <f>IF(OR($C35="",$B$2="",$D$2=0),0,IF(BR$3&lt;0,0,N(INDEX('CURVA PREVISION'!$A$1:$KZ$3000,$C35,10+3*MIN(BR$3,$D$2-1)))))</f>
        <v/>
      </c>
      <c r="BS35" s="123">
        <f>IF(OR($C35="",$B$2="",$D$2=0),0,IF(BS$3&lt;0,0,N(INDEX('CURVA PREVISION'!$A$1:$KZ$3000,$C35,10+3*MIN(BS$3,$D$2-1)))))</f>
        <v/>
      </c>
      <c r="BT35" s="123">
        <f>IF(OR($C35="",$B$2="",$D$2=0),0,IF(BT$3&lt;0,0,N(INDEX('CURVA PREVISION'!$A$1:$KZ$3000,$C35,10+3*MIN(BT$3,$D$2-1)))))</f>
        <v/>
      </c>
      <c r="BU35" s="123">
        <f>IF(OR($C35="",$B$2="",$D$2=0),0,IF(BU$3&lt;0,0,N(INDEX('CURVA PREVISION'!$A$1:$KZ$3000,$C35,10+3*MIN(BU$3,$D$2-1)))))</f>
        <v/>
      </c>
      <c r="BV35" s="123">
        <f>IF(OR($C35="",$B$2="",$D$2=0),0,IF(BV$3&lt;0,0,N(INDEX('CURVA PREVISION'!$A$1:$KZ$3000,$C35,10+3*MIN(BV$3,$D$2-1)))))</f>
        <v/>
      </c>
      <c r="BW35" s="123">
        <f>IF(OR($C35="",$B$2="",$D$2=0),0,IF(BW$3&lt;0,0,N(INDEX('CURVA PREVISION'!$A$1:$KZ$3000,$C35,10+3*MIN(BW$3,$D$2-1)))))</f>
        <v/>
      </c>
    </row>
    <row r="36">
      <c r="A36" s="61">
        <f>IF('VALOR POR PL'!R42&lt;&gt;"",'VALOR POR PL'!R42,IF('VALOR POR PL'!Q42="",'VALOR POR PL'!C42,'VALOR POR PL'!Q42))</f>
        <v/>
      </c>
      <c r="B36" s="61">
        <f>'VALOR POR PL'!D42</f>
        <v/>
      </c>
      <c r="C36" s="70">
        <f>IFERROR(MATCH(A36,'CURVA PREVISION'!$B$1:$B$3000,0),"")</f>
        <v/>
      </c>
      <c r="D36" s="123">
        <f>IF(OR($C36="",$B$2="",$D$2=0),0,IF(D$3&lt;0,0,N(INDEX('CURVA PREVISION'!$A$1:$KZ$3000,$C36,10+3*MIN(D$3,$D$2-1)))))</f>
        <v/>
      </c>
      <c r="E36" s="123">
        <f>IF(OR($C36="",$B$2="",$D$2=0),0,IF(E$3&lt;0,0,N(INDEX('CURVA PREVISION'!$A$1:$KZ$3000,$C36,10+3*MIN(E$3,$D$2-1)))))</f>
        <v/>
      </c>
      <c r="F36" s="123">
        <f>IF(OR($C36="",$B$2="",$D$2=0),0,IF(F$3&lt;0,0,N(INDEX('CURVA PREVISION'!$A$1:$KZ$3000,$C36,10+3*MIN(F$3,$D$2-1)))))</f>
        <v/>
      </c>
      <c r="G36" s="123">
        <f>IF(OR($C36="",$B$2="",$D$2=0),0,IF(G$3&lt;0,0,N(INDEX('CURVA PREVISION'!$A$1:$KZ$3000,$C36,10+3*MIN(G$3,$D$2-1)))))</f>
        <v/>
      </c>
      <c r="H36" s="123">
        <f>IF(OR($C36="",$B$2="",$D$2=0),0,IF(H$3&lt;0,0,N(INDEX('CURVA PREVISION'!$A$1:$KZ$3000,$C36,10+3*MIN(H$3,$D$2-1)))))</f>
        <v/>
      </c>
      <c r="I36" s="123">
        <f>IF(OR($C36="",$B$2="",$D$2=0),0,IF(I$3&lt;0,0,N(INDEX('CURVA PREVISION'!$A$1:$KZ$3000,$C36,10+3*MIN(I$3,$D$2-1)))))</f>
        <v/>
      </c>
      <c r="J36" s="123">
        <f>IF(OR($C36="",$B$2="",$D$2=0),0,IF(J$3&lt;0,0,N(INDEX('CURVA PREVISION'!$A$1:$KZ$3000,$C36,10+3*MIN(J$3,$D$2-1)))))</f>
        <v/>
      </c>
      <c r="K36" s="123">
        <f>IF(OR($C36="",$B$2="",$D$2=0),0,IF(K$3&lt;0,0,N(INDEX('CURVA PREVISION'!$A$1:$KZ$3000,$C36,10+3*MIN(K$3,$D$2-1)))))</f>
        <v/>
      </c>
      <c r="L36" s="123">
        <f>IF(OR($C36="",$B$2="",$D$2=0),0,IF(L$3&lt;0,0,N(INDEX('CURVA PREVISION'!$A$1:$KZ$3000,$C36,10+3*MIN(L$3,$D$2-1)))))</f>
        <v/>
      </c>
      <c r="M36" s="123">
        <f>IF(OR($C36="",$B$2="",$D$2=0),0,IF(M$3&lt;0,0,N(INDEX('CURVA PREVISION'!$A$1:$KZ$3000,$C36,10+3*MIN(M$3,$D$2-1)))))</f>
        <v/>
      </c>
      <c r="N36" s="123">
        <f>IF(OR($C36="",$B$2="",$D$2=0),0,IF(N$3&lt;0,0,N(INDEX('CURVA PREVISION'!$A$1:$KZ$3000,$C36,10+3*MIN(N$3,$D$2-1)))))</f>
        <v/>
      </c>
      <c r="O36" s="123">
        <f>IF(OR($C36="",$B$2="",$D$2=0),0,IF(O$3&lt;0,0,N(INDEX('CURVA PREVISION'!$A$1:$KZ$3000,$C36,10+3*MIN(O$3,$D$2-1)))))</f>
        <v/>
      </c>
      <c r="P36" s="123">
        <f>IF(OR($C36="",$B$2="",$D$2=0),0,IF(P$3&lt;0,0,N(INDEX('CURVA PREVISION'!$A$1:$KZ$3000,$C36,10+3*MIN(P$3,$D$2-1)))))</f>
        <v/>
      </c>
      <c r="Q36" s="123">
        <f>IF(OR($C36="",$B$2="",$D$2=0),0,IF(Q$3&lt;0,0,N(INDEX('CURVA PREVISION'!$A$1:$KZ$3000,$C36,10+3*MIN(Q$3,$D$2-1)))))</f>
        <v/>
      </c>
      <c r="R36" s="123">
        <f>IF(OR($C36="",$B$2="",$D$2=0),0,IF(R$3&lt;0,0,N(INDEX('CURVA PREVISION'!$A$1:$KZ$3000,$C36,10+3*MIN(R$3,$D$2-1)))))</f>
        <v/>
      </c>
      <c r="S36" s="123">
        <f>IF(OR($C36="",$B$2="",$D$2=0),0,IF(S$3&lt;0,0,N(INDEX('CURVA PREVISION'!$A$1:$KZ$3000,$C36,10+3*MIN(S$3,$D$2-1)))))</f>
        <v/>
      </c>
      <c r="T36" s="123">
        <f>IF(OR($C36="",$B$2="",$D$2=0),0,IF(T$3&lt;0,0,N(INDEX('CURVA PREVISION'!$A$1:$KZ$3000,$C36,10+3*MIN(T$3,$D$2-1)))))</f>
        <v/>
      </c>
      <c r="U36" s="123">
        <f>IF(OR($C36="",$B$2="",$D$2=0),0,IF(U$3&lt;0,0,N(INDEX('CURVA PREVISION'!$A$1:$KZ$3000,$C36,10+3*MIN(U$3,$D$2-1)))))</f>
        <v/>
      </c>
      <c r="V36" s="123">
        <f>IF(OR($C36="",$B$2="",$D$2=0),0,IF(V$3&lt;0,0,N(INDEX('CURVA PREVISION'!$A$1:$KZ$3000,$C36,10+3*MIN(V$3,$D$2-1)))))</f>
        <v/>
      </c>
      <c r="W36" s="123">
        <f>IF(OR($C36="",$B$2="",$D$2=0),0,IF(W$3&lt;0,0,N(INDEX('CURVA PREVISION'!$A$1:$KZ$3000,$C36,10+3*MIN(W$3,$D$2-1)))))</f>
        <v/>
      </c>
      <c r="X36" s="123">
        <f>IF(OR($C36="",$B$2="",$D$2=0),0,IF(X$3&lt;0,0,N(INDEX('CURVA PREVISION'!$A$1:$KZ$3000,$C36,10+3*MIN(X$3,$D$2-1)))))</f>
        <v/>
      </c>
      <c r="Y36" s="123">
        <f>IF(OR($C36="",$B$2="",$D$2=0),0,IF(Y$3&lt;0,0,N(INDEX('CURVA PREVISION'!$A$1:$KZ$3000,$C36,10+3*MIN(Y$3,$D$2-1)))))</f>
        <v/>
      </c>
      <c r="Z36" s="123">
        <f>IF(OR($C36="",$B$2="",$D$2=0),0,IF(Z$3&lt;0,0,N(INDEX('CURVA PREVISION'!$A$1:$KZ$3000,$C36,10+3*MIN(Z$3,$D$2-1)))))</f>
        <v/>
      </c>
      <c r="AA36" s="123">
        <f>IF(OR($C36="",$B$2="",$D$2=0),0,IF(AA$3&lt;0,0,N(INDEX('CURVA PREVISION'!$A$1:$KZ$3000,$C36,10+3*MIN(AA$3,$D$2-1)))))</f>
        <v/>
      </c>
      <c r="AB36" s="123">
        <f>IF(OR($C36="",$B$2="",$D$2=0),0,IF(AB$3&lt;0,0,N(INDEX('CURVA PREVISION'!$A$1:$KZ$3000,$C36,10+3*MIN(AB$3,$D$2-1)))))</f>
        <v/>
      </c>
      <c r="AC36" s="123">
        <f>IF(OR($C36="",$B$2="",$D$2=0),0,IF(AC$3&lt;0,0,N(INDEX('CURVA PREVISION'!$A$1:$KZ$3000,$C36,10+3*MIN(AC$3,$D$2-1)))))</f>
        <v/>
      </c>
      <c r="AD36" s="123">
        <f>IF(OR($C36="",$B$2="",$D$2=0),0,IF(AD$3&lt;0,0,N(INDEX('CURVA PREVISION'!$A$1:$KZ$3000,$C36,10+3*MIN(AD$3,$D$2-1)))))</f>
        <v/>
      </c>
      <c r="AE36" s="123">
        <f>IF(OR($C36="",$B$2="",$D$2=0),0,IF(AE$3&lt;0,0,N(INDEX('CURVA PREVISION'!$A$1:$KZ$3000,$C36,10+3*MIN(AE$3,$D$2-1)))))</f>
        <v/>
      </c>
      <c r="AF36" s="123">
        <f>IF(OR($C36="",$B$2="",$D$2=0),0,IF(AF$3&lt;0,0,N(INDEX('CURVA PREVISION'!$A$1:$KZ$3000,$C36,10+3*MIN(AF$3,$D$2-1)))))</f>
        <v/>
      </c>
      <c r="AG36" s="123">
        <f>IF(OR($C36="",$B$2="",$D$2=0),0,IF(AG$3&lt;0,0,N(INDEX('CURVA PREVISION'!$A$1:$KZ$3000,$C36,10+3*MIN(AG$3,$D$2-1)))))</f>
        <v/>
      </c>
      <c r="AH36" s="123">
        <f>IF(OR($C36="",$B$2="",$D$2=0),0,IF(AH$3&lt;0,0,N(INDEX('CURVA PREVISION'!$A$1:$KZ$3000,$C36,10+3*MIN(AH$3,$D$2-1)))))</f>
        <v/>
      </c>
      <c r="AI36" s="123">
        <f>IF(OR($C36="",$B$2="",$D$2=0),0,IF(AI$3&lt;0,0,N(INDEX('CURVA PREVISION'!$A$1:$KZ$3000,$C36,10+3*MIN(AI$3,$D$2-1)))))</f>
        <v/>
      </c>
      <c r="AJ36" s="123">
        <f>IF(OR($C36="",$B$2="",$D$2=0),0,IF(AJ$3&lt;0,0,N(INDEX('CURVA PREVISION'!$A$1:$KZ$3000,$C36,10+3*MIN(AJ$3,$D$2-1)))))</f>
        <v/>
      </c>
      <c r="AK36" s="123">
        <f>IF(OR($C36="",$B$2="",$D$2=0),0,IF(AK$3&lt;0,0,N(INDEX('CURVA PREVISION'!$A$1:$KZ$3000,$C36,10+3*MIN(AK$3,$D$2-1)))))</f>
        <v/>
      </c>
      <c r="AL36" s="123">
        <f>IF(OR($C36="",$B$2="",$D$2=0),0,IF(AL$3&lt;0,0,N(INDEX('CURVA PREVISION'!$A$1:$KZ$3000,$C36,10+3*MIN(AL$3,$D$2-1)))))</f>
        <v/>
      </c>
      <c r="AM36" s="123">
        <f>IF(OR($C36="",$B$2="",$D$2=0),0,IF(AM$3&lt;0,0,N(INDEX('CURVA PREVISION'!$A$1:$KZ$3000,$C36,10+3*MIN(AM$3,$D$2-1)))))</f>
        <v/>
      </c>
      <c r="AN36" s="123">
        <f>IF(OR($C36="",$B$2="",$D$2=0),0,IF(AN$3&lt;0,0,N(INDEX('CURVA PREVISION'!$A$1:$KZ$3000,$C36,10+3*MIN(AN$3,$D$2-1)))))</f>
        <v/>
      </c>
      <c r="AO36" s="123">
        <f>IF(OR($C36="",$B$2="",$D$2=0),0,IF(AO$3&lt;0,0,N(INDEX('CURVA PREVISION'!$A$1:$KZ$3000,$C36,10+3*MIN(AO$3,$D$2-1)))))</f>
        <v/>
      </c>
      <c r="AP36" s="123">
        <f>IF(OR($C36="",$B$2="",$D$2=0),0,IF(AP$3&lt;0,0,N(INDEX('CURVA PREVISION'!$A$1:$KZ$3000,$C36,10+3*MIN(AP$3,$D$2-1)))))</f>
        <v/>
      </c>
      <c r="AQ36" s="123">
        <f>IF(OR($C36="",$B$2="",$D$2=0),0,IF(AQ$3&lt;0,0,N(INDEX('CURVA PREVISION'!$A$1:$KZ$3000,$C36,10+3*MIN(AQ$3,$D$2-1)))))</f>
        <v/>
      </c>
      <c r="AR36" s="123">
        <f>IF(OR($C36="",$B$2="",$D$2=0),0,IF(AR$3&lt;0,0,N(INDEX('CURVA PREVISION'!$A$1:$KZ$3000,$C36,10+3*MIN(AR$3,$D$2-1)))))</f>
        <v/>
      </c>
      <c r="AS36" s="123">
        <f>IF(OR($C36="",$B$2="",$D$2=0),0,IF(AS$3&lt;0,0,N(INDEX('CURVA PREVISION'!$A$1:$KZ$3000,$C36,10+3*MIN(AS$3,$D$2-1)))))</f>
        <v/>
      </c>
      <c r="AT36" s="123">
        <f>IF(OR($C36="",$B$2="",$D$2=0),0,IF(AT$3&lt;0,0,N(INDEX('CURVA PREVISION'!$A$1:$KZ$3000,$C36,10+3*MIN(AT$3,$D$2-1)))))</f>
        <v/>
      </c>
      <c r="AU36" s="123">
        <f>IF(OR($C36="",$B$2="",$D$2=0),0,IF(AU$3&lt;0,0,N(INDEX('CURVA PREVISION'!$A$1:$KZ$3000,$C36,10+3*MIN(AU$3,$D$2-1)))))</f>
        <v/>
      </c>
      <c r="AV36" s="123">
        <f>IF(OR($C36="",$B$2="",$D$2=0),0,IF(AV$3&lt;0,0,N(INDEX('CURVA PREVISION'!$A$1:$KZ$3000,$C36,10+3*MIN(AV$3,$D$2-1)))))</f>
        <v/>
      </c>
      <c r="AW36" s="123">
        <f>IF(OR($C36="",$B$2="",$D$2=0),0,IF(AW$3&lt;0,0,N(INDEX('CURVA PREVISION'!$A$1:$KZ$3000,$C36,10+3*MIN(AW$3,$D$2-1)))))</f>
        <v/>
      </c>
      <c r="AX36" s="123">
        <f>IF(OR($C36="",$B$2="",$D$2=0),0,IF(AX$3&lt;0,0,N(INDEX('CURVA PREVISION'!$A$1:$KZ$3000,$C36,10+3*MIN(AX$3,$D$2-1)))))</f>
        <v/>
      </c>
      <c r="AY36" s="123">
        <f>IF(OR($C36="",$B$2="",$D$2=0),0,IF(AY$3&lt;0,0,N(INDEX('CURVA PREVISION'!$A$1:$KZ$3000,$C36,10+3*MIN(AY$3,$D$2-1)))))</f>
        <v/>
      </c>
      <c r="AZ36" s="123">
        <f>IF(OR($C36="",$B$2="",$D$2=0),0,IF(AZ$3&lt;0,0,N(INDEX('CURVA PREVISION'!$A$1:$KZ$3000,$C36,10+3*MIN(AZ$3,$D$2-1)))))</f>
        <v/>
      </c>
      <c r="BA36" s="123">
        <f>IF(OR($C36="",$B$2="",$D$2=0),0,IF(BA$3&lt;0,0,N(INDEX('CURVA PREVISION'!$A$1:$KZ$3000,$C36,10+3*MIN(BA$3,$D$2-1)))))</f>
        <v/>
      </c>
      <c r="BB36" s="123">
        <f>IF(OR($C36="",$B$2="",$D$2=0),0,IF(BB$3&lt;0,0,N(INDEX('CURVA PREVISION'!$A$1:$KZ$3000,$C36,10+3*MIN(BB$3,$D$2-1)))))</f>
        <v/>
      </c>
      <c r="BC36" s="123">
        <f>IF(OR($C36="",$B$2="",$D$2=0),0,IF(BC$3&lt;0,0,N(INDEX('CURVA PREVISION'!$A$1:$KZ$3000,$C36,10+3*MIN(BC$3,$D$2-1)))))</f>
        <v/>
      </c>
      <c r="BD36" s="123">
        <f>IF(OR($C36="",$B$2="",$D$2=0),0,IF(BD$3&lt;0,0,N(INDEX('CURVA PREVISION'!$A$1:$KZ$3000,$C36,10+3*MIN(BD$3,$D$2-1)))))</f>
        <v/>
      </c>
      <c r="BE36" s="123">
        <f>IF(OR($C36="",$B$2="",$D$2=0),0,IF(BE$3&lt;0,0,N(INDEX('CURVA PREVISION'!$A$1:$KZ$3000,$C36,10+3*MIN(BE$3,$D$2-1)))))</f>
        <v/>
      </c>
      <c r="BF36" s="123">
        <f>IF(OR($C36="",$B$2="",$D$2=0),0,IF(BF$3&lt;0,0,N(INDEX('CURVA PREVISION'!$A$1:$KZ$3000,$C36,10+3*MIN(BF$3,$D$2-1)))))</f>
        <v/>
      </c>
      <c r="BG36" s="123">
        <f>IF(OR($C36="",$B$2="",$D$2=0),0,IF(BG$3&lt;0,0,N(INDEX('CURVA PREVISION'!$A$1:$KZ$3000,$C36,10+3*MIN(BG$3,$D$2-1)))))</f>
        <v/>
      </c>
      <c r="BH36" s="123">
        <f>IF(OR($C36="",$B$2="",$D$2=0),0,IF(BH$3&lt;0,0,N(INDEX('CURVA PREVISION'!$A$1:$KZ$3000,$C36,10+3*MIN(BH$3,$D$2-1)))))</f>
        <v/>
      </c>
      <c r="BI36" s="123">
        <f>IF(OR($C36="",$B$2="",$D$2=0),0,IF(BI$3&lt;0,0,N(INDEX('CURVA PREVISION'!$A$1:$KZ$3000,$C36,10+3*MIN(BI$3,$D$2-1)))))</f>
        <v/>
      </c>
      <c r="BJ36" s="123">
        <f>IF(OR($C36="",$B$2="",$D$2=0),0,IF(BJ$3&lt;0,0,N(INDEX('CURVA PREVISION'!$A$1:$KZ$3000,$C36,10+3*MIN(BJ$3,$D$2-1)))))</f>
        <v/>
      </c>
      <c r="BK36" s="123">
        <f>IF(OR($C36="",$B$2="",$D$2=0),0,IF(BK$3&lt;0,0,N(INDEX('CURVA PREVISION'!$A$1:$KZ$3000,$C36,10+3*MIN(BK$3,$D$2-1)))))</f>
        <v/>
      </c>
      <c r="BL36" s="123">
        <f>IF(OR($C36="",$B$2="",$D$2=0),0,IF(BL$3&lt;0,0,N(INDEX('CURVA PREVISION'!$A$1:$KZ$3000,$C36,10+3*MIN(BL$3,$D$2-1)))))</f>
        <v/>
      </c>
      <c r="BM36" s="123">
        <f>IF(OR($C36="",$B$2="",$D$2=0),0,IF(BM$3&lt;0,0,N(INDEX('CURVA PREVISION'!$A$1:$KZ$3000,$C36,10+3*MIN(BM$3,$D$2-1)))))</f>
        <v/>
      </c>
      <c r="BN36" s="123">
        <f>IF(OR($C36="",$B$2="",$D$2=0),0,IF(BN$3&lt;0,0,N(INDEX('CURVA PREVISION'!$A$1:$KZ$3000,$C36,10+3*MIN(BN$3,$D$2-1)))))</f>
        <v/>
      </c>
      <c r="BO36" s="123">
        <f>IF(OR($C36="",$B$2="",$D$2=0),0,IF(BO$3&lt;0,0,N(INDEX('CURVA PREVISION'!$A$1:$KZ$3000,$C36,10+3*MIN(BO$3,$D$2-1)))))</f>
        <v/>
      </c>
      <c r="BP36" s="123">
        <f>IF(OR($C36="",$B$2="",$D$2=0),0,IF(BP$3&lt;0,0,N(INDEX('CURVA PREVISION'!$A$1:$KZ$3000,$C36,10+3*MIN(BP$3,$D$2-1)))))</f>
        <v/>
      </c>
      <c r="BQ36" s="123">
        <f>IF(OR($C36="",$B$2="",$D$2=0),0,IF(BQ$3&lt;0,0,N(INDEX('CURVA PREVISION'!$A$1:$KZ$3000,$C36,10+3*MIN(BQ$3,$D$2-1)))))</f>
        <v/>
      </c>
      <c r="BR36" s="123">
        <f>IF(OR($C36="",$B$2="",$D$2=0),0,IF(BR$3&lt;0,0,N(INDEX('CURVA PREVISION'!$A$1:$KZ$3000,$C36,10+3*MIN(BR$3,$D$2-1)))))</f>
        <v/>
      </c>
      <c r="BS36" s="123">
        <f>IF(OR($C36="",$B$2="",$D$2=0),0,IF(BS$3&lt;0,0,N(INDEX('CURVA PREVISION'!$A$1:$KZ$3000,$C36,10+3*MIN(BS$3,$D$2-1)))))</f>
        <v/>
      </c>
      <c r="BT36" s="123">
        <f>IF(OR($C36="",$B$2="",$D$2=0),0,IF(BT$3&lt;0,0,N(INDEX('CURVA PREVISION'!$A$1:$KZ$3000,$C36,10+3*MIN(BT$3,$D$2-1)))))</f>
        <v/>
      </c>
      <c r="BU36" s="123">
        <f>IF(OR($C36="",$B$2="",$D$2=0),0,IF(BU$3&lt;0,0,N(INDEX('CURVA PREVISION'!$A$1:$KZ$3000,$C36,10+3*MIN(BU$3,$D$2-1)))))</f>
        <v/>
      </c>
      <c r="BV36" s="123">
        <f>IF(OR($C36="",$B$2="",$D$2=0),0,IF(BV$3&lt;0,0,N(INDEX('CURVA PREVISION'!$A$1:$KZ$3000,$C36,10+3*MIN(BV$3,$D$2-1)))))</f>
        <v/>
      </c>
      <c r="BW36" s="123">
        <f>IF(OR($C36="",$B$2="",$D$2=0),0,IF(BW$3&lt;0,0,N(INDEX('CURVA PREVISION'!$A$1:$KZ$3000,$C36,10+3*MIN(BW$3,$D$2-1)))))</f>
        <v/>
      </c>
    </row>
    <row r="37">
      <c r="A37" s="61">
        <f>IF('VALOR POR PL'!R43&lt;&gt;"",'VALOR POR PL'!R43,IF('VALOR POR PL'!Q43="",'VALOR POR PL'!C43,'VALOR POR PL'!Q43))</f>
        <v/>
      </c>
      <c r="B37" s="61">
        <f>'VALOR POR PL'!D43</f>
        <v/>
      </c>
      <c r="C37" s="70">
        <f>IFERROR(MATCH(A37,'CURVA PREVISION'!$B$1:$B$3000,0),"")</f>
        <v/>
      </c>
      <c r="D37" s="123">
        <f>IF(OR($C37="",$B$2="",$D$2=0),0,IF(D$3&lt;0,0,N(INDEX('CURVA PREVISION'!$A$1:$KZ$3000,$C37,10+3*MIN(D$3,$D$2-1)))))</f>
        <v/>
      </c>
      <c r="E37" s="123">
        <f>IF(OR($C37="",$B$2="",$D$2=0),0,IF(E$3&lt;0,0,N(INDEX('CURVA PREVISION'!$A$1:$KZ$3000,$C37,10+3*MIN(E$3,$D$2-1)))))</f>
        <v/>
      </c>
      <c r="F37" s="123">
        <f>IF(OR($C37="",$B$2="",$D$2=0),0,IF(F$3&lt;0,0,N(INDEX('CURVA PREVISION'!$A$1:$KZ$3000,$C37,10+3*MIN(F$3,$D$2-1)))))</f>
        <v/>
      </c>
      <c r="G37" s="123">
        <f>IF(OR($C37="",$B$2="",$D$2=0),0,IF(G$3&lt;0,0,N(INDEX('CURVA PREVISION'!$A$1:$KZ$3000,$C37,10+3*MIN(G$3,$D$2-1)))))</f>
        <v/>
      </c>
      <c r="H37" s="123">
        <f>IF(OR($C37="",$B$2="",$D$2=0),0,IF(H$3&lt;0,0,N(INDEX('CURVA PREVISION'!$A$1:$KZ$3000,$C37,10+3*MIN(H$3,$D$2-1)))))</f>
        <v/>
      </c>
      <c r="I37" s="123">
        <f>IF(OR($C37="",$B$2="",$D$2=0),0,IF(I$3&lt;0,0,N(INDEX('CURVA PREVISION'!$A$1:$KZ$3000,$C37,10+3*MIN(I$3,$D$2-1)))))</f>
        <v/>
      </c>
      <c r="J37" s="123">
        <f>IF(OR($C37="",$B$2="",$D$2=0),0,IF(J$3&lt;0,0,N(INDEX('CURVA PREVISION'!$A$1:$KZ$3000,$C37,10+3*MIN(J$3,$D$2-1)))))</f>
        <v/>
      </c>
      <c r="K37" s="123">
        <f>IF(OR($C37="",$B$2="",$D$2=0),0,IF(K$3&lt;0,0,N(INDEX('CURVA PREVISION'!$A$1:$KZ$3000,$C37,10+3*MIN(K$3,$D$2-1)))))</f>
        <v/>
      </c>
      <c r="L37" s="123">
        <f>IF(OR($C37="",$B$2="",$D$2=0),0,IF(L$3&lt;0,0,N(INDEX('CURVA PREVISION'!$A$1:$KZ$3000,$C37,10+3*MIN(L$3,$D$2-1)))))</f>
        <v/>
      </c>
      <c r="M37" s="123">
        <f>IF(OR($C37="",$B$2="",$D$2=0),0,IF(M$3&lt;0,0,N(INDEX('CURVA PREVISION'!$A$1:$KZ$3000,$C37,10+3*MIN(M$3,$D$2-1)))))</f>
        <v/>
      </c>
      <c r="N37" s="123">
        <f>IF(OR($C37="",$B$2="",$D$2=0),0,IF(N$3&lt;0,0,N(INDEX('CURVA PREVISION'!$A$1:$KZ$3000,$C37,10+3*MIN(N$3,$D$2-1)))))</f>
        <v/>
      </c>
      <c r="O37" s="123">
        <f>IF(OR($C37="",$B$2="",$D$2=0),0,IF(O$3&lt;0,0,N(INDEX('CURVA PREVISION'!$A$1:$KZ$3000,$C37,10+3*MIN(O$3,$D$2-1)))))</f>
        <v/>
      </c>
      <c r="P37" s="123">
        <f>IF(OR($C37="",$B$2="",$D$2=0),0,IF(P$3&lt;0,0,N(INDEX('CURVA PREVISION'!$A$1:$KZ$3000,$C37,10+3*MIN(P$3,$D$2-1)))))</f>
        <v/>
      </c>
      <c r="Q37" s="123">
        <f>IF(OR($C37="",$B$2="",$D$2=0),0,IF(Q$3&lt;0,0,N(INDEX('CURVA PREVISION'!$A$1:$KZ$3000,$C37,10+3*MIN(Q$3,$D$2-1)))))</f>
        <v/>
      </c>
      <c r="R37" s="123">
        <f>IF(OR($C37="",$B$2="",$D$2=0),0,IF(R$3&lt;0,0,N(INDEX('CURVA PREVISION'!$A$1:$KZ$3000,$C37,10+3*MIN(R$3,$D$2-1)))))</f>
        <v/>
      </c>
      <c r="S37" s="123">
        <f>IF(OR($C37="",$B$2="",$D$2=0),0,IF(S$3&lt;0,0,N(INDEX('CURVA PREVISION'!$A$1:$KZ$3000,$C37,10+3*MIN(S$3,$D$2-1)))))</f>
        <v/>
      </c>
      <c r="T37" s="123">
        <f>IF(OR($C37="",$B$2="",$D$2=0),0,IF(T$3&lt;0,0,N(INDEX('CURVA PREVISION'!$A$1:$KZ$3000,$C37,10+3*MIN(T$3,$D$2-1)))))</f>
        <v/>
      </c>
      <c r="U37" s="123">
        <f>IF(OR($C37="",$B$2="",$D$2=0),0,IF(U$3&lt;0,0,N(INDEX('CURVA PREVISION'!$A$1:$KZ$3000,$C37,10+3*MIN(U$3,$D$2-1)))))</f>
        <v/>
      </c>
      <c r="V37" s="123">
        <f>IF(OR($C37="",$B$2="",$D$2=0),0,IF(V$3&lt;0,0,N(INDEX('CURVA PREVISION'!$A$1:$KZ$3000,$C37,10+3*MIN(V$3,$D$2-1)))))</f>
        <v/>
      </c>
      <c r="W37" s="123">
        <f>IF(OR($C37="",$B$2="",$D$2=0),0,IF(W$3&lt;0,0,N(INDEX('CURVA PREVISION'!$A$1:$KZ$3000,$C37,10+3*MIN(W$3,$D$2-1)))))</f>
        <v/>
      </c>
      <c r="X37" s="123">
        <f>IF(OR($C37="",$B$2="",$D$2=0),0,IF(X$3&lt;0,0,N(INDEX('CURVA PREVISION'!$A$1:$KZ$3000,$C37,10+3*MIN(X$3,$D$2-1)))))</f>
        <v/>
      </c>
      <c r="Y37" s="123">
        <f>IF(OR($C37="",$B$2="",$D$2=0),0,IF(Y$3&lt;0,0,N(INDEX('CURVA PREVISION'!$A$1:$KZ$3000,$C37,10+3*MIN(Y$3,$D$2-1)))))</f>
        <v/>
      </c>
      <c r="Z37" s="123">
        <f>IF(OR($C37="",$B$2="",$D$2=0),0,IF(Z$3&lt;0,0,N(INDEX('CURVA PREVISION'!$A$1:$KZ$3000,$C37,10+3*MIN(Z$3,$D$2-1)))))</f>
        <v/>
      </c>
      <c r="AA37" s="123">
        <f>IF(OR($C37="",$B$2="",$D$2=0),0,IF(AA$3&lt;0,0,N(INDEX('CURVA PREVISION'!$A$1:$KZ$3000,$C37,10+3*MIN(AA$3,$D$2-1)))))</f>
        <v/>
      </c>
      <c r="AB37" s="123">
        <f>IF(OR($C37="",$B$2="",$D$2=0),0,IF(AB$3&lt;0,0,N(INDEX('CURVA PREVISION'!$A$1:$KZ$3000,$C37,10+3*MIN(AB$3,$D$2-1)))))</f>
        <v/>
      </c>
      <c r="AC37" s="123">
        <f>IF(OR($C37="",$B$2="",$D$2=0),0,IF(AC$3&lt;0,0,N(INDEX('CURVA PREVISION'!$A$1:$KZ$3000,$C37,10+3*MIN(AC$3,$D$2-1)))))</f>
        <v/>
      </c>
      <c r="AD37" s="123">
        <f>IF(OR($C37="",$B$2="",$D$2=0),0,IF(AD$3&lt;0,0,N(INDEX('CURVA PREVISION'!$A$1:$KZ$3000,$C37,10+3*MIN(AD$3,$D$2-1)))))</f>
        <v/>
      </c>
      <c r="AE37" s="123">
        <f>IF(OR($C37="",$B$2="",$D$2=0),0,IF(AE$3&lt;0,0,N(INDEX('CURVA PREVISION'!$A$1:$KZ$3000,$C37,10+3*MIN(AE$3,$D$2-1)))))</f>
        <v/>
      </c>
      <c r="AF37" s="123">
        <f>IF(OR($C37="",$B$2="",$D$2=0),0,IF(AF$3&lt;0,0,N(INDEX('CURVA PREVISION'!$A$1:$KZ$3000,$C37,10+3*MIN(AF$3,$D$2-1)))))</f>
        <v/>
      </c>
      <c r="AG37" s="123">
        <f>IF(OR($C37="",$B$2="",$D$2=0),0,IF(AG$3&lt;0,0,N(INDEX('CURVA PREVISION'!$A$1:$KZ$3000,$C37,10+3*MIN(AG$3,$D$2-1)))))</f>
        <v/>
      </c>
      <c r="AH37" s="123">
        <f>IF(OR($C37="",$B$2="",$D$2=0),0,IF(AH$3&lt;0,0,N(INDEX('CURVA PREVISION'!$A$1:$KZ$3000,$C37,10+3*MIN(AH$3,$D$2-1)))))</f>
        <v/>
      </c>
      <c r="AI37" s="123">
        <f>IF(OR($C37="",$B$2="",$D$2=0),0,IF(AI$3&lt;0,0,N(INDEX('CURVA PREVISION'!$A$1:$KZ$3000,$C37,10+3*MIN(AI$3,$D$2-1)))))</f>
        <v/>
      </c>
      <c r="AJ37" s="123">
        <f>IF(OR($C37="",$B$2="",$D$2=0),0,IF(AJ$3&lt;0,0,N(INDEX('CURVA PREVISION'!$A$1:$KZ$3000,$C37,10+3*MIN(AJ$3,$D$2-1)))))</f>
        <v/>
      </c>
      <c r="AK37" s="123">
        <f>IF(OR($C37="",$B$2="",$D$2=0),0,IF(AK$3&lt;0,0,N(INDEX('CURVA PREVISION'!$A$1:$KZ$3000,$C37,10+3*MIN(AK$3,$D$2-1)))))</f>
        <v/>
      </c>
      <c r="AL37" s="123">
        <f>IF(OR($C37="",$B$2="",$D$2=0),0,IF(AL$3&lt;0,0,N(INDEX('CURVA PREVISION'!$A$1:$KZ$3000,$C37,10+3*MIN(AL$3,$D$2-1)))))</f>
        <v/>
      </c>
      <c r="AM37" s="123">
        <f>IF(OR($C37="",$B$2="",$D$2=0),0,IF(AM$3&lt;0,0,N(INDEX('CURVA PREVISION'!$A$1:$KZ$3000,$C37,10+3*MIN(AM$3,$D$2-1)))))</f>
        <v/>
      </c>
      <c r="AN37" s="123">
        <f>IF(OR($C37="",$B$2="",$D$2=0),0,IF(AN$3&lt;0,0,N(INDEX('CURVA PREVISION'!$A$1:$KZ$3000,$C37,10+3*MIN(AN$3,$D$2-1)))))</f>
        <v/>
      </c>
      <c r="AO37" s="123">
        <f>IF(OR($C37="",$B$2="",$D$2=0),0,IF(AO$3&lt;0,0,N(INDEX('CURVA PREVISION'!$A$1:$KZ$3000,$C37,10+3*MIN(AO$3,$D$2-1)))))</f>
        <v/>
      </c>
      <c r="AP37" s="123">
        <f>IF(OR($C37="",$B$2="",$D$2=0),0,IF(AP$3&lt;0,0,N(INDEX('CURVA PREVISION'!$A$1:$KZ$3000,$C37,10+3*MIN(AP$3,$D$2-1)))))</f>
        <v/>
      </c>
      <c r="AQ37" s="123">
        <f>IF(OR($C37="",$B$2="",$D$2=0),0,IF(AQ$3&lt;0,0,N(INDEX('CURVA PREVISION'!$A$1:$KZ$3000,$C37,10+3*MIN(AQ$3,$D$2-1)))))</f>
        <v/>
      </c>
      <c r="AR37" s="123">
        <f>IF(OR($C37="",$B$2="",$D$2=0),0,IF(AR$3&lt;0,0,N(INDEX('CURVA PREVISION'!$A$1:$KZ$3000,$C37,10+3*MIN(AR$3,$D$2-1)))))</f>
        <v/>
      </c>
      <c r="AS37" s="123">
        <f>IF(OR($C37="",$B$2="",$D$2=0),0,IF(AS$3&lt;0,0,N(INDEX('CURVA PREVISION'!$A$1:$KZ$3000,$C37,10+3*MIN(AS$3,$D$2-1)))))</f>
        <v/>
      </c>
      <c r="AT37" s="123">
        <f>IF(OR($C37="",$B$2="",$D$2=0),0,IF(AT$3&lt;0,0,N(INDEX('CURVA PREVISION'!$A$1:$KZ$3000,$C37,10+3*MIN(AT$3,$D$2-1)))))</f>
        <v/>
      </c>
      <c r="AU37" s="123">
        <f>IF(OR($C37="",$B$2="",$D$2=0),0,IF(AU$3&lt;0,0,N(INDEX('CURVA PREVISION'!$A$1:$KZ$3000,$C37,10+3*MIN(AU$3,$D$2-1)))))</f>
        <v/>
      </c>
      <c r="AV37" s="123">
        <f>IF(OR($C37="",$B$2="",$D$2=0),0,IF(AV$3&lt;0,0,N(INDEX('CURVA PREVISION'!$A$1:$KZ$3000,$C37,10+3*MIN(AV$3,$D$2-1)))))</f>
        <v/>
      </c>
      <c r="AW37" s="123">
        <f>IF(OR($C37="",$B$2="",$D$2=0),0,IF(AW$3&lt;0,0,N(INDEX('CURVA PREVISION'!$A$1:$KZ$3000,$C37,10+3*MIN(AW$3,$D$2-1)))))</f>
        <v/>
      </c>
      <c r="AX37" s="123">
        <f>IF(OR($C37="",$B$2="",$D$2=0),0,IF(AX$3&lt;0,0,N(INDEX('CURVA PREVISION'!$A$1:$KZ$3000,$C37,10+3*MIN(AX$3,$D$2-1)))))</f>
        <v/>
      </c>
      <c r="AY37" s="123">
        <f>IF(OR($C37="",$B$2="",$D$2=0),0,IF(AY$3&lt;0,0,N(INDEX('CURVA PREVISION'!$A$1:$KZ$3000,$C37,10+3*MIN(AY$3,$D$2-1)))))</f>
        <v/>
      </c>
      <c r="AZ37" s="123">
        <f>IF(OR($C37="",$B$2="",$D$2=0),0,IF(AZ$3&lt;0,0,N(INDEX('CURVA PREVISION'!$A$1:$KZ$3000,$C37,10+3*MIN(AZ$3,$D$2-1)))))</f>
        <v/>
      </c>
      <c r="BA37" s="123">
        <f>IF(OR($C37="",$B$2="",$D$2=0),0,IF(BA$3&lt;0,0,N(INDEX('CURVA PREVISION'!$A$1:$KZ$3000,$C37,10+3*MIN(BA$3,$D$2-1)))))</f>
        <v/>
      </c>
      <c r="BB37" s="123">
        <f>IF(OR($C37="",$B$2="",$D$2=0),0,IF(BB$3&lt;0,0,N(INDEX('CURVA PREVISION'!$A$1:$KZ$3000,$C37,10+3*MIN(BB$3,$D$2-1)))))</f>
        <v/>
      </c>
      <c r="BC37" s="123">
        <f>IF(OR($C37="",$B$2="",$D$2=0),0,IF(BC$3&lt;0,0,N(INDEX('CURVA PREVISION'!$A$1:$KZ$3000,$C37,10+3*MIN(BC$3,$D$2-1)))))</f>
        <v/>
      </c>
      <c r="BD37" s="123">
        <f>IF(OR($C37="",$B$2="",$D$2=0),0,IF(BD$3&lt;0,0,N(INDEX('CURVA PREVISION'!$A$1:$KZ$3000,$C37,10+3*MIN(BD$3,$D$2-1)))))</f>
        <v/>
      </c>
      <c r="BE37" s="123">
        <f>IF(OR($C37="",$B$2="",$D$2=0),0,IF(BE$3&lt;0,0,N(INDEX('CURVA PREVISION'!$A$1:$KZ$3000,$C37,10+3*MIN(BE$3,$D$2-1)))))</f>
        <v/>
      </c>
      <c r="BF37" s="123">
        <f>IF(OR($C37="",$B$2="",$D$2=0),0,IF(BF$3&lt;0,0,N(INDEX('CURVA PREVISION'!$A$1:$KZ$3000,$C37,10+3*MIN(BF$3,$D$2-1)))))</f>
        <v/>
      </c>
      <c r="BG37" s="123">
        <f>IF(OR($C37="",$B$2="",$D$2=0),0,IF(BG$3&lt;0,0,N(INDEX('CURVA PREVISION'!$A$1:$KZ$3000,$C37,10+3*MIN(BG$3,$D$2-1)))))</f>
        <v/>
      </c>
      <c r="BH37" s="123">
        <f>IF(OR($C37="",$B$2="",$D$2=0),0,IF(BH$3&lt;0,0,N(INDEX('CURVA PREVISION'!$A$1:$KZ$3000,$C37,10+3*MIN(BH$3,$D$2-1)))))</f>
        <v/>
      </c>
      <c r="BI37" s="123">
        <f>IF(OR($C37="",$B$2="",$D$2=0),0,IF(BI$3&lt;0,0,N(INDEX('CURVA PREVISION'!$A$1:$KZ$3000,$C37,10+3*MIN(BI$3,$D$2-1)))))</f>
        <v/>
      </c>
      <c r="BJ37" s="123">
        <f>IF(OR($C37="",$B$2="",$D$2=0),0,IF(BJ$3&lt;0,0,N(INDEX('CURVA PREVISION'!$A$1:$KZ$3000,$C37,10+3*MIN(BJ$3,$D$2-1)))))</f>
        <v/>
      </c>
      <c r="BK37" s="123">
        <f>IF(OR($C37="",$B$2="",$D$2=0),0,IF(BK$3&lt;0,0,N(INDEX('CURVA PREVISION'!$A$1:$KZ$3000,$C37,10+3*MIN(BK$3,$D$2-1)))))</f>
        <v/>
      </c>
      <c r="BL37" s="123">
        <f>IF(OR($C37="",$B$2="",$D$2=0),0,IF(BL$3&lt;0,0,N(INDEX('CURVA PREVISION'!$A$1:$KZ$3000,$C37,10+3*MIN(BL$3,$D$2-1)))))</f>
        <v/>
      </c>
      <c r="BM37" s="123">
        <f>IF(OR($C37="",$B$2="",$D$2=0),0,IF(BM$3&lt;0,0,N(INDEX('CURVA PREVISION'!$A$1:$KZ$3000,$C37,10+3*MIN(BM$3,$D$2-1)))))</f>
        <v/>
      </c>
      <c r="BN37" s="123">
        <f>IF(OR($C37="",$B$2="",$D$2=0),0,IF(BN$3&lt;0,0,N(INDEX('CURVA PREVISION'!$A$1:$KZ$3000,$C37,10+3*MIN(BN$3,$D$2-1)))))</f>
        <v/>
      </c>
      <c r="BO37" s="123">
        <f>IF(OR($C37="",$B$2="",$D$2=0),0,IF(BO$3&lt;0,0,N(INDEX('CURVA PREVISION'!$A$1:$KZ$3000,$C37,10+3*MIN(BO$3,$D$2-1)))))</f>
        <v/>
      </c>
      <c r="BP37" s="123">
        <f>IF(OR($C37="",$B$2="",$D$2=0),0,IF(BP$3&lt;0,0,N(INDEX('CURVA PREVISION'!$A$1:$KZ$3000,$C37,10+3*MIN(BP$3,$D$2-1)))))</f>
        <v/>
      </c>
      <c r="BQ37" s="123">
        <f>IF(OR($C37="",$B$2="",$D$2=0),0,IF(BQ$3&lt;0,0,N(INDEX('CURVA PREVISION'!$A$1:$KZ$3000,$C37,10+3*MIN(BQ$3,$D$2-1)))))</f>
        <v/>
      </c>
      <c r="BR37" s="123">
        <f>IF(OR($C37="",$B$2="",$D$2=0),0,IF(BR$3&lt;0,0,N(INDEX('CURVA PREVISION'!$A$1:$KZ$3000,$C37,10+3*MIN(BR$3,$D$2-1)))))</f>
        <v/>
      </c>
      <c r="BS37" s="123">
        <f>IF(OR($C37="",$B$2="",$D$2=0),0,IF(BS$3&lt;0,0,N(INDEX('CURVA PREVISION'!$A$1:$KZ$3000,$C37,10+3*MIN(BS$3,$D$2-1)))))</f>
        <v/>
      </c>
      <c r="BT37" s="123">
        <f>IF(OR($C37="",$B$2="",$D$2=0),0,IF(BT$3&lt;0,0,N(INDEX('CURVA PREVISION'!$A$1:$KZ$3000,$C37,10+3*MIN(BT$3,$D$2-1)))))</f>
        <v/>
      </c>
      <c r="BU37" s="123">
        <f>IF(OR($C37="",$B$2="",$D$2=0),0,IF(BU$3&lt;0,0,N(INDEX('CURVA PREVISION'!$A$1:$KZ$3000,$C37,10+3*MIN(BU$3,$D$2-1)))))</f>
        <v/>
      </c>
      <c r="BV37" s="123">
        <f>IF(OR($C37="",$B$2="",$D$2=0),0,IF(BV$3&lt;0,0,N(INDEX('CURVA PREVISION'!$A$1:$KZ$3000,$C37,10+3*MIN(BV$3,$D$2-1)))))</f>
        <v/>
      </c>
      <c r="BW37" s="123">
        <f>IF(OR($C37="",$B$2="",$D$2=0),0,IF(BW$3&lt;0,0,N(INDEX('CURVA PREVISION'!$A$1:$KZ$3000,$C37,10+3*MIN(BW$3,$D$2-1)))))</f>
        <v/>
      </c>
    </row>
    <row r="38">
      <c r="A38" s="61">
        <f>IF('VALOR POR PL'!R44&lt;&gt;"",'VALOR POR PL'!R44,IF('VALOR POR PL'!Q44="",'VALOR POR PL'!C44,'VALOR POR PL'!Q44))</f>
        <v/>
      </c>
      <c r="B38" s="61">
        <f>'VALOR POR PL'!D44</f>
        <v/>
      </c>
      <c r="C38" s="70">
        <f>IFERROR(MATCH(A38,'CURVA PREVISION'!$B$1:$B$3000,0),"")</f>
        <v/>
      </c>
      <c r="D38" s="123">
        <f>IF(OR($C38="",$B$2="",$D$2=0),0,IF(D$3&lt;0,0,N(INDEX('CURVA PREVISION'!$A$1:$KZ$3000,$C38,10+3*MIN(D$3,$D$2-1)))))</f>
        <v/>
      </c>
      <c r="E38" s="123">
        <f>IF(OR($C38="",$B$2="",$D$2=0),0,IF(E$3&lt;0,0,N(INDEX('CURVA PREVISION'!$A$1:$KZ$3000,$C38,10+3*MIN(E$3,$D$2-1)))))</f>
        <v/>
      </c>
      <c r="F38" s="123">
        <f>IF(OR($C38="",$B$2="",$D$2=0),0,IF(F$3&lt;0,0,N(INDEX('CURVA PREVISION'!$A$1:$KZ$3000,$C38,10+3*MIN(F$3,$D$2-1)))))</f>
        <v/>
      </c>
      <c r="G38" s="123">
        <f>IF(OR($C38="",$B$2="",$D$2=0),0,IF(G$3&lt;0,0,N(INDEX('CURVA PREVISION'!$A$1:$KZ$3000,$C38,10+3*MIN(G$3,$D$2-1)))))</f>
        <v/>
      </c>
      <c r="H38" s="123">
        <f>IF(OR($C38="",$B$2="",$D$2=0),0,IF(H$3&lt;0,0,N(INDEX('CURVA PREVISION'!$A$1:$KZ$3000,$C38,10+3*MIN(H$3,$D$2-1)))))</f>
        <v/>
      </c>
      <c r="I38" s="123">
        <f>IF(OR($C38="",$B$2="",$D$2=0),0,IF(I$3&lt;0,0,N(INDEX('CURVA PREVISION'!$A$1:$KZ$3000,$C38,10+3*MIN(I$3,$D$2-1)))))</f>
        <v/>
      </c>
      <c r="J38" s="123">
        <f>IF(OR($C38="",$B$2="",$D$2=0),0,IF(J$3&lt;0,0,N(INDEX('CURVA PREVISION'!$A$1:$KZ$3000,$C38,10+3*MIN(J$3,$D$2-1)))))</f>
        <v/>
      </c>
      <c r="K38" s="123">
        <f>IF(OR($C38="",$B$2="",$D$2=0),0,IF(K$3&lt;0,0,N(INDEX('CURVA PREVISION'!$A$1:$KZ$3000,$C38,10+3*MIN(K$3,$D$2-1)))))</f>
        <v/>
      </c>
      <c r="L38" s="123">
        <f>IF(OR($C38="",$B$2="",$D$2=0),0,IF(L$3&lt;0,0,N(INDEX('CURVA PREVISION'!$A$1:$KZ$3000,$C38,10+3*MIN(L$3,$D$2-1)))))</f>
        <v/>
      </c>
      <c r="M38" s="123">
        <f>IF(OR($C38="",$B$2="",$D$2=0),0,IF(M$3&lt;0,0,N(INDEX('CURVA PREVISION'!$A$1:$KZ$3000,$C38,10+3*MIN(M$3,$D$2-1)))))</f>
        <v/>
      </c>
      <c r="N38" s="123">
        <f>IF(OR($C38="",$B$2="",$D$2=0),0,IF(N$3&lt;0,0,N(INDEX('CURVA PREVISION'!$A$1:$KZ$3000,$C38,10+3*MIN(N$3,$D$2-1)))))</f>
        <v/>
      </c>
      <c r="O38" s="123">
        <f>IF(OR($C38="",$B$2="",$D$2=0),0,IF(O$3&lt;0,0,N(INDEX('CURVA PREVISION'!$A$1:$KZ$3000,$C38,10+3*MIN(O$3,$D$2-1)))))</f>
        <v/>
      </c>
      <c r="P38" s="123">
        <f>IF(OR($C38="",$B$2="",$D$2=0),0,IF(P$3&lt;0,0,N(INDEX('CURVA PREVISION'!$A$1:$KZ$3000,$C38,10+3*MIN(P$3,$D$2-1)))))</f>
        <v/>
      </c>
      <c r="Q38" s="123">
        <f>IF(OR($C38="",$B$2="",$D$2=0),0,IF(Q$3&lt;0,0,N(INDEX('CURVA PREVISION'!$A$1:$KZ$3000,$C38,10+3*MIN(Q$3,$D$2-1)))))</f>
        <v/>
      </c>
      <c r="R38" s="123">
        <f>IF(OR($C38="",$B$2="",$D$2=0),0,IF(R$3&lt;0,0,N(INDEX('CURVA PREVISION'!$A$1:$KZ$3000,$C38,10+3*MIN(R$3,$D$2-1)))))</f>
        <v/>
      </c>
      <c r="S38" s="123">
        <f>IF(OR($C38="",$B$2="",$D$2=0),0,IF(S$3&lt;0,0,N(INDEX('CURVA PREVISION'!$A$1:$KZ$3000,$C38,10+3*MIN(S$3,$D$2-1)))))</f>
        <v/>
      </c>
      <c r="T38" s="123">
        <f>IF(OR($C38="",$B$2="",$D$2=0),0,IF(T$3&lt;0,0,N(INDEX('CURVA PREVISION'!$A$1:$KZ$3000,$C38,10+3*MIN(T$3,$D$2-1)))))</f>
        <v/>
      </c>
      <c r="U38" s="123">
        <f>IF(OR($C38="",$B$2="",$D$2=0),0,IF(U$3&lt;0,0,N(INDEX('CURVA PREVISION'!$A$1:$KZ$3000,$C38,10+3*MIN(U$3,$D$2-1)))))</f>
        <v/>
      </c>
      <c r="V38" s="123">
        <f>IF(OR($C38="",$B$2="",$D$2=0),0,IF(V$3&lt;0,0,N(INDEX('CURVA PREVISION'!$A$1:$KZ$3000,$C38,10+3*MIN(V$3,$D$2-1)))))</f>
        <v/>
      </c>
      <c r="W38" s="123">
        <f>IF(OR($C38="",$B$2="",$D$2=0),0,IF(W$3&lt;0,0,N(INDEX('CURVA PREVISION'!$A$1:$KZ$3000,$C38,10+3*MIN(W$3,$D$2-1)))))</f>
        <v/>
      </c>
      <c r="X38" s="123">
        <f>IF(OR($C38="",$B$2="",$D$2=0),0,IF(X$3&lt;0,0,N(INDEX('CURVA PREVISION'!$A$1:$KZ$3000,$C38,10+3*MIN(X$3,$D$2-1)))))</f>
        <v/>
      </c>
      <c r="Y38" s="123">
        <f>IF(OR($C38="",$B$2="",$D$2=0),0,IF(Y$3&lt;0,0,N(INDEX('CURVA PREVISION'!$A$1:$KZ$3000,$C38,10+3*MIN(Y$3,$D$2-1)))))</f>
        <v/>
      </c>
      <c r="Z38" s="123">
        <f>IF(OR($C38="",$B$2="",$D$2=0),0,IF(Z$3&lt;0,0,N(INDEX('CURVA PREVISION'!$A$1:$KZ$3000,$C38,10+3*MIN(Z$3,$D$2-1)))))</f>
        <v/>
      </c>
      <c r="AA38" s="123">
        <f>IF(OR($C38="",$B$2="",$D$2=0),0,IF(AA$3&lt;0,0,N(INDEX('CURVA PREVISION'!$A$1:$KZ$3000,$C38,10+3*MIN(AA$3,$D$2-1)))))</f>
        <v/>
      </c>
      <c r="AB38" s="123">
        <f>IF(OR($C38="",$B$2="",$D$2=0),0,IF(AB$3&lt;0,0,N(INDEX('CURVA PREVISION'!$A$1:$KZ$3000,$C38,10+3*MIN(AB$3,$D$2-1)))))</f>
        <v/>
      </c>
      <c r="AC38" s="123">
        <f>IF(OR($C38="",$B$2="",$D$2=0),0,IF(AC$3&lt;0,0,N(INDEX('CURVA PREVISION'!$A$1:$KZ$3000,$C38,10+3*MIN(AC$3,$D$2-1)))))</f>
        <v/>
      </c>
      <c r="AD38" s="123">
        <f>IF(OR($C38="",$B$2="",$D$2=0),0,IF(AD$3&lt;0,0,N(INDEX('CURVA PREVISION'!$A$1:$KZ$3000,$C38,10+3*MIN(AD$3,$D$2-1)))))</f>
        <v/>
      </c>
      <c r="AE38" s="123">
        <f>IF(OR($C38="",$B$2="",$D$2=0),0,IF(AE$3&lt;0,0,N(INDEX('CURVA PREVISION'!$A$1:$KZ$3000,$C38,10+3*MIN(AE$3,$D$2-1)))))</f>
        <v/>
      </c>
      <c r="AF38" s="123">
        <f>IF(OR($C38="",$B$2="",$D$2=0),0,IF(AF$3&lt;0,0,N(INDEX('CURVA PREVISION'!$A$1:$KZ$3000,$C38,10+3*MIN(AF$3,$D$2-1)))))</f>
        <v/>
      </c>
      <c r="AG38" s="123">
        <f>IF(OR($C38="",$B$2="",$D$2=0),0,IF(AG$3&lt;0,0,N(INDEX('CURVA PREVISION'!$A$1:$KZ$3000,$C38,10+3*MIN(AG$3,$D$2-1)))))</f>
        <v/>
      </c>
      <c r="AH38" s="123">
        <f>IF(OR($C38="",$B$2="",$D$2=0),0,IF(AH$3&lt;0,0,N(INDEX('CURVA PREVISION'!$A$1:$KZ$3000,$C38,10+3*MIN(AH$3,$D$2-1)))))</f>
        <v/>
      </c>
      <c r="AI38" s="123">
        <f>IF(OR($C38="",$B$2="",$D$2=0),0,IF(AI$3&lt;0,0,N(INDEX('CURVA PREVISION'!$A$1:$KZ$3000,$C38,10+3*MIN(AI$3,$D$2-1)))))</f>
        <v/>
      </c>
      <c r="AJ38" s="123">
        <f>IF(OR($C38="",$B$2="",$D$2=0),0,IF(AJ$3&lt;0,0,N(INDEX('CURVA PREVISION'!$A$1:$KZ$3000,$C38,10+3*MIN(AJ$3,$D$2-1)))))</f>
        <v/>
      </c>
      <c r="AK38" s="123">
        <f>IF(OR($C38="",$B$2="",$D$2=0),0,IF(AK$3&lt;0,0,N(INDEX('CURVA PREVISION'!$A$1:$KZ$3000,$C38,10+3*MIN(AK$3,$D$2-1)))))</f>
        <v/>
      </c>
      <c r="AL38" s="123">
        <f>IF(OR($C38="",$B$2="",$D$2=0),0,IF(AL$3&lt;0,0,N(INDEX('CURVA PREVISION'!$A$1:$KZ$3000,$C38,10+3*MIN(AL$3,$D$2-1)))))</f>
        <v/>
      </c>
      <c r="AM38" s="123">
        <f>IF(OR($C38="",$B$2="",$D$2=0),0,IF(AM$3&lt;0,0,N(INDEX('CURVA PREVISION'!$A$1:$KZ$3000,$C38,10+3*MIN(AM$3,$D$2-1)))))</f>
        <v/>
      </c>
      <c r="AN38" s="123">
        <f>IF(OR($C38="",$B$2="",$D$2=0),0,IF(AN$3&lt;0,0,N(INDEX('CURVA PREVISION'!$A$1:$KZ$3000,$C38,10+3*MIN(AN$3,$D$2-1)))))</f>
        <v/>
      </c>
      <c r="AO38" s="123">
        <f>IF(OR($C38="",$B$2="",$D$2=0),0,IF(AO$3&lt;0,0,N(INDEX('CURVA PREVISION'!$A$1:$KZ$3000,$C38,10+3*MIN(AO$3,$D$2-1)))))</f>
        <v/>
      </c>
      <c r="AP38" s="123">
        <f>IF(OR($C38="",$B$2="",$D$2=0),0,IF(AP$3&lt;0,0,N(INDEX('CURVA PREVISION'!$A$1:$KZ$3000,$C38,10+3*MIN(AP$3,$D$2-1)))))</f>
        <v/>
      </c>
      <c r="AQ38" s="123">
        <f>IF(OR($C38="",$B$2="",$D$2=0),0,IF(AQ$3&lt;0,0,N(INDEX('CURVA PREVISION'!$A$1:$KZ$3000,$C38,10+3*MIN(AQ$3,$D$2-1)))))</f>
        <v/>
      </c>
      <c r="AR38" s="123">
        <f>IF(OR($C38="",$B$2="",$D$2=0),0,IF(AR$3&lt;0,0,N(INDEX('CURVA PREVISION'!$A$1:$KZ$3000,$C38,10+3*MIN(AR$3,$D$2-1)))))</f>
        <v/>
      </c>
      <c r="AS38" s="123">
        <f>IF(OR($C38="",$B$2="",$D$2=0),0,IF(AS$3&lt;0,0,N(INDEX('CURVA PREVISION'!$A$1:$KZ$3000,$C38,10+3*MIN(AS$3,$D$2-1)))))</f>
        <v/>
      </c>
      <c r="AT38" s="123">
        <f>IF(OR($C38="",$B$2="",$D$2=0),0,IF(AT$3&lt;0,0,N(INDEX('CURVA PREVISION'!$A$1:$KZ$3000,$C38,10+3*MIN(AT$3,$D$2-1)))))</f>
        <v/>
      </c>
      <c r="AU38" s="123">
        <f>IF(OR($C38="",$B$2="",$D$2=0),0,IF(AU$3&lt;0,0,N(INDEX('CURVA PREVISION'!$A$1:$KZ$3000,$C38,10+3*MIN(AU$3,$D$2-1)))))</f>
        <v/>
      </c>
      <c r="AV38" s="123">
        <f>IF(OR($C38="",$B$2="",$D$2=0),0,IF(AV$3&lt;0,0,N(INDEX('CURVA PREVISION'!$A$1:$KZ$3000,$C38,10+3*MIN(AV$3,$D$2-1)))))</f>
        <v/>
      </c>
      <c r="AW38" s="123">
        <f>IF(OR($C38="",$B$2="",$D$2=0),0,IF(AW$3&lt;0,0,N(INDEX('CURVA PREVISION'!$A$1:$KZ$3000,$C38,10+3*MIN(AW$3,$D$2-1)))))</f>
        <v/>
      </c>
      <c r="AX38" s="123">
        <f>IF(OR($C38="",$B$2="",$D$2=0),0,IF(AX$3&lt;0,0,N(INDEX('CURVA PREVISION'!$A$1:$KZ$3000,$C38,10+3*MIN(AX$3,$D$2-1)))))</f>
        <v/>
      </c>
      <c r="AY38" s="123">
        <f>IF(OR($C38="",$B$2="",$D$2=0),0,IF(AY$3&lt;0,0,N(INDEX('CURVA PREVISION'!$A$1:$KZ$3000,$C38,10+3*MIN(AY$3,$D$2-1)))))</f>
        <v/>
      </c>
      <c r="AZ38" s="123">
        <f>IF(OR($C38="",$B$2="",$D$2=0),0,IF(AZ$3&lt;0,0,N(INDEX('CURVA PREVISION'!$A$1:$KZ$3000,$C38,10+3*MIN(AZ$3,$D$2-1)))))</f>
        <v/>
      </c>
      <c r="BA38" s="123">
        <f>IF(OR($C38="",$B$2="",$D$2=0),0,IF(BA$3&lt;0,0,N(INDEX('CURVA PREVISION'!$A$1:$KZ$3000,$C38,10+3*MIN(BA$3,$D$2-1)))))</f>
        <v/>
      </c>
      <c r="BB38" s="123">
        <f>IF(OR($C38="",$B$2="",$D$2=0),0,IF(BB$3&lt;0,0,N(INDEX('CURVA PREVISION'!$A$1:$KZ$3000,$C38,10+3*MIN(BB$3,$D$2-1)))))</f>
        <v/>
      </c>
      <c r="BC38" s="123">
        <f>IF(OR($C38="",$B$2="",$D$2=0),0,IF(BC$3&lt;0,0,N(INDEX('CURVA PREVISION'!$A$1:$KZ$3000,$C38,10+3*MIN(BC$3,$D$2-1)))))</f>
        <v/>
      </c>
      <c r="BD38" s="123">
        <f>IF(OR($C38="",$B$2="",$D$2=0),0,IF(BD$3&lt;0,0,N(INDEX('CURVA PREVISION'!$A$1:$KZ$3000,$C38,10+3*MIN(BD$3,$D$2-1)))))</f>
        <v/>
      </c>
      <c r="BE38" s="123">
        <f>IF(OR($C38="",$B$2="",$D$2=0),0,IF(BE$3&lt;0,0,N(INDEX('CURVA PREVISION'!$A$1:$KZ$3000,$C38,10+3*MIN(BE$3,$D$2-1)))))</f>
        <v/>
      </c>
      <c r="BF38" s="123">
        <f>IF(OR($C38="",$B$2="",$D$2=0),0,IF(BF$3&lt;0,0,N(INDEX('CURVA PREVISION'!$A$1:$KZ$3000,$C38,10+3*MIN(BF$3,$D$2-1)))))</f>
        <v/>
      </c>
      <c r="BG38" s="123">
        <f>IF(OR($C38="",$B$2="",$D$2=0),0,IF(BG$3&lt;0,0,N(INDEX('CURVA PREVISION'!$A$1:$KZ$3000,$C38,10+3*MIN(BG$3,$D$2-1)))))</f>
        <v/>
      </c>
      <c r="BH38" s="123">
        <f>IF(OR($C38="",$B$2="",$D$2=0),0,IF(BH$3&lt;0,0,N(INDEX('CURVA PREVISION'!$A$1:$KZ$3000,$C38,10+3*MIN(BH$3,$D$2-1)))))</f>
        <v/>
      </c>
      <c r="BI38" s="123">
        <f>IF(OR($C38="",$B$2="",$D$2=0),0,IF(BI$3&lt;0,0,N(INDEX('CURVA PREVISION'!$A$1:$KZ$3000,$C38,10+3*MIN(BI$3,$D$2-1)))))</f>
        <v/>
      </c>
      <c r="BJ38" s="123">
        <f>IF(OR($C38="",$B$2="",$D$2=0),0,IF(BJ$3&lt;0,0,N(INDEX('CURVA PREVISION'!$A$1:$KZ$3000,$C38,10+3*MIN(BJ$3,$D$2-1)))))</f>
        <v/>
      </c>
      <c r="BK38" s="123">
        <f>IF(OR($C38="",$B$2="",$D$2=0),0,IF(BK$3&lt;0,0,N(INDEX('CURVA PREVISION'!$A$1:$KZ$3000,$C38,10+3*MIN(BK$3,$D$2-1)))))</f>
        <v/>
      </c>
      <c r="BL38" s="123">
        <f>IF(OR($C38="",$B$2="",$D$2=0),0,IF(BL$3&lt;0,0,N(INDEX('CURVA PREVISION'!$A$1:$KZ$3000,$C38,10+3*MIN(BL$3,$D$2-1)))))</f>
        <v/>
      </c>
      <c r="BM38" s="123">
        <f>IF(OR($C38="",$B$2="",$D$2=0),0,IF(BM$3&lt;0,0,N(INDEX('CURVA PREVISION'!$A$1:$KZ$3000,$C38,10+3*MIN(BM$3,$D$2-1)))))</f>
        <v/>
      </c>
      <c r="BN38" s="123">
        <f>IF(OR($C38="",$B$2="",$D$2=0),0,IF(BN$3&lt;0,0,N(INDEX('CURVA PREVISION'!$A$1:$KZ$3000,$C38,10+3*MIN(BN$3,$D$2-1)))))</f>
        <v/>
      </c>
      <c r="BO38" s="123">
        <f>IF(OR($C38="",$B$2="",$D$2=0),0,IF(BO$3&lt;0,0,N(INDEX('CURVA PREVISION'!$A$1:$KZ$3000,$C38,10+3*MIN(BO$3,$D$2-1)))))</f>
        <v/>
      </c>
      <c r="BP38" s="123">
        <f>IF(OR($C38="",$B$2="",$D$2=0),0,IF(BP$3&lt;0,0,N(INDEX('CURVA PREVISION'!$A$1:$KZ$3000,$C38,10+3*MIN(BP$3,$D$2-1)))))</f>
        <v/>
      </c>
      <c r="BQ38" s="123">
        <f>IF(OR($C38="",$B$2="",$D$2=0),0,IF(BQ$3&lt;0,0,N(INDEX('CURVA PREVISION'!$A$1:$KZ$3000,$C38,10+3*MIN(BQ$3,$D$2-1)))))</f>
        <v/>
      </c>
      <c r="BR38" s="123">
        <f>IF(OR($C38="",$B$2="",$D$2=0),0,IF(BR$3&lt;0,0,N(INDEX('CURVA PREVISION'!$A$1:$KZ$3000,$C38,10+3*MIN(BR$3,$D$2-1)))))</f>
        <v/>
      </c>
      <c r="BS38" s="123">
        <f>IF(OR($C38="",$B$2="",$D$2=0),0,IF(BS$3&lt;0,0,N(INDEX('CURVA PREVISION'!$A$1:$KZ$3000,$C38,10+3*MIN(BS$3,$D$2-1)))))</f>
        <v/>
      </c>
      <c r="BT38" s="123">
        <f>IF(OR($C38="",$B$2="",$D$2=0),0,IF(BT$3&lt;0,0,N(INDEX('CURVA PREVISION'!$A$1:$KZ$3000,$C38,10+3*MIN(BT$3,$D$2-1)))))</f>
        <v/>
      </c>
      <c r="BU38" s="123">
        <f>IF(OR($C38="",$B$2="",$D$2=0),0,IF(BU$3&lt;0,0,N(INDEX('CURVA PREVISION'!$A$1:$KZ$3000,$C38,10+3*MIN(BU$3,$D$2-1)))))</f>
        <v/>
      </c>
      <c r="BV38" s="123">
        <f>IF(OR($C38="",$B$2="",$D$2=0),0,IF(BV$3&lt;0,0,N(INDEX('CURVA PREVISION'!$A$1:$KZ$3000,$C38,10+3*MIN(BV$3,$D$2-1)))))</f>
        <v/>
      </c>
      <c r="BW38" s="123">
        <f>IF(OR($C38="",$B$2="",$D$2=0),0,IF(BW$3&lt;0,0,N(INDEX('CURVA PREVISION'!$A$1:$KZ$3000,$C38,10+3*MIN(BW$3,$D$2-1)))))</f>
        <v/>
      </c>
    </row>
    <row r="39">
      <c r="A39" s="61">
        <f>IF('VALOR POR PL'!R45&lt;&gt;"",'VALOR POR PL'!R45,IF('VALOR POR PL'!Q45="",'VALOR POR PL'!C45,'VALOR POR PL'!Q45))</f>
        <v/>
      </c>
      <c r="B39" s="61">
        <f>'VALOR POR PL'!D45</f>
        <v/>
      </c>
      <c r="C39" s="70">
        <f>IFERROR(MATCH(A39,'CURVA PREVISION'!$B$1:$B$3000,0),"")</f>
        <v/>
      </c>
      <c r="D39" s="123">
        <f>IF(OR($C39="",$B$2="",$D$2=0),0,IF(D$3&lt;0,0,N(INDEX('CURVA PREVISION'!$A$1:$KZ$3000,$C39,10+3*MIN(D$3,$D$2-1)))))</f>
        <v/>
      </c>
      <c r="E39" s="123">
        <f>IF(OR($C39="",$B$2="",$D$2=0),0,IF(E$3&lt;0,0,N(INDEX('CURVA PREVISION'!$A$1:$KZ$3000,$C39,10+3*MIN(E$3,$D$2-1)))))</f>
        <v/>
      </c>
      <c r="F39" s="123">
        <f>IF(OR($C39="",$B$2="",$D$2=0),0,IF(F$3&lt;0,0,N(INDEX('CURVA PREVISION'!$A$1:$KZ$3000,$C39,10+3*MIN(F$3,$D$2-1)))))</f>
        <v/>
      </c>
      <c r="G39" s="123">
        <f>IF(OR($C39="",$B$2="",$D$2=0),0,IF(G$3&lt;0,0,N(INDEX('CURVA PREVISION'!$A$1:$KZ$3000,$C39,10+3*MIN(G$3,$D$2-1)))))</f>
        <v/>
      </c>
      <c r="H39" s="123">
        <f>IF(OR($C39="",$B$2="",$D$2=0),0,IF(H$3&lt;0,0,N(INDEX('CURVA PREVISION'!$A$1:$KZ$3000,$C39,10+3*MIN(H$3,$D$2-1)))))</f>
        <v/>
      </c>
      <c r="I39" s="123">
        <f>IF(OR($C39="",$B$2="",$D$2=0),0,IF(I$3&lt;0,0,N(INDEX('CURVA PREVISION'!$A$1:$KZ$3000,$C39,10+3*MIN(I$3,$D$2-1)))))</f>
        <v/>
      </c>
      <c r="J39" s="123">
        <f>IF(OR($C39="",$B$2="",$D$2=0),0,IF(J$3&lt;0,0,N(INDEX('CURVA PREVISION'!$A$1:$KZ$3000,$C39,10+3*MIN(J$3,$D$2-1)))))</f>
        <v/>
      </c>
      <c r="K39" s="123">
        <f>IF(OR($C39="",$B$2="",$D$2=0),0,IF(K$3&lt;0,0,N(INDEX('CURVA PREVISION'!$A$1:$KZ$3000,$C39,10+3*MIN(K$3,$D$2-1)))))</f>
        <v/>
      </c>
      <c r="L39" s="123">
        <f>IF(OR($C39="",$B$2="",$D$2=0),0,IF(L$3&lt;0,0,N(INDEX('CURVA PREVISION'!$A$1:$KZ$3000,$C39,10+3*MIN(L$3,$D$2-1)))))</f>
        <v/>
      </c>
      <c r="M39" s="123">
        <f>IF(OR($C39="",$B$2="",$D$2=0),0,IF(M$3&lt;0,0,N(INDEX('CURVA PREVISION'!$A$1:$KZ$3000,$C39,10+3*MIN(M$3,$D$2-1)))))</f>
        <v/>
      </c>
      <c r="N39" s="123">
        <f>IF(OR($C39="",$B$2="",$D$2=0),0,IF(N$3&lt;0,0,N(INDEX('CURVA PREVISION'!$A$1:$KZ$3000,$C39,10+3*MIN(N$3,$D$2-1)))))</f>
        <v/>
      </c>
      <c r="O39" s="123">
        <f>IF(OR($C39="",$B$2="",$D$2=0),0,IF(O$3&lt;0,0,N(INDEX('CURVA PREVISION'!$A$1:$KZ$3000,$C39,10+3*MIN(O$3,$D$2-1)))))</f>
        <v/>
      </c>
      <c r="P39" s="123">
        <f>IF(OR($C39="",$B$2="",$D$2=0),0,IF(P$3&lt;0,0,N(INDEX('CURVA PREVISION'!$A$1:$KZ$3000,$C39,10+3*MIN(P$3,$D$2-1)))))</f>
        <v/>
      </c>
      <c r="Q39" s="123">
        <f>IF(OR($C39="",$B$2="",$D$2=0),0,IF(Q$3&lt;0,0,N(INDEX('CURVA PREVISION'!$A$1:$KZ$3000,$C39,10+3*MIN(Q$3,$D$2-1)))))</f>
        <v/>
      </c>
      <c r="R39" s="123">
        <f>IF(OR($C39="",$B$2="",$D$2=0),0,IF(R$3&lt;0,0,N(INDEX('CURVA PREVISION'!$A$1:$KZ$3000,$C39,10+3*MIN(R$3,$D$2-1)))))</f>
        <v/>
      </c>
      <c r="S39" s="123">
        <f>IF(OR($C39="",$B$2="",$D$2=0),0,IF(S$3&lt;0,0,N(INDEX('CURVA PREVISION'!$A$1:$KZ$3000,$C39,10+3*MIN(S$3,$D$2-1)))))</f>
        <v/>
      </c>
      <c r="T39" s="123">
        <f>IF(OR($C39="",$B$2="",$D$2=0),0,IF(T$3&lt;0,0,N(INDEX('CURVA PREVISION'!$A$1:$KZ$3000,$C39,10+3*MIN(T$3,$D$2-1)))))</f>
        <v/>
      </c>
      <c r="U39" s="123">
        <f>IF(OR($C39="",$B$2="",$D$2=0),0,IF(U$3&lt;0,0,N(INDEX('CURVA PREVISION'!$A$1:$KZ$3000,$C39,10+3*MIN(U$3,$D$2-1)))))</f>
        <v/>
      </c>
      <c r="V39" s="123">
        <f>IF(OR($C39="",$B$2="",$D$2=0),0,IF(V$3&lt;0,0,N(INDEX('CURVA PREVISION'!$A$1:$KZ$3000,$C39,10+3*MIN(V$3,$D$2-1)))))</f>
        <v/>
      </c>
      <c r="W39" s="123">
        <f>IF(OR($C39="",$B$2="",$D$2=0),0,IF(W$3&lt;0,0,N(INDEX('CURVA PREVISION'!$A$1:$KZ$3000,$C39,10+3*MIN(W$3,$D$2-1)))))</f>
        <v/>
      </c>
      <c r="X39" s="123">
        <f>IF(OR($C39="",$B$2="",$D$2=0),0,IF(X$3&lt;0,0,N(INDEX('CURVA PREVISION'!$A$1:$KZ$3000,$C39,10+3*MIN(X$3,$D$2-1)))))</f>
        <v/>
      </c>
      <c r="Y39" s="123">
        <f>IF(OR($C39="",$B$2="",$D$2=0),0,IF(Y$3&lt;0,0,N(INDEX('CURVA PREVISION'!$A$1:$KZ$3000,$C39,10+3*MIN(Y$3,$D$2-1)))))</f>
        <v/>
      </c>
      <c r="Z39" s="123">
        <f>IF(OR($C39="",$B$2="",$D$2=0),0,IF(Z$3&lt;0,0,N(INDEX('CURVA PREVISION'!$A$1:$KZ$3000,$C39,10+3*MIN(Z$3,$D$2-1)))))</f>
        <v/>
      </c>
      <c r="AA39" s="123">
        <f>IF(OR($C39="",$B$2="",$D$2=0),0,IF(AA$3&lt;0,0,N(INDEX('CURVA PREVISION'!$A$1:$KZ$3000,$C39,10+3*MIN(AA$3,$D$2-1)))))</f>
        <v/>
      </c>
      <c r="AB39" s="123">
        <f>IF(OR($C39="",$B$2="",$D$2=0),0,IF(AB$3&lt;0,0,N(INDEX('CURVA PREVISION'!$A$1:$KZ$3000,$C39,10+3*MIN(AB$3,$D$2-1)))))</f>
        <v/>
      </c>
      <c r="AC39" s="123">
        <f>IF(OR($C39="",$B$2="",$D$2=0),0,IF(AC$3&lt;0,0,N(INDEX('CURVA PREVISION'!$A$1:$KZ$3000,$C39,10+3*MIN(AC$3,$D$2-1)))))</f>
        <v/>
      </c>
      <c r="AD39" s="123">
        <f>IF(OR($C39="",$B$2="",$D$2=0),0,IF(AD$3&lt;0,0,N(INDEX('CURVA PREVISION'!$A$1:$KZ$3000,$C39,10+3*MIN(AD$3,$D$2-1)))))</f>
        <v/>
      </c>
      <c r="AE39" s="123">
        <f>IF(OR($C39="",$B$2="",$D$2=0),0,IF(AE$3&lt;0,0,N(INDEX('CURVA PREVISION'!$A$1:$KZ$3000,$C39,10+3*MIN(AE$3,$D$2-1)))))</f>
        <v/>
      </c>
      <c r="AF39" s="123">
        <f>IF(OR($C39="",$B$2="",$D$2=0),0,IF(AF$3&lt;0,0,N(INDEX('CURVA PREVISION'!$A$1:$KZ$3000,$C39,10+3*MIN(AF$3,$D$2-1)))))</f>
        <v/>
      </c>
      <c r="AG39" s="123">
        <f>IF(OR($C39="",$B$2="",$D$2=0),0,IF(AG$3&lt;0,0,N(INDEX('CURVA PREVISION'!$A$1:$KZ$3000,$C39,10+3*MIN(AG$3,$D$2-1)))))</f>
        <v/>
      </c>
      <c r="AH39" s="123">
        <f>IF(OR($C39="",$B$2="",$D$2=0),0,IF(AH$3&lt;0,0,N(INDEX('CURVA PREVISION'!$A$1:$KZ$3000,$C39,10+3*MIN(AH$3,$D$2-1)))))</f>
        <v/>
      </c>
      <c r="AI39" s="123">
        <f>IF(OR($C39="",$B$2="",$D$2=0),0,IF(AI$3&lt;0,0,N(INDEX('CURVA PREVISION'!$A$1:$KZ$3000,$C39,10+3*MIN(AI$3,$D$2-1)))))</f>
        <v/>
      </c>
      <c r="AJ39" s="123">
        <f>IF(OR($C39="",$B$2="",$D$2=0),0,IF(AJ$3&lt;0,0,N(INDEX('CURVA PREVISION'!$A$1:$KZ$3000,$C39,10+3*MIN(AJ$3,$D$2-1)))))</f>
        <v/>
      </c>
      <c r="AK39" s="123">
        <f>IF(OR($C39="",$B$2="",$D$2=0),0,IF(AK$3&lt;0,0,N(INDEX('CURVA PREVISION'!$A$1:$KZ$3000,$C39,10+3*MIN(AK$3,$D$2-1)))))</f>
        <v/>
      </c>
      <c r="AL39" s="123">
        <f>IF(OR($C39="",$B$2="",$D$2=0),0,IF(AL$3&lt;0,0,N(INDEX('CURVA PREVISION'!$A$1:$KZ$3000,$C39,10+3*MIN(AL$3,$D$2-1)))))</f>
        <v/>
      </c>
      <c r="AM39" s="123">
        <f>IF(OR($C39="",$B$2="",$D$2=0),0,IF(AM$3&lt;0,0,N(INDEX('CURVA PREVISION'!$A$1:$KZ$3000,$C39,10+3*MIN(AM$3,$D$2-1)))))</f>
        <v/>
      </c>
      <c r="AN39" s="123">
        <f>IF(OR($C39="",$B$2="",$D$2=0),0,IF(AN$3&lt;0,0,N(INDEX('CURVA PREVISION'!$A$1:$KZ$3000,$C39,10+3*MIN(AN$3,$D$2-1)))))</f>
        <v/>
      </c>
      <c r="AO39" s="123">
        <f>IF(OR($C39="",$B$2="",$D$2=0),0,IF(AO$3&lt;0,0,N(INDEX('CURVA PREVISION'!$A$1:$KZ$3000,$C39,10+3*MIN(AO$3,$D$2-1)))))</f>
        <v/>
      </c>
      <c r="AP39" s="123">
        <f>IF(OR($C39="",$B$2="",$D$2=0),0,IF(AP$3&lt;0,0,N(INDEX('CURVA PREVISION'!$A$1:$KZ$3000,$C39,10+3*MIN(AP$3,$D$2-1)))))</f>
        <v/>
      </c>
      <c r="AQ39" s="123">
        <f>IF(OR($C39="",$B$2="",$D$2=0),0,IF(AQ$3&lt;0,0,N(INDEX('CURVA PREVISION'!$A$1:$KZ$3000,$C39,10+3*MIN(AQ$3,$D$2-1)))))</f>
        <v/>
      </c>
      <c r="AR39" s="123">
        <f>IF(OR($C39="",$B$2="",$D$2=0),0,IF(AR$3&lt;0,0,N(INDEX('CURVA PREVISION'!$A$1:$KZ$3000,$C39,10+3*MIN(AR$3,$D$2-1)))))</f>
        <v/>
      </c>
      <c r="AS39" s="123">
        <f>IF(OR($C39="",$B$2="",$D$2=0),0,IF(AS$3&lt;0,0,N(INDEX('CURVA PREVISION'!$A$1:$KZ$3000,$C39,10+3*MIN(AS$3,$D$2-1)))))</f>
        <v/>
      </c>
      <c r="AT39" s="123">
        <f>IF(OR($C39="",$B$2="",$D$2=0),0,IF(AT$3&lt;0,0,N(INDEX('CURVA PREVISION'!$A$1:$KZ$3000,$C39,10+3*MIN(AT$3,$D$2-1)))))</f>
        <v/>
      </c>
      <c r="AU39" s="123">
        <f>IF(OR($C39="",$B$2="",$D$2=0),0,IF(AU$3&lt;0,0,N(INDEX('CURVA PREVISION'!$A$1:$KZ$3000,$C39,10+3*MIN(AU$3,$D$2-1)))))</f>
        <v/>
      </c>
      <c r="AV39" s="123">
        <f>IF(OR($C39="",$B$2="",$D$2=0),0,IF(AV$3&lt;0,0,N(INDEX('CURVA PREVISION'!$A$1:$KZ$3000,$C39,10+3*MIN(AV$3,$D$2-1)))))</f>
        <v/>
      </c>
      <c r="AW39" s="123">
        <f>IF(OR($C39="",$B$2="",$D$2=0),0,IF(AW$3&lt;0,0,N(INDEX('CURVA PREVISION'!$A$1:$KZ$3000,$C39,10+3*MIN(AW$3,$D$2-1)))))</f>
        <v/>
      </c>
      <c r="AX39" s="123">
        <f>IF(OR($C39="",$B$2="",$D$2=0),0,IF(AX$3&lt;0,0,N(INDEX('CURVA PREVISION'!$A$1:$KZ$3000,$C39,10+3*MIN(AX$3,$D$2-1)))))</f>
        <v/>
      </c>
      <c r="AY39" s="123">
        <f>IF(OR($C39="",$B$2="",$D$2=0),0,IF(AY$3&lt;0,0,N(INDEX('CURVA PREVISION'!$A$1:$KZ$3000,$C39,10+3*MIN(AY$3,$D$2-1)))))</f>
        <v/>
      </c>
      <c r="AZ39" s="123">
        <f>IF(OR($C39="",$B$2="",$D$2=0),0,IF(AZ$3&lt;0,0,N(INDEX('CURVA PREVISION'!$A$1:$KZ$3000,$C39,10+3*MIN(AZ$3,$D$2-1)))))</f>
        <v/>
      </c>
      <c r="BA39" s="123">
        <f>IF(OR($C39="",$B$2="",$D$2=0),0,IF(BA$3&lt;0,0,N(INDEX('CURVA PREVISION'!$A$1:$KZ$3000,$C39,10+3*MIN(BA$3,$D$2-1)))))</f>
        <v/>
      </c>
      <c r="BB39" s="123">
        <f>IF(OR($C39="",$B$2="",$D$2=0),0,IF(BB$3&lt;0,0,N(INDEX('CURVA PREVISION'!$A$1:$KZ$3000,$C39,10+3*MIN(BB$3,$D$2-1)))))</f>
        <v/>
      </c>
      <c r="BC39" s="123">
        <f>IF(OR($C39="",$B$2="",$D$2=0),0,IF(BC$3&lt;0,0,N(INDEX('CURVA PREVISION'!$A$1:$KZ$3000,$C39,10+3*MIN(BC$3,$D$2-1)))))</f>
        <v/>
      </c>
      <c r="BD39" s="123">
        <f>IF(OR($C39="",$B$2="",$D$2=0),0,IF(BD$3&lt;0,0,N(INDEX('CURVA PREVISION'!$A$1:$KZ$3000,$C39,10+3*MIN(BD$3,$D$2-1)))))</f>
        <v/>
      </c>
      <c r="BE39" s="123">
        <f>IF(OR($C39="",$B$2="",$D$2=0),0,IF(BE$3&lt;0,0,N(INDEX('CURVA PREVISION'!$A$1:$KZ$3000,$C39,10+3*MIN(BE$3,$D$2-1)))))</f>
        <v/>
      </c>
      <c r="BF39" s="123">
        <f>IF(OR($C39="",$B$2="",$D$2=0),0,IF(BF$3&lt;0,0,N(INDEX('CURVA PREVISION'!$A$1:$KZ$3000,$C39,10+3*MIN(BF$3,$D$2-1)))))</f>
        <v/>
      </c>
      <c r="BG39" s="123">
        <f>IF(OR($C39="",$B$2="",$D$2=0),0,IF(BG$3&lt;0,0,N(INDEX('CURVA PREVISION'!$A$1:$KZ$3000,$C39,10+3*MIN(BG$3,$D$2-1)))))</f>
        <v/>
      </c>
      <c r="BH39" s="123">
        <f>IF(OR($C39="",$B$2="",$D$2=0),0,IF(BH$3&lt;0,0,N(INDEX('CURVA PREVISION'!$A$1:$KZ$3000,$C39,10+3*MIN(BH$3,$D$2-1)))))</f>
        <v/>
      </c>
      <c r="BI39" s="123">
        <f>IF(OR($C39="",$B$2="",$D$2=0),0,IF(BI$3&lt;0,0,N(INDEX('CURVA PREVISION'!$A$1:$KZ$3000,$C39,10+3*MIN(BI$3,$D$2-1)))))</f>
        <v/>
      </c>
      <c r="BJ39" s="123">
        <f>IF(OR($C39="",$B$2="",$D$2=0),0,IF(BJ$3&lt;0,0,N(INDEX('CURVA PREVISION'!$A$1:$KZ$3000,$C39,10+3*MIN(BJ$3,$D$2-1)))))</f>
        <v/>
      </c>
      <c r="BK39" s="123">
        <f>IF(OR($C39="",$B$2="",$D$2=0),0,IF(BK$3&lt;0,0,N(INDEX('CURVA PREVISION'!$A$1:$KZ$3000,$C39,10+3*MIN(BK$3,$D$2-1)))))</f>
        <v/>
      </c>
      <c r="BL39" s="123">
        <f>IF(OR($C39="",$B$2="",$D$2=0),0,IF(BL$3&lt;0,0,N(INDEX('CURVA PREVISION'!$A$1:$KZ$3000,$C39,10+3*MIN(BL$3,$D$2-1)))))</f>
        <v/>
      </c>
      <c r="BM39" s="123">
        <f>IF(OR($C39="",$B$2="",$D$2=0),0,IF(BM$3&lt;0,0,N(INDEX('CURVA PREVISION'!$A$1:$KZ$3000,$C39,10+3*MIN(BM$3,$D$2-1)))))</f>
        <v/>
      </c>
      <c r="BN39" s="123">
        <f>IF(OR($C39="",$B$2="",$D$2=0),0,IF(BN$3&lt;0,0,N(INDEX('CURVA PREVISION'!$A$1:$KZ$3000,$C39,10+3*MIN(BN$3,$D$2-1)))))</f>
        <v/>
      </c>
      <c r="BO39" s="123">
        <f>IF(OR($C39="",$B$2="",$D$2=0),0,IF(BO$3&lt;0,0,N(INDEX('CURVA PREVISION'!$A$1:$KZ$3000,$C39,10+3*MIN(BO$3,$D$2-1)))))</f>
        <v/>
      </c>
      <c r="BP39" s="123">
        <f>IF(OR($C39="",$B$2="",$D$2=0),0,IF(BP$3&lt;0,0,N(INDEX('CURVA PREVISION'!$A$1:$KZ$3000,$C39,10+3*MIN(BP$3,$D$2-1)))))</f>
        <v/>
      </c>
      <c r="BQ39" s="123">
        <f>IF(OR($C39="",$B$2="",$D$2=0),0,IF(BQ$3&lt;0,0,N(INDEX('CURVA PREVISION'!$A$1:$KZ$3000,$C39,10+3*MIN(BQ$3,$D$2-1)))))</f>
        <v/>
      </c>
      <c r="BR39" s="123">
        <f>IF(OR($C39="",$B$2="",$D$2=0),0,IF(BR$3&lt;0,0,N(INDEX('CURVA PREVISION'!$A$1:$KZ$3000,$C39,10+3*MIN(BR$3,$D$2-1)))))</f>
        <v/>
      </c>
      <c r="BS39" s="123">
        <f>IF(OR($C39="",$B$2="",$D$2=0),0,IF(BS$3&lt;0,0,N(INDEX('CURVA PREVISION'!$A$1:$KZ$3000,$C39,10+3*MIN(BS$3,$D$2-1)))))</f>
        <v/>
      </c>
      <c r="BT39" s="123">
        <f>IF(OR($C39="",$B$2="",$D$2=0),0,IF(BT$3&lt;0,0,N(INDEX('CURVA PREVISION'!$A$1:$KZ$3000,$C39,10+3*MIN(BT$3,$D$2-1)))))</f>
        <v/>
      </c>
      <c r="BU39" s="123">
        <f>IF(OR($C39="",$B$2="",$D$2=0),0,IF(BU$3&lt;0,0,N(INDEX('CURVA PREVISION'!$A$1:$KZ$3000,$C39,10+3*MIN(BU$3,$D$2-1)))))</f>
        <v/>
      </c>
      <c r="BV39" s="123">
        <f>IF(OR($C39="",$B$2="",$D$2=0),0,IF(BV$3&lt;0,0,N(INDEX('CURVA PREVISION'!$A$1:$KZ$3000,$C39,10+3*MIN(BV$3,$D$2-1)))))</f>
        <v/>
      </c>
      <c r="BW39" s="123">
        <f>IF(OR($C39="",$B$2="",$D$2=0),0,IF(BW$3&lt;0,0,N(INDEX('CURVA PREVISION'!$A$1:$KZ$3000,$C39,10+3*MIN(BW$3,$D$2-1)))))</f>
        <v/>
      </c>
    </row>
    <row r="40">
      <c r="A40" s="61">
        <f>IF('VALOR POR PL'!R46&lt;&gt;"",'VALOR POR PL'!R46,IF('VALOR POR PL'!Q46="",'VALOR POR PL'!C46,'VALOR POR PL'!Q46))</f>
        <v/>
      </c>
      <c r="B40" s="61">
        <f>'VALOR POR PL'!D46</f>
        <v/>
      </c>
      <c r="C40" s="70">
        <f>IFERROR(MATCH(A40,'CURVA PREVISION'!$B$1:$B$3000,0),"")</f>
        <v/>
      </c>
      <c r="D40" s="123">
        <f>IF(OR($C40="",$B$2="",$D$2=0),0,IF(D$3&lt;0,0,N(INDEX('CURVA PREVISION'!$A$1:$KZ$3000,$C40,10+3*MIN(D$3,$D$2-1)))))</f>
        <v/>
      </c>
      <c r="E40" s="123">
        <f>IF(OR($C40="",$B$2="",$D$2=0),0,IF(E$3&lt;0,0,N(INDEX('CURVA PREVISION'!$A$1:$KZ$3000,$C40,10+3*MIN(E$3,$D$2-1)))))</f>
        <v/>
      </c>
      <c r="F40" s="123">
        <f>IF(OR($C40="",$B$2="",$D$2=0),0,IF(F$3&lt;0,0,N(INDEX('CURVA PREVISION'!$A$1:$KZ$3000,$C40,10+3*MIN(F$3,$D$2-1)))))</f>
        <v/>
      </c>
      <c r="G40" s="123">
        <f>IF(OR($C40="",$B$2="",$D$2=0),0,IF(G$3&lt;0,0,N(INDEX('CURVA PREVISION'!$A$1:$KZ$3000,$C40,10+3*MIN(G$3,$D$2-1)))))</f>
        <v/>
      </c>
      <c r="H40" s="123">
        <f>IF(OR($C40="",$B$2="",$D$2=0),0,IF(H$3&lt;0,0,N(INDEX('CURVA PREVISION'!$A$1:$KZ$3000,$C40,10+3*MIN(H$3,$D$2-1)))))</f>
        <v/>
      </c>
      <c r="I40" s="123">
        <f>IF(OR($C40="",$B$2="",$D$2=0),0,IF(I$3&lt;0,0,N(INDEX('CURVA PREVISION'!$A$1:$KZ$3000,$C40,10+3*MIN(I$3,$D$2-1)))))</f>
        <v/>
      </c>
      <c r="J40" s="123">
        <f>IF(OR($C40="",$B$2="",$D$2=0),0,IF(J$3&lt;0,0,N(INDEX('CURVA PREVISION'!$A$1:$KZ$3000,$C40,10+3*MIN(J$3,$D$2-1)))))</f>
        <v/>
      </c>
      <c r="K40" s="123">
        <f>IF(OR($C40="",$B$2="",$D$2=0),0,IF(K$3&lt;0,0,N(INDEX('CURVA PREVISION'!$A$1:$KZ$3000,$C40,10+3*MIN(K$3,$D$2-1)))))</f>
        <v/>
      </c>
      <c r="L40" s="123">
        <f>IF(OR($C40="",$B$2="",$D$2=0),0,IF(L$3&lt;0,0,N(INDEX('CURVA PREVISION'!$A$1:$KZ$3000,$C40,10+3*MIN(L$3,$D$2-1)))))</f>
        <v/>
      </c>
      <c r="M40" s="123">
        <f>IF(OR($C40="",$B$2="",$D$2=0),0,IF(M$3&lt;0,0,N(INDEX('CURVA PREVISION'!$A$1:$KZ$3000,$C40,10+3*MIN(M$3,$D$2-1)))))</f>
        <v/>
      </c>
      <c r="N40" s="123">
        <f>IF(OR($C40="",$B$2="",$D$2=0),0,IF(N$3&lt;0,0,N(INDEX('CURVA PREVISION'!$A$1:$KZ$3000,$C40,10+3*MIN(N$3,$D$2-1)))))</f>
        <v/>
      </c>
      <c r="O40" s="123">
        <f>IF(OR($C40="",$B$2="",$D$2=0),0,IF(O$3&lt;0,0,N(INDEX('CURVA PREVISION'!$A$1:$KZ$3000,$C40,10+3*MIN(O$3,$D$2-1)))))</f>
        <v/>
      </c>
      <c r="P40" s="123">
        <f>IF(OR($C40="",$B$2="",$D$2=0),0,IF(P$3&lt;0,0,N(INDEX('CURVA PREVISION'!$A$1:$KZ$3000,$C40,10+3*MIN(P$3,$D$2-1)))))</f>
        <v/>
      </c>
      <c r="Q40" s="123">
        <f>IF(OR($C40="",$B$2="",$D$2=0),0,IF(Q$3&lt;0,0,N(INDEX('CURVA PREVISION'!$A$1:$KZ$3000,$C40,10+3*MIN(Q$3,$D$2-1)))))</f>
        <v/>
      </c>
      <c r="R40" s="123">
        <f>IF(OR($C40="",$B$2="",$D$2=0),0,IF(R$3&lt;0,0,N(INDEX('CURVA PREVISION'!$A$1:$KZ$3000,$C40,10+3*MIN(R$3,$D$2-1)))))</f>
        <v/>
      </c>
      <c r="S40" s="123">
        <f>IF(OR($C40="",$B$2="",$D$2=0),0,IF(S$3&lt;0,0,N(INDEX('CURVA PREVISION'!$A$1:$KZ$3000,$C40,10+3*MIN(S$3,$D$2-1)))))</f>
        <v/>
      </c>
      <c r="T40" s="123">
        <f>IF(OR($C40="",$B$2="",$D$2=0),0,IF(T$3&lt;0,0,N(INDEX('CURVA PREVISION'!$A$1:$KZ$3000,$C40,10+3*MIN(T$3,$D$2-1)))))</f>
        <v/>
      </c>
      <c r="U40" s="123">
        <f>IF(OR($C40="",$B$2="",$D$2=0),0,IF(U$3&lt;0,0,N(INDEX('CURVA PREVISION'!$A$1:$KZ$3000,$C40,10+3*MIN(U$3,$D$2-1)))))</f>
        <v/>
      </c>
      <c r="V40" s="123">
        <f>IF(OR($C40="",$B$2="",$D$2=0),0,IF(V$3&lt;0,0,N(INDEX('CURVA PREVISION'!$A$1:$KZ$3000,$C40,10+3*MIN(V$3,$D$2-1)))))</f>
        <v/>
      </c>
      <c r="W40" s="123">
        <f>IF(OR($C40="",$B$2="",$D$2=0),0,IF(W$3&lt;0,0,N(INDEX('CURVA PREVISION'!$A$1:$KZ$3000,$C40,10+3*MIN(W$3,$D$2-1)))))</f>
        <v/>
      </c>
      <c r="X40" s="123">
        <f>IF(OR($C40="",$B$2="",$D$2=0),0,IF(X$3&lt;0,0,N(INDEX('CURVA PREVISION'!$A$1:$KZ$3000,$C40,10+3*MIN(X$3,$D$2-1)))))</f>
        <v/>
      </c>
      <c r="Y40" s="123">
        <f>IF(OR($C40="",$B$2="",$D$2=0),0,IF(Y$3&lt;0,0,N(INDEX('CURVA PREVISION'!$A$1:$KZ$3000,$C40,10+3*MIN(Y$3,$D$2-1)))))</f>
        <v/>
      </c>
      <c r="Z40" s="123">
        <f>IF(OR($C40="",$B$2="",$D$2=0),0,IF(Z$3&lt;0,0,N(INDEX('CURVA PREVISION'!$A$1:$KZ$3000,$C40,10+3*MIN(Z$3,$D$2-1)))))</f>
        <v/>
      </c>
      <c r="AA40" s="123">
        <f>IF(OR($C40="",$B$2="",$D$2=0),0,IF(AA$3&lt;0,0,N(INDEX('CURVA PREVISION'!$A$1:$KZ$3000,$C40,10+3*MIN(AA$3,$D$2-1)))))</f>
        <v/>
      </c>
      <c r="AB40" s="123">
        <f>IF(OR($C40="",$B$2="",$D$2=0),0,IF(AB$3&lt;0,0,N(INDEX('CURVA PREVISION'!$A$1:$KZ$3000,$C40,10+3*MIN(AB$3,$D$2-1)))))</f>
        <v/>
      </c>
      <c r="AC40" s="123">
        <f>IF(OR($C40="",$B$2="",$D$2=0),0,IF(AC$3&lt;0,0,N(INDEX('CURVA PREVISION'!$A$1:$KZ$3000,$C40,10+3*MIN(AC$3,$D$2-1)))))</f>
        <v/>
      </c>
      <c r="AD40" s="123">
        <f>IF(OR($C40="",$B$2="",$D$2=0),0,IF(AD$3&lt;0,0,N(INDEX('CURVA PREVISION'!$A$1:$KZ$3000,$C40,10+3*MIN(AD$3,$D$2-1)))))</f>
        <v/>
      </c>
      <c r="AE40" s="123">
        <f>IF(OR($C40="",$B$2="",$D$2=0),0,IF(AE$3&lt;0,0,N(INDEX('CURVA PREVISION'!$A$1:$KZ$3000,$C40,10+3*MIN(AE$3,$D$2-1)))))</f>
        <v/>
      </c>
      <c r="AF40" s="123">
        <f>IF(OR($C40="",$B$2="",$D$2=0),0,IF(AF$3&lt;0,0,N(INDEX('CURVA PREVISION'!$A$1:$KZ$3000,$C40,10+3*MIN(AF$3,$D$2-1)))))</f>
        <v/>
      </c>
      <c r="AG40" s="123">
        <f>IF(OR($C40="",$B$2="",$D$2=0),0,IF(AG$3&lt;0,0,N(INDEX('CURVA PREVISION'!$A$1:$KZ$3000,$C40,10+3*MIN(AG$3,$D$2-1)))))</f>
        <v/>
      </c>
      <c r="AH40" s="123">
        <f>IF(OR($C40="",$B$2="",$D$2=0),0,IF(AH$3&lt;0,0,N(INDEX('CURVA PREVISION'!$A$1:$KZ$3000,$C40,10+3*MIN(AH$3,$D$2-1)))))</f>
        <v/>
      </c>
      <c r="AI40" s="123">
        <f>IF(OR($C40="",$B$2="",$D$2=0),0,IF(AI$3&lt;0,0,N(INDEX('CURVA PREVISION'!$A$1:$KZ$3000,$C40,10+3*MIN(AI$3,$D$2-1)))))</f>
        <v/>
      </c>
      <c r="AJ40" s="123">
        <f>IF(OR($C40="",$B$2="",$D$2=0),0,IF(AJ$3&lt;0,0,N(INDEX('CURVA PREVISION'!$A$1:$KZ$3000,$C40,10+3*MIN(AJ$3,$D$2-1)))))</f>
        <v/>
      </c>
      <c r="AK40" s="123">
        <f>IF(OR($C40="",$B$2="",$D$2=0),0,IF(AK$3&lt;0,0,N(INDEX('CURVA PREVISION'!$A$1:$KZ$3000,$C40,10+3*MIN(AK$3,$D$2-1)))))</f>
        <v/>
      </c>
      <c r="AL40" s="123">
        <f>IF(OR($C40="",$B$2="",$D$2=0),0,IF(AL$3&lt;0,0,N(INDEX('CURVA PREVISION'!$A$1:$KZ$3000,$C40,10+3*MIN(AL$3,$D$2-1)))))</f>
        <v/>
      </c>
      <c r="AM40" s="123">
        <f>IF(OR($C40="",$B$2="",$D$2=0),0,IF(AM$3&lt;0,0,N(INDEX('CURVA PREVISION'!$A$1:$KZ$3000,$C40,10+3*MIN(AM$3,$D$2-1)))))</f>
        <v/>
      </c>
      <c r="AN40" s="123">
        <f>IF(OR($C40="",$B$2="",$D$2=0),0,IF(AN$3&lt;0,0,N(INDEX('CURVA PREVISION'!$A$1:$KZ$3000,$C40,10+3*MIN(AN$3,$D$2-1)))))</f>
        <v/>
      </c>
      <c r="AO40" s="123">
        <f>IF(OR($C40="",$B$2="",$D$2=0),0,IF(AO$3&lt;0,0,N(INDEX('CURVA PREVISION'!$A$1:$KZ$3000,$C40,10+3*MIN(AO$3,$D$2-1)))))</f>
        <v/>
      </c>
      <c r="AP40" s="123">
        <f>IF(OR($C40="",$B$2="",$D$2=0),0,IF(AP$3&lt;0,0,N(INDEX('CURVA PREVISION'!$A$1:$KZ$3000,$C40,10+3*MIN(AP$3,$D$2-1)))))</f>
        <v/>
      </c>
      <c r="AQ40" s="123">
        <f>IF(OR($C40="",$B$2="",$D$2=0),0,IF(AQ$3&lt;0,0,N(INDEX('CURVA PREVISION'!$A$1:$KZ$3000,$C40,10+3*MIN(AQ$3,$D$2-1)))))</f>
        <v/>
      </c>
      <c r="AR40" s="123">
        <f>IF(OR($C40="",$B$2="",$D$2=0),0,IF(AR$3&lt;0,0,N(INDEX('CURVA PREVISION'!$A$1:$KZ$3000,$C40,10+3*MIN(AR$3,$D$2-1)))))</f>
        <v/>
      </c>
      <c r="AS40" s="123">
        <f>IF(OR($C40="",$B$2="",$D$2=0),0,IF(AS$3&lt;0,0,N(INDEX('CURVA PREVISION'!$A$1:$KZ$3000,$C40,10+3*MIN(AS$3,$D$2-1)))))</f>
        <v/>
      </c>
      <c r="AT40" s="123">
        <f>IF(OR($C40="",$B$2="",$D$2=0),0,IF(AT$3&lt;0,0,N(INDEX('CURVA PREVISION'!$A$1:$KZ$3000,$C40,10+3*MIN(AT$3,$D$2-1)))))</f>
        <v/>
      </c>
      <c r="AU40" s="123">
        <f>IF(OR($C40="",$B$2="",$D$2=0),0,IF(AU$3&lt;0,0,N(INDEX('CURVA PREVISION'!$A$1:$KZ$3000,$C40,10+3*MIN(AU$3,$D$2-1)))))</f>
        <v/>
      </c>
      <c r="AV40" s="123">
        <f>IF(OR($C40="",$B$2="",$D$2=0),0,IF(AV$3&lt;0,0,N(INDEX('CURVA PREVISION'!$A$1:$KZ$3000,$C40,10+3*MIN(AV$3,$D$2-1)))))</f>
        <v/>
      </c>
      <c r="AW40" s="123">
        <f>IF(OR($C40="",$B$2="",$D$2=0),0,IF(AW$3&lt;0,0,N(INDEX('CURVA PREVISION'!$A$1:$KZ$3000,$C40,10+3*MIN(AW$3,$D$2-1)))))</f>
        <v/>
      </c>
      <c r="AX40" s="123">
        <f>IF(OR($C40="",$B$2="",$D$2=0),0,IF(AX$3&lt;0,0,N(INDEX('CURVA PREVISION'!$A$1:$KZ$3000,$C40,10+3*MIN(AX$3,$D$2-1)))))</f>
        <v/>
      </c>
      <c r="AY40" s="123">
        <f>IF(OR($C40="",$B$2="",$D$2=0),0,IF(AY$3&lt;0,0,N(INDEX('CURVA PREVISION'!$A$1:$KZ$3000,$C40,10+3*MIN(AY$3,$D$2-1)))))</f>
        <v/>
      </c>
      <c r="AZ40" s="123">
        <f>IF(OR($C40="",$B$2="",$D$2=0),0,IF(AZ$3&lt;0,0,N(INDEX('CURVA PREVISION'!$A$1:$KZ$3000,$C40,10+3*MIN(AZ$3,$D$2-1)))))</f>
        <v/>
      </c>
      <c r="BA40" s="123">
        <f>IF(OR($C40="",$B$2="",$D$2=0),0,IF(BA$3&lt;0,0,N(INDEX('CURVA PREVISION'!$A$1:$KZ$3000,$C40,10+3*MIN(BA$3,$D$2-1)))))</f>
        <v/>
      </c>
      <c r="BB40" s="123">
        <f>IF(OR($C40="",$B$2="",$D$2=0),0,IF(BB$3&lt;0,0,N(INDEX('CURVA PREVISION'!$A$1:$KZ$3000,$C40,10+3*MIN(BB$3,$D$2-1)))))</f>
        <v/>
      </c>
      <c r="BC40" s="123">
        <f>IF(OR($C40="",$B$2="",$D$2=0),0,IF(BC$3&lt;0,0,N(INDEX('CURVA PREVISION'!$A$1:$KZ$3000,$C40,10+3*MIN(BC$3,$D$2-1)))))</f>
        <v/>
      </c>
      <c r="BD40" s="123">
        <f>IF(OR($C40="",$B$2="",$D$2=0),0,IF(BD$3&lt;0,0,N(INDEX('CURVA PREVISION'!$A$1:$KZ$3000,$C40,10+3*MIN(BD$3,$D$2-1)))))</f>
        <v/>
      </c>
      <c r="BE40" s="123">
        <f>IF(OR($C40="",$B$2="",$D$2=0),0,IF(BE$3&lt;0,0,N(INDEX('CURVA PREVISION'!$A$1:$KZ$3000,$C40,10+3*MIN(BE$3,$D$2-1)))))</f>
        <v/>
      </c>
      <c r="BF40" s="123">
        <f>IF(OR($C40="",$B$2="",$D$2=0),0,IF(BF$3&lt;0,0,N(INDEX('CURVA PREVISION'!$A$1:$KZ$3000,$C40,10+3*MIN(BF$3,$D$2-1)))))</f>
        <v/>
      </c>
      <c r="BG40" s="123">
        <f>IF(OR($C40="",$B$2="",$D$2=0),0,IF(BG$3&lt;0,0,N(INDEX('CURVA PREVISION'!$A$1:$KZ$3000,$C40,10+3*MIN(BG$3,$D$2-1)))))</f>
        <v/>
      </c>
      <c r="BH40" s="123">
        <f>IF(OR($C40="",$B$2="",$D$2=0),0,IF(BH$3&lt;0,0,N(INDEX('CURVA PREVISION'!$A$1:$KZ$3000,$C40,10+3*MIN(BH$3,$D$2-1)))))</f>
        <v/>
      </c>
      <c r="BI40" s="123">
        <f>IF(OR($C40="",$B$2="",$D$2=0),0,IF(BI$3&lt;0,0,N(INDEX('CURVA PREVISION'!$A$1:$KZ$3000,$C40,10+3*MIN(BI$3,$D$2-1)))))</f>
        <v/>
      </c>
      <c r="BJ40" s="123">
        <f>IF(OR($C40="",$B$2="",$D$2=0),0,IF(BJ$3&lt;0,0,N(INDEX('CURVA PREVISION'!$A$1:$KZ$3000,$C40,10+3*MIN(BJ$3,$D$2-1)))))</f>
        <v/>
      </c>
      <c r="BK40" s="123">
        <f>IF(OR($C40="",$B$2="",$D$2=0),0,IF(BK$3&lt;0,0,N(INDEX('CURVA PREVISION'!$A$1:$KZ$3000,$C40,10+3*MIN(BK$3,$D$2-1)))))</f>
        <v/>
      </c>
      <c r="BL40" s="123">
        <f>IF(OR($C40="",$B$2="",$D$2=0),0,IF(BL$3&lt;0,0,N(INDEX('CURVA PREVISION'!$A$1:$KZ$3000,$C40,10+3*MIN(BL$3,$D$2-1)))))</f>
        <v/>
      </c>
      <c r="BM40" s="123">
        <f>IF(OR($C40="",$B$2="",$D$2=0),0,IF(BM$3&lt;0,0,N(INDEX('CURVA PREVISION'!$A$1:$KZ$3000,$C40,10+3*MIN(BM$3,$D$2-1)))))</f>
        <v/>
      </c>
      <c r="BN40" s="123">
        <f>IF(OR($C40="",$B$2="",$D$2=0),0,IF(BN$3&lt;0,0,N(INDEX('CURVA PREVISION'!$A$1:$KZ$3000,$C40,10+3*MIN(BN$3,$D$2-1)))))</f>
        <v/>
      </c>
      <c r="BO40" s="123">
        <f>IF(OR($C40="",$B$2="",$D$2=0),0,IF(BO$3&lt;0,0,N(INDEX('CURVA PREVISION'!$A$1:$KZ$3000,$C40,10+3*MIN(BO$3,$D$2-1)))))</f>
        <v/>
      </c>
      <c r="BP40" s="123">
        <f>IF(OR($C40="",$B$2="",$D$2=0),0,IF(BP$3&lt;0,0,N(INDEX('CURVA PREVISION'!$A$1:$KZ$3000,$C40,10+3*MIN(BP$3,$D$2-1)))))</f>
        <v/>
      </c>
      <c r="BQ40" s="123">
        <f>IF(OR($C40="",$B$2="",$D$2=0),0,IF(BQ$3&lt;0,0,N(INDEX('CURVA PREVISION'!$A$1:$KZ$3000,$C40,10+3*MIN(BQ$3,$D$2-1)))))</f>
        <v/>
      </c>
      <c r="BR40" s="123">
        <f>IF(OR($C40="",$B$2="",$D$2=0),0,IF(BR$3&lt;0,0,N(INDEX('CURVA PREVISION'!$A$1:$KZ$3000,$C40,10+3*MIN(BR$3,$D$2-1)))))</f>
        <v/>
      </c>
      <c r="BS40" s="123">
        <f>IF(OR($C40="",$B$2="",$D$2=0),0,IF(BS$3&lt;0,0,N(INDEX('CURVA PREVISION'!$A$1:$KZ$3000,$C40,10+3*MIN(BS$3,$D$2-1)))))</f>
        <v/>
      </c>
      <c r="BT40" s="123">
        <f>IF(OR($C40="",$B$2="",$D$2=0),0,IF(BT$3&lt;0,0,N(INDEX('CURVA PREVISION'!$A$1:$KZ$3000,$C40,10+3*MIN(BT$3,$D$2-1)))))</f>
        <v/>
      </c>
      <c r="BU40" s="123">
        <f>IF(OR($C40="",$B$2="",$D$2=0),0,IF(BU$3&lt;0,0,N(INDEX('CURVA PREVISION'!$A$1:$KZ$3000,$C40,10+3*MIN(BU$3,$D$2-1)))))</f>
        <v/>
      </c>
      <c r="BV40" s="123">
        <f>IF(OR($C40="",$B$2="",$D$2=0),0,IF(BV$3&lt;0,0,N(INDEX('CURVA PREVISION'!$A$1:$KZ$3000,$C40,10+3*MIN(BV$3,$D$2-1)))))</f>
        <v/>
      </c>
      <c r="BW40" s="123">
        <f>IF(OR($C40="",$B$2="",$D$2=0),0,IF(BW$3&lt;0,0,N(INDEX('CURVA PREVISION'!$A$1:$KZ$3000,$C40,10+3*MIN(BW$3,$D$2-1)))))</f>
        <v/>
      </c>
    </row>
    <row r="41">
      <c r="A41" s="61">
        <f>IF('VALOR POR PL'!R47&lt;&gt;"",'VALOR POR PL'!R47,IF('VALOR POR PL'!Q47="",'VALOR POR PL'!C47,'VALOR POR PL'!Q47))</f>
        <v/>
      </c>
      <c r="B41" s="61">
        <f>'VALOR POR PL'!D47</f>
        <v/>
      </c>
      <c r="C41" s="70">
        <f>IFERROR(MATCH(A41,'CURVA PREVISION'!$B$1:$B$3000,0),"")</f>
        <v/>
      </c>
      <c r="D41" s="123">
        <f>IF(OR($C41="",$B$2="",$D$2=0),0,IF(D$3&lt;0,0,N(INDEX('CURVA PREVISION'!$A$1:$KZ$3000,$C41,10+3*MIN(D$3,$D$2-1)))))</f>
        <v/>
      </c>
      <c r="E41" s="123">
        <f>IF(OR($C41="",$B$2="",$D$2=0),0,IF(E$3&lt;0,0,N(INDEX('CURVA PREVISION'!$A$1:$KZ$3000,$C41,10+3*MIN(E$3,$D$2-1)))))</f>
        <v/>
      </c>
      <c r="F41" s="123">
        <f>IF(OR($C41="",$B$2="",$D$2=0),0,IF(F$3&lt;0,0,N(INDEX('CURVA PREVISION'!$A$1:$KZ$3000,$C41,10+3*MIN(F$3,$D$2-1)))))</f>
        <v/>
      </c>
      <c r="G41" s="123">
        <f>IF(OR($C41="",$B$2="",$D$2=0),0,IF(G$3&lt;0,0,N(INDEX('CURVA PREVISION'!$A$1:$KZ$3000,$C41,10+3*MIN(G$3,$D$2-1)))))</f>
        <v/>
      </c>
      <c r="H41" s="123">
        <f>IF(OR($C41="",$B$2="",$D$2=0),0,IF(H$3&lt;0,0,N(INDEX('CURVA PREVISION'!$A$1:$KZ$3000,$C41,10+3*MIN(H$3,$D$2-1)))))</f>
        <v/>
      </c>
      <c r="I41" s="123">
        <f>IF(OR($C41="",$B$2="",$D$2=0),0,IF(I$3&lt;0,0,N(INDEX('CURVA PREVISION'!$A$1:$KZ$3000,$C41,10+3*MIN(I$3,$D$2-1)))))</f>
        <v/>
      </c>
      <c r="J41" s="123">
        <f>IF(OR($C41="",$B$2="",$D$2=0),0,IF(J$3&lt;0,0,N(INDEX('CURVA PREVISION'!$A$1:$KZ$3000,$C41,10+3*MIN(J$3,$D$2-1)))))</f>
        <v/>
      </c>
      <c r="K41" s="123">
        <f>IF(OR($C41="",$B$2="",$D$2=0),0,IF(K$3&lt;0,0,N(INDEX('CURVA PREVISION'!$A$1:$KZ$3000,$C41,10+3*MIN(K$3,$D$2-1)))))</f>
        <v/>
      </c>
      <c r="L41" s="123">
        <f>IF(OR($C41="",$B$2="",$D$2=0),0,IF(L$3&lt;0,0,N(INDEX('CURVA PREVISION'!$A$1:$KZ$3000,$C41,10+3*MIN(L$3,$D$2-1)))))</f>
        <v/>
      </c>
      <c r="M41" s="123">
        <f>IF(OR($C41="",$B$2="",$D$2=0),0,IF(M$3&lt;0,0,N(INDEX('CURVA PREVISION'!$A$1:$KZ$3000,$C41,10+3*MIN(M$3,$D$2-1)))))</f>
        <v/>
      </c>
      <c r="N41" s="123">
        <f>IF(OR($C41="",$B$2="",$D$2=0),0,IF(N$3&lt;0,0,N(INDEX('CURVA PREVISION'!$A$1:$KZ$3000,$C41,10+3*MIN(N$3,$D$2-1)))))</f>
        <v/>
      </c>
      <c r="O41" s="123">
        <f>IF(OR($C41="",$B$2="",$D$2=0),0,IF(O$3&lt;0,0,N(INDEX('CURVA PREVISION'!$A$1:$KZ$3000,$C41,10+3*MIN(O$3,$D$2-1)))))</f>
        <v/>
      </c>
      <c r="P41" s="123">
        <f>IF(OR($C41="",$B$2="",$D$2=0),0,IF(P$3&lt;0,0,N(INDEX('CURVA PREVISION'!$A$1:$KZ$3000,$C41,10+3*MIN(P$3,$D$2-1)))))</f>
        <v/>
      </c>
      <c r="Q41" s="123">
        <f>IF(OR($C41="",$B$2="",$D$2=0),0,IF(Q$3&lt;0,0,N(INDEX('CURVA PREVISION'!$A$1:$KZ$3000,$C41,10+3*MIN(Q$3,$D$2-1)))))</f>
        <v/>
      </c>
      <c r="R41" s="123">
        <f>IF(OR($C41="",$B$2="",$D$2=0),0,IF(R$3&lt;0,0,N(INDEX('CURVA PREVISION'!$A$1:$KZ$3000,$C41,10+3*MIN(R$3,$D$2-1)))))</f>
        <v/>
      </c>
      <c r="S41" s="123">
        <f>IF(OR($C41="",$B$2="",$D$2=0),0,IF(S$3&lt;0,0,N(INDEX('CURVA PREVISION'!$A$1:$KZ$3000,$C41,10+3*MIN(S$3,$D$2-1)))))</f>
        <v/>
      </c>
      <c r="T41" s="123">
        <f>IF(OR($C41="",$B$2="",$D$2=0),0,IF(T$3&lt;0,0,N(INDEX('CURVA PREVISION'!$A$1:$KZ$3000,$C41,10+3*MIN(T$3,$D$2-1)))))</f>
        <v/>
      </c>
      <c r="U41" s="123">
        <f>IF(OR($C41="",$B$2="",$D$2=0),0,IF(U$3&lt;0,0,N(INDEX('CURVA PREVISION'!$A$1:$KZ$3000,$C41,10+3*MIN(U$3,$D$2-1)))))</f>
        <v/>
      </c>
      <c r="V41" s="123">
        <f>IF(OR($C41="",$B$2="",$D$2=0),0,IF(V$3&lt;0,0,N(INDEX('CURVA PREVISION'!$A$1:$KZ$3000,$C41,10+3*MIN(V$3,$D$2-1)))))</f>
        <v/>
      </c>
      <c r="W41" s="123">
        <f>IF(OR($C41="",$B$2="",$D$2=0),0,IF(W$3&lt;0,0,N(INDEX('CURVA PREVISION'!$A$1:$KZ$3000,$C41,10+3*MIN(W$3,$D$2-1)))))</f>
        <v/>
      </c>
      <c r="X41" s="123">
        <f>IF(OR($C41="",$B$2="",$D$2=0),0,IF(X$3&lt;0,0,N(INDEX('CURVA PREVISION'!$A$1:$KZ$3000,$C41,10+3*MIN(X$3,$D$2-1)))))</f>
        <v/>
      </c>
      <c r="Y41" s="123">
        <f>IF(OR($C41="",$B$2="",$D$2=0),0,IF(Y$3&lt;0,0,N(INDEX('CURVA PREVISION'!$A$1:$KZ$3000,$C41,10+3*MIN(Y$3,$D$2-1)))))</f>
        <v/>
      </c>
      <c r="Z41" s="123">
        <f>IF(OR($C41="",$B$2="",$D$2=0),0,IF(Z$3&lt;0,0,N(INDEX('CURVA PREVISION'!$A$1:$KZ$3000,$C41,10+3*MIN(Z$3,$D$2-1)))))</f>
        <v/>
      </c>
      <c r="AA41" s="123">
        <f>IF(OR($C41="",$B$2="",$D$2=0),0,IF(AA$3&lt;0,0,N(INDEX('CURVA PREVISION'!$A$1:$KZ$3000,$C41,10+3*MIN(AA$3,$D$2-1)))))</f>
        <v/>
      </c>
      <c r="AB41" s="123">
        <f>IF(OR($C41="",$B$2="",$D$2=0),0,IF(AB$3&lt;0,0,N(INDEX('CURVA PREVISION'!$A$1:$KZ$3000,$C41,10+3*MIN(AB$3,$D$2-1)))))</f>
        <v/>
      </c>
      <c r="AC41" s="123">
        <f>IF(OR($C41="",$B$2="",$D$2=0),0,IF(AC$3&lt;0,0,N(INDEX('CURVA PREVISION'!$A$1:$KZ$3000,$C41,10+3*MIN(AC$3,$D$2-1)))))</f>
        <v/>
      </c>
      <c r="AD41" s="123">
        <f>IF(OR($C41="",$B$2="",$D$2=0),0,IF(AD$3&lt;0,0,N(INDEX('CURVA PREVISION'!$A$1:$KZ$3000,$C41,10+3*MIN(AD$3,$D$2-1)))))</f>
        <v/>
      </c>
      <c r="AE41" s="123">
        <f>IF(OR($C41="",$B$2="",$D$2=0),0,IF(AE$3&lt;0,0,N(INDEX('CURVA PREVISION'!$A$1:$KZ$3000,$C41,10+3*MIN(AE$3,$D$2-1)))))</f>
        <v/>
      </c>
      <c r="AF41" s="123">
        <f>IF(OR($C41="",$B$2="",$D$2=0),0,IF(AF$3&lt;0,0,N(INDEX('CURVA PREVISION'!$A$1:$KZ$3000,$C41,10+3*MIN(AF$3,$D$2-1)))))</f>
        <v/>
      </c>
      <c r="AG41" s="123">
        <f>IF(OR($C41="",$B$2="",$D$2=0),0,IF(AG$3&lt;0,0,N(INDEX('CURVA PREVISION'!$A$1:$KZ$3000,$C41,10+3*MIN(AG$3,$D$2-1)))))</f>
        <v/>
      </c>
      <c r="AH41" s="123">
        <f>IF(OR($C41="",$B$2="",$D$2=0),0,IF(AH$3&lt;0,0,N(INDEX('CURVA PREVISION'!$A$1:$KZ$3000,$C41,10+3*MIN(AH$3,$D$2-1)))))</f>
        <v/>
      </c>
      <c r="AI41" s="123">
        <f>IF(OR($C41="",$B$2="",$D$2=0),0,IF(AI$3&lt;0,0,N(INDEX('CURVA PREVISION'!$A$1:$KZ$3000,$C41,10+3*MIN(AI$3,$D$2-1)))))</f>
        <v/>
      </c>
      <c r="AJ41" s="123">
        <f>IF(OR($C41="",$B$2="",$D$2=0),0,IF(AJ$3&lt;0,0,N(INDEX('CURVA PREVISION'!$A$1:$KZ$3000,$C41,10+3*MIN(AJ$3,$D$2-1)))))</f>
        <v/>
      </c>
      <c r="AK41" s="123">
        <f>IF(OR($C41="",$B$2="",$D$2=0),0,IF(AK$3&lt;0,0,N(INDEX('CURVA PREVISION'!$A$1:$KZ$3000,$C41,10+3*MIN(AK$3,$D$2-1)))))</f>
        <v/>
      </c>
      <c r="AL41" s="123">
        <f>IF(OR($C41="",$B$2="",$D$2=0),0,IF(AL$3&lt;0,0,N(INDEX('CURVA PREVISION'!$A$1:$KZ$3000,$C41,10+3*MIN(AL$3,$D$2-1)))))</f>
        <v/>
      </c>
      <c r="AM41" s="123">
        <f>IF(OR($C41="",$B$2="",$D$2=0),0,IF(AM$3&lt;0,0,N(INDEX('CURVA PREVISION'!$A$1:$KZ$3000,$C41,10+3*MIN(AM$3,$D$2-1)))))</f>
        <v/>
      </c>
      <c r="AN41" s="123">
        <f>IF(OR($C41="",$B$2="",$D$2=0),0,IF(AN$3&lt;0,0,N(INDEX('CURVA PREVISION'!$A$1:$KZ$3000,$C41,10+3*MIN(AN$3,$D$2-1)))))</f>
        <v/>
      </c>
      <c r="AO41" s="123">
        <f>IF(OR($C41="",$B$2="",$D$2=0),0,IF(AO$3&lt;0,0,N(INDEX('CURVA PREVISION'!$A$1:$KZ$3000,$C41,10+3*MIN(AO$3,$D$2-1)))))</f>
        <v/>
      </c>
      <c r="AP41" s="123">
        <f>IF(OR($C41="",$B$2="",$D$2=0),0,IF(AP$3&lt;0,0,N(INDEX('CURVA PREVISION'!$A$1:$KZ$3000,$C41,10+3*MIN(AP$3,$D$2-1)))))</f>
        <v/>
      </c>
      <c r="AQ41" s="123">
        <f>IF(OR($C41="",$B$2="",$D$2=0),0,IF(AQ$3&lt;0,0,N(INDEX('CURVA PREVISION'!$A$1:$KZ$3000,$C41,10+3*MIN(AQ$3,$D$2-1)))))</f>
        <v/>
      </c>
      <c r="AR41" s="123">
        <f>IF(OR($C41="",$B$2="",$D$2=0),0,IF(AR$3&lt;0,0,N(INDEX('CURVA PREVISION'!$A$1:$KZ$3000,$C41,10+3*MIN(AR$3,$D$2-1)))))</f>
        <v/>
      </c>
      <c r="AS41" s="123">
        <f>IF(OR($C41="",$B$2="",$D$2=0),0,IF(AS$3&lt;0,0,N(INDEX('CURVA PREVISION'!$A$1:$KZ$3000,$C41,10+3*MIN(AS$3,$D$2-1)))))</f>
        <v/>
      </c>
      <c r="AT41" s="123">
        <f>IF(OR($C41="",$B$2="",$D$2=0),0,IF(AT$3&lt;0,0,N(INDEX('CURVA PREVISION'!$A$1:$KZ$3000,$C41,10+3*MIN(AT$3,$D$2-1)))))</f>
        <v/>
      </c>
      <c r="AU41" s="123">
        <f>IF(OR($C41="",$B$2="",$D$2=0),0,IF(AU$3&lt;0,0,N(INDEX('CURVA PREVISION'!$A$1:$KZ$3000,$C41,10+3*MIN(AU$3,$D$2-1)))))</f>
        <v/>
      </c>
      <c r="AV41" s="123">
        <f>IF(OR($C41="",$B$2="",$D$2=0),0,IF(AV$3&lt;0,0,N(INDEX('CURVA PREVISION'!$A$1:$KZ$3000,$C41,10+3*MIN(AV$3,$D$2-1)))))</f>
        <v/>
      </c>
      <c r="AW41" s="123">
        <f>IF(OR($C41="",$B$2="",$D$2=0),0,IF(AW$3&lt;0,0,N(INDEX('CURVA PREVISION'!$A$1:$KZ$3000,$C41,10+3*MIN(AW$3,$D$2-1)))))</f>
        <v/>
      </c>
      <c r="AX41" s="123">
        <f>IF(OR($C41="",$B$2="",$D$2=0),0,IF(AX$3&lt;0,0,N(INDEX('CURVA PREVISION'!$A$1:$KZ$3000,$C41,10+3*MIN(AX$3,$D$2-1)))))</f>
        <v/>
      </c>
      <c r="AY41" s="123">
        <f>IF(OR($C41="",$B$2="",$D$2=0),0,IF(AY$3&lt;0,0,N(INDEX('CURVA PREVISION'!$A$1:$KZ$3000,$C41,10+3*MIN(AY$3,$D$2-1)))))</f>
        <v/>
      </c>
      <c r="AZ41" s="123">
        <f>IF(OR($C41="",$B$2="",$D$2=0),0,IF(AZ$3&lt;0,0,N(INDEX('CURVA PREVISION'!$A$1:$KZ$3000,$C41,10+3*MIN(AZ$3,$D$2-1)))))</f>
        <v/>
      </c>
      <c r="BA41" s="123">
        <f>IF(OR($C41="",$B$2="",$D$2=0),0,IF(BA$3&lt;0,0,N(INDEX('CURVA PREVISION'!$A$1:$KZ$3000,$C41,10+3*MIN(BA$3,$D$2-1)))))</f>
        <v/>
      </c>
      <c r="BB41" s="123">
        <f>IF(OR($C41="",$B$2="",$D$2=0),0,IF(BB$3&lt;0,0,N(INDEX('CURVA PREVISION'!$A$1:$KZ$3000,$C41,10+3*MIN(BB$3,$D$2-1)))))</f>
        <v/>
      </c>
      <c r="BC41" s="123">
        <f>IF(OR($C41="",$B$2="",$D$2=0),0,IF(BC$3&lt;0,0,N(INDEX('CURVA PREVISION'!$A$1:$KZ$3000,$C41,10+3*MIN(BC$3,$D$2-1)))))</f>
        <v/>
      </c>
      <c r="BD41" s="123">
        <f>IF(OR($C41="",$B$2="",$D$2=0),0,IF(BD$3&lt;0,0,N(INDEX('CURVA PREVISION'!$A$1:$KZ$3000,$C41,10+3*MIN(BD$3,$D$2-1)))))</f>
        <v/>
      </c>
      <c r="BE41" s="123">
        <f>IF(OR($C41="",$B$2="",$D$2=0),0,IF(BE$3&lt;0,0,N(INDEX('CURVA PREVISION'!$A$1:$KZ$3000,$C41,10+3*MIN(BE$3,$D$2-1)))))</f>
        <v/>
      </c>
      <c r="BF41" s="123">
        <f>IF(OR($C41="",$B$2="",$D$2=0),0,IF(BF$3&lt;0,0,N(INDEX('CURVA PREVISION'!$A$1:$KZ$3000,$C41,10+3*MIN(BF$3,$D$2-1)))))</f>
        <v/>
      </c>
      <c r="BG41" s="123">
        <f>IF(OR($C41="",$B$2="",$D$2=0),0,IF(BG$3&lt;0,0,N(INDEX('CURVA PREVISION'!$A$1:$KZ$3000,$C41,10+3*MIN(BG$3,$D$2-1)))))</f>
        <v/>
      </c>
      <c r="BH41" s="123">
        <f>IF(OR($C41="",$B$2="",$D$2=0),0,IF(BH$3&lt;0,0,N(INDEX('CURVA PREVISION'!$A$1:$KZ$3000,$C41,10+3*MIN(BH$3,$D$2-1)))))</f>
        <v/>
      </c>
      <c r="BI41" s="123">
        <f>IF(OR($C41="",$B$2="",$D$2=0),0,IF(BI$3&lt;0,0,N(INDEX('CURVA PREVISION'!$A$1:$KZ$3000,$C41,10+3*MIN(BI$3,$D$2-1)))))</f>
        <v/>
      </c>
      <c r="BJ41" s="123">
        <f>IF(OR($C41="",$B$2="",$D$2=0),0,IF(BJ$3&lt;0,0,N(INDEX('CURVA PREVISION'!$A$1:$KZ$3000,$C41,10+3*MIN(BJ$3,$D$2-1)))))</f>
        <v/>
      </c>
      <c r="BK41" s="123">
        <f>IF(OR($C41="",$B$2="",$D$2=0),0,IF(BK$3&lt;0,0,N(INDEX('CURVA PREVISION'!$A$1:$KZ$3000,$C41,10+3*MIN(BK$3,$D$2-1)))))</f>
        <v/>
      </c>
      <c r="BL41" s="123">
        <f>IF(OR($C41="",$B$2="",$D$2=0),0,IF(BL$3&lt;0,0,N(INDEX('CURVA PREVISION'!$A$1:$KZ$3000,$C41,10+3*MIN(BL$3,$D$2-1)))))</f>
        <v/>
      </c>
      <c r="BM41" s="123">
        <f>IF(OR($C41="",$B$2="",$D$2=0),0,IF(BM$3&lt;0,0,N(INDEX('CURVA PREVISION'!$A$1:$KZ$3000,$C41,10+3*MIN(BM$3,$D$2-1)))))</f>
        <v/>
      </c>
      <c r="BN41" s="123">
        <f>IF(OR($C41="",$B$2="",$D$2=0),0,IF(BN$3&lt;0,0,N(INDEX('CURVA PREVISION'!$A$1:$KZ$3000,$C41,10+3*MIN(BN$3,$D$2-1)))))</f>
        <v/>
      </c>
      <c r="BO41" s="123">
        <f>IF(OR($C41="",$B$2="",$D$2=0),0,IF(BO$3&lt;0,0,N(INDEX('CURVA PREVISION'!$A$1:$KZ$3000,$C41,10+3*MIN(BO$3,$D$2-1)))))</f>
        <v/>
      </c>
      <c r="BP41" s="123">
        <f>IF(OR($C41="",$B$2="",$D$2=0),0,IF(BP$3&lt;0,0,N(INDEX('CURVA PREVISION'!$A$1:$KZ$3000,$C41,10+3*MIN(BP$3,$D$2-1)))))</f>
        <v/>
      </c>
      <c r="BQ41" s="123">
        <f>IF(OR($C41="",$B$2="",$D$2=0),0,IF(BQ$3&lt;0,0,N(INDEX('CURVA PREVISION'!$A$1:$KZ$3000,$C41,10+3*MIN(BQ$3,$D$2-1)))))</f>
        <v/>
      </c>
      <c r="BR41" s="123">
        <f>IF(OR($C41="",$B$2="",$D$2=0),0,IF(BR$3&lt;0,0,N(INDEX('CURVA PREVISION'!$A$1:$KZ$3000,$C41,10+3*MIN(BR$3,$D$2-1)))))</f>
        <v/>
      </c>
      <c r="BS41" s="123">
        <f>IF(OR($C41="",$B$2="",$D$2=0),0,IF(BS$3&lt;0,0,N(INDEX('CURVA PREVISION'!$A$1:$KZ$3000,$C41,10+3*MIN(BS$3,$D$2-1)))))</f>
        <v/>
      </c>
      <c r="BT41" s="123">
        <f>IF(OR($C41="",$B$2="",$D$2=0),0,IF(BT$3&lt;0,0,N(INDEX('CURVA PREVISION'!$A$1:$KZ$3000,$C41,10+3*MIN(BT$3,$D$2-1)))))</f>
        <v/>
      </c>
      <c r="BU41" s="123">
        <f>IF(OR($C41="",$B$2="",$D$2=0),0,IF(BU$3&lt;0,0,N(INDEX('CURVA PREVISION'!$A$1:$KZ$3000,$C41,10+3*MIN(BU$3,$D$2-1)))))</f>
        <v/>
      </c>
      <c r="BV41" s="123">
        <f>IF(OR($C41="",$B$2="",$D$2=0),0,IF(BV$3&lt;0,0,N(INDEX('CURVA PREVISION'!$A$1:$KZ$3000,$C41,10+3*MIN(BV$3,$D$2-1)))))</f>
        <v/>
      </c>
      <c r="BW41" s="123">
        <f>IF(OR($C41="",$B$2="",$D$2=0),0,IF(BW$3&lt;0,0,N(INDEX('CURVA PREVISION'!$A$1:$KZ$3000,$C41,10+3*MIN(BW$3,$D$2-1)))))</f>
        <v/>
      </c>
    </row>
    <row r="42">
      <c r="A42" s="61">
        <f>IF('VALOR POR PL'!R48&lt;&gt;"",'VALOR POR PL'!R48,IF('VALOR POR PL'!Q48="",'VALOR POR PL'!C48,'VALOR POR PL'!Q48))</f>
        <v/>
      </c>
      <c r="B42" s="61">
        <f>'VALOR POR PL'!D48</f>
        <v/>
      </c>
      <c r="C42" s="70">
        <f>IFERROR(MATCH(A42,'CURVA PREVISION'!$B$1:$B$3000,0),"")</f>
        <v/>
      </c>
      <c r="D42" s="123">
        <f>IF(OR($C42="",$B$2="",$D$2=0),0,IF(D$3&lt;0,0,N(INDEX('CURVA PREVISION'!$A$1:$KZ$3000,$C42,10+3*MIN(D$3,$D$2-1)))))</f>
        <v/>
      </c>
      <c r="E42" s="123">
        <f>IF(OR($C42="",$B$2="",$D$2=0),0,IF(E$3&lt;0,0,N(INDEX('CURVA PREVISION'!$A$1:$KZ$3000,$C42,10+3*MIN(E$3,$D$2-1)))))</f>
        <v/>
      </c>
      <c r="F42" s="123">
        <f>IF(OR($C42="",$B$2="",$D$2=0),0,IF(F$3&lt;0,0,N(INDEX('CURVA PREVISION'!$A$1:$KZ$3000,$C42,10+3*MIN(F$3,$D$2-1)))))</f>
        <v/>
      </c>
      <c r="G42" s="123">
        <f>IF(OR($C42="",$B$2="",$D$2=0),0,IF(G$3&lt;0,0,N(INDEX('CURVA PREVISION'!$A$1:$KZ$3000,$C42,10+3*MIN(G$3,$D$2-1)))))</f>
        <v/>
      </c>
      <c r="H42" s="123">
        <f>IF(OR($C42="",$B$2="",$D$2=0),0,IF(H$3&lt;0,0,N(INDEX('CURVA PREVISION'!$A$1:$KZ$3000,$C42,10+3*MIN(H$3,$D$2-1)))))</f>
        <v/>
      </c>
      <c r="I42" s="123">
        <f>IF(OR($C42="",$B$2="",$D$2=0),0,IF(I$3&lt;0,0,N(INDEX('CURVA PREVISION'!$A$1:$KZ$3000,$C42,10+3*MIN(I$3,$D$2-1)))))</f>
        <v/>
      </c>
      <c r="J42" s="123">
        <f>IF(OR($C42="",$B$2="",$D$2=0),0,IF(J$3&lt;0,0,N(INDEX('CURVA PREVISION'!$A$1:$KZ$3000,$C42,10+3*MIN(J$3,$D$2-1)))))</f>
        <v/>
      </c>
      <c r="K42" s="123">
        <f>IF(OR($C42="",$B$2="",$D$2=0),0,IF(K$3&lt;0,0,N(INDEX('CURVA PREVISION'!$A$1:$KZ$3000,$C42,10+3*MIN(K$3,$D$2-1)))))</f>
        <v/>
      </c>
      <c r="L42" s="123">
        <f>IF(OR($C42="",$B$2="",$D$2=0),0,IF(L$3&lt;0,0,N(INDEX('CURVA PREVISION'!$A$1:$KZ$3000,$C42,10+3*MIN(L$3,$D$2-1)))))</f>
        <v/>
      </c>
      <c r="M42" s="123">
        <f>IF(OR($C42="",$B$2="",$D$2=0),0,IF(M$3&lt;0,0,N(INDEX('CURVA PREVISION'!$A$1:$KZ$3000,$C42,10+3*MIN(M$3,$D$2-1)))))</f>
        <v/>
      </c>
      <c r="N42" s="123">
        <f>IF(OR($C42="",$B$2="",$D$2=0),0,IF(N$3&lt;0,0,N(INDEX('CURVA PREVISION'!$A$1:$KZ$3000,$C42,10+3*MIN(N$3,$D$2-1)))))</f>
        <v/>
      </c>
      <c r="O42" s="123">
        <f>IF(OR($C42="",$B$2="",$D$2=0),0,IF(O$3&lt;0,0,N(INDEX('CURVA PREVISION'!$A$1:$KZ$3000,$C42,10+3*MIN(O$3,$D$2-1)))))</f>
        <v/>
      </c>
      <c r="P42" s="123">
        <f>IF(OR($C42="",$B$2="",$D$2=0),0,IF(P$3&lt;0,0,N(INDEX('CURVA PREVISION'!$A$1:$KZ$3000,$C42,10+3*MIN(P$3,$D$2-1)))))</f>
        <v/>
      </c>
      <c r="Q42" s="123">
        <f>IF(OR($C42="",$B$2="",$D$2=0),0,IF(Q$3&lt;0,0,N(INDEX('CURVA PREVISION'!$A$1:$KZ$3000,$C42,10+3*MIN(Q$3,$D$2-1)))))</f>
        <v/>
      </c>
      <c r="R42" s="123">
        <f>IF(OR($C42="",$B$2="",$D$2=0),0,IF(R$3&lt;0,0,N(INDEX('CURVA PREVISION'!$A$1:$KZ$3000,$C42,10+3*MIN(R$3,$D$2-1)))))</f>
        <v/>
      </c>
      <c r="S42" s="123">
        <f>IF(OR($C42="",$B$2="",$D$2=0),0,IF(S$3&lt;0,0,N(INDEX('CURVA PREVISION'!$A$1:$KZ$3000,$C42,10+3*MIN(S$3,$D$2-1)))))</f>
        <v/>
      </c>
      <c r="T42" s="123">
        <f>IF(OR($C42="",$B$2="",$D$2=0),0,IF(T$3&lt;0,0,N(INDEX('CURVA PREVISION'!$A$1:$KZ$3000,$C42,10+3*MIN(T$3,$D$2-1)))))</f>
        <v/>
      </c>
      <c r="U42" s="123">
        <f>IF(OR($C42="",$B$2="",$D$2=0),0,IF(U$3&lt;0,0,N(INDEX('CURVA PREVISION'!$A$1:$KZ$3000,$C42,10+3*MIN(U$3,$D$2-1)))))</f>
        <v/>
      </c>
      <c r="V42" s="123">
        <f>IF(OR($C42="",$B$2="",$D$2=0),0,IF(V$3&lt;0,0,N(INDEX('CURVA PREVISION'!$A$1:$KZ$3000,$C42,10+3*MIN(V$3,$D$2-1)))))</f>
        <v/>
      </c>
      <c r="W42" s="123">
        <f>IF(OR($C42="",$B$2="",$D$2=0),0,IF(W$3&lt;0,0,N(INDEX('CURVA PREVISION'!$A$1:$KZ$3000,$C42,10+3*MIN(W$3,$D$2-1)))))</f>
        <v/>
      </c>
      <c r="X42" s="123">
        <f>IF(OR($C42="",$B$2="",$D$2=0),0,IF(X$3&lt;0,0,N(INDEX('CURVA PREVISION'!$A$1:$KZ$3000,$C42,10+3*MIN(X$3,$D$2-1)))))</f>
        <v/>
      </c>
      <c r="Y42" s="123">
        <f>IF(OR($C42="",$B$2="",$D$2=0),0,IF(Y$3&lt;0,0,N(INDEX('CURVA PREVISION'!$A$1:$KZ$3000,$C42,10+3*MIN(Y$3,$D$2-1)))))</f>
        <v/>
      </c>
      <c r="Z42" s="123">
        <f>IF(OR($C42="",$B$2="",$D$2=0),0,IF(Z$3&lt;0,0,N(INDEX('CURVA PREVISION'!$A$1:$KZ$3000,$C42,10+3*MIN(Z$3,$D$2-1)))))</f>
        <v/>
      </c>
      <c r="AA42" s="123">
        <f>IF(OR($C42="",$B$2="",$D$2=0),0,IF(AA$3&lt;0,0,N(INDEX('CURVA PREVISION'!$A$1:$KZ$3000,$C42,10+3*MIN(AA$3,$D$2-1)))))</f>
        <v/>
      </c>
      <c r="AB42" s="123">
        <f>IF(OR($C42="",$B$2="",$D$2=0),0,IF(AB$3&lt;0,0,N(INDEX('CURVA PREVISION'!$A$1:$KZ$3000,$C42,10+3*MIN(AB$3,$D$2-1)))))</f>
        <v/>
      </c>
      <c r="AC42" s="123">
        <f>IF(OR($C42="",$B$2="",$D$2=0),0,IF(AC$3&lt;0,0,N(INDEX('CURVA PREVISION'!$A$1:$KZ$3000,$C42,10+3*MIN(AC$3,$D$2-1)))))</f>
        <v/>
      </c>
      <c r="AD42" s="123">
        <f>IF(OR($C42="",$B$2="",$D$2=0),0,IF(AD$3&lt;0,0,N(INDEX('CURVA PREVISION'!$A$1:$KZ$3000,$C42,10+3*MIN(AD$3,$D$2-1)))))</f>
        <v/>
      </c>
      <c r="AE42" s="123">
        <f>IF(OR($C42="",$B$2="",$D$2=0),0,IF(AE$3&lt;0,0,N(INDEX('CURVA PREVISION'!$A$1:$KZ$3000,$C42,10+3*MIN(AE$3,$D$2-1)))))</f>
        <v/>
      </c>
      <c r="AF42" s="123">
        <f>IF(OR($C42="",$B$2="",$D$2=0),0,IF(AF$3&lt;0,0,N(INDEX('CURVA PREVISION'!$A$1:$KZ$3000,$C42,10+3*MIN(AF$3,$D$2-1)))))</f>
        <v/>
      </c>
      <c r="AG42" s="123">
        <f>IF(OR($C42="",$B$2="",$D$2=0),0,IF(AG$3&lt;0,0,N(INDEX('CURVA PREVISION'!$A$1:$KZ$3000,$C42,10+3*MIN(AG$3,$D$2-1)))))</f>
        <v/>
      </c>
      <c r="AH42" s="123">
        <f>IF(OR($C42="",$B$2="",$D$2=0),0,IF(AH$3&lt;0,0,N(INDEX('CURVA PREVISION'!$A$1:$KZ$3000,$C42,10+3*MIN(AH$3,$D$2-1)))))</f>
        <v/>
      </c>
      <c r="AI42" s="123">
        <f>IF(OR($C42="",$B$2="",$D$2=0),0,IF(AI$3&lt;0,0,N(INDEX('CURVA PREVISION'!$A$1:$KZ$3000,$C42,10+3*MIN(AI$3,$D$2-1)))))</f>
        <v/>
      </c>
      <c r="AJ42" s="123">
        <f>IF(OR($C42="",$B$2="",$D$2=0),0,IF(AJ$3&lt;0,0,N(INDEX('CURVA PREVISION'!$A$1:$KZ$3000,$C42,10+3*MIN(AJ$3,$D$2-1)))))</f>
        <v/>
      </c>
      <c r="AK42" s="123">
        <f>IF(OR($C42="",$B$2="",$D$2=0),0,IF(AK$3&lt;0,0,N(INDEX('CURVA PREVISION'!$A$1:$KZ$3000,$C42,10+3*MIN(AK$3,$D$2-1)))))</f>
        <v/>
      </c>
      <c r="AL42" s="123">
        <f>IF(OR($C42="",$B$2="",$D$2=0),0,IF(AL$3&lt;0,0,N(INDEX('CURVA PREVISION'!$A$1:$KZ$3000,$C42,10+3*MIN(AL$3,$D$2-1)))))</f>
        <v/>
      </c>
      <c r="AM42" s="123">
        <f>IF(OR($C42="",$B$2="",$D$2=0),0,IF(AM$3&lt;0,0,N(INDEX('CURVA PREVISION'!$A$1:$KZ$3000,$C42,10+3*MIN(AM$3,$D$2-1)))))</f>
        <v/>
      </c>
      <c r="AN42" s="123">
        <f>IF(OR($C42="",$B$2="",$D$2=0),0,IF(AN$3&lt;0,0,N(INDEX('CURVA PREVISION'!$A$1:$KZ$3000,$C42,10+3*MIN(AN$3,$D$2-1)))))</f>
        <v/>
      </c>
      <c r="AO42" s="123">
        <f>IF(OR($C42="",$B$2="",$D$2=0),0,IF(AO$3&lt;0,0,N(INDEX('CURVA PREVISION'!$A$1:$KZ$3000,$C42,10+3*MIN(AO$3,$D$2-1)))))</f>
        <v/>
      </c>
      <c r="AP42" s="123">
        <f>IF(OR($C42="",$B$2="",$D$2=0),0,IF(AP$3&lt;0,0,N(INDEX('CURVA PREVISION'!$A$1:$KZ$3000,$C42,10+3*MIN(AP$3,$D$2-1)))))</f>
        <v/>
      </c>
      <c r="AQ42" s="123">
        <f>IF(OR($C42="",$B$2="",$D$2=0),0,IF(AQ$3&lt;0,0,N(INDEX('CURVA PREVISION'!$A$1:$KZ$3000,$C42,10+3*MIN(AQ$3,$D$2-1)))))</f>
        <v/>
      </c>
      <c r="AR42" s="123">
        <f>IF(OR($C42="",$B$2="",$D$2=0),0,IF(AR$3&lt;0,0,N(INDEX('CURVA PREVISION'!$A$1:$KZ$3000,$C42,10+3*MIN(AR$3,$D$2-1)))))</f>
        <v/>
      </c>
      <c r="AS42" s="123">
        <f>IF(OR($C42="",$B$2="",$D$2=0),0,IF(AS$3&lt;0,0,N(INDEX('CURVA PREVISION'!$A$1:$KZ$3000,$C42,10+3*MIN(AS$3,$D$2-1)))))</f>
        <v/>
      </c>
      <c r="AT42" s="123">
        <f>IF(OR($C42="",$B$2="",$D$2=0),0,IF(AT$3&lt;0,0,N(INDEX('CURVA PREVISION'!$A$1:$KZ$3000,$C42,10+3*MIN(AT$3,$D$2-1)))))</f>
        <v/>
      </c>
      <c r="AU42" s="123">
        <f>IF(OR($C42="",$B$2="",$D$2=0),0,IF(AU$3&lt;0,0,N(INDEX('CURVA PREVISION'!$A$1:$KZ$3000,$C42,10+3*MIN(AU$3,$D$2-1)))))</f>
        <v/>
      </c>
      <c r="AV42" s="123">
        <f>IF(OR($C42="",$B$2="",$D$2=0),0,IF(AV$3&lt;0,0,N(INDEX('CURVA PREVISION'!$A$1:$KZ$3000,$C42,10+3*MIN(AV$3,$D$2-1)))))</f>
        <v/>
      </c>
      <c r="AW42" s="123">
        <f>IF(OR($C42="",$B$2="",$D$2=0),0,IF(AW$3&lt;0,0,N(INDEX('CURVA PREVISION'!$A$1:$KZ$3000,$C42,10+3*MIN(AW$3,$D$2-1)))))</f>
        <v/>
      </c>
      <c r="AX42" s="123">
        <f>IF(OR($C42="",$B$2="",$D$2=0),0,IF(AX$3&lt;0,0,N(INDEX('CURVA PREVISION'!$A$1:$KZ$3000,$C42,10+3*MIN(AX$3,$D$2-1)))))</f>
        <v/>
      </c>
      <c r="AY42" s="123">
        <f>IF(OR($C42="",$B$2="",$D$2=0),0,IF(AY$3&lt;0,0,N(INDEX('CURVA PREVISION'!$A$1:$KZ$3000,$C42,10+3*MIN(AY$3,$D$2-1)))))</f>
        <v/>
      </c>
      <c r="AZ42" s="123">
        <f>IF(OR($C42="",$B$2="",$D$2=0),0,IF(AZ$3&lt;0,0,N(INDEX('CURVA PREVISION'!$A$1:$KZ$3000,$C42,10+3*MIN(AZ$3,$D$2-1)))))</f>
        <v/>
      </c>
      <c r="BA42" s="123">
        <f>IF(OR($C42="",$B$2="",$D$2=0),0,IF(BA$3&lt;0,0,N(INDEX('CURVA PREVISION'!$A$1:$KZ$3000,$C42,10+3*MIN(BA$3,$D$2-1)))))</f>
        <v/>
      </c>
      <c r="BB42" s="123">
        <f>IF(OR($C42="",$B$2="",$D$2=0),0,IF(BB$3&lt;0,0,N(INDEX('CURVA PREVISION'!$A$1:$KZ$3000,$C42,10+3*MIN(BB$3,$D$2-1)))))</f>
        <v/>
      </c>
      <c r="BC42" s="123">
        <f>IF(OR($C42="",$B$2="",$D$2=0),0,IF(BC$3&lt;0,0,N(INDEX('CURVA PREVISION'!$A$1:$KZ$3000,$C42,10+3*MIN(BC$3,$D$2-1)))))</f>
        <v/>
      </c>
      <c r="BD42" s="123">
        <f>IF(OR($C42="",$B$2="",$D$2=0),0,IF(BD$3&lt;0,0,N(INDEX('CURVA PREVISION'!$A$1:$KZ$3000,$C42,10+3*MIN(BD$3,$D$2-1)))))</f>
        <v/>
      </c>
      <c r="BE42" s="123">
        <f>IF(OR($C42="",$B$2="",$D$2=0),0,IF(BE$3&lt;0,0,N(INDEX('CURVA PREVISION'!$A$1:$KZ$3000,$C42,10+3*MIN(BE$3,$D$2-1)))))</f>
        <v/>
      </c>
      <c r="BF42" s="123">
        <f>IF(OR($C42="",$B$2="",$D$2=0),0,IF(BF$3&lt;0,0,N(INDEX('CURVA PREVISION'!$A$1:$KZ$3000,$C42,10+3*MIN(BF$3,$D$2-1)))))</f>
        <v/>
      </c>
      <c r="BG42" s="123">
        <f>IF(OR($C42="",$B$2="",$D$2=0),0,IF(BG$3&lt;0,0,N(INDEX('CURVA PREVISION'!$A$1:$KZ$3000,$C42,10+3*MIN(BG$3,$D$2-1)))))</f>
        <v/>
      </c>
      <c r="BH42" s="123">
        <f>IF(OR($C42="",$B$2="",$D$2=0),0,IF(BH$3&lt;0,0,N(INDEX('CURVA PREVISION'!$A$1:$KZ$3000,$C42,10+3*MIN(BH$3,$D$2-1)))))</f>
        <v/>
      </c>
      <c r="BI42" s="123">
        <f>IF(OR($C42="",$B$2="",$D$2=0),0,IF(BI$3&lt;0,0,N(INDEX('CURVA PREVISION'!$A$1:$KZ$3000,$C42,10+3*MIN(BI$3,$D$2-1)))))</f>
        <v/>
      </c>
      <c r="BJ42" s="123">
        <f>IF(OR($C42="",$B$2="",$D$2=0),0,IF(BJ$3&lt;0,0,N(INDEX('CURVA PREVISION'!$A$1:$KZ$3000,$C42,10+3*MIN(BJ$3,$D$2-1)))))</f>
        <v/>
      </c>
      <c r="BK42" s="123">
        <f>IF(OR($C42="",$B$2="",$D$2=0),0,IF(BK$3&lt;0,0,N(INDEX('CURVA PREVISION'!$A$1:$KZ$3000,$C42,10+3*MIN(BK$3,$D$2-1)))))</f>
        <v/>
      </c>
      <c r="BL42" s="123">
        <f>IF(OR($C42="",$B$2="",$D$2=0),0,IF(BL$3&lt;0,0,N(INDEX('CURVA PREVISION'!$A$1:$KZ$3000,$C42,10+3*MIN(BL$3,$D$2-1)))))</f>
        <v/>
      </c>
      <c r="BM42" s="123">
        <f>IF(OR($C42="",$B$2="",$D$2=0),0,IF(BM$3&lt;0,0,N(INDEX('CURVA PREVISION'!$A$1:$KZ$3000,$C42,10+3*MIN(BM$3,$D$2-1)))))</f>
        <v/>
      </c>
      <c r="BN42" s="123">
        <f>IF(OR($C42="",$B$2="",$D$2=0),0,IF(BN$3&lt;0,0,N(INDEX('CURVA PREVISION'!$A$1:$KZ$3000,$C42,10+3*MIN(BN$3,$D$2-1)))))</f>
        <v/>
      </c>
      <c r="BO42" s="123">
        <f>IF(OR($C42="",$B$2="",$D$2=0),0,IF(BO$3&lt;0,0,N(INDEX('CURVA PREVISION'!$A$1:$KZ$3000,$C42,10+3*MIN(BO$3,$D$2-1)))))</f>
        <v/>
      </c>
      <c r="BP42" s="123">
        <f>IF(OR($C42="",$B$2="",$D$2=0),0,IF(BP$3&lt;0,0,N(INDEX('CURVA PREVISION'!$A$1:$KZ$3000,$C42,10+3*MIN(BP$3,$D$2-1)))))</f>
        <v/>
      </c>
      <c r="BQ42" s="123">
        <f>IF(OR($C42="",$B$2="",$D$2=0),0,IF(BQ$3&lt;0,0,N(INDEX('CURVA PREVISION'!$A$1:$KZ$3000,$C42,10+3*MIN(BQ$3,$D$2-1)))))</f>
        <v/>
      </c>
      <c r="BR42" s="123">
        <f>IF(OR($C42="",$B$2="",$D$2=0),0,IF(BR$3&lt;0,0,N(INDEX('CURVA PREVISION'!$A$1:$KZ$3000,$C42,10+3*MIN(BR$3,$D$2-1)))))</f>
        <v/>
      </c>
      <c r="BS42" s="123">
        <f>IF(OR($C42="",$B$2="",$D$2=0),0,IF(BS$3&lt;0,0,N(INDEX('CURVA PREVISION'!$A$1:$KZ$3000,$C42,10+3*MIN(BS$3,$D$2-1)))))</f>
        <v/>
      </c>
      <c r="BT42" s="123">
        <f>IF(OR($C42="",$B$2="",$D$2=0),0,IF(BT$3&lt;0,0,N(INDEX('CURVA PREVISION'!$A$1:$KZ$3000,$C42,10+3*MIN(BT$3,$D$2-1)))))</f>
        <v/>
      </c>
      <c r="BU42" s="123">
        <f>IF(OR($C42="",$B$2="",$D$2=0),0,IF(BU$3&lt;0,0,N(INDEX('CURVA PREVISION'!$A$1:$KZ$3000,$C42,10+3*MIN(BU$3,$D$2-1)))))</f>
        <v/>
      </c>
      <c r="BV42" s="123">
        <f>IF(OR($C42="",$B$2="",$D$2=0),0,IF(BV$3&lt;0,0,N(INDEX('CURVA PREVISION'!$A$1:$KZ$3000,$C42,10+3*MIN(BV$3,$D$2-1)))))</f>
        <v/>
      </c>
      <c r="BW42" s="123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2">
        <f>D4</f>
        <v/>
      </c>
      <c r="E46" s="122">
        <f>E4</f>
        <v/>
      </c>
      <c r="F46" s="122">
        <f>F4</f>
        <v/>
      </c>
      <c r="G46" s="122">
        <f>G4</f>
        <v/>
      </c>
      <c r="H46" s="122">
        <f>H4</f>
        <v/>
      </c>
      <c r="I46" s="122">
        <f>I4</f>
        <v/>
      </c>
      <c r="J46" s="122">
        <f>J4</f>
        <v/>
      </c>
      <c r="K46" s="122">
        <f>K4</f>
        <v/>
      </c>
      <c r="L46" s="122">
        <f>L4</f>
        <v/>
      </c>
      <c r="M46" s="122">
        <f>M4</f>
        <v/>
      </c>
      <c r="N46" s="122">
        <f>N4</f>
        <v/>
      </c>
      <c r="O46" s="122">
        <f>O4</f>
        <v/>
      </c>
      <c r="P46" s="122">
        <f>P4</f>
        <v/>
      </c>
      <c r="Q46" s="122">
        <f>Q4</f>
        <v/>
      </c>
      <c r="R46" s="122">
        <f>R4</f>
        <v/>
      </c>
      <c r="S46" s="122">
        <f>S4</f>
        <v/>
      </c>
      <c r="T46" s="122">
        <f>T4</f>
        <v/>
      </c>
      <c r="U46" s="122">
        <f>U4</f>
        <v/>
      </c>
      <c r="V46" s="122">
        <f>V4</f>
        <v/>
      </c>
      <c r="W46" s="122">
        <f>W4</f>
        <v/>
      </c>
      <c r="X46" s="122">
        <f>X4</f>
        <v/>
      </c>
      <c r="Y46" s="122">
        <f>Y4</f>
        <v/>
      </c>
      <c r="Z46" s="122">
        <f>Z4</f>
        <v/>
      </c>
      <c r="AA46" s="122">
        <f>AA4</f>
        <v/>
      </c>
      <c r="AB46" s="122">
        <f>AB4</f>
        <v/>
      </c>
      <c r="AC46" s="122">
        <f>AC4</f>
        <v/>
      </c>
      <c r="AD46" s="122">
        <f>AD4</f>
        <v/>
      </c>
      <c r="AE46" s="122">
        <f>AE4</f>
        <v/>
      </c>
      <c r="AF46" s="122">
        <f>AF4</f>
        <v/>
      </c>
      <c r="AG46" s="122">
        <f>AG4</f>
        <v/>
      </c>
      <c r="AH46" s="122">
        <f>AH4</f>
        <v/>
      </c>
      <c r="AI46" s="122">
        <f>AI4</f>
        <v/>
      </c>
      <c r="AJ46" s="122">
        <f>AJ4</f>
        <v/>
      </c>
      <c r="AK46" s="122">
        <f>AK4</f>
        <v/>
      </c>
      <c r="AL46" s="122">
        <f>AL4</f>
        <v/>
      </c>
      <c r="AM46" s="122">
        <f>AM4</f>
        <v/>
      </c>
      <c r="AN46" s="122">
        <f>AN4</f>
        <v/>
      </c>
      <c r="AO46" s="122">
        <f>AO4</f>
        <v/>
      </c>
      <c r="AP46" s="122">
        <f>AP4</f>
        <v/>
      </c>
      <c r="AQ46" s="122">
        <f>AQ4</f>
        <v/>
      </c>
      <c r="AR46" s="122">
        <f>AR4</f>
        <v/>
      </c>
      <c r="AS46" s="122">
        <f>AS4</f>
        <v/>
      </c>
      <c r="AT46" s="122">
        <f>AT4</f>
        <v/>
      </c>
      <c r="AU46" s="122">
        <f>AU4</f>
        <v/>
      </c>
      <c r="AV46" s="122">
        <f>AV4</f>
        <v/>
      </c>
      <c r="AW46" s="122">
        <f>AW4</f>
        <v/>
      </c>
      <c r="AX46" s="122">
        <f>AX4</f>
        <v/>
      </c>
      <c r="AY46" s="122">
        <f>AY4</f>
        <v/>
      </c>
      <c r="AZ46" s="122">
        <f>AZ4</f>
        <v/>
      </c>
      <c r="BA46" s="122">
        <f>BA4</f>
        <v/>
      </c>
      <c r="BB46" s="122">
        <f>BB4</f>
        <v/>
      </c>
      <c r="BC46" s="122">
        <f>BC4</f>
        <v/>
      </c>
      <c r="BD46" s="122">
        <f>BD4</f>
        <v/>
      </c>
      <c r="BE46" s="122">
        <f>BE4</f>
        <v/>
      </c>
      <c r="BF46" s="122">
        <f>BF4</f>
        <v/>
      </c>
      <c r="BG46" s="122">
        <f>BG4</f>
        <v/>
      </c>
      <c r="BH46" s="122">
        <f>BH4</f>
        <v/>
      </c>
      <c r="BI46" s="122">
        <f>BI4</f>
        <v/>
      </c>
      <c r="BJ46" s="122">
        <f>BJ4</f>
        <v/>
      </c>
      <c r="BK46" s="122">
        <f>BK4</f>
        <v/>
      </c>
      <c r="BL46" s="122">
        <f>BL4</f>
        <v/>
      </c>
      <c r="BM46" s="122">
        <f>BM4</f>
        <v/>
      </c>
      <c r="BN46" s="122">
        <f>BN4</f>
        <v/>
      </c>
      <c r="BO46" s="122">
        <f>BO4</f>
        <v/>
      </c>
      <c r="BP46" s="122">
        <f>BP4</f>
        <v/>
      </c>
      <c r="BQ46" s="122">
        <f>BQ4</f>
        <v/>
      </c>
      <c r="BR46" s="122">
        <f>BR4</f>
        <v/>
      </c>
      <c r="BS46" s="122">
        <f>BS4</f>
        <v/>
      </c>
      <c r="BT46" s="122">
        <f>BT4</f>
        <v/>
      </c>
      <c r="BU46" s="122">
        <f>BU4</f>
        <v/>
      </c>
      <c r="BV46" s="122">
        <f>BV4</f>
        <v/>
      </c>
      <c r="BW46" s="122">
        <f>BW4</f>
        <v/>
      </c>
    </row>
    <row r="47">
      <c r="A47" s="61">
        <f>IF('VALOR POR PL'!Q11="",'VALOR POR PL'!C11,'VALOR POR PL'!Q11)</f>
        <v/>
      </c>
      <c r="B47" s="51">
        <f>B5</f>
        <v/>
      </c>
      <c r="C47" s="70">
        <f>IFERROR(MATCH(A47,'CURVA PREVISION'!$B$1:$B$3000,0),"")</f>
        <v/>
      </c>
      <c r="D47" s="123">
        <f>IF(OR($C47="",$B$2="",$D$2=0),0,IF(D$3&lt;0,0,N(INDEX('CURVA PREVISION'!$A$1:$KZ$3000,$C47,11+3*MIN(D$3,$D$2-1)))))</f>
        <v/>
      </c>
      <c r="E47" s="123">
        <f>IF(OR($C47="",$B$2="",$D$2=0),0,IF(E$3&lt;0,0,N(INDEX('CURVA PREVISION'!$A$1:$KZ$3000,$C47,11+3*MIN(E$3,$D$2-1)))))</f>
        <v/>
      </c>
      <c r="F47" s="123">
        <f>IF(OR($C47="",$B$2="",$D$2=0),0,IF(F$3&lt;0,0,N(INDEX('CURVA PREVISION'!$A$1:$KZ$3000,$C47,11+3*MIN(F$3,$D$2-1)))))</f>
        <v/>
      </c>
      <c r="G47" s="123">
        <f>IF(OR($C47="",$B$2="",$D$2=0),0,IF(G$3&lt;0,0,N(INDEX('CURVA PREVISION'!$A$1:$KZ$3000,$C47,11+3*MIN(G$3,$D$2-1)))))</f>
        <v/>
      </c>
      <c r="H47" s="123">
        <f>IF(OR($C47="",$B$2="",$D$2=0),0,IF(H$3&lt;0,0,N(INDEX('CURVA PREVISION'!$A$1:$KZ$3000,$C47,11+3*MIN(H$3,$D$2-1)))))</f>
        <v/>
      </c>
      <c r="I47" s="123">
        <f>IF(OR($C47="",$B$2="",$D$2=0),0,IF(I$3&lt;0,0,N(INDEX('CURVA PREVISION'!$A$1:$KZ$3000,$C47,11+3*MIN(I$3,$D$2-1)))))</f>
        <v/>
      </c>
      <c r="J47" s="123">
        <f>IF(OR($C47="",$B$2="",$D$2=0),0,IF(J$3&lt;0,0,N(INDEX('CURVA PREVISION'!$A$1:$KZ$3000,$C47,11+3*MIN(J$3,$D$2-1)))))</f>
        <v/>
      </c>
      <c r="K47" s="123">
        <f>IF(OR($C47="",$B$2="",$D$2=0),0,IF(K$3&lt;0,0,N(INDEX('CURVA PREVISION'!$A$1:$KZ$3000,$C47,11+3*MIN(K$3,$D$2-1)))))</f>
        <v/>
      </c>
      <c r="L47" s="123">
        <f>IF(OR($C47="",$B$2="",$D$2=0),0,IF(L$3&lt;0,0,N(INDEX('CURVA PREVISION'!$A$1:$KZ$3000,$C47,11+3*MIN(L$3,$D$2-1)))))</f>
        <v/>
      </c>
      <c r="M47" s="123">
        <f>IF(OR($C47="",$B$2="",$D$2=0),0,IF(M$3&lt;0,0,N(INDEX('CURVA PREVISION'!$A$1:$KZ$3000,$C47,11+3*MIN(M$3,$D$2-1)))))</f>
        <v/>
      </c>
      <c r="N47" s="123">
        <f>IF(OR($C47="",$B$2="",$D$2=0),0,IF(N$3&lt;0,0,N(INDEX('CURVA PREVISION'!$A$1:$KZ$3000,$C47,11+3*MIN(N$3,$D$2-1)))))</f>
        <v/>
      </c>
      <c r="O47" s="123">
        <f>IF(OR($C47="",$B$2="",$D$2=0),0,IF(O$3&lt;0,0,N(INDEX('CURVA PREVISION'!$A$1:$KZ$3000,$C47,11+3*MIN(O$3,$D$2-1)))))</f>
        <v/>
      </c>
      <c r="P47" s="123">
        <f>IF(OR($C47="",$B$2="",$D$2=0),0,IF(P$3&lt;0,0,N(INDEX('CURVA PREVISION'!$A$1:$KZ$3000,$C47,11+3*MIN(P$3,$D$2-1)))))</f>
        <v/>
      </c>
      <c r="Q47" s="123">
        <f>IF(OR($C47="",$B$2="",$D$2=0),0,IF(Q$3&lt;0,0,N(INDEX('CURVA PREVISION'!$A$1:$KZ$3000,$C47,11+3*MIN(Q$3,$D$2-1)))))</f>
        <v/>
      </c>
      <c r="R47" s="123">
        <f>IF(OR($C47="",$B$2="",$D$2=0),0,IF(R$3&lt;0,0,N(INDEX('CURVA PREVISION'!$A$1:$KZ$3000,$C47,11+3*MIN(R$3,$D$2-1)))))</f>
        <v/>
      </c>
      <c r="S47" s="123">
        <f>IF(OR($C47="",$B$2="",$D$2=0),0,IF(S$3&lt;0,0,N(INDEX('CURVA PREVISION'!$A$1:$KZ$3000,$C47,11+3*MIN(S$3,$D$2-1)))))</f>
        <v/>
      </c>
      <c r="T47" s="123">
        <f>IF(OR($C47="",$B$2="",$D$2=0),0,IF(T$3&lt;0,0,N(INDEX('CURVA PREVISION'!$A$1:$KZ$3000,$C47,11+3*MIN(T$3,$D$2-1)))))</f>
        <v/>
      </c>
      <c r="U47" s="123">
        <f>IF(OR($C47="",$B$2="",$D$2=0),0,IF(U$3&lt;0,0,N(INDEX('CURVA PREVISION'!$A$1:$KZ$3000,$C47,11+3*MIN(U$3,$D$2-1)))))</f>
        <v/>
      </c>
      <c r="V47" s="123">
        <f>IF(OR($C47="",$B$2="",$D$2=0),0,IF(V$3&lt;0,0,N(INDEX('CURVA PREVISION'!$A$1:$KZ$3000,$C47,11+3*MIN(V$3,$D$2-1)))))</f>
        <v/>
      </c>
      <c r="W47" s="123">
        <f>IF(OR($C47="",$B$2="",$D$2=0),0,IF(W$3&lt;0,0,N(INDEX('CURVA PREVISION'!$A$1:$KZ$3000,$C47,11+3*MIN(W$3,$D$2-1)))))</f>
        <v/>
      </c>
      <c r="X47" s="123">
        <f>IF(OR($C47="",$B$2="",$D$2=0),0,IF(X$3&lt;0,0,N(INDEX('CURVA PREVISION'!$A$1:$KZ$3000,$C47,11+3*MIN(X$3,$D$2-1)))))</f>
        <v/>
      </c>
      <c r="Y47" s="123">
        <f>IF(OR($C47="",$B$2="",$D$2=0),0,IF(Y$3&lt;0,0,N(INDEX('CURVA PREVISION'!$A$1:$KZ$3000,$C47,11+3*MIN(Y$3,$D$2-1)))))</f>
        <v/>
      </c>
      <c r="Z47" s="123">
        <f>IF(OR($C47="",$B$2="",$D$2=0),0,IF(Z$3&lt;0,0,N(INDEX('CURVA PREVISION'!$A$1:$KZ$3000,$C47,11+3*MIN(Z$3,$D$2-1)))))</f>
        <v/>
      </c>
      <c r="AA47" s="123">
        <f>IF(OR($C47="",$B$2="",$D$2=0),0,IF(AA$3&lt;0,0,N(INDEX('CURVA PREVISION'!$A$1:$KZ$3000,$C47,11+3*MIN(AA$3,$D$2-1)))))</f>
        <v/>
      </c>
      <c r="AB47" s="123">
        <f>IF(OR($C47="",$B$2="",$D$2=0),0,IF(AB$3&lt;0,0,N(INDEX('CURVA PREVISION'!$A$1:$KZ$3000,$C47,11+3*MIN(AB$3,$D$2-1)))))</f>
        <v/>
      </c>
      <c r="AC47" s="123">
        <f>IF(OR($C47="",$B$2="",$D$2=0),0,IF(AC$3&lt;0,0,N(INDEX('CURVA PREVISION'!$A$1:$KZ$3000,$C47,11+3*MIN(AC$3,$D$2-1)))))</f>
        <v/>
      </c>
      <c r="AD47" s="123">
        <f>IF(OR($C47="",$B$2="",$D$2=0),0,IF(AD$3&lt;0,0,N(INDEX('CURVA PREVISION'!$A$1:$KZ$3000,$C47,11+3*MIN(AD$3,$D$2-1)))))</f>
        <v/>
      </c>
      <c r="AE47" s="123">
        <f>IF(OR($C47="",$B$2="",$D$2=0),0,IF(AE$3&lt;0,0,N(INDEX('CURVA PREVISION'!$A$1:$KZ$3000,$C47,11+3*MIN(AE$3,$D$2-1)))))</f>
        <v/>
      </c>
      <c r="AF47" s="123">
        <f>IF(OR($C47="",$B$2="",$D$2=0),0,IF(AF$3&lt;0,0,N(INDEX('CURVA PREVISION'!$A$1:$KZ$3000,$C47,11+3*MIN(AF$3,$D$2-1)))))</f>
        <v/>
      </c>
      <c r="AG47" s="123">
        <f>IF(OR($C47="",$B$2="",$D$2=0),0,IF(AG$3&lt;0,0,N(INDEX('CURVA PREVISION'!$A$1:$KZ$3000,$C47,11+3*MIN(AG$3,$D$2-1)))))</f>
        <v/>
      </c>
      <c r="AH47" s="123">
        <f>IF(OR($C47="",$B$2="",$D$2=0),0,IF(AH$3&lt;0,0,N(INDEX('CURVA PREVISION'!$A$1:$KZ$3000,$C47,11+3*MIN(AH$3,$D$2-1)))))</f>
        <v/>
      </c>
      <c r="AI47" s="123">
        <f>IF(OR($C47="",$B$2="",$D$2=0),0,IF(AI$3&lt;0,0,N(INDEX('CURVA PREVISION'!$A$1:$KZ$3000,$C47,11+3*MIN(AI$3,$D$2-1)))))</f>
        <v/>
      </c>
      <c r="AJ47" s="123">
        <f>IF(OR($C47="",$B$2="",$D$2=0),0,IF(AJ$3&lt;0,0,N(INDEX('CURVA PREVISION'!$A$1:$KZ$3000,$C47,11+3*MIN(AJ$3,$D$2-1)))))</f>
        <v/>
      </c>
      <c r="AK47" s="123">
        <f>IF(OR($C47="",$B$2="",$D$2=0),0,IF(AK$3&lt;0,0,N(INDEX('CURVA PREVISION'!$A$1:$KZ$3000,$C47,11+3*MIN(AK$3,$D$2-1)))))</f>
        <v/>
      </c>
      <c r="AL47" s="123">
        <f>IF(OR($C47="",$B$2="",$D$2=0),0,IF(AL$3&lt;0,0,N(INDEX('CURVA PREVISION'!$A$1:$KZ$3000,$C47,11+3*MIN(AL$3,$D$2-1)))))</f>
        <v/>
      </c>
      <c r="AM47" s="123">
        <f>IF(OR($C47="",$B$2="",$D$2=0),0,IF(AM$3&lt;0,0,N(INDEX('CURVA PREVISION'!$A$1:$KZ$3000,$C47,11+3*MIN(AM$3,$D$2-1)))))</f>
        <v/>
      </c>
      <c r="AN47" s="123">
        <f>IF(OR($C47="",$B$2="",$D$2=0),0,IF(AN$3&lt;0,0,N(INDEX('CURVA PREVISION'!$A$1:$KZ$3000,$C47,11+3*MIN(AN$3,$D$2-1)))))</f>
        <v/>
      </c>
      <c r="AO47" s="123">
        <f>IF(OR($C47="",$B$2="",$D$2=0),0,IF(AO$3&lt;0,0,N(INDEX('CURVA PREVISION'!$A$1:$KZ$3000,$C47,11+3*MIN(AO$3,$D$2-1)))))</f>
        <v/>
      </c>
      <c r="AP47" s="123">
        <f>IF(OR($C47="",$B$2="",$D$2=0),0,IF(AP$3&lt;0,0,N(INDEX('CURVA PREVISION'!$A$1:$KZ$3000,$C47,11+3*MIN(AP$3,$D$2-1)))))</f>
        <v/>
      </c>
      <c r="AQ47" s="123">
        <f>IF(OR($C47="",$B$2="",$D$2=0),0,IF(AQ$3&lt;0,0,N(INDEX('CURVA PREVISION'!$A$1:$KZ$3000,$C47,11+3*MIN(AQ$3,$D$2-1)))))</f>
        <v/>
      </c>
      <c r="AR47" s="123">
        <f>IF(OR($C47="",$B$2="",$D$2=0),0,IF(AR$3&lt;0,0,N(INDEX('CURVA PREVISION'!$A$1:$KZ$3000,$C47,11+3*MIN(AR$3,$D$2-1)))))</f>
        <v/>
      </c>
      <c r="AS47" s="123">
        <f>IF(OR($C47="",$B$2="",$D$2=0),0,IF(AS$3&lt;0,0,N(INDEX('CURVA PREVISION'!$A$1:$KZ$3000,$C47,11+3*MIN(AS$3,$D$2-1)))))</f>
        <v/>
      </c>
      <c r="AT47" s="123">
        <f>IF(OR($C47="",$B$2="",$D$2=0),0,IF(AT$3&lt;0,0,N(INDEX('CURVA PREVISION'!$A$1:$KZ$3000,$C47,11+3*MIN(AT$3,$D$2-1)))))</f>
        <v/>
      </c>
      <c r="AU47" s="123">
        <f>IF(OR($C47="",$B$2="",$D$2=0),0,IF(AU$3&lt;0,0,N(INDEX('CURVA PREVISION'!$A$1:$KZ$3000,$C47,11+3*MIN(AU$3,$D$2-1)))))</f>
        <v/>
      </c>
      <c r="AV47" s="123">
        <f>IF(OR($C47="",$B$2="",$D$2=0),0,IF(AV$3&lt;0,0,N(INDEX('CURVA PREVISION'!$A$1:$KZ$3000,$C47,11+3*MIN(AV$3,$D$2-1)))))</f>
        <v/>
      </c>
      <c r="AW47" s="123">
        <f>IF(OR($C47="",$B$2="",$D$2=0),0,IF(AW$3&lt;0,0,N(INDEX('CURVA PREVISION'!$A$1:$KZ$3000,$C47,11+3*MIN(AW$3,$D$2-1)))))</f>
        <v/>
      </c>
      <c r="AX47" s="123">
        <f>IF(OR($C47="",$B$2="",$D$2=0),0,IF(AX$3&lt;0,0,N(INDEX('CURVA PREVISION'!$A$1:$KZ$3000,$C47,11+3*MIN(AX$3,$D$2-1)))))</f>
        <v/>
      </c>
      <c r="AY47" s="123">
        <f>IF(OR($C47="",$B$2="",$D$2=0),0,IF(AY$3&lt;0,0,N(INDEX('CURVA PREVISION'!$A$1:$KZ$3000,$C47,11+3*MIN(AY$3,$D$2-1)))))</f>
        <v/>
      </c>
      <c r="AZ47" s="123">
        <f>IF(OR($C47="",$B$2="",$D$2=0),0,IF(AZ$3&lt;0,0,N(INDEX('CURVA PREVISION'!$A$1:$KZ$3000,$C47,11+3*MIN(AZ$3,$D$2-1)))))</f>
        <v/>
      </c>
      <c r="BA47" s="123">
        <f>IF(OR($C47="",$B$2="",$D$2=0),0,IF(BA$3&lt;0,0,N(INDEX('CURVA PREVISION'!$A$1:$KZ$3000,$C47,11+3*MIN(BA$3,$D$2-1)))))</f>
        <v/>
      </c>
      <c r="BB47" s="123">
        <f>IF(OR($C47="",$B$2="",$D$2=0),0,IF(BB$3&lt;0,0,N(INDEX('CURVA PREVISION'!$A$1:$KZ$3000,$C47,11+3*MIN(BB$3,$D$2-1)))))</f>
        <v/>
      </c>
      <c r="BC47" s="123">
        <f>IF(OR($C47="",$B$2="",$D$2=0),0,IF(BC$3&lt;0,0,N(INDEX('CURVA PREVISION'!$A$1:$KZ$3000,$C47,11+3*MIN(BC$3,$D$2-1)))))</f>
        <v/>
      </c>
      <c r="BD47" s="123">
        <f>IF(OR($C47="",$B$2="",$D$2=0),0,IF(BD$3&lt;0,0,N(INDEX('CURVA PREVISION'!$A$1:$KZ$3000,$C47,11+3*MIN(BD$3,$D$2-1)))))</f>
        <v/>
      </c>
      <c r="BE47" s="123">
        <f>IF(OR($C47="",$B$2="",$D$2=0),0,IF(BE$3&lt;0,0,N(INDEX('CURVA PREVISION'!$A$1:$KZ$3000,$C47,11+3*MIN(BE$3,$D$2-1)))))</f>
        <v/>
      </c>
      <c r="BF47" s="123">
        <f>IF(OR($C47="",$B$2="",$D$2=0),0,IF(BF$3&lt;0,0,N(INDEX('CURVA PREVISION'!$A$1:$KZ$3000,$C47,11+3*MIN(BF$3,$D$2-1)))))</f>
        <v/>
      </c>
      <c r="BG47" s="123">
        <f>IF(OR($C47="",$B$2="",$D$2=0),0,IF(BG$3&lt;0,0,N(INDEX('CURVA PREVISION'!$A$1:$KZ$3000,$C47,11+3*MIN(BG$3,$D$2-1)))))</f>
        <v/>
      </c>
      <c r="BH47" s="123">
        <f>IF(OR($C47="",$B$2="",$D$2=0),0,IF(BH$3&lt;0,0,N(INDEX('CURVA PREVISION'!$A$1:$KZ$3000,$C47,11+3*MIN(BH$3,$D$2-1)))))</f>
        <v/>
      </c>
      <c r="BI47" s="123">
        <f>IF(OR($C47="",$B$2="",$D$2=0),0,IF(BI$3&lt;0,0,N(INDEX('CURVA PREVISION'!$A$1:$KZ$3000,$C47,11+3*MIN(BI$3,$D$2-1)))))</f>
        <v/>
      </c>
      <c r="BJ47" s="123">
        <f>IF(OR($C47="",$B$2="",$D$2=0),0,IF(BJ$3&lt;0,0,N(INDEX('CURVA PREVISION'!$A$1:$KZ$3000,$C47,11+3*MIN(BJ$3,$D$2-1)))))</f>
        <v/>
      </c>
      <c r="BK47" s="123">
        <f>IF(OR($C47="",$B$2="",$D$2=0),0,IF(BK$3&lt;0,0,N(INDEX('CURVA PREVISION'!$A$1:$KZ$3000,$C47,11+3*MIN(BK$3,$D$2-1)))))</f>
        <v/>
      </c>
      <c r="BL47" s="123">
        <f>IF(OR($C47="",$B$2="",$D$2=0),0,IF(BL$3&lt;0,0,N(INDEX('CURVA PREVISION'!$A$1:$KZ$3000,$C47,11+3*MIN(BL$3,$D$2-1)))))</f>
        <v/>
      </c>
      <c r="BM47" s="123">
        <f>IF(OR($C47="",$B$2="",$D$2=0),0,IF(BM$3&lt;0,0,N(INDEX('CURVA PREVISION'!$A$1:$KZ$3000,$C47,11+3*MIN(BM$3,$D$2-1)))))</f>
        <v/>
      </c>
      <c r="BN47" s="123">
        <f>IF(OR($C47="",$B$2="",$D$2=0),0,IF(BN$3&lt;0,0,N(INDEX('CURVA PREVISION'!$A$1:$KZ$3000,$C47,11+3*MIN(BN$3,$D$2-1)))))</f>
        <v/>
      </c>
      <c r="BO47" s="123">
        <f>IF(OR($C47="",$B$2="",$D$2=0),0,IF(BO$3&lt;0,0,N(INDEX('CURVA PREVISION'!$A$1:$KZ$3000,$C47,11+3*MIN(BO$3,$D$2-1)))))</f>
        <v/>
      </c>
      <c r="BP47" s="123">
        <f>IF(OR($C47="",$B$2="",$D$2=0),0,IF(BP$3&lt;0,0,N(INDEX('CURVA PREVISION'!$A$1:$KZ$3000,$C47,11+3*MIN(BP$3,$D$2-1)))))</f>
        <v/>
      </c>
      <c r="BQ47" s="123">
        <f>IF(OR($C47="",$B$2="",$D$2=0),0,IF(BQ$3&lt;0,0,N(INDEX('CURVA PREVISION'!$A$1:$KZ$3000,$C47,11+3*MIN(BQ$3,$D$2-1)))))</f>
        <v/>
      </c>
      <c r="BR47" s="123">
        <f>IF(OR($C47="",$B$2="",$D$2=0),0,IF(BR$3&lt;0,0,N(INDEX('CURVA PREVISION'!$A$1:$KZ$3000,$C47,11+3*MIN(BR$3,$D$2-1)))))</f>
        <v/>
      </c>
      <c r="BS47" s="123">
        <f>IF(OR($C47="",$B$2="",$D$2=0),0,IF(BS$3&lt;0,0,N(INDEX('CURVA PREVISION'!$A$1:$KZ$3000,$C47,11+3*MIN(BS$3,$D$2-1)))))</f>
        <v/>
      </c>
      <c r="BT47" s="123">
        <f>IF(OR($C47="",$B$2="",$D$2=0),0,IF(BT$3&lt;0,0,N(INDEX('CURVA PREVISION'!$A$1:$KZ$3000,$C47,11+3*MIN(BT$3,$D$2-1)))))</f>
        <v/>
      </c>
      <c r="BU47" s="123">
        <f>IF(OR($C47="",$B$2="",$D$2=0),0,IF(BU$3&lt;0,0,N(INDEX('CURVA PREVISION'!$A$1:$KZ$3000,$C47,11+3*MIN(BU$3,$D$2-1)))))</f>
        <v/>
      </c>
      <c r="BV47" s="123">
        <f>IF(OR($C47="",$B$2="",$D$2=0),0,IF(BV$3&lt;0,0,N(INDEX('CURVA PREVISION'!$A$1:$KZ$3000,$C47,11+3*MIN(BV$3,$D$2-1)))))</f>
        <v/>
      </c>
      <c r="BW47" s="123">
        <f>IF(OR($C47="",$B$2="",$D$2=0),0,IF(BW$3&lt;0,0,N(INDEX('CURVA PREVISION'!$A$1:$KZ$3000,$C47,11+3*MIN(BW$3,$D$2-1)))))</f>
        <v/>
      </c>
    </row>
    <row r="48">
      <c r="A48" s="61">
        <f>IF('VALOR POR PL'!Q12="",'VALOR POR PL'!C12,'VALOR POR PL'!Q12)</f>
        <v/>
      </c>
      <c r="B48" s="51">
        <f>B6</f>
        <v/>
      </c>
      <c r="C48" s="70">
        <f>IFERROR(MATCH(A48,'CURVA PREVISION'!$B$1:$B$3000,0),"")</f>
        <v/>
      </c>
      <c r="D48" s="123">
        <f>IF(OR($C48="",$B$2="",$D$2=0),0,IF(D$3&lt;0,0,N(INDEX('CURVA PREVISION'!$A$1:$KZ$3000,$C48,11+3*MIN(D$3,$D$2-1)))))</f>
        <v/>
      </c>
      <c r="E48" s="123">
        <f>IF(OR($C48="",$B$2="",$D$2=0),0,IF(E$3&lt;0,0,N(INDEX('CURVA PREVISION'!$A$1:$KZ$3000,$C48,11+3*MIN(E$3,$D$2-1)))))</f>
        <v/>
      </c>
      <c r="F48" s="123">
        <f>IF(OR($C48="",$B$2="",$D$2=0),0,IF(F$3&lt;0,0,N(INDEX('CURVA PREVISION'!$A$1:$KZ$3000,$C48,11+3*MIN(F$3,$D$2-1)))))</f>
        <v/>
      </c>
      <c r="G48" s="123">
        <f>IF(OR($C48="",$B$2="",$D$2=0),0,IF(G$3&lt;0,0,N(INDEX('CURVA PREVISION'!$A$1:$KZ$3000,$C48,11+3*MIN(G$3,$D$2-1)))))</f>
        <v/>
      </c>
      <c r="H48" s="123">
        <f>IF(OR($C48="",$B$2="",$D$2=0),0,IF(H$3&lt;0,0,N(INDEX('CURVA PREVISION'!$A$1:$KZ$3000,$C48,11+3*MIN(H$3,$D$2-1)))))</f>
        <v/>
      </c>
      <c r="I48" s="123">
        <f>IF(OR($C48="",$B$2="",$D$2=0),0,IF(I$3&lt;0,0,N(INDEX('CURVA PREVISION'!$A$1:$KZ$3000,$C48,11+3*MIN(I$3,$D$2-1)))))</f>
        <v/>
      </c>
      <c r="J48" s="123">
        <f>IF(OR($C48="",$B$2="",$D$2=0),0,IF(J$3&lt;0,0,N(INDEX('CURVA PREVISION'!$A$1:$KZ$3000,$C48,11+3*MIN(J$3,$D$2-1)))))</f>
        <v/>
      </c>
      <c r="K48" s="123">
        <f>IF(OR($C48="",$B$2="",$D$2=0),0,IF(K$3&lt;0,0,N(INDEX('CURVA PREVISION'!$A$1:$KZ$3000,$C48,11+3*MIN(K$3,$D$2-1)))))</f>
        <v/>
      </c>
      <c r="L48" s="123">
        <f>IF(OR($C48="",$B$2="",$D$2=0),0,IF(L$3&lt;0,0,N(INDEX('CURVA PREVISION'!$A$1:$KZ$3000,$C48,11+3*MIN(L$3,$D$2-1)))))</f>
        <v/>
      </c>
      <c r="M48" s="123">
        <f>IF(OR($C48="",$B$2="",$D$2=0),0,IF(M$3&lt;0,0,N(INDEX('CURVA PREVISION'!$A$1:$KZ$3000,$C48,11+3*MIN(M$3,$D$2-1)))))</f>
        <v/>
      </c>
      <c r="N48" s="123">
        <f>IF(OR($C48="",$B$2="",$D$2=0),0,IF(N$3&lt;0,0,N(INDEX('CURVA PREVISION'!$A$1:$KZ$3000,$C48,11+3*MIN(N$3,$D$2-1)))))</f>
        <v/>
      </c>
      <c r="O48" s="123">
        <f>IF(OR($C48="",$B$2="",$D$2=0),0,IF(O$3&lt;0,0,N(INDEX('CURVA PREVISION'!$A$1:$KZ$3000,$C48,11+3*MIN(O$3,$D$2-1)))))</f>
        <v/>
      </c>
      <c r="P48" s="123">
        <f>IF(OR($C48="",$B$2="",$D$2=0),0,IF(P$3&lt;0,0,N(INDEX('CURVA PREVISION'!$A$1:$KZ$3000,$C48,11+3*MIN(P$3,$D$2-1)))))</f>
        <v/>
      </c>
      <c r="Q48" s="123">
        <f>IF(OR($C48="",$B$2="",$D$2=0),0,IF(Q$3&lt;0,0,N(INDEX('CURVA PREVISION'!$A$1:$KZ$3000,$C48,11+3*MIN(Q$3,$D$2-1)))))</f>
        <v/>
      </c>
      <c r="R48" s="123">
        <f>IF(OR($C48="",$B$2="",$D$2=0),0,IF(R$3&lt;0,0,N(INDEX('CURVA PREVISION'!$A$1:$KZ$3000,$C48,11+3*MIN(R$3,$D$2-1)))))</f>
        <v/>
      </c>
      <c r="S48" s="123">
        <f>IF(OR($C48="",$B$2="",$D$2=0),0,IF(S$3&lt;0,0,N(INDEX('CURVA PREVISION'!$A$1:$KZ$3000,$C48,11+3*MIN(S$3,$D$2-1)))))</f>
        <v/>
      </c>
      <c r="T48" s="123">
        <f>IF(OR($C48="",$B$2="",$D$2=0),0,IF(T$3&lt;0,0,N(INDEX('CURVA PREVISION'!$A$1:$KZ$3000,$C48,11+3*MIN(T$3,$D$2-1)))))</f>
        <v/>
      </c>
      <c r="U48" s="123">
        <f>IF(OR($C48="",$B$2="",$D$2=0),0,IF(U$3&lt;0,0,N(INDEX('CURVA PREVISION'!$A$1:$KZ$3000,$C48,11+3*MIN(U$3,$D$2-1)))))</f>
        <v/>
      </c>
      <c r="V48" s="123">
        <f>IF(OR($C48="",$B$2="",$D$2=0),0,IF(V$3&lt;0,0,N(INDEX('CURVA PREVISION'!$A$1:$KZ$3000,$C48,11+3*MIN(V$3,$D$2-1)))))</f>
        <v/>
      </c>
      <c r="W48" s="123">
        <f>IF(OR($C48="",$B$2="",$D$2=0),0,IF(W$3&lt;0,0,N(INDEX('CURVA PREVISION'!$A$1:$KZ$3000,$C48,11+3*MIN(W$3,$D$2-1)))))</f>
        <v/>
      </c>
      <c r="X48" s="123">
        <f>IF(OR($C48="",$B$2="",$D$2=0),0,IF(X$3&lt;0,0,N(INDEX('CURVA PREVISION'!$A$1:$KZ$3000,$C48,11+3*MIN(X$3,$D$2-1)))))</f>
        <v/>
      </c>
      <c r="Y48" s="123">
        <f>IF(OR($C48="",$B$2="",$D$2=0),0,IF(Y$3&lt;0,0,N(INDEX('CURVA PREVISION'!$A$1:$KZ$3000,$C48,11+3*MIN(Y$3,$D$2-1)))))</f>
        <v/>
      </c>
      <c r="Z48" s="123">
        <f>IF(OR($C48="",$B$2="",$D$2=0),0,IF(Z$3&lt;0,0,N(INDEX('CURVA PREVISION'!$A$1:$KZ$3000,$C48,11+3*MIN(Z$3,$D$2-1)))))</f>
        <v/>
      </c>
      <c r="AA48" s="123">
        <f>IF(OR($C48="",$B$2="",$D$2=0),0,IF(AA$3&lt;0,0,N(INDEX('CURVA PREVISION'!$A$1:$KZ$3000,$C48,11+3*MIN(AA$3,$D$2-1)))))</f>
        <v/>
      </c>
      <c r="AB48" s="123">
        <f>IF(OR($C48="",$B$2="",$D$2=0),0,IF(AB$3&lt;0,0,N(INDEX('CURVA PREVISION'!$A$1:$KZ$3000,$C48,11+3*MIN(AB$3,$D$2-1)))))</f>
        <v/>
      </c>
      <c r="AC48" s="123">
        <f>IF(OR($C48="",$B$2="",$D$2=0),0,IF(AC$3&lt;0,0,N(INDEX('CURVA PREVISION'!$A$1:$KZ$3000,$C48,11+3*MIN(AC$3,$D$2-1)))))</f>
        <v/>
      </c>
      <c r="AD48" s="123">
        <f>IF(OR($C48="",$B$2="",$D$2=0),0,IF(AD$3&lt;0,0,N(INDEX('CURVA PREVISION'!$A$1:$KZ$3000,$C48,11+3*MIN(AD$3,$D$2-1)))))</f>
        <v/>
      </c>
      <c r="AE48" s="123">
        <f>IF(OR($C48="",$B$2="",$D$2=0),0,IF(AE$3&lt;0,0,N(INDEX('CURVA PREVISION'!$A$1:$KZ$3000,$C48,11+3*MIN(AE$3,$D$2-1)))))</f>
        <v/>
      </c>
      <c r="AF48" s="123">
        <f>IF(OR($C48="",$B$2="",$D$2=0),0,IF(AF$3&lt;0,0,N(INDEX('CURVA PREVISION'!$A$1:$KZ$3000,$C48,11+3*MIN(AF$3,$D$2-1)))))</f>
        <v/>
      </c>
      <c r="AG48" s="123">
        <f>IF(OR($C48="",$B$2="",$D$2=0),0,IF(AG$3&lt;0,0,N(INDEX('CURVA PREVISION'!$A$1:$KZ$3000,$C48,11+3*MIN(AG$3,$D$2-1)))))</f>
        <v/>
      </c>
      <c r="AH48" s="123">
        <f>IF(OR($C48="",$B$2="",$D$2=0),0,IF(AH$3&lt;0,0,N(INDEX('CURVA PREVISION'!$A$1:$KZ$3000,$C48,11+3*MIN(AH$3,$D$2-1)))))</f>
        <v/>
      </c>
      <c r="AI48" s="123">
        <f>IF(OR($C48="",$B$2="",$D$2=0),0,IF(AI$3&lt;0,0,N(INDEX('CURVA PREVISION'!$A$1:$KZ$3000,$C48,11+3*MIN(AI$3,$D$2-1)))))</f>
        <v/>
      </c>
      <c r="AJ48" s="123">
        <f>IF(OR($C48="",$B$2="",$D$2=0),0,IF(AJ$3&lt;0,0,N(INDEX('CURVA PREVISION'!$A$1:$KZ$3000,$C48,11+3*MIN(AJ$3,$D$2-1)))))</f>
        <v/>
      </c>
      <c r="AK48" s="123">
        <f>IF(OR($C48="",$B$2="",$D$2=0),0,IF(AK$3&lt;0,0,N(INDEX('CURVA PREVISION'!$A$1:$KZ$3000,$C48,11+3*MIN(AK$3,$D$2-1)))))</f>
        <v/>
      </c>
      <c r="AL48" s="123">
        <f>IF(OR($C48="",$B$2="",$D$2=0),0,IF(AL$3&lt;0,0,N(INDEX('CURVA PREVISION'!$A$1:$KZ$3000,$C48,11+3*MIN(AL$3,$D$2-1)))))</f>
        <v/>
      </c>
      <c r="AM48" s="123">
        <f>IF(OR($C48="",$B$2="",$D$2=0),0,IF(AM$3&lt;0,0,N(INDEX('CURVA PREVISION'!$A$1:$KZ$3000,$C48,11+3*MIN(AM$3,$D$2-1)))))</f>
        <v/>
      </c>
      <c r="AN48" s="123">
        <f>IF(OR($C48="",$B$2="",$D$2=0),0,IF(AN$3&lt;0,0,N(INDEX('CURVA PREVISION'!$A$1:$KZ$3000,$C48,11+3*MIN(AN$3,$D$2-1)))))</f>
        <v/>
      </c>
      <c r="AO48" s="123">
        <f>IF(OR($C48="",$B$2="",$D$2=0),0,IF(AO$3&lt;0,0,N(INDEX('CURVA PREVISION'!$A$1:$KZ$3000,$C48,11+3*MIN(AO$3,$D$2-1)))))</f>
        <v/>
      </c>
      <c r="AP48" s="123">
        <f>IF(OR($C48="",$B$2="",$D$2=0),0,IF(AP$3&lt;0,0,N(INDEX('CURVA PREVISION'!$A$1:$KZ$3000,$C48,11+3*MIN(AP$3,$D$2-1)))))</f>
        <v/>
      </c>
      <c r="AQ48" s="123">
        <f>IF(OR($C48="",$B$2="",$D$2=0),0,IF(AQ$3&lt;0,0,N(INDEX('CURVA PREVISION'!$A$1:$KZ$3000,$C48,11+3*MIN(AQ$3,$D$2-1)))))</f>
        <v/>
      </c>
      <c r="AR48" s="123">
        <f>IF(OR($C48="",$B$2="",$D$2=0),0,IF(AR$3&lt;0,0,N(INDEX('CURVA PREVISION'!$A$1:$KZ$3000,$C48,11+3*MIN(AR$3,$D$2-1)))))</f>
        <v/>
      </c>
      <c r="AS48" s="123">
        <f>IF(OR($C48="",$B$2="",$D$2=0),0,IF(AS$3&lt;0,0,N(INDEX('CURVA PREVISION'!$A$1:$KZ$3000,$C48,11+3*MIN(AS$3,$D$2-1)))))</f>
        <v/>
      </c>
      <c r="AT48" s="123">
        <f>IF(OR($C48="",$B$2="",$D$2=0),0,IF(AT$3&lt;0,0,N(INDEX('CURVA PREVISION'!$A$1:$KZ$3000,$C48,11+3*MIN(AT$3,$D$2-1)))))</f>
        <v/>
      </c>
      <c r="AU48" s="123">
        <f>IF(OR($C48="",$B$2="",$D$2=0),0,IF(AU$3&lt;0,0,N(INDEX('CURVA PREVISION'!$A$1:$KZ$3000,$C48,11+3*MIN(AU$3,$D$2-1)))))</f>
        <v/>
      </c>
      <c r="AV48" s="123">
        <f>IF(OR($C48="",$B$2="",$D$2=0),0,IF(AV$3&lt;0,0,N(INDEX('CURVA PREVISION'!$A$1:$KZ$3000,$C48,11+3*MIN(AV$3,$D$2-1)))))</f>
        <v/>
      </c>
      <c r="AW48" s="123">
        <f>IF(OR($C48="",$B$2="",$D$2=0),0,IF(AW$3&lt;0,0,N(INDEX('CURVA PREVISION'!$A$1:$KZ$3000,$C48,11+3*MIN(AW$3,$D$2-1)))))</f>
        <v/>
      </c>
      <c r="AX48" s="123">
        <f>IF(OR($C48="",$B$2="",$D$2=0),0,IF(AX$3&lt;0,0,N(INDEX('CURVA PREVISION'!$A$1:$KZ$3000,$C48,11+3*MIN(AX$3,$D$2-1)))))</f>
        <v/>
      </c>
      <c r="AY48" s="123">
        <f>IF(OR($C48="",$B$2="",$D$2=0),0,IF(AY$3&lt;0,0,N(INDEX('CURVA PREVISION'!$A$1:$KZ$3000,$C48,11+3*MIN(AY$3,$D$2-1)))))</f>
        <v/>
      </c>
      <c r="AZ48" s="123">
        <f>IF(OR($C48="",$B$2="",$D$2=0),0,IF(AZ$3&lt;0,0,N(INDEX('CURVA PREVISION'!$A$1:$KZ$3000,$C48,11+3*MIN(AZ$3,$D$2-1)))))</f>
        <v/>
      </c>
      <c r="BA48" s="123">
        <f>IF(OR($C48="",$B$2="",$D$2=0),0,IF(BA$3&lt;0,0,N(INDEX('CURVA PREVISION'!$A$1:$KZ$3000,$C48,11+3*MIN(BA$3,$D$2-1)))))</f>
        <v/>
      </c>
      <c r="BB48" s="123">
        <f>IF(OR($C48="",$B$2="",$D$2=0),0,IF(BB$3&lt;0,0,N(INDEX('CURVA PREVISION'!$A$1:$KZ$3000,$C48,11+3*MIN(BB$3,$D$2-1)))))</f>
        <v/>
      </c>
      <c r="BC48" s="123">
        <f>IF(OR($C48="",$B$2="",$D$2=0),0,IF(BC$3&lt;0,0,N(INDEX('CURVA PREVISION'!$A$1:$KZ$3000,$C48,11+3*MIN(BC$3,$D$2-1)))))</f>
        <v/>
      </c>
      <c r="BD48" s="123">
        <f>IF(OR($C48="",$B$2="",$D$2=0),0,IF(BD$3&lt;0,0,N(INDEX('CURVA PREVISION'!$A$1:$KZ$3000,$C48,11+3*MIN(BD$3,$D$2-1)))))</f>
        <v/>
      </c>
      <c r="BE48" s="123">
        <f>IF(OR($C48="",$B$2="",$D$2=0),0,IF(BE$3&lt;0,0,N(INDEX('CURVA PREVISION'!$A$1:$KZ$3000,$C48,11+3*MIN(BE$3,$D$2-1)))))</f>
        <v/>
      </c>
      <c r="BF48" s="123">
        <f>IF(OR($C48="",$B$2="",$D$2=0),0,IF(BF$3&lt;0,0,N(INDEX('CURVA PREVISION'!$A$1:$KZ$3000,$C48,11+3*MIN(BF$3,$D$2-1)))))</f>
        <v/>
      </c>
      <c r="BG48" s="123">
        <f>IF(OR($C48="",$B$2="",$D$2=0),0,IF(BG$3&lt;0,0,N(INDEX('CURVA PREVISION'!$A$1:$KZ$3000,$C48,11+3*MIN(BG$3,$D$2-1)))))</f>
        <v/>
      </c>
      <c r="BH48" s="123">
        <f>IF(OR($C48="",$B$2="",$D$2=0),0,IF(BH$3&lt;0,0,N(INDEX('CURVA PREVISION'!$A$1:$KZ$3000,$C48,11+3*MIN(BH$3,$D$2-1)))))</f>
        <v/>
      </c>
      <c r="BI48" s="123">
        <f>IF(OR($C48="",$B$2="",$D$2=0),0,IF(BI$3&lt;0,0,N(INDEX('CURVA PREVISION'!$A$1:$KZ$3000,$C48,11+3*MIN(BI$3,$D$2-1)))))</f>
        <v/>
      </c>
      <c r="BJ48" s="123">
        <f>IF(OR($C48="",$B$2="",$D$2=0),0,IF(BJ$3&lt;0,0,N(INDEX('CURVA PREVISION'!$A$1:$KZ$3000,$C48,11+3*MIN(BJ$3,$D$2-1)))))</f>
        <v/>
      </c>
      <c r="BK48" s="123">
        <f>IF(OR($C48="",$B$2="",$D$2=0),0,IF(BK$3&lt;0,0,N(INDEX('CURVA PREVISION'!$A$1:$KZ$3000,$C48,11+3*MIN(BK$3,$D$2-1)))))</f>
        <v/>
      </c>
      <c r="BL48" s="123">
        <f>IF(OR($C48="",$B$2="",$D$2=0),0,IF(BL$3&lt;0,0,N(INDEX('CURVA PREVISION'!$A$1:$KZ$3000,$C48,11+3*MIN(BL$3,$D$2-1)))))</f>
        <v/>
      </c>
      <c r="BM48" s="123">
        <f>IF(OR($C48="",$B$2="",$D$2=0),0,IF(BM$3&lt;0,0,N(INDEX('CURVA PREVISION'!$A$1:$KZ$3000,$C48,11+3*MIN(BM$3,$D$2-1)))))</f>
        <v/>
      </c>
      <c r="BN48" s="123">
        <f>IF(OR($C48="",$B$2="",$D$2=0),0,IF(BN$3&lt;0,0,N(INDEX('CURVA PREVISION'!$A$1:$KZ$3000,$C48,11+3*MIN(BN$3,$D$2-1)))))</f>
        <v/>
      </c>
      <c r="BO48" s="123">
        <f>IF(OR($C48="",$B$2="",$D$2=0),0,IF(BO$3&lt;0,0,N(INDEX('CURVA PREVISION'!$A$1:$KZ$3000,$C48,11+3*MIN(BO$3,$D$2-1)))))</f>
        <v/>
      </c>
      <c r="BP48" s="123">
        <f>IF(OR($C48="",$B$2="",$D$2=0),0,IF(BP$3&lt;0,0,N(INDEX('CURVA PREVISION'!$A$1:$KZ$3000,$C48,11+3*MIN(BP$3,$D$2-1)))))</f>
        <v/>
      </c>
      <c r="BQ48" s="123">
        <f>IF(OR($C48="",$B$2="",$D$2=0),0,IF(BQ$3&lt;0,0,N(INDEX('CURVA PREVISION'!$A$1:$KZ$3000,$C48,11+3*MIN(BQ$3,$D$2-1)))))</f>
        <v/>
      </c>
      <c r="BR48" s="123">
        <f>IF(OR($C48="",$B$2="",$D$2=0),0,IF(BR$3&lt;0,0,N(INDEX('CURVA PREVISION'!$A$1:$KZ$3000,$C48,11+3*MIN(BR$3,$D$2-1)))))</f>
        <v/>
      </c>
      <c r="BS48" s="123">
        <f>IF(OR($C48="",$B$2="",$D$2=0),0,IF(BS$3&lt;0,0,N(INDEX('CURVA PREVISION'!$A$1:$KZ$3000,$C48,11+3*MIN(BS$3,$D$2-1)))))</f>
        <v/>
      </c>
      <c r="BT48" s="123">
        <f>IF(OR($C48="",$B$2="",$D$2=0),0,IF(BT$3&lt;0,0,N(INDEX('CURVA PREVISION'!$A$1:$KZ$3000,$C48,11+3*MIN(BT$3,$D$2-1)))))</f>
        <v/>
      </c>
      <c r="BU48" s="123">
        <f>IF(OR($C48="",$B$2="",$D$2=0),0,IF(BU$3&lt;0,0,N(INDEX('CURVA PREVISION'!$A$1:$KZ$3000,$C48,11+3*MIN(BU$3,$D$2-1)))))</f>
        <v/>
      </c>
      <c r="BV48" s="123">
        <f>IF(OR($C48="",$B$2="",$D$2=0),0,IF(BV$3&lt;0,0,N(INDEX('CURVA PREVISION'!$A$1:$KZ$3000,$C48,11+3*MIN(BV$3,$D$2-1)))))</f>
        <v/>
      </c>
      <c r="BW48" s="123">
        <f>IF(OR($C48="",$B$2="",$D$2=0),0,IF(BW$3&lt;0,0,N(INDEX('CURVA PREVISION'!$A$1:$KZ$3000,$C48,11+3*MIN(BW$3,$D$2-1)))))</f>
        <v/>
      </c>
    </row>
    <row r="49">
      <c r="A49" s="61">
        <f>IF('VALOR POR PL'!Q13="",'VALOR POR PL'!C13,'VALOR POR PL'!Q13)</f>
        <v/>
      </c>
      <c r="B49" s="51">
        <f>B7</f>
        <v/>
      </c>
      <c r="C49" s="70">
        <f>IFERROR(MATCH(A49,'CURVA PREVISION'!$B$1:$B$3000,0),"")</f>
        <v/>
      </c>
      <c r="D49" s="123">
        <f>IF(OR($C49="",$B$2="",$D$2=0),0,IF(D$3&lt;0,0,N(INDEX('CURVA PREVISION'!$A$1:$KZ$3000,$C49,11+3*MIN(D$3,$D$2-1)))))</f>
        <v/>
      </c>
      <c r="E49" s="123">
        <f>IF(OR($C49="",$B$2="",$D$2=0),0,IF(E$3&lt;0,0,N(INDEX('CURVA PREVISION'!$A$1:$KZ$3000,$C49,11+3*MIN(E$3,$D$2-1)))))</f>
        <v/>
      </c>
      <c r="F49" s="123">
        <f>IF(OR($C49="",$B$2="",$D$2=0),0,IF(F$3&lt;0,0,N(INDEX('CURVA PREVISION'!$A$1:$KZ$3000,$C49,11+3*MIN(F$3,$D$2-1)))))</f>
        <v/>
      </c>
      <c r="G49" s="123">
        <f>IF(OR($C49="",$B$2="",$D$2=0),0,IF(G$3&lt;0,0,N(INDEX('CURVA PREVISION'!$A$1:$KZ$3000,$C49,11+3*MIN(G$3,$D$2-1)))))</f>
        <v/>
      </c>
      <c r="H49" s="123">
        <f>IF(OR($C49="",$B$2="",$D$2=0),0,IF(H$3&lt;0,0,N(INDEX('CURVA PREVISION'!$A$1:$KZ$3000,$C49,11+3*MIN(H$3,$D$2-1)))))</f>
        <v/>
      </c>
      <c r="I49" s="123">
        <f>IF(OR($C49="",$B$2="",$D$2=0),0,IF(I$3&lt;0,0,N(INDEX('CURVA PREVISION'!$A$1:$KZ$3000,$C49,11+3*MIN(I$3,$D$2-1)))))</f>
        <v/>
      </c>
      <c r="J49" s="123">
        <f>IF(OR($C49="",$B$2="",$D$2=0),0,IF(J$3&lt;0,0,N(INDEX('CURVA PREVISION'!$A$1:$KZ$3000,$C49,11+3*MIN(J$3,$D$2-1)))))</f>
        <v/>
      </c>
      <c r="K49" s="123">
        <f>IF(OR($C49="",$B$2="",$D$2=0),0,IF(K$3&lt;0,0,N(INDEX('CURVA PREVISION'!$A$1:$KZ$3000,$C49,11+3*MIN(K$3,$D$2-1)))))</f>
        <v/>
      </c>
      <c r="L49" s="123">
        <f>IF(OR($C49="",$B$2="",$D$2=0),0,IF(L$3&lt;0,0,N(INDEX('CURVA PREVISION'!$A$1:$KZ$3000,$C49,11+3*MIN(L$3,$D$2-1)))))</f>
        <v/>
      </c>
      <c r="M49" s="123">
        <f>IF(OR($C49="",$B$2="",$D$2=0),0,IF(M$3&lt;0,0,N(INDEX('CURVA PREVISION'!$A$1:$KZ$3000,$C49,11+3*MIN(M$3,$D$2-1)))))</f>
        <v/>
      </c>
      <c r="N49" s="123">
        <f>IF(OR($C49="",$B$2="",$D$2=0),0,IF(N$3&lt;0,0,N(INDEX('CURVA PREVISION'!$A$1:$KZ$3000,$C49,11+3*MIN(N$3,$D$2-1)))))</f>
        <v/>
      </c>
      <c r="O49" s="123">
        <f>IF(OR($C49="",$B$2="",$D$2=0),0,IF(O$3&lt;0,0,N(INDEX('CURVA PREVISION'!$A$1:$KZ$3000,$C49,11+3*MIN(O$3,$D$2-1)))))</f>
        <v/>
      </c>
      <c r="P49" s="123">
        <f>IF(OR($C49="",$B$2="",$D$2=0),0,IF(P$3&lt;0,0,N(INDEX('CURVA PREVISION'!$A$1:$KZ$3000,$C49,11+3*MIN(P$3,$D$2-1)))))</f>
        <v/>
      </c>
      <c r="Q49" s="123">
        <f>IF(OR($C49="",$B$2="",$D$2=0),0,IF(Q$3&lt;0,0,N(INDEX('CURVA PREVISION'!$A$1:$KZ$3000,$C49,11+3*MIN(Q$3,$D$2-1)))))</f>
        <v/>
      </c>
      <c r="R49" s="123">
        <f>IF(OR($C49="",$B$2="",$D$2=0),0,IF(R$3&lt;0,0,N(INDEX('CURVA PREVISION'!$A$1:$KZ$3000,$C49,11+3*MIN(R$3,$D$2-1)))))</f>
        <v/>
      </c>
      <c r="S49" s="123">
        <f>IF(OR($C49="",$B$2="",$D$2=0),0,IF(S$3&lt;0,0,N(INDEX('CURVA PREVISION'!$A$1:$KZ$3000,$C49,11+3*MIN(S$3,$D$2-1)))))</f>
        <v/>
      </c>
      <c r="T49" s="123">
        <f>IF(OR($C49="",$B$2="",$D$2=0),0,IF(T$3&lt;0,0,N(INDEX('CURVA PREVISION'!$A$1:$KZ$3000,$C49,11+3*MIN(T$3,$D$2-1)))))</f>
        <v/>
      </c>
      <c r="U49" s="123">
        <f>IF(OR($C49="",$B$2="",$D$2=0),0,IF(U$3&lt;0,0,N(INDEX('CURVA PREVISION'!$A$1:$KZ$3000,$C49,11+3*MIN(U$3,$D$2-1)))))</f>
        <v/>
      </c>
      <c r="V49" s="123">
        <f>IF(OR($C49="",$B$2="",$D$2=0),0,IF(V$3&lt;0,0,N(INDEX('CURVA PREVISION'!$A$1:$KZ$3000,$C49,11+3*MIN(V$3,$D$2-1)))))</f>
        <v/>
      </c>
      <c r="W49" s="123">
        <f>IF(OR($C49="",$B$2="",$D$2=0),0,IF(W$3&lt;0,0,N(INDEX('CURVA PREVISION'!$A$1:$KZ$3000,$C49,11+3*MIN(W$3,$D$2-1)))))</f>
        <v/>
      </c>
      <c r="X49" s="123">
        <f>IF(OR($C49="",$B$2="",$D$2=0),0,IF(X$3&lt;0,0,N(INDEX('CURVA PREVISION'!$A$1:$KZ$3000,$C49,11+3*MIN(X$3,$D$2-1)))))</f>
        <v/>
      </c>
      <c r="Y49" s="123">
        <f>IF(OR($C49="",$B$2="",$D$2=0),0,IF(Y$3&lt;0,0,N(INDEX('CURVA PREVISION'!$A$1:$KZ$3000,$C49,11+3*MIN(Y$3,$D$2-1)))))</f>
        <v/>
      </c>
      <c r="Z49" s="123">
        <f>IF(OR($C49="",$B$2="",$D$2=0),0,IF(Z$3&lt;0,0,N(INDEX('CURVA PREVISION'!$A$1:$KZ$3000,$C49,11+3*MIN(Z$3,$D$2-1)))))</f>
        <v/>
      </c>
      <c r="AA49" s="123">
        <f>IF(OR($C49="",$B$2="",$D$2=0),0,IF(AA$3&lt;0,0,N(INDEX('CURVA PREVISION'!$A$1:$KZ$3000,$C49,11+3*MIN(AA$3,$D$2-1)))))</f>
        <v/>
      </c>
      <c r="AB49" s="123">
        <f>IF(OR($C49="",$B$2="",$D$2=0),0,IF(AB$3&lt;0,0,N(INDEX('CURVA PREVISION'!$A$1:$KZ$3000,$C49,11+3*MIN(AB$3,$D$2-1)))))</f>
        <v/>
      </c>
      <c r="AC49" s="123">
        <f>IF(OR($C49="",$B$2="",$D$2=0),0,IF(AC$3&lt;0,0,N(INDEX('CURVA PREVISION'!$A$1:$KZ$3000,$C49,11+3*MIN(AC$3,$D$2-1)))))</f>
        <v/>
      </c>
      <c r="AD49" s="123">
        <f>IF(OR($C49="",$B$2="",$D$2=0),0,IF(AD$3&lt;0,0,N(INDEX('CURVA PREVISION'!$A$1:$KZ$3000,$C49,11+3*MIN(AD$3,$D$2-1)))))</f>
        <v/>
      </c>
      <c r="AE49" s="123">
        <f>IF(OR($C49="",$B$2="",$D$2=0),0,IF(AE$3&lt;0,0,N(INDEX('CURVA PREVISION'!$A$1:$KZ$3000,$C49,11+3*MIN(AE$3,$D$2-1)))))</f>
        <v/>
      </c>
      <c r="AF49" s="123">
        <f>IF(OR($C49="",$B$2="",$D$2=0),0,IF(AF$3&lt;0,0,N(INDEX('CURVA PREVISION'!$A$1:$KZ$3000,$C49,11+3*MIN(AF$3,$D$2-1)))))</f>
        <v/>
      </c>
      <c r="AG49" s="123">
        <f>IF(OR($C49="",$B$2="",$D$2=0),0,IF(AG$3&lt;0,0,N(INDEX('CURVA PREVISION'!$A$1:$KZ$3000,$C49,11+3*MIN(AG$3,$D$2-1)))))</f>
        <v/>
      </c>
      <c r="AH49" s="123">
        <f>IF(OR($C49="",$B$2="",$D$2=0),0,IF(AH$3&lt;0,0,N(INDEX('CURVA PREVISION'!$A$1:$KZ$3000,$C49,11+3*MIN(AH$3,$D$2-1)))))</f>
        <v/>
      </c>
      <c r="AI49" s="123">
        <f>IF(OR($C49="",$B$2="",$D$2=0),0,IF(AI$3&lt;0,0,N(INDEX('CURVA PREVISION'!$A$1:$KZ$3000,$C49,11+3*MIN(AI$3,$D$2-1)))))</f>
        <v/>
      </c>
      <c r="AJ49" s="123">
        <f>IF(OR($C49="",$B$2="",$D$2=0),0,IF(AJ$3&lt;0,0,N(INDEX('CURVA PREVISION'!$A$1:$KZ$3000,$C49,11+3*MIN(AJ$3,$D$2-1)))))</f>
        <v/>
      </c>
      <c r="AK49" s="123">
        <f>IF(OR($C49="",$B$2="",$D$2=0),0,IF(AK$3&lt;0,0,N(INDEX('CURVA PREVISION'!$A$1:$KZ$3000,$C49,11+3*MIN(AK$3,$D$2-1)))))</f>
        <v/>
      </c>
      <c r="AL49" s="123">
        <f>IF(OR($C49="",$B$2="",$D$2=0),0,IF(AL$3&lt;0,0,N(INDEX('CURVA PREVISION'!$A$1:$KZ$3000,$C49,11+3*MIN(AL$3,$D$2-1)))))</f>
        <v/>
      </c>
      <c r="AM49" s="123">
        <f>IF(OR($C49="",$B$2="",$D$2=0),0,IF(AM$3&lt;0,0,N(INDEX('CURVA PREVISION'!$A$1:$KZ$3000,$C49,11+3*MIN(AM$3,$D$2-1)))))</f>
        <v/>
      </c>
      <c r="AN49" s="123">
        <f>IF(OR($C49="",$B$2="",$D$2=0),0,IF(AN$3&lt;0,0,N(INDEX('CURVA PREVISION'!$A$1:$KZ$3000,$C49,11+3*MIN(AN$3,$D$2-1)))))</f>
        <v/>
      </c>
      <c r="AO49" s="123">
        <f>IF(OR($C49="",$B$2="",$D$2=0),0,IF(AO$3&lt;0,0,N(INDEX('CURVA PREVISION'!$A$1:$KZ$3000,$C49,11+3*MIN(AO$3,$D$2-1)))))</f>
        <v/>
      </c>
      <c r="AP49" s="123">
        <f>IF(OR($C49="",$B$2="",$D$2=0),0,IF(AP$3&lt;0,0,N(INDEX('CURVA PREVISION'!$A$1:$KZ$3000,$C49,11+3*MIN(AP$3,$D$2-1)))))</f>
        <v/>
      </c>
      <c r="AQ49" s="123">
        <f>IF(OR($C49="",$B$2="",$D$2=0),0,IF(AQ$3&lt;0,0,N(INDEX('CURVA PREVISION'!$A$1:$KZ$3000,$C49,11+3*MIN(AQ$3,$D$2-1)))))</f>
        <v/>
      </c>
      <c r="AR49" s="123">
        <f>IF(OR($C49="",$B$2="",$D$2=0),0,IF(AR$3&lt;0,0,N(INDEX('CURVA PREVISION'!$A$1:$KZ$3000,$C49,11+3*MIN(AR$3,$D$2-1)))))</f>
        <v/>
      </c>
      <c r="AS49" s="123">
        <f>IF(OR($C49="",$B$2="",$D$2=0),0,IF(AS$3&lt;0,0,N(INDEX('CURVA PREVISION'!$A$1:$KZ$3000,$C49,11+3*MIN(AS$3,$D$2-1)))))</f>
        <v/>
      </c>
      <c r="AT49" s="123">
        <f>IF(OR($C49="",$B$2="",$D$2=0),0,IF(AT$3&lt;0,0,N(INDEX('CURVA PREVISION'!$A$1:$KZ$3000,$C49,11+3*MIN(AT$3,$D$2-1)))))</f>
        <v/>
      </c>
      <c r="AU49" s="123">
        <f>IF(OR($C49="",$B$2="",$D$2=0),0,IF(AU$3&lt;0,0,N(INDEX('CURVA PREVISION'!$A$1:$KZ$3000,$C49,11+3*MIN(AU$3,$D$2-1)))))</f>
        <v/>
      </c>
      <c r="AV49" s="123">
        <f>IF(OR($C49="",$B$2="",$D$2=0),0,IF(AV$3&lt;0,0,N(INDEX('CURVA PREVISION'!$A$1:$KZ$3000,$C49,11+3*MIN(AV$3,$D$2-1)))))</f>
        <v/>
      </c>
      <c r="AW49" s="123">
        <f>IF(OR($C49="",$B$2="",$D$2=0),0,IF(AW$3&lt;0,0,N(INDEX('CURVA PREVISION'!$A$1:$KZ$3000,$C49,11+3*MIN(AW$3,$D$2-1)))))</f>
        <v/>
      </c>
      <c r="AX49" s="123">
        <f>IF(OR($C49="",$B$2="",$D$2=0),0,IF(AX$3&lt;0,0,N(INDEX('CURVA PREVISION'!$A$1:$KZ$3000,$C49,11+3*MIN(AX$3,$D$2-1)))))</f>
        <v/>
      </c>
      <c r="AY49" s="123">
        <f>IF(OR($C49="",$B$2="",$D$2=0),0,IF(AY$3&lt;0,0,N(INDEX('CURVA PREVISION'!$A$1:$KZ$3000,$C49,11+3*MIN(AY$3,$D$2-1)))))</f>
        <v/>
      </c>
      <c r="AZ49" s="123">
        <f>IF(OR($C49="",$B$2="",$D$2=0),0,IF(AZ$3&lt;0,0,N(INDEX('CURVA PREVISION'!$A$1:$KZ$3000,$C49,11+3*MIN(AZ$3,$D$2-1)))))</f>
        <v/>
      </c>
      <c r="BA49" s="123">
        <f>IF(OR($C49="",$B$2="",$D$2=0),0,IF(BA$3&lt;0,0,N(INDEX('CURVA PREVISION'!$A$1:$KZ$3000,$C49,11+3*MIN(BA$3,$D$2-1)))))</f>
        <v/>
      </c>
      <c r="BB49" s="123">
        <f>IF(OR($C49="",$B$2="",$D$2=0),0,IF(BB$3&lt;0,0,N(INDEX('CURVA PREVISION'!$A$1:$KZ$3000,$C49,11+3*MIN(BB$3,$D$2-1)))))</f>
        <v/>
      </c>
      <c r="BC49" s="123">
        <f>IF(OR($C49="",$B$2="",$D$2=0),0,IF(BC$3&lt;0,0,N(INDEX('CURVA PREVISION'!$A$1:$KZ$3000,$C49,11+3*MIN(BC$3,$D$2-1)))))</f>
        <v/>
      </c>
      <c r="BD49" s="123">
        <f>IF(OR($C49="",$B$2="",$D$2=0),0,IF(BD$3&lt;0,0,N(INDEX('CURVA PREVISION'!$A$1:$KZ$3000,$C49,11+3*MIN(BD$3,$D$2-1)))))</f>
        <v/>
      </c>
      <c r="BE49" s="123">
        <f>IF(OR($C49="",$B$2="",$D$2=0),0,IF(BE$3&lt;0,0,N(INDEX('CURVA PREVISION'!$A$1:$KZ$3000,$C49,11+3*MIN(BE$3,$D$2-1)))))</f>
        <v/>
      </c>
      <c r="BF49" s="123">
        <f>IF(OR($C49="",$B$2="",$D$2=0),0,IF(BF$3&lt;0,0,N(INDEX('CURVA PREVISION'!$A$1:$KZ$3000,$C49,11+3*MIN(BF$3,$D$2-1)))))</f>
        <v/>
      </c>
      <c r="BG49" s="123">
        <f>IF(OR($C49="",$B$2="",$D$2=0),0,IF(BG$3&lt;0,0,N(INDEX('CURVA PREVISION'!$A$1:$KZ$3000,$C49,11+3*MIN(BG$3,$D$2-1)))))</f>
        <v/>
      </c>
      <c r="BH49" s="123">
        <f>IF(OR($C49="",$B$2="",$D$2=0),0,IF(BH$3&lt;0,0,N(INDEX('CURVA PREVISION'!$A$1:$KZ$3000,$C49,11+3*MIN(BH$3,$D$2-1)))))</f>
        <v/>
      </c>
      <c r="BI49" s="123">
        <f>IF(OR($C49="",$B$2="",$D$2=0),0,IF(BI$3&lt;0,0,N(INDEX('CURVA PREVISION'!$A$1:$KZ$3000,$C49,11+3*MIN(BI$3,$D$2-1)))))</f>
        <v/>
      </c>
      <c r="BJ49" s="123">
        <f>IF(OR($C49="",$B$2="",$D$2=0),0,IF(BJ$3&lt;0,0,N(INDEX('CURVA PREVISION'!$A$1:$KZ$3000,$C49,11+3*MIN(BJ$3,$D$2-1)))))</f>
        <v/>
      </c>
      <c r="BK49" s="123">
        <f>IF(OR($C49="",$B$2="",$D$2=0),0,IF(BK$3&lt;0,0,N(INDEX('CURVA PREVISION'!$A$1:$KZ$3000,$C49,11+3*MIN(BK$3,$D$2-1)))))</f>
        <v/>
      </c>
      <c r="BL49" s="123">
        <f>IF(OR($C49="",$B$2="",$D$2=0),0,IF(BL$3&lt;0,0,N(INDEX('CURVA PREVISION'!$A$1:$KZ$3000,$C49,11+3*MIN(BL$3,$D$2-1)))))</f>
        <v/>
      </c>
      <c r="BM49" s="123">
        <f>IF(OR($C49="",$B$2="",$D$2=0),0,IF(BM$3&lt;0,0,N(INDEX('CURVA PREVISION'!$A$1:$KZ$3000,$C49,11+3*MIN(BM$3,$D$2-1)))))</f>
        <v/>
      </c>
      <c r="BN49" s="123">
        <f>IF(OR($C49="",$B$2="",$D$2=0),0,IF(BN$3&lt;0,0,N(INDEX('CURVA PREVISION'!$A$1:$KZ$3000,$C49,11+3*MIN(BN$3,$D$2-1)))))</f>
        <v/>
      </c>
      <c r="BO49" s="123">
        <f>IF(OR($C49="",$B$2="",$D$2=0),0,IF(BO$3&lt;0,0,N(INDEX('CURVA PREVISION'!$A$1:$KZ$3000,$C49,11+3*MIN(BO$3,$D$2-1)))))</f>
        <v/>
      </c>
      <c r="BP49" s="123">
        <f>IF(OR($C49="",$B$2="",$D$2=0),0,IF(BP$3&lt;0,0,N(INDEX('CURVA PREVISION'!$A$1:$KZ$3000,$C49,11+3*MIN(BP$3,$D$2-1)))))</f>
        <v/>
      </c>
      <c r="BQ49" s="123">
        <f>IF(OR($C49="",$B$2="",$D$2=0),0,IF(BQ$3&lt;0,0,N(INDEX('CURVA PREVISION'!$A$1:$KZ$3000,$C49,11+3*MIN(BQ$3,$D$2-1)))))</f>
        <v/>
      </c>
      <c r="BR49" s="123">
        <f>IF(OR($C49="",$B$2="",$D$2=0),0,IF(BR$3&lt;0,0,N(INDEX('CURVA PREVISION'!$A$1:$KZ$3000,$C49,11+3*MIN(BR$3,$D$2-1)))))</f>
        <v/>
      </c>
      <c r="BS49" s="123">
        <f>IF(OR($C49="",$B$2="",$D$2=0),0,IF(BS$3&lt;0,0,N(INDEX('CURVA PREVISION'!$A$1:$KZ$3000,$C49,11+3*MIN(BS$3,$D$2-1)))))</f>
        <v/>
      </c>
      <c r="BT49" s="123">
        <f>IF(OR($C49="",$B$2="",$D$2=0),0,IF(BT$3&lt;0,0,N(INDEX('CURVA PREVISION'!$A$1:$KZ$3000,$C49,11+3*MIN(BT$3,$D$2-1)))))</f>
        <v/>
      </c>
      <c r="BU49" s="123">
        <f>IF(OR($C49="",$B$2="",$D$2=0),0,IF(BU$3&lt;0,0,N(INDEX('CURVA PREVISION'!$A$1:$KZ$3000,$C49,11+3*MIN(BU$3,$D$2-1)))))</f>
        <v/>
      </c>
      <c r="BV49" s="123">
        <f>IF(OR($C49="",$B$2="",$D$2=0),0,IF(BV$3&lt;0,0,N(INDEX('CURVA PREVISION'!$A$1:$KZ$3000,$C49,11+3*MIN(BV$3,$D$2-1)))))</f>
        <v/>
      </c>
      <c r="BW49" s="123">
        <f>IF(OR($C49="",$B$2="",$D$2=0),0,IF(BW$3&lt;0,0,N(INDEX('CURVA PREVISION'!$A$1:$KZ$3000,$C49,11+3*MIN(BW$3,$D$2-1)))))</f>
        <v/>
      </c>
    </row>
    <row r="50">
      <c r="A50" s="61">
        <f>IF('VALOR POR PL'!Q14="",'VALOR POR PL'!C14,'VALOR POR PL'!Q14)</f>
        <v/>
      </c>
      <c r="B50" s="51">
        <f>B8</f>
        <v/>
      </c>
      <c r="C50" s="70">
        <f>IFERROR(MATCH(A50,'CURVA PREVISION'!$B$1:$B$3000,0),"")</f>
        <v/>
      </c>
      <c r="D50" s="123">
        <f>IF(OR($C50="",$B$2="",$D$2=0),0,IF(D$3&lt;0,0,N(INDEX('CURVA PREVISION'!$A$1:$KZ$3000,$C50,11+3*MIN(D$3,$D$2-1)))))</f>
        <v/>
      </c>
      <c r="E50" s="123">
        <f>IF(OR($C50="",$B$2="",$D$2=0),0,IF(E$3&lt;0,0,N(INDEX('CURVA PREVISION'!$A$1:$KZ$3000,$C50,11+3*MIN(E$3,$D$2-1)))))</f>
        <v/>
      </c>
      <c r="F50" s="123">
        <f>IF(OR($C50="",$B$2="",$D$2=0),0,IF(F$3&lt;0,0,N(INDEX('CURVA PREVISION'!$A$1:$KZ$3000,$C50,11+3*MIN(F$3,$D$2-1)))))</f>
        <v/>
      </c>
      <c r="G50" s="123">
        <f>IF(OR($C50="",$B$2="",$D$2=0),0,IF(G$3&lt;0,0,N(INDEX('CURVA PREVISION'!$A$1:$KZ$3000,$C50,11+3*MIN(G$3,$D$2-1)))))</f>
        <v/>
      </c>
      <c r="H50" s="123">
        <f>IF(OR($C50="",$B$2="",$D$2=0),0,IF(H$3&lt;0,0,N(INDEX('CURVA PREVISION'!$A$1:$KZ$3000,$C50,11+3*MIN(H$3,$D$2-1)))))</f>
        <v/>
      </c>
      <c r="I50" s="123">
        <f>IF(OR($C50="",$B$2="",$D$2=0),0,IF(I$3&lt;0,0,N(INDEX('CURVA PREVISION'!$A$1:$KZ$3000,$C50,11+3*MIN(I$3,$D$2-1)))))</f>
        <v/>
      </c>
      <c r="J50" s="123">
        <f>IF(OR($C50="",$B$2="",$D$2=0),0,IF(J$3&lt;0,0,N(INDEX('CURVA PREVISION'!$A$1:$KZ$3000,$C50,11+3*MIN(J$3,$D$2-1)))))</f>
        <v/>
      </c>
      <c r="K50" s="123">
        <f>IF(OR($C50="",$B$2="",$D$2=0),0,IF(K$3&lt;0,0,N(INDEX('CURVA PREVISION'!$A$1:$KZ$3000,$C50,11+3*MIN(K$3,$D$2-1)))))</f>
        <v/>
      </c>
      <c r="L50" s="123">
        <f>IF(OR($C50="",$B$2="",$D$2=0),0,IF(L$3&lt;0,0,N(INDEX('CURVA PREVISION'!$A$1:$KZ$3000,$C50,11+3*MIN(L$3,$D$2-1)))))</f>
        <v/>
      </c>
      <c r="M50" s="123">
        <f>IF(OR($C50="",$B$2="",$D$2=0),0,IF(M$3&lt;0,0,N(INDEX('CURVA PREVISION'!$A$1:$KZ$3000,$C50,11+3*MIN(M$3,$D$2-1)))))</f>
        <v/>
      </c>
      <c r="N50" s="123">
        <f>IF(OR($C50="",$B$2="",$D$2=0),0,IF(N$3&lt;0,0,N(INDEX('CURVA PREVISION'!$A$1:$KZ$3000,$C50,11+3*MIN(N$3,$D$2-1)))))</f>
        <v/>
      </c>
      <c r="O50" s="123">
        <f>IF(OR($C50="",$B$2="",$D$2=0),0,IF(O$3&lt;0,0,N(INDEX('CURVA PREVISION'!$A$1:$KZ$3000,$C50,11+3*MIN(O$3,$D$2-1)))))</f>
        <v/>
      </c>
      <c r="P50" s="123">
        <f>IF(OR($C50="",$B$2="",$D$2=0),0,IF(P$3&lt;0,0,N(INDEX('CURVA PREVISION'!$A$1:$KZ$3000,$C50,11+3*MIN(P$3,$D$2-1)))))</f>
        <v/>
      </c>
      <c r="Q50" s="123">
        <f>IF(OR($C50="",$B$2="",$D$2=0),0,IF(Q$3&lt;0,0,N(INDEX('CURVA PREVISION'!$A$1:$KZ$3000,$C50,11+3*MIN(Q$3,$D$2-1)))))</f>
        <v/>
      </c>
      <c r="R50" s="123">
        <f>IF(OR($C50="",$B$2="",$D$2=0),0,IF(R$3&lt;0,0,N(INDEX('CURVA PREVISION'!$A$1:$KZ$3000,$C50,11+3*MIN(R$3,$D$2-1)))))</f>
        <v/>
      </c>
      <c r="S50" s="123">
        <f>IF(OR($C50="",$B$2="",$D$2=0),0,IF(S$3&lt;0,0,N(INDEX('CURVA PREVISION'!$A$1:$KZ$3000,$C50,11+3*MIN(S$3,$D$2-1)))))</f>
        <v/>
      </c>
      <c r="T50" s="123">
        <f>IF(OR($C50="",$B$2="",$D$2=0),0,IF(T$3&lt;0,0,N(INDEX('CURVA PREVISION'!$A$1:$KZ$3000,$C50,11+3*MIN(T$3,$D$2-1)))))</f>
        <v/>
      </c>
      <c r="U50" s="123">
        <f>IF(OR($C50="",$B$2="",$D$2=0),0,IF(U$3&lt;0,0,N(INDEX('CURVA PREVISION'!$A$1:$KZ$3000,$C50,11+3*MIN(U$3,$D$2-1)))))</f>
        <v/>
      </c>
      <c r="V50" s="123">
        <f>IF(OR($C50="",$B$2="",$D$2=0),0,IF(V$3&lt;0,0,N(INDEX('CURVA PREVISION'!$A$1:$KZ$3000,$C50,11+3*MIN(V$3,$D$2-1)))))</f>
        <v/>
      </c>
      <c r="W50" s="123">
        <f>IF(OR($C50="",$B$2="",$D$2=0),0,IF(W$3&lt;0,0,N(INDEX('CURVA PREVISION'!$A$1:$KZ$3000,$C50,11+3*MIN(W$3,$D$2-1)))))</f>
        <v/>
      </c>
      <c r="X50" s="123">
        <f>IF(OR($C50="",$B$2="",$D$2=0),0,IF(X$3&lt;0,0,N(INDEX('CURVA PREVISION'!$A$1:$KZ$3000,$C50,11+3*MIN(X$3,$D$2-1)))))</f>
        <v/>
      </c>
      <c r="Y50" s="123">
        <f>IF(OR($C50="",$B$2="",$D$2=0),0,IF(Y$3&lt;0,0,N(INDEX('CURVA PREVISION'!$A$1:$KZ$3000,$C50,11+3*MIN(Y$3,$D$2-1)))))</f>
        <v/>
      </c>
      <c r="Z50" s="123">
        <f>IF(OR($C50="",$B$2="",$D$2=0),0,IF(Z$3&lt;0,0,N(INDEX('CURVA PREVISION'!$A$1:$KZ$3000,$C50,11+3*MIN(Z$3,$D$2-1)))))</f>
        <v/>
      </c>
      <c r="AA50" s="123">
        <f>IF(OR($C50="",$B$2="",$D$2=0),0,IF(AA$3&lt;0,0,N(INDEX('CURVA PREVISION'!$A$1:$KZ$3000,$C50,11+3*MIN(AA$3,$D$2-1)))))</f>
        <v/>
      </c>
      <c r="AB50" s="123">
        <f>IF(OR($C50="",$B$2="",$D$2=0),0,IF(AB$3&lt;0,0,N(INDEX('CURVA PREVISION'!$A$1:$KZ$3000,$C50,11+3*MIN(AB$3,$D$2-1)))))</f>
        <v/>
      </c>
      <c r="AC50" s="123">
        <f>IF(OR($C50="",$B$2="",$D$2=0),0,IF(AC$3&lt;0,0,N(INDEX('CURVA PREVISION'!$A$1:$KZ$3000,$C50,11+3*MIN(AC$3,$D$2-1)))))</f>
        <v/>
      </c>
      <c r="AD50" s="123">
        <f>IF(OR($C50="",$B$2="",$D$2=0),0,IF(AD$3&lt;0,0,N(INDEX('CURVA PREVISION'!$A$1:$KZ$3000,$C50,11+3*MIN(AD$3,$D$2-1)))))</f>
        <v/>
      </c>
      <c r="AE50" s="123">
        <f>IF(OR($C50="",$B$2="",$D$2=0),0,IF(AE$3&lt;0,0,N(INDEX('CURVA PREVISION'!$A$1:$KZ$3000,$C50,11+3*MIN(AE$3,$D$2-1)))))</f>
        <v/>
      </c>
      <c r="AF50" s="123">
        <f>IF(OR($C50="",$B$2="",$D$2=0),0,IF(AF$3&lt;0,0,N(INDEX('CURVA PREVISION'!$A$1:$KZ$3000,$C50,11+3*MIN(AF$3,$D$2-1)))))</f>
        <v/>
      </c>
      <c r="AG50" s="123">
        <f>IF(OR($C50="",$B$2="",$D$2=0),0,IF(AG$3&lt;0,0,N(INDEX('CURVA PREVISION'!$A$1:$KZ$3000,$C50,11+3*MIN(AG$3,$D$2-1)))))</f>
        <v/>
      </c>
      <c r="AH50" s="123">
        <f>IF(OR($C50="",$B$2="",$D$2=0),0,IF(AH$3&lt;0,0,N(INDEX('CURVA PREVISION'!$A$1:$KZ$3000,$C50,11+3*MIN(AH$3,$D$2-1)))))</f>
        <v/>
      </c>
      <c r="AI50" s="123">
        <f>IF(OR($C50="",$B$2="",$D$2=0),0,IF(AI$3&lt;0,0,N(INDEX('CURVA PREVISION'!$A$1:$KZ$3000,$C50,11+3*MIN(AI$3,$D$2-1)))))</f>
        <v/>
      </c>
      <c r="AJ50" s="123">
        <f>IF(OR($C50="",$B$2="",$D$2=0),0,IF(AJ$3&lt;0,0,N(INDEX('CURVA PREVISION'!$A$1:$KZ$3000,$C50,11+3*MIN(AJ$3,$D$2-1)))))</f>
        <v/>
      </c>
      <c r="AK50" s="123">
        <f>IF(OR($C50="",$B$2="",$D$2=0),0,IF(AK$3&lt;0,0,N(INDEX('CURVA PREVISION'!$A$1:$KZ$3000,$C50,11+3*MIN(AK$3,$D$2-1)))))</f>
        <v/>
      </c>
      <c r="AL50" s="123">
        <f>IF(OR($C50="",$B$2="",$D$2=0),0,IF(AL$3&lt;0,0,N(INDEX('CURVA PREVISION'!$A$1:$KZ$3000,$C50,11+3*MIN(AL$3,$D$2-1)))))</f>
        <v/>
      </c>
      <c r="AM50" s="123">
        <f>IF(OR($C50="",$B$2="",$D$2=0),0,IF(AM$3&lt;0,0,N(INDEX('CURVA PREVISION'!$A$1:$KZ$3000,$C50,11+3*MIN(AM$3,$D$2-1)))))</f>
        <v/>
      </c>
      <c r="AN50" s="123">
        <f>IF(OR($C50="",$B$2="",$D$2=0),0,IF(AN$3&lt;0,0,N(INDEX('CURVA PREVISION'!$A$1:$KZ$3000,$C50,11+3*MIN(AN$3,$D$2-1)))))</f>
        <v/>
      </c>
      <c r="AO50" s="123">
        <f>IF(OR($C50="",$B$2="",$D$2=0),0,IF(AO$3&lt;0,0,N(INDEX('CURVA PREVISION'!$A$1:$KZ$3000,$C50,11+3*MIN(AO$3,$D$2-1)))))</f>
        <v/>
      </c>
      <c r="AP50" s="123">
        <f>IF(OR($C50="",$B$2="",$D$2=0),0,IF(AP$3&lt;0,0,N(INDEX('CURVA PREVISION'!$A$1:$KZ$3000,$C50,11+3*MIN(AP$3,$D$2-1)))))</f>
        <v/>
      </c>
      <c r="AQ50" s="123">
        <f>IF(OR($C50="",$B$2="",$D$2=0),0,IF(AQ$3&lt;0,0,N(INDEX('CURVA PREVISION'!$A$1:$KZ$3000,$C50,11+3*MIN(AQ$3,$D$2-1)))))</f>
        <v/>
      </c>
      <c r="AR50" s="123">
        <f>IF(OR($C50="",$B$2="",$D$2=0),0,IF(AR$3&lt;0,0,N(INDEX('CURVA PREVISION'!$A$1:$KZ$3000,$C50,11+3*MIN(AR$3,$D$2-1)))))</f>
        <v/>
      </c>
      <c r="AS50" s="123">
        <f>IF(OR($C50="",$B$2="",$D$2=0),0,IF(AS$3&lt;0,0,N(INDEX('CURVA PREVISION'!$A$1:$KZ$3000,$C50,11+3*MIN(AS$3,$D$2-1)))))</f>
        <v/>
      </c>
      <c r="AT50" s="123">
        <f>IF(OR($C50="",$B$2="",$D$2=0),0,IF(AT$3&lt;0,0,N(INDEX('CURVA PREVISION'!$A$1:$KZ$3000,$C50,11+3*MIN(AT$3,$D$2-1)))))</f>
        <v/>
      </c>
      <c r="AU50" s="123">
        <f>IF(OR($C50="",$B$2="",$D$2=0),0,IF(AU$3&lt;0,0,N(INDEX('CURVA PREVISION'!$A$1:$KZ$3000,$C50,11+3*MIN(AU$3,$D$2-1)))))</f>
        <v/>
      </c>
      <c r="AV50" s="123">
        <f>IF(OR($C50="",$B$2="",$D$2=0),0,IF(AV$3&lt;0,0,N(INDEX('CURVA PREVISION'!$A$1:$KZ$3000,$C50,11+3*MIN(AV$3,$D$2-1)))))</f>
        <v/>
      </c>
      <c r="AW50" s="123">
        <f>IF(OR($C50="",$B$2="",$D$2=0),0,IF(AW$3&lt;0,0,N(INDEX('CURVA PREVISION'!$A$1:$KZ$3000,$C50,11+3*MIN(AW$3,$D$2-1)))))</f>
        <v/>
      </c>
      <c r="AX50" s="123">
        <f>IF(OR($C50="",$B$2="",$D$2=0),0,IF(AX$3&lt;0,0,N(INDEX('CURVA PREVISION'!$A$1:$KZ$3000,$C50,11+3*MIN(AX$3,$D$2-1)))))</f>
        <v/>
      </c>
      <c r="AY50" s="123">
        <f>IF(OR($C50="",$B$2="",$D$2=0),0,IF(AY$3&lt;0,0,N(INDEX('CURVA PREVISION'!$A$1:$KZ$3000,$C50,11+3*MIN(AY$3,$D$2-1)))))</f>
        <v/>
      </c>
      <c r="AZ50" s="123">
        <f>IF(OR($C50="",$B$2="",$D$2=0),0,IF(AZ$3&lt;0,0,N(INDEX('CURVA PREVISION'!$A$1:$KZ$3000,$C50,11+3*MIN(AZ$3,$D$2-1)))))</f>
        <v/>
      </c>
      <c r="BA50" s="123">
        <f>IF(OR($C50="",$B$2="",$D$2=0),0,IF(BA$3&lt;0,0,N(INDEX('CURVA PREVISION'!$A$1:$KZ$3000,$C50,11+3*MIN(BA$3,$D$2-1)))))</f>
        <v/>
      </c>
      <c r="BB50" s="123">
        <f>IF(OR($C50="",$B$2="",$D$2=0),0,IF(BB$3&lt;0,0,N(INDEX('CURVA PREVISION'!$A$1:$KZ$3000,$C50,11+3*MIN(BB$3,$D$2-1)))))</f>
        <v/>
      </c>
      <c r="BC50" s="123">
        <f>IF(OR($C50="",$B$2="",$D$2=0),0,IF(BC$3&lt;0,0,N(INDEX('CURVA PREVISION'!$A$1:$KZ$3000,$C50,11+3*MIN(BC$3,$D$2-1)))))</f>
        <v/>
      </c>
      <c r="BD50" s="123">
        <f>IF(OR($C50="",$B$2="",$D$2=0),0,IF(BD$3&lt;0,0,N(INDEX('CURVA PREVISION'!$A$1:$KZ$3000,$C50,11+3*MIN(BD$3,$D$2-1)))))</f>
        <v/>
      </c>
      <c r="BE50" s="123">
        <f>IF(OR($C50="",$B$2="",$D$2=0),0,IF(BE$3&lt;0,0,N(INDEX('CURVA PREVISION'!$A$1:$KZ$3000,$C50,11+3*MIN(BE$3,$D$2-1)))))</f>
        <v/>
      </c>
      <c r="BF50" s="123">
        <f>IF(OR($C50="",$B$2="",$D$2=0),0,IF(BF$3&lt;0,0,N(INDEX('CURVA PREVISION'!$A$1:$KZ$3000,$C50,11+3*MIN(BF$3,$D$2-1)))))</f>
        <v/>
      </c>
      <c r="BG50" s="123">
        <f>IF(OR($C50="",$B$2="",$D$2=0),0,IF(BG$3&lt;0,0,N(INDEX('CURVA PREVISION'!$A$1:$KZ$3000,$C50,11+3*MIN(BG$3,$D$2-1)))))</f>
        <v/>
      </c>
      <c r="BH50" s="123">
        <f>IF(OR($C50="",$B$2="",$D$2=0),0,IF(BH$3&lt;0,0,N(INDEX('CURVA PREVISION'!$A$1:$KZ$3000,$C50,11+3*MIN(BH$3,$D$2-1)))))</f>
        <v/>
      </c>
      <c r="BI50" s="123">
        <f>IF(OR($C50="",$B$2="",$D$2=0),0,IF(BI$3&lt;0,0,N(INDEX('CURVA PREVISION'!$A$1:$KZ$3000,$C50,11+3*MIN(BI$3,$D$2-1)))))</f>
        <v/>
      </c>
      <c r="BJ50" s="123">
        <f>IF(OR($C50="",$B$2="",$D$2=0),0,IF(BJ$3&lt;0,0,N(INDEX('CURVA PREVISION'!$A$1:$KZ$3000,$C50,11+3*MIN(BJ$3,$D$2-1)))))</f>
        <v/>
      </c>
      <c r="BK50" s="123">
        <f>IF(OR($C50="",$B$2="",$D$2=0),0,IF(BK$3&lt;0,0,N(INDEX('CURVA PREVISION'!$A$1:$KZ$3000,$C50,11+3*MIN(BK$3,$D$2-1)))))</f>
        <v/>
      </c>
      <c r="BL50" s="123">
        <f>IF(OR($C50="",$B$2="",$D$2=0),0,IF(BL$3&lt;0,0,N(INDEX('CURVA PREVISION'!$A$1:$KZ$3000,$C50,11+3*MIN(BL$3,$D$2-1)))))</f>
        <v/>
      </c>
      <c r="BM50" s="123">
        <f>IF(OR($C50="",$B$2="",$D$2=0),0,IF(BM$3&lt;0,0,N(INDEX('CURVA PREVISION'!$A$1:$KZ$3000,$C50,11+3*MIN(BM$3,$D$2-1)))))</f>
        <v/>
      </c>
      <c r="BN50" s="123">
        <f>IF(OR($C50="",$B$2="",$D$2=0),0,IF(BN$3&lt;0,0,N(INDEX('CURVA PREVISION'!$A$1:$KZ$3000,$C50,11+3*MIN(BN$3,$D$2-1)))))</f>
        <v/>
      </c>
      <c r="BO50" s="123">
        <f>IF(OR($C50="",$B$2="",$D$2=0),0,IF(BO$3&lt;0,0,N(INDEX('CURVA PREVISION'!$A$1:$KZ$3000,$C50,11+3*MIN(BO$3,$D$2-1)))))</f>
        <v/>
      </c>
      <c r="BP50" s="123">
        <f>IF(OR($C50="",$B$2="",$D$2=0),0,IF(BP$3&lt;0,0,N(INDEX('CURVA PREVISION'!$A$1:$KZ$3000,$C50,11+3*MIN(BP$3,$D$2-1)))))</f>
        <v/>
      </c>
      <c r="BQ50" s="123">
        <f>IF(OR($C50="",$B$2="",$D$2=0),0,IF(BQ$3&lt;0,0,N(INDEX('CURVA PREVISION'!$A$1:$KZ$3000,$C50,11+3*MIN(BQ$3,$D$2-1)))))</f>
        <v/>
      </c>
      <c r="BR50" s="123">
        <f>IF(OR($C50="",$B$2="",$D$2=0),0,IF(BR$3&lt;0,0,N(INDEX('CURVA PREVISION'!$A$1:$KZ$3000,$C50,11+3*MIN(BR$3,$D$2-1)))))</f>
        <v/>
      </c>
      <c r="BS50" s="123">
        <f>IF(OR($C50="",$B$2="",$D$2=0),0,IF(BS$3&lt;0,0,N(INDEX('CURVA PREVISION'!$A$1:$KZ$3000,$C50,11+3*MIN(BS$3,$D$2-1)))))</f>
        <v/>
      </c>
      <c r="BT50" s="123">
        <f>IF(OR($C50="",$B$2="",$D$2=0),0,IF(BT$3&lt;0,0,N(INDEX('CURVA PREVISION'!$A$1:$KZ$3000,$C50,11+3*MIN(BT$3,$D$2-1)))))</f>
        <v/>
      </c>
      <c r="BU50" s="123">
        <f>IF(OR($C50="",$B$2="",$D$2=0),0,IF(BU$3&lt;0,0,N(INDEX('CURVA PREVISION'!$A$1:$KZ$3000,$C50,11+3*MIN(BU$3,$D$2-1)))))</f>
        <v/>
      </c>
      <c r="BV50" s="123">
        <f>IF(OR($C50="",$B$2="",$D$2=0),0,IF(BV$3&lt;0,0,N(INDEX('CURVA PREVISION'!$A$1:$KZ$3000,$C50,11+3*MIN(BV$3,$D$2-1)))))</f>
        <v/>
      </c>
      <c r="BW50" s="123">
        <f>IF(OR($C50="",$B$2="",$D$2=0),0,IF(BW$3&lt;0,0,N(INDEX('CURVA PREVISION'!$A$1:$KZ$3000,$C50,11+3*MIN(BW$3,$D$2-1)))))</f>
        <v/>
      </c>
    </row>
    <row r="51">
      <c r="A51" s="61">
        <f>IF('VALOR POR PL'!Q15="",'VALOR POR PL'!C15,'VALOR POR PL'!Q15)</f>
        <v/>
      </c>
      <c r="B51" s="51">
        <f>B9</f>
        <v/>
      </c>
      <c r="C51" s="70">
        <f>IFERROR(MATCH(A51,'CURVA PREVISION'!$B$1:$B$3000,0),"")</f>
        <v/>
      </c>
      <c r="D51" s="123">
        <f>IF(OR($C51="",$B$2="",$D$2=0),0,IF(D$3&lt;0,0,N(INDEX('CURVA PREVISION'!$A$1:$KZ$3000,$C51,11+3*MIN(D$3,$D$2-1)))))</f>
        <v/>
      </c>
      <c r="E51" s="123">
        <f>IF(OR($C51="",$B$2="",$D$2=0),0,IF(E$3&lt;0,0,N(INDEX('CURVA PREVISION'!$A$1:$KZ$3000,$C51,11+3*MIN(E$3,$D$2-1)))))</f>
        <v/>
      </c>
      <c r="F51" s="123">
        <f>IF(OR($C51="",$B$2="",$D$2=0),0,IF(F$3&lt;0,0,N(INDEX('CURVA PREVISION'!$A$1:$KZ$3000,$C51,11+3*MIN(F$3,$D$2-1)))))</f>
        <v/>
      </c>
      <c r="G51" s="123">
        <f>IF(OR($C51="",$B$2="",$D$2=0),0,IF(G$3&lt;0,0,N(INDEX('CURVA PREVISION'!$A$1:$KZ$3000,$C51,11+3*MIN(G$3,$D$2-1)))))</f>
        <v/>
      </c>
      <c r="H51" s="123">
        <f>IF(OR($C51="",$B$2="",$D$2=0),0,IF(H$3&lt;0,0,N(INDEX('CURVA PREVISION'!$A$1:$KZ$3000,$C51,11+3*MIN(H$3,$D$2-1)))))</f>
        <v/>
      </c>
      <c r="I51" s="123">
        <f>IF(OR($C51="",$B$2="",$D$2=0),0,IF(I$3&lt;0,0,N(INDEX('CURVA PREVISION'!$A$1:$KZ$3000,$C51,11+3*MIN(I$3,$D$2-1)))))</f>
        <v/>
      </c>
      <c r="J51" s="123">
        <f>IF(OR($C51="",$B$2="",$D$2=0),0,IF(J$3&lt;0,0,N(INDEX('CURVA PREVISION'!$A$1:$KZ$3000,$C51,11+3*MIN(J$3,$D$2-1)))))</f>
        <v/>
      </c>
      <c r="K51" s="123">
        <f>IF(OR($C51="",$B$2="",$D$2=0),0,IF(K$3&lt;0,0,N(INDEX('CURVA PREVISION'!$A$1:$KZ$3000,$C51,11+3*MIN(K$3,$D$2-1)))))</f>
        <v/>
      </c>
      <c r="L51" s="123">
        <f>IF(OR($C51="",$B$2="",$D$2=0),0,IF(L$3&lt;0,0,N(INDEX('CURVA PREVISION'!$A$1:$KZ$3000,$C51,11+3*MIN(L$3,$D$2-1)))))</f>
        <v/>
      </c>
      <c r="M51" s="123">
        <f>IF(OR($C51="",$B$2="",$D$2=0),0,IF(M$3&lt;0,0,N(INDEX('CURVA PREVISION'!$A$1:$KZ$3000,$C51,11+3*MIN(M$3,$D$2-1)))))</f>
        <v/>
      </c>
      <c r="N51" s="123">
        <f>IF(OR($C51="",$B$2="",$D$2=0),0,IF(N$3&lt;0,0,N(INDEX('CURVA PREVISION'!$A$1:$KZ$3000,$C51,11+3*MIN(N$3,$D$2-1)))))</f>
        <v/>
      </c>
      <c r="O51" s="123">
        <f>IF(OR($C51="",$B$2="",$D$2=0),0,IF(O$3&lt;0,0,N(INDEX('CURVA PREVISION'!$A$1:$KZ$3000,$C51,11+3*MIN(O$3,$D$2-1)))))</f>
        <v/>
      </c>
      <c r="P51" s="123">
        <f>IF(OR($C51="",$B$2="",$D$2=0),0,IF(P$3&lt;0,0,N(INDEX('CURVA PREVISION'!$A$1:$KZ$3000,$C51,11+3*MIN(P$3,$D$2-1)))))</f>
        <v/>
      </c>
      <c r="Q51" s="123">
        <f>IF(OR($C51="",$B$2="",$D$2=0),0,IF(Q$3&lt;0,0,N(INDEX('CURVA PREVISION'!$A$1:$KZ$3000,$C51,11+3*MIN(Q$3,$D$2-1)))))</f>
        <v/>
      </c>
      <c r="R51" s="123">
        <f>IF(OR($C51="",$B$2="",$D$2=0),0,IF(R$3&lt;0,0,N(INDEX('CURVA PREVISION'!$A$1:$KZ$3000,$C51,11+3*MIN(R$3,$D$2-1)))))</f>
        <v/>
      </c>
      <c r="S51" s="123">
        <f>IF(OR($C51="",$B$2="",$D$2=0),0,IF(S$3&lt;0,0,N(INDEX('CURVA PREVISION'!$A$1:$KZ$3000,$C51,11+3*MIN(S$3,$D$2-1)))))</f>
        <v/>
      </c>
      <c r="T51" s="123">
        <f>IF(OR($C51="",$B$2="",$D$2=0),0,IF(T$3&lt;0,0,N(INDEX('CURVA PREVISION'!$A$1:$KZ$3000,$C51,11+3*MIN(T$3,$D$2-1)))))</f>
        <v/>
      </c>
      <c r="U51" s="123">
        <f>IF(OR($C51="",$B$2="",$D$2=0),0,IF(U$3&lt;0,0,N(INDEX('CURVA PREVISION'!$A$1:$KZ$3000,$C51,11+3*MIN(U$3,$D$2-1)))))</f>
        <v/>
      </c>
      <c r="V51" s="123">
        <f>IF(OR($C51="",$B$2="",$D$2=0),0,IF(V$3&lt;0,0,N(INDEX('CURVA PREVISION'!$A$1:$KZ$3000,$C51,11+3*MIN(V$3,$D$2-1)))))</f>
        <v/>
      </c>
      <c r="W51" s="123">
        <f>IF(OR($C51="",$B$2="",$D$2=0),0,IF(W$3&lt;0,0,N(INDEX('CURVA PREVISION'!$A$1:$KZ$3000,$C51,11+3*MIN(W$3,$D$2-1)))))</f>
        <v/>
      </c>
      <c r="X51" s="123">
        <f>IF(OR($C51="",$B$2="",$D$2=0),0,IF(X$3&lt;0,0,N(INDEX('CURVA PREVISION'!$A$1:$KZ$3000,$C51,11+3*MIN(X$3,$D$2-1)))))</f>
        <v/>
      </c>
      <c r="Y51" s="123">
        <f>IF(OR($C51="",$B$2="",$D$2=0),0,IF(Y$3&lt;0,0,N(INDEX('CURVA PREVISION'!$A$1:$KZ$3000,$C51,11+3*MIN(Y$3,$D$2-1)))))</f>
        <v/>
      </c>
      <c r="Z51" s="123">
        <f>IF(OR($C51="",$B$2="",$D$2=0),0,IF(Z$3&lt;0,0,N(INDEX('CURVA PREVISION'!$A$1:$KZ$3000,$C51,11+3*MIN(Z$3,$D$2-1)))))</f>
        <v/>
      </c>
      <c r="AA51" s="123">
        <f>IF(OR($C51="",$B$2="",$D$2=0),0,IF(AA$3&lt;0,0,N(INDEX('CURVA PREVISION'!$A$1:$KZ$3000,$C51,11+3*MIN(AA$3,$D$2-1)))))</f>
        <v/>
      </c>
      <c r="AB51" s="123">
        <f>IF(OR($C51="",$B$2="",$D$2=0),0,IF(AB$3&lt;0,0,N(INDEX('CURVA PREVISION'!$A$1:$KZ$3000,$C51,11+3*MIN(AB$3,$D$2-1)))))</f>
        <v/>
      </c>
      <c r="AC51" s="123">
        <f>IF(OR($C51="",$B$2="",$D$2=0),0,IF(AC$3&lt;0,0,N(INDEX('CURVA PREVISION'!$A$1:$KZ$3000,$C51,11+3*MIN(AC$3,$D$2-1)))))</f>
        <v/>
      </c>
      <c r="AD51" s="123">
        <f>IF(OR($C51="",$B$2="",$D$2=0),0,IF(AD$3&lt;0,0,N(INDEX('CURVA PREVISION'!$A$1:$KZ$3000,$C51,11+3*MIN(AD$3,$D$2-1)))))</f>
        <v/>
      </c>
      <c r="AE51" s="123">
        <f>IF(OR($C51="",$B$2="",$D$2=0),0,IF(AE$3&lt;0,0,N(INDEX('CURVA PREVISION'!$A$1:$KZ$3000,$C51,11+3*MIN(AE$3,$D$2-1)))))</f>
        <v/>
      </c>
      <c r="AF51" s="123">
        <f>IF(OR($C51="",$B$2="",$D$2=0),0,IF(AF$3&lt;0,0,N(INDEX('CURVA PREVISION'!$A$1:$KZ$3000,$C51,11+3*MIN(AF$3,$D$2-1)))))</f>
        <v/>
      </c>
      <c r="AG51" s="123">
        <f>IF(OR($C51="",$B$2="",$D$2=0),0,IF(AG$3&lt;0,0,N(INDEX('CURVA PREVISION'!$A$1:$KZ$3000,$C51,11+3*MIN(AG$3,$D$2-1)))))</f>
        <v/>
      </c>
      <c r="AH51" s="123">
        <f>IF(OR($C51="",$B$2="",$D$2=0),0,IF(AH$3&lt;0,0,N(INDEX('CURVA PREVISION'!$A$1:$KZ$3000,$C51,11+3*MIN(AH$3,$D$2-1)))))</f>
        <v/>
      </c>
      <c r="AI51" s="123">
        <f>IF(OR($C51="",$B$2="",$D$2=0),0,IF(AI$3&lt;0,0,N(INDEX('CURVA PREVISION'!$A$1:$KZ$3000,$C51,11+3*MIN(AI$3,$D$2-1)))))</f>
        <v/>
      </c>
      <c r="AJ51" s="123">
        <f>IF(OR($C51="",$B$2="",$D$2=0),0,IF(AJ$3&lt;0,0,N(INDEX('CURVA PREVISION'!$A$1:$KZ$3000,$C51,11+3*MIN(AJ$3,$D$2-1)))))</f>
        <v/>
      </c>
      <c r="AK51" s="123">
        <f>IF(OR($C51="",$B$2="",$D$2=0),0,IF(AK$3&lt;0,0,N(INDEX('CURVA PREVISION'!$A$1:$KZ$3000,$C51,11+3*MIN(AK$3,$D$2-1)))))</f>
        <v/>
      </c>
      <c r="AL51" s="123">
        <f>IF(OR($C51="",$B$2="",$D$2=0),0,IF(AL$3&lt;0,0,N(INDEX('CURVA PREVISION'!$A$1:$KZ$3000,$C51,11+3*MIN(AL$3,$D$2-1)))))</f>
        <v/>
      </c>
      <c r="AM51" s="123">
        <f>IF(OR($C51="",$B$2="",$D$2=0),0,IF(AM$3&lt;0,0,N(INDEX('CURVA PREVISION'!$A$1:$KZ$3000,$C51,11+3*MIN(AM$3,$D$2-1)))))</f>
        <v/>
      </c>
      <c r="AN51" s="123">
        <f>IF(OR($C51="",$B$2="",$D$2=0),0,IF(AN$3&lt;0,0,N(INDEX('CURVA PREVISION'!$A$1:$KZ$3000,$C51,11+3*MIN(AN$3,$D$2-1)))))</f>
        <v/>
      </c>
      <c r="AO51" s="123">
        <f>IF(OR($C51="",$B$2="",$D$2=0),0,IF(AO$3&lt;0,0,N(INDEX('CURVA PREVISION'!$A$1:$KZ$3000,$C51,11+3*MIN(AO$3,$D$2-1)))))</f>
        <v/>
      </c>
      <c r="AP51" s="123">
        <f>IF(OR($C51="",$B$2="",$D$2=0),0,IF(AP$3&lt;0,0,N(INDEX('CURVA PREVISION'!$A$1:$KZ$3000,$C51,11+3*MIN(AP$3,$D$2-1)))))</f>
        <v/>
      </c>
      <c r="AQ51" s="123">
        <f>IF(OR($C51="",$B$2="",$D$2=0),0,IF(AQ$3&lt;0,0,N(INDEX('CURVA PREVISION'!$A$1:$KZ$3000,$C51,11+3*MIN(AQ$3,$D$2-1)))))</f>
        <v/>
      </c>
      <c r="AR51" s="123">
        <f>IF(OR($C51="",$B$2="",$D$2=0),0,IF(AR$3&lt;0,0,N(INDEX('CURVA PREVISION'!$A$1:$KZ$3000,$C51,11+3*MIN(AR$3,$D$2-1)))))</f>
        <v/>
      </c>
      <c r="AS51" s="123">
        <f>IF(OR($C51="",$B$2="",$D$2=0),0,IF(AS$3&lt;0,0,N(INDEX('CURVA PREVISION'!$A$1:$KZ$3000,$C51,11+3*MIN(AS$3,$D$2-1)))))</f>
        <v/>
      </c>
      <c r="AT51" s="123">
        <f>IF(OR($C51="",$B$2="",$D$2=0),0,IF(AT$3&lt;0,0,N(INDEX('CURVA PREVISION'!$A$1:$KZ$3000,$C51,11+3*MIN(AT$3,$D$2-1)))))</f>
        <v/>
      </c>
      <c r="AU51" s="123">
        <f>IF(OR($C51="",$B$2="",$D$2=0),0,IF(AU$3&lt;0,0,N(INDEX('CURVA PREVISION'!$A$1:$KZ$3000,$C51,11+3*MIN(AU$3,$D$2-1)))))</f>
        <v/>
      </c>
      <c r="AV51" s="123">
        <f>IF(OR($C51="",$B$2="",$D$2=0),0,IF(AV$3&lt;0,0,N(INDEX('CURVA PREVISION'!$A$1:$KZ$3000,$C51,11+3*MIN(AV$3,$D$2-1)))))</f>
        <v/>
      </c>
      <c r="AW51" s="123">
        <f>IF(OR($C51="",$B$2="",$D$2=0),0,IF(AW$3&lt;0,0,N(INDEX('CURVA PREVISION'!$A$1:$KZ$3000,$C51,11+3*MIN(AW$3,$D$2-1)))))</f>
        <v/>
      </c>
      <c r="AX51" s="123">
        <f>IF(OR($C51="",$B$2="",$D$2=0),0,IF(AX$3&lt;0,0,N(INDEX('CURVA PREVISION'!$A$1:$KZ$3000,$C51,11+3*MIN(AX$3,$D$2-1)))))</f>
        <v/>
      </c>
      <c r="AY51" s="123">
        <f>IF(OR($C51="",$B$2="",$D$2=0),0,IF(AY$3&lt;0,0,N(INDEX('CURVA PREVISION'!$A$1:$KZ$3000,$C51,11+3*MIN(AY$3,$D$2-1)))))</f>
        <v/>
      </c>
      <c r="AZ51" s="123">
        <f>IF(OR($C51="",$B$2="",$D$2=0),0,IF(AZ$3&lt;0,0,N(INDEX('CURVA PREVISION'!$A$1:$KZ$3000,$C51,11+3*MIN(AZ$3,$D$2-1)))))</f>
        <v/>
      </c>
      <c r="BA51" s="123">
        <f>IF(OR($C51="",$B$2="",$D$2=0),0,IF(BA$3&lt;0,0,N(INDEX('CURVA PREVISION'!$A$1:$KZ$3000,$C51,11+3*MIN(BA$3,$D$2-1)))))</f>
        <v/>
      </c>
      <c r="BB51" s="123">
        <f>IF(OR($C51="",$B$2="",$D$2=0),0,IF(BB$3&lt;0,0,N(INDEX('CURVA PREVISION'!$A$1:$KZ$3000,$C51,11+3*MIN(BB$3,$D$2-1)))))</f>
        <v/>
      </c>
      <c r="BC51" s="123">
        <f>IF(OR($C51="",$B$2="",$D$2=0),0,IF(BC$3&lt;0,0,N(INDEX('CURVA PREVISION'!$A$1:$KZ$3000,$C51,11+3*MIN(BC$3,$D$2-1)))))</f>
        <v/>
      </c>
      <c r="BD51" s="123">
        <f>IF(OR($C51="",$B$2="",$D$2=0),0,IF(BD$3&lt;0,0,N(INDEX('CURVA PREVISION'!$A$1:$KZ$3000,$C51,11+3*MIN(BD$3,$D$2-1)))))</f>
        <v/>
      </c>
      <c r="BE51" s="123">
        <f>IF(OR($C51="",$B$2="",$D$2=0),0,IF(BE$3&lt;0,0,N(INDEX('CURVA PREVISION'!$A$1:$KZ$3000,$C51,11+3*MIN(BE$3,$D$2-1)))))</f>
        <v/>
      </c>
      <c r="BF51" s="123">
        <f>IF(OR($C51="",$B$2="",$D$2=0),0,IF(BF$3&lt;0,0,N(INDEX('CURVA PREVISION'!$A$1:$KZ$3000,$C51,11+3*MIN(BF$3,$D$2-1)))))</f>
        <v/>
      </c>
      <c r="BG51" s="123">
        <f>IF(OR($C51="",$B$2="",$D$2=0),0,IF(BG$3&lt;0,0,N(INDEX('CURVA PREVISION'!$A$1:$KZ$3000,$C51,11+3*MIN(BG$3,$D$2-1)))))</f>
        <v/>
      </c>
      <c r="BH51" s="123">
        <f>IF(OR($C51="",$B$2="",$D$2=0),0,IF(BH$3&lt;0,0,N(INDEX('CURVA PREVISION'!$A$1:$KZ$3000,$C51,11+3*MIN(BH$3,$D$2-1)))))</f>
        <v/>
      </c>
      <c r="BI51" s="123">
        <f>IF(OR($C51="",$B$2="",$D$2=0),0,IF(BI$3&lt;0,0,N(INDEX('CURVA PREVISION'!$A$1:$KZ$3000,$C51,11+3*MIN(BI$3,$D$2-1)))))</f>
        <v/>
      </c>
      <c r="BJ51" s="123">
        <f>IF(OR($C51="",$B$2="",$D$2=0),0,IF(BJ$3&lt;0,0,N(INDEX('CURVA PREVISION'!$A$1:$KZ$3000,$C51,11+3*MIN(BJ$3,$D$2-1)))))</f>
        <v/>
      </c>
      <c r="BK51" s="123">
        <f>IF(OR($C51="",$B$2="",$D$2=0),0,IF(BK$3&lt;0,0,N(INDEX('CURVA PREVISION'!$A$1:$KZ$3000,$C51,11+3*MIN(BK$3,$D$2-1)))))</f>
        <v/>
      </c>
      <c r="BL51" s="123">
        <f>IF(OR($C51="",$B$2="",$D$2=0),0,IF(BL$3&lt;0,0,N(INDEX('CURVA PREVISION'!$A$1:$KZ$3000,$C51,11+3*MIN(BL$3,$D$2-1)))))</f>
        <v/>
      </c>
      <c r="BM51" s="123">
        <f>IF(OR($C51="",$B$2="",$D$2=0),0,IF(BM$3&lt;0,0,N(INDEX('CURVA PREVISION'!$A$1:$KZ$3000,$C51,11+3*MIN(BM$3,$D$2-1)))))</f>
        <v/>
      </c>
      <c r="BN51" s="123">
        <f>IF(OR($C51="",$B$2="",$D$2=0),0,IF(BN$3&lt;0,0,N(INDEX('CURVA PREVISION'!$A$1:$KZ$3000,$C51,11+3*MIN(BN$3,$D$2-1)))))</f>
        <v/>
      </c>
      <c r="BO51" s="123">
        <f>IF(OR($C51="",$B$2="",$D$2=0),0,IF(BO$3&lt;0,0,N(INDEX('CURVA PREVISION'!$A$1:$KZ$3000,$C51,11+3*MIN(BO$3,$D$2-1)))))</f>
        <v/>
      </c>
      <c r="BP51" s="123">
        <f>IF(OR($C51="",$B$2="",$D$2=0),0,IF(BP$3&lt;0,0,N(INDEX('CURVA PREVISION'!$A$1:$KZ$3000,$C51,11+3*MIN(BP$3,$D$2-1)))))</f>
        <v/>
      </c>
      <c r="BQ51" s="123">
        <f>IF(OR($C51="",$B$2="",$D$2=0),0,IF(BQ$3&lt;0,0,N(INDEX('CURVA PREVISION'!$A$1:$KZ$3000,$C51,11+3*MIN(BQ$3,$D$2-1)))))</f>
        <v/>
      </c>
      <c r="BR51" s="123">
        <f>IF(OR($C51="",$B$2="",$D$2=0),0,IF(BR$3&lt;0,0,N(INDEX('CURVA PREVISION'!$A$1:$KZ$3000,$C51,11+3*MIN(BR$3,$D$2-1)))))</f>
        <v/>
      </c>
      <c r="BS51" s="123">
        <f>IF(OR($C51="",$B$2="",$D$2=0),0,IF(BS$3&lt;0,0,N(INDEX('CURVA PREVISION'!$A$1:$KZ$3000,$C51,11+3*MIN(BS$3,$D$2-1)))))</f>
        <v/>
      </c>
      <c r="BT51" s="123">
        <f>IF(OR($C51="",$B$2="",$D$2=0),0,IF(BT$3&lt;0,0,N(INDEX('CURVA PREVISION'!$A$1:$KZ$3000,$C51,11+3*MIN(BT$3,$D$2-1)))))</f>
        <v/>
      </c>
      <c r="BU51" s="123">
        <f>IF(OR($C51="",$B$2="",$D$2=0),0,IF(BU$3&lt;0,0,N(INDEX('CURVA PREVISION'!$A$1:$KZ$3000,$C51,11+3*MIN(BU$3,$D$2-1)))))</f>
        <v/>
      </c>
      <c r="BV51" s="123">
        <f>IF(OR($C51="",$B$2="",$D$2=0),0,IF(BV$3&lt;0,0,N(INDEX('CURVA PREVISION'!$A$1:$KZ$3000,$C51,11+3*MIN(BV$3,$D$2-1)))))</f>
        <v/>
      </c>
      <c r="BW51" s="123">
        <f>IF(OR($C51="",$B$2="",$D$2=0),0,IF(BW$3&lt;0,0,N(INDEX('CURVA PREVISION'!$A$1:$KZ$3000,$C51,11+3*MIN(BW$3,$D$2-1)))))</f>
        <v/>
      </c>
    </row>
    <row r="52">
      <c r="A52" s="61">
        <f>IF('VALOR POR PL'!Q16="",'VALOR POR PL'!C16,'VALOR POR PL'!Q16)</f>
        <v/>
      </c>
      <c r="B52" s="51">
        <f>B10</f>
        <v/>
      </c>
      <c r="C52" s="70">
        <f>IFERROR(MATCH(A52,'CURVA PREVISION'!$B$1:$B$3000,0),"")</f>
        <v/>
      </c>
      <c r="D52" s="123">
        <f>IF(OR($C52="",$B$2="",$D$2=0),0,IF(D$3&lt;0,0,N(INDEX('CURVA PREVISION'!$A$1:$KZ$3000,$C52,11+3*MIN(D$3,$D$2-1)))))</f>
        <v/>
      </c>
      <c r="E52" s="123">
        <f>IF(OR($C52="",$B$2="",$D$2=0),0,IF(E$3&lt;0,0,N(INDEX('CURVA PREVISION'!$A$1:$KZ$3000,$C52,11+3*MIN(E$3,$D$2-1)))))</f>
        <v/>
      </c>
      <c r="F52" s="123">
        <f>IF(OR($C52="",$B$2="",$D$2=0),0,IF(F$3&lt;0,0,N(INDEX('CURVA PREVISION'!$A$1:$KZ$3000,$C52,11+3*MIN(F$3,$D$2-1)))))</f>
        <v/>
      </c>
      <c r="G52" s="123">
        <f>IF(OR($C52="",$B$2="",$D$2=0),0,IF(G$3&lt;0,0,N(INDEX('CURVA PREVISION'!$A$1:$KZ$3000,$C52,11+3*MIN(G$3,$D$2-1)))))</f>
        <v/>
      </c>
      <c r="H52" s="123">
        <f>IF(OR($C52="",$B$2="",$D$2=0),0,IF(H$3&lt;0,0,N(INDEX('CURVA PREVISION'!$A$1:$KZ$3000,$C52,11+3*MIN(H$3,$D$2-1)))))</f>
        <v/>
      </c>
      <c r="I52" s="123">
        <f>IF(OR($C52="",$B$2="",$D$2=0),0,IF(I$3&lt;0,0,N(INDEX('CURVA PREVISION'!$A$1:$KZ$3000,$C52,11+3*MIN(I$3,$D$2-1)))))</f>
        <v/>
      </c>
      <c r="J52" s="123">
        <f>IF(OR($C52="",$B$2="",$D$2=0),0,IF(J$3&lt;0,0,N(INDEX('CURVA PREVISION'!$A$1:$KZ$3000,$C52,11+3*MIN(J$3,$D$2-1)))))</f>
        <v/>
      </c>
      <c r="K52" s="123">
        <f>IF(OR($C52="",$B$2="",$D$2=0),0,IF(K$3&lt;0,0,N(INDEX('CURVA PREVISION'!$A$1:$KZ$3000,$C52,11+3*MIN(K$3,$D$2-1)))))</f>
        <v/>
      </c>
      <c r="L52" s="123">
        <f>IF(OR($C52="",$B$2="",$D$2=0),0,IF(L$3&lt;0,0,N(INDEX('CURVA PREVISION'!$A$1:$KZ$3000,$C52,11+3*MIN(L$3,$D$2-1)))))</f>
        <v/>
      </c>
      <c r="M52" s="123">
        <f>IF(OR($C52="",$B$2="",$D$2=0),0,IF(M$3&lt;0,0,N(INDEX('CURVA PREVISION'!$A$1:$KZ$3000,$C52,11+3*MIN(M$3,$D$2-1)))))</f>
        <v/>
      </c>
      <c r="N52" s="123">
        <f>IF(OR($C52="",$B$2="",$D$2=0),0,IF(N$3&lt;0,0,N(INDEX('CURVA PREVISION'!$A$1:$KZ$3000,$C52,11+3*MIN(N$3,$D$2-1)))))</f>
        <v/>
      </c>
      <c r="O52" s="123">
        <f>IF(OR($C52="",$B$2="",$D$2=0),0,IF(O$3&lt;0,0,N(INDEX('CURVA PREVISION'!$A$1:$KZ$3000,$C52,11+3*MIN(O$3,$D$2-1)))))</f>
        <v/>
      </c>
      <c r="P52" s="123">
        <f>IF(OR($C52="",$B$2="",$D$2=0),0,IF(P$3&lt;0,0,N(INDEX('CURVA PREVISION'!$A$1:$KZ$3000,$C52,11+3*MIN(P$3,$D$2-1)))))</f>
        <v/>
      </c>
      <c r="Q52" s="123">
        <f>IF(OR($C52="",$B$2="",$D$2=0),0,IF(Q$3&lt;0,0,N(INDEX('CURVA PREVISION'!$A$1:$KZ$3000,$C52,11+3*MIN(Q$3,$D$2-1)))))</f>
        <v/>
      </c>
      <c r="R52" s="123">
        <f>IF(OR($C52="",$B$2="",$D$2=0),0,IF(R$3&lt;0,0,N(INDEX('CURVA PREVISION'!$A$1:$KZ$3000,$C52,11+3*MIN(R$3,$D$2-1)))))</f>
        <v/>
      </c>
      <c r="S52" s="123">
        <f>IF(OR($C52="",$B$2="",$D$2=0),0,IF(S$3&lt;0,0,N(INDEX('CURVA PREVISION'!$A$1:$KZ$3000,$C52,11+3*MIN(S$3,$D$2-1)))))</f>
        <v/>
      </c>
      <c r="T52" s="123">
        <f>IF(OR($C52="",$B$2="",$D$2=0),0,IF(T$3&lt;0,0,N(INDEX('CURVA PREVISION'!$A$1:$KZ$3000,$C52,11+3*MIN(T$3,$D$2-1)))))</f>
        <v/>
      </c>
      <c r="U52" s="123">
        <f>IF(OR($C52="",$B$2="",$D$2=0),0,IF(U$3&lt;0,0,N(INDEX('CURVA PREVISION'!$A$1:$KZ$3000,$C52,11+3*MIN(U$3,$D$2-1)))))</f>
        <v/>
      </c>
      <c r="V52" s="123">
        <f>IF(OR($C52="",$B$2="",$D$2=0),0,IF(V$3&lt;0,0,N(INDEX('CURVA PREVISION'!$A$1:$KZ$3000,$C52,11+3*MIN(V$3,$D$2-1)))))</f>
        <v/>
      </c>
      <c r="W52" s="123">
        <f>IF(OR($C52="",$B$2="",$D$2=0),0,IF(W$3&lt;0,0,N(INDEX('CURVA PREVISION'!$A$1:$KZ$3000,$C52,11+3*MIN(W$3,$D$2-1)))))</f>
        <v/>
      </c>
      <c r="X52" s="123">
        <f>IF(OR($C52="",$B$2="",$D$2=0),0,IF(X$3&lt;0,0,N(INDEX('CURVA PREVISION'!$A$1:$KZ$3000,$C52,11+3*MIN(X$3,$D$2-1)))))</f>
        <v/>
      </c>
      <c r="Y52" s="123">
        <f>IF(OR($C52="",$B$2="",$D$2=0),0,IF(Y$3&lt;0,0,N(INDEX('CURVA PREVISION'!$A$1:$KZ$3000,$C52,11+3*MIN(Y$3,$D$2-1)))))</f>
        <v/>
      </c>
      <c r="Z52" s="123">
        <f>IF(OR($C52="",$B$2="",$D$2=0),0,IF(Z$3&lt;0,0,N(INDEX('CURVA PREVISION'!$A$1:$KZ$3000,$C52,11+3*MIN(Z$3,$D$2-1)))))</f>
        <v/>
      </c>
      <c r="AA52" s="123">
        <f>IF(OR($C52="",$B$2="",$D$2=0),0,IF(AA$3&lt;0,0,N(INDEX('CURVA PREVISION'!$A$1:$KZ$3000,$C52,11+3*MIN(AA$3,$D$2-1)))))</f>
        <v/>
      </c>
      <c r="AB52" s="123">
        <f>IF(OR($C52="",$B$2="",$D$2=0),0,IF(AB$3&lt;0,0,N(INDEX('CURVA PREVISION'!$A$1:$KZ$3000,$C52,11+3*MIN(AB$3,$D$2-1)))))</f>
        <v/>
      </c>
      <c r="AC52" s="123">
        <f>IF(OR($C52="",$B$2="",$D$2=0),0,IF(AC$3&lt;0,0,N(INDEX('CURVA PREVISION'!$A$1:$KZ$3000,$C52,11+3*MIN(AC$3,$D$2-1)))))</f>
        <v/>
      </c>
      <c r="AD52" s="123">
        <f>IF(OR($C52="",$B$2="",$D$2=0),0,IF(AD$3&lt;0,0,N(INDEX('CURVA PREVISION'!$A$1:$KZ$3000,$C52,11+3*MIN(AD$3,$D$2-1)))))</f>
        <v/>
      </c>
      <c r="AE52" s="123">
        <f>IF(OR($C52="",$B$2="",$D$2=0),0,IF(AE$3&lt;0,0,N(INDEX('CURVA PREVISION'!$A$1:$KZ$3000,$C52,11+3*MIN(AE$3,$D$2-1)))))</f>
        <v/>
      </c>
      <c r="AF52" s="123">
        <f>IF(OR($C52="",$B$2="",$D$2=0),0,IF(AF$3&lt;0,0,N(INDEX('CURVA PREVISION'!$A$1:$KZ$3000,$C52,11+3*MIN(AF$3,$D$2-1)))))</f>
        <v/>
      </c>
      <c r="AG52" s="123">
        <f>IF(OR($C52="",$B$2="",$D$2=0),0,IF(AG$3&lt;0,0,N(INDEX('CURVA PREVISION'!$A$1:$KZ$3000,$C52,11+3*MIN(AG$3,$D$2-1)))))</f>
        <v/>
      </c>
      <c r="AH52" s="123">
        <f>IF(OR($C52="",$B$2="",$D$2=0),0,IF(AH$3&lt;0,0,N(INDEX('CURVA PREVISION'!$A$1:$KZ$3000,$C52,11+3*MIN(AH$3,$D$2-1)))))</f>
        <v/>
      </c>
      <c r="AI52" s="123">
        <f>IF(OR($C52="",$B$2="",$D$2=0),0,IF(AI$3&lt;0,0,N(INDEX('CURVA PREVISION'!$A$1:$KZ$3000,$C52,11+3*MIN(AI$3,$D$2-1)))))</f>
        <v/>
      </c>
      <c r="AJ52" s="123">
        <f>IF(OR($C52="",$B$2="",$D$2=0),0,IF(AJ$3&lt;0,0,N(INDEX('CURVA PREVISION'!$A$1:$KZ$3000,$C52,11+3*MIN(AJ$3,$D$2-1)))))</f>
        <v/>
      </c>
      <c r="AK52" s="123">
        <f>IF(OR($C52="",$B$2="",$D$2=0),0,IF(AK$3&lt;0,0,N(INDEX('CURVA PREVISION'!$A$1:$KZ$3000,$C52,11+3*MIN(AK$3,$D$2-1)))))</f>
        <v/>
      </c>
      <c r="AL52" s="123">
        <f>IF(OR($C52="",$B$2="",$D$2=0),0,IF(AL$3&lt;0,0,N(INDEX('CURVA PREVISION'!$A$1:$KZ$3000,$C52,11+3*MIN(AL$3,$D$2-1)))))</f>
        <v/>
      </c>
      <c r="AM52" s="123">
        <f>IF(OR($C52="",$B$2="",$D$2=0),0,IF(AM$3&lt;0,0,N(INDEX('CURVA PREVISION'!$A$1:$KZ$3000,$C52,11+3*MIN(AM$3,$D$2-1)))))</f>
        <v/>
      </c>
      <c r="AN52" s="123">
        <f>IF(OR($C52="",$B$2="",$D$2=0),0,IF(AN$3&lt;0,0,N(INDEX('CURVA PREVISION'!$A$1:$KZ$3000,$C52,11+3*MIN(AN$3,$D$2-1)))))</f>
        <v/>
      </c>
      <c r="AO52" s="123">
        <f>IF(OR($C52="",$B$2="",$D$2=0),0,IF(AO$3&lt;0,0,N(INDEX('CURVA PREVISION'!$A$1:$KZ$3000,$C52,11+3*MIN(AO$3,$D$2-1)))))</f>
        <v/>
      </c>
      <c r="AP52" s="123">
        <f>IF(OR($C52="",$B$2="",$D$2=0),0,IF(AP$3&lt;0,0,N(INDEX('CURVA PREVISION'!$A$1:$KZ$3000,$C52,11+3*MIN(AP$3,$D$2-1)))))</f>
        <v/>
      </c>
      <c r="AQ52" s="123">
        <f>IF(OR($C52="",$B$2="",$D$2=0),0,IF(AQ$3&lt;0,0,N(INDEX('CURVA PREVISION'!$A$1:$KZ$3000,$C52,11+3*MIN(AQ$3,$D$2-1)))))</f>
        <v/>
      </c>
      <c r="AR52" s="123">
        <f>IF(OR($C52="",$B$2="",$D$2=0),0,IF(AR$3&lt;0,0,N(INDEX('CURVA PREVISION'!$A$1:$KZ$3000,$C52,11+3*MIN(AR$3,$D$2-1)))))</f>
        <v/>
      </c>
      <c r="AS52" s="123">
        <f>IF(OR($C52="",$B$2="",$D$2=0),0,IF(AS$3&lt;0,0,N(INDEX('CURVA PREVISION'!$A$1:$KZ$3000,$C52,11+3*MIN(AS$3,$D$2-1)))))</f>
        <v/>
      </c>
      <c r="AT52" s="123">
        <f>IF(OR($C52="",$B$2="",$D$2=0),0,IF(AT$3&lt;0,0,N(INDEX('CURVA PREVISION'!$A$1:$KZ$3000,$C52,11+3*MIN(AT$3,$D$2-1)))))</f>
        <v/>
      </c>
      <c r="AU52" s="123">
        <f>IF(OR($C52="",$B$2="",$D$2=0),0,IF(AU$3&lt;0,0,N(INDEX('CURVA PREVISION'!$A$1:$KZ$3000,$C52,11+3*MIN(AU$3,$D$2-1)))))</f>
        <v/>
      </c>
      <c r="AV52" s="123">
        <f>IF(OR($C52="",$B$2="",$D$2=0),0,IF(AV$3&lt;0,0,N(INDEX('CURVA PREVISION'!$A$1:$KZ$3000,$C52,11+3*MIN(AV$3,$D$2-1)))))</f>
        <v/>
      </c>
      <c r="AW52" s="123">
        <f>IF(OR($C52="",$B$2="",$D$2=0),0,IF(AW$3&lt;0,0,N(INDEX('CURVA PREVISION'!$A$1:$KZ$3000,$C52,11+3*MIN(AW$3,$D$2-1)))))</f>
        <v/>
      </c>
      <c r="AX52" s="123">
        <f>IF(OR($C52="",$B$2="",$D$2=0),0,IF(AX$3&lt;0,0,N(INDEX('CURVA PREVISION'!$A$1:$KZ$3000,$C52,11+3*MIN(AX$3,$D$2-1)))))</f>
        <v/>
      </c>
      <c r="AY52" s="123">
        <f>IF(OR($C52="",$B$2="",$D$2=0),0,IF(AY$3&lt;0,0,N(INDEX('CURVA PREVISION'!$A$1:$KZ$3000,$C52,11+3*MIN(AY$3,$D$2-1)))))</f>
        <v/>
      </c>
      <c r="AZ52" s="123">
        <f>IF(OR($C52="",$B$2="",$D$2=0),0,IF(AZ$3&lt;0,0,N(INDEX('CURVA PREVISION'!$A$1:$KZ$3000,$C52,11+3*MIN(AZ$3,$D$2-1)))))</f>
        <v/>
      </c>
      <c r="BA52" s="123">
        <f>IF(OR($C52="",$B$2="",$D$2=0),0,IF(BA$3&lt;0,0,N(INDEX('CURVA PREVISION'!$A$1:$KZ$3000,$C52,11+3*MIN(BA$3,$D$2-1)))))</f>
        <v/>
      </c>
      <c r="BB52" s="123">
        <f>IF(OR($C52="",$B$2="",$D$2=0),0,IF(BB$3&lt;0,0,N(INDEX('CURVA PREVISION'!$A$1:$KZ$3000,$C52,11+3*MIN(BB$3,$D$2-1)))))</f>
        <v/>
      </c>
      <c r="BC52" s="123">
        <f>IF(OR($C52="",$B$2="",$D$2=0),0,IF(BC$3&lt;0,0,N(INDEX('CURVA PREVISION'!$A$1:$KZ$3000,$C52,11+3*MIN(BC$3,$D$2-1)))))</f>
        <v/>
      </c>
      <c r="BD52" s="123">
        <f>IF(OR($C52="",$B$2="",$D$2=0),0,IF(BD$3&lt;0,0,N(INDEX('CURVA PREVISION'!$A$1:$KZ$3000,$C52,11+3*MIN(BD$3,$D$2-1)))))</f>
        <v/>
      </c>
      <c r="BE52" s="123">
        <f>IF(OR($C52="",$B$2="",$D$2=0),0,IF(BE$3&lt;0,0,N(INDEX('CURVA PREVISION'!$A$1:$KZ$3000,$C52,11+3*MIN(BE$3,$D$2-1)))))</f>
        <v/>
      </c>
      <c r="BF52" s="123">
        <f>IF(OR($C52="",$B$2="",$D$2=0),0,IF(BF$3&lt;0,0,N(INDEX('CURVA PREVISION'!$A$1:$KZ$3000,$C52,11+3*MIN(BF$3,$D$2-1)))))</f>
        <v/>
      </c>
      <c r="BG52" s="123">
        <f>IF(OR($C52="",$B$2="",$D$2=0),0,IF(BG$3&lt;0,0,N(INDEX('CURVA PREVISION'!$A$1:$KZ$3000,$C52,11+3*MIN(BG$3,$D$2-1)))))</f>
        <v/>
      </c>
      <c r="BH52" s="123">
        <f>IF(OR($C52="",$B$2="",$D$2=0),0,IF(BH$3&lt;0,0,N(INDEX('CURVA PREVISION'!$A$1:$KZ$3000,$C52,11+3*MIN(BH$3,$D$2-1)))))</f>
        <v/>
      </c>
      <c r="BI52" s="123">
        <f>IF(OR($C52="",$B$2="",$D$2=0),0,IF(BI$3&lt;0,0,N(INDEX('CURVA PREVISION'!$A$1:$KZ$3000,$C52,11+3*MIN(BI$3,$D$2-1)))))</f>
        <v/>
      </c>
      <c r="BJ52" s="123">
        <f>IF(OR($C52="",$B$2="",$D$2=0),0,IF(BJ$3&lt;0,0,N(INDEX('CURVA PREVISION'!$A$1:$KZ$3000,$C52,11+3*MIN(BJ$3,$D$2-1)))))</f>
        <v/>
      </c>
      <c r="BK52" s="123">
        <f>IF(OR($C52="",$B$2="",$D$2=0),0,IF(BK$3&lt;0,0,N(INDEX('CURVA PREVISION'!$A$1:$KZ$3000,$C52,11+3*MIN(BK$3,$D$2-1)))))</f>
        <v/>
      </c>
      <c r="BL52" s="123">
        <f>IF(OR($C52="",$B$2="",$D$2=0),0,IF(BL$3&lt;0,0,N(INDEX('CURVA PREVISION'!$A$1:$KZ$3000,$C52,11+3*MIN(BL$3,$D$2-1)))))</f>
        <v/>
      </c>
      <c r="BM52" s="123">
        <f>IF(OR($C52="",$B$2="",$D$2=0),0,IF(BM$3&lt;0,0,N(INDEX('CURVA PREVISION'!$A$1:$KZ$3000,$C52,11+3*MIN(BM$3,$D$2-1)))))</f>
        <v/>
      </c>
      <c r="BN52" s="123">
        <f>IF(OR($C52="",$B$2="",$D$2=0),0,IF(BN$3&lt;0,0,N(INDEX('CURVA PREVISION'!$A$1:$KZ$3000,$C52,11+3*MIN(BN$3,$D$2-1)))))</f>
        <v/>
      </c>
      <c r="BO52" s="123">
        <f>IF(OR($C52="",$B$2="",$D$2=0),0,IF(BO$3&lt;0,0,N(INDEX('CURVA PREVISION'!$A$1:$KZ$3000,$C52,11+3*MIN(BO$3,$D$2-1)))))</f>
        <v/>
      </c>
      <c r="BP52" s="123">
        <f>IF(OR($C52="",$B$2="",$D$2=0),0,IF(BP$3&lt;0,0,N(INDEX('CURVA PREVISION'!$A$1:$KZ$3000,$C52,11+3*MIN(BP$3,$D$2-1)))))</f>
        <v/>
      </c>
      <c r="BQ52" s="123">
        <f>IF(OR($C52="",$B$2="",$D$2=0),0,IF(BQ$3&lt;0,0,N(INDEX('CURVA PREVISION'!$A$1:$KZ$3000,$C52,11+3*MIN(BQ$3,$D$2-1)))))</f>
        <v/>
      </c>
      <c r="BR52" s="123">
        <f>IF(OR($C52="",$B$2="",$D$2=0),0,IF(BR$3&lt;0,0,N(INDEX('CURVA PREVISION'!$A$1:$KZ$3000,$C52,11+3*MIN(BR$3,$D$2-1)))))</f>
        <v/>
      </c>
      <c r="BS52" s="123">
        <f>IF(OR($C52="",$B$2="",$D$2=0),0,IF(BS$3&lt;0,0,N(INDEX('CURVA PREVISION'!$A$1:$KZ$3000,$C52,11+3*MIN(BS$3,$D$2-1)))))</f>
        <v/>
      </c>
      <c r="BT52" s="123">
        <f>IF(OR($C52="",$B$2="",$D$2=0),0,IF(BT$3&lt;0,0,N(INDEX('CURVA PREVISION'!$A$1:$KZ$3000,$C52,11+3*MIN(BT$3,$D$2-1)))))</f>
        <v/>
      </c>
      <c r="BU52" s="123">
        <f>IF(OR($C52="",$B$2="",$D$2=0),0,IF(BU$3&lt;0,0,N(INDEX('CURVA PREVISION'!$A$1:$KZ$3000,$C52,11+3*MIN(BU$3,$D$2-1)))))</f>
        <v/>
      </c>
      <c r="BV52" s="123">
        <f>IF(OR($C52="",$B$2="",$D$2=0),0,IF(BV$3&lt;0,0,N(INDEX('CURVA PREVISION'!$A$1:$KZ$3000,$C52,11+3*MIN(BV$3,$D$2-1)))))</f>
        <v/>
      </c>
      <c r="BW52" s="123">
        <f>IF(OR($C52="",$B$2="",$D$2=0),0,IF(BW$3&lt;0,0,N(INDEX('CURVA PREVISION'!$A$1:$KZ$3000,$C52,11+3*MIN(BW$3,$D$2-1)))))</f>
        <v/>
      </c>
    </row>
    <row r="53">
      <c r="A53" s="61">
        <f>IF('VALOR POR PL'!Q17="",'VALOR POR PL'!C17,'VALOR POR PL'!Q17)</f>
        <v/>
      </c>
      <c r="B53" s="51">
        <f>B11</f>
        <v/>
      </c>
      <c r="C53" s="70">
        <f>IFERROR(MATCH(A53,'CURVA PREVISION'!$B$1:$B$3000,0),"")</f>
        <v/>
      </c>
      <c r="D53" s="123">
        <f>IF(OR($C53="",$B$2="",$D$2=0),0,IF(D$3&lt;0,0,N(INDEX('CURVA PREVISION'!$A$1:$KZ$3000,$C53,11+3*MIN(D$3,$D$2-1)))))</f>
        <v/>
      </c>
      <c r="E53" s="123">
        <f>IF(OR($C53="",$B$2="",$D$2=0),0,IF(E$3&lt;0,0,N(INDEX('CURVA PREVISION'!$A$1:$KZ$3000,$C53,11+3*MIN(E$3,$D$2-1)))))</f>
        <v/>
      </c>
      <c r="F53" s="123">
        <f>IF(OR($C53="",$B$2="",$D$2=0),0,IF(F$3&lt;0,0,N(INDEX('CURVA PREVISION'!$A$1:$KZ$3000,$C53,11+3*MIN(F$3,$D$2-1)))))</f>
        <v/>
      </c>
      <c r="G53" s="123">
        <f>IF(OR($C53="",$B$2="",$D$2=0),0,IF(G$3&lt;0,0,N(INDEX('CURVA PREVISION'!$A$1:$KZ$3000,$C53,11+3*MIN(G$3,$D$2-1)))))</f>
        <v/>
      </c>
      <c r="H53" s="123">
        <f>IF(OR($C53="",$B$2="",$D$2=0),0,IF(H$3&lt;0,0,N(INDEX('CURVA PREVISION'!$A$1:$KZ$3000,$C53,11+3*MIN(H$3,$D$2-1)))))</f>
        <v/>
      </c>
      <c r="I53" s="123">
        <f>IF(OR($C53="",$B$2="",$D$2=0),0,IF(I$3&lt;0,0,N(INDEX('CURVA PREVISION'!$A$1:$KZ$3000,$C53,11+3*MIN(I$3,$D$2-1)))))</f>
        <v/>
      </c>
      <c r="J53" s="123">
        <f>IF(OR($C53="",$B$2="",$D$2=0),0,IF(J$3&lt;0,0,N(INDEX('CURVA PREVISION'!$A$1:$KZ$3000,$C53,11+3*MIN(J$3,$D$2-1)))))</f>
        <v/>
      </c>
      <c r="K53" s="123">
        <f>IF(OR($C53="",$B$2="",$D$2=0),0,IF(K$3&lt;0,0,N(INDEX('CURVA PREVISION'!$A$1:$KZ$3000,$C53,11+3*MIN(K$3,$D$2-1)))))</f>
        <v/>
      </c>
      <c r="L53" s="123">
        <f>IF(OR($C53="",$B$2="",$D$2=0),0,IF(L$3&lt;0,0,N(INDEX('CURVA PREVISION'!$A$1:$KZ$3000,$C53,11+3*MIN(L$3,$D$2-1)))))</f>
        <v/>
      </c>
      <c r="M53" s="123">
        <f>IF(OR($C53="",$B$2="",$D$2=0),0,IF(M$3&lt;0,0,N(INDEX('CURVA PREVISION'!$A$1:$KZ$3000,$C53,11+3*MIN(M$3,$D$2-1)))))</f>
        <v/>
      </c>
      <c r="N53" s="123">
        <f>IF(OR($C53="",$B$2="",$D$2=0),0,IF(N$3&lt;0,0,N(INDEX('CURVA PREVISION'!$A$1:$KZ$3000,$C53,11+3*MIN(N$3,$D$2-1)))))</f>
        <v/>
      </c>
      <c r="O53" s="123">
        <f>IF(OR($C53="",$B$2="",$D$2=0),0,IF(O$3&lt;0,0,N(INDEX('CURVA PREVISION'!$A$1:$KZ$3000,$C53,11+3*MIN(O$3,$D$2-1)))))</f>
        <v/>
      </c>
      <c r="P53" s="123">
        <f>IF(OR($C53="",$B$2="",$D$2=0),0,IF(P$3&lt;0,0,N(INDEX('CURVA PREVISION'!$A$1:$KZ$3000,$C53,11+3*MIN(P$3,$D$2-1)))))</f>
        <v/>
      </c>
      <c r="Q53" s="123">
        <f>IF(OR($C53="",$B$2="",$D$2=0),0,IF(Q$3&lt;0,0,N(INDEX('CURVA PREVISION'!$A$1:$KZ$3000,$C53,11+3*MIN(Q$3,$D$2-1)))))</f>
        <v/>
      </c>
      <c r="R53" s="123">
        <f>IF(OR($C53="",$B$2="",$D$2=0),0,IF(R$3&lt;0,0,N(INDEX('CURVA PREVISION'!$A$1:$KZ$3000,$C53,11+3*MIN(R$3,$D$2-1)))))</f>
        <v/>
      </c>
      <c r="S53" s="123">
        <f>IF(OR($C53="",$B$2="",$D$2=0),0,IF(S$3&lt;0,0,N(INDEX('CURVA PREVISION'!$A$1:$KZ$3000,$C53,11+3*MIN(S$3,$D$2-1)))))</f>
        <v/>
      </c>
      <c r="T53" s="123">
        <f>IF(OR($C53="",$B$2="",$D$2=0),0,IF(T$3&lt;0,0,N(INDEX('CURVA PREVISION'!$A$1:$KZ$3000,$C53,11+3*MIN(T$3,$D$2-1)))))</f>
        <v/>
      </c>
      <c r="U53" s="123">
        <f>IF(OR($C53="",$B$2="",$D$2=0),0,IF(U$3&lt;0,0,N(INDEX('CURVA PREVISION'!$A$1:$KZ$3000,$C53,11+3*MIN(U$3,$D$2-1)))))</f>
        <v/>
      </c>
      <c r="V53" s="123">
        <f>IF(OR($C53="",$B$2="",$D$2=0),0,IF(V$3&lt;0,0,N(INDEX('CURVA PREVISION'!$A$1:$KZ$3000,$C53,11+3*MIN(V$3,$D$2-1)))))</f>
        <v/>
      </c>
      <c r="W53" s="123">
        <f>IF(OR($C53="",$B$2="",$D$2=0),0,IF(W$3&lt;0,0,N(INDEX('CURVA PREVISION'!$A$1:$KZ$3000,$C53,11+3*MIN(W$3,$D$2-1)))))</f>
        <v/>
      </c>
      <c r="X53" s="123">
        <f>IF(OR($C53="",$B$2="",$D$2=0),0,IF(X$3&lt;0,0,N(INDEX('CURVA PREVISION'!$A$1:$KZ$3000,$C53,11+3*MIN(X$3,$D$2-1)))))</f>
        <v/>
      </c>
      <c r="Y53" s="123">
        <f>IF(OR($C53="",$B$2="",$D$2=0),0,IF(Y$3&lt;0,0,N(INDEX('CURVA PREVISION'!$A$1:$KZ$3000,$C53,11+3*MIN(Y$3,$D$2-1)))))</f>
        <v/>
      </c>
      <c r="Z53" s="123">
        <f>IF(OR($C53="",$B$2="",$D$2=0),0,IF(Z$3&lt;0,0,N(INDEX('CURVA PREVISION'!$A$1:$KZ$3000,$C53,11+3*MIN(Z$3,$D$2-1)))))</f>
        <v/>
      </c>
      <c r="AA53" s="123">
        <f>IF(OR($C53="",$B$2="",$D$2=0),0,IF(AA$3&lt;0,0,N(INDEX('CURVA PREVISION'!$A$1:$KZ$3000,$C53,11+3*MIN(AA$3,$D$2-1)))))</f>
        <v/>
      </c>
      <c r="AB53" s="123">
        <f>IF(OR($C53="",$B$2="",$D$2=0),0,IF(AB$3&lt;0,0,N(INDEX('CURVA PREVISION'!$A$1:$KZ$3000,$C53,11+3*MIN(AB$3,$D$2-1)))))</f>
        <v/>
      </c>
      <c r="AC53" s="123">
        <f>IF(OR($C53="",$B$2="",$D$2=0),0,IF(AC$3&lt;0,0,N(INDEX('CURVA PREVISION'!$A$1:$KZ$3000,$C53,11+3*MIN(AC$3,$D$2-1)))))</f>
        <v/>
      </c>
      <c r="AD53" s="123">
        <f>IF(OR($C53="",$B$2="",$D$2=0),0,IF(AD$3&lt;0,0,N(INDEX('CURVA PREVISION'!$A$1:$KZ$3000,$C53,11+3*MIN(AD$3,$D$2-1)))))</f>
        <v/>
      </c>
      <c r="AE53" s="123">
        <f>IF(OR($C53="",$B$2="",$D$2=0),0,IF(AE$3&lt;0,0,N(INDEX('CURVA PREVISION'!$A$1:$KZ$3000,$C53,11+3*MIN(AE$3,$D$2-1)))))</f>
        <v/>
      </c>
      <c r="AF53" s="123">
        <f>IF(OR($C53="",$B$2="",$D$2=0),0,IF(AF$3&lt;0,0,N(INDEX('CURVA PREVISION'!$A$1:$KZ$3000,$C53,11+3*MIN(AF$3,$D$2-1)))))</f>
        <v/>
      </c>
      <c r="AG53" s="123">
        <f>IF(OR($C53="",$B$2="",$D$2=0),0,IF(AG$3&lt;0,0,N(INDEX('CURVA PREVISION'!$A$1:$KZ$3000,$C53,11+3*MIN(AG$3,$D$2-1)))))</f>
        <v/>
      </c>
      <c r="AH53" s="123">
        <f>IF(OR($C53="",$B$2="",$D$2=0),0,IF(AH$3&lt;0,0,N(INDEX('CURVA PREVISION'!$A$1:$KZ$3000,$C53,11+3*MIN(AH$3,$D$2-1)))))</f>
        <v/>
      </c>
      <c r="AI53" s="123">
        <f>IF(OR($C53="",$B$2="",$D$2=0),0,IF(AI$3&lt;0,0,N(INDEX('CURVA PREVISION'!$A$1:$KZ$3000,$C53,11+3*MIN(AI$3,$D$2-1)))))</f>
        <v/>
      </c>
      <c r="AJ53" s="123">
        <f>IF(OR($C53="",$B$2="",$D$2=0),0,IF(AJ$3&lt;0,0,N(INDEX('CURVA PREVISION'!$A$1:$KZ$3000,$C53,11+3*MIN(AJ$3,$D$2-1)))))</f>
        <v/>
      </c>
      <c r="AK53" s="123">
        <f>IF(OR($C53="",$B$2="",$D$2=0),0,IF(AK$3&lt;0,0,N(INDEX('CURVA PREVISION'!$A$1:$KZ$3000,$C53,11+3*MIN(AK$3,$D$2-1)))))</f>
        <v/>
      </c>
      <c r="AL53" s="123">
        <f>IF(OR($C53="",$B$2="",$D$2=0),0,IF(AL$3&lt;0,0,N(INDEX('CURVA PREVISION'!$A$1:$KZ$3000,$C53,11+3*MIN(AL$3,$D$2-1)))))</f>
        <v/>
      </c>
      <c r="AM53" s="123">
        <f>IF(OR($C53="",$B$2="",$D$2=0),0,IF(AM$3&lt;0,0,N(INDEX('CURVA PREVISION'!$A$1:$KZ$3000,$C53,11+3*MIN(AM$3,$D$2-1)))))</f>
        <v/>
      </c>
      <c r="AN53" s="123">
        <f>IF(OR($C53="",$B$2="",$D$2=0),0,IF(AN$3&lt;0,0,N(INDEX('CURVA PREVISION'!$A$1:$KZ$3000,$C53,11+3*MIN(AN$3,$D$2-1)))))</f>
        <v/>
      </c>
      <c r="AO53" s="123">
        <f>IF(OR($C53="",$B$2="",$D$2=0),0,IF(AO$3&lt;0,0,N(INDEX('CURVA PREVISION'!$A$1:$KZ$3000,$C53,11+3*MIN(AO$3,$D$2-1)))))</f>
        <v/>
      </c>
      <c r="AP53" s="123">
        <f>IF(OR($C53="",$B$2="",$D$2=0),0,IF(AP$3&lt;0,0,N(INDEX('CURVA PREVISION'!$A$1:$KZ$3000,$C53,11+3*MIN(AP$3,$D$2-1)))))</f>
        <v/>
      </c>
      <c r="AQ53" s="123">
        <f>IF(OR($C53="",$B$2="",$D$2=0),0,IF(AQ$3&lt;0,0,N(INDEX('CURVA PREVISION'!$A$1:$KZ$3000,$C53,11+3*MIN(AQ$3,$D$2-1)))))</f>
        <v/>
      </c>
      <c r="AR53" s="123">
        <f>IF(OR($C53="",$B$2="",$D$2=0),0,IF(AR$3&lt;0,0,N(INDEX('CURVA PREVISION'!$A$1:$KZ$3000,$C53,11+3*MIN(AR$3,$D$2-1)))))</f>
        <v/>
      </c>
      <c r="AS53" s="123">
        <f>IF(OR($C53="",$B$2="",$D$2=0),0,IF(AS$3&lt;0,0,N(INDEX('CURVA PREVISION'!$A$1:$KZ$3000,$C53,11+3*MIN(AS$3,$D$2-1)))))</f>
        <v/>
      </c>
      <c r="AT53" s="123">
        <f>IF(OR($C53="",$B$2="",$D$2=0),0,IF(AT$3&lt;0,0,N(INDEX('CURVA PREVISION'!$A$1:$KZ$3000,$C53,11+3*MIN(AT$3,$D$2-1)))))</f>
        <v/>
      </c>
      <c r="AU53" s="123">
        <f>IF(OR($C53="",$B$2="",$D$2=0),0,IF(AU$3&lt;0,0,N(INDEX('CURVA PREVISION'!$A$1:$KZ$3000,$C53,11+3*MIN(AU$3,$D$2-1)))))</f>
        <v/>
      </c>
      <c r="AV53" s="123">
        <f>IF(OR($C53="",$B$2="",$D$2=0),0,IF(AV$3&lt;0,0,N(INDEX('CURVA PREVISION'!$A$1:$KZ$3000,$C53,11+3*MIN(AV$3,$D$2-1)))))</f>
        <v/>
      </c>
      <c r="AW53" s="123">
        <f>IF(OR($C53="",$B$2="",$D$2=0),0,IF(AW$3&lt;0,0,N(INDEX('CURVA PREVISION'!$A$1:$KZ$3000,$C53,11+3*MIN(AW$3,$D$2-1)))))</f>
        <v/>
      </c>
      <c r="AX53" s="123">
        <f>IF(OR($C53="",$B$2="",$D$2=0),0,IF(AX$3&lt;0,0,N(INDEX('CURVA PREVISION'!$A$1:$KZ$3000,$C53,11+3*MIN(AX$3,$D$2-1)))))</f>
        <v/>
      </c>
      <c r="AY53" s="123">
        <f>IF(OR($C53="",$B$2="",$D$2=0),0,IF(AY$3&lt;0,0,N(INDEX('CURVA PREVISION'!$A$1:$KZ$3000,$C53,11+3*MIN(AY$3,$D$2-1)))))</f>
        <v/>
      </c>
      <c r="AZ53" s="123">
        <f>IF(OR($C53="",$B$2="",$D$2=0),0,IF(AZ$3&lt;0,0,N(INDEX('CURVA PREVISION'!$A$1:$KZ$3000,$C53,11+3*MIN(AZ$3,$D$2-1)))))</f>
        <v/>
      </c>
      <c r="BA53" s="123">
        <f>IF(OR($C53="",$B$2="",$D$2=0),0,IF(BA$3&lt;0,0,N(INDEX('CURVA PREVISION'!$A$1:$KZ$3000,$C53,11+3*MIN(BA$3,$D$2-1)))))</f>
        <v/>
      </c>
      <c r="BB53" s="123">
        <f>IF(OR($C53="",$B$2="",$D$2=0),0,IF(BB$3&lt;0,0,N(INDEX('CURVA PREVISION'!$A$1:$KZ$3000,$C53,11+3*MIN(BB$3,$D$2-1)))))</f>
        <v/>
      </c>
      <c r="BC53" s="123">
        <f>IF(OR($C53="",$B$2="",$D$2=0),0,IF(BC$3&lt;0,0,N(INDEX('CURVA PREVISION'!$A$1:$KZ$3000,$C53,11+3*MIN(BC$3,$D$2-1)))))</f>
        <v/>
      </c>
      <c r="BD53" s="123">
        <f>IF(OR($C53="",$B$2="",$D$2=0),0,IF(BD$3&lt;0,0,N(INDEX('CURVA PREVISION'!$A$1:$KZ$3000,$C53,11+3*MIN(BD$3,$D$2-1)))))</f>
        <v/>
      </c>
      <c r="BE53" s="123">
        <f>IF(OR($C53="",$B$2="",$D$2=0),0,IF(BE$3&lt;0,0,N(INDEX('CURVA PREVISION'!$A$1:$KZ$3000,$C53,11+3*MIN(BE$3,$D$2-1)))))</f>
        <v/>
      </c>
      <c r="BF53" s="123">
        <f>IF(OR($C53="",$B$2="",$D$2=0),0,IF(BF$3&lt;0,0,N(INDEX('CURVA PREVISION'!$A$1:$KZ$3000,$C53,11+3*MIN(BF$3,$D$2-1)))))</f>
        <v/>
      </c>
      <c r="BG53" s="123">
        <f>IF(OR($C53="",$B$2="",$D$2=0),0,IF(BG$3&lt;0,0,N(INDEX('CURVA PREVISION'!$A$1:$KZ$3000,$C53,11+3*MIN(BG$3,$D$2-1)))))</f>
        <v/>
      </c>
      <c r="BH53" s="123">
        <f>IF(OR($C53="",$B$2="",$D$2=0),0,IF(BH$3&lt;0,0,N(INDEX('CURVA PREVISION'!$A$1:$KZ$3000,$C53,11+3*MIN(BH$3,$D$2-1)))))</f>
        <v/>
      </c>
      <c r="BI53" s="123">
        <f>IF(OR($C53="",$B$2="",$D$2=0),0,IF(BI$3&lt;0,0,N(INDEX('CURVA PREVISION'!$A$1:$KZ$3000,$C53,11+3*MIN(BI$3,$D$2-1)))))</f>
        <v/>
      </c>
      <c r="BJ53" s="123">
        <f>IF(OR($C53="",$B$2="",$D$2=0),0,IF(BJ$3&lt;0,0,N(INDEX('CURVA PREVISION'!$A$1:$KZ$3000,$C53,11+3*MIN(BJ$3,$D$2-1)))))</f>
        <v/>
      </c>
      <c r="BK53" s="123">
        <f>IF(OR($C53="",$B$2="",$D$2=0),0,IF(BK$3&lt;0,0,N(INDEX('CURVA PREVISION'!$A$1:$KZ$3000,$C53,11+3*MIN(BK$3,$D$2-1)))))</f>
        <v/>
      </c>
      <c r="BL53" s="123">
        <f>IF(OR($C53="",$B$2="",$D$2=0),0,IF(BL$3&lt;0,0,N(INDEX('CURVA PREVISION'!$A$1:$KZ$3000,$C53,11+3*MIN(BL$3,$D$2-1)))))</f>
        <v/>
      </c>
      <c r="BM53" s="123">
        <f>IF(OR($C53="",$B$2="",$D$2=0),0,IF(BM$3&lt;0,0,N(INDEX('CURVA PREVISION'!$A$1:$KZ$3000,$C53,11+3*MIN(BM$3,$D$2-1)))))</f>
        <v/>
      </c>
      <c r="BN53" s="123">
        <f>IF(OR($C53="",$B$2="",$D$2=0),0,IF(BN$3&lt;0,0,N(INDEX('CURVA PREVISION'!$A$1:$KZ$3000,$C53,11+3*MIN(BN$3,$D$2-1)))))</f>
        <v/>
      </c>
      <c r="BO53" s="123">
        <f>IF(OR($C53="",$B$2="",$D$2=0),0,IF(BO$3&lt;0,0,N(INDEX('CURVA PREVISION'!$A$1:$KZ$3000,$C53,11+3*MIN(BO$3,$D$2-1)))))</f>
        <v/>
      </c>
      <c r="BP53" s="123">
        <f>IF(OR($C53="",$B$2="",$D$2=0),0,IF(BP$3&lt;0,0,N(INDEX('CURVA PREVISION'!$A$1:$KZ$3000,$C53,11+3*MIN(BP$3,$D$2-1)))))</f>
        <v/>
      </c>
      <c r="BQ53" s="123">
        <f>IF(OR($C53="",$B$2="",$D$2=0),0,IF(BQ$3&lt;0,0,N(INDEX('CURVA PREVISION'!$A$1:$KZ$3000,$C53,11+3*MIN(BQ$3,$D$2-1)))))</f>
        <v/>
      </c>
      <c r="BR53" s="123">
        <f>IF(OR($C53="",$B$2="",$D$2=0),0,IF(BR$3&lt;0,0,N(INDEX('CURVA PREVISION'!$A$1:$KZ$3000,$C53,11+3*MIN(BR$3,$D$2-1)))))</f>
        <v/>
      </c>
      <c r="BS53" s="123">
        <f>IF(OR($C53="",$B$2="",$D$2=0),0,IF(BS$3&lt;0,0,N(INDEX('CURVA PREVISION'!$A$1:$KZ$3000,$C53,11+3*MIN(BS$3,$D$2-1)))))</f>
        <v/>
      </c>
      <c r="BT53" s="123">
        <f>IF(OR($C53="",$B$2="",$D$2=0),0,IF(BT$3&lt;0,0,N(INDEX('CURVA PREVISION'!$A$1:$KZ$3000,$C53,11+3*MIN(BT$3,$D$2-1)))))</f>
        <v/>
      </c>
      <c r="BU53" s="123">
        <f>IF(OR($C53="",$B$2="",$D$2=0),0,IF(BU$3&lt;0,0,N(INDEX('CURVA PREVISION'!$A$1:$KZ$3000,$C53,11+3*MIN(BU$3,$D$2-1)))))</f>
        <v/>
      </c>
      <c r="BV53" s="123">
        <f>IF(OR($C53="",$B$2="",$D$2=0),0,IF(BV$3&lt;0,0,N(INDEX('CURVA PREVISION'!$A$1:$KZ$3000,$C53,11+3*MIN(BV$3,$D$2-1)))))</f>
        <v/>
      </c>
      <c r="BW53" s="123">
        <f>IF(OR($C53="",$B$2="",$D$2=0),0,IF(BW$3&lt;0,0,N(INDEX('CURVA PREVISION'!$A$1:$KZ$3000,$C53,11+3*MIN(BW$3,$D$2-1)))))</f>
        <v/>
      </c>
    </row>
    <row r="54">
      <c r="A54" s="61">
        <f>IF('VALOR POR PL'!Q18="",'VALOR POR PL'!C18,'VALOR POR PL'!Q18)</f>
        <v/>
      </c>
      <c r="B54" s="51">
        <f>B12</f>
        <v/>
      </c>
      <c r="C54" s="70">
        <f>IFERROR(MATCH(A54,'CURVA PREVISION'!$B$1:$B$3000,0),"")</f>
        <v/>
      </c>
      <c r="D54" s="123">
        <f>IF(OR($C54="",$B$2="",$D$2=0),0,IF(D$3&lt;0,0,N(INDEX('CURVA PREVISION'!$A$1:$KZ$3000,$C54,11+3*MIN(D$3,$D$2-1)))))</f>
        <v/>
      </c>
      <c r="E54" s="123">
        <f>IF(OR($C54="",$B$2="",$D$2=0),0,IF(E$3&lt;0,0,N(INDEX('CURVA PREVISION'!$A$1:$KZ$3000,$C54,11+3*MIN(E$3,$D$2-1)))))</f>
        <v/>
      </c>
      <c r="F54" s="123">
        <f>IF(OR($C54="",$B$2="",$D$2=0),0,IF(F$3&lt;0,0,N(INDEX('CURVA PREVISION'!$A$1:$KZ$3000,$C54,11+3*MIN(F$3,$D$2-1)))))</f>
        <v/>
      </c>
      <c r="G54" s="123">
        <f>IF(OR($C54="",$B$2="",$D$2=0),0,IF(G$3&lt;0,0,N(INDEX('CURVA PREVISION'!$A$1:$KZ$3000,$C54,11+3*MIN(G$3,$D$2-1)))))</f>
        <v/>
      </c>
      <c r="H54" s="123">
        <f>IF(OR($C54="",$B$2="",$D$2=0),0,IF(H$3&lt;0,0,N(INDEX('CURVA PREVISION'!$A$1:$KZ$3000,$C54,11+3*MIN(H$3,$D$2-1)))))</f>
        <v/>
      </c>
      <c r="I54" s="123">
        <f>IF(OR($C54="",$B$2="",$D$2=0),0,IF(I$3&lt;0,0,N(INDEX('CURVA PREVISION'!$A$1:$KZ$3000,$C54,11+3*MIN(I$3,$D$2-1)))))</f>
        <v/>
      </c>
      <c r="J54" s="123">
        <f>IF(OR($C54="",$B$2="",$D$2=0),0,IF(J$3&lt;0,0,N(INDEX('CURVA PREVISION'!$A$1:$KZ$3000,$C54,11+3*MIN(J$3,$D$2-1)))))</f>
        <v/>
      </c>
      <c r="K54" s="123">
        <f>IF(OR($C54="",$B$2="",$D$2=0),0,IF(K$3&lt;0,0,N(INDEX('CURVA PREVISION'!$A$1:$KZ$3000,$C54,11+3*MIN(K$3,$D$2-1)))))</f>
        <v/>
      </c>
      <c r="L54" s="123">
        <f>IF(OR($C54="",$B$2="",$D$2=0),0,IF(L$3&lt;0,0,N(INDEX('CURVA PREVISION'!$A$1:$KZ$3000,$C54,11+3*MIN(L$3,$D$2-1)))))</f>
        <v/>
      </c>
      <c r="M54" s="123">
        <f>IF(OR($C54="",$B$2="",$D$2=0),0,IF(M$3&lt;0,0,N(INDEX('CURVA PREVISION'!$A$1:$KZ$3000,$C54,11+3*MIN(M$3,$D$2-1)))))</f>
        <v/>
      </c>
      <c r="N54" s="123">
        <f>IF(OR($C54="",$B$2="",$D$2=0),0,IF(N$3&lt;0,0,N(INDEX('CURVA PREVISION'!$A$1:$KZ$3000,$C54,11+3*MIN(N$3,$D$2-1)))))</f>
        <v/>
      </c>
      <c r="O54" s="123">
        <f>IF(OR($C54="",$B$2="",$D$2=0),0,IF(O$3&lt;0,0,N(INDEX('CURVA PREVISION'!$A$1:$KZ$3000,$C54,11+3*MIN(O$3,$D$2-1)))))</f>
        <v/>
      </c>
      <c r="P54" s="123">
        <f>IF(OR($C54="",$B$2="",$D$2=0),0,IF(P$3&lt;0,0,N(INDEX('CURVA PREVISION'!$A$1:$KZ$3000,$C54,11+3*MIN(P$3,$D$2-1)))))</f>
        <v/>
      </c>
      <c r="Q54" s="123">
        <f>IF(OR($C54="",$B$2="",$D$2=0),0,IF(Q$3&lt;0,0,N(INDEX('CURVA PREVISION'!$A$1:$KZ$3000,$C54,11+3*MIN(Q$3,$D$2-1)))))</f>
        <v/>
      </c>
      <c r="R54" s="123">
        <f>IF(OR($C54="",$B$2="",$D$2=0),0,IF(R$3&lt;0,0,N(INDEX('CURVA PREVISION'!$A$1:$KZ$3000,$C54,11+3*MIN(R$3,$D$2-1)))))</f>
        <v/>
      </c>
      <c r="S54" s="123">
        <f>IF(OR($C54="",$B$2="",$D$2=0),0,IF(S$3&lt;0,0,N(INDEX('CURVA PREVISION'!$A$1:$KZ$3000,$C54,11+3*MIN(S$3,$D$2-1)))))</f>
        <v/>
      </c>
      <c r="T54" s="123">
        <f>IF(OR($C54="",$B$2="",$D$2=0),0,IF(T$3&lt;0,0,N(INDEX('CURVA PREVISION'!$A$1:$KZ$3000,$C54,11+3*MIN(T$3,$D$2-1)))))</f>
        <v/>
      </c>
      <c r="U54" s="123">
        <f>IF(OR($C54="",$B$2="",$D$2=0),0,IF(U$3&lt;0,0,N(INDEX('CURVA PREVISION'!$A$1:$KZ$3000,$C54,11+3*MIN(U$3,$D$2-1)))))</f>
        <v/>
      </c>
      <c r="V54" s="123">
        <f>IF(OR($C54="",$B$2="",$D$2=0),0,IF(V$3&lt;0,0,N(INDEX('CURVA PREVISION'!$A$1:$KZ$3000,$C54,11+3*MIN(V$3,$D$2-1)))))</f>
        <v/>
      </c>
      <c r="W54" s="123">
        <f>IF(OR($C54="",$B$2="",$D$2=0),0,IF(W$3&lt;0,0,N(INDEX('CURVA PREVISION'!$A$1:$KZ$3000,$C54,11+3*MIN(W$3,$D$2-1)))))</f>
        <v/>
      </c>
      <c r="X54" s="123">
        <f>IF(OR($C54="",$B$2="",$D$2=0),0,IF(X$3&lt;0,0,N(INDEX('CURVA PREVISION'!$A$1:$KZ$3000,$C54,11+3*MIN(X$3,$D$2-1)))))</f>
        <v/>
      </c>
      <c r="Y54" s="123">
        <f>IF(OR($C54="",$B$2="",$D$2=0),0,IF(Y$3&lt;0,0,N(INDEX('CURVA PREVISION'!$A$1:$KZ$3000,$C54,11+3*MIN(Y$3,$D$2-1)))))</f>
        <v/>
      </c>
      <c r="Z54" s="123">
        <f>IF(OR($C54="",$B$2="",$D$2=0),0,IF(Z$3&lt;0,0,N(INDEX('CURVA PREVISION'!$A$1:$KZ$3000,$C54,11+3*MIN(Z$3,$D$2-1)))))</f>
        <v/>
      </c>
      <c r="AA54" s="123">
        <f>IF(OR($C54="",$B$2="",$D$2=0),0,IF(AA$3&lt;0,0,N(INDEX('CURVA PREVISION'!$A$1:$KZ$3000,$C54,11+3*MIN(AA$3,$D$2-1)))))</f>
        <v/>
      </c>
      <c r="AB54" s="123">
        <f>IF(OR($C54="",$B$2="",$D$2=0),0,IF(AB$3&lt;0,0,N(INDEX('CURVA PREVISION'!$A$1:$KZ$3000,$C54,11+3*MIN(AB$3,$D$2-1)))))</f>
        <v/>
      </c>
      <c r="AC54" s="123">
        <f>IF(OR($C54="",$B$2="",$D$2=0),0,IF(AC$3&lt;0,0,N(INDEX('CURVA PREVISION'!$A$1:$KZ$3000,$C54,11+3*MIN(AC$3,$D$2-1)))))</f>
        <v/>
      </c>
      <c r="AD54" s="123">
        <f>IF(OR($C54="",$B$2="",$D$2=0),0,IF(AD$3&lt;0,0,N(INDEX('CURVA PREVISION'!$A$1:$KZ$3000,$C54,11+3*MIN(AD$3,$D$2-1)))))</f>
        <v/>
      </c>
      <c r="AE54" s="123">
        <f>IF(OR($C54="",$B$2="",$D$2=0),0,IF(AE$3&lt;0,0,N(INDEX('CURVA PREVISION'!$A$1:$KZ$3000,$C54,11+3*MIN(AE$3,$D$2-1)))))</f>
        <v/>
      </c>
      <c r="AF54" s="123">
        <f>IF(OR($C54="",$B$2="",$D$2=0),0,IF(AF$3&lt;0,0,N(INDEX('CURVA PREVISION'!$A$1:$KZ$3000,$C54,11+3*MIN(AF$3,$D$2-1)))))</f>
        <v/>
      </c>
      <c r="AG54" s="123">
        <f>IF(OR($C54="",$B$2="",$D$2=0),0,IF(AG$3&lt;0,0,N(INDEX('CURVA PREVISION'!$A$1:$KZ$3000,$C54,11+3*MIN(AG$3,$D$2-1)))))</f>
        <v/>
      </c>
      <c r="AH54" s="123">
        <f>IF(OR($C54="",$B$2="",$D$2=0),0,IF(AH$3&lt;0,0,N(INDEX('CURVA PREVISION'!$A$1:$KZ$3000,$C54,11+3*MIN(AH$3,$D$2-1)))))</f>
        <v/>
      </c>
      <c r="AI54" s="123">
        <f>IF(OR($C54="",$B$2="",$D$2=0),0,IF(AI$3&lt;0,0,N(INDEX('CURVA PREVISION'!$A$1:$KZ$3000,$C54,11+3*MIN(AI$3,$D$2-1)))))</f>
        <v/>
      </c>
      <c r="AJ54" s="123">
        <f>IF(OR($C54="",$B$2="",$D$2=0),0,IF(AJ$3&lt;0,0,N(INDEX('CURVA PREVISION'!$A$1:$KZ$3000,$C54,11+3*MIN(AJ$3,$D$2-1)))))</f>
        <v/>
      </c>
      <c r="AK54" s="123">
        <f>IF(OR($C54="",$B$2="",$D$2=0),0,IF(AK$3&lt;0,0,N(INDEX('CURVA PREVISION'!$A$1:$KZ$3000,$C54,11+3*MIN(AK$3,$D$2-1)))))</f>
        <v/>
      </c>
      <c r="AL54" s="123">
        <f>IF(OR($C54="",$B$2="",$D$2=0),0,IF(AL$3&lt;0,0,N(INDEX('CURVA PREVISION'!$A$1:$KZ$3000,$C54,11+3*MIN(AL$3,$D$2-1)))))</f>
        <v/>
      </c>
      <c r="AM54" s="123">
        <f>IF(OR($C54="",$B$2="",$D$2=0),0,IF(AM$3&lt;0,0,N(INDEX('CURVA PREVISION'!$A$1:$KZ$3000,$C54,11+3*MIN(AM$3,$D$2-1)))))</f>
        <v/>
      </c>
      <c r="AN54" s="123">
        <f>IF(OR($C54="",$B$2="",$D$2=0),0,IF(AN$3&lt;0,0,N(INDEX('CURVA PREVISION'!$A$1:$KZ$3000,$C54,11+3*MIN(AN$3,$D$2-1)))))</f>
        <v/>
      </c>
      <c r="AO54" s="123">
        <f>IF(OR($C54="",$B$2="",$D$2=0),0,IF(AO$3&lt;0,0,N(INDEX('CURVA PREVISION'!$A$1:$KZ$3000,$C54,11+3*MIN(AO$3,$D$2-1)))))</f>
        <v/>
      </c>
      <c r="AP54" s="123">
        <f>IF(OR($C54="",$B$2="",$D$2=0),0,IF(AP$3&lt;0,0,N(INDEX('CURVA PREVISION'!$A$1:$KZ$3000,$C54,11+3*MIN(AP$3,$D$2-1)))))</f>
        <v/>
      </c>
      <c r="AQ54" s="123">
        <f>IF(OR($C54="",$B$2="",$D$2=0),0,IF(AQ$3&lt;0,0,N(INDEX('CURVA PREVISION'!$A$1:$KZ$3000,$C54,11+3*MIN(AQ$3,$D$2-1)))))</f>
        <v/>
      </c>
      <c r="AR54" s="123">
        <f>IF(OR($C54="",$B$2="",$D$2=0),0,IF(AR$3&lt;0,0,N(INDEX('CURVA PREVISION'!$A$1:$KZ$3000,$C54,11+3*MIN(AR$3,$D$2-1)))))</f>
        <v/>
      </c>
      <c r="AS54" s="123">
        <f>IF(OR($C54="",$B$2="",$D$2=0),0,IF(AS$3&lt;0,0,N(INDEX('CURVA PREVISION'!$A$1:$KZ$3000,$C54,11+3*MIN(AS$3,$D$2-1)))))</f>
        <v/>
      </c>
      <c r="AT54" s="123">
        <f>IF(OR($C54="",$B$2="",$D$2=0),0,IF(AT$3&lt;0,0,N(INDEX('CURVA PREVISION'!$A$1:$KZ$3000,$C54,11+3*MIN(AT$3,$D$2-1)))))</f>
        <v/>
      </c>
      <c r="AU54" s="123">
        <f>IF(OR($C54="",$B$2="",$D$2=0),0,IF(AU$3&lt;0,0,N(INDEX('CURVA PREVISION'!$A$1:$KZ$3000,$C54,11+3*MIN(AU$3,$D$2-1)))))</f>
        <v/>
      </c>
      <c r="AV54" s="123">
        <f>IF(OR($C54="",$B$2="",$D$2=0),0,IF(AV$3&lt;0,0,N(INDEX('CURVA PREVISION'!$A$1:$KZ$3000,$C54,11+3*MIN(AV$3,$D$2-1)))))</f>
        <v/>
      </c>
      <c r="AW54" s="123">
        <f>IF(OR($C54="",$B$2="",$D$2=0),0,IF(AW$3&lt;0,0,N(INDEX('CURVA PREVISION'!$A$1:$KZ$3000,$C54,11+3*MIN(AW$3,$D$2-1)))))</f>
        <v/>
      </c>
      <c r="AX54" s="123">
        <f>IF(OR($C54="",$B$2="",$D$2=0),0,IF(AX$3&lt;0,0,N(INDEX('CURVA PREVISION'!$A$1:$KZ$3000,$C54,11+3*MIN(AX$3,$D$2-1)))))</f>
        <v/>
      </c>
      <c r="AY54" s="123">
        <f>IF(OR($C54="",$B$2="",$D$2=0),0,IF(AY$3&lt;0,0,N(INDEX('CURVA PREVISION'!$A$1:$KZ$3000,$C54,11+3*MIN(AY$3,$D$2-1)))))</f>
        <v/>
      </c>
      <c r="AZ54" s="123">
        <f>IF(OR($C54="",$B$2="",$D$2=0),0,IF(AZ$3&lt;0,0,N(INDEX('CURVA PREVISION'!$A$1:$KZ$3000,$C54,11+3*MIN(AZ$3,$D$2-1)))))</f>
        <v/>
      </c>
      <c r="BA54" s="123">
        <f>IF(OR($C54="",$B$2="",$D$2=0),0,IF(BA$3&lt;0,0,N(INDEX('CURVA PREVISION'!$A$1:$KZ$3000,$C54,11+3*MIN(BA$3,$D$2-1)))))</f>
        <v/>
      </c>
      <c r="BB54" s="123">
        <f>IF(OR($C54="",$B$2="",$D$2=0),0,IF(BB$3&lt;0,0,N(INDEX('CURVA PREVISION'!$A$1:$KZ$3000,$C54,11+3*MIN(BB$3,$D$2-1)))))</f>
        <v/>
      </c>
      <c r="BC54" s="123">
        <f>IF(OR($C54="",$B$2="",$D$2=0),0,IF(BC$3&lt;0,0,N(INDEX('CURVA PREVISION'!$A$1:$KZ$3000,$C54,11+3*MIN(BC$3,$D$2-1)))))</f>
        <v/>
      </c>
      <c r="BD54" s="123">
        <f>IF(OR($C54="",$B$2="",$D$2=0),0,IF(BD$3&lt;0,0,N(INDEX('CURVA PREVISION'!$A$1:$KZ$3000,$C54,11+3*MIN(BD$3,$D$2-1)))))</f>
        <v/>
      </c>
      <c r="BE54" s="123">
        <f>IF(OR($C54="",$B$2="",$D$2=0),0,IF(BE$3&lt;0,0,N(INDEX('CURVA PREVISION'!$A$1:$KZ$3000,$C54,11+3*MIN(BE$3,$D$2-1)))))</f>
        <v/>
      </c>
      <c r="BF54" s="123">
        <f>IF(OR($C54="",$B$2="",$D$2=0),0,IF(BF$3&lt;0,0,N(INDEX('CURVA PREVISION'!$A$1:$KZ$3000,$C54,11+3*MIN(BF$3,$D$2-1)))))</f>
        <v/>
      </c>
      <c r="BG54" s="123">
        <f>IF(OR($C54="",$B$2="",$D$2=0),0,IF(BG$3&lt;0,0,N(INDEX('CURVA PREVISION'!$A$1:$KZ$3000,$C54,11+3*MIN(BG$3,$D$2-1)))))</f>
        <v/>
      </c>
      <c r="BH54" s="123">
        <f>IF(OR($C54="",$B$2="",$D$2=0),0,IF(BH$3&lt;0,0,N(INDEX('CURVA PREVISION'!$A$1:$KZ$3000,$C54,11+3*MIN(BH$3,$D$2-1)))))</f>
        <v/>
      </c>
      <c r="BI54" s="123">
        <f>IF(OR($C54="",$B$2="",$D$2=0),0,IF(BI$3&lt;0,0,N(INDEX('CURVA PREVISION'!$A$1:$KZ$3000,$C54,11+3*MIN(BI$3,$D$2-1)))))</f>
        <v/>
      </c>
      <c r="BJ54" s="123">
        <f>IF(OR($C54="",$B$2="",$D$2=0),0,IF(BJ$3&lt;0,0,N(INDEX('CURVA PREVISION'!$A$1:$KZ$3000,$C54,11+3*MIN(BJ$3,$D$2-1)))))</f>
        <v/>
      </c>
      <c r="BK54" s="123">
        <f>IF(OR($C54="",$B$2="",$D$2=0),0,IF(BK$3&lt;0,0,N(INDEX('CURVA PREVISION'!$A$1:$KZ$3000,$C54,11+3*MIN(BK$3,$D$2-1)))))</f>
        <v/>
      </c>
      <c r="BL54" s="123">
        <f>IF(OR($C54="",$B$2="",$D$2=0),0,IF(BL$3&lt;0,0,N(INDEX('CURVA PREVISION'!$A$1:$KZ$3000,$C54,11+3*MIN(BL$3,$D$2-1)))))</f>
        <v/>
      </c>
      <c r="BM54" s="123">
        <f>IF(OR($C54="",$B$2="",$D$2=0),0,IF(BM$3&lt;0,0,N(INDEX('CURVA PREVISION'!$A$1:$KZ$3000,$C54,11+3*MIN(BM$3,$D$2-1)))))</f>
        <v/>
      </c>
      <c r="BN54" s="123">
        <f>IF(OR($C54="",$B$2="",$D$2=0),0,IF(BN$3&lt;0,0,N(INDEX('CURVA PREVISION'!$A$1:$KZ$3000,$C54,11+3*MIN(BN$3,$D$2-1)))))</f>
        <v/>
      </c>
      <c r="BO54" s="123">
        <f>IF(OR($C54="",$B$2="",$D$2=0),0,IF(BO$3&lt;0,0,N(INDEX('CURVA PREVISION'!$A$1:$KZ$3000,$C54,11+3*MIN(BO$3,$D$2-1)))))</f>
        <v/>
      </c>
      <c r="BP54" s="123">
        <f>IF(OR($C54="",$B$2="",$D$2=0),0,IF(BP$3&lt;0,0,N(INDEX('CURVA PREVISION'!$A$1:$KZ$3000,$C54,11+3*MIN(BP$3,$D$2-1)))))</f>
        <v/>
      </c>
      <c r="BQ54" s="123">
        <f>IF(OR($C54="",$B$2="",$D$2=0),0,IF(BQ$3&lt;0,0,N(INDEX('CURVA PREVISION'!$A$1:$KZ$3000,$C54,11+3*MIN(BQ$3,$D$2-1)))))</f>
        <v/>
      </c>
      <c r="BR54" s="123">
        <f>IF(OR($C54="",$B$2="",$D$2=0),0,IF(BR$3&lt;0,0,N(INDEX('CURVA PREVISION'!$A$1:$KZ$3000,$C54,11+3*MIN(BR$3,$D$2-1)))))</f>
        <v/>
      </c>
      <c r="BS54" s="123">
        <f>IF(OR($C54="",$B$2="",$D$2=0),0,IF(BS$3&lt;0,0,N(INDEX('CURVA PREVISION'!$A$1:$KZ$3000,$C54,11+3*MIN(BS$3,$D$2-1)))))</f>
        <v/>
      </c>
      <c r="BT54" s="123">
        <f>IF(OR($C54="",$B$2="",$D$2=0),0,IF(BT$3&lt;0,0,N(INDEX('CURVA PREVISION'!$A$1:$KZ$3000,$C54,11+3*MIN(BT$3,$D$2-1)))))</f>
        <v/>
      </c>
      <c r="BU54" s="123">
        <f>IF(OR($C54="",$B$2="",$D$2=0),0,IF(BU$3&lt;0,0,N(INDEX('CURVA PREVISION'!$A$1:$KZ$3000,$C54,11+3*MIN(BU$3,$D$2-1)))))</f>
        <v/>
      </c>
      <c r="BV54" s="123">
        <f>IF(OR($C54="",$B$2="",$D$2=0),0,IF(BV$3&lt;0,0,N(INDEX('CURVA PREVISION'!$A$1:$KZ$3000,$C54,11+3*MIN(BV$3,$D$2-1)))))</f>
        <v/>
      </c>
      <c r="BW54" s="123">
        <f>IF(OR($C54="",$B$2="",$D$2=0),0,IF(BW$3&lt;0,0,N(INDEX('CURVA PREVISION'!$A$1:$KZ$3000,$C54,11+3*MIN(BW$3,$D$2-1)))))</f>
        <v/>
      </c>
    </row>
    <row r="55">
      <c r="A55" s="61">
        <f>IF('VALOR POR PL'!Q19="",'VALOR POR PL'!C19,'VALOR POR PL'!Q19)</f>
        <v/>
      </c>
      <c r="B55" s="51">
        <f>B13</f>
        <v/>
      </c>
      <c r="C55" s="70">
        <f>IFERROR(MATCH(A55,'CURVA PREVISION'!$B$1:$B$3000,0),"")</f>
        <v/>
      </c>
      <c r="D55" s="123">
        <f>IF(OR($C55="",$B$2="",$D$2=0),0,IF(D$3&lt;0,0,N(INDEX('CURVA PREVISION'!$A$1:$KZ$3000,$C55,11+3*MIN(D$3,$D$2-1)))))</f>
        <v/>
      </c>
      <c r="E55" s="123">
        <f>IF(OR($C55="",$B$2="",$D$2=0),0,IF(E$3&lt;0,0,N(INDEX('CURVA PREVISION'!$A$1:$KZ$3000,$C55,11+3*MIN(E$3,$D$2-1)))))</f>
        <v/>
      </c>
      <c r="F55" s="123">
        <f>IF(OR($C55="",$B$2="",$D$2=0),0,IF(F$3&lt;0,0,N(INDEX('CURVA PREVISION'!$A$1:$KZ$3000,$C55,11+3*MIN(F$3,$D$2-1)))))</f>
        <v/>
      </c>
      <c r="G55" s="123">
        <f>IF(OR($C55="",$B$2="",$D$2=0),0,IF(G$3&lt;0,0,N(INDEX('CURVA PREVISION'!$A$1:$KZ$3000,$C55,11+3*MIN(G$3,$D$2-1)))))</f>
        <v/>
      </c>
      <c r="H55" s="123">
        <f>IF(OR($C55="",$B$2="",$D$2=0),0,IF(H$3&lt;0,0,N(INDEX('CURVA PREVISION'!$A$1:$KZ$3000,$C55,11+3*MIN(H$3,$D$2-1)))))</f>
        <v/>
      </c>
      <c r="I55" s="123">
        <f>IF(OR($C55="",$B$2="",$D$2=0),0,IF(I$3&lt;0,0,N(INDEX('CURVA PREVISION'!$A$1:$KZ$3000,$C55,11+3*MIN(I$3,$D$2-1)))))</f>
        <v/>
      </c>
      <c r="J55" s="123">
        <f>IF(OR($C55="",$B$2="",$D$2=0),0,IF(J$3&lt;0,0,N(INDEX('CURVA PREVISION'!$A$1:$KZ$3000,$C55,11+3*MIN(J$3,$D$2-1)))))</f>
        <v/>
      </c>
      <c r="K55" s="123">
        <f>IF(OR($C55="",$B$2="",$D$2=0),0,IF(K$3&lt;0,0,N(INDEX('CURVA PREVISION'!$A$1:$KZ$3000,$C55,11+3*MIN(K$3,$D$2-1)))))</f>
        <v/>
      </c>
      <c r="L55" s="123">
        <f>IF(OR($C55="",$B$2="",$D$2=0),0,IF(L$3&lt;0,0,N(INDEX('CURVA PREVISION'!$A$1:$KZ$3000,$C55,11+3*MIN(L$3,$D$2-1)))))</f>
        <v/>
      </c>
      <c r="M55" s="123">
        <f>IF(OR($C55="",$B$2="",$D$2=0),0,IF(M$3&lt;0,0,N(INDEX('CURVA PREVISION'!$A$1:$KZ$3000,$C55,11+3*MIN(M$3,$D$2-1)))))</f>
        <v/>
      </c>
      <c r="N55" s="123">
        <f>IF(OR($C55="",$B$2="",$D$2=0),0,IF(N$3&lt;0,0,N(INDEX('CURVA PREVISION'!$A$1:$KZ$3000,$C55,11+3*MIN(N$3,$D$2-1)))))</f>
        <v/>
      </c>
      <c r="O55" s="123">
        <f>IF(OR($C55="",$B$2="",$D$2=0),0,IF(O$3&lt;0,0,N(INDEX('CURVA PREVISION'!$A$1:$KZ$3000,$C55,11+3*MIN(O$3,$D$2-1)))))</f>
        <v/>
      </c>
      <c r="P55" s="123">
        <f>IF(OR($C55="",$B$2="",$D$2=0),0,IF(P$3&lt;0,0,N(INDEX('CURVA PREVISION'!$A$1:$KZ$3000,$C55,11+3*MIN(P$3,$D$2-1)))))</f>
        <v/>
      </c>
      <c r="Q55" s="123">
        <f>IF(OR($C55="",$B$2="",$D$2=0),0,IF(Q$3&lt;0,0,N(INDEX('CURVA PREVISION'!$A$1:$KZ$3000,$C55,11+3*MIN(Q$3,$D$2-1)))))</f>
        <v/>
      </c>
      <c r="R55" s="123">
        <f>IF(OR($C55="",$B$2="",$D$2=0),0,IF(R$3&lt;0,0,N(INDEX('CURVA PREVISION'!$A$1:$KZ$3000,$C55,11+3*MIN(R$3,$D$2-1)))))</f>
        <v/>
      </c>
      <c r="S55" s="123">
        <f>IF(OR($C55="",$B$2="",$D$2=0),0,IF(S$3&lt;0,0,N(INDEX('CURVA PREVISION'!$A$1:$KZ$3000,$C55,11+3*MIN(S$3,$D$2-1)))))</f>
        <v/>
      </c>
      <c r="T55" s="123">
        <f>IF(OR($C55="",$B$2="",$D$2=0),0,IF(T$3&lt;0,0,N(INDEX('CURVA PREVISION'!$A$1:$KZ$3000,$C55,11+3*MIN(T$3,$D$2-1)))))</f>
        <v/>
      </c>
      <c r="U55" s="123">
        <f>IF(OR($C55="",$B$2="",$D$2=0),0,IF(U$3&lt;0,0,N(INDEX('CURVA PREVISION'!$A$1:$KZ$3000,$C55,11+3*MIN(U$3,$D$2-1)))))</f>
        <v/>
      </c>
      <c r="V55" s="123">
        <f>IF(OR($C55="",$B$2="",$D$2=0),0,IF(V$3&lt;0,0,N(INDEX('CURVA PREVISION'!$A$1:$KZ$3000,$C55,11+3*MIN(V$3,$D$2-1)))))</f>
        <v/>
      </c>
      <c r="W55" s="123">
        <f>IF(OR($C55="",$B$2="",$D$2=0),0,IF(W$3&lt;0,0,N(INDEX('CURVA PREVISION'!$A$1:$KZ$3000,$C55,11+3*MIN(W$3,$D$2-1)))))</f>
        <v/>
      </c>
      <c r="X55" s="123">
        <f>IF(OR($C55="",$B$2="",$D$2=0),0,IF(X$3&lt;0,0,N(INDEX('CURVA PREVISION'!$A$1:$KZ$3000,$C55,11+3*MIN(X$3,$D$2-1)))))</f>
        <v/>
      </c>
      <c r="Y55" s="123">
        <f>IF(OR($C55="",$B$2="",$D$2=0),0,IF(Y$3&lt;0,0,N(INDEX('CURVA PREVISION'!$A$1:$KZ$3000,$C55,11+3*MIN(Y$3,$D$2-1)))))</f>
        <v/>
      </c>
      <c r="Z55" s="123">
        <f>IF(OR($C55="",$B$2="",$D$2=0),0,IF(Z$3&lt;0,0,N(INDEX('CURVA PREVISION'!$A$1:$KZ$3000,$C55,11+3*MIN(Z$3,$D$2-1)))))</f>
        <v/>
      </c>
      <c r="AA55" s="123">
        <f>IF(OR($C55="",$B$2="",$D$2=0),0,IF(AA$3&lt;0,0,N(INDEX('CURVA PREVISION'!$A$1:$KZ$3000,$C55,11+3*MIN(AA$3,$D$2-1)))))</f>
        <v/>
      </c>
      <c r="AB55" s="123">
        <f>IF(OR($C55="",$B$2="",$D$2=0),0,IF(AB$3&lt;0,0,N(INDEX('CURVA PREVISION'!$A$1:$KZ$3000,$C55,11+3*MIN(AB$3,$D$2-1)))))</f>
        <v/>
      </c>
      <c r="AC55" s="123">
        <f>IF(OR($C55="",$B$2="",$D$2=0),0,IF(AC$3&lt;0,0,N(INDEX('CURVA PREVISION'!$A$1:$KZ$3000,$C55,11+3*MIN(AC$3,$D$2-1)))))</f>
        <v/>
      </c>
      <c r="AD55" s="123">
        <f>IF(OR($C55="",$B$2="",$D$2=0),0,IF(AD$3&lt;0,0,N(INDEX('CURVA PREVISION'!$A$1:$KZ$3000,$C55,11+3*MIN(AD$3,$D$2-1)))))</f>
        <v/>
      </c>
      <c r="AE55" s="123">
        <f>IF(OR($C55="",$B$2="",$D$2=0),0,IF(AE$3&lt;0,0,N(INDEX('CURVA PREVISION'!$A$1:$KZ$3000,$C55,11+3*MIN(AE$3,$D$2-1)))))</f>
        <v/>
      </c>
      <c r="AF55" s="123">
        <f>IF(OR($C55="",$B$2="",$D$2=0),0,IF(AF$3&lt;0,0,N(INDEX('CURVA PREVISION'!$A$1:$KZ$3000,$C55,11+3*MIN(AF$3,$D$2-1)))))</f>
        <v/>
      </c>
      <c r="AG55" s="123">
        <f>IF(OR($C55="",$B$2="",$D$2=0),0,IF(AG$3&lt;0,0,N(INDEX('CURVA PREVISION'!$A$1:$KZ$3000,$C55,11+3*MIN(AG$3,$D$2-1)))))</f>
        <v/>
      </c>
      <c r="AH55" s="123">
        <f>IF(OR($C55="",$B$2="",$D$2=0),0,IF(AH$3&lt;0,0,N(INDEX('CURVA PREVISION'!$A$1:$KZ$3000,$C55,11+3*MIN(AH$3,$D$2-1)))))</f>
        <v/>
      </c>
      <c r="AI55" s="123">
        <f>IF(OR($C55="",$B$2="",$D$2=0),0,IF(AI$3&lt;0,0,N(INDEX('CURVA PREVISION'!$A$1:$KZ$3000,$C55,11+3*MIN(AI$3,$D$2-1)))))</f>
        <v/>
      </c>
      <c r="AJ55" s="123">
        <f>IF(OR($C55="",$B$2="",$D$2=0),0,IF(AJ$3&lt;0,0,N(INDEX('CURVA PREVISION'!$A$1:$KZ$3000,$C55,11+3*MIN(AJ$3,$D$2-1)))))</f>
        <v/>
      </c>
      <c r="AK55" s="123">
        <f>IF(OR($C55="",$B$2="",$D$2=0),0,IF(AK$3&lt;0,0,N(INDEX('CURVA PREVISION'!$A$1:$KZ$3000,$C55,11+3*MIN(AK$3,$D$2-1)))))</f>
        <v/>
      </c>
      <c r="AL55" s="123">
        <f>IF(OR($C55="",$B$2="",$D$2=0),0,IF(AL$3&lt;0,0,N(INDEX('CURVA PREVISION'!$A$1:$KZ$3000,$C55,11+3*MIN(AL$3,$D$2-1)))))</f>
        <v/>
      </c>
      <c r="AM55" s="123">
        <f>IF(OR($C55="",$B$2="",$D$2=0),0,IF(AM$3&lt;0,0,N(INDEX('CURVA PREVISION'!$A$1:$KZ$3000,$C55,11+3*MIN(AM$3,$D$2-1)))))</f>
        <v/>
      </c>
      <c r="AN55" s="123">
        <f>IF(OR($C55="",$B$2="",$D$2=0),0,IF(AN$3&lt;0,0,N(INDEX('CURVA PREVISION'!$A$1:$KZ$3000,$C55,11+3*MIN(AN$3,$D$2-1)))))</f>
        <v/>
      </c>
      <c r="AO55" s="123">
        <f>IF(OR($C55="",$B$2="",$D$2=0),0,IF(AO$3&lt;0,0,N(INDEX('CURVA PREVISION'!$A$1:$KZ$3000,$C55,11+3*MIN(AO$3,$D$2-1)))))</f>
        <v/>
      </c>
      <c r="AP55" s="123">
        <f>IF(OR($C55="",$B$2="",$D$2=0),0,IF(AP$3&lt;0,0,N(INDEX('CURVA PREVISION'!$A$1:$KZ$3000,$C55,11+3*MIN(AP$3,$D$2-1)))))</f>
        <v/>
      </c>
      <c r="AQ55" s="123">
        <f>IF(OR($C55="",$B$2="",$D$2=0),0,IF(AQ$3&lt;0,0,N(INDEX('CURVA PREVISION'!$A$1:$KZ$3000,$C55,11+3*MIN(AQ$3,$D$2-1)))))</f>
        <v/>
      </c>
      <c r="AR55" s="123">
        <f>IF(OR($C55="",$B$2="",$D$2=0),0,IF(AR$3&lt;0,0,N(INDEX('CURVA PREVISION'!$A$1:$KZ$3000,$C55,11+3*MIN(AR$3,$D$2-1)))))</f>
        <v/>
      </c>
      <c r="AS55" s="123">
        <f>IF(OR($C55="",$B$2="",$D$2=0),0,IF(AS$3&lt;0,0,N(INDEX('CURVA PREVISION'!$A$1:$KZ$3000,$C55,11+3*MIN(AS$3,$D$2-1)))))</f>
        <v/>
      </c>
      <c r="AT55" s="123">
        <f>IF(OR($C55="",$B$2="",$D$2=0),0,IF(AT$3&lt;0,0,N(INDEX('CURVA PREVISION'!$A$1:$KZ$3000,$C55,11+3*MIN(AT$3,$D$2-1)))))</f>
        <v/>
      </c>
      <c r="AU55" s="123">
        <f>IF(OR($C55="",$B$2="",$D$2=0),0,IF(AU$3&lt;0,0,N(INDEX('CURVA PREVISION'!$A$1:$KZ$3000,$C55,11+3*MIN(AU$3,$D$2-1)))))</f>
        <v/>
      </c>
      <c r="AV55" s="123">
        <f>IF(OR($C55="",$B$2="",$D$2=0),0,IF(AV$3&lt;0,0,N(INDEX('CURVA PREVISION'!$A$1:$KZ$3000,$C55,11+3*MIN(AV$3,$D$2-1)))))</f>
        <v/>
      </c>
      <c r="AW55" s="123">
        <f>IF(OR($C55="",$B$2="",$D$2=0),0,IF(AW$3&lt;0,0,N(INDEX('CURVA PREVISION'!$A$1:$KZ$3000,$C55,11+3*MIN(AW$3,$D$2-1)))))</f>
        <v/>
      </c>
      <c r="AX55" s="123">
        <f>IF(OR($C55="",$B$2="",$D$2=0),0,IF(AX$3&lt;0,0,N(INDEX('CURVA PREVISION'!$A$1:$KZ$3000,$C55,11+3*MIN(AX$3,$D$2-1)))))</f>
        <v/>
      </c>
      <c r="AY55" s="123">
        <f>IF(OR($C55="",$B$2="",$D$2=0),0,IF(AY$3&lt;0,0,N(INDEX('CURVA PREVISION'!$A$1:$KZ$3000,$C55,11+3*MIN(AY$3,$D$2-1)))))</f>
        <v/>
      </c>
      <c r="AZ55" s="123">
        <f>IF(OR($C55="",$B$2="",$D$2=0),0,IF(AZ$3&lt;0,0,N(INDEX('CURVA PREVISION'!$A$1:$KZ$3000,$C55,11+3*MIN(AZ$3,$D$2-1)))))</f>
        <v/>
      </c>
      <c r="BA55" s="123">
        <f>IF(OR($C55="",$B$2="",$D$2=0),0,IF(BA$3&lt;0,0,N(INDEX('CURVA PREVISION'!$A$1:$KZ$3000,$C55,11+3*MIN(BA$3,$D$2-1)))))</f>
        <v/>
      </c>
      <c r="BB55" s="123">
        <f>IF(OR($C55="",$B$2="",$D$2=0),0,IF(BB$3&lt;0,0,N(INDEX('CURVA PREVISION'!$A$1:$KZ$3000,$C55,11+3*MIN(BB$3,$D$2-1)))))</f>
        <v/>
      </c>
      <c r="BC55" s="123">
        <f>IF(OR($C55="",$B$2="",$D$2=0),0,IF(BC$3&lt;0,0,N(INDEX('CURVA PREVISION'!$A$1:$KZ$3000,$C55,11+3*MIN(BC$3,$D$2-1)))))</f>
        <v/>
      </c>
      <c r="BD55" s="123">
        <f>IF(OR($C55="",$B$2="",$D$2=0),0,IF(BD$3&lt;0,0,N(INDEX('CURVA PREVISION'!$A$1:$KZ$3000,$C55,11+3*MIN(BD$3,$D$2-1)))))</f>
        <v/>
      </c>
      <c r="BE55" s="123">
        <f>IF(OR($C55="",$B$2="",$D$2=0),0,IF(BE$3&lt;0,0,N(INDEX('CURVA PREVISION'!$A$1:$KZ$3000,$C55,11+3*MIN(BE$3,$D$2-1)))))</f>
        <v/>
      </c>
      <c r="BF55" s="123">
        <f>IF(OR($C55="",$B$2="",$D$2=0),0,IF(BF$3&lt;0,0,N(INDEX('CURVA PREVISION'!$A$1:$KZ$3000,$C55,11+3*MIN(BF$3,$D$2-1)))))</f>
        <v/>
      </c>
      <c r="BG55" s="123">
        <f>IF(OR($C55="",$B$2="",$D$2=0),0,IF(BG$3&lt;0,0,N(INDEX('CURVA PREVISION'!$A$1:$KZ$3000,$C55,11+3*MIN(BG$3,$D$2-1)))))</f>
        <v/>
      </c>
      <c r="BH55" s="123">
        <f>IF(OR($C55="",$B$2="",$D$2=0),0,IF(BH$3&lt;0,0,N(INDEX('CURVA PREVISION'!$A$1:$KZ$3000,$C55,11+3*MIN(BH$3,$D$2-1)))))</f>
        <v/>
      </c>
      <c r="BI55" s="123">
        <f>IF(OR($C55="",$B$2="",$D$2=0),0,IF(BI$3&lt;0,0,N(INDEX('CURVA PREVISION'!$A$1:$KZ$3000,$C55,11+3*MIN(BI$3,$D$2-1)))))</f>
        <v/>
      </c>
      <c r="BJ55" s="123">
        <f>IF(OR($C55="",$B$2="",$D$2=0),0,IF(BJ$3&lt;0,0,N(INDEX('CURVA PREVISION'!$A$1:$KZ$3000,$C55,11+3*MIN(BJ$3,$D$2-1)))))</f>
        <v/>
      </c>
      <c r="BK55" s="123">
        <f>IF(OR($C55="",$B$2="",$D$2=0),0,IF(BK$3&lt;0,0,N(INDEX('CURVA PREVISION'!$A$1:$KZ$3000,$C55,11+3*MIN(BK$3,$D$2-1)))))</f>
        <v/>
      </c>
      <c r="BL55" s="123">
        <f>IF(OR($C55="",$B$2="",$D$2=0),0,IF(BL$3&lt;0,0,N(INDEX('CURVA PREVISION'!$A$1:$KZ$3000,$C55,11+3*MIN(BL$3,$D$2-1)))))</f>
        <v/>
      </c>
      <c r="BM55" s="123">
        <f>IF(OR($C55="",$B$2="",$D$2=0),0,IF(BM$3&lt;0,0,N(INDEX('CURVA PREVISION'!$A$1:$KZ$3000,$C55,11+3*MIN(BM$3,$D$2-1)))))</f>
        <v/>
      </c>
      <c r="BN55" s="123">
        <f>IF(OR($C55="",$B$2="",$D$2=0),0,IF(BN$3&lt;0,0,N(INDEX('CURVA PREVISION'!$A$1:$KZ$3000,$C55,11+3*MIN(BN$3,$D$2-1)))))</f>
        <v/>
      </c>
      <c r="BO55" s="123">
        <f>IF(OR($C55="",$B$2="",$D$2=0),0,IF(BO$3&lt;0,0,N(INDEX('CURVA PREVISION'!$A$1:$KZ$3000,$C55,11+3*MIN(BO$3,$D$2-1)))))</f>
        <v/>
      </c>
      <c r="BP55" s="123">
        <f>IF(OR($C55="",$B$2="",$D$2=0),0,IF(BP$3&lt;0,0,N(INDEX('CURVA PREVISION'!$A$1:$KZ$3000,$C55,11+3*MIN(BP$3,$D$2-1)))))</f>
        <v/>
      </c>
      <c r="BQ55" s="123">
        <f>IF(OR($C55="",$B$2="",$D$2=0),0,IF(BQ$3&lt;0,0,N(INDEX('CURVA PREVISION'!$A$1:$KZ$3000,$C55,11+3*MIN(BQ$3,$D$2-1)))))</f>
        <v/>
      </c>
      <c r="BR55" s="123">
        <f>IF(OR($C55="",$B$2="",$D$2=0),0,IF(BR$3&lt;0,0,N(INDEX('CURVA PREVISION'!$A$1:$KZ$3000,$C55,11+3*MIN(BR$3,$D$2-1)))))</f>
        <v/>
      </c>
      <c r="BS55" s="123">
        <f>IF(OR($C55="",$B$2="",$D$2=0),0,IF(BS$3&lt;0,0,N(INDEX('CURVA PREVISION'!$A$1:$KZ$3000,$C55,11+3*MIN(BS$3,$D$2-1)))))</f>
        <v/>
      </c>
      <c r="BT55" s="123">
        <f>IF(OR($C55="",$B$2="",$D$2=0),0,IF(BT$3&lt;0,0,N(INDEX('CURVA PREVISION'!$A$1:$KZ$3000,$C55,11+3*MIN(BT$3,$D$2-1)))))</f>
        <v/>
      </c>
      <c r="BU55" s="123">
        <f>IF(OR($C55="",$B$2="",$D$2=0),0,IF(BU$3&lt;0,0,N(INDEX('CURVA PREVISION'!$A$1:$KZ$3000,$C55,11+3*MIN(BU$3,$D$2-1)))))</f>
        <v/>
      </c>
      <c r="BV55" s="123">
        <f>IF(OR($C55="",$B$2="",$D$2=0),0,IF(BV$3&lt;0,0,N(INDEX('CURVA PREVISION'!$A$1:$KZ$3000,$C55,11+3*MIN(BV$3,$D$2-1)))))</f>
        <v/>
      </c>
      <c r="BW55" s="123">
        <f>IF(OR($C55="",$B$2="",$D$2=0),0,IF(BW$3&lt;0,0,N(INDEX('CURVA PREVISION'!$A$1:$KZ$3000,$C55,11+3*MIN(BW$3,$D$2-1)))))</f>
        <v/>
      </c>
    </row>
    <row r="56">
      <c r="A56" s="61">
        <f>IF('VALOR POR PL'!Q20="",'VALOR POR PL'!C20,'VALOR POR PL'!Q20)</f>
        <v/>
      </c>
      <c r="B56" s="51">
        <f>B14</f>
        <v/>
      </c>
      <c r="C56" s="70">
        <f>IFERROR(MATCH(A56,'CURVA PREVISION'!$B$1:$B$3000,0),"")</f>
        <v/>
      </c>
      <c r="D56" s="123">
        <f>IF(OR($C56="",$B$2="",$D$2=0),0,IF(D$3&lt;0,0,N(INDEX('CURVA PREVISION'!$A$1:$KZ$3000,$C56,11+3*MIN(D$3,$D$2-1)))))</f>
        <v/>
      </c>
      <c r="E56" s="123">
        <f>IF(OR($C56="",$B$2="",$D$2=0),0,IF(E$3&lt;0,0,N(INDEX('CURVA PREVISION'!$A$1:$KZ$3000,$C56,11+3*MIN(E$3,$D$2-1)))))</f>
        <v/>
      </c>
      <c r="F56" s="123">
        <f>IF(OR($C56="",$B$2="",$D$2=0),0,IF(F$3&lt;0,0,N(INDEX('CURVA PREVISION'!$A$1:$KZ$3000,$C56,11+3*MIN(F$3,$D$2-1)))))</f>
        <v/>
      </c>
      <c r="G56" s="123">
        <f>IF(OR($C56="",$B$2="",$D$2=0),0,IF(G$3&lt;0,0,N(INDEX('CURVA PREVISION'!$A$1:$KZ$3000,$C56,11+3*MIN(G$3,$D$2-1)))))</f>
        <v/>
      </c>
      <c r="H56" s="123">
        <f>IF(OR($C56="",$B$2="",$D$2=0),0,IF(H$3&lt;0,0,N(INDEX('CURVA PREVISION'!$A$1:$KZ$3000,$C56,11+3*MIN(H$3,$D$2-1)))))</f>
        <v/>
      </c>
      <c r="I56" s="123">
        <f>IF(OR($C56="",$B$2="",$D$2=0),0,IF(I$3&lt;0,0,N(INDEX('CURVA PREVISION'!$A$1:$KZ$3000,$C56,11+3*MIN(I$3,$D$2-1)))))</f>
        <v/>
      </c>
      <c r="J56" s="123">
        <f>IF(OR($C56="",$B$2="",$D$2=0),0,IF(J$3&lt;0,0,N(INDEX('CURVA PREVISION'!$A$1:$KZ$3000,$C56,11+3*MIN(J$3,$D$2-1)))))</f>
        <v/>
      </c>
      <c r="K56" s="123">
        <f>IF(OR($C56="",$B$2="",$D$2=0),0,IF(K$3&lt;0,0,N(INDEX('CURVA PREVISION'!$A$1:$KZ$3000,$C56,11+3*MIN(K$3,$D$2-1)))))</f>
        <v/>
      </c>
      <c r="L56" s="123">
        <f>IF(OR($C56="",$B$2="",$D$2=0),0,IF(L$3&lt;0,0,N(INDEX('CURVA PREVISION'!$A$1:$KZ$3000,$C56,11+3*MIN(L$3,$D$2-1)))))</f>
        <v/>
      </c>
      <c r="M56" s="123">
        <f>IF(OR($C56="",$B$2="",$D$2=0),0,IF(M$3&lt;0,0,N(INDEX('CURVA PREVISION'!$A$1:$KZ$3000,$C56,11+3*MIN(M$3,$D$2-1)))))</f>
        <v/>
      </c>
      <c r="N56" s="123">
        <f>IF(OR($C56="",$B$2="",$D$2=0),0,IF(N$3&lt;0,0,N(INDEX('CURVA PREVISION'!$A$1:$KZ$3000,$C56,11+3*MIN(N$3,$D$2-1)))))</f>
        <v/>
      </c>
      <c r="O56" s="123">
        <f>IF(OR($C56="",$B$2="",$D$2=0),0,IF(O$3&lt;0,0,N(INDEX('CURVA PREVISION'!$A$1:$KZ$3000,$C56,11+3*MIN(O$3,$D$2-1)))))</f>
        <v/>
      </c>
      <c r="P56" s="123">
        <f>IF(OR($C56="",$B$2="",$D$2=0),0,IF(P$3&lt;0,0,N(INDEX('CURVA PREVISION'!$A$1:$KZ$3000,$C56,11+3*MIN(P$3,$D$2-1)))))</f>
        <v/>
      </c>
      <c r="Q56" s="123">
        <f>IF(OR($C56="",$B$2="",$D$2=0),0,IF(Q$3&lt;0,0,N(INDEX('CURVA PREVISION'!$A$1:$KZ$3000,$C56,11+3*MIN(Q$3,$D$2-1)))))</f>
        <v/>
      </c>
      <c r="R56" s="123">
        <f>IF(OR($C56="",$B$2="",$D$2=0),0,IF(R$3&lt;0,0,N(INDEX('CURVA PREVISION'!$A$1:$KZ$3000,$C56,11+3*MIN(R$3,$D$2-1)))))</f>
        <v/>
      </c>
      <c r="S56" s="123">
        <f>IF(OR($C56="",$B$2="",$D$2=0),0,IF(S$3&lt;0,0,N(INDEX('CURVA PREVISION'!$A$1:$KZ$3000,$C56,11+3*MIN(S$3,$D$2-1)))))</f>
        <v/>
      </c>
      <c r="T56" s="123">
        <f>IF(OR($C56="",$B$2="",$D$2=0),0,IF(T$3&lt;0,0,N(INDEX('CURVA PREVISION'!$A$1:$KZ$3000,$C56,11+3*MIN(T$3,$D$2-1)))))</f>
        <v/>
      </c>
      <c r="U56" s="123">
        <f>IF(OR($C56="",$B$2="",$D$2=0),0,IF(U$3&lt;0,0,N(INDEX('CURVA PREVISION'!$A$1:$KZ$3000,$C56,11+3*MIN(U$3,$D$2-1)))))</f>
        <v/>
      </c>
      <c r="V56" s="123">
        <f>IF(OR($C56="",$B$2="",$D$2=0),0,IF(V$3&lt;0,0,N(INDEX('CURVA PREVISION'!$A$1:$KZ$3000,$C56,11+3*MIN(V$3,$D$2-1)))))</f>
        <v/>
      </c>
      <c r="W56" s="123">
        <f>IF(OR($C56="",$B$2="",$D$2=0),0,IF(W$3&lt;0,0,N(INDEX('CURVA PREVISION'!$A$1:$KZ$3000,$C56,11+3*MIN(W$3,$D$2-1)))))</f>
        <v/>
      </c>
      <c r="X56" s="123">
        <f>IF(OR($C56="",$B$2="",$D$2=0),0,IF(X$3&lt;0,0,N(INDEX('CURVA PREVISION'!$A$1:$KZ$3000,$C56,11+3*MIN(X$3,$D$2-1)))))</f>
        <v/>
      </c>
      <c r="Y56" s="123">
        <f>IF(OR($C56="",$B$2="",$D$2=0),0,IF(Y$3&lt;0,0,N(INDEX('CURVA PREVISION'!$A$1:$KZ$3000,$C56,11+3*MIN(Y$3,$D$2-1)))))</f>
        <v/>
      </c>
      <c r="Z56" s="123">
        <f>IF(OR($C56="",$B$2="",$D$2=0),0,IF(Z$3&lt;0,0,N(INDEX('CURVA PREVISION'!$A$1:$KZ$3000,$C56,11+3*MIN(Z$3,$D$2-1)))))</f>
        <v/>
      </c>
      <c r="AA56" s="123">
        <f>IF(OR($C56="",$B$2="",$D$2=0),0,IF(AA$3&lt;0,0,N(INDEX('CURVA PREVISION'!$A$1:$KZ$3000,$C56,11+3*MIN(AA$3,$D$2-1)))))</f>
        <v/>
      </c>
      <c r="AB56" s="123">
        <f>IF(OR($C56="",$B$2="",$D$2=0),0,IF(AB$3&lt;0,0,N(INDEX('CURVA PREVISION'!$A$1:$KZ$3000,$C56,11+3*MIN(AB$3,$D$2-1)))))</f>
        <v/>
      </c>
      <c r="AC56" s="123">
        <f>IF(OR($C56="",$B$2="",$D$2=0),0,IF(AC$3&lt;0,0,N(INDEX('CURVA PREVISION'!$A$1:$KZ$3000,$C56,11+3*MIN(AC$3,$D$2-1)))))</f>
        <v/>
      </c>
      <c r="AD56" s="123">
        <f>IF(OR($C56="",$B$2="",$D$2=0),0,IF(AD$3&lt;0,0,N(INDEX('CURVA PREVISION'!$A$1:$KZ$3000,$C56,11+3*MIN(AD$3,$D$2-1)))))</f>
        <v/>
      </c>
      <c r="AE56" s="123">
        <f>IF(OR($C56="",$B$2="",$D$2=0),0,IF(AE$3&lt;0,0,N(INDEX('CURVA PREVISION'!$A$1:$KZ$3000,$C56,11+3*MIN(AE$3,$D$2-1)))))</f>
        <v/>
      </c>
      <c r="AF56" s="123">
        <f>IF(OR($C56="",$B$2="",$D$2=0),0,IF(AF$3&lt;0,0,N(INDEX('CURVA PREVISION'!$A$1:$KZ$3000,$C56,11+3*MIN(AF$3,$D$2-1)))))</f>
        <v/>
      </c>
      <c r="AG56" s="123">
        <f>IF(OR($C56="",$B$2="",$D$2=0),0,IF(AG$3&lt;0,0,N(INDEX('CURVA PREVISION'!$A$1:$KZ$3000,$C56,11+3*MIN(AG$3,$D$2-1)))))</f>
        <v/>
      </c>
      <c r="AH56" s="123">
        <f>IF(OR($C56="",$B$2="",$D$2=0),0,IF(AH$3&lt;0,0,N(INDEX('CURVA PREVISION'!$A$1:$KZ$3000,$C56,11+3*MIN(AH$3,$D$2-1)))))</f>
        <v/>
      </c>
      <c r="AI56" s="123">
        <f>IF(OR($C56="",$B$2="",$D$2=0),0,IF(AI$3&lt;0,0,N(INDEX('CURVA PREVISION'!$A$1:$KZ$3000,$C56,11+3*MIN(AI$3,$D$2-1)))))</f>
        <v/>
      </c>
      <c r="AJ56" s="123">
        <f>IF(OR($C56="",$B$2="",$D$2=0),0,IF(AJ$3&lt;0,0,N(INDEX('CURVA PREVISION'!$A$1:$KZ$3000,$C56,11+3*MIN(AJ$3,$D$2-1)))))</f>
        <v/>
      </c>
      <c r="AK56" s="123">
        <f>IF(OR($C56="",$B$2="",$D$2=0),0,IF(AK$3&lt;0,0,N(INDEX('CURVA PREVISION'!$A$1:$KZ$3000,$C56,11+3*MIN(AK$3,$D$2-1)))))</f>
        <v/>
      </c>
      <c r="AL56" s="123">
        <f>IF(OR($C56="",$B$2="",$D$2=0),0,IF(AL$3&lt;0,0,N(INDEX('CURVA PREVISION'!$A$1:$KZ$3000,$C56,11+3*MIN(AL$3,$D$2-1)))))</f>
        <v/>
      </c>
      <c r="AM56" s="123">
        <f>IF(OR($C56="",$B$2="",$D$2=0),0,IF(AM$3&lt;0,0,N(INDEX('CURVA PREVISION'!$A$1:$KZ$3000,$C56,11+3*MIN(AM$3,$D$2-1)))))</f>
        <v/>
      </c>
      <c r="AN56" s="123">
        <f>IF(OR($C56="",$B$2="",$D$2=0),0,IF(AN$3&lt;0,0,N(INDEX('CURVA PREVISION'!$A$1:$KZ$3000,$C56,11+3*MIN(AN$3,$D$2-1)))))</f>
        <v/>
      </c>
      <c r="AO56" s="123">
        <f>IF(OR($C56="",$B$2="",$D$2=0),0,IF(AO$3&lt;0,0,N(INDEX('CURVA PREVISION'!$A$1:$KZ$3000,$C56,11+3*MIN(AO$3,$D$2-1)))))</f>
        <v/>
      </c>
      <c r="AP56" s="123">
        <f>IF(OR($C56="",$B$2="",$D$2=0),0,IF(AP$3&lt;0,0,N(INDEX('CURVA PREVISION'!$A$1:$KZ$3000,$C56,11+3*MIN(AP$3,$D$2-1)))))</f>
        <v/>
      </c>
      <c r="AQ56" s="123">
        <f>IF(OR($C56="",$B$2="",$D$2=0),0,IF(AQ$3&lt;0,0,N(INDEX('CURVA PREVISION'!$A$1:$KZ$3000,$C56,11+3*MIN(AQ$3,$D$2-1)))))</f>
        <v/>
      </c>
      <c r="AR56" s="123">
        <f>IF(OR($C56="",$B$2="",$D$2=0),0,IF(AR$3&lt;0,0,N(INDEX('CURVA PREVISION'!$A$1:$KZ$3000,$C56,11+3*MIN(AR$3,$D$2-1)))))</f>
        <v/>
      </c>
      <c r="AS56" s="123">
        <f>IF(OR($C56="",$B$2="",$D$2=0),0,IF(AS$3&lt;0,0,N(INDEX('CURVA PREVISION'!$A$1:$KZ$3000,$C56,11+3*MIN(AS$3,$D$2-1)))))</f>
        <v/>
      </c>
      <c r="AT56" s="123">
        <f>IF(OR($C56="",$B$2="",$D$2=0),0,IF(AT$3&lt;0,0,N(INDEX('CURVA PREVISION'!$A$1:$KZ$3000,$C56,11+3*MIN(AT$3,$D$2-1)))))</f>
        <v/>
      </c>
      <c r="AU56" s="123">
        <f>IF(OR($C56="",$B$2="",$D$2=0),0,IF(AU$3&lt;0,0,N(INDEX('CURVA PREVISION'!$A$1:$KZ$3000,$C56,11+3*MIN(AU$3,$D$2-1)))))</f>
        <v/>
      </c>
      <c r="AV56" s="123">
        <f>IF(OR($C56="",$B$2="",$D$2=0),0,IF(AV$3&lt;0,0,N(INDEX('CURVA PREVISION'!$A$1:$KZ$3000,$C56,11+3*MIN(AV$3,$D$2-1)))))</f>
        <v/>
      </c>
      <c r="AW56" s="123">
        <f>IF(OR($C56="",$B$2="",$D$2=0),0,IF(AW$3&lt;0,0,N(INDEX('CURVA PREVISION'!$A$1:$KZ$3000,$C56,11+3*MIN(AW$3,$D$2-1)))))</f>
        <v/>
      </c>
      <c r="AX56" s="123">
        <f>IF(OR($C56="",$B$2="",$D$2=0),0,IF(AX$3&lt;0,0,N(INDEX('CURVA PREVISION'!$A$1:$KZ$3000,$C56,11+3*MIN(AX$3,$D$2-1)))))</f>
        <v/>
      </c>
      <c r="AY56" s="123">
        <f>IF(OR($C56="",$B$2="",$D$2=0),0,IF(AY$3&lt;0,0,N(INDEX('CURVA PREVISION'!$A$1:$KZ$3000,$C56,11+3*MIN(AY$3,$D$2-1)))))</f>
        <v/>
      </c>
      <c r="AZ56" s="123">
        <f>IF(OR($C56="",$B$2="",$D$2=0),0,IF(AZ$3&lt;0,0,N(INDEX('CURVA PREVISION'!$A$1:$KZ$3000,$C56,11+3*MIN(AZ$3,$D$2-1)))))</f>
        <v/>
      </c>
      <c r="BA56" s="123">
        <f>IF(OR($C56="",$B$2="",$D$2=0),0,IF(BA$3&lt;0,0,N(INDEX('CURVA PREVISION'!$A$1:$KZ$3000,$C56,11+3*MIN(BA$3,$D$2-1)))))</f>
        <v/>
      </c>
      <c r="BB56" s="123">
        <f>IF(OR($C56="",$B$2="",$D$2=0),0,IF(BB$3&lt;0,0,N(INDEX('CURVA PREVISION'!$A$1:$KZ$3000,$C56,11+3*MIN(BB$3,$D$2-1)))))</f>
        <v/>
      </c>
      <c r="BC56" s="123">
        <f>IF(OR($C56="",$B$2="",$D$2=0),0,IF(BC$3&lt;0,0,N(INDEX('CURVA PREVISION'!$A$1:$KZ$3000,$C56,11+3*MIN(BC$3,$D$2-1)))))</f>
        <v/>
      </c>
      <c r="BD56" s="123">
        <f>IF(OR($C56="",$B$2="",$D$2=0),0,IF(BD$3&lt;0,0,N(INDEX('CURVA PREVISION'!$A$1:$KZ$3000,$C56,11+3*MIN(BD$3,$D$2-1)))))</f>
        <v/>
      </c>
      <c r="BE56" s="123">
        <f>IF(OR($C56="",$B$2="",$D$2=0),0,IF(BE$3&lt;0,0,N(INDEX('CURVA PREVISION'!$A$1:$KZ$3000,$C56,11+3*MIN(BE$3,$D$2-1)))))</f>
        <v/>
      </c>
      <c r="BF56" s="123">
        <f>IF(OR($C56="",$B$2="",$D$2=0),0,IF(BF$3&lt;0,0,N(INDEX('CURVA PREVISION'!$A$1:$KZ$3000,$C56,11+3*MIN(BF$3,$D$2-1)))))</f>
        <v/>
      </c>
      <c r="BG56" s="123">
        <f>IF(OR($C56="",$B$2="",$D$2=0),0,IF(BG$3&lt;0,0,N(INDEX('CURVA PREVISION'!$A$1:$KZ$3000,$C56,11+3*MIN(BG$3,$D$2-1)))))</f>
        <v/>
      </c>
      <c r="BH56" s="123">
        <f>IF(OR($C56="",$B$2="",$D$2=0),0,IF(BH$3&lt;0,0,N(INDEX('CURVA PREVISION'!$A$1:$KZ$3000,$C56,11+3*MIN(BH$3,$D$2-1)))))</f>
        <v/>
      </c>
      <c r="BI56" s="123">
        <f>IF(OR($C56="",$B$2="",$D$2=0),0,IF(BI$3&lt;0,0,N(INDEX('CURVA PREVISION'!$A$1:$KZ$3000,$C56,11+3*MIN(BI$3,$D$2-1)))))</f>
        <v/>
      </c>
      <c r="BJ56" s="123">
        <f>IF(OR($C56="",$B$2="",$D$2=0),0,IF(BJ$3&lt;0,0,N(INDEX('CURVA PREVISION'!$A$1:$KZ$3000,$C56,11+3*MIN(BJ$3,$D$2-1)))))</f>
        <v/>
      </c>
      <c r="BK56" s="123">
        <f>IF(OR($C56="",$B$2="",$D$2=0),0,IF(BK$3&lt;0,0,N(INDEX('CURVA PREVISION'!$A$1:$KZ$3000,$C56,11+3*MIN(BK$3,$D$2-1)))))</f>
        <v/>
      </c>
      <c r="BL56" s="123">
        <f>IF(OR($C56="",$B$2="",$D$2=0),0,IF(BL$3&lt;0,0,N(INDEX('CURVA PREVISION'!$A$1:$KZ$3000,$C56,11+3*MIN(BL$3,$D$2-1)))))</f>
        <v/>
      </c>
      <c r="BM56" s="123">
        <f>IF(OR($C56="",$B$2="",$D$2=0),0,IF(BM$3&lt;0,0,N(INDEX('CURVA PREVISION'!$A$1:$KZ$3000,$C56,11+3*MIN(BM$3,$D$2-1)))))</f>
        <v/>
      </c>
      <c r="BN56" s="123">
        <f>IF(OR($C56="",$B$2="",$D$2=0),0,IF(BN$3&lt;0,0,N(INDEX('CURVA PREVISION'!$A$1:$KZ$3000,$C56,11+3*MIN(BN$3,$D$2-1)))))</f>
        <v/>
      </c>
      <c r="BO56" s="123">
        <f>IF(OR($C56="",$B$2="",$D$2=0),0,IF(BO$3&lt;0,0,N(INDEX('CURVA PREVISION'!$A$1:$KZ$3000,$C56,11+3*MIN(BO$3,$D$2-1)))))</f>
        <v/>
      </c>
      <c r="BP56" s="123">
        <f>IF(OR($C56="",$B$2="",$D$2=0),0,IF(BP$3&lt;0,0,N(INDEX('CURVA PREVISION'!$A$1:$KZ$3000,$C56,11+3*MIN(BP$3,$D$2-1)))))</f>
        <v/>
      </c>
      <c r="BQ56" s="123">
        <f>IF(OR($C56="",$B$2="",$D$2=0),0,IF(BQ$3&lt;0,0,N(INDEX('CURVA PREVISION'!$A$1:$KZ$3000,$C56,11+3*MIN(BQ$3,$D$2-1)))))</f>
        <v/>
      </c>
      <c r="BR56" s="123">
        <f>IF(OR($C56="",$B$2="",$D$2=0),0,IF(BR$3&lt;0,0,N(INDEX('CURVA PREVISION'!$A$1:$KZ$3000,$C56,11+3*MIN(BR$3,$D$2-1)))))</f>
        <v/>
      </c>
      <c r="BS56" s="123">
        <f>IF(OR($C56="",$B$2="",$D$2=0),0,IF(BS$3&lt;0,0,N(INDEX('CURVA PREVISION'!$A$1:$KZ$3000,$C56,11+3*MIN(BS$3,$D$2-1)))))</f>
        <v/>
      </c>
      <c r="BT56" s="123">
        <f>IF(OR($C56="",$B$2="",$D$2=0),0,IF(BT$3&lt;0,0,N(INDEX('CURVA PREVISION'!$A$1:$KZ$3000,$C56,11+3*MIN(BT$3,$D$2-1)))))</f>
        <v/>
      </c>
      <c r="BU56" s="123">
        <f>IF(OR($C56="",$B$2="",$D$2=0),0,IF(BU$3&lt;0,0,N(INDEX('CURVA PREVISION'!$A$1:$KZ$3000,$C56,11+3*MIN(BU$3,$D$2-1)))))</f>
        <v/>
      </c>
      <c r="BV56" s="123">
        <f>IF(OR($C56="",$B$2="",$D$2=0),0,IF(BV$3&lt;0,0,N(INDEX('CURVA PREVISION'!$A$1:$KZ$3000,$C56,11+3*MIN(BV$3,$D$2-1)))))</f>
        <v/>
      </c>
      <c r="BW56" s="123">
        <f>IF(OR($C56="",$B$2="",$D$2=0),0,IF(BW$3&lt;0,0,N(INDEX('CURVA PREVISION'!$A$1:$KZ$3000,$C56,11+3*MIN(BW$3,$D$2-1)))))</f>
        <v/>
      </c>
    </row>
    <row r="57">
      <c r="A57" s="61">
        <f>IF('VALOR POR PL'!Q21="",'VALOR POR PL'!C21,'VALOR POR PL'!Q21)</f>
        <v/>
      </c>
      <c r="B57" s="51">
        <f>B15</f>
        <v/>
      </c>
      <c r="C57" s="70">
        <f>IFERROR(MATCH(A57,'CURVA PREVISION'!$B$1:$B$3000,0),"")</f>
        <v/>
      </c>
      <c r="D57" s="123">
        <f>IF(OR($C57="",$B$2="",$D$2=0),0,IF(D$3&lt;0,0,N(INDEX('CURVA PREVISION'!$A$1:$KZ$3000,$C57,11+3*MIN(D$3,$D$2-1)))))</f>
        <v/>
      </c>
      <c r="E57" s="123">
        <f>IF(OR($C57="",$B$2="",$D$2=0),0,IF(E$3&lt;0,0,N(INDEX('CURVA PREVISION'!$A$1:$KZ$3000,$C57,11+3*MIN(E$3,$D$2-1)))))</f>
        <v/>
      </c>
      <c r="F57" s="123">
        <f>IF(OR($C57="",$B$2="",$D$2=0),0,IF(F$3&lt;0,0,N(INDEX('CURVA PREVISION'!$A$1:$KZ$3000,$C57,11+3*MIN(F$3,$D$2-1)))))</f>
        <v/>
      </c>
      <c r="G57" s="123">
        <f>IF(OR($C57="",$B$2="",$D$2=0),0,IF(G$3&lt;0,0,N(INDEX('CURVA PREVISION'!$A$1:$KZ$3000,$C57,11+3*MIN(G$3,$D$2-1)))))</f>
        <v/>
      </c>
      <c r="H57" s="123">
        <f>IF(OR($C57="",$B$2="",$D$2=0),0,IF(H$3&lt;0,0,N(INDEX('CURVA PREVISION'!$A$1:$KZ$3000,$C57,11+3*MIN(H$3,$D$2-1)))))</f>
        <v/>
      </c>
      <c r="I57" s="123">
        <f>IF(OR($C57="",$B$2="",$D$2=0),0,IF(I$3&lt;0,0,N(INDEX('CURVA PREVISION'!$A$1:$KZ$3000,$C57,11+3*MIN(I$3,$D$2-1)))))</f>
        <v/>
      </c>
      <c r="J57" s="123">
        <f>IF(OR($C57="",$B$2="",$D$2=0),0,IF(J$3&lt;0,0,N(INDEX('CURVA PREVISION'!$A$1:$KZ$3000,$C57,11+3*MIN(J$3,$D$2-1)))))</f>
        <v/>
      </c>
      <c r="K57" s="123">
        <f>IF(OR($C57="",$B$2="",$D$2=0),0,IF(K$3&lt;0,0,N(INDEX('CURVA PREVISION'!$A$1:$KZ$3000,$C57,11+3*MIN(K$3,$D$2-1)))))</f>
        <v/>
      </c>
      <c r="L57" s="123">
        <f>IF(OR($C57="",$B$2="",$D$2=0),0,IF(L$3&lt;0,0,N(INDEX('CURVA PREVISION'!$A$1:$KZ$3000,$C57,11+3*MIN(L$3,$D$2-1)))))</f>
        <v/>
      </c>
      <c r="M57" s="123">
        <f>IF(OR($C57="",$B$2="",$D$2=0),0,IF(M$3&lt;0,0,N(INDEX('CURVA PREVISION'!$A$1:$KZ$3000,$C57,11+3*MIN(M$3,$D$2-1)))))</f>
        <v/>
      </c>
      <c r="N57" s="123">
        <f>IF(OR($C57="",$B$2="",$D$2=0),0,IF(N$3&lt;0,0,N(INDEX('CURVA PREVISION'!$A$1:$KZ$3000,$C57,11+3*MIN(N$3,$D$2-1)))))</f>
        <v/>
      </c>
      <c r="O57" s="123">
        <f>IF(OR($C57="",$B$2="",$D$2=0),0,IF(O$3&lt;0,0,N(INDEX('CURVA PREVISION'!$A$1:$KZ$3000,$C57,11+3*MIN(O$3,$D$2-1)))))</f>
        <v/>
      </c>
      <c r="P57" s="123">
        <f>IF(OR($C57="",$B$2="",$D$2=0),0,IF(P$3&lt;0,0,N(INDEX('CURVA PREVISION'!$A$1:$KZ$3000,$C57,11+3*MIN(P$3,$D$2-1)))))</f>
        <v/>
      </c>
      <c r="Q57" s="123">
        <f>IF(OR($C57="",$B$2="",$D$2=0),0,IF(Q$3&lt;0,0,N(INDEX('CURVA PREVISION'!$A$1:$KZ$3000,$C57,11+3*MIN(Q$3,$D$2-1)))))</f>
        <v/>
      </c>
      <c r="R57" s="123">
        <f>IF(OR($C57="",$B$2="",$D$2=0),0,IF(R$3&lt;0,0,N(INDEX('CURVA PREVISION'!$A$1:$KZ$3000,$C57,11+3*MIN(R$3,$D$2-1)))))</f>
        <v/>
      </c>
      <c r="S57" s="123">
        <f>IF(OR($C57="",$B$2="",$D$2=0),0,IF(S$3&lt;0,0,N(INDEX('CURVA PREVISION'!$A$1:$KZ$3000,$C57,11+3*MIN(S$3,$D$2-1)))))</f>
        <v/>
      </c>
      <c r="T57" s="123">
        <f>IF(OR($C57="",$B$2="",$D$2=0),0,IF(T$3&lt;0,0,N(INDEX('CURVA PREVISION'!$A$1:$KZ$3000,$C57,11+3*MIN(T$3,$D$2-1)))))</f>
        <v/>
      </c>
      <c r="U57" s="123">
        <f>IF(OR($C57="",$B$2="",$D$2=0),0,IF(U$3&lt;0,0,N(INDEX('CURVA PREVISION'!$A$1:$KZ$3000,$C57,11+3*MIN(U$3,$D$2-1)))))</f>
        <v/>
      </c>
      <c r="V57" s="123">
        <f>IF(OR($C57="",$B$2="",$D$2=0),0,IF(V$3&lt;0,0,N(INDEX('CURVA PREVISION'!$A$1:$KZ$3000,$C57,11+3*MIN(V$3,$D$2-1)))))</f>
        <v/>
      </c>
      <c r="W57" s="123">
        <f>IF(OR($C57="",$B$2="",$D$2=0),0,IF(W$3&lt;0,0,N(INDEX('CURVA PREVISION'!$A$1:$KZ$3000,$C57,11+3*MIN(W$3,$D$2-1)))))</f>
        <v/>
      </c>
      <c r="X57" s="123">
        <f>IF(OR($C57="",$B$2="",$D$2=0),0,IF(X$3&lt;0,0,N(INDEX('CURVA PREVISION'!$A$1:$KZ$3000,$C57,11+3*MIN(X$3,$D$2-1)))))</f>
        <v/>
      </c>
      <c r="Y57" s="123">
        <f>IF(OR($C57="",$B$2="",$D$2=0),0,IF(Y$3&lt;0,0,N(INDEX('CURVA PREVISION'!$A$1:$KZ$3000,$C57,11+3*MIN(Y$3,$D$2-1)))))</f>
        <v/>
      </c>
      <c r="Z57" s="123">
        <f>IF(OR($C57="",$B$2="",$D$2=0),0,IF(Z$3&lt;0,0,N(INDEX('CURVA PREVISION'!$A$1:$KZ$3000,$C57,11+3*MIN(Z$3,$D$2-1)))))</f>
        <v/>
      </c>
      <c r="AA57" s="123">
        <f>IF(OR($C57="",$B$2="",$D$2=0),0,IF(AA$3&lt;0,0,N(INDEX('CURVA PREVISION'!$A$1:$KZ$3000,$C57,11+3*MIN(AA$3,$D$2-1)))))</f>
        <v/>
      </c>
      <c r="AB57" s="123">
        <f>IF(OR($C57="",$B$2="",$D$2=0),0,IF(AB$3&lt;0,0,N(INDEX('CURVA PREVISION'!$A$1:$KZ$3000,$C57,11+3*MIN(AB$3,$D$2-1)))))</f>
        <v/>
      </c>
      <c r="AC57" s="123">
        <f>IF(OR($C57="",$B$2="",$D$2=0),0,IF(AC$3&lt;0,0,N(INDEX('CURVA PREVISION'!$A$1:$KZ$3000,$C57,11+3*MIN(AC$3,$D$2-1)))))</f>
        <v/>
      </c>
      <c r="AD57" s="123">
        <f>IF(OR($C57="",$B$2="",$D$2=0),0,IF(AD$3&lt;0,0,N(INDEX('CURVA PREVISION'!$A$1:$KZ$3000,$C57,11+3*MIN(AD$3,$D$2-1)))))</f>
        <v/>
      </c>
      <c r="AE57" s="123">
        <f>IF(OR($C57="",$B$2="",$D$2=0),0,IF(AE$3&lt;0,0,N(INDEX('CURVA PREVISION'!$A$1:$KZ$3000,$C57,11+3*MIN(AE$3,$D$2-1)))))</f>
        <v/>
      </c>
      <c r="AF57" s="123">
        <f>IF(OR($C57="",$B$2="",$D$2=0),0,IF(AF$3&lt;0,0,N(INDEX('CURVA PREVISION'!$A$1:$KZ$3000,$C57,11+3*MIN(AF$3,$D$2-1)))))</f>
        <v/>
      </c>
      <c r="AG57" s="123">
        <f>IF(OR($C57="",$B$2="",$D$2=0),0,IF(AG$3&lt;0,0,N(INDEX('CURVA PREVISION'!$A$1:$KZ$3000,$C57,11+3*MIN(AG$3,$D$2-1)))))</f>
        <v/>
      </c>
      <c r="AH57" s="123">
        <f>IF(OR($C57="",$B$2="",$D$2=0),0,IF(AH$3&lt;0,0,N(INDEX('CURVA PREVISION'!$A$1:$KZ$3000,$C57,11+3*MIN(AH$3,$D$2-1)))))</f>
        <v/>
      </c>
      <c r="AI57" s="123">
        <f>IF(OR($C57="",$B$2="",$D$2=0),0,IF(AI$3&lt;0,0,N(INDEX('CURVA PREVISION'!$A$1:$KZ$3000,$C57,11+3*MIN(AI$3,$D$2-1)))))</f>
        <v/>
      </c>
      <c r="AJ57" s="123">
        <f>IF(OR($C57="",$B$2="",$D$2=0),0,IF(AJ$3&lt;0,0,N(INDEX('CURVA PREVISION'!$A$1:$KZ$3000,$C57,11+3*MIN(AJ$3,$D$2-1)))))</f>
        <v/>
      </c>
      <c r="AK57" s="123">
        <f>IF(OR($C57="",$B$2="",$D$2=0),0,IF(AK$3&lt;0,0,N(INDEX('CURVA PREVISION'!$A$1:$KZ$3000,$C57,11+3*MIN(AK$3,$D$2-1)))))</f>
        <v/>
      </c>
      <c r="AL57" s="123">
        <f>IF(OR($C57="",$B$2="",$D$2=0),0,IF(AL$3&lt;0,0,N(INDEX('CURVA PREVISION'!$A$1:$KZ$3000,$C57,11+3*MIN(AL$3,$D$2-1)))))</f>
        <v/>
      </c>
      <c r="AM57" s="123">
        <f>IF(OR($C57="",$B$2="",$D$2=0),0,IF(AM$3&lt;0,0,N(INDEX('CURVA PREVISION'!$A$1:$KZ$3000,$C57,11+3*MIN(AM$3,$D$2-1)))))</f>
        <v/>
      </c>
      <c r="AN57" s="123">
        <f>IF(OR($C57="",$B$2="",$D$2=0),0,IF(AN$3&lt;0,0,N(INDEX('CURVA PREVISION'!$A$1:$KZ$3000,$C57,11+3*MIN(AN$3,$D$2-1)))))</f>
        <v/>
      </c>
      <c r="AO57" s="123">
        <f>IF(OR($C57="",$B$2="",$D$2=0),0,IF(AO$3&lt;0,0,N(INDEX('CURVA PREVISION'!$A$1:$KZ$3000,$C57,11+3*MIN(AO$3,$D$2-1)))))</f>
        <v/>
      </c>
      <c r="AP57" s="123">
        <f>IF(OR($C57="",$B$2="",$D$2=0),0,IF(AP$3&lt;0,0,N(INDEX('CURVA PREVISION'!$A$1:$KZ$3000,$C57,11+3*MIN(AP$3,$D$2-1)))))</f>
        <v/>
      </c>
      <c r="AQ57" s="123">
        <f>IF(OR($C57="",$B$2="",$D$2=0),0,IF(AQ$3&lt;0,0,N(INDEX('CURVA PREVISION'!$A$1:$KZ$3000,$C57,11+3*MIN(AQ$3,$D$2-1)))))</f>
        <v/>
      </c>
      <c r="AR57" s="123">
        <f>IF(OR($C57="",$B$2="",$D$2=0),0,IF(AR$3&lt;0,0,N(INDEX('CURVA PREVISION'!$A$1:$KZ$3000,$C57,11+3*MIN(AR$3,$D$2-1)))))</f>
        <v/>
      </c>
      <c r="AS57" s="123">
        <f>IF(OR($C57="",$B$2="",$D$2=0),0,IF(AS$3&lt;0,0,N(INDEX('CURVA PREVISION'!$A$1:$KZ$3000,$C57,11+3*MIN(AS$3,$D$2-1)))))</f>
        <v/>
      </c>
      <c r="AT57" s="123">
        <f>IF(OR($C57="",$B$2="",$D$2=0),0,IF(AT$3&lt;0,0,N(INDEX('CURVA PREVISION'!$A$1:$KZ$3000,$C57,11+3*MIN(AT$3,$D$2-1)))))</f>
        <v/>
      </c>
      <c r="AU57" s="123">
        <f>IF(OR($C57="",$B$2="",$D$2=0),0,IF(AU$3&lt;0,0,N(INDEX('CURVA PREVISION'!$A$1:$KZ$3000,$C57,11+3*MIN(AU$3,$D$2-1)))))</f>
        <v/>
      </c>
      <c r="AV57" s="123">
        <f>IF(OR($C57="",$B$2="",$D$2=0),0,IF(AV$3&lt;0,0,N(INDEX('CURVA PREVISION'!$A$1:$KZ$3000,$C57,11+3*MIN(AV$3,$D$2-1)))))</f>
        <v/>
      </c>
      <c r="AW57" s="123">
        <f>IF(OR($C57="",$B$2="",$D$2=0),0,IF(AW$3&lt;0,0,N(INDEX('CURVA PREVISION'!$A$1:$KZ$3000,$C57,11+3*MIN(AW$3,$D$2-1)))))</f>
        <v/>
      </c>
      <c r="AX57" s="123">
        <f>IF(OR($C57="",$B$2="",$D$2=0),0,IF(AX$3&lt;0,0,N(INDEX('CURVA PREVISION'!$A$1:$KZ$3000,$C57,11+3*MIN(AX$3,$D$2-1)))))</f>
        <v/>
      </c>
      <c r="AY57" s="123">
        <f>IF(OR($C57="",$B$2="",$D$2=0),0,IF(AY$3&lt;0,0,N(INDEX('CURVA PREVISION'!$A$1:$KZ$3000,$C57,11+3*MIN(AY$3,$D$2-1)))))</f>
        <v/>
      </c>
      <c r="AZ57" s="123">
        <f>IF(OR($C57="",$B$2="",$D$2=0),0,IF(AZ$3&lt;0,0,N(INDEX('CURVA PREVISION'!$A$1:$KZ$3000,$C57,11+3*MIN(AZ$3,$D$2-1)))))</f>
        <v/>
      </c>
      <c r="BA57" s="123">
        <f>IF(OR($C57="",$B$2="",$D$2=0),0,IF(BA$3&lt;0,0,N(INDEX('CURVA PREVISION'!$A$1:$KZ$3000,$C57,11+3*MIN(BA$3,$D$2-1)))))</f>
        <v/>
      </c>
      <c r="BB57" s="123">
        <f>IF(OR($C57="",$B$2="",$D$2=0),0,IF(BB$3&lt;0,0,N(INDEX('CURVA PREVISION'!$A$1:$KZ$3000,$C57,11+3*MIN(BB$3,$D$2-1)))))</f>
        <v/>
      </c>
      <c r="BC57" s="123">
        <f>IF(OR($C57="",$B$2="",$D$2=0),0,IF(BC$3&lt;0,0,N(INDEX('CURVA PREVISION'!$A$1:$KZ$3000,$C57,11+3*MIN(BC$3,$D$2-1)))))</f>
        <v/>
      </c>
      <c r="BD57" s="123">
        <f>IF(OR($C57="",$B$2="",$D$2=0),0,IF(BD$3&lt;0,0,N(INDEX('CURVA PREVISION'!$A$1:$KZ$3000,$C57,11+3*MIN(BD$3,$D$2-1)))))</f>
        <v/>
      </c>
      <c r="BE57" s="123">
        <f>IF(OR($C57="",$B$2="",$D$2=0),0,IF(BE$3&lt;0,0,N(INDEX('CURVA PREVISION'!$A$1:$KZ$3000,$C57,11+3*MIN(BE$3,$D$2-1)))))</f>
        <v/>
      </c>
      <c r="BF57" s="123">
        <f>IF(OR($C57="",$B$2="",$D$2=0),0,IF(BF$3&lt;0,0,N(INDEX('CURVA PREVISION'!$A$1:$KZ$3000,$C57,11+3*MIN(BF$3,$D$2-1)))))</f>
        <v/>
      </c>
      <c r="BG57" s="123">
        <f>IF(OR($C57="",$B$2="",$D$2=0),0,IF(BG$3&lt;0,0,N(INDEX('CURVA PREVISION'!$A$1:$KZ$3000,$C57,11+3*MIN(BG$3,$D$2-1)))))</f>
        <v/>
      </c>
      <c r="BH57" s="123">
        <f>IF(OR($C57="",$B$2="",$D$2=0),0,IF(BH$3&lt;0,0,N(INDEX('CURVA PREVISION'!$A$1:$KZ$3000,$C57,11+3*MIN(BH$3,$D$2-1)))))</f>
        <v/>
      </c>
      <c r="BI57" s="123">
        <f>IF(OR($C57="",$B$2="",$D$2=0),0,IF(BI$3&lt;0,0,N(INDEX('CURVA PREVISION'!$A$1:$KZ$3000,$C57,11+3*MIN(BI$3,$D$2-1)))))</f>
        <v/>
      </c>
      <c r="BJ57" s="123">
        <f>IF(OR($C57="",$B$2="",$D$2=0),0,IF(BJ$3&lt;0,0,N(INDEX('CURVA PREVISION'!$A$1:$KZ$3000,$C57,11+3*MIN(BJ$3,$D$2-1)))))</f>
        <v/>
      </c>
      <c r="BK57" s="123">
        <f>IF(OR($C57="",$B$2="",$D$2=0),0,IF(BK$3&lt;0,0,N(INDEX('CURVA PREVISION'!$A$1:$KZ$3000,$C57,11+3*MIN(BK$3,$D$2-1)))))</f>
        <v/>
      </c>
      <c r="BL57" s="123">
        <f>IF(OR($C57="",$B$2="",$D$2=0),0,IF(BL$3&lt;0,0,N(INDEX('CURVA PREVISION'!$A$1:$KZ$3000,$C57,11+3*MIN(BL$3,$D$2-1)))))</f>
        <v/>
      </c>
      <c r="BM57" s="123">
        <f>IF(OR($C57="",$B$2="",$D$2=0),0,IF(BM$3&lt;0,0,N(INDEX('CURVA PREVISION'!$A$1:$KZ$3000,$C57,11+3*MIN(BM$3,$D$2-1)))))</f>
        <v/>
      </c>
      <c r="BN57" s="123">
        <f>IF(OR($C57="",$B$2="",$D$2=0),0,IF(BN$3&lt;0,0,N(INDEX('CURVA PREVISION'!$A$1:$KZ$3000,$C57,11+3*MIN(BN$3,$D$2-1)))))</f>
        <v/>
      </c>
      <c r="BO57" s="123">
        <f>IF(OR($C57="",$B$2="",$D$2=0),0,IF(BO$3&lt;0,0,N(INDEX('CURVA PREVISION'!$A$1:$KZ$3000,$C57,11+3*MIN(BO$3,$D$2-1)))))</f>
        <v/>
      </c>
      <c r="BP57" s="123">
        <f>IF(OR($C57="",$B$2="",$D$2=0),0,IF(BP$3&lt;0,0,N(INDEX('CURVA PREVISION'!$A$1:$KZ$3000,$C57,11+3*MIN(BP$3,$D$2-1)))))</f>
        <v/>
      </c>
      <c r="BQ57" s="123">
        <f>IF(OR($C57="",$B$2="",$D$2=0),0,IF(BQ$3&lt;0,0,N(INDEX('CURVA PREVISION'!$A$1:$KZ$3000,$C57,11+3*MIN(BQ$3,$D$2-1)))))</f>
        <v/>
      </c>
      <c r="BR57" s="123">
        <f>IF(OR($C57="",$B$2="",$D$2=0),0,IF(BR$3&lt;0,0,N(INDEX('CURVA PREVISION'!$A$1:$KZ$3000,$C57,11+3*MIN(BR$3,$D$2-1)))))</f>
        <v/>
      </c>
      <c r="BS57" s="123">
        <f>IF(OR($C57="",$B$2="",$D$2=0),0,IF(BS$3&lt;0,0,N(INDEX('CURVA PREVISION'!$A$1:$KZ$3000,$C57,11+3*MIN(BS$3,$D$2-1)))))</f>
        <v/>
      </c>
      <c r="BT57" s="123">
        <f>IF(OR($C57="",$B$2="",$D$2=0),0,IF(BT$3&lt;0,0,N(INDEX('CURVA PREVISION'!$A$1:$KZ$3000,$C57,11+3*MIN(BT$3,$D$2-1)))))</f>
        <v/>
      </c>
      <c r="BU57" s="123">
        <f>IF(OR($C57="",$B$2="",$D$2=0),0,IF(BU$3&lt;0,0,N(INDEX('CURVA PREVISION'!$A$1:$KZ$3000,$C57,11+3*MIN(BU$3,$D$2-1)))))</f>
        <v/>
      </c>
      <c r="BV57" s="123">
        <f>IF(OR($C57="",$B$2="",$D$2=0),0,IF(BV$3&lt;0,0,N(INDEX('CURVA PREVISION'!$A$1:$KZ$3000,$C57,11+3*MIN(BV$3,$D$2-1)))))</f>
        <v/>
      </c>
      <c r="BW57" s="123">
        <f>IF(OR($C57="",$B$2="",$D$2=0),0,IF(BW$3&lt;0,0,N(INDEX('CURVA PREVISION'!$A$1:$KZ$3000,$C57,11+3*MIN(BW$3,$D$2-1)))))</f>
        <v/>
      </c>
    </row>
    <row r="58">
      <c r="A58" s="61">
        <f>IF('VALOR POR PL'!Q22="",'VALOR POR PL'!C22,'VALOR POR PL'!Q22)</f>
        <v/>
      </c>
      <c r="B58" s="51">
        <f>B16</f>
        <v/>
      </c>
      <c r="C58" s="70">
        <f>IFERROR(MATCH(A58,'CURVA PREVISION'!$B$1:$B$3000,0),"")</f>
        <v/>
      </c>
      <c r="D58" s="123">
        <f>IF(OR($C58="",$B$2="",$D$2=0),0,IF(D$3&lt;0,0,N(INDEX('CURVA PREVISION'!$A$1:$KZ$3000,$C58,11+3*MIN(D$3,$D$2-1)))))</f>
        <v/>
      </c>
      <c r="E58" s="123">
        <f>IF(OR($C58="",$B$2="",$D$2=0),0,IF(E$3&lt;0,0,N(INDEX('CURVA PREVISION'!$A$1:$KZ$3000,$C58,11+3*MIN(E$3,$D$2-1)))))</f>
        <v/>
      </c>
      <c r="F58" s="123">
        <f>IF(OR($C58="",$B$2="",$D$2=0),0,IF(F$3&lt;0,0,N(INDEX('CURVA PREVISION'!$A$1:$KZ$3000,$C58,11+3*MIN(F$3,$D$2-1)))))</f>
        <v/>
      </c>
      <c r="G58" s="123">
        <f>IF(OR($C58="",$B$2="",$D$2=0),0,IF(G$3&lt;0,0,N(INDEX('CURVA PREVISION'!$A$1:$KZ$3000,$C58,11+3*MIN(G$3,$D$2-1)))))</f>
        <v/>
      </c>
      <c r="H58" s="123">
        <f>IF(OR($C58="",$B$2="",$D$2=0),0,IF(H$3&lt;0,0,N(INDEX('CURVA PREVISION'!$A$1:$KZ$3000,$C58,11+3*MIN(H$3,$D$2-1)))))</f>
        <v/>
      </c>
      <c r="I58" s="123">
        <f>IF(OR($C58="",$B$2="",$D$2=0),0,IF(I$3&lt;0,0,N(INDEX('CURVA PREVISION'!$A$1:$KZ$3000,$C58,11+3*MIN(I$3,$D$2-1)))))</f>
        <v/>
      </c>
      <c r="J58" s="123">
        <f>IF(OR($C58="",$B$2="",$D$2=0),0,IF(J$3&lt;0,0,N(INDEX('CURVA PREVISION'!$A$1:$KZ$3000,$C58,11+3*MIN(J$3,$D$2-1)))))</f>
        <v/>
      </c>
      <c r="K58" s="123">
        <f>IF(OR($C58="",$B$2="",$D$2=0),0,IF(K$3&lt;0,0,N(INDEX('CURVA PREVISION'!$A$1:$KZ$3000,$C58,11+3*MIN(K$3,$D$2-1)))))</f>
        <v/>
      </c>
      <c r="L58" s="123">
        <f>IF(OR($C58="",$B$2="",$D$2=0),0,IF(L$3&lt;0,0,N(INDEX('CURVA PREVISION'!$A$1:$KZ$3000,$C58,11+3*MIN(L$3,$D$2-1)))))</f>
        <v/>
      </c>
      <c r="M58" s="123">
        <f>IF(OR($C58="",$B$2="",$D$2=0),0,IF(M$3&lt;0,0,N(INDEX('CURVA PREVISION'!$A$1:$KZ$3000,$C58,11+3*MIN(M$3,$D$2-1)))))</f>
        <v/>
      </c>
      <c r="N58" s="123">
        <f>IF(OR($C58="",$B$2="",$D$2=0),0,IF(N$3&lt;0,0,N(INDEX('CURVA PREVISION'!$A$1:$KZ$3000,$C58,11+3*MIN(N$3,$D$2-1)))))</f>
        <v/>
      </c>
      <c r="O58" s="123">
        <f>IF(OR($C58="",$B$2="",$D$2=0),0,IF(O$3&lt;0,0,N(INDEX('CURVA PREVISION'!$A$1:$KZ$3000,$C58,11+3*MIN(O$3,$D$2-1)))))</f>
        <v/>
      </c>
      <c r="P58" s="123">
        <f>IF(OR($C58="",$B$2="",$D$2=0),0,IF(P$3&lt;0,0,N(INDEX('CURVA PREVISION'!$A$1:$KZ$3000,$C58,11+3*MIN(P$3,$D$2-1)))))</f>
        <v/>
      </c>
      <c r="Q58" s="123">
        <f>IF(OR($C58="",$B$2="",$D$2=0),0,IF(Q$3&lt;0,0,N(INDEX('CURVA PREVISION'!$A$1:$KZ$3000,$C58,11+3*MIN(Q$3,$D$2-1)))))</f>
        <v/>
      </c>
      <c r="R58" s="123">
        <f>IF(OR($C58="",$B$2="",$D$2=0),0,IF(R$3&lt;0,0,N(INDEX('CURVA PREVISION'!$A$1:$KZ$3000,$C58,11+3*MIN(R$3,$D$2-1)))))</f>
        <v/>
      </c>
      <c r="S58" s="123">
        <f>IF(OR($C58="",$B$2="",$D$2=0),0,IF(S$3&lt;0,0,N(INDEX('CURVA PREVISION'!$A$1:$KZ$3000,$C58,11+3*MIN(S$3,$D$2-1)))))</f>
        <v/>
      </c>
      <c r="T58" s="123">
        <f>IF(OR($C58="",$B$2="",$D$2=0),0,IF(T$3&lt;0,0,N(INDEX('CURVA PREVISION'!$A$1:$KZ$3000,$C58,11+3*MIN(T$3,$D$2-1)))))</f>
        <v/>
      </c>
      <c r="U58" s="123">
        <f>IF(OR($C58="",$B$2="",$D$2=0),0,IF(U$3&lt;0,0,N(INDEX('CURVA PREVISION'!$A$1:$KZ$3000,$C58,11+3*MIN(U$3,$D$2-1)))))</f>
        <v/>
      </c>
      <c r="V58" s="123">
        <f>IF(OR($C58="",$B$2="",$D$2=0),0,IF(V$3&lt;0,0,N(INDEX('CURVA PREVISION'!$A$1:$KZ$3000,$C58,11+3*MIN(V$3,$D$2-1)))))</f>
        <v/>
      </c>
      <c r="W58" s="123">
        <f>IF(OR($C58="",$B$2="",$D$2=0),0,IF(W$3&lt;0,0,N(INDEX('CURVA PREVISION'!$A$1:$KZ$3000,$C58,11+3*MIN(W$3,$D$2-1)))))</f>
        <v/>
      </c>
      <c r="X58" s="123">
        <f>IF(OR($C58="",$B$2="",$D$2=0),0,IF(X$3&lt;0,0,N(INDEX('CURVA PREVISION'!$A$1:$KZ$3000,$C58,11+3*MIN(X$3,$D$2-1)))))</f>
        <v/>
      </c>
      <c r="Y58" s="123">
        <f>IF(OR($C58="",$B$2="",$D$2=0),0,IF(Y$3&lt;0,0,N(INDEX('CURVA PREVISION'!$A$1:$KZ$3000,$C58,11+3*MIN(Y$3,$D$2-1)))))</f>
        <v/>
      </c>
      <c r="Z58" s="123">
        <f>IF(OR($C58="",$B$2="",$D$2=0),0,IF(Z$3&lt;0,0,N(INDEX('CURVA PREVISION'!$A$1:$KZ$3000,$C58,11+3*MIN(Z$3,$D$2-1)))))</f>
        <v/>
      </c>
      <c r="AA58" s="123">
        <f>IF(OR($C58="",$B$2="",$D$2=0),0,IF(AA$3&lt;0,0,N(INDEX('CURVA PREVISION'!$A$1:$KZ$3000,$C58,11+3*MIN(AA$3,$D$2-1)))))</f>
        <v/>
      </c>
      <c r="AB58" s="123">
        <f>IF(OR($C58="",$B$2="",$D$2=0),0,IF(AB$3&lt;0,0,N(INDEX('CURVA PREVISION'!$A$1:$KZ$3000,$C58,11+3*MIN(AB$3,$D$2-1)))))</f>
        <v/>
      </c>
      <c r="AC58" s="123">
        <f>IF(OR($C58="",$B$2="",$D$2=0),0,IF(AC$3&lt;0,0,N(INDEX('CURVA PREVISION'!$A$1:$KZ$3000,$C58,11+3*MIN(AC$3,$D$2-1)))))</f>
        <v/>
      </c>
      <c r="AD58" s="123">
        <f>IF(OR($C58="",$B$2="",$D$2=0),0,IF(AD$3&lt;0,0,N(INDEX('CURVA PREVISION'!$A$1:$KZ$3000,$C58,11+3*MIN(AD$3,$D$2-1)))))</f>
        <v/>
      </c>
      <c r="AE58" s="123">
        <f>IF(OR($C58="",$B$2="",$D$2=0),0,IF(AE$3&lt;0,0,N(INDEX('CURVA PREVISION'!$A$1:$KZ$3000,$C58,11+3*MIN(AE$3,$D$2-1)))))</f>
        <v/>
      </c>
      <c r="AF58" s="123">
        <f>IF(OR($C58="",$B$2="",$D$2=0),0,IF(AF$3&lt;0,0,N(INDEX('CURVA PREVISION'!$A$1:$KZ$3000,$C58,11+3*MIN(AF$3,$D$2-1)))))</f>
        <v/>
      </c>
      <c r="AG58" s="123">
        <f>IF(OR($C58="",$B$2="",$D$2=0),0,IF(AG$3&lt;0,0,N(INDEX('CURVA PREVISION'!$A$1:$KZ$3000,$C58,11+3*MIN(AG$3,$D$2-1)))))</f>
        <v/>
      </c>
      <c r="AH58" s="123">
        <f>IF(OR($C58="",$B$2="",$D$2=0),0,IF(AH$3&lt;0,0,N(INDEX('CURVA PREVISION'!$A$1:$KZ$3000,$C58,11+3*MIN(AH$3,$D$2-1)))))</f>
        <v/>
      </c>
      <c r="AI58" s="123">
        <f>IF(OR($C58="",$B$2="",$D$2=0),0,IF(AI$3&lt;0,0,N(INDEX('CURVA PREVISION'!$A$1:$KZ$3000,$C58,11+3*MIN(AI$3,$D$2-1)))))</f>
        <v/>
      </c>
      <c r="AJ58" s="123">
        <f>IF(OR($C58="",$B$2="",$D$2=0),0,IF(AJ$3&lt;0,0,N(INDEX('CURVA PREVISION'!$A$1:$KZ$3000,$C58,11+3*MIN(AJ$3,$D$2-1)))))</f>
        <v/>
      </c>
      <c r="AK58" s="123">
        <f>IF(OR($C58="",$B$2="",$D$2=0),0,IF(AK$3&lt;0,0,N(INDEX('CURVA PREVISION'!$A$1:$KZ$3000,$C58,11+3*MIN(AK$3,$D$2-1)))))</f>
        <v/>
      </c>
      <c r="AL58" s="123">
        <f>IF(OR($C58="",$B$2="",$D$2=0),0,IF(AL$3&lt;0,0,N(INDEX('CURVA PREVISION'!$A$1:$KZ$3000,$C58,11+3*MIN(AL$3,$D$2-1)))))</f>
        <v/>
      </c>
      <c r="AM58" s="123">
        <f>IF(OR($C58="",$B$2="",$D$2=0),0,IF(AM$3&lt;0,0,N(INDEX('CURVA PREVISION'!$A$1:$KZ$3000,$C58,11+3*MIN(AM$3,$D$2-1)))))</f>
        <v/>
      </c>
      <c r="AN58" s="123">
        <f>IF(OR($C58="",$B$2="",$D$2=0),0,IF(AN$3&lt;0,0,N(INDEX('CURVA PREVISION'!$A$1:$KZ$3000,$C58,11+3*MIN(AN$3,$D$2-1)))))</f>
        <v/>
      </c>
      <c r="AO58" s="123">
        <f>IF(OR($C58="",$B$2="",$D$2=0),0,IF(AO$3&lt;0,0,N(INDEX('CURVA PREVISION'!$A$1:$KZ$3000,$C58,11+3*MIN(AO$3,$D$2-1)))))</f>
        <v/>
      </c>
      <c r="AP58" s="123">
        <f>IF(OR($C58="",$B$2="",$D$2=0),0,IF(AP$3&lt;0,0,N(INDEX('CURVA PREVISION'!$A$1:$KZ$3000,$C58,11+3*MIN(AP$3,$D$2-1)))))</f>
        <v/>
      </c>
      <c r="AQ58" s="123">
        <f>IF(OR($C58="",$B$2="",$D$2=0),0,IF(AQ$3&lt;0,0,N(INDEX('CURVA PREVISION'!$A$1:$KZ$3000,$C58,11+3*MIN(AQ$3,$D$2-1)))))</f>
        <v/>
      </c>
      <c r="AR58" s="123">
        <f>IF(OR($C58="",$B$2="",$D$2=0),0,IF(AR$3&lt;0,0,N(INDEX('CURVA PREVISION'!$A$1:$KZ$3000,$C58,11+3*MIN(AR$3,$D$2-1)))))</f>
        <v/>
      </c>
      <c r="AS58" s="123">
        <f>IF(OR($C58="",$B$2="",$D$2=0),0,IF(AS$3&lt;0,0,N(INDEX('CURVA PREVISION'!$A$1:$KZ$3000,$C58,11+3*MIN(AS$3,$D$2-1)))))</f>
        <v/>
      </c>
      <c r="AT58" s="123">
        <f>IF(OR($C58="",$B$2="",$D$2=0),0,IF(AT$3&lt;0,0,N(INDEX('CURVA PREVISION'!$A$1:$KZ$3000,$C58,11+3*MIN(AT$3,$D$2-1)))))</f>
        <v/>
      </c>
      <c r="AU58" s="123">
        <f>IF(OR($C58="",$B$2="",$D$2=0),0,IF(AU$3&lt;0,0,N(INDEX('CURVA PREVISION'!$A$1:$KZ$3000,$C58,11+3*MIN(AU$3,$D$2-1)))))</f>
        <v/>
      </c>
      <c r="AV58" s="123">
        <f>IF(OR($C58="",$B$2="",$D$2=0),0,IF(AV$3&lt;0,0,N(INDEX('CURVA PREVISION'!$A$1:$KZ$3000,$C58,11+3*MIN(AV$3,$D$2-1)))))</f>
        <v/>
      </c>
      <c r="AW58" s="123">
        <f>IF(OR($C58="",$B$2="",$D$2=0),0,IF(AW$3&lt;0,0,N(INDEX('CURVA PREVISION'!$A$1:$KZ$3000,$C58,11+3*MIN(AW$3,$D$2-1)))))</f>
        <v/>
      </c>
      <c r="AX58" s="123">
        <f>IF(OR($C58="",$B$2="",$D$2=0),0,IF(AX$3&lt;0,0,N(INDEX('CURVA PREVISION'!$A$1:$KZ$3000,$C58,11+3*MIN(AX$3,$D$2-1)))))</f>
        <v/>
      </c>
      <c r="AY58" s="123">
        <f>IF(OR($C58="",$B$2="",$D$2=0),0,IF(AY$3&lt;0,0,N(INDEX('CURVA PREVISION'!$A$1:$KZ$3000,$C58,11+3*MIN(AY$3,$D$2-1)))))</f>
        <v/>
      </c>
      <c r="AZ58" s="123">
        <f>IF(OR($C58="",$B$2="",$D$2=0),0,IF(AZ$3&lt;0,0,N(INDEX('CURVA PREVISION'!$A$1:$KZ$3000,$C58,11+3*MIN(AZ$3,$D$2-1)))))</f>
        <v/>
      </c>
      <c r="BA58" s="123">
        <f>IF(OR($C58="",$B$2="",$D$2=0),0,IF(BA$3&lt;0,0,N(INDEX('CURVA PREVISION'!$A$1:$KZ$3000,$C58,11+3*MIN(BA$3,$D$2-1)))))</f>
        <v/>
      </c>
      <c r="BB58" s="123">
        <f>IF(OR($C58="",$B$2="",$D$2=0),0,IF(BB$3&lt;0,0,N(INDEX('CURVA PREVISION'!$A$1:$KZ$3000,$C58,11+3*MIN(BB$3,$D$2-1)))))</f>
        <v/>
      </c>
      <c r="BC58" s="123">
        <f>IF(OR($C58="",$B$2="",$D$2=0),0,IF(BC$3&lt;0,0,N(INDEX('CURVA PREVISION'!$A$1:$KZ$3000,$C58,11+3*MIN(BC$3,$D$2-1)))))</f>
        <v/>
      </c>
      <c r="BD58" s="123">
        <f>IF(OR($C58="",$B$2="",$D$2=0),0,IF(BD$3&lt;0,0,N(INDEX('CURVA PREVISION'!$A$1:$KZ$3000,$C58,11+3*MIN(BD$3,$D$2-1)))))</f>
        <v/>
      </c>
      <c r="BE58" s="123">
        <f>IF(OR($C58="",$B$2="",$D$2=0),0,IF(BE$3&lt;0,0,N(INDEX('CURVA PREVISION'!$A$1:$KZ$3000,$C58,11+3*MIN(BE$3,$D$2-1)))))</f>
        <v/>
      </c>
      <c r="BF58" s="123">
        <f>IF(OR($C58="",$B$2="",$D$2=0),0,IF(BF$3&lt;0,0,N(INDEX('CURVA PREVISION'!$A$1:$KZ$3000,$C58,11+3*MIN(BF$3,$D$2-1)))))</f>
        <v/>
      </c>
      <c r="BG58" s="123">
        <f>IF(OR($C58="",$B$2="",$D$2=0),0,IF(BG$3&lt;0,0,N(INDEX('CURVA PREVISION'!$A$1:$KZ$3000,$C58,11+3*MIN(BG$3,$D$2-1)))))</f>
        <v/>
      </c>
      <c r="BH58" s="123">
        <f>IF(OR($C58="",$B$2="",$D$2=0),0,IF(BH$3&lt;0,0,N(INDEX('CURVA PREVISION'!$A$1:$KZ$3000,$C58,11+3*MIN(BH$3,$D$2-1)))))</f>
        <v/>
      </c>
      <c r="BI58" s="123">
        <f>IF(OR($C58="",$B$2="",$D$2=0),0,IF(BI$3&lt;0,0,N(INDEX('CURVA PREVISION'!$A$1:$KZ$3000,$C58,11+3*MIN(BI$3,$D$2-1)))))</f>
        <v/>
      </c>
      <c r="BJ58" s="123">
        <f>IF(OR($C58="",$B$2="",$D$2=0),0,IF(BJ$3&lt;0,0,N(INDEX('CURVA PREVISION'!$A$1:$KZ$3000,$C58,11+3*MIN(BJ$3,$D$2-1)))))</f>
        <v/>
      </c>
      <c r="BK58" s="123">
        <f>IF(OR($C58="",$B$2="",$D$2=0),0,IF(BK$3&lt;0,0,N(INDEX('CURVA PREVISION'!$A$1:$KZ$3000,$C58,11+3*MIN(BK$3,$D$2-1)))))</f>
        <v/>
      </c>
      <c r="BL58" s="123">
        <f>IF(OR($C58="",$B$2="",$D$2=0),0,IF(BL$3&lt;0,0,N(INDEX('CURVA PREVISION'!$A$1:$KZ$3000,$C58,11+3*MIN(BL$3,$D$2-1)))))</f>
        <v/>
      </c>
      <c r="BM58" s="123">
        <f>IF(OR($C58="",$B$2="",$D$2=0),0,IF(BM$3&lt;0,0,N(INDEX('CURVA PREVISION'!$A$1:$KZ$3000,$C58,11+3*MIN(BM$3,$D$2-1)))))</f>
        <v/>
      </c>
      <c r="BN58" s="123">
        <f>IF(OR($C58="",$B$2="",$D$2=0),0,IF(BN$3&lt;0,0,N(INDEX('CURVA PREVISION'!$A$1:$KZ$3000,$C58,11+3*MIN(BN$3,$D$2-1)))))</f>
        <v/>
      </c>
      <c r="BO58" s="123">
        <f>IF(OR($C58="",$B$2="",$D$2=0),0,IF(BO$3&lt;0,0,N(INDEX('CURVA PREVISION'!$A$1:$KZ$3000,$C58,11+3*MIN(BO$3,$D$2-1)))))</f>
        <v/>
      </c>
      <c r="BP58" s="123">
        <f>IF(OR($C58="",$B$2="",$D$2=0),0,IF(BP$3&lt;0,0,N(INDEX('CURVA PREVISION'!$A$1:$KZ$3000,$C58,11+3*MIN(BP$3,$D$2-1)))))</f>
        <v/>
      </c>
      <c r="BQ58" s="123">
        <f>IF(OR($C58="",$B$2="",$D$2=0),0,IF(BQ$3&lt;0,0,N(INDEX('CURVA PREVISION'!$A$1:$KZ$3000,$C58,11+3*MIN(BQ$3,$D$2-1)))))</f>
        <v/>
      </c>
      <c r="BR58" s="123">
        <f>IF(OR($C58="",$B$2="",$D$2=0),0,IF(BR$3&lt;0,0,N(INDEX('CURVA PREVISION'!$A$1:$KZ$3000,$C58,11+3*MIN(BR$3,$D$2-1)))))</f>
        <v/>
      </c>
      <c r="BS58" s="123">
        <f>IF(OR($C58="",$B$2="",$D$2=0),0,IF(BS$3&lt;0,0,N(INDEX('CURVA PREVISION'!$A$1:$KZ$3000,$C58,11+3*MIN(BS$3,$D$2-1)))))</f>
        <v/>
      </c>
      <c r="BT58" s="123">
        <f>IF(OR($C58="",$B$2="",$D$2=0),0,IF(BT$3&lt;0,0,N(INDEX('CURVA PREVISION'!$A$1:$KZ$3000,$C58,11+3*MIN(BT$3,$D$2-1)))))</f>
        <v/>
      </c>
      <c r="BU58" s="123">
        <f>IF(OR($C58="",$B$2="",$D$2=0),0,IF(BU$3&lt;0,0,N(INDEX('CURVA PREVISION'!$A$1:$KZ$3000,$C58,11+3*MIN(BU$3,$D$2-1)))))</f>
        <v/>
      </c>
      <c r="BV58" s="123">
        <f>IF(OR($C58="",$B$2="",$D$2=0),0,IF(BV$3&lt;0,0,N(INDEX('CURVA PREVISION'!$A$1:$KZ$3000,$C58,11+3*MIN(BV$3,$D$2-1)))))</f>
        <v/>
      </c>
      <c r="BW58" s="123">
        <f>IF(OR($C58="",$B$2="",$D$2=0),0,IF(BW$3&lt;0,0,N(INDEX('CURVA PREVISION'!$A$1:$KZ$3000,$C58,11+3*MIN(BW$3,$D$2-1)))))</f>
        <v/>
      </c>
    </row>
    <row r="59">
      <c r="A59" s="61">
        <f>IF('VALOR POR PL'!Q23="",'VALOR POR PL'!C23,'VALOR POR PL'!Q23)</f>
        <v/>
      </c>
      <c r="B59" s="51">
        <f>B17</f>
        <v/>
      </c>
      <c r="C59" s="70">
        <f>IFERROR(MATCH(A59,'CURVA PREVISION'!$B$1:$B$3000,0),"")</f>
        <v/>
      </c>
      <c r="D59" s="123">
        <f>IF(OR($C59="",$B$2="",$D$2=0),0,IF(D$3&lt;0,0,N(INDEX('CURVA PREVISION'!$A$1:$KZ$3000,$C59,11+3*MIN(D$3,$D$2-1)))))</f>
        <v/>
      </c>
      <c r="E59" s="123">
        <f>IF(OR($C59="",$B$2="",$D$2=0),0,IF(E$3&lt;0,0,N(INDEX('CURVA PREVISION'!$A$1:$KZ$3000,$C59,11+3*MIN(E$3,$D$2-1)))))</f>
        <v/>
      </c>
      <c r="F59" s="123">
        <f>IF(OR($C59="",$B$2="",$D$2=0),0,IF(F$3&lt;0,0,N(INDEX('CURVA PREVISION'!$A$1:$KZ$3000,$C59,11+3*MIN(F$3,$D$2-1)))))</f>
        <v/>
      </c>
      <c r="G59" s="123">
        <f>IF(OR($C59="",$B$2="",$D$2=0),0,IF(G$3&lt;0,0,N(INDEX('CURVA PREVISION'!$A$1:$KZ$3000,$C59,11+3*MIN(G$3,$D$2-1)))))</f>
        <v/>
      </c>
      <c r="H59" s="123">
        <f>IF(OR($C59="",$B$2="",$D$2=0),0,IF(H$3&lt;0,0,N(INDEX('CURVA PREVISION'!$A$1:$KZ$3000,$C59,11+3*MIN(H$3,$D$2-1)))))</f>
        <v/>
      </c>
      <c r="I59" s="123">
        <f>IF(OR($C59="",$B$2="",$D$2=0),0,IF(I$3&lt;0,0,N(INDEX('CURVA PREVISION'!$A$1:$KZ$3000,$C59,11+3*MIN(I$3,$D$2-1)))))</f>
        <v/>
      </c>
      <c r="J59" s="123">
        <f>IF(OR($C59="",$B$2="",$D$2=0),0,IF(J$3&lt;0,0,N(INDEX('CURVA PREVISION'!$A$1:$KZ$3000,$C59,11+3*MIN(J$3,$D$2-1)))))</f>
        <v/>
      </c>
      <c r="K59" s="123">
        <f>IF(OR($C59="",$B$2="",$D$2=0),0,IF(K$3&lt;0,0,N(INDEX('CURVA PREVISION'!$A$1:$KZ$3000,$C59,11+3*MIN(K$3,$D$2-1)))))</f>
        <v/>
      </c>
      <c r="L59" s="123">
        <f>IF(OR($C59="",$B$2="",$D$2=0),0,IF(L$3&lt;0,0,N(INDEX('CURVA PREVISION'!$A$1:$KZ$3000,$C59,11+3*MIN(L$3,$D$2-1)))))</f>
        <v/>
      </c>
      <c r="M59" s="123">
        <f>IF(OR($C59="",$B$2="",$D$2=0),0,IF(M$3&lt;0,0,N(INDEX('CURVA PREVISION'!$A$1:$KZ$3000,$C59,11+3*MIN(M$3,$D$2-1)))))</f>
        <v/>
      </c>
      <c r="N59" s="123">
        <f>IF(OR($C59="",$B$2="",$D$2=0),0,IF(N$3&lt;0,0,N(INDEX('CURVA PREVISION'!$A$1:$KZ$3000,$C59,11+3*MIN(N$3,$D$2-1)))))</f>
        <v/>
      </c>
      <c r="O59" s="123">
        <f>IF(OR($C59="",$B$2="",$D$2=0),0,IF(O$3&lt;0,0,N(INDEX('CURVA PREVISION'!$A$1:$KZ$3000,$C59,11+3*MIN(O$3,$D$2-1)))))</f>
        <v/>
      </c>
      <c r="P59" s="123">
        <f>IF(OR($C59="",$B$2="",$D$2=0),0,IF(P$3&lt;0,0,N(INDEX('CURVA PREVISION'!$A$1:$KZ$3000,$C59,11+3*MIN(P$3,$D$2-1)))))</f>
        <v/>
      </c>
      <c r="Q59" s="123">
        <f>IF(OR($C59="",$B$2="",$D$2=0),0,IF(Q$3&lt;0,0,N(INDEX('CURVA PREVISION'!$A$1:$KZ$3000,$C59,11+3*MIN(Q$3,$D$2-1)))))</f>
        <v/>
      </c>
      <c r="R59" s="123">
        <f>IF(OR($C59="",$B$2="",$D$2=0),0,IF(R$3&lt;0,0,N(INDEX('CURVA PREVISION'!$A$1:$KZ$3000,$C59,11+3*MIN(R$3,$D$2-1)))))</f>
        <v/>
      </c>
      <c r="S59" s="123">
        <f>IF(OR($C59="",$B$2="",$D$2=0),0,IF(S$3&lt;0,0,N(INDEX('CURVA PREVISION'!$A$1:$KZ$3000,$C59,11+3*MIN(S$3,$D$2-1)))))</f>
        <v/>
      </c>
      <c r="T59" s="123">
        <f>IF(OR($C59="",$B$2="",$D$2=0),0,IF(T$3&lt;0,0,N(INDEX('CURVA PREVISION'!$A$1:$KZ$3000,$C59,11+3*MIN(T$3,$D$2-1)))))</f>
        <v/>
      </c>
      <c r="U59" s="123">
        <f>IF(OR($C59="",$B$2="",$D$2=0),0,IF(U$3&lt;0,0,N(INDEX('CURVA PREVISION'!$A$1:$KZ$3000,$C59,11+3*MIN(U$3,$D$2-1)))))</f>
        <v/>
      </c>
      <c r="V59" s="123">
        <f>IF(OR($C59="",$B$2="",$D$2=0),0,IF(V$3&lt;0,0,N(INDEX('CURVA PREVISION'!$A$1:$KZ$3000,$C59,11+3*MIN(V$3,$D$2-1)))))</f>
        <v/>
      </c>
      <c r="W59" s="123">
        <f>IF(OR($C59="",$B$2="",$D$2=0),0,IF(W$3&lt;0,0,N(INDEX('CURVA PREVISION'!$A$1:$KZ$3000,$C59,11+3*MIN(W$3,$D$2-1)))))</f>
        <v/>
      </c>
      <c r="X59" s="123">
        <f>IF(OR($C59="",$B$2="",$D$2=0),0,IF(X$3&lt;0,0,N(INDEX('CURVA PREVISION'!$A$1:$KZ$3000,$C59,11+3*MIN(X$3,$D$2-1)))))</f>
        <v/>
      </c>
      <c r="Y59" s="123">
        <f>IF(OR($C59="",$B$2="",$D$2=0),0,IF(Y$3&lt;0,0,N(INDEX('CURVA PREVISION'!$A$1:$KZ$3000,$C59,11+3*MIN(Y$3,$D$2-1)))))</f>
        <v/>
      </c>
      <c r="Z59" s="123">
        <f>IF(OR($C59="",$B$2="",$D$2=0),0,IF(Z$3&lt;0,0,N(INDEX('CURVA PREVISION'!$A$1:$KZ$3000,$C59,11+3*MIN(Z$3,$D$2-1)))))</f>
        <v/>
      </c>
      <c r="AA59" s="123">
        <f>IF(OR($C59="",$B$2="",$D$2=0),0,IF(AA$3&lt;0,0,N(INDEX('CURVA PREVISION'!$A$1:$KZ$3000,$C59,11+3*MIN(AA$3,$D$2-1)))))</f>
        <v/>
      </c>
      <c r="AB59" s="123">
        <f>IF(OR($C59="",$B$2="",$D$2=0),0,IF(AB$3&lt;0,0,N(INDEX('CURVA PREVISION'!$A$1:$KZ$3000,$C59,11+3*MIN(AB$3,$D$2-1)))))</f>
        <v/>
      </c>
      <c r="AC59" s="123">
        <f>IF(OR($C59="",$B$2="",$D$2=0),0,IF(AC$3&lt;0,0,N(INDEX('CURVA PREVISION'!$A$1:$KZ$3000,$C59,11+3*MIN(AC$3,$D$2-1)))))</f>
        <v/>
      </c>
      <c r="AD59" s="123">
        <f>IF(OR($C59="",$B$2="",$D$2=0),0,IF(AD$3&lt;0,0,N(INDEX('CURVA PREVISION'!$A$1:$KZ$3000,$C59,11+3*MIN(AD$3,$D$2-1)))))</f>
        <v/>
      </c>
      <c r="AE59" s="123">
        <f>IF(OR($C59="",$B$2="",$D$2=0),0,IF(AE$3&lt;0,0,N(INDEX('CURVA PREVISION'!$A$1:$KZ$3000,$C59,11+3*MIN(AE$3,$D$2-1)))))</f>
        <v/>
      </c>
      <c r="AF59" s="123">
        <f>IF(OR($C59="",$B$2="",$D$2=0),0,IF(AF$3&lt;0,0,N(INDEX('CURVA PREVISION'!$A$1:$KZ$3000,$C59,11+3*MIN(AF$3,$D$2-1)))))</f>
        <v/>
      </c>
      <c r="AG59" s="123">
        <f>IF(OR($C59="",$B$2="",$D$2=0),0,IF(AG$3&lt;0,0,N(INDEX('CURVA PREVISION'!$A$1:$KZ$3000,$C59,11+3*MIN(AG$3,$D$2-1)))))</f>
        <v/>
      </c>
      <c r="AH59" s="123">
        <f>IF(OR($C59="",$B$2="",$D$2=0),0,IF(AH$3&lt;0,0,N(INDEX('CURVA PREVISION'!$A$1:$KZ$3000,$C59,11+3*MIN(AH$3,$D$2-1)))))</f>
        <v/>
      </c>
      <c r="AI59" s="123">
        <f>IF(OR($C59="",$B$2="",$D$2=0),0,IF(AI$3&lt;0,0,N(INDEX('CURVA PREVISION'!$A$1:$KZ$3000,$C59,11+3*MIN(AI$3,$D$2-1)))))</f>
        <v/>
      </c>
      <c r="AJ59" s="123">
        <f>IF(OR($C59="",$B$2="",$D$2=0),0,IF(AJ$3&lt;0,0,N(INDEX('CURVA PREVISION'!$A$1:$KZ$3000,$C59,11+3*MIN(AJ$3,$D$2-1)))))</f>
        <v/>
      </c>
      <c r="AK59" s="123">
        <f>IF(OR($C59="",$B$2="",$D$2=0),0,IF(AK$3&lt;0,0,N(INDEX('CURVA PREVISION'!$A$1:$KZ$3000,$C59,11+3*MIN(AK$3,$D$2-1)))))</f>
        <v/>
      </c>
      <c r="AL59" s="123">
        <f>IF(OR($C59="",$B$2="",$D$2=0),0,IF(AL$3&lt;0,0,N(INDEX('CURVA PREVISION'!$A$1:$KZ$3000,$C59,11+3*MIN(AL$3,$D$2-1)))))</f>
        <v/>
      </c>
      <c r="AM59" s="123">
        <f>IF(OR($C59="",$B$2="",$D$2=0),0,IF(AM$3&lt;0,0,N(INDEX('CURVA PREVISION'!$A$1:$KZ$3000,$C59,11+3*MIN(AM$3,$D$2-1)))))</f>
        <v/>
      </c>
      <c r="AN59" s="123">
        <f>IF(OR($C59="",$B$2="",$D$2=0),0,IF(AN$3&lt;0,0,N(INDEX('CURVA PREVISION'!$A$1:$KZ$3000,$C59,11+3*MIN(AN$3,$D$2-1)))))</f>
        <v/>
      </c>
      <c r="AO59" s="123">
        <f>IF(OR($C59="",$B$2="",$D$2=0),0,IF(AO$3&lt;0,0,N(INDEX('CURVA PREVISION'!$A$1:$KZ$3000,$C59,11+3*MIN(AO$3,$D$2-1)))))</f>
        <v/>
      </c>
      <c r="AP59" s="123">
        <f>IF(OR($C59="",$B$2="",$D$2=0),0,IF(AP$3&lt;0,0,N(INDEX('CURVA PREVISION'!$A$1:$KZ$3000,$C59,11+3*MIN(AP$3,$D$2-1)))))</f>
        <v/>
      </c>
      <c r="AQ59" s="123">
        <f>IF(OR($C59="",$B$2="",$D$2=0),0,IF(AQ$3&lt;0,0,N(INDEX('CURVA PREVISION'!$A$1:$KZ$3000,$C59,11+3*MIN(AQ$3,$D$2-1)))))</f>
        <v/>
      </c>
      <c r="AR59" s="123">
        <f>IF(OR($C59="",$B$2="",$D$2=0),0,IF(AR$3&lt;0,0,N(INDEX('CURVA PREVISION'!$A$1:$KZ$3000,$C59,11+3*MIN(AR$3,$D$2-1)))))</f>
        <v/>
      </c>
      <c r="AS59" s="123">
        <f>IF(OR($C59="",$B$2="",$D$2=0),0,IF(AS$3&lt;0,0,N(INDEX('CURVA PREVISION'!$A$1:$KZ$3000,$C59,11+3*MIN(AS$3,$D$2-1)))))</f>
        <v/>
      </c>
      <c r="AT59" s="123">
        <f>IF(OR($C59="",$B$2="",$D$2=0),0,IF(AT$3&lt;0,0,N(INDEX('CURVA PREVISION'!$A$1:$KZ$3000,$C59,11+3*MIN(AT$3,$D$2-1)))))</f>
        <v/>
      </c>
      <c r="AU59" s="123">
        <f>IF(OR($C59="",$B$2="",$D$2=0),0,IF(AU$3&lt;0,0,N(INDEX('CURVA PREVISION'!$A$1:$KZ$3000,$C59,11+3*MIN(AU$3,$D$2-1)))))</f>
        <v/>
      </c>
      <c r="AV59" s="123">
        <f>IF(OR($C59="",$B$2="",$D$2=0),0,IF(AV$3&lt;0,0,N(INDEX('CURVA PREVISION'!$A$1:$KZ$3000,$C59,11+3*MIN(AV$3,$D$2-1)))))</f>
        <v/>
      </c>
      <c r="AW59" s="123">
        <f>IF(OR($C59="",$B$2="",$D$2=0),0,IF(AW$3&lt;0,0,N(INDEX('CURVA PREVISION'!$A$1:$KZ$3000,$C59,11+3*MIN(AW$3,$D$2-1)))))</f>
        <v/>
      </c>
      <c r="AX59" s="123">
        <f>IF(OR($C59="",$B$2="",$D$2=0),0,IF(AX$3&lt;0,0,N(INDEX('CURVA PREVISION'!$A$1:$KZ$3000,$C59,11+3*MIN(AX$3,$D$2-1)))))</f>
        <v/>
      </c>
      <c r="AY59" s="123">
        <f>IF(OR($C59="",$B$2="",$D$2=0),0,IF(AY$3&lt;0,0,N(INDEX('CURVA PREVISION'!$A$1:$KZ$3000,$C59,11+3*MIN(AY$3,$D$2-1)))))</f>
        <v/>
      </c>
      <c r="AZ59" s="123">
        <f>IF(OR($C59="",$B$2="",$D$2=0),0,IF(AZ$3&lt;0,0,N(INDEX('CURVA PREVISION'!$A$1:$KZ$3000,$C59,11+3*MIN(AZ$3,$D$2-1)))))</f>
        <v/>
      </c>
      <c r="BA59" s="123">
        <f>IF(OR($C59="",$B$2="",$D$2=0),0,IF(BA$3&lt;0,0,N(INDEX('CURVA PREVISION'!$A$1:$KZ$3000,$C59,11+3*MIN(BA$3,$D$2-1)))))</f>
        <v/>
      </c>
      <c r="BB59" s="123">
        <f>IF(OR($C59="",$B$2="",$D$2=0),0,IF(BB$3&lt;0,0,N(INDEX('CURVA PREVISION'!$A$1:$KZ$3000,$C59,11+3*MIN(BB$3,$D$2-1)))))</f>
        <v/>
      </c>
      <c r="BC59" s="123">
        <f>IF(OR($C59="",$B$2="",$D$2=0),0,IF(BC$3&lt;0,0,N(INDEX('CURVA PREVISION'!$A$1:$KZ$3000,$C59,11+3*MIN(BC$3,$D$2-1)))))</f>
        <v/>
      </c>
      <c r="BD59" s="123">
        <f>IF(OR($C59="",$B$2="",$D$2=0),0,IF(BD$3&lt;0,0,N(INDEX('CURVA PREVISION'!$A$1:$KZ$3000,$C59,11+3*MIN(BD$3,$D$2-1)))))</f>
        <v/>
      </c>
      <c r="BE59" s="123">
        <f>IF(OR($C59="",$B$2="",$D$2=0),0,IF(BE$3&lt;0,0,N(INDEX('CURVA PREVISION'!$A$1:$KZ$3000,$C59,11+3*MIN(BE$3,$D$2-1)))))</f>
        <v/>
      </c>
      <c r="BF59" s="123">
        <f>IF(OR($C59="",$B$2="",$D$2=0),0,IF(BF$3&lt;0,0,N(INDEX('CURVA PREVISION'!$A$1:$KZ$3000,$C59,11+3*MIN(BF$3,$D$2-1)))))</f>
        <v/>
      </c>
      <c r="BG59" s="123">
        <f>IF(OR($C59="",$B$2="",$D$2=0),0,IF(BG$3&lt;0,0,N(INDEX('CURVA PREVISION'!$A$1:$KZ$3000,$C59,11+3*MIN(BG$3,$D$2-1)))))</f>
        <v/>
      </c>
      <c r="BH59" s="123">
        <f>IF(OR($C59="",$B$2="",$D$2=0),0,IF(BH$3&lt;0,0,N(INDEX('CURVA PREVISION'!$A$1:$KZ$3000,$C59,11+3*MIN(BH$3,$D$2-1)))))</f>
        <v/>
      </c>
      <c r="BI59" s="123">
        <f>IF(OR($C59="",$B$2="",$D$2=0),0,IF(BI$3&lt;0,0,N(INDEX('CURVA PREVISION'!$A$1:$KZ$3000,$C59,11+3*MIN(BI$3,$D$2-1)))))</f>
        <v/>
      </c>
      <c r="BJ59" s="123">
        <f>IF(OR($C59="",$B$2="",$D$2=0),0,IF(BJ$3&lt;0,0,N(INDEX('CURVA PREVISION'!$A$1:$KZ$3000,$C59,11+3*MIN(BJ$3,$D$2-1)))))</f>
        <v/>
      </c>
      <c r="BK59" s="123">
        <f>IF(OR($C59="",$B$2="",$D$2=0),0,IF(BK$3&lt;0,0,N(INDEX('CURVA PREVISION'!$A$1:$KZ$3000,$C59,11+3*MIN(BK$3,$D$2-1)))))</f>
        <v/>
      </c>
      <c r="BL59" s="123">
        <f>IF(OR($C59="",$B$2="",$D$2=0),0,IF(BL$3&lt;0,0,N(INDEX('CURVA PREVISION'!$A$1:$KZ$3000,$C59,11+3*MIN(BL$3,$D$2-1)))))</f>
        <v/>
      </c>
      <c r="BM59" s="123">
        <f>IF(OR($C59="",$B$2="",$D$2=0),0,IF(BM$3&lt;0,0,N(INDEX('CURVA PREVISION'!$A$1:$KZ$3000,$C59,11+3*MIN(BM$3,$D$2-1)))))</f>
        <v/>
      </c>
      <c r="BN59" s="123">
        <f>IF(OR($C59="",$B$2="",$D$2=0),0,IF(BN$3&lt;0,0,N(INDEX('CURVA PREVISION'!$A$1:$KZ$3000,$C59,11+3*MIN(BN$3,$D$2-1)))))</f>
        <v/>
      </c>
      <c r="BO59" s="123">
        <f>IF(OR($C59="",$B$2="",$D$2=0),0,IF(BO$3&lt;0,0,N(INDEX('CURVA PREVISION'!$A$1:$KZ$3000,$C59,11+3*MIN(BO$3,$D$2-1)))))</f>
        <v/>
      </c>
      <c r="BP59" s="123">
        <f>IF(OR($C59="",$B$2="",$D$2=0),0,IF(BP$3&lt;0,0,N(INDEX('CURVA PREVISION'!$A$1:$KZ$3000,$C59,11+3*MIN(BP$3,$D$2-1)))))</f>
        <v/>
      </c>
      <c r="BQ59" s="123">
        <f>IF(OR($C59="",$B$2="",$D$2=0),0,IF(BQ$3&lt;0,0,N(INDEX('CURVA PREVISION'!$A$1:$KZ$3000,$C59,11+3*MIN(BQ$3,$D$2-1)))))</f>
        <v/>
      </c>
      <c r="BR59" s="123">
        <f>IF(OR($C59="",$B$2="",$D$2=0),0,IF(BR$3&lt;0,0,N(INDEX('CURVA PREVISION'!$A$1:$KZ$3000,$C59,11+3*MIN(BR$3,$D$2-1)))))</f>
        <v/>
      </c>
      <c r="BS59" s="123">
        <f>IF(OR($C59="",$B$2="",$D$2=0),0,IF(BS$3&lt;0,0,N(INDEX('CURVA PREVISION'!$A$1:$KZ$3000,$C59,11+3*MIN(BS$3,$D$2-1)))))</f>
        <v/>
      </c>
      <c r="BT59" s="123">
        <f>IF(OR($C59="",$B$2="",$D$2=0),0,IF(BT$3&lt;0,0,N(INDEX('CURVA PREVISION'!$A$1:$KZ$3000,$C59,11+3*MIN(BT$3,$D$2-1)))))</f>
        <v/>
      </c>
      <c r="BU59" s="123">
        <f>IF(OR($C59="",$B$2="",$D$2=0),0,IF(BU$3&lt;0,0,N(INDEX('CURVA PREVISION'!$A$1:$KZ$3000,$C59,11+3*MIN(BU$3,$D$2-1)))))</f>
        <v/>
      </c>
      <c r="BV59" s="123">
        <f>IF(OR($C59="",$B$2="",$D$2=0),0,IF(BV$3&lt;0,0,N(INDEX('CURVA PREVISION'!$A$1:$KZ$3000,$C59,11+3*MIN(BV$3,$D$2-1)))))</f>
        <v/>
      </c>
      <c r="BW59" s="123">
        <f>IF(OR($C59="",$B$2="",$D$2=0),0,IF(BW$3&lt;0,0,N(INDEX('CURVA PREVISION'!$A$1:$KZ$3000,$C59,11+3*MIN(BW$3,$D$2-1)))))</f>
        <v/>
      </c>
    </row>
    <row r="60">
      <c r="A60" s="61">
        <f>IF('VALOR POR PL'!Q24="",'VALOR POR PL'!C24,'VALOR POR PL'!Q24)</f>
        <v/>
      </c>
      <c r="B60" s="51">
        <f>B18</f>
        <v/>
      </c>
      <c r="C60" s="70">
        <f>IFERROR(MATCH(A60,'CURVA PREVISION'!$B$1:$B$3000,0),"")</f>
        <v/>
      </c>
      <c r="D60" s="123">
        <f>IF(OR($C60="",$B$2="",$D$2=0),0,IF(D$3&lt;0,0,N(INDEX('CURVA PREVISION'!$A$1:$KZ$3000,$C60,11+3*MIN(D$3,$D$2-1)))))</f>
        <v/>
      </c>
      <c r="E60" s="123">
        <f>IF(OR($C60="",$B$2="",$D$2=0),0,IF(E$3&lt;0,0,N(INDEX('CURVA PREVISION'!$A$1:$KZ$3000,$C60,11+3*MIN(E$3,$D$2-1)))))</f>
        <v/>
      </c>
      <c r="F60" s="123">
        <f>IF(OR($C60="",$B$2="",$D$2=0),0,IF(F$3&lt;0,0,N(INDEX('CURVA PREVISION'!$A$1:$KZ$3000,$C60,11+3*MIN(F$3,$D$2-1)))))</f>
        <v/>
      </c>
      <c r="G60" s="123">
        <f>IF(OR($C60="",$B$2="",$D$2=0),0,IF(G$3&lt;0,0,N(INDEX('CURVA PREVISION'!$A$1:$KZ$3000,$C60,11+3*MIN(G$3,$D$2-1)))))</f>
        <v/>
      </c>
      <c r="H60" s="123">
        <f>IF(OR($C60="",$B$2="",$D$2=0),0,IF(H$3&lt;0,0,N(INDEX('CURVA PREVISION'!$A$1:$KZ$3000,$C60,11+3*MIN(H$3,$D$2-1)))))</f>
        <v/>
      </c>
      <c r="I60" s="123">
        <f>IF(OR($C60="",$B$2="",$D$2=0),0,IF(I$3&lt;0,0,N(INDEX('CURVA PREVISION'!$A$1:$KZ$3000,$C60,11+3*MIN(I$3,$D$2-1)))))</f>
        <v/>
      </c>
      <c r="J60" s="123">
        <f>IF(OR($C60="",$B$2="",$D$2=0),0,IF(J$3&lt;0,0,N(INDEX('CURVA PREVISION'!$A$1:$KZ$3000,$C60,11+3*MIN(J$3,$D$2-1)))))</f>
        <v/>
      </c>
      <c r="K60" s="123">
        <f>IF(OR($C60="",$B$2="",$D$2=0),0,IF(K$3&lt;0,0,N(INDEX('CURVA PREVISION'!$A$1:$KZ$3000,$C60,11+3*MIN(K$3,$D$2-1)))))</f>
        <v/>
      </c>
      <c r="L60" s="123">
        <f>IF(OR($C60="",$B$2="",$D$2=0),0,IF(L$3&lt;0,0,N(INDEX('CURVA PREVISION'!$A$1:$KZ$3000,$C60,11+3*MIN(L$3,$D$2-1)))))</f>
        <v/>
      </c>
      <c r="M60" s="123">
        <f>IF(OR($C60="",$B$2="",$D$2=0),0,IF(M$3&lt;0,0,N(INDEX('CURVA PREVISION'!$A$1:$KZ$3000,$C60,11+3*MIN(M$3,$D$2-1)))))</f>
        <v/>
      </c>
      <c r="N60" s="123">
        <f>IF(OR($C60="",$B$2="",$D$2=0),0,IF(N$3&lt;0,0,N(INDEX('CURVA PREVISION'!$A$1:$KZ$3000,$C60,11+3*MIN(N$3,$D$2-1)))))</f>
        <v/>
      </c>
      <c r="O60" s="123">
        <f>IF(OR($C60="",$B$2="",$D$2=0),0,IF(O$3&lt;0,0,N(INDEX('CURVA PREVISION'!$A$1:$KZ$3000,$C60,11+3*MIN(O$3,$D$2-1)))))</f>
        <v/>
      </c>
      <c r="P60" s="123">
        <f>IF(OR($C60="",$B$2="",$D$2=0),0,IF(P$3&lt;0,0,N(INDEX('CURVA PREVISION'!$A$1:$KZ$3000,$C60,11+3*MIN(P$3,$D$2-1)))))</f>
        <v/>
      </c>
      <c r="Q60" s="123">
        <f>IF(OR($C60="",$B$2="",$D$2=0),0,IF(Q$3&lt;0,0,N(INDEX('CURVA PREVISION'!$A$1:$KZ$3000,$C60,11+3*MIN(Q$3,$D$2-1)))))</f>
        <v/>
      </c>
      <c r="R60" s="123">
        <f>IF(OR($C60="",$B$2="",$D$2=0),0,IF(R$3&lt;0,0,N(INDEX('CURVA PREVISION'!$A$1:$KZ$3000,$C60,11+3*MIN(R$3,$D$2-1)))))</f>
        <v/>
      </c>
      <c r="S60" s="123">
        <f>IF(OR($C60="",$B$2="",$D$2=0),0,IF(S$3&lt;0,0,N(INDEX('CURVA PREVISION'!$A$1:$KZ$3000,$C60,11+3*MIN(S$3,$D$2-1)))))</f>
        <v/>
      </c>
      <c r="T60" s="123">
        <f>IF(OR($C60="",$B$2="",$D$2=0),0,IF(T$3&lt;0,0,N(INDEX('CURVA PREVISION'!$A$1:$KZ$3000,$C60,11+3*MIN(T$3,$D$2-1)))))</f>
        <v/>
      </c>
      <c r="U60" s="123">
        <f>IF(OR($C60="",$B$2="",$D$2=0),0,IF(U$3&lt;0,0,N(INDEX('CURVA PREVISION'!$A$1:$KZ$3000,$C60,11+3*MIN(U$3,$D$2-1)))))</f>
        <v/>
      </c>
      <c r="V60" s="123">
        <f>IF(OR($C60="",$B$2="",$D$2=0),0,IF(V$3&lt;0,0,N(INDEX('CURVA PREVISION'!$A$1:$KZ$3000,$C60,11+3*MIN(V$3,$D$2-1)))))</f>
        <v/>
      </c>
      <c r="W60" s="123">
        <f>IF(OR($C60="",$B$2="",$D$2=0),0,IF(W$3&lt;0,0,N(INDEX('CURVA PREVISION'!$A$1:$KZ$3000,$C60,11+3*MIN(W$3,$D$2-1)))))</f>
        <v/>
      </c>
      <c r="X60" s="123">
        <f>IF(OR($C60="",$B$2="",$D$2=0),0,IF(X$3&lt;0,0,N(INDEX('CURVA PREVISION'!$A$1:$KZ$3000,$C60,11+3*MIN(X$3,$D$2-1)))))</f>
        <v/>
      </c>
      <c r="Y60" s="123">
        <f>IF(OR($C60="",$B$2="",$D$2=0),0,IF(Y$3&lt;0,0,N(INDEX('CURVA PREVISION'!$A$1:$KZ$3000,$C60,11+3*MIN(Y$3,$D$2-1)))))</f>
        <v/>
      </c>
      <c r="Z60" s="123">
        <f>IF(OR($C60="",$B$2="",$D$2=0),0,IF(Z$3&lt;0,0,N(INDEX('CURVA PREVISION'!$A$1:$KZ$3000,$C60,11+3*MIN(Z$3,$D$2-1)))))</f>
        <v/>
      </c>
      <c r="AA60" s="123">
        <f>IF(OR($C60="",$B$2="",$D$2=0),0,IF(AA$3&lt;0,0,N(INDEX('CURVA PREVISION'!$A$1:$KZ$3000,$C60,11+3*MIN(AA$3,$D$2-1)))))</f>
        <v/>
      </c>
      <c r="AB60" s="123">
        <f>IF(OR($C60="",$B$2="",$D$2=0),0,IF(AB$3&lt;0,0,N(INDEX('CURVA PREVISION'!$A$1:$KZ$3000,$C60,11+3*MIN(AB$3,$D$2-1)))))</f>
        <v/>
      </c>
      <c r="AC60" s="123">
        <f>IF(OR($C60="",$B$2="",$D$2=0),0,IF(AC$3&lt;0,0,N(INDEX('CURVA PREVISION'!$A$1:$KZ$3000,$C60,11+3*MIN(AC$3,$D$2-1)))))</f>
        <v/>
      </c>
      <c r="AD60" s="123">
        <f>IF(OR($C60="",$B$2="",$D$2=0),0,IF(AD$3&lt;0,0,N(INDEX('CURVA PREVISION'!$A$1:$KZ$3000,$C60,11+3*MIN(AD$3,$D$2-1)))))</f>
        <v/>
      </c>
      <c r="AE60" s="123">
        <f>IF(OR($C60="",$B$2="",$D$2=0),0,IF(AE$3&lt;0,0,N(INDEX('CURVA PREVISION'!$A$1:$KZ$3000,$C60,11+3*MIN(AE$3,$D$2-1)))))</f>
        <v/>
      </c>
      <c r="AF60" s="123">
        <f>IF(OR($C60="",$B$2="",$D$2=0),0,IF(AF$3&lt;0,0,N(INDEX('CURVA PREVISION'!$A$1:$KZ$3000,$C60,11+3*MIN(AF$3,$D$2-1)))))</f>
        <v/>
      </c>
      <c r="AG60" s="123">
        <f>IF(OR($C60="",$B$2="",$D$2=0),0,IF(AG$3&lt;0,0,N(INDEX('CURVA PREVISION'!$A$1:$KZ$3000,$C60,11+3*MIN(AG$3,$D$2-1)))))</f>
        <v/>
      </c>
      <c r="AH60" s="123">
        <f>IF(OR($C60="",$B$2="",$D$2=0),0,IF(AH$3&lt;0,0,N(INDEX('CURVA PREVISION'!$A$1:$KZ$3000,$C60,11+3*MIN(AH$3,$D$2-1)))))</f>
        <v/>
      </c>
      <c r="AI60" s="123">
        <f>IF(OR($C60="",$B$2="",$D$2=0),0,IF(AI$3&lt;0,0,N(INDEX('CURVA PREVISION'!$A$1:$KZ$3000,$C60,11+3*MIN(AI$3,$D$2-1)))))</f>
        <v/>
      </c>
      <c r="AJ60" s="123">
        <f>IF(OR($C60="",$B$2="",$D$2=0),0,IF(AJ$3&lt;0,0,N(INDEX('CURVA PREVISION'!$A$1:$KZ$3000,$C60,11+3*MIN(AJ$3,$D$2-1)))))</f>
        <v/>
      </c>
      <c r="AK60" s="123">
        <f>IF(OR($C60="",$B$2="",$D$2=0),0,IF(AK$3&lt;0,0,N(INDEX('CURVA PREVISION'!$A$1:$KZ$3000,$C60,11+3*MIN(AK$3,$D$2-1)))))</f>
        <v/>
      </c>
      <c r="AL60" s="123">
        <f>IF(OR($C60="",$B$2="",$D$2=0),0,IF(AL$3&lt;0,0,N(INDEX('CURVA PREVISION'!$A$1:$KZ$3000,$C60,11+3*MIN(AL$3,$D$2-1)))))</f>
        <v/>
      </c>
      <c r="AM60" s="123">
        <f>IF(OR($C60="",$B$2="",$D$2=0),0,IF(AM$3&lt;0,0,N(INDEX('CURVA PREVISION'!$A$1:$KZ$3000,$C60,11+3*MIN(AM$3,$D$2-1)))))</f>
        <v/>
      </c>
      <c r="AN60" s="123">
        <f>IF(OR($C60="",$B$2="",$D$2=0),0,IF(AN$3&lt;0,0,N(INDEX('CURVA PREVISION'!$A$1:$KZ$3000,$C60,11+3*MIN(AN$3,$D$2-1)))))</f>
        <v/>
      </c>
      <c r="AO60" s="123">
        <f>IF(OR($C60="",$B$2="",$D$2=0),0,IF(AO$3&lt;0,0,N(INDEX('CURVA PREVISION'!$A$1:$KZ$3000,$C60,11+3*MIN(AO$3,$D$2-1)))))</f>
        <v/>
      </c>
      <c r="AP60" s="123">
        <f>IF(OR($C60="",$B$2="",$D$2=0),0,IF(AP$3&lt;0,0,N(INDEX('CURVA PREVISION'!$A$1:$KZ$3000,$C60,11+3*MIN(AP$3,$D$2-1)))))</f>
        <v/>
      </c>
      <c r="AQ60" s="123">
        <f>IF(OR($C60="",$B$2="",$D$2=0),0,IF(AQ$3&lt;0,0,N(INDEX('CURVA PREVISION'!$A$1:$KZ$3000,$C60,11+3*MIN(AQ$3,$D$2-1)))))</f>
        <v/>
      </c>
      <c r="AR60" s="123">
        <f>IF(OR($C60="",$B$2="",$D$2=0),0,IF(AR$3&lt;0,0,N(INDEX('CURVA PREVISION'!$A$1:$KZ$3000,$C60,11+3*MIN(AR$3,$D$2-1)))))</f>
        <v/>
      </c>
      <c r="AS60" s="123">
        <f>IF(OR($C60="",$B$2="",$D$2=0),0,IF(AS$3&lt;0,0,N(INDEX('CURVA PREVISION'!$A$1:$KZ$3000,$C60,11+3*MIN(AS$3,$D$2-1)))))</f>
        <v/>
      </c>
      <c r="AT60" s="123">
        <f>IF(OR($C60="",$B$2="",$D$2=0),0,IF(AT$3&lt;0,0,N(INDEX('CURVA PREVISION'!$A$1:$KZ$3000,$C60,11+3*MIN(AT$3,$D$2-1)))))</f>
        <v/>
      </c>
      <c r="AU60" s="123">
        <f>IF(OR($C60="",$B$2="",$D$2=0),0,IF(AU$3&lt;0,0,N(INDEX('CURVA PREVISION'!$A$1:$KZ$3000,$C60,11+3*MIN(AU$3,$D$2-1)))))</f>
        <v/>
      </c>
      <c r="AV60" s="123">
        <f>IF(OR($C60="",$B$2="",$D$2=0),0,IF(AV$3&lt;0,0,N(INDEX('CURVA PREVISION'!$A$1:$KZ$3000,$C60,11+3*MIN(AV$3,$D$2-1)))))</f>
        <v/>
      </c>
      <c r="AW60" s="123">
        <f>IF(OR($C60="",$B$2="",$D$2=0),0,IF(AW$3&lt;0,0,N(INDEX('CURVA PREVISION'!$A$1:$KZ$3000,$C60,11+3*MIN(AW$3,$D$2-1)))))</f>
        <v/>
      </c>
      <c r="AX60" s="123">
        <f>IF(OR($C60="",$B$2="",$D$2=0),0,IF(AX$3&lt;0,0,N(INDEX('CURVA PREVISION'!$A$1:$KZ$3000,$C60,11+3*MIN(AX$3,$D$2-1)))))</f>
        <v/>
      </c>
      <c r="AY60" s="123">
        <f>IF(OR($C60="",$B$2="",$D$2=0),0,IF(AY$3&lt;0,0,N(INDEX('CURVA PREVISION'!$A$1:$KZ$3000,$C60,11+3*MIN(AY$3,$D$2-1)))))</f>
        <v/>
      </c>
      <c r="AZ60" s="123">
        <f>IF(OR($C60="",$B$2="",$D$2=0),0,IF(AZ$3&lt;0,0,N(INDEX('CURVA PREVISION'!$A$1:$KZ$3000,$C60,11+3*MIN(AZ$3,$D$2-1)))))</f>
        <v/>
      </c>
      <c r="BA60" s="123">
        <f>IF(OR($C60="",$B$2="",$D$2=0),0,IF(BA$3&lt;0,0,N(INDEX('CURVA PREVISION'!$A$1:$KZ$3000,$C60,11+3*MIN(BA$3,$D$2-1)))))</f>
        <v/>
      </c>
      <c r="BB60" s="123">
        <f>IF(OR($C60="",$B$2="",$D$2=0),0,IF(BB$3&lt;0,0,N(INDEX('CURVA PREVISION'!$A$1:$KZ$3000,$C60,11+3*MIN(BB$3,$D$2-1)))))</f>
        <v/>
      </c>
      <c r="BC60" s="123">
        <f>IF(OR($C60="",$B$2="",$D$2=0),0,IF(BC$3&lt;0,0,N(INDEX('CURVA PREVISION'!$A$1:$KZ$3000,$C60,11+3*MIN(BC$3,$D$2-1)))))</f>
        <v/>
      </c>
      <c r="BD60" s="123">
        <f>IF(OR($C60="",$B$2="",$D$2=0),0,IF(BD$3&lt;0,0,N(INDEX('CURVA PREVISION'!$A$1:$KZ$3000,$C60,11+3*MIN(BD$3,$D$2-1)))))</f>
        <v/>
      </c>
      <c r="BE60" s="123">
        <f>IF(OR($C60="",$B$2="",$D$2=0),0,IF(BE$3&lt;0,0,N(INDEX('CURVA PREVISION'!$A$1:$KZ$3000,$C60,11+3*MIN(BE$3,$D$2-1)))))</f>
        <v/>
      </c>
      <c r="BF60" s="123">
        <f>IF(OR($C60="",$B$2="",$D$2=0),0,IF(BF$3&lt;0,0,N(INDEX('CURVA PREVISION'!$A$1:$KZ$3000,$C60,11+3*MIN(BF$3,$D$2-1)))))</f>
        <v/>
      </c>
      <c r="BG60" s="123">
        <f>IF(OR($C60="",$B$2="",$D$2=0),0,IF(BG$3&lt;0,0,N(INDEX('CURVA PREVISION'!$A$1:$KZ$3000,$C60,11+3*MIN(BG$3,$D$2-1)))))</f>
        <v/>
      </c>
      <c r="BH60" s="123">
        <f>IF(OR($C60="",$B$2="",$D$2=0),0,IF(BH$3&lt;0,0,N(INDEX('CURVA PREVISION'!$A$1:$KZ$3000,$C60,11+3*MIN(BH$3,$D$2-1)))))</f>
        <v/>
      </c>
      <c r="BI60" s="123">
        <f>IF(OR($C60="",$B$2="",$D$2=0),0,IF(BI$3&lt;0,0,N(INDEX('CURVA PREVISION'!$A$1:$KZ$3000,$C60,11+3*MIN(BI$3,$D$2-1)))))</f>
        <v/>
      </c>
      <c r="BJ60" s="123">
        <f>IF(OR($C60="",$B$2="",$D$2=0),0,IF(BJ$3&lt;0,0,N(INDEX('CURVA PREVISION'!$A$1:$KZ$3000,$C60,11+3*MIN(BJ$3,$D$2-1)))))</f>
        <v/>
      </c>
      <c r="BK60" s="123">
        <f>IF(OR($C60="",$B$2="",$D$2=0),0,IF(BK$3&lt;0,0,N(INDEX('CURVA PREVISION'!$A$1:$KZ$3000,$C60,11+3*MIN(BK$3,$D$2-1)))))</f>
        <v/>
      </c>
      <c r="BL60" s="123">
        <f>IF(OR($C60="",$B$2="",$D$2=0),0,IF(BL$3&lt;0,0,N(INDEX('CURVA PREVISION'!$A$1:$KZ$3000,$C60,11+3*MIN(BL$3,$D$2-1)))))</f>
        <v/>
      </c>
      <c r="BM60" s="123">
        <f>IF(OR($C60="",$B$2="",$D$2=0),0,IF(BM$3&lt;0,0,N(INDEX('CURVA PREVISION'!$A$1:$KZ$3000,$C60,11+3*MIN(BM$3,$D$2-1)))))</f>
        <v/>
      </c>
      <c r="BN60" s="123">
        <f>IF(OR($C60="",$B$2="",$D$2=0),0,IF(BN$3&lt;0,0,N(INDEX('CURVA PREVISION'!$A$1:$KZ$3000,$C60,11+3*MIN(BN$3,$D$2-1)))))</f>
        <v/>
      </c>
      <c r="BO60" s="123">
        <f>IF(OR($C60="",$B$2="",$D$2=0),0,IF(BO$3&lt;0,0,N(INDEX('CURVA PREVISION'!$A$1:$KZ$3000,$C60,11+3*MIN(BO$3,$D$2-1)))))</f>
        <v/>
      </c>
      <c r="BP60" s="123">
        <f>IF(OR($C60="",$B$2="",$D$2=0),0,IF(BP$3&lt;0,0,N(INDEX('CURVA PREVISION'!$A$1:$KZ$3000,$C60,11+3*MIN(BP$3,$D$2-1)))))</f>
        <v/>
      </c>
      <c r="BQ60" s="123">
        <f>IF(OR($C60="",$B$2="",$D$2=0),0,IF(BQ$3&lt;0,0,N(INDEX('CURVA PREVISION'!$A$1:$KZ$3000,$C60,11+3*MIN(BQ$3,$D$2-1)))))</f>
        <v/>
      </c>
      <c r="BR60" s="123">
        <f>IF(OR($C60="",$B$2="",$D$2=0),0,IF(BR$3&lt;0,0,N(INDEX('CURVA PREVISION'!$A$1:$KZ$3000,$C60,11+3*MIN(BR$3,$D$2-1)))))</f>
        <v/>
      </c>
      <c r="BS60" s="123">
        <f>IF(OR($C60="",$B$2="",$D$2=0),0,IF(BS$3&lt;0,0,N(INDEX('CURVA PREVISION'!$A$1:$KZ$3000,$C60,11+3*MIN(BS$3,$D$2-1)))))</f>
        <v/>
      </c>
      <c r="BT60" s="123">
        <f>IF(OR($C60="",$B$2="",$D$2=0),0,IF(BT$3&lt;0,0,N(INDEX('CURVA PREVISION'!$A$1:$KZ$3000,$C60,11+3*MIN(BT$3,$D$2-1)))))</f>
        <v/>
      </c>
      <c r="BU60" s="123">
        <f>IF(OR($C60="",$B$2="",$D$2=0),0,IF(BU$3&lt;0,0,N(INDEX('CURVA PREVISION'!$A$1:$KZ$3000,$C60,11+3*MIN(BU$3,$D$2-1)))))</f>
        <v/>
      </c>
      <c r="BV60" s="123">
        <f>IF(OR($C60="",$B$2="",$D$2=0),0,IF(BV$3&lt;0,0,N(INDEX('CURVA PREVISION'!$A$1:$KZ$3000,$C60,11+3*MIN(BV$3,$D$2-1)))))</f>
        <v/>
      </c>
      <c r="BW60" s="123">
        <f>IF(OR($C60="",$B$2="",$D$2=0),0,IF(BW$3&lt;0,0,N(INDEX('CURVA PREVISION'!$A$1:$KZ$3000,$C60,11+3*MIN(BW$3,$D$2-1)))))</f>
        <v/>
      </c>
    </row>
    <row r="61">
      <c r="A61" s="61">
        <f>IF('VALOR POR PL'!Q25="",'VALOR POR PL'!C25,'VALOR POR PL'!Q25)</f>
        <v/>
      </c>
      <c r="B61" s="51">
        <f>B19</f>
        <v/>
      </c>
      <c r="C61" s="70">
        <f>IFERROR(MATCH(A61,'CURVA PREVISION'!$B$1:$B$3000,0),"")</f>
        <v/>
      </c>
      <c r="D61" s="123">
        <f>IF(OR($C61="",$B$2="",$D$2=0),0,IF(D$3&lt;0,0,N(INDEX('CURVA PREVISION'!$A$1:$KZ$3000,$C61,11+3*MIN(D$3,$D$2-1)))))</f>
        <v/>
      </c>
      <c r="E61" s="123">
        <f>IF(OR($C61="",$B$2="",$D$2=0),0,IF(E$3&lt;0,0,N(INDEX('CURVA PREVISION'!$A$1:$KZ$3000,$C61,11+3*MIN(E$3,$D$2-1)))))</f>
        <v/>
      </c>
      <c r="F61" s="123">
        <f>IF(OR($C61="",$B$2="",$D$2=0),0,IF(F$3&lt;0,0,N(INDEX('CURVA PREVISION'!$A$1:$KZ$3000,$C61,11+3*MIN(F$3,$D$2-1)))))</f>
        <v/>
      </c>
      <c r="G61" s="123">
        <f>IF(OR($C61="",$B$2="",$D$2=0),0,IF(G$3&lt;0,0,N(INDEX('CURVA PREVISION'!$A$1:$KZ$3000,$C61,11+3*MIN(G$3,$D$2-1)))))</f>
        <v/>
      </c>
      <c r="H61" s="123">
        <f>IF(OR($C61="",$B$2="",$D$2=0),0,IF(H$3&lt;0,0,N(INDEX('CURVA PREVISION'!$A$1:$KZ$3000,$C61,11+3*MIN(H$3,$D$2-1)))))</f>
        <v/>
      </c>
      <c r="I61" s="123">
        <f>IF(OR($C61="",$B$2="",$D$2=0),0,IF(I$3&lt;0,0,N(INDEX('CURVA PREVISION'!$A$1:$KZ$3000,$C61,11+3*MIN(I$3,$D$2-1)))))</f>
        <v/>
      </c>
      <c r="J61" s="123">
        <f>IF(OR($C61="",$B$2="",$D$2=0),0,IF(J$3&lt;0,0,N(INDEX('CURVA PREVISION'!$A$1:$KZ$3000,$C61,11+3*MIN(J$3,$D$2-1)))))</f>
        <v/>
      </c>
      <c r="K61" s="123">
        <f>IF(OR($C61="",$B$2="",$D$2=0),0,IF(K$3&lt;0,0,N(INDEX('CURVA PREVISION'!$A$1:$KZ$3000,$C61,11+3*MIN(K$3,$D$2-1)))))</f>
        <v/>
      </c>
      <c r="L61" s="123">
        <f>IF(OR($C61="",$B$2="",$D$2=0),0,IF(L$3&lt;0,0,N(INDEX('CURVA PREVISION'!$A$1:$KZ$3000,$C61,11+3*MIN(L$3,$D$2-1)))))</f>
        <v/>
      </c>
      <c r="M61" s="123">
        <f>IF(OR($C61="",$B$2="",$D$2=0),0,IF(M$3&lt;0,0,N(INDEX('CURVA PREVISION'!$A$1:$KZ$3000,$C61,11+3*MIN(M$3,$D$2-1)))))</f>
        <v/>
      </c>
      <c r="N61" s="123">
        <f>IF(OR($C61="",$B$2="",$D$2=0),0,IF(N$3&lt;0,0,N(INDEX('CURVA PREVISION'!$A$1:$KZ$3000,$C61,11+3*MIN(N$3,$D$2-1)))))</f>
        <v/>
      </c>
      <c r="O61" s="123">
        <f>IF(OR($C61="",$B$2="",$D$2=0),0,IF(O$3&lt;0,0,N(INDEX('CURVA PREVISION'!$A$1:$KZ$3000,$C61,11+3*MIN(O$3,$D$2-1)))))</f>
        <v/>
      </c>
      <c r="P61" s="123">
        <f>IF(OR($C61="",$B$2="",$D$2=0),0,IF(P$3&lt;0,0,N(INDEX('CURVA PREVISION'!$A$1:$KZ$3000,$C61,11+3*MIN(P$3,$D$2-1)))))</f>
        <v/>
      </c>
      <c r="Q61" s="123">
        <f>IF(OR($C61="",$B$2="",$D$2=0),0,IF(Q$3&lt;0,0,N(INDEX('CURVA PREVISION'!$A$1:$KZ$3000,$C61,11+3*MIN(Q$3,$D$2-1)))))</f>
        <v/>
      </c>
      <c r="R61" s="123">
        <f>IF(OR($C61="",$B$2="",$D$2=0),0,IF(R$3&lt;0,0,N(INDEX('CURVA PREVISION'!$A$1:$KZ$3000,$C61,11+3*MIN(R$3,$D$2-1)))))</f>
        <v/>
      </c>
      <c r="S61" s="123">
        <f>IF(OR($C61="",$B$2="",$D$2=0),0,IF(S$3&lt;0,0,N(INDEX('CURVA PREVISION'!$A$1:$KZ$3000,$C61,11+3*MIN(S$3,$D$2-1)))))</f>
        <v/>
      </c>
      <c r="T61" s="123">
        <f>IF(OR($C61="",$B$2="",$D$2=0),0,IF(T$3&lt;0,0,N(INDEX('CURVA PREVISION'!$A$1:$KZ$3000,$C61,11+3*MIN(T$3,$D$2-1)))))</f>
        <v/>
      </c>
      <c r="U61" s="123">
        <f>IF(OR($C61="",$B$2="",$D$2=0),0,IF(U$3&lt;0,0,N(INDEX('CURVA PREVISION'!$A$1:$KZ$3000,$C61,11+3*MIN(U$3,$D$2-1)))))</f>
        <v/>
      </c>
      <c r="V61" s="123">
        <f>IF(OR($C61="",$B$2="",$D$2=0),0,IF(V$3&lt;0,0,N(INDEX('CURVA PREVISION'!$A$1:$KZ$3000,$C61,11+3*MIN(V$3,$D$2-1)))))</f>
        <v/>
      </c>
      <c r="W61" s="123">
        <f>IF(OR($C61="",$B$2="",$D$2=0),0,IF(W$3&lt;0,0,N(INDEX('CURVA PREVISION'!$A$1:$KZ$3000,$C61,11+3*MIN(W$3,$D$2-1)))))</f>
        <v/>
      </c>
      <c r="X61" s="123">
        <f>IF(OR($C61="",$B$2="",$D$2=0),0,IF(X$3&lt;0,0,N(INDEX('CURVA PREVISION'!$A$1:$KZ$3000,$C61,11+3*MIN(X$3,$D$2-1)))))</f>
        <v/>
      </c>
      <c r="Y61" s="123">
        <f>IF(OR($C61="",$B$2="",$D$2=0),0,IF(Y$3&lt;0,0,N(INDEX('CURVA PREVISION'!$A$1:$KZ$3000,$C61,11+3*MIN(Y$3,$D$2-1)))))</f>
        <v/>
      </c>
      <c r="Z61" s="123">
        <f>IF(OR($C61="",$B$2="",$D$2=0),0,IF(Z$3&lt;0,0,N(INDEX('CURVA PREVISION'!$A$1:$KZ$3000,$C61,11+3*MIN(Z$3,$D$2-1)))))</f>
        <v/>
      </c>
      <c r="AA61" s="123">
        <f>IF(OR($C61="",$B$2="",$D$2=0),0,IF(AA$3&lt;0,0,N(INDEX('CURVA PREVISION'!$A$1:$KZ$3000,$C61,11+3*MIN(AA$3,$D$2-1)))))</f>
        <v/>
      </c>
      <c r="AB61" s="123">
        <f>IF(OR($C61="",$B$2="",$D$2=0),0,IF(AB$3&lt;0,0,N(INDEX('CURVA PREVISION'!$A$1:$KZ$3000,$C61,11+3*MIN(AB$3,$D$2-1)))))</f>
        <v/>
      </c>
      <c r="AC61" s="123">
        <f>IF(OR($C61="",$B$2="",$D$2=0),0,IF(AC$3&lt;0,0,N(INDEX('CURVA PREVISION'!$A$1:$KZ$3000,$C61,11+3*MIN(AC$3,$D$2-1)))))</f>
        <v/>
      </c>
      <c r="AD61" s="123">
        <f>IF(OR($C61="",$B$2="",$D$2=0),0,IF(AD$3&lt;0,0,N(INDEX('CURVA PREVISION'!$A$1:$KZ$3000,$C61,11+3*MIN(AD$3,$D$2-1)))))</f>
        <v/>
      </c>
      <c r="AE61" s="123">
        <f>IF(OR($C61="",$B$2="",$D$2=0),0,IF(AE$3&lt;0,0,N(INDEX('CURVA PREVISION'!$A$1:$KZ$3000,$C61,11+3*MIN(AE$3,$D$2-1)))))</f>
        <v/>
      </c>
      <c r="AF61" s="123">
        <f>IF(OR($C61="",$B$2="",$D$2=0),0,IF(AF$3&lt;0,0,N(INDEX('CURVA PREVISION'!$A$1:$KZ$3000,$C61,11+3*MIN(AF$3,$D$2-1)))))</f>
        <v/>
      </c>
      <c r="AG61" s="123">
        <f>IF(OR($C61="",$B$2="",$D$2=0),0,IF(AG$3&lt;0,0,N(INDEX('CURVA PREVISION'!$A$1:$KZ$3000,$C61,11+3*MIN(AG$3,$D$2-1)))))</f>
        <v/>
      </c>
      <c r="AH61" s="123">
        <f>IF(OR($C61="",$B$2="",$D$2=0),0,IF(AH$3&lt;0,0,N(INDEX('CURVA PREVISION'!$A$1:$KZ$3000,$C61,11+3*MIN(AH$3,$D$2-1)))))</f>
        <v/>
      </c>
      <c r="AI61" s="123">
        <f>IF(OR($C61="",$B$2="",$D$2=0),0,IF(AI$3&lt;0,0,N(INDEX('CURVA PREVISION'!$A$1:$KZ$3000,$C61,11+3*MIN(AI$3,$D$2-1)))))</f>
        <v/>
      </c>
      <c r="AJ61" s="123">
        <f>IF(OR($C61="",$B$2="",$D$2=0),0,IF(AJ$3&lt;0,0,N(INDEX('CURVA PREVISION'!$A$1:$KZ$3000,$C61,11+3*MIN(AJ$3,$D$2-1)))))</f>
        <v/>
      </c>
      <c r="AK61" s="123">
        <f>IF(OR($C61="",$B$2="",$D$2=0),0,IF(AK$3&lt;0,0,N(INDEX('CURVA PREVISION'!$A$1:$KZ$3000,$C61,11+3*MIN(AK$3,$D$2-1)))))</f>
        <v/>
      </c>
      <c r="AL61" s="123">
        <f>IF(OR($C61="",$B$2="",$D$2=0),0,IF(AL$3&lt;0,0,N(INDEX('CURVA PREVISION'!$A$1:$KZ$3000,$C61,11+3*MIN(AL$3,$D$2-1)))))</f>
        <v/>
      </c>
      <c r="AM61" s="123">
        <f>IF(OR($C61="",$B$2="",$D$2=0),0,IF(AM$3&lt;0,0,N(INDEX('CURVA PREVISION'!$A$1:$KZ$3000,$C61,11+3*MIN(AM$3,$D$2-1)))))</f>
        <v/>
      </c>
      <c r="AN61" s="123">
        <f>IF(OR($C61="",$B$2="",$D$2=0),0,IF(AN$3&lt;0,0,N(INDEX('CURVA PREVISION'!$A$1:$KZ$3000,$C61,11+3*MIN(AN$3,$D$2-1)))))</f>
        <v/>
      </c>
      <c r="AO61" s="123">
        <f>IF(OR($C61="",$B$2="",$D$2=0),0,IF(AO$3&lt;0,0,N(INDEX('CURVA PREVISION'!$A$1:$KZ$3000,$C61,11+3*MIN(AO$3,$D$2-1)))))</f>
        <v/>
      </c>
      <c r="AP61" s="123">
        <f>IF(OR($C61="",$B$2="",$D$2=0),0,IF(AP$3&lt;0,0,N(INDEX('CURVA PREVISION'!$A$1:$KZ$3000,$C61,11+3*MIN(AP$3,$D$2-1)))))</f>
        <v/>
      </c>
      <c r="AQ61" s="123">
        <f>IF(OR($C61="",$B$2="",$D$2=0),0,IF(AQ$3&lt;0,0,N(INDEX('CURVA PREVISION'!$A$1:$KZ$3000,$C61,11+3*MIN(AQ$3,$D$2-1)))))</f>
        <v/>
      </c>
      <c r="AR61" s="123">
        <f>IF(OR($C61="",$B$2="",$D$2=0),0,IF(AR$3&lt;0,0,N(INDEX('CURVA PREVISION'!$A$1:$KZ$3000,$C61,11+3*MIN(AR$3,$D$2-1)))))</f>
        <v/>
      </c>
      <c r="AS61" s="123">
        <f>IF(OR($C61="",$B$2="",$D$2=0),0,IF(AS$3&lt;0,0,N(INDEX('CURVA PREVISION'!$A$1:$KZ$3000,$C61,11+3*MIN(AS$3,$D$2-1)))))</f>
        <v/>
      </c>
      <c r="AT61" s="123">
        <f>IF(OR($C61="",$B$2="",$D$2=0),0,IF(AT$3&lt;0,0,N(INDEX('CURVA PREVISION'!$A$1:$KZ$3000,$C61,11+3*MIN(AT$3,$D$2-1)))))</f>
        <v/>
      </c>
      <c r="AU61" s="123">
        <f>IF(OR($C61="",$B$2="",$D$2=0),0,IF(AU$3&lt;0,0,N(INDEX('CURVA PREVISION'!$A$1:$KZ$3000,$C61,11+3*MIN(AU$3,$D$2-1)))))</f>
        <v/>
      </c>
      <c r="AV61" s="123">
        <f>IF(OR($C61="",$B$2="",$D$2=0),0,IF(AV$3&lt;0,0,N(INDEX('CURVA PREVISION'!$A$1:$KZ$3000,$C61,11+3*MIN(AV$3,$D$2-1)))))</f>
        <v/>
      </c>
      <c r="AW61" s="123">
        <f>IF(OR($C61="",$B$2="",$D$2=0),0,IF(AW$3&lt;0,0,N(INDEX('CURVA PREVISION'!$A$1:$KZ$3000,$C61,11+3*MIN(AW$3,$D$2-1)))))</f>
        <v/>
      </c>
      <c r="AX61" s="123">
        <f>IF(OR($C61="",$B$2="",$D$2=0),0,IF(AX$3&lt;0,0,N(INDEX('CURVA PREVISION'!$A$1:$KZ$3000,$C61,11+3*MIN(AX$3,$D$2-1)))))</f>
        <v/>
      </c>
      <c r="AY61" s="123">
        <f>IF(OR($C61="",$B$2="",$D$2=0),0,IF(AY$3&lt;0,0,N(INDEX('CURVA PREVISION'!$A$1:$KZ$3000,$C61,11+3*MIN(AY$3,$D$2-1)))))</f>
        <v/>
      </c>
      <c r="AZ61" s="123">
        <f>IF(OR($C61="",$B$2="",$D$2=0),0,IF(AZ$3&lt;0,0,N(INDEX('CURVA PREVISION'!$A$1:$KZ$3000,$C61,11+3*MIN(AZ$3,$D$2-1)))))</f>
        <v/>
      </c>
      <c r="BA61" s="123">
        <f>IF(OR($C61="",$B$2="",$D$2=0),0,IF(BA$3&lt;0,0,N(INDEX('CURVA PREVISION'!$A$1:$KZ$3000,$C61,11+3*MIN(BA$3,$D$2-1)))))</f>
        <v/>
      </c>
      <c r="BB61" s="123">
        <f>IF(OR($C61="",$B$2="",$D$2=0),0,IF(BB$3&lt;0,0,N(INDEX('CURVA PREVISION'!$A$1:$KZ$3000,$C61,11+3*MIN(BB$3,$D$2-1)))))</f>
        <v/>
      </c>
      <c r="BC61" s="123">
        <f>IF(OR($C61="",$B$2="",$D$2=0),0,IF(BC$3&lt;0,0,N(INDEX('CURVA PREVISION'!$A$1:$KZ$3000,$C61,11+3*MIN(BC$3,$D$2-1)))))</f>
        <v/>
      </c>
      <c r="BD61" s="123">
        <f>IF(OR($C61="",$B$2="",$D$2=0),0,IF(BD$3&lt;0,0,N(INDEX('CURVA PREVISION'!$A$1:$KZ$3000,$C61,11+3*MIN(BD$3,$D$2-1)))))</f>
        <v/>
      </c>
      <c r="BE61" s="123">
        <f>IF(OR($C61="",$B$2="",$D$2=0),0,IF(BE$3&lt;0,0,N(INDEX('CURVA PREVISION'!$A$1:$KZ$3000,$C61,11+3*MIN(BE$3,$D$2-1)))))</f>
        <v/>
      </c>
      <c r="BF61" s="123">
        <f>IF(OR($C61="",$B$2="",$D$2=0),0,IF(BF$3&lt;0,0,N(INDEX('CURVA PREVISION'!$A$1:$KZ$3000,$C61,11+3*MIN(BF$3,$D$2-1)))))</f>
        <v/>
      </c>
      <c r="BG61" s="123">
        <f>IF(OR($C61="",$B$2="",$D$2=0),0,IF(BG$3&lt;0,0,N(INDEX('CURVA PREVISION'!$A$1:$KZ$3000,$C61,11+3*MIN(BG$3,$D$2-1)))))</f>
        <v/>
      </c>
      <c r="BH61" s="123">
        <f>IF(OR($C61="",$B$2="",$D$2=0),0,IF(BH$3&lt;0,0,N(INDEX('CURVA PREVISION'!$A$1:$KZ$3000,$C61,11+3*MIN(BH$3,$D$2-1)))))</f>
        <v/>
      </c>
      <c r="BI61" s="123">
        <f>IF(OR($C61="",$B$2="",$D$2=0),0,IF(BI$3&lt;0,0,N(INDEX('CURVA PREVISION'!$A$1:$KZ$3000,$C61,11+3*MIN(BI$3,$D$2-1)))))</f>
        <v/>
      </c>
      <c r="BJ61" s="123">
        <f>IF(OR($C61="",$B$2="",$D$2=0),0,IF(BJ$3&lt;0,0,N(INDEX('CURVA PREVISION'!$A$1:$KZ$3000,$C61,11+3*MIN(BJ$3,$D$2-1)))))</f>
        <v/>
      </c>
      <c r="BK61" s="123">
        <f>IF(OR($C61="",$B$2="",$D$2=0),0,IF(BK$3&lt;0,0,N(INDEX('CURVA PREVISION'!$A$1:$KZ$3000,$C61,11+3*MIN(BK$3,$D$2-1)))))</f>
        <v/>
      </c>
      <c r="BL61" s="123">
        <f>IF(OR($C61="",$B$2="",$D$2=0),0,IF(BL$3&lt;0,0,N(INDEX('CURVA PREVISION'!$A$1:$KZ$3000,$C61,11+3*MIN(BL$3,$D$2-1)))))</f>
        <v/>
      </c>
      <c r="BM61" s="123">
        <f>IF(OR($C61="",$B$2="",$D$2=0),0,IF(BM$3&lt;0,0,N(INDEX('CURVA PREVISION'!$A$1:$KZ$3000,$C61,11+3*MIN(BM$3,$D$2-1)))))</f>
        <v/>
      </c>
      <c r="BN61" s="123">
        <f>IF(OR($C61="",$B$2="",$D$2=0),0,IF(BN$3&lt;0,0,N(INDEX('CURVA PREVISION'!$A$1:$KZ$3000,$C61,11+3*MIN(BN$3,$D$2-1)))))</f>
        <v/>
      </c>
      <c r="BO61" s="123">
        <f>IF(OR($C61="",$B$2="",$D$2=0),0,IF(BO$3&lt;0,0,N(INDEX('CURVA PREVISION'!$A$1:$KZ$3000,$C61,11+3*MIN(BO$3,$D$2-1)))))</f>
        <v/>
      </c>
      <c r="BP61" s="123">
        <f>IF(OR($C61="",$B$2="",$D$2=0),0,IF(BP$3&lt;0,0,N(INDEX('CURVA PREVISION'!$A$1:$KZ$3000,$C61,11+3*MIN(BP$3,$D$2-1)))))</f>
        <v/>
      </c>
      <c r="BQ61" s="123">
        <f>IF(OR($C61="",$B$2="",$D$2=0),0,IF(BQ$3&lt;0,0,N(INDEX('CURVA PREVISION'!$A$1:$KZ$3000,$C61,11+3*MIN(BQ$3,$D$2-1)))))</f>
        <v/>
      </c>
      <c r="BR61" s="123">
        <f>IF(OR($C61="",$B$2="",$D$2=0),0,IF(BR$3&lt;0,0,N(INDEX('CURVA PREVISION'!$A$1:$KZ$3000,$C61,11+3*MIN(BR$3,$D$2-1)))))</f>
        <v/>
      </c>
      <c r="BS61" s="123">
        <f>IF(OR($C61="",$B$2="",$D$2=0),0,IF(BS$3&lt;0,0,N(INDEX('CURVA PREVISION'!$A$1:$KZ$3000,$C61,11+3*MIN(BS$3,$D$2-1)))))</f>
        <v/>
      </c>
      <c r="BT61" s="123">
        <f>IF(OR($C61="",$B$2="",$D$2=0),0,IF(BT$3&lt;0,0,N(INDEX('CURVA PREVISION'!$A$1:$KZ$3000,$C61,11+3*MIN(BT$3,$D$2-1)))))</f>
        <v/>
      </c>
      <c r="BU61" s="123">
        <f>IF(OR($C61="",$B$2="",$D$2=0),0,IF(BU$3&lt;0,0,N(INDEX('CURVA PREVISION'!$A$1:$KZ$3000,$C61,11+3*MIN(BU$3,$D$2-1)))))</f>
        <v/>
      </c>
      <c r="BV61" s="123">
        <f>IF(OR($C61="",$B$2="",$D$2=0),0,IF(BV$3&lt;0,0,N(INDEX('CURVA PREVISION'!$A$1:$KZ$3000,$C61,11+3*MIN(BV$3,$D$2-1)))))</f>
        <v/>
      </c>
      <c r="BW61" s="123">
        <f>IF(OR($C61="",$B$2="",$D$2=0),0,IF(BW$3&lt;0,0,N(INDEX('CURVA PREVISION'!$A$1:$KZ$3000,$C61,11+3*MIN(BW$3,$D$2-1)))))</f>
        <v/>
      </c>
    </row>
    <row r="62">
      <c r="A62" s="61">
        <f>IF('VALOR POR PL'!Q26="",'VALOR POR PL'!C26,'VALOR POR PL'!Q26)</f>
        <v/>
      </c>
      <c r="B62" s="51">
        <f>B20</f>
        <v/>
      </c>
      <c r="C62" s="70">
        <f>IFERROR(MATCH(A62,'CURVA PREVISION'!$B$1:$B$3000,0),"")</f>
        <v/>
      </c>
      <c r="D62" s="123">
        <f>IF(OR($C62="",$B$2="",$D$2=0),0,IF(D$3&lt;0,0,N(INDEX('CURVA PREVISION'!$A$1:$KZ$3000,$C62,11+3*MIN(D$3,$D$2-1)))))</f>
        <v/>
      </c>
      <c r="E62" s="123">
        <f>IF(OR($C62="",$B$2="",$D$2=0),0,IF(E$3&lt;0,0,N(INDEX('CURVA PREVISION'!$A$1:$KZ$3000,$C62,11+3*MIN(E$3,$D$2-1)))))</f>
        <v/>
      </c>
      <c r="F62" s="123">
        <f>IF(OR($C62="",$B$2="",$D$2=0),0,IF(F$3&lt;0,0,N(INDEX('CURVA PREVISION'!$A$1:$KZ$3000,$C62,11+3*MIN(F$3,$D$2-1)))))</f>
        <v/>
      </c>
      <c r="G62" s="123">
        <f>IF(OR($C62="",$B$2="",$D$2=0),0,IF(G$3&lt;0,0,N(INDEX('CURVA PREVISION'!$A$1:$KZ$3000,$C62,11+3*MIN(G$3,$D$2-1)))))</f>
        <v/>
      </c>
      <c r="H62" s="123">
        <f>IF(OR($C62="",$B$2="",$D$2=0),0,IF(H$3&lt;0,0,N(INDEX('CURVA PREVISION'!$A$1:$KZ$3000,$C62,11+3*MIN(H$3,$D$2-1)))))</f>
        <v/>
      </c>
      <c r="I62" s="123">
        <f>IF(OR($C62="",$B$2="",$D$2=0),0,IF(I$3&lt;0,0,N(INDEX('CURVA PREVISION'!$A$1:$KZ$3000,$C62,11+3*MIN(I$3,$D$2-1)))))</f>
        <v/>
      </c>
      <c r="J62" s="123">
        <f>IF(OR($C62="",$B$2="",$D$2=0),0,IF(J$3&lt;0,0,N(INDEX('CURVA PREVISION'!$A$1:$KZ$3000,$C62,11+3*MIN(J$3,$D$2-1)))))</f>
        <v/>
      </c>
      <c r="K62" s="123">
        <f>IF(OR($C62="",$B$2="",$D$2=0),0,IF(K$3&lt;0,0,N(INDEX('CURVA PREVISION'!$A$1:$KZ$3000,$C62,11+3*MIN(K$3,$D$2-1)))))</f>
        <v/>
      </c>
      <c r="L62" s="123">
        <f>IF(OR($C62="",$B$2="",$D$2=0),0,IF(L$3&lt;0,0,N(INDEX('CURVA PREVISION'!$A$1:$KZ$3000,$C62,11+3*MIN(L$3,$D$2-1)))))</f>
        <v/>
      </c>
      <c r="M62" s="123">
        <f>IF(OR($C62="",$B$2="",$D$2=0),0,IF(M$3&lt;0,0,N(INDEX('CURVA PREVISION'!$A$1:$KZ$3000,$C62,11+3*MIN(M$3,$D$2-1)))))</f>
        <v/>
      </c>
      <c r="N62" s="123">
        <f>IF(OR($C62="",$B$2="",$D$2=0),0,IF(N$3&lt;0,0,N(INDEX('CURVA PREVISION'!$A$1:$KZ$3000,$C62,11+3*MIN(N$3,$D$2-1)))))</f>
        <v/>
      </c>
      <c r="O62" s="123">
        <f>IF(OR($C62="",$B$2="",$D$2=0),0,IF(O$3&lt;0,0,N(INDEX('CURVA PREVISION'!$A$1:$KZ$3000,$C62,11+3*MIN(O$3,$D$2-1)))))</f>
        <v/>
      </c>
      <c r="P62" s="123">
        <f>IF(OR($C62="",$B$2="",$D$2=0),0,IF(P$3&lt;0,0,N(INDEX('CURVA PREVISION'!$A$1:$KZ$3000,$C62,11+3*MIN(P$3,$D$2-1)))))</f>
        <v/>
      </c>
      <c r="Q62" s="123">
        <f>IF(OR($C62="",$B$2="",$D$2=0),0,IF(Q$3&lt;0,0,N(INDEX('CURVA PREVISION'!$A$1:$KZ$3000,$C62,11+3*MIN(Q$3,$D$2-1)))))</f>
        <v/>
      </c>
      <c r="R62" s="123">
        <f>IF(OR($C62="",$B$2="",$D$2=0),0,IF(R$3&lt;0,0,N(INDEX('CURVA PREVISION'!$A$1:$KZ$3000,$C62,11+3*MIN(R$3,$D$2-1)))))</f>
        <v/>
      </c>
      <c r="S62" s="123">
        <f>IF(OR($C62="",$B$2="",$D$2=0),0,IF(S$3&lt;0,0,N(INDEX('CURVA PREVISION'!$A$1:$KZ$3000,$C62,11+3*MIN(S$3,$D$2-1)))))</f>
        <v/>
      </c>
      <c r="T62" s="123">
        <f>IF(OR($C62="",$B$2="",$D$2=0),0,IF(T$3&lt;0,0,N(INDEX('CURVA PREVISION'!$A$1:$KZ$3000,$C62,11+3*MIN(T$3,$D$2-1)))))</f>
        <v/>
      </c>
      <c r="U62" s="123">
        <f>IF(OR($C62="",$B$2="",$D$2=0),0,IF(U$3&lt;0,0,N(INDEX('CURVA PREVISION'!$A$1:$KZ$3000,$C62,11+3*MIN(U$3,$D$2-1)))))</f>
        <v/>
      </c>
      <c r="V62" s="123">
        <f>IF(OR($C62="",$B$2="",$D$2=0),0,IF(V$3&lt;0,0,N(INDEX('CURVA PREVISION'!$A$1:$KZ$3000,$C62,11+3*MIN(V$3,$D$2-1)))))</f>
        <v/>
      </c>
      <c r="W62" s="123">
        <f>IF(OR($C62="",$B$2="",$D$2=0),0,IF(W$3&lt;0,0,N(INDEX('CURVA PREVISION'!$A$1:$KZ$3000,$C62,11+3*MIN(W$3,$D$2-1)))))</f>
        <v/>
      </c>
      <c r="X62" s="123">
        <f>IF(OR($C62="",$B$2="",$D$2=0),0,IF(X$3&lt;0,0,N(INDEX('CURVA PREVISION'!$A$1:$KZ$3000,$C62,11+3*MIN(X$3,$D$2-1)))))</f>
        <v/>
      </c>
      <c r="Y62" s="123">
        <f>IF(OR($C62="",$B$2="",$D$2=0),0,IF(Y$3&lt;0,0,N(INDEX('CURVA PREVISION'!$A$1:$KZ$3000,$C62,11+3*MIN(Y$3,$D$2-1)))))</f>
        <v/>
      </c>
      <c r="Z62" s="123">
        <f>IF(OR($C62="",$B$2="",$D$2=0),0,IF(Z$3&lt;0,0,N(INDEX('CURVA PREVISION'!$A$1:$KZ$3000,$C62,11+3*MIN(Z$3,$D$2-1)))))</f>
        <v/>
      </c>
      <c r="AA62" s="123">
        <f>IF(OR($C62="",$B$2="",$D$2=0),0,IF(AA$3&lt;0,0,N(INDEX('CURVA PREVISION'!$A$1:$KZ$3000,$C62,11+3*MIN(AA$3,$D$2-1)))))</f>
        <v/>
      </c>
      <c r="AB62" s="123">
        <f>IF(OR($C62="",$B$2="",$D$2=0),0,IF(AB$3&lt;0,0,N(INDEX('CURVA PREVISION'!$A$1:$KZ$3000,$C62,11+3*MIN(AB$3,$D$2-1)))))</f>
        <v/>
      </c>
      <c r="AC62" s="123">
        <f>IF(OR($C62="",$B$2="",$D$2=0),0,IF(AC$3&lt;0,0,N(INDEX('CURVA PREVISION'!$A$1:$KZ$3000,$C62,11+3*MIN(AC$3,$D$2-1)))))</f>
        <v/>
      </c>
      <c r="AD62" s="123">
        <f>IF(OR($C62="",$B$2="",$D$2=0),0,IF(AD$3&lt;0,0,N(INDEX('CURVA PREVISION'!$A$1:$KZ$3000,$C62,11+3*MIN(AD$3,$D$2-1)))))</f>
        <v/>
      </c>
      <c r="AE62" s="123">
        <f>IF(OR($C62="",$B$2="",$D$2=0),0,IF(AE$3&lt;0,0,N(INDEX('CURVA PREVISION'!$A$1:$KZ$3000,$C62,11+3*MIN(AE$3,$D$2-1)))))</f>
        <v/>
      </c>
      <c r="AF62" s="123">
        <f>IF(OR($C62="",$B$2="",$D$2=0),0,IF(AF$3&lt;0,0,N(INDEX('CURVA PREVISION'!$A$1:$KZ$3000,$C62,11+3*MIN(AF$3,$D$2-1)))))</f>
        <v/>
      </c>
      <c r="AG62" s="123">
        <f>IF(OR($C62="",$B$2="",$D$2=0),0,IF(AG$3&lt;0,0,N(INDEX('CURVA PREVISION'!$A$1:$KZ$3000,$C62,11+3*MIN(AG$3,$D$2-1)))))</f>
        <v/>
      </c>
      <c r="AH62" s="123">
        <f>IF(OR($C62="",$B$2="",$D$2=0),0,IF(AH$3&lt;0,0,N(INDEX('CURVA PREVISION'!$A$1:$KZ$3000,$C62,11+3*MIN(AH$3,$D$2-1)))))</f>
        <v/>
      </c>
      <c r="AI62" s="123">
        <f>IF(OR($C62="",$B$2="",$D$2=0),0,IF(AI$3&lt;0,0,N(INDEX('CURVA PREVISION'!$A$1:$KZ$3000,$C62,11+3*MIN(AI$3,$D$2-1)))))</f>
        <v/>
      </c>
      <c r="AJ62" s="123">
        <f>IF(OR($C62="",$B$2="",$D$2=0),0,IF(AJ$3&lt;0,0,N(INDEX('CURVA PREVISION'!$A$1:$KZ$3000,$C62,11+3*MIN(AJ$3,$D$2-1)))))</f>
        <v/>
      </c>
      <c r="AK62" s="123">
        <f>IF(OR($C62="",$B$2="",$D$2=0),0,IF(AK$3&lt;0,0,N(INDEX('CURVA PREVISION'!$A$1:$KZ$3000,$C62,11+3*MIN(AK$3,$D$2-1)))))</f>
        <v/>
      </c>
      <c r="AL62" s="123">
        <f>IF(OR($C62="",$B$2="",$D$2=0),0,IF(AL$3&lt;0,0,N(INDEX('CURVA PREVISION'!$A$1:$KZ$3000,$C62,11+3*MIN(AL$3,$D$2-1)))))</f>
        <v/>
      </c>
      <c r="AM62" s="123">
        <f>IF(OR($C62="",$B$2="",$D$2=0),0,IF(AM$3&lt;0,0,N(INDEX('CURVA PREVISION'!$A$1:$KZ$3000,$C62,11+3*MIN(AM$3,$D$2-1)))))</f>
        <v/>
      </c>
      <c r="AN62" s="123">
        <f>IF(OR($C62="",$B$2="",$D$2=0),0,IF(AN$3&lt;0,0,N(INDEX('CURVA PREVISION'!$A$1:$KZ$3000,$C62,11+3*MIN(AN$3,$D$2-1)))))</f>
        <v/>
      </c>
      <c r="AO62" s="123">
        <f>IF(OR($C62="",$B$2="",$D$2=0),0,IF(AO$3&lt;0,0,N(INDEX('CURVA PREVISION'!$A$1:$KZ$3000,$C62,11+3*MIN(AO$3,$D$2-1)))))</f>
        <v/>
      </c>
      <c r="AP62" s="123">
        <f>IF(OR($C62="",$B$2="",$D$2=0),0,IF(AP$3&lt;0,0,N(INDEX('CURVA PREVISION'!$A$1:$KZ$3000,$C62,11+3*MIN(AP$3,$D$2-1)))))</f>
        <v/>
      </c>
      <c r="AQ62" s="123">
        <f>IF(OR($C62="",$B$2="",$D$2=0),0,IF(AQ$3&lt;0,0,N(INDEX('CURVA PREVISION'!$A$1:$KZ$3000,$C62,11+3*MIN(AQ$3,$D$2-1)))))</f>
        <v/>
      </c>
      <c r="AR62" s="123">
        <f>IF(OR($C62="",$B$2="",$D$2=0),0,IF(AR$3&lt;0,0,N(INDEX('CURVA PREVISION'!$A$1:$KZ$3000,$C62,11+3*MIN(AR$3,$D$2-1)))))</f>
        <v/>
      </c>
      <c r="AS62" s="123">
        <f>IF(OR($C62="",$B$2="",$D$2=0),0,IF(AS$3&lt;0,0,N(INDEX('CURVA PREVISION'!$A$1:$KZ$3000,$C62,11+3*MIN(AS$3,$D$2-1)))))</f>
        <v/>
      </c>
      <c r="AT62" s="123">
        <f>IF(OR($C62="",$B$2="",$D$2=0),0,IF(AT$3&lt;0,0,N(INDEX('CURVA PREVISION'!$A$1:$KZ$3000,$C62,11+3*MIN(AT$3,$D$2-1)))))</f>
        <v/>
      </c>
      <c r="AU62" s="123">
        <f>IF(OR($C62="",$B$2="",$D$2=0),0,IF(AU$3&lt;0,0,N(INDEX('CURVA PREVISION'!$A$1:$KZ$3000,$C62,11+3*MIN(AU$3,$D$2-1)))))</f>
        <v/>
      </c>
      <c r="AV62" s="123">
        <f>IF(OR($C62="",$B$2="",$D$2=0),0,IF(AV$3&lt;0,0,N(INDEX('CURVA PREVISION'!$A$1:$KZ$3000,$C62,11+3*MIN(AV$3,$D$2-1)))))</f>
        <v/>
      </c>
      <c r="AW62" s="123">
        <f>IF(OR($C62="",$B$2="",$D$2=0),0,IF(AW$3&lt;0,0,N(INDEX('CURVA PREVISION'!$A$1:$KZ$3000,$C62,11+3*MIN(AW$3,$D$2-1)))))</f>
        <v/>
      </c>
      <c r="AX62" s="123">
        <f>IF(OR($C62="",$B$2="",$D$2=0),0,IF(AX$3&lt;0,0,N(INDEX('CURVA PREVISION'!$A$1:$KZ$3000,$C62,11+3*MIN(AX$3,$D$2-1)))))</f>
        <v/>
      </c>
      <c r="AY62" s="123">
        <f>IF(OR($C62="",$B$2="",$D$2=0),0,IF(AY$3&lt;0,0,N(INDEX('CURVA PREVISION'!$A$1:$KZ$3000,$C62,11+3*MIN(AY$3,$D$2-1)))))</f>
        <v/>
      </c>
      <c r="AZ62" s="123">
        <f>IF(OR($C62="",$B$2="",$D$2=0),0,IF(AZ$3&lt;0,0,N(INDEX('CURVA PREVISION'!$A$1:$KZ$3000,$C62,11+3*MIN(AZ$3,$D$2-1)))))</f>
        <v/>
      </c>
      <c r="BA62" s="123">
        <f>IF(OR($C62="",$B$2="",$D$2=0),0,IF(BA$3&lt;0,0,N(INDEX('CURVA PREVISION'!$A$1:$KZ$3000,$C62,11+3*MIN(BA$3,$D$2-1)))))</f>
        <v/>
      </c>
      <c r="BB62" s="123">
        <f>IF(OR($C62="",$B$2="",$D$2=0),0,IF(BB$3&lt;0,0,N(INDEX('CURVA PREVISION'!$A$1:$KZ$3000,$C62,11+3*MIN(BB$3,$D$2-1)))))</f>
        <v/>
      </c>
      <c r="BC62" s="123">
        <f>IF(OR($C62="",$B$2="",$D$2=0),0,IF(BC$3&lt;0,0,N(INDEX('CURVA PREVISION'!$A$1:$KZ$3000,$C62,11+3*MIN(BC$3,$D$2-1)))))</f>
        <v/>
      </c>
      <c r="BD62" s="123">
        <f>IF(OR($C62="",$B$2="",$D$2=0),0,IF(BD$3&lt;0,0,N(INDEX('CURVA PREVISION'!$A$1:$KZ$3000,$C62,11+3*MIN(BD$3,$D$2-1)))))</f>
        <v/>
      </c>
      <c r="BE62" s="123">
        <f>IF(OR($C62="",$B$2="",$D$2=0),0,IF(BE$3&lt;0,0,N(INDEX('CURVA PREVISION'!$A$1:$KZ$3000,$C62,11+3*MIN(BE$3,$D$2-1)))))</f>
        <v/>
      </c>
      <c r="BF62" s="123">
        <f>IF(OR($C62="",$B$2="",$D$2=0),0,IF(BF$3&lt;0,0,N(INDEX('CURVA PREVISION'!$A$1:$KZ$3000,$C62,11+3*MIN(BF$3,$D$2-1)))))</f>
        <v/>
      </c>
      <c r="BG62" s="123">
        <f>IF(OR($C62="",$B$2="",$D$2=0),0,IF(BG$3&lt;0,0,N(INDEX('CURVA PREVISION'!$A$1:$KZ$3000,$C62,11+3*MIN(BG$3,$D$2-1)))))</f>
        <v/>
      </c>
      <c r="BH62" s="123">
        <f>IF(OR($C62="",$B$2="",$D$2=0),0,IF(BH$3&lt;0,0,N(INDEX('CURVA PREVISION'!$A$1:$KZ$3000,$C62,11+3*MIN(BH$3,$D$2-1)))))</f>
        <v/>
      </c>
      <c r="BI62" s="123">
        <f>IF(OR($C62="",$B$2="",$D$2=0),0,IF(BI$3&lt;0,0,N(INDEX('CURVA PREVISION'!$A$1:$KZ$3000,$C62,11+3*MIN(BI$3,$D$2-1)))))</f>
        <v/>
      </c>
      <c r="BJ62" s="123">
        <f>IF(OR($C62="",$B$2="",$D$2=0),0,IF(BJ$3&lt;0,0,N(INDEX('CURVA PREVISION'!$A$1:$KZ$3000,$C62,11+3*MIN(BJ$3,$D$2-1)))))</f>
        <v/>
      </c>
      <c r="BK62" s="123">
        <f>IF(OR($C62="",$B$2="",$D$2=0),0,IF(BK$3&lt;0,0,N(INDEX('CURVA PREVISION'!$A$1:$KZ$3000,$C62,11+3*MIN(BK$3,$D$2-1)))))</f>
        <v/>
      </c>
      <c r="BL62" s="123">
        <f>IF(OR($C62="",$B$2="",$D$2=0),0,IF(BL$3&lt;0,0,N(INDEX('CURVA PREVISION'!$A$1:$KZ$3000,$C62,11+3*MIN(BL$3,$D$2-1)))))</f>
        <v/>
      </c>
      <c r="BM62" s="123">
        <f>IF(OR($C62="",$B$2="",$D$2=0),0,IF(BM$3&lt;0,0,N(INDEX('CURVA PREVISION'!$A$1:$KZ$3000,$C62,11+3*MIN(BM$3,$D$2-1)))))</f>
        <v/>
      </c>
      <c r="BN62" s="123">
        <f>IF(OR($C62="",$B$2="",$D$2=0),0,IF(BN$3&lt;0,0,N(INDEX('CURVA PREVISION'!$A$1:$KZ$3000,$C62,11+3*MIN(BN$3,$D$2-1)))))</f>
        <v/>
      </c>
      <c r="BO62" s="123">
        <f>IF(OR($C62="",$B$2="",$D$2=0),0,IF(BO$3&lt;0,0,N(INDEX('CURVA PREVISION'!$A$1:$KZ$3000,$C62,11+3*MIN(BO$3,$D$2-1)))))</f>
        <v/>
      </c>
      <c r="BP62" s="123">
        <f>IF(OR($C62="",$B$2="",$D$2=0),0,IF(BP$3&lt;0,0,N(INDEX('CURVA PREVISION'!$A$1:$KZ$3000,$C62,11+3*MIN(BP$3,$D$2-1)))))</f>
        <v/>
      </c>
      <c r="BQ62" s="123">
        <f>IF(OR($C62="",$B$2="",$D$2=0),0,IF(BQ$3&lt;0,0,N(INDEX('CURVA PREVISION'!$A$1:$KZ$3000,$C62,11+3*MIN(BQ$3,$D$2-1)))))</f>
        <v/>
      </c>
      <c r="BR62" s="123">
        <f>IF(OR($C62="",$B$2="",$D$2=0),0,IF(BR$3&lt;0,0,N(INDEX('CURVA PREVISION'!$A$1:$KZ$3000,$C62,11+3*MIN(BR$3,$D$2-1)))))</f>
        <v/>
      </c>
      <c r="BS62" s="123">
        <f>IF(OR($C62="",$B$2="",$D$2=0),0,IF(BS$3&lt;0,0,N(INDEX('CURVA PREVISION'!$A$1:$KZ$3000,$C62,11+3*MIN(BS$3,$D$2-1)))))</f>
        <v/>
      </c>
      <c r="BT62" s="123">
        <f>IF(OR($C62="",$B$2="",$D$2=0),0,IF(BT$3&lt;0,0,N(INDEX('CURVA PREVISION'!$A$1:$KZ$3000,$C62,11+3*MIN(BT$3,$D$2-1)))))</f>
        <v/>
      </c>
      <c r="BU62" s="123">
        <f>IF(OR($C62="",$B$2="",$D$2=0),0,IF(BU$3&lt;0,0,N(INDEX('CURVA PREVISION'!$A$1:$KZ$3000,$C62,11+3*MIN(BU$3,$D$2-1)))))</f>
        <v/>
      </c>
      <c r="BV62" s="123">
        <f>IF(OR($C62="",$B$2="",$D$2=0),0,IF(BV$3&lt;0,0,N(INDEX('CURVA PREVISION'!$A$1:$KZ$3000,$C62,11+3*MIN(BV$3,$D$2-1)))))</f>
        <v/>
      </c>
      <c r="BW62" s="123">
        <f>IF(OR($C62="",$B$2="",$D$2=0),0,IF(BW$3&lt;0,0,N(INDEX('CURVA PREVISION'!$A$1:$KZ$3000,$C62,11+3*MIN(BW$3,$D$2-1)))))</f>
        <v/>
      </c>
    </row>
    <row r="63">
      <c r="A63" s="61">
        <f>IF('VALOR POR PL'!Q27="",'VALOR POR PL'!C27,'VALOR POR PL'!Q27)</f>
        <v/>
      </c>
      <c r="B63" s="51">
        <f>B21</f>
        <v/>
      </c>
      <c r="C63" s="70">
        <f>IFERROR(MATCH(A63,'CURVA PREVISION'!$B$1:$B$3000,0),"")</f>
        <v/>
      </c>
      <c r="D63" s="123">
        <f>IF(OR($C63="",$B$2="",$D$2=0),0,IF(D$3&lt;0,0,N(INDEX('CURVA PREVISION'!$A$1:$KZ$3000,$C63,11+3*MIN(D$3,$D$2-1)))))</f>
        <v/>
      </c>
      <c r="E63" s="123">
        <f>IF(OR($C63="",$B$2="",$D$2=0),0,IF(E$3&lt;0,0,N(INDEX('CURVA PREVISION'!$A$1:$KZ$3000,$C63,11+3*MIN(E$3,$D$2-1)))))</f>
        <v/>
      </c>
      <c r="F63" s="123">
        <f>IF(OR($C63="",$B$2="",$D$2=0),0,IF(F$3&lt;0,0,N(INDEX('CURVA PREVISION'!$A$1:$KZ$3000,$C63,11+3*MIN(F$3,$D$2-1)))))</f>
        <v/>
      </c>
      <c r="G63" s="123">
        <f>IF(OR($C63="",$B$2="",$D$2=0),0,IF(G$3&lt;0,0,N(INDEX('CURVA PREVISION'!$A$1:$KZ$3000,$C63,11+3*MIN(G$3,$D$2-1)))))</f>
        <v/>
      </c>
      <c r="H63" s="123">
        <f>IF(OR($C63="",$B$2="",$D$2=0),0,IF(H$3&lt;0,0,N(INDEX('CURVA PREVISION'!$A$1:$KZ$3000,$C63,11+3*MIN(H$3,$D$2-1)))))</f>
        <v/>
      </c>
      <c r="I63" s="123">
        <f>IF(OR($C63="",$B$2="",$D$2=0),0,IF(I$3&lt;0,0,N(INDEX('CURVA PREVISION'!$A$1:$KZ$3000,$C63,11+3*MIN(I$3,$D$2-1)))))</f>
        <v/>
      </c>
      <c r="J63" s="123">
        <f>IF(OR($C63="",$B$2="",$D$2=0),0,IF(J$3&lt;0,0,N(INDEX('CURVA PREVISION'!$A$1:$KZ$3000,$C63,11+3*MIN(J$3,$D$2-1)))))</f>
        <v/>
      </c>
      <c r="K63" s="123">
        <f>IF(OR($C63="",$B$2="",$D$2=0),0,IF(K$3&lt;0,0,N(INDEX('CURVA PREVISION'!$A$1:$KZ$3000,$C63,11+3*MIN(K$3,$D$2-1)))))</f>
        <v/>
      </c>
      <c r="L63" s="123">
        <f>IF(OR($C63="",$B$2="",$D$2=0),0,IF(L$3&lt;0,0,N(INDEX('CURVA PREVISION'!$A$1:$KZ$3000,$C63,11+3*MIN(L$3,$D$2-1)))))</f>
        <v/>
      </c>
      <c r="M63" s="123">
        <f>IF(OR($C63="",$B$2="",$D$2=0),0,IF(M$3&lt;0,0,N(INDEX('CURVA PREVISION'!$A$1:$KZ$3000,$C63,11+3*MIN(M$3,$D$2-1)))))</f>
        <v/>
      </c>
      <c r="N63" s="123">
        <f>IF(OR($C63="",$B$2="",$D$2=0),0,IF(N$3&lt;0,0,N(INDEX('CURVA PREVISION'!$A$1:$KZ$3000,$C63,11+3*MIN(N$3,$D$2-1)))))</f>
        <v/>
      </c>
      <c r="O63" s="123">
        <f>IF(OR($C63="",$B$2="",$D$2=0),0,IF(O$3&lt;0,0,N(INDEX('CURVA PREVISION'!$A$1:$KZ$3000,$C63,11+3*MIN(O$3,$D$2-1)))))</f>
        <v/>
      </c>
      <c r="P63" s="123">
        <f>IF(OR($C63="",$B$2="",$D$2=0),0,IF(P$3&lt;0,0,N(INDEX('CURVA PREVISION'!$A$1:$KZ$3000,$C63,11+3*MIN(P$3,$D$2-1)))))</f>
        <v/>
      </c>
      <c r="Q63" s="123">
        <f>IF(OR($C63="",$B$2="",$D$2=0),0,IF(Q$3&lt;0,0,N(INDEX('CURVA PREVISION'!$A$1:$KZ$3000,$C63,11+3*MIN(Q$3,$D$2-1)))))</f>
        <v/>
      </c>
      <c r="R63" s="123">
        <f>IF(OR($C63="",$B$2="",$D$2=0),0,IF(R$3&lt;0,0,N(INDEX('CURVA PREVISION'!$A$1:$KZ$3000,$C63,11+3*MIN(R$3,$D$2-1)))))</f>
        <v/>
      </c>
      <c r="S63" s="123">
        <f>IF(OR($C63="",$B$2="",$D$2=0),0,IF(S$3&lt;0,0,N(INDEX('CURVA PREVISION'!$A$1:$KZ$3000,$C63,11+3*MIN(S$3,$D$2-1)))))</f>
        <v/>
      </c>
      <c r="T63" s="123">
        <f>IF(OR($C63="",$B$2="",$D$2=0),0,IF(T$3&lt;0,0,N(INDEX('CURVA PREVISION'!$A$1:$KZ$3000,$C63,11+3*MIN(T$3,$D$2-1)))))</f>
        <v/>
      </c>
      <c r="U63" s="123">
        <f>IF(OR($C63="",$B$2="",$D$2=0),0,IF(U$3&lt;0,0,N(INDEX('CURVA PREVISION'!$A$1:$KZ$3000,$C63,11+3*MIN(U$3,$D$2-1)))))</f>
        <v/>
      </c>
      <c r="V63" s="123">
        <f>IF(OR($C63="",$B$2="",$D$2=0),0,IF(V$3&lt;0,0,N(INDEX('CURVA PREVISION'!$A$1:$KZ$3000,$C63,11+3*MIN(V$3,$D$2-1)))))</f>
        <v/>
      </c>
      <c r="W63" s="123">
        <f>IF(OR($C63="",$B$2="",$D$2=0),0,IF(W$3&lt;0,0,N(INDEX('CURVA PREVISION'!$A$1:$KZ$3000,$C63,11+3*MIN(W$3,$D$2-1)))))</f>
        <v/>
      </c>
      <c r="X63" s="123">
        <f>IF(OR($C63="",$B$2="",$D$2=0),0,IF(X$3&lt;0,0,N(INDEX('CURVA PREVISION'!$A$1:$KZ$3000,$C63,11+3*MIN(X$3,$D$2-1)))))</f>
        <v/>
      </c>
      <c r="Y63" s="123">
        <f>IF(OR($C63="",$B$2="",$D$2=0),0,IF(Y$3&lt;0,0,N(INDEX('CURVA PREVISION'!$A$1:$KZ$3000,$C63,11+3*MIN(Y$3,$D$2-1)))))</f>
        <v/>
      </c>
      <c r="Z63" s="123">
        <f>IF(OR($C63="",$B$2="",$D$2=0),0,IF(Z$3&lt;0,0,N(INDEX('CURVA PREVISION'!$A$1:$KZ$3000,$C63,11+3*MIN(Z$3,$D$2-1)))))</f>
        <v/>
      </c>
      <c r="AA63" s="123">
        <f>IF(OR($C63="",$B$2="",$D$2=0),0,IF(AA$3&lt;0,0,N(INDEX('CURVA PREVISION'!$A$1:$KZ$3000,$C63,11+3*MIN(AA$3,$D$2-1)))))</f>
        <v/>
      </c>
      <c r="AB63" s="123">
        <f>IF(OR($C63="",$B$2="",$D$2=0),0,IF(AB$3&lt;0,0,N(INDEX('CURVA PREVISION'!$A$1:$KZ$3000,$C63,11+3*MIN(AB$3,$D$2-1)))))</f>
        <v/>
      </c>
      <c r="AC63" s="123">
        <f>IF(OR($C63="",$B$2="",$D$2=0),0,IF(AC$3&lt;0,0,N(INDEX('CURVA PREVISION'!$A$1:$KZ$3000,$C63,11+3*MIN(AC$3,$D$2-1)))))</f>
        <v/>
      </c>
      <c r="AD63" s="123">
        <f>IF(OR($C63="",$B$2="",$D$2=0),0,IF(AD$3&lt;0,0,N(INDEX('CURVA PREVISION'!$A$1:$KZ$3000,$C63,11+3*MIN(AD$3,$D$2-1)))))</f>
        <v/>
      </c>
      <c r="AE63" s="123">
        <f>IF(OR($C63="",$B$2="",$D$2=0),0,IF(AE$3&lt;0,0,N(INDEX('CURVA PREVISION'!$A$1:$KZ$3000,$C63,11+3*MIN(AE$3,$D$2-1)))))</f>
        <v/>
      </c>
      <c r="AF63" s="123">
        <f>IF(OR($C63="",$B$2="",$D$2=0),0,IF(AF$3&lt;0,0,N(INDEX('CURVA PREVISION'!$A$1:$KZ$3000,$C63,11+3*MIN(AF$3,$D$2-1)))))</f>
        <v/>
      </c>
      <c r="AG63" s="123">
        <f>IF(OR($C63="",$B$2="",$D$2=0),0,IF(AG$3&lt;0,0,N(INDEX('CURVA PREVISION'!$A$1:$KZ$3000,$C63,11+3*MIN(AG$3,$D$2-1)))))</f>
        <v/>
      </c>
      <c r="AH63" s="123">
        <f>IF(OR($C63="",$B$2="",$D$2=0),0,IF(AH$3&lt;0,0,N(INDEX('CURVA PREVISION'!$A$1:$KZ$3000,$C63,11+3*MIN(AH$3,$D$2-1)))))</f>
        <v/>
      </c>
      <c r="AI63" s="123">
        <f>IF(OR($C63="",$B$2="",$D$2=0),0,IF(AI$3&lt;0,0,N(INDEX('CURVA PREVISION'!$A$1:$KZ$3000,$C63,11+3*MIN(AI$3,$D$2-1)))))</f>
        <v/>
      </c>
      <c r="AJ63" s="123">
        <f>IF(OR($C63="",$B$2="",$D$2=0),0,IF(AJ$3&lt;0,0,N(INDEX('CURVA PREVISION'!$A$1:$KZ$3000,$C63,11+3*MIN(AJ$3,$D$2-1)))))</f>
        <v/>
      </c>
      <c r="AK63" s="123">
        <f>IF(OR($C63="",$B$2="",$D$2=0),0,IF(AK$3&lt;0,0,N(INDEX('CURVA PREVISION'!$A$1:$KZ$3000,$C63,11+3*MIN(AK$3,$D$2-1)))))</f>
        <v/>
      </c>
      <c r="AL63" s="123">
        <f>IF(OR($C63="",$B$2="",$D$2=0),0,IF(AL$3&lt;0,0,N(INDEX('CURVA PREVISION'!$A$1:$KZ$3000,$C63,11+3*MIN(AL$3,$D$2-1)))))</f>
        <v/>
      </c>
      <c r="AM63" s="123">
        <f>IF(OR($C63="",$B$2="",$D$2=0),0,IF(AM$3&lt;0,0,N(INDEX('CURVA PREVISION'!$A$1:$KZ$3000,$C63,11+3*MIN(AM$3,$D$2-1)))))</f>
        <v/>
      </c>
      <c r="AN63" s="123">
        <f>IF(OR($C63="",$B$2="",$D$2=0),0,IF(AN$3&lt;0,0,N(INDEX('CURVA PREVISION'!$A$1:$KZ$3000,$C63,11+3*MIN(AN$3,$D$2-1)))))</f>
        <v/>
      </c>
      <c r="AO63" s="123">
        <f>IF(OR($C63="",$B$2="",$D$2=0),0,IF(AO$3&lt;0,0,N(INDEX('CURVA PREVISION'!$A$1:$KZ$3000,$C63,11+3*MIN(AO$3,$D$2-1)))))</f>
        <v/>
      </c>
      <c r="AP63" s="123">
        <f>IF(OR($C63="",$B$2="",$D$2=0),0,IF(AP$3&lt;0,0,N(INDEX('CURVA PREVISION'!$A$1:$KZ$3000,$C63,11+3*MIN(AP$3,$D$2-1)))))</f>
        <v/>
      </c>
      <c r="AQ63" s="123">
        <f>IF(OR($C63="",$B$2="",$D$2=0),0,IF(AQ$3&lt;0,0,N(INDEX('CURVA PREVISION'!$A$1:$KZ$3000,$C63,11+3*MIN(AQ$3,$D$2-1)))))</f>
        <v/>
      </c>
      <c r="AR63" s="123">
        <f>IF(OR($C63="",$B$2="",$D$2=0),0,IF(AR$3&lt;0,0,N(INDEX('CURVA PREVISION'!$A$1:$KZ$3000,$C63,11+3*MIN(AR$3,$D$2-1)))))</f>
        <v/>
      </c>
      <c r="AS63" s="123">
        <f>IF(OR($C63="",$B$2="",$D$2=0),0,IF(AS$3&lt;0,0,N(INDEX('CURVA PREVISION'!$A$1:$KZ$3000,$C63,11+3*MIN(AS$3,$D$2-1)))))</f>
        <v/>
      </c>
      <c r="AT63" s="123">
        <f>IF(OR($C63="",$B$2="",$D$2=0),0,IF(AT$3&lt;0,0,N(INDEX('CURVA PREVISION'!$A$1:$KZ$3000,$C63,11+3*MIN(AT$3,$D$2-1)))))</f>
        <v/>
      </c>
      <c r="AU63" s="123">
        <f>IF(OR($C63="",$B$2="",$D$2=0),0,IF(AU$3&lt;0,0,N(INDEX('CURVA PREVISION'!$A$1:$KZ$3000,$C63,11+3*MIN(AU$3,$D$2-1)))))</f>
        <v/>
      </c>
      <c r="AV63" s="123">
        <f>IF(OR($C63="",$B$2="",$D$2=0),0,IF(AV$3&lt;0,0,N(INDEX('CURVA PREVISION'!$A$1:$KZ$3000,$C63,11+3*MIN(AV$3,$D$2-1)))))</f>
        <v/>
      </c>
      <c r="AW63" s="123">
        <f>IF(OR($C63="",$B$2="",$D$2=0),0,IF(AW$3&lt;0,0,N(INDEX('CURVA PREVISION'!$A$1:$KZ$3000,$C63,11+3*MIN(AW$3,$D$2-1)))))</f>
        <v/>
      </c>
      <c r="AX63" s="123">
        <f>IF(OR($C63="",$B$2="",$D$2=0),0,IF(AX$3&lt;0,0,N(INDEX('CURVA PREVISION'!$A$1:$KZ$3000,$C63,11+3*MIN(AX$3,$D$2-1)))))</f>
        <v/>
      </c>
      <c r="AY63" s="123">
        <f>IF(OR($C63="",$B$2="",$D$2=0),0,IF(AY$3&lt;0,0,N(INDEX('CURVA PREVISION'!$A$1:$KZ$3000,$C63,11+3*MIN(AY$3,$D$2-1)))))</f>
        <v/>
      </c>
      <c r="AZ63" s="123">
        <f>IF(OR($C63="",$B$2="",$D$2=0),0,IF(AZ$3&lt;0,0,N(INDEX('CURVA PREVISION'!$A$1:$KZ$3000,$C63,11+3*MIN(AZ$3,$D$2-1)))))</f>
        <v/>
      </c>
      <c r="BA63" s="123">
        <f>IF(OR($C63="",$B$2="",$D$2=0),0,IF(BA$3&lt;0,0,N(INDEX('CURVA PREVISION'!$A$1:$KZ$3000,$C63,11+3*MIN(BA$3,$D$2-1)))))</f>
        <v/>
      </c>
      <c r="BB63" s="123">
        <f>IF(OR($C63="",$B$2="",$D$2=0),0,IF(BB$3&lt;0,0,N(INDEX('CURVA PREVISION'!$A$1:$KZ$3000,$C63,11+3*MIN(BB$3,$D$2-1)))))</f>
        <v/>
      </c>
      <c r="BC63" s="123">
        <f>IF(OR($C63="",$B$2="",$D$2=0),0,IF(BC$3&lt;0,0,N(INDEX('CURVA PREVISION'!$A$1:$KZ$3000,$C63,11+3*MIN(BC$3,$D$2-1)))))</f>
        <v/>
      </c>
      <c r="BD63" s="123">
        <f>IF(OR($C63="",$B$2="",$D$2=0),0,IF(BD$3&lt;0,0,N(INDEX('CURVA PREVISION'!$A$1:$KZ$3000,$C63,11+3*MIN(BD$3,$D$2-1)))))</f>
        <v/>
      </c>
      <c r="BE63" s="123">
        <f>IF(OR($C63="",$B$2="",$D$2=0),0,IF(BE$3&lt;0,0,N(INDEX('CURVA PREVISION'!$A$1:$KZ$3000,$C63,11+3*MIN(BE$3,$D$2-1)))))</f>
        <v/>
      </c>
      <c r="BF63" s="123">
        <f>IF(OR($C63="",$B$2="",$D$2=0),0,IF(BF$3&lt;0,0,N(INDEX('CURVA PREVISION'!$A$1:$KZ$3000,$C63,11+3*MIN(BF$3,$D$2-1)))))</f>
        <v/>
      </c>
      <c r="BG63" s="123">
        <f>IF(OR($C63="",$B$2="",$D$2=0),0,IF(BG$3&lt;0,0,N(INDEX('CURVA PREVISION'!$A$1:$KZ$3000,$C63,11+3*MIN(BG$3,$D$2-1)))))</f>
        <v/>
      </c>
      <c r="BH63" s="123">
        <f>IF(OR($C63="",$B$2="",$D$2=0),0,IF(BH$3&lt;0,0,N(INDEX('CURVA PREVISION'!$A$1:$KZ$3000,$C63,11+3*MIN(BH$3,$D$2-1)))))</f>
        <v/>
      </c>
      <c r="BI63" s="123">
        <f>IF(OR($C63="",$B$2="",$D$2=0),0,IF(BI$3&lt;0,0,N(INDEX('CURVA PREVISION'!$A$1:$KZ$3000,$C63,11+3*MIN(BI$3,$D$2-1)))))</f>
        <v/>
      </c>
      <c r="BJ63" s="123">
        <f>IF(OR($C63="",$B$2="",$D$2=0),0,IF(BJ$3&lt;0,0,N(INDEX('CURVA PREVISION'!$A$1:$KZ$3000,$C63,11+3*MIN(BJ$3,$D$2-1)))))</f>
        <v/>
      </c>
      <c r="BK63" s="123">
        <f>IF(OR($C63="",$B$2="",$D$2=0),0,IF(BK$3&lt;0,0,N(INDEX('CURVA PREVISION'!$A$1:$KZ$3000,$C63,11+3*MIN(BK$3,$D$2-1)))))</f>
        <v/>
      </c>
      <c r="BL63" s="123">
        <f>IF(OR($C63="",$B$2="",$D$2=0),0,IF(BL$3&lt;0,0,N(INDEX('CURVA PREVISION'!$A$1:$KZ$3000,$C63,11+3*MIN(BL$3,$D$2-1)))))</f>
        <v/>
      </c>
      <c r="BM63" s="123">
        <f>IF(OR($C63="",$B$2="",$D$2=0),0,IF(BM$3&lt;0,0,N(INDEX('CURVA PREVISION'!$A$1:$KZ$3000,$C63,11+3*MIN(BM$3,$D$2-1)))))</f>
        <v/>
      </c>
      <c r="BN63" s="123">
        <f>IF(OR($C63="",$B$2="",$D$2=0),0,IF(BN$3&lt;0,0,N(INDEX('CURVA PREVISION'!$A$1:$KZ$3000,$C63,11+3*MIN(BN$3,$D$2-1)))))</f>
        <v/>
      </c>
      <c r="BO63" s="123">
        <f>IF(OR($C63="",$B$2="",$D$2=0),0,IF(BO$3&lt;0,0,N(INDEX('CURVA PREVISION'!$A$1:$KZ$3000,$C63,11+3*MIN(BO$3,$D$2-1)))))</f>
        <v/>
      </c>
      <c r="BP63" s="123">
        <f>IF(OR($C63="",$B$2="",$D$2=0),0,IF(BP$3&lt;0,0,N(INDEX('CURVA PREVISION'!$A$1:$KZ$3000,$C63,11+3*MIN(BP$3,$D$2-1)))))</f>
        <v/>
      </c>
      <c r="BQ63" s="123">
        <f>IF(OR($C63="",$B$2="",$D$2=0),0,IF(BQ$3&lt;0,0,N(INDEX('CURVA PREVISION'!$A$1:$KZ$3000,$C63,11+3*MIN(BQ$3,$D$2-1)))))</f>
        <v/>
      </c>
      <c r="BR63" s="123">
        <f>IF(OR($C63="",$B$2="",$D$2=0),0,IF(BR$3&lt;0,0,N(INDEX('CURVA PREVISION'!$A$1:$KZ$3000,$C63,11+3*MIN(BR$3,$D$2-1)))))</f>
        <v/>
      </c>
      <c r="BS63" s="123">
        <f>IF(OR($C63="",$B$2="",$D$2=0),0,IF(BS$3&lt;0,0,N(INDEX('CURVA PREVISION'!$A$1:$KZ$3000,$C63,11+3*MIN(BS$3,$D$2-1)))))</f>
        <v/>
      </c>
      <c r="BT63" s="123">
        <f>IF(OR($C63="",$B$2="",$D$2=0),0,IF(BT$3&lt;0,0,N(INDEX('CURVA PREVISION'!$A$1:$KZ$3000,$C63,11+3*MIN(BT$3,$D$2-1)))))</f>
        <v/>
      </c>
      <c r="BU63" s="123">
        <f>IF(OR($C63="",$B$2="",$D$2=0),0,IF(BU$3&lt;0,0,N(INDEX('CURVA PREVISION'!$A$1:$KZ$3000,$C63,11+3*MIN(BU$3,$D$2-1)))))</f>
        <v/>
      </c>
      <c r="BV63" s="123">
        <f>IF(OR($C63="",$B$2="",$D$2=0),0,IF(BV$3&lt;0,0,N(INDEX('CURVA PREVISION'!$A$1:$KZ$3000,$C63,11+3*MIN(BV$3,$D$2-1)))))</f>
        <v/>
      </c>
      <c r="BW63" s="123">
        <f>IF(OR($C63="",$B$2="",$D$2=0),0,IF(BW$3&lt;0,0,N(INDEX('CURVA PREVISION'!$A$1:$KZ$3000,$C63,11+3*MIN(BW$3,$D$2-1)))))</f>
        <v/>
      </c>
    </row>
    <row r="64">
      <c r="A64" s="61">
        <f>IF('VALOR POR PL'!Q28="",'VALOR POR PL'!C28,'VALOR POR PL'!Q28)</f>
        <v/>
      </c>
      <c r="B64" s="51">
        <f>B22</f>
        <v/>
      </c>
      <c r="C64" s="70">
        <f>IFERROR(MATCH(A64,'CURVA PREVISION'!$B$1:$B$3000,0),"")</f>
        <v/>
      </c>
      <c r="D64" s="123">
        <f>IF(OR($C64="",$B$2="",$D$2=0),0,IF(D$3&lt;0,0,N(INDEX('CURVA PREVISION'!$A$1:$KZ$3000,$C64,11+3*MIN(D$3,$D$2-1)))))</f>
        <v/>
      </c>
      <c r="E64" s="123">
        <f>IF(OR($C64="",$B$2="",$D$2=0),0,IF(E$3&lt;0,0,N(INDEX('CURVA PREVISION'!$A$1:$KZ$3000,$C64,11+3*MIN(E$3,$D$2-1)))))</f>
        <v/>
      </c>
      <c r="F64" s="123">
        <f>IF(OR($C64="",$B$2="",$D$2=0),0,IF(F$3&lt;0,0,N(INDEX('CURVA PREVISION'!$A$1:$KZ$3000,$C64,11+3*MIN(F$3,$D$2-1)))))</f>
        <v/>
      </c>
      <c r="G64" s="123">
        <f>IF(OR($C64="",$B$2="",$D$2=0),0,IF(G$3&lt;0,0,N(INDEX('CURVA PREVISION'!$A$1:$KZ$3000,$C64,11+3*MIN(G$3,$D$2-1)))))</f>
        <v/>
      </c>
      <c r="H64" s="123">
        <f>IF(OR($C64="",$B$2="",$D$2=0),0,IF(H$3&lt;0,0,N(INDEX('CURVA PREVISION'!$A$1:$KZ$3000,$C64,11+3*MIN(H$3,$D$2-1)))))</f>
        <v/>
      </c>
      <c r="I64" s="123">
        <f>IF(OR($C64="",$B$2="",$D$2=0),0,IF(I$3&lt;0,0,N(INDEX('CURVA PREVISION'!$A$1:$KZ$3000,$C64,11+3*MIN(I$3,$D$2-1)))))</f>
        <v/>
      </c>
      <c r="J64" s="123">
        <f>IF(OR($C64="",$B$2="",$D$2=0),0,IF(J$3&lt;0,0,N(INDEX('CURVA PREVISION'!$A$1:$KZ$3000,$C64,11+3*MIN(J$3,$D$2-1)))))</f>
        <v/>
      </c>
      <c r="K64" s="123">
        <f>IF(OR($C64="",$B$2="",$D$2=0),0,IF(K$3&lt;0,0,N(INDEX('CURVA PREVISION'!$A$1:$KZ$3000,$C64,11+3*MIN(K$3,$D$2-1)))))</f>
        <v/>
      </c>
      <c r="L64" s="123">
        <f>IF(OR($C64="",$B$2="",$D$2=0),0,IF(L$3&lt;0,0,N(INDEX('CURVA PREVISION'!$A$1:$KZ$3000,$C64,11+3*MIN(L$3,$D$2-1)))))</f>
        <v/>
      </c>
      <c r="M64" s="123">
        <f>IF(OR($C64="",$B$2="",$D$2=0),0,IF(M$3&lt;0,0,N(INDEX('CURVA PREVISION'!$A$1:$KZ$3000,$C64,11+3*MIN(M$3,$D$2-1)))))</f>
        <v/>
      </c>
      <c r="N64" s="123">
        <f>IF(OR($C64="",$B$2="",$D$2=0),0,IF(N$3&lt;0,0,N(INDEX('CURVA PREVISION'!$A$1:$KZ$3000,$C64,11+3*MIN(N$3,$D$2-1)))))</f>
        <v/>
      </c>
      <c r="O64" s="123">
        <f>IF(OR($C64="",$B$2="",$D$2=0),0,IF(O$3&lt;0,0,N(INDEX('CURVA PREVISION'!$A$1:$KZ$3000,$C64,11+3*MIN(O$3,$D$2-1)))))</f>
        <v/>
      </c>
      <c r="P64" s="123">
        <f>IF(OR($C64="",$B$2="",$D$2=0),0,IF(P$3&lt;0,0,N(INDEX('CURVA PREVISION'!$A$1:$KZ$3000,$C64,11+3*MIN(P$3,$D$2-1)))))</f>
        <v/>
      </c>
      <c r="Q64" s="123">
        <f>IF(OR($C64="",$B$2="",$D$2=0),0,IF(Q$3&lt;0,0,N(INDEX('CURVA PREVISION'!$A$1:$KZ$3000,$C64,11+3*MIN(Q$3,$D$2-1)))))</f>
        <v/>
      </c>
      <c r="R64" s="123">
        <f>IF(OR($C64="",$B$2="",$D$2=0),0,IF(R$3&lt;0,0,N(INDEX('CURVA PREVISION'!$A$1:$KZ$3000,$C64,11+3*MIN(R$3,$D$2-1)))))</f>
        <v/>
      </c>
      <c r="S64" s="123">
        <f>IF(OR($C64="",$B$2="",$D$2=0),0,IF(S$3&lt;0,0,N(INDEX('CURVA PREVISION'!$A$1:$KZ$3000,$C64,11+3*MIN(S$3,$D$2-1)))))</f>
        <v/>
      </c>
      <c r="T64" s="123">
        <f>IF(OR($C64="",$B$2="",$D$2=0),0,IF(T$3&lt;0,0,N(INDEX('CURVA PREVISION'!$A$1:$KZ$3000,$C64,11+3*MIN(T$3,$D$2-1)))))</f>
        <v/>
      </c>
      <c r="U64" s="123">
        <f>IF(OR($C64="",$B$2="",$D$2=0),0,IF(U$3&lt;0,0,N(INDEX('CURVA PREVISION'!$A$1:$KZ$3000,$C64,11+3*MIN(U$3,$D$2-1)))))</f>
        <v/>
      </c>
      <c r="V64" s="123">
        <f>IF(OR($C64="",$B$2="",$D$2=0),0,IF(V$3&lt;0,0,N(INDEX('CURVA PREVISION'!$A$1:$KZ$3000,$C64,11+3*MIN(V$3,$D$2-1)))))</f>
        <v/>
      </c>
      <c r="W64" s="123">
        <f>IF(OR($C64="",$B$2="",$D$2=0),0,IF(W$3&lt;0,0,N(INDEX('CURVA PREVISION'!$A$1:$KZ$3000,$C64,11+3*MIN(W$3,$D$2-1)))))</f>
        <v/>
      </c>
      <c r="X64" s="123">
        <f>IF(OR($C64="",$B$2="",$D$2=0),0,IF(X$3&lt;0,0,N(INDEX('CURVA PREVISION'!$A$1:$KZ$3000,$C64,11+3*MIN(X$3,$D$2-1)))))</f>
        <v/>
      </c>
      <c r="Y64" s="123">
        <f>IF(OR($C64="",$B$2="",$D$2=0),0,IF(Y$3&lt;0,0,N(INDEX('CURVA PREVISION'!$A$1:$KZ$3000,$C64,11+3*MIN(Y$3,$D$2-1)))))</f>
        <v/>
      </c>
      <c r="Z64" s="123">
        <f>IF(OR($C64="",$B$2="",$D$2=0),0,IF(Z$3&lt;0,0,N(INDEX('CURVA PREVISION'!$A$1:$KZ$3000,$C64,11+3*MIN(Z$3,$D$2-1)))))</f>
        <v/>
      </c>
      <c r="AA64" s="123">
        <f>IF(OR($C64="",$B$2="",$D$2=0),0,IF(AA$3&lt;0,0,N(INDEX('CURVA PREVISION'!$A$1:$KZ$3000,$C64,11+3*MIN(AA$3,$D$2-1)))))</f>
        <v/>
      </c>
      <c r="AB64" s="123">
        <f>IF(OR($C64="",$B$2="",$D$2=0),0,IF(AB$3&lt;0,0,N(INDEX('CURVA PREVISION'!$A$1:$KZ$3000,$C64,11+3*MIN(AB$3,$D$2-1)))))</f>
        <v/>
      </c>
      <c r="AC64" s="123">
        <f>IF(OR($C64="",$B$2="",$D$2=0),0,IF(AC$3&lt;0,0,N(INDEX('CURVA PREVISION'!$A$1:$KZ$3000,$C64,11+3*MIN(AC$3,$D$2-1)))))</f>
        <v/>
      </c>
      <c r="AD64" s="123">
        <f>IF(OR($C64="",$B$2="",$D$2=0),0,IF(AD$3&lt;0,0,N(INDEX('CURVA PREVISION'!$A$1:$KZ$3000,$C64,11+3*MIN(AD$3,$D$2-1)))))</f>
        <v/>
      </c>
      <c r="AE64" s="123">
        <f>IF(OR($C64="",$B$2="",$D$2=0),0,IF(AE$3&lt;0,0,N(INDEX('CURVA PREVISION'!$A$1:$KZ$3000,$C64,11+3*MIN(AE$3,$D$2-1)))))</f>
        <v/>
      </c>
      <c r="AF64" s="123">
        <f>IF(OR($C64="",$B$2="",$D$2=0),0,IF(AF$3&lt;0,0,N(INDEX('CURVA PREVISION'!$A$1:$KZ$3000,$C64,11+3*MIN(AF$3,$D$2-1)))))</f>
        <v/>
      </c>
      <c r="AG64" s="123">
        <f>IF(OR($C64="",$B$2="",$D$2=0),0,IF(AG$3&lt;0,0,N(INDEX('CURVA PREVISION'!$A$1:$KZ$3000,$C64,11+3*MIN(AG$3,$D$2-1)))))</f>
        <v/>
      </c>
      <c r="AH64" s="123">
        <f>IF(OR($C64="",$B$2="",$D$2=0),0,IF(AH$3&lt;0,0,N(INDEX('CURVA PREVISION'!$A$1:$KZ$3000,$C64,11+3*MIN(AH$3,$D$2-1)))))</f>
        <v/>
      </c>
      <c r="AI64" s="123">
        <f>IF(OR($C64="",$B$2="",$D$2=0),0,IF(AI$3&lt;0,0,N(INDEX('CURVA PREVISION'!$A$1:$KZ$3000,$C64,11+3*MIN(AI$3,$D$2-1)))))</f>
        <v/>
      </c>
      <c r="AJ64" s="123">
        <f>IF(OR($C64="",$B$2="",$D$2=0),0,IF(AJ$3&lt;0,0,N(INDEX('CURVA PREVISION'!$A$1:$KZ$3000,$C64,11+3*MIN(AJ$3,$D$2-1)))))</f>
        <v/>
      </c>
      <c r="AK64" s="123">
        <f>IF(OR($C64="",$B$2="",$D$2=0),0,IF(AK$3&lt;0,0,N(INDEX('CURVA PREVISION'!$A$1:$KZ$3000,$C64,11+3*MIN(AK$3,$D$2-1)))))</f>
        <v/>
      </c>
      <c r="AL64" s="123">
        <f>IF(OR($C64="",$B$2="",$D$2=0),0,IF(AL$3&lt;0,0,N(INDEX('CURVA PREVISION'!$A$1:$KZ$3000,$C64,11+3*MIN(AL$3,$D$2-1)))))</f>
        <v/>
      </c>
      <c r="AM64" s="123">
        <f>IF(OR($C64="",$B$2="",$D$2=0),0,IF(AM$3&lt;0,0,N(INDEX('CURVA PREVISION'!$A$1:$KZ$3000,$C64,11+3*MIN(AM$3,$D$2-1)))))</f>
        <v/>
      </c>
      <c r="AN64" s="123">
        <f>IF(OR($C64="",$B$2="",$D$2=0),0,IF(AN$3&lt;0,0,N(INDEX('CURVA PREVISION'!$A$1:$KZ$3000,$C64,11+3*MIN(AN$3,$D$2-1)))))</f>
        <v/>
      </c>
      <c r="AO64" s="123">
        <f>IF(OR($C64="",$B$2="",$D$2=0),0,IF(AO$3&lt;0,0,N(INDEX('CURVA PREVISION'!$A$1:$KZ$3000,$C64,11+3*MIN(AO$3,$D$2-1)))))</f>
        <v/>
      </c>
      <c r="AP64" s="123">
        <f>IF(OR($C64="",$B$2="",$D$2=0),0,IF(AP$3&lt;0,0,N(INDEX('CURVA PREVISION'!$A$1:$KZ$3000,$C64,11+3*MIN(AP$3,$D$2-1)))))</f>
        <v/>
      </c>
      <c r="AQ64" s="123">
        <f>IF(OR($C64="",$B$2="",$D$2=0),0,IF(AQ$3&lt;0,0,N(INDEX('CURVA PREVISION'!$A$1:$KZ$3000,$C64,11+3*MIN(AQ$3,$D$2-1)))))</f>
        <v/>
      </c>
      <c r="AR64" s="123">
        <f>IF(OR($C64="",$B$2="",$D$2=0),0,IF(AR$3&lt;0,0,N(INDEX('CURVA PREVISION'!$A$1:$KZ$3000,$C64,11+3*MIN(AR$3,$D$2-1)))))</f>
        <v/>
      </c>
      <c r="AS64" s="123">
        <f>IF(OR($C64="",$B$2="",$D$2=0),0,IF(AS$3&lt;0,0,N(INDEX('CURVA PREVISION'!$A$1:$KZ$3000,$C64,11+3*MIN(AS$3,$D$2-1)))))</f>
        <v/>
      </c>
      <c r="AT64" s="123">
        <f>IF(OR($C64="",$B$2="",$D$2=0),0,IF(AT$3&lt;0,0,N(INDEX('CURVA PREVISION'!$A$1:$KZ$3000,$C64,11+3*MIN(AT$3,$D$2-1)))))</f>
        <v/>
      </c>
      <c r="AU64" s="123">
        <f>IF(OR($C64="",$B$2="",$D$2=0),0,IF(AU$3&lt;0,0,N(INDEX('CURVA PREVISION'!$A$1:$KZ$3000,$C64,11+3*MIN(AU$3,$D$2-1)))))</f>
        <v/>
      </c>
      <c r="AV64" s="123">
        <f>IF(OR($C64="",$B$2="",$D$2=0),0,IF(AV$3&lt;0,0,N(INDEX('CURVA PREVISION'!$A$1:$KZ$3000,$C64,11+3*MIN(AV$3,$D$2-1)))))</f>
        <v/>
      </c>
      <c r="AW64" s="123">
        <f>IF(OR($C64="",$B$2="",$D$2=0),0,IF(AW$3&lt;0,0,N(INDEX('CURVA PREVISION'!$A$1:$KZ$3000,$C64,11+3*MIN(AW$3,$D$2-1)))))</f>
        <v/>
      </c>
      <c r="AX64" s="123">
        <f>IF(OR($C64="",$B$2="",$D$2=0),0,IF(AX$3&lt;0,0,N(INDEX('CURVA PREVISION'!$A$1:$KZ$3000,$C64,11+3*MIN(AX$3,$D$2-1)))))</f>
        <v/>
      </c>
      <c r="AY64" s="123">
        <f>IF(OR($C64="",$B$2="",$D$2=0),0,IF(AY$3&lt;0,0,N(INDEX('CURVA PREVISION'!$A$1:$KZ$3000,$C64,11+3*MIN(AY$3,$D$2-1)))))</f>
        <v/>
      </c>
      <c r="AZ64" s="123">
        <f>IF(OR($C64="",$B$2="",$D$2=0),0,IF(AZ$3&lt;0,0,N(INDEX('CURVA PREVISION'!$A$1:$KZ$3000,$C64,11+3*MIN(AZ$3,$D$2-1)))))</f>
        <v/>
      </c>
      <c r="BA64" s="123">
        <f>IF(OR($C64="",$B$2="",$D$2=0),0,IF(BA$3&lt;0,0,N(INDEX('CURVA PREVISION'!$A$1:$KZ$3000,$C64,11+3*MIN(BA$3,$D$2-1)))))</f>
        <v/>
      </c>
      <c r="BB64" s="123">
        <f>IF(OR($C64="",$B$2="",$D$2=0),0,IF(BB$3&lt;0,0,N(INDEX('CURVA PREVISION'!$A$1:$KZ$3000,$C64,11+3*MIN(BB$3,$D$2-1)))))</f>
        <v/>
      </c>
      <c r="BC64" s="123">
        <f>IF(OR($C64="",$B$2="",$D$2=0),0,IF(BC$3&lt;0,0,N(INDEX('CURVA PREVISION'!$A$1:$KZ$3000,$C64,11+3*MIN(BC$3,$D$2-1)))))</f>
        <v/>
      </c>
      <c r="BD64" s="123">
        <f>IF(OR($C64="",$B$2="",$D$2=0),0,IF(BD$3&lt;0,0,N(INDEX('CURVA PREVISION'!$A$1:$KZ$3000,$C64,11+3*MIN(BD$3,$D$2-1)))))</f>
        <v/>
      </c>
      <c r="BE64" s="123">
        <f>IF(OR($C64="",$B$2="",$D$2=0),0,IF(BE$3&lt;0,0,N(INDEX('CURVA PREVISION'!$A$1:$KZ$3000,$C64,11+3*MIN(BE$3,$D$2-1)))))</f>
        <v/>
      </c>
      <c r="BF64" s="123">
        <f>IF(OR($C64="",$B$2="",$D$2=0),0,IF(BF$3&lt;0,0,N(INDEX('CURVA PREVISION'!$A$1:$KZ$3000,$C64,11+3*MIN(BF$3,$D$2-1)))))</f>
        <v/>
      </c>
      <c r="BG64" s="123">
        <f>IF(OR($C64="",$B$2="",$D$2=0),0,IF(BG$3&lt;0,0,N(INDEX('CURVA PREVISION'!$A$1:$KZ$3000,$C64,11+3*MIN(BG$3,$D$2-1)))))</f>
        <v/>
      </c>
      <c r="BH64" s="123">
        <f>IF(OR($C64="",$B$2="",$D$2=0),0,IF(BH$3&lt;0,0,N(INDEX('CURVA PREVISION'!$A$1:$KZ$3000,$C64,11+3*MIN(BH$3,$D$2-1)))))</f>
        <v/>
      </c>
      <c r="BI64" s="123">
        <f>IF(OR($C64="",$B$2="",$D$2=0),0,IF(BI$3&lt;0,0,N(INDEX('CURVA PREVISION'!$A$1:$KZ$3000,$C64,11+3*MIN(BI$3,$D$2-1)))))</f>
        <v/>
      </c>
      <c r="BJ64" s="123">
        <f>IF(OR($C64="",$B$2="",$D$2=0),0,IF(BJ$3&lt;0,0,N(INDEX('CURVA PREVISION'!$A$1:$KZ$3000,$C64,11+3*MIN(BJ$3,$D$2-1)))))</f>
        <v/>
      </c>
      <c r="BK64" s="123">
        <f>IF(OR($C64="",$B$2="",$D$2=0),0,IF(BK$3&lt;0,0,N(INDEX('CURVA PREVISION'!$A$1:$KZ$3000,$C64,11+3*MIN(BK$3,$D$2-1)))))</f>
        <v/>
      </c>
      <c r="BL64" s="123">
        <f>IF(OR($C64="",$B$2="",$D$2=0),0,IF(BL$3&lt;0,0,N(INDEX('CURVA PREVISION'!$A$1:$KZ$3000,$C64,11+3*MIN(BL$3,$D$2-1)))))</f>
        <v/>
      </c>
      <c r="BM64" s="123">
        <f>IF(OR($C64="",$B$2="",$D$2=0),0,IF(BM$3&lt;0,0,N(INDEX('CURVA PREVISION'!$A$1:$KZ$3000,$C64,11+3*MIN(BM$3,$D$2-1)))))</f>
        <v/>
      </c>
      <c r="BN64" s="123">
        <f>IF(OR($C64="",$B$2="",$D$2=0),0,IF(BN$3&lt;0,0,N(INDEX('CURVA PREVISION'!$A$1:$KZ$3000,$C64,11+3*MIN(BN$3,$D$2-1)))))</f>
        <v/>
      </c>
      <c r="BO64" s="123">
        <f>IF(OR($C64="",$B$2="",$D$2=0),0,IF(BO$3&lt;0,0,N(INDEX('CURVA PREVISION'!$A$1:$KZ$3000,$C64,11+3*MIN(BO$3,$D$2-1)))))</f>
        <v/>
      </c>
      <c r="BP64" s="123">
        <f>IF(OR($C64="",$B$2="",$D$2=0),0,IF(BP$3&lt;0,0,N(INDEX('CURVA PREVISION'!$A$1:$KZ$3000,$C64,11+3*MIN(BP$3,$D$2-1)))))</f>
        <v/>
      </c>
      <c r="BQ64" s="123">
        <f>IF(OR($C64="",$B$2="",$D$2=0),0,IF(BQ$3&lt;0,0,N(INDEX('CURVA PREVISION'!$A$1:$KZ$3000,$C64,11+3*MIN(BQ$3,$D$2-1)))))</f>
        <v/>
      </c>
      <c r="BR64" s="123">
        <f>IF(OR($C64="",$B$2="",$D$2=0),0,IF(BR$3&lt;0,0,N(INDEX('CURVA PREVISION'!$A$1:$KZ$3000,$C64,11+3*MIN(BR$3,$D$2-1)))))</f>
        <v/>
      </c>
      <c r="BS64" s="123">
        <f>IF(OR($C64="",$B$2="",$D$2=0),0,IF(BS$3&lt;0,0,N(INDEX('CURVA PREVISION'!$A$1:$KZ$3000,$C64,11+3*MIN(BS$3,$D$2-1)))))</f>
        <v/>
      </c>
      <c r="BT64" s="123">
        <f>IF(OR($C64="",$B$2="",$D$2=0),0,IF(BT$3&lt;0,0,N(INDEX('CURVA PREVISION'!$A$1:$KZ$3000,$C64,11+3*MIN(BT$3,$D$2-1)))))</f>
        <v/>
      </c>
      <c r="BU64" s="123">
        <f>IF(OR($C64="",$B$2="",$D$2=0),0,IF(BU$3&lt;0,0,N(INDEX('CURVA PREVISION'!$A$1:$KZ$3000,$C64,11+3*MIN(BU$3,$D$2-1)))))</f>
        <v/>
      </c>
      <c r="BV64" s="123">
        <f>IF(OR($C64="",$B$2="",$D$2=0),0,IF(BV$3&lt;0,0,N(INDEX('CURVA PREVISION'!$A$1:$KZ$3000,$C64,11+3*MIN(BV$3,$D$2-1)))))</f>
        <v/>
      </c>
      <c r="BW64" s="123">
        <f>IF(OR($C64="",$B$2="",$D$2=0),0,IF(BW$3&lt;0,0,N(INDEX('CURVA PREVISION'!$A$1:$KZ$3000,$C64,11+3*MIN(BW$3,$D$2-1)))))</f>
        <v/>
      </c>
    </row>
    <row r="65">
      <c r="A65" s="61">
        <f>IF('VALOR POR PL'!Q29="",'VALOR POR PL'!C29,'VALOR POR PL'!Q29)</f>
        <v/>
      </c>
      <c r="B65" s="51">
        <f>B23</f>
        <v/>
      </c>
      <c r="C65" s="70">
        <f>IFERROR(MATCH(A65,'CURVA PREVISION'!$B$1:$B$3000,0),"")</f>
        <v/>
      </c>
      <c r="D65" s="123">
        <f>IF(OR($C65="",$B$2="",$D$2=0),0,IF(D$3&lt;0,0,N(INDEX('CURVA PREVISION'!$A$1:$KZ$3000,$C65,11+3*MIN(D$3,$D$2-1)))))</f>
        <v/>
      </c>
      <c r="E65" s="123">
        <f>IF(OR($C65="",$B$2="",$D$2=0),0,IF(E$3&lt;0,0,N(INDEX('CURVA PREVISION'!$A$1:$KZ$3000,$C65,11+3*MIN(E$3,$D$2-1)))))</f>
        <v/>
      </c>
      <c r="F65" s="123">
        <f>IF(OR($C65="",$B$2="",$D$2=0),0,IF(F$3&lt;0,0,N(INDEX('CURVA PREVISION'!$A$1:$KZ$3000,$C65,11+3*MIN(F$3,$D$2-1)))))</f>
        <v/>
      </c>
      <c r="G65" s="123">
        <f>IF(OR($C65="",$B$2="",$D$2=0),0,IF(G$3&lt;0,0,N(INDEX('CURVA PREVISION'!$A$1:$KZ$3000,$C65,11+3*MIN(G$3,$D$2-1)))))</f>
        <v/>
      </c>
      <c r="H65" s="123">
        <f>IF(OR($C65="",$B$2="",$D$2=0),0,IF(H$3&lt;0,0,N(INDEX('CURVA PREVISION'!$A$1:$KZ$3000,$C65,11+3*MIN(H$3,$D$2-1)))))</f>
        <v/>
      </c>
      <c r="I65" s="123">
        <f>IF(OR($C65="",$B$2="",$D$2=0),0,IF(I$3&lt;0,0,N(INDEX('CURVA PREVISION'!$A$1:$KZ$3000,$C65,11+3*MIN(I$3,$D$2-1)))))</f>
        <v/>
      </c>
      <c r="J65" s="123">
        <f>IF(OR($C65="",$B$2="",$D$2=0),0,IF(J$3&lt;0,0,N(INDEX('CURVA PREVISION'!$A$1:$KZ$3000,$C65,11+3*MIN(J$3,$D$2-1)))))</f>
        <v/>
      </c>
      <c r="K65" s="123">
        <f>IF(OR($C65="",$B$2="",$D$2=0),0,IF(K$3&lt;0,0,N(INDEX('CURVA PREVISION'!$A$1:$KZ$3000,$C65,11+3*MIN(K$3,$D$2-1)))))</f>
        <v/>
      </c>
      <c r="L65" s="123">
        <f>IF(OR($C65="",$B$2="",$D$2=0),0,IF(L$3&lt;0,0,N(INDEX('CURVA PREVISION'!$A$1:$KZ$3000,$C65,11+3*MIN(L$3,$D$2-1)))))</f>
        <v/>
      </c>
      <c r="M65" s="123">
        <f>IF(OR($C65="",$B$2="",$D$2=0),0,IF(M$3&lt;0,0,N(INDEX('CURVA PREVISION'!$A$1:$KZ$3000,$C65,11+3*MIN(M$3,$D$2-1)))))</f>
        <v/>
      </c>
      <c r="N65" s="123">
        <f>IF(OR($C65="",$B$2="",$D$2=0),0,IF(N$3&lt;0,0,N(INDEX('CURVA PREVISION'!$A$1:$KZ$3000,$C65,11+3*MIN(N$3,$D$2-1)))))</f>
        <v/>
      </c>
      <c r="O65" s="123">
        <f>IF(OR($C65="",$B$2="",$D$2=0),0,IF(O$3&lt;0,0,N(INDEX('CURVA PREVISION'!$A$1:$KZ$3000,$C65,11+3*MIN(O$3,$D$2-1)))))</f>
        <v/>
      </c>
      <c r="P65" s="123">
        <f>IF(OR($C65="",$B$2="",$D$2=0),0,IF(P$3&lt;0,0,N(INDEX('CURVA PREVISION'!$A$1:$KZ$3000,$C65,11+3*MIN(P$3,$D$2-1)))))</f>
        <v/>
      </c>
      <c r="Q65" s="123">
        <f>IF(OR($C65="",$B$2="",$D$2=0),0,IF(Q$3&lt;0,0,N(INDEX('CURVA PREVISION'!$A$1:$KZ$3000,$C65,11+3*MIN(Q$3,$D$2-1)))))</f>
        <v/>
      </c>
      <c r="R65" s="123">
        <f>IF(OR($C65="",$B$2="",$D$2=0),0,IF(R$3&lt;0,0,N(INDEX('CURVA PREVISION'!$A$1:$KZ$3000,$C65,11+3*MIN(R$3,$D$2-1)))))</f>
        <v/>
      </c>
      <c r="S65" s="123">
        <f>IF(OR($C65="",$B$2="",$D$2=0),0,IF(S$3&lt;0,0,N(INDEX('CURVA PREVISION'!$A$1:$KZ$3000,$C65,11+3*MIN(S$3,$D$2-1)))))</f>
        <v/>
      </c>
      <c r="T65" s="123">
        <f>IF(OR($C65="",$B$2="",$D$2=0),0,IF(T$3&lt;0,0,N(INDEX('CURVA PREVISION'!$A$1:$KZ$3000,$C65,11+3*MIN(T$3,$D$2-1)))))</f>
        <v/>
      </c>
      <c r="U65" s="123">
        <f>IF(OR($C65="",$B$2="",$D$2=0),0,IF(U$3&lt;0,0,N(INDEX('CURVA PREVISION'!$A$1:$KZ$3000,$C65,11+3*MIN(U$3,$D$2-1)))))</f>
        <v/>
      </c>
      <c r="V65" s="123">
        <f>IF(OR($C65="",$B$2="",$D$2=0),0,IF(V$3&lt;0,0,N(INDEX('CURVA PREVISION'!$A$1:$KZ$3000,$C65,11+3*MIN(V$3,$D$2-1)))))</f>
        <v/>
      </c>
      <c r="W65" s="123">
        <f>IF(OR($C65="",$B$2="",$D$2=0),0,IF(W$3&lt;0,0,N(INDEX('CURVA PREVISION'!$A$1:$KZ$3000,$C65,11+3*MIN(W$3,$D$2-1)))))</f>
        <v/>
      </c>
      <c r="X65" s="123">
        <f>IF(OR($C65="",$B$2="",$D$2=0),0,IF(X$3&lt;0,0,N(INDEX('CURVA PREVISION'!$A$1:$KZ$3000,$C65,11+3*MIN(X$3,$D$2-1)))))</f>
        <v/>
      </c>
      <c r="Y65" s="123">
        <f>IF(OR($C65="",$B$2="",$D$2=0),0,IF(Y$3&lt;0,0,N(INDEX('CURVA PREVISION'!$A$1:$KZ$3000,$C65,11+3*MIN(Y$3,$D$2-1)))))</f>
        <v/>
      </c>
      <c r="Z65" s="123">
        <f>IF(OR($C65="",$B$2="",$D$2=0),0,IF(Z$3&lt;0,0,N(INDEX('CURVA PREVISION'!$A$1:$KZ$3000,$C65,11+3*MIN(Z$3,$D$2-1)))))</f>
        <v/>
      </c>
      <c r="AA65" s="123">
        <f>IF(OR($C65="",$B$2="",$D$2=0),0,IF(AA$3&lt;0,0,N(INDEX('CURVA PREVISION'!$A$1:$KZ$3000,$C65,11+3*MIN(AA$3,$D$2-1)))))</f>
        <v/>
      </c>
      <c r="AB65" s="123">
        <f>IF(OR($C65="",$B$2="",$D$2=0),0,IF(AB$3&lt;0,0,N(INDEX('CURVA PREVISION'!$A$1:$KZ$3000,$C65,11+3*MIN(AB$3,$D$2-1)))))</f>
        <v/>
      </c>
      <c r="AC65" s="123">
        <f>IF(OR($C65="",$B$2="",$D$2=0),0,IF(AC$3&lt;0,0,N(INDEX('CURVA PREVISION'!$A$1:$KZ$3000,$C65,11+3*MIN(AC$3,$D$2-1)))))</f>
        <v/>
      </c>
      <c r="AD65" s="123">
        <f>IF(OR($C65="",$B$2="",$D$2=0),0,IF(AD$3&lt;0,0,N(INDEX('CURVA PREVISION'!$A$1:$KZ$3000,$C65,11+3*MIN(AD$3,$D$2-1)))))</f>
        <v/>
      </c>
      <c r="AE65" s="123">
        <f>IF(OR($C65="",$B$2="",$D$2=0),0,IF(AE$3&lt;0,0,N(INDEX('CURVA PREVISION'!$A$1:$KZ$3000,$C65,11+3*MIN(AE$3,$D$2-1)))))</f>
        <v/>
      </c>
      <c r="AF65" s="123">
        <f>IF(OR($C65="",$B$2="",$D$2=0),0,IF(AF$3&lt;0,0,N(INDEX('CURVA PREVISION'!$A$1:$KZ$3000,$C65,11+3*MIN(AF$3,$D$2-1)))))</f>
        <v/>
      </c>
      <c r="AG65" s="123">
        <f>IF(OR($C65="",$B$2="",$D$2=0),0,IF(AG$3&lt;0,0,N(INDEX('CURVA PREVISION'!$A$1:$KZ$3000,$C65,11+3*MIN(AG$3,$D$2-1)))))</f>
        <v/>
      </c>
      <c r="AH65" s="123">
        <f>IF(OR($C65="",$B$2="",$D$2=0),0,IF(AH$3&lt;0,0,N(INDEX('CURVA PREVISION'!$A$1:$KZ$3000,$C65,11+3*MIN(AH$3,$D$2-1)))))</f>
        <v/>
      </c>
      <c r="AI65" s="123">
        <f>IF(OR($C65="",$B$2="",$D$2=0),0,IF(AI$3&lt;0,0,N(INDEX('CURVA PREVISION'!$A$1:$KZ$3000,$C65,11+3*MIN(AI$3,$D$2-1)))))</f>
        <v/>
      </c>
      <c r="AJ65" s="123">
        <f>IF(OR($C65="",$B$2="",$D$2=0),0,IF(AJ$3&lt;0,0,N(INDEX('CURVA PREVISION'!$A$1:$KZ$3000,$C65,11+3*MIN(AJ$3,$D$2-1)))))</f>
        <v/>
      </c>
      <c r="AK65" s="123">
        <f>IF(OR($C65="",$B$2="",$D$2=0),0,IF(AK$3&lt;0,0,N(INDEX('CURVA PREVISION'!$A$1:$KZ$3000,$C65,11+3*MIN(AK$3,$D$2-1)))))</f>
        <v/>
      </c>
      <c r="AL65" s="123">
        <f>IF(OR($C65="",$B$2="",$D$2=0),0,IF(AL$3&lt;0,0,N(INDEX('CURVA PREVISION'!$A$1:$KZ$3000,$C65,11+3*MIN(AL$3,$D$2-1)))))</f>
        <v/>
      </c>
      <c r="AM65" s="123">
        <f>IF(OR($C65="",$B$2="",$D$2=0),0,IF(AM$3&lt;0,0,N(INDEX('CURVA PREVISION'!$A$1:$KZ$3000,$C65,11+3*MIN(AM$3,$D$2-1)))))</f>
        <v/>
      </c>
      <c r="AN65" s="123">
        <f>IF(OR($C65="",$B$2="",$D$2=0),0,IF(AN$3&lt;0,0,N(INDEX('CURVA PREVISION'!$A$1:$KZ$3000,$C65,11+3*MIN(AN$3,$D$2-1)))))</f>
        <v/>
      </c>
      <c r="AO65" s="123">
        <f>IF(OR($C65="",$B$2="",$D$2=0),0,IF(AO$3&lt;0,0,N(INDEX('CURVA PREVISION'!$A$1:$KZ$3000,$C65,11+3*MIN(AO$3,$D$2-1)))))</f>
        <v/>
      </c>
      <c r="AP65" s="123">
        <f>IF(OR($C65="",$B$2="",$D$2=0),0,IF(AP$3&lt;0,0,N(INDEX('CURVA PREVISION'!$A$1:$KZ$3000,$C65,11+3*MIN(AP$3,$D$2-1)))))</f>
        <v/>
      </c>
      <c r="AQ65" s="123">
        <f>IF(OR($C65="",$B$2="",$D$2=0),0,IF(AQ$3&lt;0,0,N(INDEX('CURVA PREVISION'!$A$1:$KZ$3000,$C65,11+3*MIN(AQ$3,$D$2-1)))))</f>
        <v/>
      </c>
      <c r="AR65" s="123">
        <f>IF(OR($C65="",$B$2="",$D$2=0),0,IF(AR$3&lt;0,0,N(INDEX('CURVA PREVISION'!$A$1:$KZ$3000,$C65,11+3*MIN(AR$3,$D$2-1)))))</f>
        <v/>
      </c>
      <c r="AS65" s="123">
        <f>IF(OR($C65="",$B$2="",$D$2=0),0,IF(AS$3&lt;0,0,N(INDEX('CURVA PREVISION'!$A$1:$KZ$3000,$C65,11+3*MIN(AS$3,$D$2-1)))))</f>
        <v/>
      </c>
      <c r="AT65" s="123">
        <f>IF(OR($C65="",$B$2="",$D$2=0),0,IF(AT$3&lt;0,0,N(INDEX('CURVA PREVISION'!$A$1:$KZ$3000,$C65,11+3*MIN(AT$3,$D$2-1)))))</f>
        <v/>
      </c>
      <c r="AU65" s="123">
        <f>IF(OR($C65="",$B$2="",$D$2=0),0,IF(AU$3&lt;0,0,N(INDEX('CURVA PREVISION'!$A$1:$KZ$3000,$C65,11+3*MIN(AU$3,$D$2-1)))))</f>
        <v/>
      </c>
      <c r="AV65" s="123">
        <f>IF(OR($C65="",$B$2="",$D$2=0),0,IF(AV$3&lt;0,0,N(INDEX('CURVA PREVISION'!$A$1:$KZ$3000,$C65,11+3*MIN(AV$3,$D$2-1)))))</f>
        <v/>
      </c>
      <c r="AW65" s="123">
        <f>IF(OR($C65="",$B$2="",$D$2=0),0,IF(AW$3&lt;0,0,N(INDEX('CURVA PREVISION'!$A$1:$KZ$3000,$C65,11+3*MIN(AW$3,$D$2-1)))))</f>
        <v/>
      </c>
      <c r="AX65" s="123">
        <f>IF(OR($C65="",$B$2="",$D$2=0),0,IF(AX$3&lt;0,0,N(INDEX('CURVA PREVISION'!$A$1:$KZ$3000,$C65,11+3*MIN(AX$3,$D$2-1)))))</f>
        <v/>
      </c>
      <c r="AY65" s="123">
        <f>IF(OR($C65="",$B$2="",$D$2=0),0,IF(AY$3&lt;0,0,N(INDEX('CURVA PREVISION'!$A$1:$KZ$3000,$C65,11+3*MIN(AY$3,$D$2-1)))))</f>
        <v/>
      </c>
      <c r="AZ65" s="123">
        <f>IF(OR($C65="",$B$2="",$D$2=0),0,IF(AZ$3&lt;0,0,N(INDEX('CURVA PREVISION'!$A$1:$KZ$3000,$C65,11+3*MIN(AZ$3,$D$2-1)))))</f>
        <v/>
      </c>
      <c r="BA65" s="123">
        <f>IF(OR($C65="",$B$2="",$D$2=0),0,IF(BA$3&lt;0,0,N(INDEX('CURVA PREVISION'!$A$1:$KZ$3000,$C65,11+3*MIN(BA$3,$D$2-1)))))</f>
        <v/>
      </c>
      <c r="BB65" s="123">
        <f>IF(OR($C65="",$B$2="",$D$2=0),0,IF(BB$3&lt;0,0,N(INDEX('CURVA PREVISION'!$A$1:$KZ$3000,$C65,11+3*MIN(BB$3,$D$2-1)))))</f>
        <v/>
      </c>
      <c r="BC65" s="123">
        <f>IF(OR($C65="",$B$2="",$D$2=0),0,IF(BC$3&lt;0,0,N(INDEX('CURVA PREVISION'!$A$1:$KZ$3000,$C65,11+3*MIN(BC$3,$D$2-1)))))</f>
        <v/>
      </c>
      <c r="BD65" s="123">
        <f>IF(OR($C65="",$B$2="",$D$2=0),0,IF(BD$3&lt;0,0,N(INDEX('CURVA PREVISION'!$A$1:$KZ$3000,$C65,11+3*MIN(BD$3,$D$2-1)))))</f>
        <v/>
      </c>
      <c r="BE65" s="123">
        <f>IF(OR($C65="",$B$2="",$D$2=0),0,IF(BE$3&lt;0,0,N(INDEX('CURVA PREVISION'!$A$1:$KZ$3000,$C65,11+3*MIN(BE$3,$D$2-1)))))</f>
        <v/>
      </c>
      <c r="BF65" s="123">
        <f>IF(OR($C65="",$B$2="",$D$2=0),0,IF(BF$3&lt;0,0,N(INDEX('CURVA PREVISION'!$A$1:$KZ$3000,$C65,11+3*MIN(BF$3,$D$2-1)))))</f>
        <v/>
      </c>
      <c r="BG65" s="123">
        <f>IF(OR($C65="",$B$2="",$D$2=0),0,IF(BG$3&lt;0,0,N(INDEX('CURVA PREVISION'!$A$1:$KZ$3000,$C65,11+3*MIN(BG$3,$D$2-1)))))</f>
        <v/>
      </c>
      <c r="BH65" s="123">
        <f>IF(OR($C65="",$B$2="",$D$2=0),0,IF(BH$3&lt;0,0,N(INDEX('CURVA PREVISION'!$A$1:$KZ$3000,$C65,11+3*MIN(BH$3,$D$2-1)))))</f>
        <v/>
      </c>
      <c r="BI65" s="123">
        <f>IF(OR($C65="",$B$2="",$D$2=0),0,IF(BI$3&lt;0,0,N(INDEX('CURVA PREVISION'!$A$1:$KZ$3000,$C65,11+3*MIN(BI$3,$D$2-1)))))</f>
        <v/>
      </c>
      <c r="BJ65" s="123">
        <f>IF(OR($C65="",$B$2="",$D$2=0),0,IF(BJ$3&lt;0,0,N(INDEX('CURVA PREVISION'!$A$1:$KZ$3000,$C65,11+3*MIN(BJ$3,$D$2-1)))))</f>
        <v/>
      </c>
      <c r="BK65" s="123">
        <f>IF(OR($C65="",$B$2="",$D$2=0),0,IF(BK$3&lt;0,0,N(INDEX('CURVA PREVISION'!$A$1:$KZ$3000,$C65,11+3*MIN(BK$3,$D$2-1)))))</f>
        <v/>
      </c>
      <c r="BL65" s="123">
        <f>IF(OR($C65="",$B$2="",$D$2=0),0,IF(BL$3&lt;0,0,N(INDEX('CURVA PREVISION'!$A$1:$KZ$3000,$C65,11+3*MIN(BL$3,$D$2-1)))))</f>
        <v/>
      </c>
      <c r="BM65" s="123">
        <f>IF(OR($C65="",$B$2="",$D$2=0),0,IF(BM$3&lt;0,0,N(INDEX('CURVA PREVISION'!$A$1:$KZ$3000,$C65,11+3*MIN(BM$3,$D$2-1)))))</f>
        <v/>
      </c>
      <c r="BN65" s="123">
        <f>IF(OR($C65="",$B$2="",$D$2=0),0,IF(BN$3&lt;0,0,N(INDEX('CURVA PREVISION'!$A$1:$KZ$3000,$C65,11+3*MIN(BN$3,$D$2-1)))))</f>
        <v/>
      </c>
      <c r="BO65" s="123">
        <f>IF(OR($C65="",$B$2="",$D$2=0),0,IF(BO$3&lt;0,0,N(INDEX('CURVA PREVISION'!$A$1:$KZ$3000,$C65,11+3*MIN(BO$3,$D$2-1)))))</f>
        <v/>
      </c>
      <c r="BP65" s="123">
        <f>IF(OR($C65="",$B$2="",$D$2=0),0,IF(BP$3&lt;0,0,N(INDEX('CURVA PREVISION'!$A$1:$KZ$3000,$C65,11+3*MIN(BP$3,$D$2-1)))))</f>
        <v/>
      </c>
      <c r="BQ65" s="123">
        <f>IF(OR($C65="",$B$2="",$D$2=0),0,IF(BQ$3&lt;0,0,N(INDEX('CURVA PREVISION'!$A$1:$KZ$3000,$C65,11+3*MIN(BQ$3,$D$2-1)))))</f>
        <v/>
      </c>
      <c r="BR65" s="123">
        <f>IF(OR($C65="",$B$2="",$D$2=0),0,IF(BR$3&lt;0,0,N(INDEX('CURVA PREVISION'!$A$1:$KZ$3000,$C65,11+3*MIN(BR$3,$D$2-1)))))</f>
        <v/>
      </c>
      <c r="BS65" s="123">
        <f>IF(OR($C65="",$B$2="",$D$2=0),0,IF(BS$3&lt;0,0,N(INDEX('CURVA PREVISION'!$A$1:$KZ$3000,$C65,11+3*MIN(BS$3,$D$2-1)))))</f>
        <v/>
      </c>
      <c r="BT65" s="123">
        <f>IF(OR($C65="",$B$2="",$D$2=0),0,IF(BT$3&lt;0,0,N(INDEX('CURVA PREVISION'!$A$1:$KZ$3000,$C65,11+3*MIN(BT$3,$D$2-1)))))</f>
        <v/>
      </c>
      <c r="BU65" s="123">
        <f>IF(OR($C65="",$B$2="",$D$2=0),0,IF(BU$3&lt;0,0,N(INDEX('CURVA PREVISION'!$A$1:$KZ$3000,$C65,11+3*MIN(BU$3,$D$2-1)))))</f>
        <v/>
      </c>
      <c r="BV65" s="123">
        <f>IF(OR($C65="",$B$2="",$D$2=0),0,IF(BV$3&lt;0,0,N(INDEX('CURVA PREVISION'!$A$1:$KZ$3000,$C65,11+3*MIN(BV$3,$D$2-1)))))</f>
        <v/>
      </c>
      <c r="BW65" s="123">
        <f>IF(OR($C65="",$B$2="",$D$2=0),0,IF(BW$3&lt;0,0,N(INDEX('CURVA PREVISION'!$A$1:$KZ$3000,$C65,11+3*MIN(BW$3,$D$2-1)))))</f>
        <v/>
      </c>
    </row>
    <row r="66">
      <c r="A66" s="61">
        <f>IF('VALOR POR PL'!Q30="",'VALOR POR PL'!C30,'VALOR POR PL'!Q30)</f>
        <v/>
      </c>
      <c r="B66" s="51">
        <f>B24</f>
        <v/>
      </c>
      <c r="C66" s="70">
        <f>IFERROR(MATCH(A66,'CURVA PREVISION'!$B$1:$B$3000,0),"")</f>
        <v/>
      </c>
      <c r="D66" s="123">
        <f>IF(OR($C66="",$B$2="",$D$2=0),0,IF(D$3&lt;0,0,N(INDEX('CURVA PREVISION'!$A$1:$KZ$3000,$C66,11+3*MIN(D$3,$D$2-1)))))</f>
        <v/>
      </c>
      <c r="E66" s="123">
        <f>IF(OR($C66="",$B$2="",$D$2=0),0,IF(E$3&lt;0,0,N(INDEX('CURVA PREVISION'!$A$1:$KZ$3000,$C66,11+3*MIN(E$3,$D$2-1)))))</f>
        <v/>
      </c>
      <c r="F66" s="123">
        <f>IF(OR($C66="",$B$2="",$D$2=0),0,IF(F$3&lt;0,0,N(INDEX('CURVA PREVISION'!$A$1:$KZ$3000,$C66,11+3*MIN(F$3,$D$2-1)))))</f>
        <v/>
      </c>
      <c r="G66" s="123">
        <f>IF(OR($C66="",$B$2="",$D$2=0),0,IF(G$3&lt;0,0,N(INDEX('CURVA PREVISION'!$A$1:$KZ$3000,$C66,11+3*MIN(G$3,$D$2-1)))))</f>
        <v/>
      </c>
      <c r="H66" s="123">
        <f>IF(OR($C66="",$B$2="",$D$2=0),0,IF(H$3&lt;0,0,N(INDEX('CURVA PREVISION'!$A$1:$KZ$3000,$C66,11+3*MIN(H$3,$D$2-1)))))</f>
        <v/>
      </c>
      <c r="I66" s="123">
        <f>IF(OR($C66="",$B$2="",$D$2=0),0,IF(I$3&lt;0,0,N(INDEX('CURVA PREVISION'!$A$1:$KZ$3000,$C66,11+3*MIN(I$3,$D$2-1)))))</f>
        <v/>
      </c>
      <c r="J66" s="123">
        <f>IF(OR($C66="",$B$2="",$D$2=0),0,IF(J$3&lt;0,0,N(INDEX('CURVA PREVISION'!$A$1:$KZ$3000,$C66,11+3*MIN(J$3,$D$2-1)))))</f>
        <v/>
      </c>
      <c r="K66" s="123">
        <f>IF(OR($C66="",$B$2="",$D$2=0),0,IF(K$3&lt;0,0,N(INDEX('CURVA PREVISION'!$A$1:$KZ$3000,$C66,11+3*MIN(K$3,$D$2-1)))))</f>
        <v/>
      </c>
      <c r="L66" s="123">
        <f>IF(OR($C66="",$B$2="",$D$2=0),0,IF(L$3&lt;0,0,N(INDEX('CURVA PREVISION'!$A$1:$KZ$3000,$C66,11+3*MIN(L$3,$D$2-1)))))</f>
        <v/>
      </c>
      <c r="M66" s="123">
        <f>IF(OR($C66="",$B$2="",$D$2=0),0,IF(M$3&lt;0,0,N(INDEX('CURVA PREVISION'!$A$1:$KZ$3000,$C66,11+3*MIN(M$3,$D$2-1)))))</f>
        <v/>
      </c>
      <c r="N66" s="123">
        <f>IF(OR($C66="",$B$2="",$D$2=0),0,IF(N$3&lt;0,0,N(INDEX('CURVA PREVISION'!$A$1:$KZ$3000,$C66,11+3*MIN(N$3,$D$2-1)))))</f>
        <v/>
      </c>
      <c r="O66" s="123">
        <f>IF(OR($C66="",$B$2="",$D$2=0),0,IF(O$3&lt;0,0,N(INDEX('CURVA PREVISION'!$A$1:$KZ$3000,$C66,11+3*MIN(O$3,$D$2-1)))))</f>
        <v/>
      </c>
      <c r="P66" s="123">
        <f>IF(OR($C66="",$B$2="",$D$2=0),0,IF(P$3&lt;0,0,N(INDEX('CURVA PREVISION'!$A$1:$KZ$3000,$C66,11+3*MIN(P$3,$D$2-1)))))</f>
        <v/>
      </c>
      <c r="Q66" s="123">
        <f>IF(OR($C66="",$B$2="",$D$2=0),0,IF(Q$3&lt;0,0,N(INDEX('CURVA PREVISION'!$A$1:$KZ$3000,$C66,11+3*MIN(Q$3,$D$2-1)))))</f>
        <v/>
      </c>
      <c r="R66" s="123">
        <f>IF(OR($C66="",$B$2="",$D$2=0),0,IF(R$3&lt;0,0,N(INDEX('CURVA PREVISION'!$A$1:$KZ$3000,$C66,11+3*MIN(R$3,$D$2-1)))))</f>
        <v/>
      </c>
      <c r="S66" s="123">
        <f>IF(OR($C66="",$B$2="",$D$2=0),0,IF(S$3&lt;0,0,N(INDEX('CURVA PREVISION'!$A$1:$KZ$3000,$C66,11+3*MIN(S$3,$D$2-1)))))</f>
        <v/>
      </c>
      <c r="T66" s="123">
        <f>IF(OR($C66="",$B$2="",$D$2=0),0,IF(T$3&lt;0,0,N(INDEX('CURVA PREVISION'!$A$1:$KZ$3000,$C66,11+3*MIN(T$3,$D$2-1)))))</f>
        <v/>
      </c>
      <c r="U66" s="123">
        <f>IF(OR($C66="",$B$2="",$D$2=0),0,IF(U$3&lt;0,0,N(INDEX('CURVA PREVISION'!$A$1:$KZ$3000,$C66,11+3*MIN(U$3,$D$2-1)))))</f>
        <v/>
      </c>
      <c r="V66" s="123">
        <f>IF(OR($C66="",$B$2="",$D$2=0),0,IF(V$3&lt;0,0,N(INDEX('CURVA PREVISION'!$A$1:$KZ$3000,$C66,11+3*MIN(V$3,$D$2-1)))))</f>
        <v/>
      </c>
      <c r="W66" s="123">
        <f>IF(OR($C66="",$B$2="",$D$2=0),0,IF(W$3&lt;0,0,N(INDEX('CURVA PREVISION'!$A$1:$KZ$3000,$C66,11+3*MIN(W$3,$D$2-1)))))</f>
        <v/>
      </c>
      <c r="X66" s="123">
        <f>IF(OR($C66="",$B$2="",$D$2=0),0,IF(X$3&lt;0,0,N(INDEX('CURVA PREVISION'!$A$1:$KZ$3000,$C66,11+3*MIN(X$3,$D$2-1)))))</f>
        <v/>
      </c>
      <c r="Y66" s="123">
        <f>IF(OR($C66="",$B$2="",$D$2=0),0,IF(Y$3&lt;0,0,N(INDEX('CURVA PREVISION'!$A$1:$KZ$3000,$C66,11+3*MIN(Y$3,$D$2-1)))))</f>
        <v/>
      </c>
      <c r="Z66" s="123">
        <f>IF(OR($C66="",$B$2="",$D$2=0),0,IF(Z$3&lt;0,0,N(INDEX('CURVA PREVISION'!$A$1:$KZ$3000,$C66,11+3*MIN(Z$3,$D$2-1)))))</f>
        <v/>
      </c>
      <c r="AA66" s="123">
        <f>IF(OR($C66="",$B$2="",$D$2=0),0,IF(AA$3&lt;0,0,N(INDEX('CURVA PREVISION'!$A$1:$KZ$3000,$C66,11+3*MIN(AA$3,$D$2-1)))))</f>
        <v/>
      </c>
      <c r="AB66" s="123">
        <f>IF(OR($C66="",$B$2="",$D$2=0),0,IF(AB$3&lt;0,0,N(INDEX('CURVA PREVISION'!$A$1:$KZ$3000,$C66,11+3*MIN(AB$3,$D$2-1)))))</f>
        <v/>
      </c>
      <c r="AC66" s="123">
        <f>IF(OR($C66="",$B$2="",$D$2=0),0,IF(AC$3&lt;0,0,N(INDEX('CURVA PREVISION'!$A$1:$KZ$3000,$C66,11+3*MIN(AC$3,$D$2-1)))))</f>
        <v/>
      </c>
      <c r="AD66" s="123">
        <f>IF(OR($C66="",$B$2="",$D$2=0),0,IF(AD$3&lt;0,0,N(INDEX('CURVA PREVISION'!$A$1:$KZ$3000,$C66,11+3*MIN(AD$3,$D$2-1)))))</f>
        <v/>
      </c>
      <c r="AE66" s="123">
        <f>IF(OR($C66="",$B$2="",$D$2=0),0,IF(AE$3&lt;0,0,N(INDEX('CURVA PREVISION'!$A$1:$KZ$3000,$C66,11+3*MIN(AE$3,$D$2-1)))))</f>
        <v/>
      </c>
      <c r="AF66" s="123">
        <f>IF(OR($C66="",$B$2="",$D$2=0),0,IF(AF$3&lt;0,0,N(INDEX('CURVA PREVISION'!$A$1:$KZ$3000,$C66,11+3*MIN(AF$3,$D$2-1)))))</f>
        <v/>
      </c>
      <c r="AG66" s="123">
        <f>IF(OR($C66="",$B$2="",$D$2=0),0,IF(AG$3&lt;0,0,N(INDEX('CURVA PREVISION'!$A$1:$KZ$3000,$C66,11+3*MIN(AG$3,$D$2-1)))))</f>
        <v/>
      </c>
      <c r="AH66" s="123">
        <f>IF(OR($C66="",$B$2="",$D$2=0),0,IF(AH$3&lt;0,0,N(INDEX('CURVA PREVISION'!$A$1:$KZ$3000,$C66,11+3*MIN(AH$3,$D$2-1)))))</f>
        <v/>
      </c>
      <c r="AI66" s="123">
        <f>IF(OR($C66="",$B$2="",$D$2=0),0,IF(AI$3&lt;0,0,N(INDEX('CURVA PREVISION'!$A$1:$KZ$3000,$C66,11+3*MIN(AI$3,$D$2-1)))))</f>
        <v/>
      </c>
      <c r="AJ66" s="123">
        <f>IF(OR($C66="",$B$2="",$D$2=0),0,IF(AJ$3&lt;0,0,N(INDEX('CURVA PREVISION'!$A$1:$KZ$3000,$C66,11+3*MIN(AJ$3,$D$2-1)))))</f>
        <v/>
      </c>
      <c r="AK66" s="123">
        <f>IF(OR($C66="",$B$2="",$D$2=0),0,IF(AK$3&lt;0,0,N(INDEX('CURVA PREVISION'!$A$1:$KZ$3000,$C66,11+3*MIN(AK$3,$D$2-1)))))</f>
        <v/>
      </c>
      <c r="AL66" s="123">
        <f>IF(OR($C66="",$B$2="",$D$2=0),0,IF(AL$3&lt;0,0,N(INDEX('CURVA PREVISION'!$A$1:$KZ$3000,$C66,11+3*MIN(AL$3,$D$2-1)))))</f>
        <v/>
      </c>
      <c r="AM66" s="123">
        <f>IF(OR($C66="",$B$2="",$D$2=0),0,IF(AM$3&lt;0,0,N(INDEX('CURVA PREVISION'!$A$1:$KZ$3000,$C66,11+3*MIN(AM$3,$D$2-1)))))</f>
        <v/>
      </c>
      <c r="AN66" s="123">
        <f>IF(OR($C66="",$B$2="",$D$2=0),0,IF(AN$3&lt;0,0,N(INDEX('CURVA PREVISION'!$A$1:$KZ$3000,$C66,11+3*MIN(AN$3,$D$2-1)))))</f>
        <v/>
      </c>
      <c r="AO66" s="123">
        <f>IF(OR($C66="",$B$2="",$D$2=0),0,IF(AO$3&lt;0,0,N(INDEX('CURVA PREVISION'!$A$1:$KZ$3000,$C66,11+3*MIN(AO$3,$D$2-1)))))</f>
        <v/>
      </c>
      <c r="AP66" s="123">
        <f>IF(OR($C66="",$B$2="",$D$2=0),0,IF(AP$3&lt;0,0,N(INDEX('CURVA PREVISION'!$A$1:$KZ$3000,$C66,11+3*MIN(AP$3,$D$2-1)))))</f>
        <v/>
      </c>
      <c r="AQ66" s="123">
        <f>IF(OR($C66="",$B$2="",$D$2=0),0,IF(AQ$3&lt;0,0,N(INDEX('CURVA PREVISION'!$A$1:$KZ$3000,$C66,11+3*MIN(AQ$3,$D$2-1)))))</f>
        <v/>
      </c>
      <c r="AR66" s="123">
        <f>IF(OR($C66="",$B$2="",$D$2=0),0,IF(AR$3&lt;0,0,N(INDEX('CURVA PREVISION'!$A$1:$KZ$3000,$C66,11+3*MIN(AR$3,$D$2-1)))))</f>
        <v/>
      </c>
      <c r="AS66" s="123">
        <f>IF(OR($C66="",$B$2="",$D$2=0),0,IF(AS$3&lt;0,0,N(INDEX('CURVA PREVISION'!$A$1:$KZ$3000,$C66,11+3*MIN(AS$3,$D$2-1)))))</f>
        <v/>
      </c>
      <c r="AT66" s="123">
        <f>IF(OR($C66="",$B$2="",$D$2=0),0,IF(AT$3&lt;0,0,N(INDEX('CURVA PREVISION'!$A$1:$KZ$3000,$C66,11+3*MIN(AT$3,$D$2-1)))))</f>
        <v/>
      </c>
      <c r="AU66" s="123">
        <f>IF(OR($C66="",$B$2="",$D$2=0),0,IF(AU$3&lt;0,0,N(INDEX('CURVA PREVISION'!$A$1:$KZ$3000,$C66,11+3*MIN(AU$3,$D$2-1)))))</f>
        <v/>
      </c>
      <c r="AV66" s="123">
        <f>IF(OR($C66="",$B$2="",$D$2=0),0,IF(AV$3&lt;0,0,N(INDEX('CURVA PREVISION'!$A$1:$KZ$3000,$C66,11+3*MIN(AV$3,$D$2-1)))))</f>
        <v/>
      </c>
      <c r="AW66" s="123">
        <f>IF(OR($C66="",$B$2="",$D$2=0),0,IF(AW$3&lt;0,0,N(INDEX('CURVA PREVISION'!$A$1:$KZ$3000,$C66,11+3*MIN(AW$3,$D$2-1)))))</f>
        <v/>
      </c>
      <c r="AX66" s="123">
        <f>IF(OR($C66="",$B$2="",$D$2=0),0,IF(AX$3&lt;0,0,N(INDEX('CURVA PREVISION'!$A$1:$KZ$3000,$C66,11+3*MIN(AX$3,$D$2-1)))))</f>
        <v/>
      </c>
      <c r="AY66" s="123">
        <f>IF(OR($C66="",$B$2="",$D$2=0),0,IF(AY$3&lt;0,0,N(INDEX('CURVA PREVISION'!$A$1:$KZ$3000,$C66,11+3*MIN(AY$3,$D$2-1)))))</f>
        <v/>
      </c>
      <c r="AZ66" s="123">
        <f>IF(OR($C66="",$B$2="",$D$2=0),0,IF(AZ$3&lt;0,0,N(INDEX('CURVA PREVISION'!$A$1:$KZ$3000,$C66,11+3*MIN(AZ$3,$D$2-1)))))</f>
        <v/>
      </c>
      <c r="BA66" s="123">
        <f>IF(OR($C66="",$B$2="",$D$2=0),0,IF(BA$3&lt;0,0,N(INDEX('CURVA PREVISION'!$A$1:$KZ$3000,$C66,11+3*MIN(BA$3,$D$2-1)))))</f>
        <v/>
      </c>
      <c r="BB66" s="123">
        <f>IF(OR($C66="",$B$2="",$D$2=0),0,IF(BB$3&lt;0,0,N(INDEX('CURVA PREVISION'!$A$1:$KZ$3000,$C66,11+3*MIN(BB$3,$D$2-1)))))</f>
        <v/>
      </c>
      <c r="BC66" s="123">
        <f>IF(OR($C66="",$B$2="",$D$2=0),0,IF(BC$3&lt;0,0,N(INDEX('CURVA PREVISION'!$A$1:$KZ$3000,$C66,11+3*MIN(BC$3,$D$2-1)))))</f>
        <v/>
      </c>
      <c r="BD66" s="123">
        <f>IF(OR($C66="",$B$2="",$D$2=0),0,IF(BD$3&lt;0,0,N(INDEX('CURVA PREVISION'!$A$1:$KZ$3000,$C66,11+3*MIN(BD$3,$D$2-1)))))</f>
        <v/>
      </c>
      <c r="BE66" s="123">
        <f>IF(OR($C66="",$B$2="",$D$2=0),0,IF(BE$3&lt;0,0,N(INDEX('CURVA PREVISION'!$A$1:$KZ$3000,$C66,11+3*MIN(BE$3,$D$2-1)))))</f>
        <v/>
      </c>
      <c r="BF66" s="123">
        <f>IF(OR($C66="",$B$2="",$D$2=0),0,IF(BF$3&lt;0,0,N(INDEX('CURVA PREVISION'!$A$1:$KZ$3000,$C66,11+3*MIN(BF$3,$D$2-1)))))</f>
        <v/>
      </c>
      <c r="BG66" s="123">
        <f>IF(OR($C66="",$B$2="",$D$2=0),0,IF(BG$3&lt;0,0,N(INDEX('CURVA PREVISION'!$A$1:$KZ$3000,$C66,11+3*MIN(BG$3,$D$2-1)))))</f>
        <v/>
      </c>
      <c r="BH66" s="123">
        <f>IF(OR($C66="",$B$2="",$D$2=0),0,IF(BH$3&lt;0,0,N(INDEX('CURVA PREVISION'!$A$1:$KZ$3000,$C66,11+3*MIN(BH$3,$D$2-1)))))</f>
        <v/>
      </c>
      <c r="BI66" s="123">
        <f>IF(OR($C66="",$B$2="",$D$2=0),0,IF(BI$3&lt;0,0,N(INDEX('CURVA PREVISION'!$A$1:$KZ$3000,$C66,11+3*MIN(BI$3,$D$2-1)))))</f>
        <v/>
      </c>
      <c r="BJ66" s="123">
        <f>IF(OR($C66="",$B$2="",$D$2=0),0,IF(BJ$3&lt;0,0,N(INDEX('CURVA PREVISION'!$A$1:$KZ$3000,$C66,11+3*MIN(BJ$3,$D$2-1)))))</f>
        <v/>
      </c>
      <c r="BK66" s="123">
        <f>IF(OR($C66="",$B$2="",$D$2=0),0,IF(BK$3&lt;0,0,N(INDEX('CURVA PREVISION'!$A$1:$KZ$3000,$C66,11+3*MIN(BK$3,$D$2-1)))))</f>
        <v/>
      </c>
      <c r="BL66" s="123">
        <f>IF(OR($C66="",$B$2="",$D$2=0),0,IF(BL$3&lt;0,0,N(INDEX('CURVA PREVISION'!$A$1:$KZ$3000,$C66,11+3*MIN(BL$3,$D$2-1)))))</f>
        <v/>
      </c>
      <c r="BM66" s="123">
        <f>IF(OR($C66="",$B$2="",$D$2=0),0,IF(BM$3&lt;0,0,N(INDEX('CURVA PREVISION'!$A$1:$KZ$3000,$C66,11+3*MIN(BM$3,$D$2-1)))))</f>
        <v/>
      </c>
      <c r="BN66" s="123">
        <f>IF(OR($C66="",$B$2="",$D$2=0),0,IF(BN$3&lt;0,0,N(INDEX('CURVA PREVISION'!$A$1:$KZ$3000,$C66,11+3*MIN(BN$3,$D$2-1)))))</f>
        <v/>
      </c>
      <c r="BO66" s="123">
        <f>IF(OR($C66="",$B$2="",$D$2=0),0,IF(BO$3&lt;0,0,N(INDEX('CURVA PREVISION'!$A$1:$KZ$3000,$C66,11+3*MIN(BO$3,$D$2-1)))))</f>
        <v/>
      </c>
      <c r="BP66" s="123">
        <f>IF(OR($C66="",$B$2="",$D$2=0),0,IF(BP$3&lt;0,0,N(INDEX('CURVA PREVISION'!$A$1:$KZ$3000,$C66,11+3*MIN(BP$3,$D$2-1)))))</f>
        <v/>
      </c>
      <c r="BQ66" s="123">
        <f>IF(OR($C66="",$B$2="",$D$2=0),0,IF(BQ$3&lt;0,0,N(INDEX('CURVA PREVISION'!$A$1:$KZ$3000,$C66,11+3*MIN(BQ$3,$D$2-1)))))</f>
        <v/>
      </c>
      <c r="BR66" s="123">
        <f>IF(OR($C66="",$B$2="",$D$2=0),0,IF(BR$3&lt;0,0,N(INDEX('CURVA PREVISION'!$A$1:$KZ$3000,$C66,11+3*MIN(BR$3,$D$2-1)))))</f>
        <v/>
      </c>
      <c r="BS66" s="123">
        <f>IF(OR($C66="",$B$2="",$D$2=0),0,IF(BS$3&lt;0,0,N(INDEX('CURVA PREVISION'!$A$1:$KZ$3000,$C66,11+3*MIN(BS$3,$D$2-1)))))</f>
        <v/>
      </c>
      <c r="BT66" s="123">
        <f>IF(OR($C66="",$B$2="",$D$2=0),0,IF(BT$3&lt;0,0,N(INDEX('CURVA PREVISION'!$A$1:$KZ$3000,$C66,11+3*MIN(BT$3,$D$2-1)))))</f>
        <v/>
      </c>
      <c r="BU66" s="123">
        <f>IF(OR($C66="",$B$2="",$D$2=0),0,IF(BU$3&lt;0,0,N(INDEX('CURVA PREVISION'!$A$1:$KZ$3000,$C66,11+3*MIN(BU$3,$D$2-1)))))</f>
        <v/>
      </c>
      <c r="BV66" s="123">
        <f>IF(OR($C66="",$B$2="",$D$2=0),0,IF(BV$3&lt;0,0,N(INDEX('CURVA PREVISION'!$A$1:$KZ$3000,$C66,11+3*MIN(BV$3,$D$2-1)))))</f>
        <v/>
      </c>
      <c r="BW66" s="123">
        <f>IF(OR($C66="",$B$2="",$D$2=0),0,IF(BW$3&lt;0,0,N(INDEX('CURVA PREVISION'!$A$1:$KZ$3000,$C66,11+3*MIN(BW$3,$D$2-1)))))</f>
        <v/>
      </c>
    </row>
    <row r="67">
      <c r="A67" s="61">
        <f>IF('VALOR POR PL'!Q31="",'VALOR POR PL'!C31,'VALOR POR PL'!Q31)</f>
        <v/>
      </c>
      <c r="B67" s="51">
        <f>B25</f>
        <v/>
      </c>
      <c r="C67" s="70">
        <f>IFERROR(MATCH(A67,'CURVA PREVISION'!$B$1:$B$3000,0),"")</f>
        <v/>
      </c>
      <c r="D67" s="123">
        <f>IF(OR($C67="",$B$2="",$D$2=0),0,IF(D$3&lt;0,0,N(INDEX('CURVA PREVISION'!$A$1:$KZ$3000,$C67,11+3*MIN(D$3,$D$2-1)))))</f>
        <v/>
      </c>
      <c r="E67" s="123">
        <f>IF(OR($C67="",$B$2="",$D$2=0),0,IF(E$3&lt;0,0,N(INDEX('CURVA PREVISION'!$A$1:$KZ$3000,$C67,11+3*MIN(E$3,$D$2-1)))))</f>
        <v/>
      </c>
      <c r="F67" s="123">
        <f>IF(OR($C67="",$B$2="",$D$2=0),0,IF(F$3&lt;0,0,N(INDEX('CURVA PREVISION'!$A$1:$KZ$3000,$C67,11+3*MIN(F$3,$D$2-1)))))</f>
        <v/>
      </c>
      <c r="G67" s="123">
        <f>IF(OR($C67="",$B$2="",$D$2=0),0,IF(G$3&lt;0,0,N(INDEX('CURVA PREVISION'!$A$1:$KZ$3000,$C67,11+3*MIN(G$3,$D$2-1)))))</f>
        <v/>
      </c>
      <c r="H67" s="123">
        <f>IF(OR($C67="",$B$2="",$D$2=0),0,IF(H$3&lt;0,0,N(INDEX('CURVA PREVISION'!$A$1:$KZ$3000,$C67,11+3*MIN(H$3,$D$2-1)))))</f>
        <v/>
      </c>
      <c r="I67" s="123">
        <f>IF(OR($C67="",$B$2="",$D$2=0),0,IF(I$3&lt;0,0,N(INDEX('CURVA PREVISION'!$A$1:$KZ$3000,$C67,11+3*MIN(I$3,$D$2-1)))))</f>
        <v/>
      </c>
      <c r="J67" s="123">
        <f>IF(OR($C67="",$B$2="",$D$2=0),0,IF(J$3&lt;0,0,N(INDEX('CURVA PREVISION'!$A$1:$KZ$3000,$C67,11+3*MIN(J$3,$D$2-1)))))</f>
        <v/>
      </c>
      <c r="K67" s="123">
        <f>IF(OR($C67="",$B$2="",$D$2=0),0,IF(K$3&lt;0,0,N(INDEX('CURVA PREVISION'!$A$1:$KZ$3000,$C67,11+3*MIN(K$3,$D$2-1)))))</f>
        <v/>
      </c>
      <c r="L67" s="123">
        <f>IF(OR($C67="",$B$2="",$D$2=0),0,IF(L$3&lt;0,0,N(INDEX('CURVA PREVISION'!$A$1:$KZ$3000,$C67,11+3*MIN(L$3,$D$2-1)))))</f>
        <v/>
      </c>
      <c r="M67" s="123">
        <f>IF(OR($C67="",$B$2="",$D$2=0),0,IF(M$3&lt;0,0,N(INDEX('CURVA PREVISION'!$A$1:$KZ$3000,$C67,11+3*MIN(M$3,$D$2-1)))))</f>
        <v/>
      </c>
      <c r="N67" s="123">
        <f>IF(OR($C67="",$B$2="",$D$2=0),0,IF(N$3&lt;0,0,N(INDEX('CURVA PREVISION'!$A$1:$KZ$3000,$C67,11+3*MIN(N$3,$D$2-1)))))</f>
        <v/>
      </c>
      <c r="O67" s="123">
        <f>IF(OR($C67="",$B$2="",$D$2=0),0,IF(O$3&lt;0,0,N(INDEX('CURVA PREVISION'!$A$1:$KZ$3000,$C67,11+3*MIN(O$3,$D$2-1)))))</f>
        <v/>
      </c>
      <c r="P67" s="123">
        <f>IF(OR($C67="",$B$2="",$D$2=0),0,IF(P$3&lt;0,0,N(INDEX('CURVA PREVISION'!$A$1:$KZ$3000,$C67,11+3*MIN(P$3,$D$2-1)))))</f>
        <v/>
      </c>
      <c r="Q67" s="123">
        <f>IF(OR($C67="",$B$2="",$D$2=0),0,IF(Q$3&lt;0,0,N(INDEX('CURVA PREVISION'!$A$1:$KZ$3000,$C67,11+3*MIN(Q$3,$D$2-1)))))</f>
        <v/>
      </c>
      <c r="R67" s="123">
        <f>IF(OR($C67="",$B$2="",$D$2=0),0,IF(R$3&lt;0,0,N(INDEX('CURVA PREVISION'!$A$1:$KZ$3000,$C67,11+3*MIN(R$3,$D$2-1)))))</f>
        <v/>
      </c>
      <c r="S67" s="123">
        <f>IF(OR($C67="",$B$2="",$D$2=0),0,IF(S$3&lt;0,0,N(INDEX('CURVA PREVISION'!$A$1:$KZ$3000,$C67,11+3*MIN(S$3,$D$2-1)))))</f>
        <v/>
      </c>
      <c r="T67" s="123">
        <f>IF(OR($C67="",$B$2="",$D$2=0),0,IF(T$3&lt;0,0,N(INDEX('CURVA PREVISION'!$A$1:$KZ$3000,$C67,11+3*MIN(T$3,$D$2-1)))))</f>
        <v/>
      </c>
      <c r="U67" s="123">
        <f>IF(OR($C67="",$B$2="",$D$2=0),0,IF(U$3&lt;0,0,N(INDEX('CURVA PREVISION'!$A$1:$KZ$3000,$C67,11+3*MIN(U$3,$D$2-1)))))</f>
        <v/>
      </c>
      <c r="V67" s="123">
        <f>IF(OR($C67="",$B$2="",$D$2=0),0,IF(V$3&lt;0,0,N(INDEX('CURVA PREVISION'!$A$1:$KZ$3000,$C67,11+3*MIN(V$3,$D$2-1)))))</f>
        <v/>
      </c>
      <c r="W67" s="123">
        <f>IF(OR($C67="",$B$2="",$D$2=0),0,IF(W$3&lt;0,0,N(INDEX('CURVA PREVISION'!$A$1:$KZ$3000,$C67,11+3*MIN(W$3,$D$2-1)))))</f>
        <v/>
      </c>
      <c r="X67" s="123">
        <f>IF(OR($C67="",$B$2="",$D$2=0),0,IF(X$3&lt;0,0,N(INDEX('CURVA PREVISION'!$A$1:$KZ$3000,$C67,11+3*MIN(X$3,$D$2-1)))))</f>
        <v/>
      </c>
      <c r="Y67" s="123">
        <f>IF(OR($C67="",$B$2="",$D$2=0),0,IF(Y$3&lt;0,0,N(INDEX('CURVA PREVISION'!$A$1:$KZ$3000,$C67,11+3*MIN(Y$3,$D$2-1)))))</f>
        <v/>
      </c>
      <c r="Z67" s="123">
        <f>IF(OR($C67="",$B$2="",$D$2=0),0,IF(Z$3&lt;0,0,N(INDEX('CURVA PREVISION'!$A$1:$KZ$3000,$C67,11+3*MIN(Z$3,$D$2-1)))))</f>
        <v/>
      </c>
      <c r="AA67" s="123">
        <f>IF(OR($C67="",$B$2="",$D$2=0),0,IF(AA$3&lt;0,0,N(INDEX('CURVA PREVISION'!$A$1:$KZ$3000,$C67,11+3*MIN(AA$3,$D$2-1)))))</f>
        <v/>
      </c>
      <c r="AB67" s="123">
        <f>IF(OR($C67="",$B$2="",$D$2=0),0,IF(AB$3&lt;0,0,N(INDEX('CURVA PREVISION'!$A$1:$KZ$3000,$C67,11+3*MIN(AB$3,$D$2-1)))))</f>
        <v/>
      </c>
      <c r="AC67" s="123">
        <f>IF(OR($C67="",$B$2="",$D$2=0),0,IF(AC$3&lt;0,0,N(INDEX('CURVA PREVISION'!$A$1:$KZ$3000,$C67,11+3*MIN(AC$3,$D$2-1)))))</f>
        <v/>
      </c>
      <c r="AD67" s="123">
        <f>IF(OR($C67="",$B$2="",$D$2=0),0,IF(AD$3&lt;0,0,N(INDEX('CURVA PREVISION'!$A$1:$KZ$3000,$C67,11+3*MIN(AD$3,$D$2-1)))))</f>
        <v/>
      </c>
      <c r="AE67" s="123">
        <f>IF(OR($C67="",$B$2="",$D$2=0),0,IF(AE$3&lt;0,0,N(INDEX('CURVA PREVISION'!$A$1:$KZ$3000,$C67,11+3*MIN(AE$3,$D$2-1)))))</f>
        <v/>
      </c>
      <c r="AF67" s="123">
        <f>IF(OR($C67="",$B$2="",$D$2=0),0,IF(AF$3&lt;0,0,N(INDEX('CURVA PREVISION'!$A$1:$KZ$3000,$C67,11+3*MIN(AF$3,$D$2-1)))))</f>
        <v/>
      </c>
      <c r="AG67" s="123">
        <f>IF(OR($C67="",$B$2="",$D$2=0),0,IF(AG$3&lt;0,0,N(INDEX('CURVA PREVISION'!$A$1:$KZ$3000,$C67,11+3*MIN(AG$3,$D$2-1)))))</f>
        <v/>
      </c>
      <c r="AH67" s="123">
        <f>IF(OR($C67="",$B$2="",$D$2=0),0,IF(AH$3&lt;0,0,N(INDEX('CURVA PREVISION'!$A$1:$KZ$3000,$C67,11+3*MIN(AH$3,$D$2-1)))))</f>
        <v/>
      </c>
      <c r="AI67" s="123">
        <f>IF(OR($C67="",$B$2="",$D$2=0),0,IF(AI$3&lt;0,0,N(INDEX('CURVA PREVISION'!$A$1:$KZ$3000,$C67,11+3*MIN(AI$3,$D$2-1)))))</f>
        <v/>
      </c>
      <c r="AJ67" s="123">
        <f>IF(OR($C67="",$B$2="",$D$2=0),0,IF(AJ$3&lt;0,0,N(INDEX('CURVA PREVISION'!$A$1:$KZ$3000,$C67,11+3*MIN(AJ$3,$D$2-1)))))</f>
        <v/>
      </c>
      <c r="AK67" s="123">
        <f>IF(OR($C67="",$B$2="",$D$2=0),0,IF(AK$3&lt;0,0,N(INDEX('CURVA PREVISION'!$A$1:$KZ$3000,$C67,11+3*MIN(AK$3,$D$2-1)))))</f>
        <v/>
      </c>
      <c r="AL67" s="123">
        <f>IF(OR($C67="",$B$2="",$D$2=0),0,IF(AL$3&lt;0,0,N(INDEX('CURVA PREVISION'!$A$1:$KZ$3000,$C67,11+3*MIN(AL$3,$D$2-1)))))</f>
        <v/>
      </c>
      <c r="AM67" s="123">
        <f>IF(OR($C67="",$B$2="",$D$2=0),0,IF(AM$3&lt;0,0,N(INDEX('CURVA PREVISION'!$A$1:$KZ$3000,$C67,11+3*MIN(AM$3,$D$2-1)))))</f>
        <v/>
      </c>
      <c r="AN67" s="123">
        <f>IF(OR($C67="",$B$2="",$D$2=0),0,IF(AN$3&lt;0,0,N(INDEX('CURVA PREVISION'!$A$1:$KZ$3000,$C67,11+3*MIN(AN$3,$D$2-1)))))</f>
        <v/>
      </c>
      <c r="AO67" s="123">
        <f>IF(OR($C67="",$B$2="",$D$2=0),0,IF(AO$3&lt;0,0,N(INDEX('CURVA PREVISION'!$A$1:$KZ$3000,$C67,11+3*MIN(AO$3,$D$2-1)))))</f>
        <v/>
      </c>
      <c r="AP67" s="123">
        <f>IF(OR($C67="",$B$2="",$D$2=0),0,IF(AP$3&lt;0,0,N(INDEX('CURVA PREVISION'!$A$1:$KZ$3000,$C67,11+3*MIN(AP$3,$D$2-1)))))</f>
        <v/>
      </c>
      <c r="AQ67" s="123">
        <f>IF(OR($C67="",$B$2="",$D$2=0),0,IF(AQ$3&lt;0,0,N(INDEX('CURVA PREVISION'!$A$1:$KZ$3000,$C67,11+3*MIN(AQ$3,$D$2-1)))))</f>
        <v/>
      </c>
      <c r="AR67" s="123">
        <f>IF(OR($C67="",$B$2="",$D$2=0),0,IF(AR$3&lt;0,0,N(INDEX('CURVA PREVISION'!$A$1:$KZ$3000,$C67,11+3*MIN(AR$3,$D$2-1)))))</f>
        <v/>
      </c>
      <c r="AS67" s="123">
        <f>IF(OR($C67="",$B$2="",$D$2=0),0,IF(AS$3&lt;0,0,N(INDEX('CURVA PREVISION'!$A$1:$KZ$3000,$C67,11+3*MIN(AS$3,$D$2-1)))))</f>
        <v/>
      </c>
      <c r="AT67" s="123">
        <f>IF(OR($C67="",$B$2="",$D$2=0),0,IF(AT$3&lt;0,0,N(INDEX('CURVA PREVISION'!$A$1:$KZ$3000,$C67,11+3*MIN(AT$3,$D$2-1)))))</f>
        <v/>
      </c>
      <c r="AU67" s="123">
        <f>IF(OR($C67="",$B$2="",$D$2=0),0,IF(AU$3&lt;0,0,N(INDEX('CURVA PREVISION'!$A$1:$KZ$3000,$C67,11+3*MIN(AU$3,$D$2-1)))))</f>
        <v/>
      </c>
      <c r="AV67" s="123">
        <f>IF(OR($C67="",$B$2="",$D$2=0),0,IF(AV$3&lt;0,0,N(INDEX('CURVA PREVISION'!$A$1:$KZ$3000,$C67,11+3*MIN(AV$3,$D$2-1)))))</f>
        <v/>
      </c>
      <c r="AW67" s="123">
        <f>IF(OR($C67="",$B$2="",$D$2=0),0,IF(AW$3&lt;0,0,N(INDEX('CURVA PREVISION'!$A$1:$KZ$3000,$C67,11+3*MIN(AW$3,$D$2-1)))))</f>
        <v/>
      </c>
      <c r="AX67" s="123">
        <f>IF(OR($C67="",$B$2="",$D$2=0),0,IF(AX$3&lt;0,0,N(INDEX('CURVA PREVISION'!$A$1:$KZ$3000,$C67,11+3*MIN(AX$3,$D$2-1)))))</f>
        <v/>
      </c>
      <c r="AY67" s="123">
        <f>IF(OR($C67="",$B$2="",$D$2=0),0,IF(AY$3&lt;0,0,N(INDEX('CURVA PREVISION'!$A$1:$KZ$3000,$C67,11+3*MIN(AY$3,$D$2-1)))))</f>
        <v/>
      </c>
      <c r="AZ67" s="123">
        <f>IF(OR($C67="",$B$2="",$D$2=0),0,IF(AZ$3&lt;0,0,N(INDEX('CURVA PREVISION'!$A$1:$KZ$3000,$C67,11+3*MIN(AZ$3,$D$2-1)))))</f>
        <v/>
      </c>
      <c r="BA67" s="123">
        <f>IF(OR($C67="",$B$2="",$D$2=0),0,IF(BA$3&lt;0,0,N(INDEX('CURVA PREVISION'!$A$1:$KZ$3000,$C67,11+3*MIN(BA$3,$D$2-1)))))</f>
        <v/>
      </c>
      <c r="BB67" s="123">
        <f>IF(OR($C67="",$B$2="",$D$2=0),0,IF(BB$3&lt;0,0,N(INDEX('CURVA PREVISION'!$A$1:$KZ$3000,$C67,11+3*MIN(BB$3,$D$2-1)))))</f>
        <v/>
      </c>
      <c r="BC67" s="123">
        <f>IF(OR($C67="",$B$2="",$D$2=0),0,IF(BC$3&lt;0,0,N(INDEX('CURVA PREVISION'!$A$1:$KZ$3000,$C67,11+3*MIN(BC$3,$D$2-1)))))</f>
        <v/>
      </c>
      <c r="BD67" s="123">
        <f>IF(OR($C67="",$B$2="",$D$2=0),0,IF(BD$3&lt;0,0,N(INDEX('CURVA PREVISION'!$A$1:$KZ$3000,$C67,11+3*MIN(BD$3,$D$2-1)))))</f>
        <v/>
      </c>
      <c r="BE67" s="123">
        <f>IF(OR($C67="",$B$2="",$D$2=0),0,IF(BE$3&lt;0,0,N(INDEX('CURVA PREVISION'!$A$1:$KZ$3000,$C67,11+3*MIN(BE$3,$D$2-1)))))</f>
        <v/>
      </c>
      <c r="BF67" s="123">
        <f>IF(OR($C67="",$B$2="",$D$2=0),0,IF(BF$3&lt;0,0,N(INDEX('CURVA PREVISION'!$A$1:$KZ$3000,$C67,11+3*MIN(BF$3,$D$2-1)))))</f>
        <v/>
      </c>
      <c r="BG67" s="123">
        <f>IF(OR($C67="",$B$2="",$D$2=0),0,IF(BG$3&lt;0,0,N(INDEX('CURVA PREVISION'!$A$1:$KZ$3000,$C67,11+3*MIN(BG$3,$D$2-1)))))</f>
        <v/>
      </c>
      <c r="BH67" s="123">
        <f>IF(OR($C67="",$B$2="",$D$2=0),0,IF(BH$3&lt;0,0,N(INDEX('CURVA PREVISION'!$A$1:$KZ$3000,$C67,11+3*MIN(BH$3,$D$2-1)))))</f>
        <v/>
      </c>
      <c r="BI67" s="123">
        <f>IF(OR($C67="",$B$2="",$D$2=0),0,IF(BI$3&lt;0,0,N(INDEX('CURVA PREVISION'!$A$1:$KZ$3000,$C67,11+3*MIN(BI$3,$D$2-1)))))</f>
        <v/>
      </c>
      <c r="BJ67" s="123">
        <f>IF(OR($C67="",$B$2="",$D$2=0),0,IF(BJ$3&lt;0,0,N(INDEX('CURVA PREVISION'!$A$1:$KZ$3000,$C67,11+3*MIN(BJ$3,$D$2-1)))))</f>
        <v/>
      </c>
      <c r="BK67" s="123">
        <f>IF(OR($C67="",$B$2="",$D$2=0),0,IF(BK$3&lt;0,0,N(INDEX('CURVA PREVISION'!$A$1:$KZ$3000,$C67,11+3*MIN(BK$3,$D$2-1)))))</f>
        <v/>
      </c>
      <c r="BL67" s="123">
        <f>IF(OR($C67="",$B$2="",$D$2=0),0,IF(BL$3&lt;0,0,N(INDEX('CURVA PREVISION'!$A$1:$KZ$3000,$C67,11+3*MIN(BL$3,$D$2-1)))))</f>
        <v/>
      </c>
      <c r="BM67" s="123">
        <f>IF(OR($C67="",$B$2="",$D$2=0),0,IF(BM$3&lt;0,0,N(INDEX('CURVA PREVISION'!$A$1:$KZ$3000,$C67,11+3*MIN(BM$3,$D$2-1)))))</f>
        <v/>
      </c>
      <c r="BN67" s="123">
        <f>IF(OR($C67="",$B$2="",$D$2=0),0,IF(BN$3&lt;0,0,N(INDEX('CURVA PREVISION'!$A$1:$KZ$3000,$C67,11+3*MIN(BN$3,$D$2-1)))))</f>
        <v/>
      </c>
      <c r="BO67" s="123">
        <f>IF(OR($C67="",$B$2="",$D$2=0),0,IF(BO$3&lt;0,0,N(INDEX('CURVA PREVISION'!$A$1:$KZ$3000,$C67,11+3*MIN(BO$3,$D$2-1)))))</f>
        <v/>
      </c>
      <c r="BP67" s="123">
        <f>IF(OR($C67="",$B$2="",$D$2=0),0,IF(BP$3&lt;0,0,N(INDEX('CURVA PREVISION'!$A$1:$KZ$3000,$C67,11+3*MIN(BP$3,$D$2-1)))))</f>
        <v/>
      </c>
      <c r="BQ67" s="123">
        <f>IF(OR($C67="",$B$2="",$D$2=0),0,IF(BQ$3&lt;0,0,N(INDEX('CURVA PREVISION'!$A$1:$KZ$3000,$C67,11+3*MIN(BQ$3,$D$2-1)))))</f>
        <v/>
      </c>
      <c r="BR67" s="123">
        <f>IF(OR($C67="",$B$2="",$D$2=0),0,IF(BR$3&lt;0,0,N(INDEX('CURVA PREVISION'!$A$1:$KZ$3000,$C67,11+3*MIN(BR$3,$D$2-1)))))</f>
        <v/>
      </c>
      <c r="BS67" s="123">
        <f>IF(OR($C67="",$B$2="",$D$2=0),0,IF(BS$3&lt;0,0,N(INDEX('CURVA PREVISION'!$A$1:$KZ$3000,$C67,11+3*MIN(BS$3,$D$2-1)))))</f>
        <v/>
      </c>
      <c r="BT67" s="123">
        <f>IF(OR($C67="",$B$2="",$D$2=0),0,IF(BT$3&lt;0,0,N(INDEX('CURVA PREVISION'!$A$1:$KZ$3000,$C67,11+3*MIN(BT$3,$D$2-1)))))</f>
        <v/>
      </c>
      <c r="BU67" s="123">
        <f>IF(OR($C67="",$B$2="",$D$2=0),0,IF(BU$3&lt;0,0,N(INDEX('CURVA PREVISION'!$A$1:$KZ$3000,$C67,11+3*MIN(BU$3,$D$2-1)))))</f>
        <v/>
      </c>
      <c r="BV67" s="123">
        <f>IF(OR($C67="",$B$2="",$D$2=0),0,IF(BV$3&lt;0,0,N(INDEX('CURVA PREVISION'!$A$1:$KZ$3000,$C67,11+3*MIN(BV$3,$D$2-1)))))</f>
        <v/>
      </c>
      <c r="BW67" s="123">
        <f>IF(OR($C67="",$B$2="",$D$2=0),0,IF(BW$3&lt;0,0,N(INDEX('CURVA PREVISION'!$A$1:$KZ$3000,$C67,11+3*MIN(BW$3,$D$2-1)))))</f>
        <v/>
      </c>
    </row>
    <row r="68">
      <c r="A68" s="61">
        <f>IF('VALOR POR PL'!Q32="",'VALOR POR PL'!C32,'VALOR POR PL'!Q32)</f>
        <v/>
      </c>
      <c r="B68" s="51">
        <f>B26</f>
        <v/>
      </c>
      <c r="C68" s="70">
        <f>IFERROR(MATCH(A68,'CURVA PREVISION'!$B$1:$B$3000,0),"")</f>
        <v/>
      </c>
      <c r="D68" s="123">
        <f>IF(OR($C68="",$B$2="",$D$2=0),0,IF(D$3&lt;0,0,N(INDEX('CURVA PREVISION'!$A$1:$KZ$3000,$C68,11+3*MIN(D$3,$D$2-1)))))</f>
        <v/>
      </c>
      <c r="E68" s="123">
        <f>IF(OR($C68="",$B$2="",$D$2=0),0,IF(E$3&lt;0,0,N(INDEX('CURVA PREVISION'!$A$1:$KZ$3000,$C68,11+3*MIN(E$3,$D$2-1)))))</f>
        <v/>
      </c>
      <c r="F68" s="123">
        <f>IF(OR($C68="",$B$2="",$D$2=0),0,IF(F$3&lt;0,0,N(INDEX('CURVA PREVISION'!$A$1:$KZ$3000,$C68,11+3*MIN(F$3,$D$2-1)))))</f>
        <v/>
      </c>
      <c r="G68" s="123">
        <f>IF(OR($C68="",$B$2="",$D$2=0),0,IF(G$3&lt;0,0,N(INDEX('CURVA PREVISION'!$A$1:$KZ$3000,$C68,11+3*MIN(G$3,$D$2-1)))))</f>
        <v/>
      </c>
      <c r="H68" s="123">
        <f>IF(OR($C68="",$B$2="",$D$2=0),0,IF(H$3&lt;0,0,N(INDEX('CURVA PREVISION'!$A$1:$KZ$3000,$C68,11+3*MIN(H$3,$D$2-1)))))</f>
        <v/>
      </c>
      <c r="I68" s="123">
        <f>IF(OR($C68="",$B$2="",$D$2=0),0,IF(I$3&lt;0,0,N(INDEX('CURVA PREVISION'!$A$1:$KZ$3000,$C68,11+3*MIN(I$3,$D$2-1)))))</f>
        <v/>
      </c>
      <c r="J68" s="123">
        <f>IF(OR($C68="",$B$2="",$D$2=0),0,IF(J$3&lt;0,0,N(INDEX('CURVA PREVISION'!$A$1:$KZ$3000,$C68,11+3*MIN(J$3,$D$2-1)))))</f>
        <v/>
      </c>
      <c r="K68" s="123">
        <f>IF(OR($C68="",$B$2="",$D$2=0),0,IF(K$3&lt;0,0,N(INDEX('CURVA PREVISION'!$A$1:$KZ$3000,$C68,11+3*MIN(K$3,$D$2-1)))))</f>
        <v/>
      </c>
      <c r="L68" s="123">
        <f>IF(OR($C68="",$B$2="",$D$2=0),0,IF(L$3&lt;0,0,N(INDEX('CURVA PREVISION'!$A$1:$KZ$3000,$C68,11+3*MIN(L$3,$D$2-1)))))</f>
        <v/>
      </c>
      <c r="M68" s="123">
        <f>IF(OR($C68="",$B$2="",$D$2=0),0,IF(M$3&lt;0,0,N(INDEX('CURVA PREVISION'!$A$1:$KZ$3000,$C68,11+3*MIN(M$3,$D$2-1)))))</f>
        <v/>
      </c>
      <c r="N68" s="123">
        <f>IF(OR($C68="",$B$2="",$D$2=0),0,IF(N$3&lt;0,0,N(INDEX('CURVA PREVISION'!$A$1:$KZ$3000,$C68,11+3*MIN(N$3,$D$2-1)))))</f>
        <v/>
      </c>
      <c r="O68" s="123">
        <f>IF(OR($C68="",$B$2="",$D$2=0),0,IF(O$3&lt;0,0,N(INDEX('CURVA PREVISION'!$A$1:$KZ$3000,$C68,11+3*MIN(O$3,$D$2-1)))))</f>
        <v/>
      </c>
      <c r="P68" s="123">
        <f>IF(OR($C68="",$B$2="",$D$2=0),0,IF(P$3&lt;0,0,N(INDEX('CURVA PREVISION'!$A$1:$KZ$3000,$C68,11+3*MIN(P$3,$D$2-1)))))</f>
        <v/>
      </c>
      <c r="Q68" s="123">
        <f>IF(OR($C68="",$B$2="",$D$2=0),0,IF(Q$3&lt;0,0,N(INDEX('CURVA PREVISION'!$A$1:$KZ$3000,$C68,11+3*MIN(Q$3,$D$2-1)))))</f>
        <v/>
      </c>
      <c r="R68" s="123">
        <f>IF(OR($C68="",$B$2="",$D$2=0),0,IF(R$3&lt;0,0,N(INDEX('CURVA PREVISION'!$A$1:$KZ$3000,$C68,11+3*MIN(R$3,$D$2-1)))))</f>
        <v/>
      </c>
      <c r="S68" s="123">
        <f>IF(OR($C68="",$B$2="",$D$2=0),0,IF(S$3&lt;0,0,N(INDEX('CURVA PREVISION'!$A$1:$KZ$3000,$C68,11+3*MIN(S$3,$D$2-1)))))</f>
        <v/>
      </c>
      <c r="T68" s="123">
        <f>IF(OR($C68="",$B$2="",$D$2=0),0,IF(T$3&lt;0,0,N(INDEX('CURVA PREVISION'!$A$1:$KZ$3000,$C68,11+3*MIN(T$3,$D$2-1)))))</f>
        <v/>
      </c>
      <c r="U68" s="123">
        <f>IF(OR($C68="",$B$2="",$D$2=0),0,IF(U$3&lt;0,0,N(INDEX('CURVA PREVISION'!$A$1:$KZ$3000,$C68,11+3*MIN(U$3,$D$2-1)))))</f>
        <v/>
      </c>
      <c r="V68" s="123">
        <f>IF(OR($C68="",$B$2="",$D$2=0),0,IF(V$3&lt;0,0,N(INDEX('CURVA PREVISION'!$A$1:$KZ$3000,$C68,11+3*MIN(V$3,$D$2-1)))))</f>
        <v/>
      </c>
      <c r="W68" s="123">
        <f>IF(OR($C68="",$B$2="",$D$2=0),0,IF(W$3&lt;0,0,N(INDEX('CURVA PREVISION'!$A$1:$KZ$3000,$C68,11+3*MIN(W$3,$D$2-1)))))</f>
        <v/>
      </c>
      <c r="X68" s="123">
        <f>IF(OR($C68="",$B$2="",$D$2=0),0,IF(X$3&lt;0,0,N(INDEX('CURVA PREVISION'!$A$1:$KZ$3000,$C68,11+3*MIN(X$3,$D$2-1)))))</f>
        <v/>
      </c>
      <c r="Y68" s="123">
        <f>IF(OR($C68="",$B$2="",$D$2=0),0,IF(Y$3&lt;0,0,N(INDEX('CURVA PREVISION'!$A$1:$KZ$3000,$C68,11+3*MIN(Y$3,$D$2-1)))))</f>
        <v/>
      </c>
      <c r="Z68" s="123">
        <f>IF(OR($C68="",$B$2="",$D$2=0),0,IF(Z$3&lt;0,0,N(INDEX('CURVA PREVISION'!$A$1:$KZ$3000,$C68,11+3*MIN(Z$3,$D$2-1)))))</f>
        <v/>
      </c>
      <c r="AA68" s="123">
        <f>IF(OR($C68="",$B$2="",$D$2=0),0,IF(AA$3&lt;0,0,N(INDEX('CURVA PREVISION'!$A$1:$KZ$3000,$C68,11+3*MIN(AA$3,$D$2-1)))))</f>
        <v/>
      </c>
      <c r="AB68" s="123">
        <f>IF(OR($C68="",$B$2="",$D$2=0),0,IF(AB$3&lt;0,0,N(INDEX('CURVA PREVISION'!$A$1:$KZ$3000,$C68,11+3*MIN(AB$3,$D$2-1)))))</f>
        <v/>
      </c>
      <c r="AC68" s="123">
        <f>IF(OR($C68="",$B$2="",$D$2=0),0,IF(AC$3&lt;0,0,N(INDEX('CURVA PREVISION'!$A$1:$KZ$3000,$C68,11+3*MIN(AC$3,$D$2-1)))))</f>
        <v/>
      </c>
      <c r="AD68" s="123">
        <f>IF(OR($C68="",$B$2="",$D$2=0),0,IF(AD$3&lt;0,0,N(INDEX('CURVA PREVISION'!$A$1:$KZ$3000,$C68,11+3*MIN(AD$3,$D$2-1)))))</f>
        <v/>
      </c>
      <c r="AE68" s="123">
        <f>IF(OR($C68="",$B$2="",$D$2=0),0,IF(AE$3&lt;0,0,N(INDEX('CURVA PREVISION'!$A$1:$KZ$3000,$C68,11+3*MIN(AE$3,$D$2-1)))))</f>
        <v/>
      </c>
      <c r="AF68" s="123">
        <f>IF(OR($C68="",$B$2="",$D$2=0),0,IF(AF$3&lt;0,0,N(INDEX('CURVA PREVISION'!$A$1:$KZ$3000,$C68,11+3*MIN(AF$3,$D$2-1)))))</f>
        <v/>
      </c>
      <c r="AG68" s="123">
        <f>IF(OR($C68="",$B$2="",$D$2=0),0,IF(AG$3&lt;0,0,N(INDEX('CURVA PREVISION'!$A$1:$KZ$3000,$C68,11+3*MIN(AG$3,$D$2-1)))))</f>
        <v/>
      </c>
      <c r="AH68" s="123">
        <f>IF(OR($C68="",$B$2="",$D$2=0),0,IF(AH$3&lt;0,0,N(INDEX('CURVA PREVISION'!$A$1:$KZ$3000,$C68,11+3*MIN(AH$3,$D$2-1)))))</f>
        <v/>
      </c>
      <c r="AI68" s="123">
        <f>IF(OR($C68="",$B$2="",$D$2=0),0,IF(AI$3&lt;0,0,N(INDEX('CURVA PREVISION'!$A$1:$KZ$3000,$C68,11+3*MIN(AI$3,$D$2-1)))))</f>
        <v/>
      </c>
      <c r="AJ68" s="123">
        <f>IF(OR($C68="",$B$2="",$D$2=0),0,IF(AJ$3&lt;0,0,N(INDEX('CURVA PREVISION'!$A$1:$KZ$3000,$C68,11+3*MIN(AJ$3,$D$2-1)))))</f>
        <v/>
      </c>
      <c r="AK68" s="123">
        <f>IF(OR($C68="",$B$2="",$D$2=0),0,IF(AK$3&lt;0,0,N(INDEX('CURVA PREVISION'!$A$1:$KZ$3000,$C68,11+3*MIN(AK$3,$D$2-1)))))</f>
        <v/>
      </c>
      <c r="AL68" s="123">
        <f>IF(OR($C68="",$B$2="",$D$2=0),0,IF(AL$3&lt;0,0,N(INDEX('CURVA PREVISION'!$A$1:$KZ$3000,$C68,11+3*MIN(AL$3,$D$2-1)))))</f>
        <v/>
      </c>
      <c r="AM68" s="123">
        <f>IF(OR($C68="",$B$2="",$D$2=0),0,IF(AM$3&lt;0,0,N(INDEX('CURVA PREVISION'!$A$1:$KZ$3000,$C68,11+3*MIN(AM$3,$D$2-1)))))</f>
        <v/>
      </c>
      <c r="AN68" s="123">
        <f>IF(OR($C68="",$B$2="",$D$2=0),0,IF(AN$3&lt;0,0,N(INDEX('CURVA PREVISION'!$A$1:$KZ$3000,$C68,11+3*MIN(AN$3,$D$2-1)))))</f>
        <v/>
      </c>
      <c r="AO68" s="123">
        <f>IF(OR($C68="",$B$2="",$D$2=0),0,IF(AO$3&lt;0,0,N(INDEX('CURVA PREVISION'!$A$1:$KZ$3000,$C68,11+3*MIN(AO$3,$D$2-1)))))</f>
        <v/>
      </c>
      <c r="AP68" s="123">
        <f>IF(OR($C68="",$B$2="",$D$2=0),0,IF(AP$3&lt;0,0,N(INDEX('CURVA PREVISION'!$A$1:$KZ$3000,$C68,11+3*MIN(AP$3,$D$2-1)))))</f>
        <v/>
      </c>
      <c r="AQ68" s="123">
        <f>IF(OR($C68="",$B$2="",$D$2=0),0,IF(AQ$3&lt;0,0,N(INDEX('CURVA PREVISION'!$A$1:$KZ$3000,$C68,11+3*MIN(AQ$3,$D$2-1)))))</f>
        <v/>
      </c>
      <c r="AR68" s="123">
        <f>IF(OR($C68="",$B$2="",$D$2=0),0,IF(AR$3&lt;0,0,N(INDEX('CURVA PREVISION'!$A$1:$KZ$3000,$C68,11+3*MIN(AR$3,$D$2-1)))))</f>
        <v/>
      </c>
      <c r="AS68" s="123">
        <f>IF(OR($C68="",$B$2="",$D$2=0),0,IF(AS$3&lt;0,0,N(INDEX('CURVA PREVISION'!$A$1:$KZ$3000,$C68,11+3*MIN(AS$3,$D$2-1)))))</f>
        <v/>
      </c>
      <c r="AT68" s="123">
        <f>IF(OR($C68="",$B$2="",$D$2=0),0,IF(AT$3&lt;0,0,N(INDEX('CURVA PREVISION'!$A$1:$KZ$3000,$C68,11+3*MIN(AT$3,$D$2-1)))))</f>
        <v/>
      </c>
      <c r="AU68" s="123">
        <f>IF(OR($C68="",$B$2="",$D$2=0),0,IF(AU$3&lt;0,0,N(INDEX('CURVA PREVISION'!$A$1:$KZ$3000,$C68,11+3*MIN(AU$3,$D$2-1)))))</f>
        <v/>
      </c>
      <c r="AV68" s="123">
        <f>IF(OR($C68="",$B$2="",$D$2=0),0,IF(AV$3&lt;0,0,N(INDEX('CURVA PREVISION'!$A$1:$KZ$3000,$C68,11+3*MIN(AV$3,$D$2-1)))))</f>
        <v/>
      </c>
      <c r="AW68" s="123">
        <f>IF(OR($C68="",$B$2="",$D$2=0),0,IF(AW$3&lt;0,0,N(INDEX('CURVA PREVISION'!$A$1:$KZ$3000,$C68,11+3*MIN(AW$3,$D$2-1)))))</f>
        <v/>
      </c>
      <c r="AX68" s="123">
        <f>IF(OR($C68="",$B$2="",$D$2=0),0,IF(AX$3&lt;0,0,N(INDEX('CURVA PREVISION'!$A$1:$KZ$3000,$C68,11+3*MIN(AX$3,$D$2-1)))))</f>
        <v/>
      </c>
      <c r="AY68" s="123">
        <f>IF(OR($C68="",$B$2="",$D$2=0),0,IF(AY$3&lt;0,0,N(INDEX('CURVA PREVISION'!$A$1:$KZ$3000,$C68,11+3*MIN(AY$3,$D$2-1)))))</f>
        <v/>
      </c>
      <c r="AZ68" s="123">
        <f>IF(OR($C68="",$B$2="",$D$2=0),0,IF(AZ$3&lt;0,0,N(INDEX('CURVA PREVISION'!$A$1:$KZ$3000,$C68,11+3*MIN(AZ$3,$D$2-1)))))</f>
        <v/>
      </c>
      <c r="BA68" s="123">
        <f>IF(OR($C68="",$B$2="",$D$2=0),0,IF(BA$3&lt;0,0,N(INDEX('CURVA PREVISION'!$A$1:$KZ$3000,$C68,11+3*MIN(BA$3,$D$2-1)))))</f>
        <v/>
      </c>
      <c r="BB68" s="123">
        <f>IF(OR($C68="",$B$2="",$D$2=0),0,IF(BB$3&lt;0,0,N(INDEX('CURVA PREVISION'!$A$1:$KZ$3000,$C68,11+3*MIN(BB$3,$D$2-1)))))</f>
        <v/>
      </c>
      <c r="BC68" s="123">
        <f>IF(OR($C68="",$B$2="",$D$2=0),0,IF(BC$3&lt;0,0,N(INDEX('CURVA PREVISION'!$A$1:$KZ$3000,$C68,11+3*MIN(BC$3,$D$2-1)))))</f>
        <v/>
      </c>
      <c r="BD68" s="123">
        <f>IF(OR($C68="",$B$2="",$D$2=0),0,IF(BD$3&lt;0,0,N(INDEX('CURVA PREVISION'!$A$1:$KZ$3000,$C68,11+3*MIN(BD$3,$D$2-1)))))</f>
        <v/>
      </c>
      <c r="BE68" s="123">
        <f>IF(OR($C68="",$B$2="",$D$2=0),0,IF(BE$3&lt;0,0,N(INDEX('CURVA PREVISION'!$A$1:$KZ$3000,$C68,11+3*MIN(BE$3,$D$2-1)))))</f>
        <v/>
      </c>
      <c r="BF68" s="123">
        <f>IF(OR($C68="",$B$2="",$D$2=0),0,IF(BF$3&lt;0,0,N(INDEX('CURVA PREVISION'!$A$1:$KZ$3000,$C68,11+3*MIN(BF$3,$D$2-1)))))</f>
        <v/>
      </c>
      <c r="BG68" s="123">
        <f>IF(OR($C68="",$B$2="",$D$2=0),0,IF(BG$3&lt;0,0,N(INDEX('CURVA PREVISION'!$A$1:$KZ$3000,$C68,11+3*MIN(BG$3,$D$2-1)))))</f>
        <v/>
      </c>
      <c r="BH68" s="123">
        <f>IF(OR($C68="",$B$2="",$D$2=0),0,IF(BH$3&lt;0,0,N(INDEX('CURVA PREVISION'!$A$1:$KZ$3000,$C68,11+3*MIN(BH$3,$D$2-1)))))</f>
        <v/>
      </c>
      <c r="BI68" s="123">
        <f>IF(OR($C68="",$B$2="",$D$2=0),0,IF(BI$3&lt;0,0,N(INDEX('CURVA PREVISION'!$A$1:$KZ$3000,$C68,11+3*MIN(BI$3,$D$2-1)))))</f>
        <v/>
      </c>
      <c r="BJ68" s="123">
        <f>IF(OR($C68="",$B$2="",$D$2=0),0,IF(BJ$3&lt;0,0,N(INDEX('CURVA PREVISION'!$A$1:$KZ$3000,$C68,11+3*MIN(BJ$3,$D$2-1)))))</f>
        <v/>
      </c>
      <c r="BK68" s="123">
        <f>IF(OR($C68="",$B$2="",$D$2=0),0,IF(BK$3&lt;0,0,N(INDEX('CURVA PREVISION'!$A$1:$KZ$3000,$C68,11+3*MIN(BK$3,$D$2-1)))))</f>
        <v/>
      </c>
      <c r="BL68" s="123">
        <f>IF(OR($C68="",$B$2="",$D$2=0),0,IF(BL$3&lt;0,0,N(INDEX('CURVA PREVISION'!$A$1:$KZ$3000,$C68,11+3*MIN(BL$3,$D$2-1)))))</f>
        <v/>
      </c>
      <c r="BM68" s="123">
        <f>IF(OR($C68="",$B$2="",$D$2=0),0,IF(BM$3&lt;0,0,N(INDEX('CURVA PREVISION'!$A$1:$KZ$3000,$C68,11+3*MIN(BM$3,$D$2-1)))))</f>
        <v/>
      </c>
      <c r="BN68" s="123">
        <f>IF(OR($C68="",$B$2="",$D$2=0),0,IF(BN$3&lt;0,0,N(INDEX('CURVA PREVISION'!$A$1:$KZ$3000,$C68,11+3*MIN(BN$3,$D$2-1)))))</f>
        <v/>
      </c>
      <c r="BO68" s="123">
        <f>IF(OR($C68="",$B$2="",$D$2=0),0,IF(BO$3&lt;0,0,N(INDEX('CURVA PREVISION'!$A$1:$KZ$3000,$C68,11+3*MIN(BO$3,$D$2-1)))))</f>
        <v/>
      </c>
      <c r="BP68" s="123">
        <f>IF(OR($C68="",$B$2="",$D$2=0),0,IF(BP$3&lt;0,0,N(INDEX('CURVA PREVISION'!$A$1:$KZ$3000,$C68,11+3*MIN(BP$3,$D$2-1)))))</f>
        <v/>
      </c>
      <c r="BQ68" s="123">
        <f>IF(OR($C68="",$B$2="",$D$2=0),0,IF(BQ$3&lt;0,0,N(INDEX('CURVA PREVISION'!$A$1:$KZ$3000,$C68,11+3*MIN(BQ$3,$D$2-1)))))</f>
        <v/>
      </c>
      <c r="BR68" s="123">
        <f>IF(OR($C68="",$B$2="",$D$2=0),0,IF(BR$3&lt;0,0,N(INDEX('CURVA PREVISION'!$A$1:$KZ$3000,$C68,11+3*MIN(BR$3,$D$2-1)))))</f>
        <v/>
      </c>
      <c r="BS68" s="123">
        <f>IF(OR($C68="",$B$2="",$D$2=0),0,IF(BS$3&lt;0,0,N(INDEX('CURVA PREVISION'!$A$1:$KZ$3000,$C68,11+3*MIN(BS$3,$D$2-1)))))</f>
        <v/>
      </c>
      <c r="BT68" s="123">
        <f>IF(OR($C68="",$B$2="",$D$2=0),0,IF(BT$3&lt;0,0,N(INDEX('CURVA PREVISION'!$A$1:$KZ$3000,$C68,11+3*MIN(BT$3,$D$2-1)))))</f>
        <v/>
      </c>
      <c r="BU68" s="123">
        <f>IF(OR($C68="",$B$2="",$D$2=0),0,IF(BU$3&lt;0,0,N(INDEX('CURVA PREVISION'!$A$1:$KZ$3000,$C68,11+3*MIN(BU$3,$D$2-1)))))</f>
        <v/>
      </c>
      <c r="BV68" s="123">
        <f>IF(OR($C68="",$B$2="",$D$2=0),0,IF(BV$3&lt;0,0,N(INDEX('CURVA PREVISION'!$A$1:$KZ$3000,$C68,11+3*MIN(BV$3,$D$2-1)))))</f>
        <v/>
      </c>
      <c r="BW68" s="123">
        <f>IF(OR($C68="",$B$2="",$D$2=0),0,IF(BW$3&lt;0,0,N(INDEX('CURVA PREVISION'!$A$1:$KZ$3000,$C68,11+3*MIN(BW$3,$D$2-1)))))</f>
        <v/>
      </c>
    </row>
    <row r="69">
      <c r="A69" s="61">
        <f>IF('VALOR POR PL'!Q33="",'VALOR POR PL'!C33,'VALOR POR PL'!Q33)</f>
        <v/>
      </c>
      <c r="B69" s="51">
        <f>B27</f>
        <v/>
      </c>
      <c r="C69" s="70">
        <f>IFERROR(MATCH(A69,'CURVA PREVISION'!$B$1:$B$3000,0),"")</f>
        <v/>
      </c>
      <c r="D69" s="123">
        <f>IF(OR($C69="",$B$2="",$D$2=0),0,IF(D$3&lt;0,0,N(INDEX('CURVA PREVISION'!$A$1:$KZ$3000,$C69,11+3*MIN(D$3,$D$2-1)))))</f>
        <v/>
      </c>
      <c r="E69" s="123">
        <f>IF(OR($C69="",$B$2="",$D$2=0),0,IF(E$3&lt;0,0,N(INDEX('CURVA PREVISION'!$A$1:$KZ$3000,$C69,11+3*MIN(E$3,$D$2-1)))))</f>
        <v/>
      </c>
      <c r="F69" s="123">
        <f>IF(OR($C69="",$B$2="",$D$2=0),0,IF(F$3&lt;0,0,N(INDEX('CURVA PREVISION'!$A$1:$KZ$3000,$C69,11+3*MIN(F$3,$D$2-1)))))</f>
        <v/>
      </c>
      <c r="G69" s="123">
        <f>IF(OR($C69="",$B$2="",$D$2=0),0,IF(G$3&lt;0,0,N(INDEX('CURVA PREVISION'!$A$1:$KZ$3000,$C69,11+3*MIN(G$3,$D$2-1)))))</f>
        <v/>
      </c>
      <c r="H69" s="123">
        <f>IF(OR($C69="",$B$2="",$D$2=0),0,IF(H$3&lt;0,0,N(INDEX('CURVA PREVISION'!$A$1:$KZ$3000,$C69,11+3*MIN(H$3,$D$2-1)))))</f>
        <v/>
      </c>
      <c r="I69" s="123">
        <f>IF(OR($C69="",$B$2="",$D$2=0),0,IF(I$3&lt;0,0,N(INDEX('CURVA PREVISION'!$A$1:$KZ$3000,$C69,11+3*MIN(I$3,$D$2-1)))))</f>
        <v/>
      </c>
      <c r="J69" s="123">
        <f>IF(OR($C69="",$B$2="",$D$2=0),0,IF(J$3&lt;0,0,N(INDEX('CURVA PREVISION'!$A$1:$KZ$3000,$C69,11+3*MIN(J$3,$D$2-1)))))</f>
        <v/>
      </c>
      <c r="K69" s="123">
        <f>IF(OR($C69="",$B$2="",$D$2=0),0,IF(K$3&lt;0,0,N(INDEX('CURVA PREVISION'!$A$1:$KZ$3000,$C69,11+3*MIN(K$3,$D$2-1)))))</f>
        <v/>
      </c>
      <c r="L69" s="123">
        <f>IF(OR($C69="",$B$2="",$D$2=0),0,IF(L$3&lt;0,0,N(INDEX('CURVA PREVISION'!$A$1:$KZ$3000,$C69,11+3*MIN(L$3,$D$2-1)))))</f>
        <v/>
      </c>
      <c r="M69" s="123">
        <f>IF(OR($C69="",$B$2="",$D$2=0),0,IF(M$3&lt;0,0,N(INDEX('CURVA PREVISION'!$A$1:$KZ$3000,$C69,11+3*MIN(M$3,$D$2-1)))))</f>
        <v/>
      </c>
      <c r="N69" s="123">
        <f>IF(OR($C69="",$B$2="",$D$2=0),0,IF(N$3&lt;0,0,N(INDEX('CURVA PREVISION'!$A$1:$KZ$3000,$C69,11+3*MIN(N$3,$D$2-1)))))</f>
        <v/>
      </c>
      <c r="O69" s="123">
        <f>IF(OR($C69="",$B$2="",$D$2=0),0,IF(O$3&lt;0,0,N(INDEX('CURVA PREVISION'!$A$1:$KZ$3000,$C69,11+3*MIN(O$3,$D$2-1)))))</f>
        <v/>
      </c>
      <c r="P69" s="123">
        <f>IF(OR($C69="",$B$2="",$D$2=0),0,IF(P$3&lt;0,0,N(INDEX('CURVA PREVISION'!$A$1:$KZ$3000,$C69,11+3*MIN(P$3,$D$2-1)))))</f>
        <v/>
      </c>
      <c r="Q69" s="123">
        <f>IF(OR($C69="",$B$2="",$D$2=0),0,IF(Q$3&lt;0,0,N(INDEX('CURVA PREVISION'!$A$1:$KZ$3000,$C69,11+3*MIN(Q$3,$D$2-1)))))</f>
        <v/>
      </c>
      <c r="R69" s="123">
        <f>IF(OR($C69="",$B$2="",$D$2=0),0,IF(R$3&lt;0,0,N(INDEX('CURVA PREVISION'!$A$1:$KZ$3000,$C69,11+3*MIN(R$3,$D$2-1)))))</f>
        <v/>
      </c>
      <c r="S69" s="123">
        <f>IF(OR($C69="",$B$2="",$D$2=0),0,IF(S$3&lt;0,0,N(INDEX('CURVA PREVISION'!$A$1:$KZ$3000,$C69,11+3*MIN(S$3,$D$2-1)))))</f>
        <v/>
      </c>
      <c r="T69" s="123">
        <f>IF(OR($C69="",$B$2="",$D$2=0),0,IF(T$3&lt;0,0,N(INDEX('CURVA PREVISION'!$A$1:$KZ$3000,$C69,11+3*MIN(T$3,$D$2-1)))))</f>
        <v/>
      </c>
      <c r="U69" s="123">
        <f>IF(OR($C69="",$B$2="",$D$2=0),0,IF(U$3&lt;0,0,N(INDEX('CURVA PREVISION'!$A$1:$KZ$3000,$C69,11+3*MIN(U$3,$D$2-1)))))</f>
        <v/>
      </c>
      <c r="V69" s="123">
        <f>IF(OR($C69="",$B$2="",$D$2=0),0,IF(V$3&lt;0,0,N(INDEX('CURVA PREVISION'!$A$1:$KZ$3000,$C69,11+3*MIN(V$3,$D$2-1)))))</f>
        <v/>
      </c>
      <c r="W69" s="123">
        <f>IF(OR($C69="",$B$2="",$D$2=0),0,IF(W$3&lt;0,0,N(INDEX('CURVA PREVISION'!$A$1:$KZ$3000,$C69,11+3*MIN(W$3,$D$2-1)))))</f>
        <v/>
      </c>
      <c r="X69" s="123">
        <f>IF(OR($C69="",$B$2="",$D$2=0),0,IF(X$3&lt;0,0,N(INDEX('CURVA PREVISION'!$A$1:$KZ$3000,$C69,11+3*MIN(X$3,$D$2-1)))))</f>
        <v/>
      </c>
      <c r="Y69" s="123">
        <f>IF(OR($C69="",$B$2="",$D$2=0),0,IF(Y$3&lt;0,0,N(INDEX('CURVA PREVISION'!$A$1:$KZ$3000,$C69,11+3*MIN(Y$3,$D$2-1)))))</f>
        <v/>
      </c>
      <c r="Z69" s="123">
        <f>IF(OR($C69="",$B$2="",$D$2=0),0,IF(Z$3&lt;0,0,N(INDEX('CURVA PREVISION'!$A$1:$KZ$3000,$C69,11+3*MIN(Z$3,$D$2-1)))))</f>
        <v/>
      </c>
      <c r="AA69" s="123">
        <f>IF(OR($C69="",$B$2="",$D$2=0),0,IF(AA$3&lt;0,0,N(INDEX('CURVA PREVISION'!$A$1:$KZ$3000,$C69,11+3*MIN(AA$3,$D$2-1)))))</f>
        <v/>
      </c>
      <c r="AB69" s="123">
        <f>IF(OR($C69="",$B$2="",$D$2=0),0,IF(AB$3&lt;0,0,N(INDEX('CURVA PREVISION'!$A$1:$KZ$3000,$C69,11+3*MIN(AB$3,$D$2-1)))))</f>
        <v/>
      </c>
      <c r="AC69" s="123">
        <f>IF(OR($C69="",$B$2="",$D$2=0),0,IF(AC$3&lt;0,0,N(INDEX('CURVA PREVISION'!$A$1:$KZ$3000,$C69,11+3*MIN(AC$3,$D$2-1)))))</f>
        <v/>
      </c>
      <c r="AD69" s="123">
        <f>IF(OR($C69="",$B$2="",$D$2=0),0,IF(AD$3&lt;0,0,N(INDEX('CURVA PREVISION'!$A$1:$KZ$3000,$C69,11+3*MIN(AD$3,$D$2-1)))))</f>
        <v/>
      </c>
      <c r="AE69" s="123">
        <f>IF(OR($C69="",$B$2="",$D$2=0),0,IF(AE$3&lt;0,0,N(INDEX('CURVA PREVISION'!$A$1:$KZ$3000,$C69,11+3*MIN(AE$3,$D$2-1)))))</f>
        <v/>
      </c>
      <c r="AF69" s="123">
        <f>IF(OR($C69="",$B$2="",$D$2=0),0,IF(AF$3&lt;0,0,N(INDEX('CURVA PREVISION'!$A$1:$KZ$3000,$C69,11+3*MIN(AF$3,$D$2-1)))))</f>
        <v/>
      </c>
      <c r="AG69" s="123">
        <f>IF(OR($C69="",$B$2="",$D$2=0),0,IF(AG$3&lt;0,0,N(INDEX('CURVA PREVISION'!$A$1:$KZ$3000,$C69,11+3*MIN(AG$3,$D$2-1)))))</f>
        <v/>
      </c>
      <c r="AH69" s="123">
        <f>IF(OR($C69="",$B$2="",$D$2=0),0,IF(AH$3&lt;0,0,N(INDEX('CURVA PREVISION'!$A$1:$KZ$3000,$C69,11+3*MIN(AH$3,$D$2-1)))))</f>
        <v/>
      </c>
      <c r="AI69" s="123">
        <f>IF(OR($C69="",$B$2="",$D$2=0),0,IF(AI$3&lt;0,0,N(INDEX('CURVA PREVISION'!$A$1:$KZ$3000,$C69,11+3*MIN(AI$3,$D$2-1)))))</f>
        <v/>
      </c>
      <c r="AJ69" s="123">
        <f>IF(OR($C69="",$B$2="",$D$2=0),0,IF(AJ$3&lt;0,0,N(INDEX('CURVA PREVISION'!$A$1:$KZ$3000,$C69,11+3*MIN(AJ$3,$D$2-1)))))</f>
        <v/>
      </c>
      <c r="AK69" s="123">
        <f>IF(OR($C69="",$B$2="",$D$2=0),0,IF(AK$3&lt;0,0,N(INDEX('CURVA PREVISION'!$A$1:$KZ$3000,$C69,11+3*MIN(AK$3,$D$2-1)))))</f>
        <v/>
      </c>
      <c r="AL69" s="123">
        <f>IF(OR($C69="",$B$2="",$D$2=0),0,IF(AL$3&lt;0,0,N(INDEX('CURVA PREVISION'!$A$1:$KZ$3000,$C69,11+3*MIN(AL$3,$D$2-1)))))</f>
        <v/>
      </c>
      <c r="AM69" s="123">
        <f>IF(OR($C69="",$B$2="",$D$2=0),0,IF(AM$3&lt;0,0,N(INDEX('CURVA PREVISION'!$A$1:$KZ$3000,$C69,11+3*MIN(AM$3,$D$2-1)))))</f>
        <v/>
      </c>
      <c r="AN69" s="123">
        <f>IF(OR($C69="",$B$2="",$D$2=0),0,IF(AN$3&lt;0,0,N(INDEX('CURVA PREVISION'!$A$1:$KZ$3000,$C69,11+3*MIN(AN$3,$D$2-1)))))</f>
        <v/>
      </c>
      <c r="AO69" s="123">
        <f>IF(OR($C69="",$B$2="",$D$2=0),0,IF(AO$3&lt;0,0,N(INDEX('CURVA PREVISION'!$A$1:$KZ$3000,$C69,11+3*MIN(AO$3,$D$2-1)))))</f>
        <v/>
      </c>
      <c r="AP69" s="123">
        <f>IF(OR($C69="",$B$2="",$D$2=0),0,IF(AP$3&lt;0,0,N(INDEX('CURVA PREVISION'!$A$1:$KZ$3000,$C69,11+3*MIN(AP$3,$D$2-1)))))</f>
        <v/>
      </c>
      <c r="AQ69" s="123">
        <f>IF(OR($C69="",$B$2="",$D$2=0),0,IF(AQ$3&lt;0,0,N(INDEX('CURVA PREVISION'!$A$1:$KZ$3000,$C69,11+3*MIN(AQ$3,$D$2-1)))))</f>
        <v/>
      </c>
      <c r="AR69" s="123">
        <f>IF(OR($C69="",$B$2="",$D$2=0),0,IF(AR$3&lt;0,0,N(INDEX('CURVA PREVISION'!$A$1:$KZ$3000,$C69,11+3*MIN(AR$3,$D$2-1)))))</f>
        <v/>
      </c>
      <c r="AS69" s="123">
        <f>IF(OR($C69="",$B$2="",$D$2=0),0,IF(AS$3&lt;0,0,N(INDEX('CURVA PREVISION'!$A$1:$KZ$3000,$C69,11+3*MIN(AS$3,$D$2-1)))))</f>
        <v/>
      </c>
      <c r="AT69" s="123">
        <f>IF(OR($C69="",$B$2="",$D$2=0),0,IF(AT$3&lt;0,0,N(INDEX('CURVA PREVISION'!$A$1:$KZ$3000,$C69,11+3*MIN(AT$3,$D$2-1)))))</f>
        <v/>
      </c>
      <c r="AU69" s="123">
        <f>IF(OR($C69="",$B$2="",$D$2=0),0,IF(AU$3&lt;0,0,N(INDEX('CURVA PREVISION'!$A$1:$KZ$3000,$C69,11+3*MIN(AU$3,$D$2-1)))))</f>
        <v/>
      </c>
      <c r="AV69" s="123">
        <f>IF(OR($C69="",$B$2="",$D$2=0),0,IF(AV$3&lt;0,0,N(INDEX('CURVA PREVISION'!$A$1:$KZ$3000,$C69,11+3*MIN(AV$3,$D$2-1)))))</f>
        <v/>
      </c>
      <c r="AW69" s="123">
        <f>IF(OR($C69="",$B$2="",$D$2=0),0,IF(AW$3&lt;0,0,N(INDEX('CURVA PREVISION'!$A$1:$KZ$3000,$C69,11+3*MIN(AW$3,$D$2-1)))))</f>
        <v/>
      </c>
      <c r="AX69" s="123">
        <f>IF(OR($C69="",$B$2="",$D$2=0),0,IF(AX$3&lt;0,0,N(INDEX('CURVA PREVISION'!$A$1:$KZ$3000,$C69,11+3*MIN(AX$3,$D$2-1)))))</f>
        <v/>
      </c>
      <c r="AY69" s="123">
        <f>IF(OR($C69="",$B$2="",$D$2=0),0,IF(AY$3&lt;0,0,N(INDEX('CURVA PREVISION'!$A$1:$KZ$3000,$C69,11+3*MIN(AY$3,$D$2-1)))))</f>
        <v/>
      </c>
      <c r="AZ69" s="123">
        <f>IF(OR($C69="",$B$2="",$D$2=0),0,IF(AZ$3&lt;0,0,N(INDEX('CURVA PREVISION'!$A$1:$KZ$3000,$C69,11+3*MIN(AZ$3,$D$2-1)))))</f>
        <v/>
      </c>
      <c r="BA69" s="123">
        <f>IF(OR($C69="",$B$2="",$D$2=0),0,IF(BA$3&lt;0,0,N(INDEX('CURVA PREVISION'!$A$1:$KZ$3000,$C69,11+3*MIN(BA$3,$D$2-1)))))</f>
        <v/>
      </c>
      <c r="BB69" s="123">
        <f>IF(OR($C69="",$B$2="",$D$2=0),0,IF(BB$3&lt;0,0,N(INDEX('CURVA PREVISION'!$A$1:$KZ$3000,$C69,11+3*MIN(BB$3,$D$2-1)))))</f>
        <v/>
      </c>
      <c r="BC69" s="123">
        <f>IF(OR($C69="",$B$2="",$D$2=0),0,IF(BC$3&lt;0,0,N(INDEX('CURVA PREVISION'!$A$1:$KZ$3000,$C69,11+3*MIN(BC$3,$D$2-1)))))</f>
        <v/>
      </c>
      <c r="BD69" s="123">
        <f>IF(OR($C69="",$B$2="",$D$2=0),0,IF(BD$3&lt;0,0,N(INDEX('CURVA PREVISION'!$A$1:$KZ$3000,$C69,11+3*MIN(BD$3,$D$2-1)))))</f>
        <v/>
      </c>
      <c r="BE69" s="123">
        <f>IF(OR($C69="",$B$2="",$D$2=0),0,IF(BE$3&lt;0,0,N(INDEX('CURVA PREVISION'!$A$1:$KZ$3000,$C69,11+3*MIN(BE$3,$D$2-1)))))</f>
        <v/>
      </c>
      <c r="BF69" s="123">
        <f>IF(OR($C69="",$B$2="",$D$2=0),0,IF(BF$3&lt;0,0,N(INDEX('CURVA PREVISION'!$A$1:$KZ$3000,$C69,11+3*MIN(BF$3,$D$2-1)))))</f>
        <v/>
      </c>
      <c r="BG69" s="123">
        <f>IF(OR($C69="",$B$2="",$D$2=0),0,IF(BG$3&lt;0,0,N(INDEX('CURVA PREVISION'!$A$1:$KZ$3000,$C69,11+3*MIN(BG$3,$D$2-1)))))</f>
        <v/>
      </c>
      <c r="BH69" s="123">
        <f>IF(OR($C69="",$B$2="",$D$2=0),0,IF(BH$3&lt;0,0,N(INDEX('CURVA PREVISION'!$A$1:$KZ$3000,$C69,11+3*MIN(BH$3,$D$2-1)))))</f>
        <v/>
      </c>
      <c r="BI69" s="123">
        <f>IF(OR($C69="",$B$2="",$D$2=0),0,IF(BI$3&lt;0,0,N(INDEX('CURVA PREVISION'!$A$1:$KZ$3000,$C69,11+3*MIN(BI$3,$D$2-1)))))</f>
        <v/>
      </c>
      <c r="BJ69" s="123">
        <f>IF(OR($C69="",$B$2="",$D$2=0),0,IF(BJ$3&lt;0,0,N(INDEX('CURVA PREVISION'!$A$1:$KZ$3000,$C69,11+3*MIN(BJ$3,$D$2-1)))))</f>
        <v/>
      </c>
      <c r="BK69" s="123">
        <f>IF(OR($C69="",$B$2="",$D$2=0),0,IF(BK$3&lt;0,0,N(INDEX('CURVA PREVISION'!$A$1:$KZ$3000,$C69,11+3*MIN(BK$3,$D$2-1)))))</f>
        <v/>
      </c>
      <c r="BL69" s="123">
        <f>IF(OR($C69="",$B$2="",$D$2=0),0,IF(BL$3&lt;0,0,N(INDEX('CURVA PREVISION'!$A$1:$KZ$3000,$C69,11+3*MIN(BL$3,$D$2-1)))))</f>
        <v/>
      </c>
      <c r="BM69" s="123">
        <f>IF(OR($C69="",$B$2="",$D$2=0),0,IF(BM$3&lt;0,0,N(INDEX('CURVA PREVISION'!$A$1:$KZ$3000,$C69,11+3*MIN(BM$3,$D$2-1)))))</f>
        <v/>
      </c>
      <c r="BN69" s="123">
        <f>IF(OR($C69="",$B$2="",$D$2=0),0,IF(BN$3&lt;0,0,N(INDEX('CURVA PREVISION'!$A$1:$KZ$3000,$C69,11+3*MIN(BN$3,$D$2-1)))))</f>
        <v/>
      </c>
      <c r="BO69" s="123">
        <f>IF(OR($C69="",$B$2="",$D$2=0),0,IF(BO$3&lt;0,0,N(INDEX('CURVA PREVISION'!$A$1:$KZ$3000,$C69,11+3*MIN(BO$3,$D$2-1)))))</f>
        <v/>
      </c>
      <c r="BP69" s="123">
        <f>IF(OR($C69="",$B$2="",$D$2=0),0,IF(BP$3&lt;0,0,N(INDEX('CURVA PREVISION'!$A$1:$KZ$3000,$C69,11+3*MIN(BP$3,$D$2-1)))))</f>
        <v/>
      </c>
      <c r="BQ69" s="123">
        <f>IF(OR($C69="",$B$2="",$D$2=0),0,IF(BQ$3&lt;0,0,N(INDEX('CURVA PREVISION'!$A$1:$KZ$3000,$C69,11+3*MIN(BQ$3,$D$2-1)))))</f>
        <v/>
      </c>
      <c r="BR69" s="123">
        <f>IF(OR($C69="",$B$2="",$D$2=0),0,IF(BR$3&lt;0,0,N(INDEX('CURVA PREVISION'!$A$1:$KZ$3000,$C69,11+3*MIN(BR$3,$D$2-1)))))</f>
        <v/>
      </c>
      <c r="BS69" s="123">
        <f>IF(OR($C69="",$B$2="",$D$2=0),0,IF(BS$3&lt;0,0,N(INDEX('CURVA PREVISION'!$A$1:$KZ$3000,$C69,11+3*MIN(BS$3,$D$2-1)))))</f>
        <v/>
      </c>
      <c r="BT69" s="123">
        <f>IF(OR($C69="",$B$2="",$D$2=0),0,IF(BT$3&lt;0,0,N(INDEX('CURVA PREVISION'!$A$1:$KZ$3000,$C69,11+3*MIN(BT$3,$D$2-1)))))</f>
        <v/>
      </c>
      <c r="BU69" s="123">
        <f>IF(OR($C69="",$B$2="",$D$2=0),0,IF(BU$3&lt;0,0,N(INDEX('CURVA PREVISION'!$A$1:$KZ$3000,$C69,11+3*MIN(BU$3,$D$2-1)))))</f>
        <v/>
      </c>
      <c r="BV69" s="123">
        <f>IF(OR($C69="",$B$2="",$D$2=0),0,IF(BV$3&lt;0,0,N(INDEX('CURVA PREVISION'!$A$1:$KZ$3000,$C69,11+3*MIN(BV$3,$D$2-1)))))</f>
        <v/>
      </c>
      <c r="BW69" s="123">
        <f>IF(OR($C69="",$B$2="",$D$2=0),0,IF(BW$3&lt;0,0,N(INDEX('CURVA PREVISION'!$A$1:$KZ$3000,$C69,11+3*MIN(BW$3,$D$2-1)))))</f>
        <v/>
      </c>
    </row>
    <row r="70">
      <c r="A70" s="61">
        <f>IF('VALOR POR PL'!Q34="",'VALOR POR PL'!C34,'VALOR POR PL'!Q34)</f>
        <v/>
      </c>
      <c r="B70" s="51">
        <f>B28</f>
        <v/>
      </c>
      <c r="C70" s="70">
        <f>IFERROR(MATCH(A70,'CURVA PREVISION'!$B$1:$B$3000,0),"")</f>
        <v/>
      </c>
      <c r="D70" s="123">
        <f>IF(OR($C70="",$B$2="",$D$2=0),0,IF(D$3&lt;0,0,N(INDEX('CURVA PREVISION'!$A$1:$KZ$3000,$C70,11+3*MIN(D$3,$D$2-1)))))</f>
        <v/>
      </c>
      <c r="E70" s="123">
        <f>IF(OR($C70="",$B$2="",$D$2=0),0,IF(E$3&lt;0,0,N(INDEX('CURVA PREVISION'!$A$1:$KZ$3000,$C70,11+3*MIN(E$3,$D$2-1)))))</f>
        <v/>
      </c>
      <c r="F70" s="123">
        <f>IF(OR($C70="",$B$2="",$D$2=0),0,IF(F$3&lt;0,0,N(INDEX('CURVA PREVISION'!$A$1:$KZ$3000,$C70,11+3*MIN(F$3,$D$2-1)))))</f>
        <v/>
      </c>
      <c r="G70" s="123">
        <f>IF(OR($C70="",$B$2="",$D$2=0),0,IF(G$3&lt;0,0,N(INDEX('CURVA PREVISION'!$A$1:$KZ$3000,$C70,11+3*MIN(G$3,$D$2-1)))))</f>
        <v/>
      </c>
      <c r="H70" s="123">
        <f>IF(OR($C70="",$B$2="",$D$2=0),0,IF(H$3&lt;0,0,N(INDEX('CURVA PREVISION'!$A$1:$KZ$3000,$C70,11+3*MIN(H$3,$D$2-1)))))</f>
        <v/>
      </c>
      <c r="I70" s="123">
        <f>IF(OR($C70="",$B$2="",$D$2=0),0,IF(I$3&lt;0,0,N(INDEX('CURVA PREVISION'!$A$1:$KZ$3000,$C70,11+3*MIN(I$3,$D$2-1)))))</f>
        <v/>
      </c>
      <c r="J70" s="123">
        <f>IF(OR($C70="",$B$2="",$D$2=0),0,IF(J$3&lt;0,0,N(INDEX('CURVA PREVISION'!$A$1:$KZ$3000,$C70,11+3*MIN(J$3,$D$2-1)))))</f>
        <v/>
      </c>
      <c r="K70" s="123">
        <f>IF(OR($C70="",$B$2="",$D$2=0),0,IF(K$3&lt;0,0,N(INDEX('CURVA PREVISION'!$A$1:$KZ$3000,$C70,11+3*MIN(K$3,$D$2-1)))))</f>
        <v/>
      </c>
      <c r="L70" s="123">
        <f>IF(OR($C70="",$B$2="",$D$2=0),0,IF(L$3&lt;0,0,N(INDEX('CURVA PREVISION'!$A$1:$KZ$3000,$C70,11+3*MIN(L$3,$D$2-1)))))</f>
        <v/>
      </c>
      <c r="M70" s="123">
        <f>IF(OR($C70="",$B$2="",$D$2=0),0,IF(M$3&lt;0,0,N(INDEX('CURVA PREVISION'!$A$1:$KZ$3000,$C70,11+3*MIN(M$3,$D$2-1)))))</f>
        <v/>
      </c>
      <c r="N70" s="123">
        <f>IF(OR($C70="",$B$2="",$D$2=0),0,IF(N$3&lt;0,0,N(INDEX('CURVA PREVISION'!$A$1:$KZ$3000,$C70,11+3*MIN(N$3,$D$2-1)))))</f>
        <v/>
      </c>
      <c r="O70" s="123">
        <f>IF(OR($C70="",$B$2="",$D$2=0),0,IF(O$3&lt;0,0,N(INDEX('CURVA PREVISION'!$A$1:$KZ$3000,$C70,11+3*MIN(O$3,$D$2-1)))))</f>
        <v/>
      </c>
      <c r="P70" s="123">
        <f>IF(OR($C70="",$B$2="",$D$2=0),0,IF(P$3&lt;0,0,N(INDEX('CURVA PREVISION'!$A$1:$KZ$3000,$C70,11+3*MIN(P$3,$D$2-1)))))</f>
        <v/>
      </c>
      <c r="Q70" s="123">
        <f>IF(OR($C70="",$B$2="",$D$2=0),0,IF(Q$3&lt;0,0,N(INDEX('CURVA PREVISION'!$A$1:$KZ$3000,$C70,11+3*MIN(Q$3,$D$2-1)))))</f>
        <v/>
      </c>
      <c r="R70" s="123">
        <f>IF(OR($C70="",$B$2="",$D$2=0),0,IF(R$3&lt;0,0,N(INDEX('CURVA PREVISION'!$A$1:$KZ$3000,$C70,11+3*MIN(R$3,$D$2-1)))))</f>
        <v/>
      </c>
      <c r="S70" s="123">
        <f>IF(OR($C70="",$B$2="",$D$2=0),0,IF(S$3&lt;0,0,N(INDEX('CURVA PREVISION'!$A$1:$KZ$3000,$C70,11+3*MIN(S$3,$D$2-1)))))</f>
        <v/>
      </c>
      <c r="T70" s="123">
        <f>IF(OR($C70="",$B$2="",$D$2=0),0,IF(T$3&lt;0,0,N(INDEX('CURVA PREVISION'!$A$1:$KZ$3000,$C70,11+3*MIN(T$3,$D$2-1)))))</f>
        <v/>
      </c>
      <c r="U70" s="123">
        <f>IF(OR($C70="",$B$2="",$D$2=0),0,IF(U$3&lt;0,0,N(INDEX('CURVA PREVISION'!$A$1:$KZ$3000,$C70,11+3*MIN(U$3,$D$2-1)))))</f>
        <v/>
      </c>
      <c r="V70" s="123">
        <f>IF(OR($C70="",$B$2="",$D$2=0),0,IF(V$3&lt;0,0,N(INDEX('CURVA PREVISION'!$A$1:$KZ$3000,$C70,11+3*MIN(V$3,$D$2-1)))))</f>
        <v/>
      </c>
      <c r="W70" s="123">
        <f>IF(OR($C70="",$B$2="",$D$2=0),0,IF(W$3&lt;0,0,N(INDEX('CURVA PREVISION'!$A$1:$KZ$3000,$C70,11+3*MIN(W$3,$D$2-1)))))</f>
        <v/>
      </c>
      <c r="X70" s="123">
        <f>IF(OR($C70="",$B$2="",$D$2=0),0,IF(X$3&lt;0,0,N(INDEX('CURVA PREVISION'!$A$1:$KZ$3000,$C70,11+3*MIN(X$3,$D$2-1)))))</f>
        <v/>
      </c>
      <c r="Y70" s="123">
        <f>IF(OR($C70="",$B$2="",$D$2=0),0,IF(Y$3&lt;0,0,N(INDEX('CURVA PREVISION'!$A$1:$KZ$3000,$C70,11+3*MIN(Y$3,$D$2-1)))))</f>
        <v/>
      </c>
      <c r="Z70" s="123">
        <f>IF(OR($C70="",$B$2="",$D$2=0),0,IF(Z$3&lt;0,0,N(INDEX('CURVA PREVISION'!$A$1:$KZ$3000,$C70,11+3*MIN(Z$3,$D$2-1)))))</f>
        <v/>
      </c>
      <c r="AA70" s="123">
        <f>IF(OR($C70="",$B$2="",$D$2=0),0,IF(AA$3&lt;0,0,N(INDEX('CURVA PREVISION'!$A$1:$KZ$3000,$C70,11+3*MIN(AA$3,$D$2-1)))))</f>
        <v/>
      </c>
      <c r="AB70" s="123">
        <f>IF(OR($C70="",$B$2="",$D$2=0),0,IF(AB$3&lt;0,0,N(INDEX('CURVA PREVISION'!$A$1:$KZ$3000,$C70,11+3*MIN(AB$3,$D$2-1)))))</f>
        <v/>
      </c>
      <c r="AC70" s="123">
        <f>IF(OR($C70="",$B$2="",$D$2=0),0,IF(AC$3&lt;0,0,N(INDEX('CURVA PREVISION'!$A$1:$KZ$3000,$C70,11+3*MIN(AC$3,$D$2-1)))))</f>
        <v/>
      </c>
      <c r="AD70" s="123">
        <f>IF(OR($C70="",$B$2="",$D$2=0),0,IF(AD$3&lt;0,0,N(INDEX('CURVA PREVISION'!$A$1:$KZ$3000,$C70,11+3*MIN(AD$3,$D$2-1)))))</f>
        <v/>
      </c>
      <c r="AE70" s="123">
        <f>IF(OR($C70="",$B$2="",$D$2=0),0,IF(AE$3&lt;0,0,N(INDEX('CURVA PREVISION'!$A$1:$KZ$3000,$C70,11+3*MIN(AE$3,$D$2-1)))))</f>
        <v/>
      </c>
      <c r="AF70" s="123">
        <f>IF(OR($C70="",$B$2="",$D$2=0),0,IF(AF$3&lt;0,0,N(INDEX('CURVA PREVISION'!$A$1:$KZ$3000,$C70,11+3*MIN(AF$3,$D$2-1)))))</f>
        <v/>
      </c>
      <c r="AG70" s="123">
        <f>IF(OR($C70="",$B$2="",$D$2=0),0,IF(AG$3&lt;0,0,N(INDEX('CURVA PREVISION'!$A$1:$KZ$3000,$C70,11+3*MIN(AG$3,$D$2-1)))))</f>
        <v/>
      </c>
      <c r="AH70" s="123">
        <f>IF(OR($C70="",$B$2="",$D$2=0),0,IF(AH$3&lt;0,0,N(INDEX('CURVA PREVISION'!$A$1:$KZ$3000,$C70,11+3*MIN(AH$3,$D$2-1)))))</f>
        <v/>
      </c>
      <c r="AI70" s="123">
        <f>IF(OR($C70="",$B$2="",$D$2=0),0,IF(AI$3&lt;0,0,N(INDEX('CURVA PREVISION'!$A$1:$KZ$3000,$C70,11+3*MIN(AI$3,$D$2-1)))))</f>
        <v/>
      </c>
      <c r="AJ70" s="123">
        <f>IF(OR($C70="",$B$2="",$D$2=0),0,IF(AJ$3&lt;0,0,N(INDEX('CURVA PREVISION'!$A$1:$KZ$3000,$C70,11+3*MIN(AJ$3,$D$2-1)))))</f>
        <v/>
      </c>
      <c r="AK70" s="123">
        <f>IF(OR($C70="",$B$2="",$D$2=0),0,IF(AK$3&lt;0,0,N(INDEX('CURVA PREVISION'!$A$1:$KZ$3000,$C70,11+3*MIN(AK$3,$D$2-1)))))</f>
        <v/>
      </c>
      <c r="AL70" s="123">
        <f>IF(OR($C70="",$B$2="",$D$2=0),0,IF(AL$3&lt;0,0,N(INDEX('CURVA PREVISION'!$A$1:$KZ$3000,$C70,11+3*MIN(AL$3,$D$2-1)))))</f>
        <v/>
      </c>
      <c r="AM70" s="123">
        <f>IF(OR($C70="",$B$2="",$D$2=0),0,IF(AM$3&lt;0,0,N(INDEX('CURVA PREVISION'!$A$1:$KZ$3000,$C70,11+3*MIN(AM$3,$D$2-1)))))</f>
        <v/>
      </c>
      <c r="AN70" s="123">
        <f>IF(OR($C70="",$B$2="",$D$2=0),0,IF(AN$3&lt;0,0,N(INDEX('CURVA PREVISION'!$A$1:$KZ$3000,$C70,11+3*MIN(AN$3,$D$2-1)))))</f>
        <v/>
      </c>
      <c r="AO70" s="123">
        <f>IF(OR($C70="",$B$2="",$D$2=0),0,IF(AO$3&lt;0,0,N(INDEX('CURVA PREVISION'!$A$1:$KZ$3000,$C70,11+3*MIN(AO$3,$D$2-1)))))</f>
        <v/>
      </c>
      <c r="AP70" s="123">
        <f>IF(OR($C70="",$B$2="",$D$2=0),0,IF(AP$3&lt;0,0,N(INDEX('CURVA PREVISION'!$A$1:$KZ$3000,$C70,11+3*MIN(AP$3,$D$2-1)))))</f>
        <v/>
      </c>
      <c r="AQ70" s="123">
        <f>IF(OR($C70="",$B$2="",$D$2=0),0,IF(AQ$3&lt;0,0,N(INDEX('CURVA PREVISION'!$A$1:$KZ$3000,$C70,11+3*MIN(AQ$3,$D$2-1)))))</f>
        <v/>
      </c>
      <c r="AR70" s="123">
        <f>IF(OR($C70="",$B$2="",$D$2=0),0,IF(AR$3&lt;0,0,N(INDEX('CURVA PREVISION'!$A$1:$KZ$3000,$C70,11+3*MIN(AR$3,$D$2-1)))))</f>
        <v/>
      </c>
      <c r="AS70" s="123">
        <f>IF(OR($C70="",$B$2="",$D$2=0),0,IF(AS$3&lt;0,0,N(INDEX('CURVA PREVISION'!$A$1:$KZ$3000,$C70,11+3*MIN(AS$3,$D$2-1)))))</f>
        <v/>
      </c>
      <c r="AT70" s="123">
        <f>IF(OR($C70="",$B$2="",$D$2=0),0,IF(AT$3&lt;0,0,N(INDEX('CURVA PREVISION'!$A$1:$KZ$3000,$C70,11+3*MIN(AT$3,$D$2-1)))))</f>
        <v/>
      </c>
      <c r="AU70" s="123">
        <f>IF(OR($C70="",$B$2="",$D$2=0),0,IF(AU$3&lt;0,0,N(INDEX('CURVA PREVISION'!$A$1:$KZ$3000,$C70,11+3*MIN(AU$3,$D$2-1)))))</f>
        <v/>
      </c>
      <c r="AV70" s="123">
        <f>IF(OR($C70="",$B$2="",$D$2=0),0,IF(AV$3&lt;0,0,N(INDEX('CURVA PREVISION'!$A$1:$KZ$3000,$C70,11+3*MIN(AV$3,$D$2-1)))))</f>
        <v/>
      </c>
      <c r="AW70" s="123">
        <f>IF(OR($C70="",$B$2="",$D$2=0),0,IF(AW$3&lt;0,0,N(INDEX('CURVA PREVISION'!$A$1:$KZ$3000,$C70,11+3*MIN(AW$3,$D$2-1)))))</f>
        <v/>
      </c>
      <c r="AX70" s="123">
        <f>IF(OR($C70="",$B$2="",$D$2=0),0,IF(AX$3&lt;0,0,N(INDEX('CURVA PREVISION'!$A$1:$KZ$3000,$C70,11+3*MIN(AX$3,$D$2-1)))))</f>
        <v/>
      </c>
      <c r="AY70" s="123">
        <f>IF(OR($C70="",$B$2="",$D$2=0),0,IF(AY$3&lt;0,0,N(INDEX('CURVA PREVISION'!$A$1:$KZ$3000,$C70,11+3*MIN(AY$3,$D$2-1)))))</f>
        <v/>
      </c>
      <c r="AZ70" s="123">
        <f>IF(OR($C70="",$B$2="",$D$2=0),0,IF(AZ$3&lt;0,0,N(INDEX('CURVA PREVISION'!$A$1:$KZ$3000,$C70,11+3*MIN(AZ$3,$D$2-1)))))</f>
        <v/>
      </c>
      <c r="BA70" s="123">
        <f>IF(OR($C70="",$B$2="",$D$2=0),0,IF(BA$3&lt;0,0,N(INDEX('CURVA PREVISION'!$A$1:$KZ$3000,$C70,11+3*MIN(BA$3,$D$2-1)))))</f>
        <v/>
      </c>
      <c r="BB70" s="123">
        <f>IF(OR($C70="",$B$2="",$D$2=0),0,IF(BB$3&lt;0,0,N(INDEX('CURVA PREVISION'!$A$1:$KZ$3000,$C70,11+3*MIN(BB$3,$D$2-1)))))</f>
        <v/>
      </c>
      <c r="BC70" s="123">
        <f>IF(OR($C70="",$B$2="",$D$2=0),0,IF(BC$3&lt;0,0,N(INDEX('CURVA PREVISION'!$A$1:$KZ$3000,$C70,11+3*MIN(BC$3,$D$2-1)))))</f>
        <v/>
      </c>
      <c r="BD70" s="123">
        <f>IF(OR($C70="",$B$2="",$D$2=0),0,IF(BD$3&lt;0,0,N(INDEX('CURVA PREVISION'!$A$1:$KZ$3000,$C70,11+3*MIN(BD$3,$D$2-1)))))</f>
        <v/>
      </c>
      <c r="BE70" s="123">
        <f>IF(OR($C70="",$B$2="",$D$2=0),0,IF(BE$3&lt;0,0,N(INDEX('CURVA PREVISION'!$A$1:$KZ$3000,$C70,11+3*MIN(BE$3,$D$2-1)))))</f>
        <v/>
      </c>
      <c r="BF70" s="123">
        <f>IF(OR($C70="",$B$2="",$D$2=0),0,IF(BF$3&lt;0,0,N(INDEX('CURVA PREVISION'!$A$1:$KZ$3000,$C70,11+3*MIN(BF$3,$D$2-1)))))</f>
        <v/>
      </c>
      <c r="BG70" s="123">
        <f>IF(OR($C70="",$B$2="",$D$2=0),0,IF(BG$3&lt;0,0,N(INDEX('CURVA PREVISION'!$A$1:$KZ$3000,$C70,11+3*MIN(BG$3,$D$2-1)))))</f>
        <v/>
      </c>
      <c r="BH70" s="123">
        <f>IF(OR($C70="",$B$2="",$D$2=0),0,IF(BH$3&lt;0,0,N(INDEX('CURVA PREVISION'!$A$1:$KZ$3000,$C70,11+3*MIN(BH$3,$D$2-1)))))</f>
        <v/>
      </c>
      <c r="BI70" s="123">
        <f>IF(OR($C70="",$B$2="",$D$2=0),0,IF(BI$3&lt;0,0,N(INDEX('CURVA PREVISION'!$A$1:$KZ$3000,$C70,11+3*MIN(BI$3,$D$2-1)))))</f>
        <v/>
      </c>
      <c r="BJ70" s="123">
        <f>IF(OR($C70="",$B$2="",$D$2=0),0,IF(BJ$3&lt;0,0,N(INDEX('CURVA PREVISION'!$A$1:$KZ$3000,$C70,11+3*MIN(BJ$3,$D$2-1)))))</f>
        <v/>
      </c>
      <c r="BK70" s="123">
        <f>IF(OR($C70="",$B$2="",$D$2=0),0,IF(BK$3&lt;0,0,N(INDEX('CURVA PREVISION'!$A$1:$KZ$3000,$C70,11+3*MIN(BK$3,$D$2-1)))))</f>
        <v/>
      </c>
      <c r="BL70" s="123">
        <f>IF(OR($C70="",$B$2="",$D$2=0),0,IF(BL$3&lt;0,0,N(INDEX('CURVA PREVISION'!$A$1:$KZ$3000,$C70,11+3*MIN(BL$3,$D$2-1)))))</f>
        <v/>
      </c>
      <c r="BM70" s="123">
        <f>IF(OR($C70="",$B$2="",$D$2=0),0,IF(BM$3&lt;0,0,N(INDEX('CURVA PREVISION'!$A$1:$KZ$3000,$C70,11+3*MIN(BM$3,$D$2-1)))))</f>
        <v/>
      </c>
      <c r="BN70" s="123">
        <f>IF(OR($C70="",$B$2="",$D$2=0),0,IF(BN$3&lt;0,0,N(INDEX('CURVA PREVISION'!$A$1:$KZ$3000,$C70,11+3*MIN(BN$3,$D$2-1)))))</f>
        <v/>
      </c>
      <c r="BO70" s="123">
        <f>IF(OR($C70="",$B$2="",$D$2=0),0,IF(BO$3&lt;0,0,N(INDEX('CURVA PREVISION'!$A$1:$KZ$3000,$C70,11+3*MIN(BO$3,$D$2-1)))))</f>
        <v/>
      </c>
      <c r="BP70" s="123">
        <f>IF(OR($C70="",$B$2="",$D$2=0),0,IF(BP$3&lt;0,0,N(INDEX('CURVA PREVISION'!$A$1:$KZ$3000,$C70,11+3*MIN(BP$3,$D$2-1)))))</f>
        <v/>
      </c>
      <c r="BQ70" s="123">
        <f>IF(OR($C70="",$B$2="",$D$2=0),0,IF(BQ$3&lt;0,0,N(INDEX('CURVA PREVISION'!$A$1:$KZ$3000,$C70,11+3*MIN(BQ$3,$D$2-1)))))</f>
        <v/>
      </c>
      <c r="BR70" s="123">
        <f>IF(OR($C70="",$B$2="",$D$2=0),0,IF(BR$3&lt;0,0,N(INDEX('CURVA PREVISION'!$A$1:$KZ$3000,$C70,11+3*MIN(BR$3,$D$2-1)))))</f>
        <v/>
      </c>
      <c r="BS70" s="123">
        <f>IF(OR($C70="",$B$2="",$D$2=0),0,IF(BS$3&lt;0,0,N(INDEX('CURVA PREVISION'!$A$1:$KZ$3000,$C70,11+3*MIN(BS$3,$D$2-1)))))</f>
        <v/>
      </c>
      <c r="BT70" s="123">
        <f>IF(OR($C70="",$B$2="",$D$2=0),0,IF(BT$3&lt;0,0,N(INDEX('CURVA PREVISION'!$A$1:$KZ$3000,$C70,11+3*MIN(BT$3,$D$2-1)))))</f>
        <v/>
      </c>
      <c r="BU70" s="123">
        <f>IF(OR($C70="",$B$2="",$D$2=0),0,IF(BU$3&lt;0,0,N(INDEX('CURVA PREVISION'!$A$1:$KZ$3000,$C70,11+3*MIN(BU$3,$D$2-1)))))</f>
        <v/>
      </c>
      <c r="BV70" s="123">
        <f>IF(OR($C70="",$B$2="",$D$2=0),0,IF(BV$3&lt;0,0,N(INDEX('CURVA PREVISION'!$A$1:$KZ$3000,$C70,11+3*MIN(BV$3,$D$2-1)))))</f>
        <v/>
      </c>
      <c r="BW70" s="123">
        <f>IF(OR($C70="",$B$2="",$D$2=0),0,IF(BW$3&lt;0,0,N(INDEX('CURVA PREVISION'!$A$1:$KZ$3000,$C70,11+3*MIN(BW$3,$D$2-1)))))</f>
        <v/>
      </c>
    </row>
    <row r="71">
      <c r="A71" s="61">
        <f>IF('VALOR POR PL'!Q35="",'VALOR POR PL'!C35,'VALOR POR PL'!Q35)</f>
        <v/>
      </c>
      <c r="B71" s="51">
        <f>B29</f>
        <v/>
      </c>
      <c r="C71" s="70">
        <f>IFERROR(MATCH(A71,'CURVA PREVISION'!$B$1:$B$3000,0),"")</f>
        <v/>
      </c>
      <c r="D71" s="123">
        <f>IF(OR($C71="",$B$2="",$D$2=0),0,IF(D$3&lt;0,0,N(INDEX('CURVA PREVISION'!$A$1:$KZ$3000,$C71,11+3*MIN(D$3,$D$2-1)))))</f>
        <v/>
      </c>
      <c r="E71" s="123">
        <f>IF(OR($C71="",$B$2="",$D$2=0),0,IF(E$3&lt;0,0,N(INDEX('CURVA PREVISION'!$A$1:$KZ$3000,$C71,11+3*MIN(E$3,$D$2-1)))))</f>
        <v/>
      </c>
      <c r="F71" s="123">
        <f>IF(OR($C71="",$B$2="",$D$2=0),0,IF(F$3&lt;0,0,N(INDEX('CURVA PREVISION'!$A$1:$KZ$3000,$C71,11+3*MIN(F$3,$D$2-1)))))</f>
        <v/>
      </c>
      <c r="G71" s="123">
        <f>IF(OR($C71="",$B$2="",$D$2=0),0,IF(G$3&lt;0,0,N(INDEX('CURVA PREVISION'!$A$1:$KZ$3000,$C71,11+3*MIN(G$3,$D$2-1)))))</f>
        <v/>
      </c>
      <c r="H71" s="123">
        <f>IF(OR($C71="",$B$2="",$D$2=0),0,IF(H$3&lt;0,0,N(INDEX('CURVA PREVISION'!$A$1:$KZ$3000,$C71,11+3*MIN(H$3,$D$2-1)))))</f>
        <v/>
      </c>
      <c r="I71" s="123">
        <f>IF(OR($C71="",$B$2="",$D$2=0),0,IF(I$3&lt;0,0,N(INDEX('CURVA PREVISION'!$A$1:$KZ$3000,$C71,11+3*MIN(I$3,$D$2-1)))))</f>
        <v/>
      </c>
      <c r="J71" s="123">
        <f>IF(OR($C71="",$B$2="",$D$2=0),0,IF(J$3&lt;0,0,N(INDEX('CURVA PREVISION'!$A$1:$KZ$3000,$C71,11+3*MIN(J$3,$D$2-1)))))</f>
        <v/>
      </c>
      <c r="K71" s="123">
        <f>IF(OR($C71="",$B$2="",$D$2=0),0,IF(K$3&lt;0,0,N(INDEX('CURVA PREVISION'!$A$1:$KZ$3000,$C71,11+3*MIN(K$3,$D$2-1)))))</f>
        <v/>
      </c>
      <c r="L71" s="123">
        <f>IF(OR($C71="",$B$2="",$D$2=0),0,IF(L$3&lt;0,0,N(INDEX('CURVA PREVISION'!$A$1:$KZ$3000,$C71,11+3*MIN(L$3,$D$2-1)))))</f>
        <v/>
      </c>
      <c r="M71" s="123">
        <f>IF(OR($C71="",$B$2="",$D$2=0),0,IF(M$3&lt;0,0,N(INDEX('CURVA PREVISION'!$A$1:$KZ$3000,$C71,11+3*MIN(M$3,$D$2-1)))))</f>
        <v/>
      </c>
      <c r="N71" s="123">
        <f>IF(OR($C71="",$B$2="",$D$2=0),0,IF(N$3&lt;0,0,N(INDEX('CURVA PREVISION'!$A$1:$KZ$3000,$C71,11+3*MIN(N$3,$D$2-1)))))</f>
        <v/>
      </c>
      <c r="O71" s="123">
        <f>IF(OR($C71="",$B$2="",$D$2=0),0,IF(O$3&lt;0,0,N(INDEX('CURVA PREVISION'!$A$1:$KZ$3000,$C71,11+3*MIN(O$3,$D$2-1)))))</f>
        <v/>
      </c>
      <c r="P71" s="123">
        <f>IF(OR($C71="",$B$2="",$D$2=0),0,IF(P$3&lt;0,0,N(INDEX('CURVA PREVISION'!$A$1:$KZ$3000,$C71,11+3*MIN(P$3,$D$2-1)))))</f>
        <v/>
      </c>
      <c r="Q71" s="123">
        <f>IF(OR($C71="",$B$2="",$D$2=0),0,IF(Q$3&lt;0,0,N(INDEX('CURVA PREVISION'!$A$1:$KZ$3000,$C71,11+3*MIN(Q$3,$D$2-1)))))</f>
        <v/>
      </c>
      <c r="R71" s="123">
        <f>IF(OR($C71="",$B$2="",$D$2=0),0,IF(R$3&lt;0,0,N(INDEX('CURVA PREVISION'!$A$1:$KZ$3000,$C71,11+3*MIN(R$3,$D$2-1)))))</f>
        <v/>
      </c>
      <c r="S71" s="123">
        <f>IF(OR($C71="",$B$2="",$D$2=0),0,IF(S$3&lt;0,0,N(INDEX('CURVA PREVISION'!$A$1:$KZ$3000,$C71,11+3*MIN(S$3,$D$2-1)))))</f>
        <v/>
      </c>
      <c r="T71" s="123">
        <f>IF(OR($C71="",$B$2="",$D$2=0),0,IF(T$3&lt;0,0,N(INDEX('CURVA PREVISION'!$A$1:$KZ$3000,$C71,11+3*MIN(T$3,$D$2-1)))))</f>
        <v/>
      </c>
      <c r="U71" s="123">
        <f>IF(OR($C71="",$B$2="",$D$2=0),0,IF(U$3&lt;0,0,N(INDEX('CURVA PREVISION'!$A$1:$KZ$3000,$C71,11+3*MIN(U$3,$D$2-1)))))</f>
        <v/>
      </c>
      <c r="V71" s="123">
        <f>IF(OR($C71="",$B$2="",$D$2=0),0,IF(V$3&lt;0,0,N(INDEX('CURVA PREVISION'!$A$1:$KZ$3000,$C71,11+3*MIN(V$3,$D$2-1)))))</f>
        <v/>
      </c>
      <c r="W71" s="123">
        <f>IF(OR($C71="",$B$2="",$D$2=0),0,IF(W$3&lt;0,0,N(INDEX('CURVA PREVISION'!$A$1:$KZ$3000,$C71,11+3*MIN(W$3,$D$2-1)))))</f>
        <v/>
      </c>
      <c r="X71" s="123">
        <f>IF(OR($C71="",$B$2="",$D$2=0),0,IF(X$3&lt;0,0,N(INDEX('CURVA PREVISION'!$A$1:$KZ$3000,$C71,11+3*MIN(X$3,$D$2-1)))))</f>
        <v/>
      </c>
      <c r="Y71" s="123">
        <f>IF(OR($C71="",$B$2="",$D$2=0),0,IF(Y$3&lt;0,0,N(INDEX('CURVA PREVISION'!$A$1:$KZ$3000,$C71,11+3*MIN(Y$3,$D$2-1)))))</f>
        <v/>
      </c>
      <c r="Z71" s="123">
        <f>IF(OR($C71="",$B$2="",$D$2=0),0,IF(Z$3&lt;0,0,N(INDEX('CURVA PREVISION'!$A$1:$KZ$3000,$C71,11+3*MIN(Z$3,$D$2-1)))))</f>
        <v/>
      </c>
      <c r="AA71" s="123">
        <f>IF(OR($C71="",$B$2="",$D$2=0),0,IF(AA$3&lt;0,0,N(INDEX('CURVA PREVISION'!$A$1:$KZ$3000,$C71,11+3*MIN(AA$3,$D$2-1)))))</f>
        <v/>
      </c>
      <c r="AB71" s="123">
        <f>IF(OR($C71="",$B$2="",$D$2=0),0,IF(AB$3&lt;0,0,N(INDEX('CURVA PREVISION'!$A$1:$KZ$3000,$C71,11+3*MIN(AB$3,$D$2-1)))))</f>
        <v/>
      </c>
      <c r="AC71" s="123">
        <f>IF(OR($C71="",$B$2="",$D$2=0),0,IF(AC$3&lt;0,0,N(INDEX('CURVA PREVISION'!$A$1:$KZ$3000,$C71,11+3*MIN(AC$3,$D$2-1)))))</f>
        <v/>
      </c>
      <c r="AD71" s="123">
        <f>IF(OR($C71="",$B$2="",$D$2=0),0,IF(AD$3&lt;0,0,N(INDEX('CURVA PREVISION'!$A$1:$KZ$3000,$C71,11+3*MIN(AD$3,$D$2-1)))))</f>
        <v/>
      </c>
      <c r="AE71" s="123">
        <f>IF(OR($C71="",$B$2="",$D$2=0),0,IF(AE$3&lt;0,0,N(INDEX('CURVA PREVISION'!$A$1:$KZ$3000,$C71,11+3*MIN(AE$3,$D$2-1)))))</f>
        <v/>
      </c>
      <c r="AF71" s="123">
        <f>IF(OR($C71="",$B$2="",$D$2=0),0,IF(AF$3&lt;0,0,N(INDEX('CURVA PREVISION'!$A$1:$KZ$3000,$C71,11+3*MIN(AF$3,$D$2-1)))))</f>
        <v/>
      </c>
      <c r="AG71" s="123">
        <f>IF(OR($C71="",$B$2="",$D$2=0),0,IF(AG$3&lt;0,0,N(INDEX('CURVA PREVISION'!$A$1:$KZ$3000,$C71,11+3*MIN(AG$3,$D$2-1)))))</f>
        <v/>
      </c>
      <c r="AH71" s="123">
        <f>IF(OR($C71="",$B$2="",$D$2=0),0,IF(AH$3&lt;0,0,N(INDEX('CURVA PREVISION'!$A$1:$KZ$3000,$C71,11+3*MIN(AH$3,$D$2-1)))))</f>
        <v/>
      </c>
      <c r="AI71" s="123">
        <f>IF(OR($C71="",$B$2="",$D$2=0),0,IF(AI$3&lt;0,0,N(INDEX('CURVA PREVISION'!$A$1:$KZ$3000,$C71,11+3*MIN(AI$3,$D$2-1)))))</f>
        <v/>
      </c>
      <c r="AJ71" s="123">
        <f>IF(OR($C71="",$B$2="",$D$2=0),0,IF(AJ$3&lt;0,0,N(INDEX('CURVA PREVISION'!$A$1:$KZ$3000,$C71,11+3*MIN(AJ$3,$D$2-1)))))</f>
        <v/>
      </c>
      <c r="AK71" s="123">
        <f>IF(OR($C71="",$B$2="",$D$2=0),0,IF(AK$3&lt;0,0,N(INDEX('CURVA PREVISION'!$A$1:$KZ$3000,$C71,11+3*MIN(AK$3,$D$2-1)))))</f>
        <v/>
      </c>
      <c r="AL71" s="123">
        <f>IF(OR($C71="",$B$2="",$D$2=0),0,IF(AL$3&lt;0,0,N(INDEX('CURVA PREVISION'!$A$1:$KZ$3000,$C71,11+3*MIN(AL$3,$D$2-1)))))</f>
        <v/>
      </c>
      <c r="AM71" s="123">
        <f>IF(OR($C71="",$B$2="",$D$2=0),0,IF(AM$3&lt;0,0,N(INDEX('CURVA PREVISION'!$A$1:$KZ$3000,$C71,11+3*MIN(AM$3,$D$2-1)))))</f>
        <v/>
      </c>
      <c r="AN71" s="123">
        <f>IF(OR($C71="",$B$2="",$D$2=0),0,IF(AN$3&lt;0,0,N(INDEX('CURVA PREVISION'!$A$1:$KZ$3000,$C71,11+3*MIN(AN$3,$D$2-1)))))</f>
        <v/>
      </c>
      <c r="AO71" s="123">
        <f>IF(OR($C71="",$B$2="",$D$2=0),0,IF(AO$3&lt;0,0,N(INDEX('CURVA PREVISION'!$A$1:$KZ$3000,$C71,11+3*MIN(AO$3,$D$2-1)))))</f>
        <v/>
      </c>
      <c r="AP71" s="123">
        <f>IF(OR($C71="",$B$2="",$D$2=0),0,IF(AP$3&lt;0,0,N(INDEX('CURVA PREVISION'!$A$1:$KZ$3000,$C71,11+3*MIN(AP$3,$D$2-1)))))</f>
        <v/>
      </c>
      <c r="AQ71" s="123">
        <f>IF(OR($C71="",$B$2="",$D$2=0),0,IF(AQ$3&lt;0,0,N(INDEX('CURVA PREVISION'!$A$1:$KZ$3000,$C71,11+3*MIN(AQ$3,$D$2-1)))))</f>
        <v/>
      </c>
      <c r="AR71" s="123">
        <f>IF(OR($C71="",$B$2="",$D$2=0),0,IF(AR$3&lt;0,0,N(INDEX('CURVA PREVISION'!$A$1:$KZ$3000,$C71,11+3*MIN(AR$3,$D$2-1)))))</f>
        <v/>
      </c>
      <c r="AS71" s="123">
        <f>IF(OR($C71="",$B$2="",$D$2=0),0,IF(AS$3&lt;0,0,N(INDEX('CURVA PREVISION'!$A$1:$KZ$3000,$C71,11+3*MIN(AS$3,$D$2-1)))))</f>
        <v/>
      </c>
      <c r="AT71" s="123">
        <f>IF(OR($C71="",$B$2="",$D$2=0),0,IF(AT$3&lt;0,0,N(INDEX('CURVA PREVISION'!$A$1:$KZ$3000,$C71,11+3*MIN(AT$3,$D$2-1)))))</f>
        <v/>
      </c>
      <c r="AU71" s="123">
        <f>IF(OR($C71="",$B$2="",$D$2=0),0,IF(AU$3&lt;0,0,N(INDEX('CURVA PREVISION'!$A$1:$KZ$3000,$C71,11+3*MIN(AU$3,$D$2-1)))))</f>
        <v/>
      </c>
      <c r="AV71" s="123">
        <f>IF(OR($C71="",$B$2="",$D$2=0),0,IF(AV$3&lt;0,0,N(INDEX('CURVA PREVISION'!$A$1:$KZ$3000,$C71,11+3*MIN(AV$3,$D$2-1)))))</f>
        <v/>
      </c>
      <c r="AW71" s="123">
        <f>IF(OR($C71="",$B$2="",$D$2=0),0,IF(AW$3&lt;0,0,N(INDEX('CURVA PREVISION'!$A$1:$KZ$3000,$C71,11+3*MIN(AW$3,$D$2-1)))))</f>
        <v/>
      </c>
      <c r="AX71" s="123">
        <f>IF(OR($C71="",$B$2="",$D$2=0),0,IF(AX$3&lt;0,0,N(INDEX('CURVA PREVISION'!$A$1:$KZ$3000,$C71,11+3*MIN(AX$3,$D$2-1)))))</f>
        <v/>
      </c>
      <c r="AY71" s="123">
        <f>IF(OR($C71="",$B$2="",$D$2=0),0,IF(AY$3&lt;0,0,N(INDEX('CURVA PREVISION'!$A$1:$KZ$3000,$C71,11+3*MIN(AY$3,$D$2-1)))))</f>
        <v/>
      </c>
      <c r="AZ71" s="123">
        <f>IF(OR($C71="",$B$2="",$D$2=0),0,IF(AZ$3&lt;0,0,N(INDEX('CURVA PREVISION'!$A$1:$KZ$3000,$C71,11+3*MIN(AZ$3,$D$2-1)))))</f>
        <v/>
      </c>
      <c r="BA71" s="123">
        <f>IF(OR($C71="",$B$2="",$D$2=0),0,IF(BA$3&lt;0,0,N(INDEX('CURVA PREVISION'!$A$1:$KZ$3000,$C71,11+3*MIN(BA$3,$D$2-1)))))</f>
        <v/>
      </c>
      <c r="BB71" s="123">
        <f>IF(OR($C71="",$B$2="",$D$2=0),0,IF(BB$3&lt;0,0,N(INDEX('CURVA PREVISION'!$A$1:$KZ$3000,$C71,11+3*MIN(BB$3,$D$2-1)))))</f>
        <v/>
      </c>
      <c r="BC71" s="123">
        <f>IF(OR($C71="",$B$2="",$D$2=0),0,IF(BC$3&lt;0,0,N(INDEX('CURVA PREVISION'!$A$1:$KZ$3000,$C71,11+3*MIN(BC$3,$D$2-1)))))</f>
        <v/>
      </c>
      <c r="BD71" s="123">
        <f>IF(OR($C71="",$B$2="",$D$2=0),0,IF(BD$3&lt;0,0,N(INDEX('CURVA PREVISION'!$A$1:$KZ$3000,$C71,11+3*MIN(BD$3,$D$2-1)))))</f>
        <v/>
      </c>
      <c r="BE71" s="123">
        <f>IF(OR($C71="",$B$2="",$D$2=0),0,IF(BE$3&lt;0,0,N(INDEX('CURVA PREVISION'!$A$1:$KZ$3000,$C71,11+3*MIN(BE$3,$D$2-1)))))</f>
        <v/>
      </c>
      <c r="BF71" s="123">
        <f>IF(OR($C71="",$B$2="",$D$2=0),0,IF(BF$3&lt;0,0,N(INDEX('CURVA PREVISION'!$A$1:$KZ$3000,$C71,11+3*MIN(BF$3,$D$2-1)))))</f>
        <v/>
      </c>
      <c r="BG71" s="123">
        <f>IF(OR($C71="",$B$2="",$D$2=0),0,IF(BG$3&lt;0,0,N(INDEX('CURVA PREVISION'!$A$1:$KZ$3000,$C71,11+3*MIN(BG$3,$D$2-1)))))</f>
        <v/>
      </c>
      <c r="BH71" s="123">
        <f>IF(OR($C71="",$B$2="",$D$2=0),0,IF(BH$3&lt;0,0,N(INDEX('CURVA PREVISION'!$A$1:$KZ$3000,$C71,11+3*MIN(BH$3,$D$2-1)))))</f>
        <v/>
      </c>
      <c r="BI71" s="123">
        <f>IF(OR($C71="",$B$2="",$D$2=0),0,IF(BI$3&lt;0,0,N(INDEX('CURVA PREVISION'!$A$1:$KZ$3000,$C71,11+3*MIN(BI$3,$D$2-1)))))</f>
        <v/>
      </c>
      <c r="BJ71" s="123">
        <f>IF(OR($C71="",$B$2="",$D$2=0),0,IF(BJ$3&lt;0,0,N(INDEX('CURVA PREVISION'!$A$1:$KZ$3000,$C71,11+3*MIN(BJ$3,$D$2-1)))))</f>
        <v/>
      </c>
      <c r="BK71" s="123">
        <f>IF(OR($C71="",$B$2="",$D$2=0),0,IF(BK$3&lt;0,0,N(INDEX('CURVA PREVISION'!$A$1:$KZ$3000,$C71,11+3*MIN(BK$3,$D$2-1)))))</f>
        <v/>
      </c>
      <c r="BL71" s="123">
        <f>IF(OR($C71="",$B$2="",$D$2=0),0,IF(BL$3&lt;0,0,N(INDEX('CURVA PREVISION'!$A$1:$KZ$3000,$C71,11+3*MIN(BL$3,$D$2-1)))))</f>
        <v/>
      </c>
      <c r="BM71" s="123">
        <f>IF(OR($C71="",$B$2="",$D$2=0),0,IF(BM$3&lt;0,0,N(INDEX('CURVA PREVISION'!$A$1:$KZ$3000,$C71,11+3*MIN(BM$3,$D$2-1)))))</f>
        <v/>
      </c>
      <c r="BN71" s="123">
        <f>IF(OR($C71="",$B$2="",$D$2=0),0,IF(BN$3&lt;0,0,N(INDEX('CURVA PREVISION'!$A$1:$KZ$3000,$C71,11+3*MIN(BN$3,$D$2-1)))))</f>
        <v/>
      </c>
      <c r="BO71" s="123">
        <f>IF(OR($C71="",$B$2="",$D$2=0),0,IF(BO$3&lt;0,0,N(INDEX('CURVA PREVISION'!$A$1:$KZ$3000,$C71,11+3*MIN(BO$3,$D$2-1)))))</f>
        <v/>
      </c>
      <c r="BP71" s="123">
        <f>IF(OR($C71="",$B$2="",$D$2=0),0,IF(BP$3&lt;0,0,N(INDEX('CURVA PREVISION'!$A$1:$KZ$3000,$C71,11+3*MIN(BP$3,$D$2-1)))))</f>
        <v/>
      </c>
      <c r="BQ71" s="123">
        <f>IF(OR($C71="",$B$2="",$D$2=0),0,IF(BQ$3&lt;0,0,N(INDEX('CURVA PREVISION'!$A$1:$KZ$3000,$C71,11+3*MIN(BQ$3,$D$2-1)))))</f>
        <v/>
      </c>
      <c r="BR71" s="123">
        <f>IF(OR($C71="",$B$2="",$D$2=0),0,IF(BR$3&lt;0,0,N(INDEX('CURVA PREVISION'!$A$1:$KZ$3000,$C71,11+3*MIN(BR$3,$D$2-1)))))</f>
        <v/>
      </c>
      <c r="BS71" s="123">
        <f>IF(OR($C71="",$B$2="",$D$2=0),0,IF(BS$3&lt;0,0,N(INDEX('CURVA PREVISION'!$A$1:$KZ$3000,$C71,11+3*MIN(BS$3,$D$2-1)))))</f>
        <v/>
      </c>
      <c r="BT71" s="123">
        <f>IF(OR($C71="",$B$2="",$D$2=0),0,IF(BT$3&lt;0,0,N(INDEX('CURVA PREVISION'!$A$1:$KZ$3000,$C71,11+3*MIN(BT$3,$D$2-1)))))</f>
        <v/>
      </c>
      <c r="BU71" s="123">
        <f>IF(OR($C71="",$B$2="",$D$2=0),0,IF(BU$3&lt;0,0,N(INDEX('CURVA PREVISION'!$A$1:$KZ$3000,$C71,11+3*MIN(BU$3,$D$2-1)))))</f>
        <v/>
      </c>
      <c r="BV71" s="123">
        <f>IF(OR($C71="",$B$2="",$D$2=0),0,IF(BV$3&lt;0,0,N(INDEX('CURVA PREVISION'!$A$1:$KZ$3000,$C71,11+3*MIN(BV$3,$D$2-1)))))</f>
        <v/>
      </c>
      <c r="BW71" s="123">
        <f>IF(OR($C71="",$B$2="",$D$2=0),0,IF(BW$3&lt;0,0,N(INDEX('CURVA PREVISION'!$A$1:$KZ$3000,$C71,11+3*MIN(BW$3,$D$2-1)))))</f>
        <v/>
      </c>
    </row>
    <row r="72">
      <c r="A72" s="61">
        <f>IF('VALOR POR PL'!Q36="",'VALOR POR PL'!C36,'VALOR POR PL'!Q36)</f>
        <v/>
      </c>
      <c r="B72" s="51">
        <f>B30</f>
        <v/>
      </c>
      <c r="C72" s="70">
        <f>IFERROR(MATCH(A72,'CURVA PREVISION'!$B$1:$B$3000,0),"")</f>
        <v/>
      </c>
      <c r="D72" s="123">
        <f>IF(OR($C72="",$B$2="",$D$2=0),0,IF(D$3&lt;0,0,N(INDEX('CURVA PREVISION'!$A$1:$KZ$3000,$C72,11+3*MIN(D$3,$D$2-1)))))</f>
        <v/>
      </c>
      <c r="E72" s="123">
        <f>IF(OR($C72="",$B$2="",$D$2=0),0,IF(E$3&lt;0,0,N(INDEX('CURVA PREVISION'!$A$1:$KZ$3000,$C72,11+3*MIN(E$3,$D$2-1)))))</f>
        <v/>
      </c>
      <c r="F72" s="123">
        <f>IF(OR($C72="",$B$2="",$D$2=0),0,IF(F$3&lt;0,0,N(INDEX('CURVA PREVISION'!$A$1:$KZ$3000,$C72,11+3*MIN(F$3,$D$2-1)))))</f>
        <v/>
      </c>
      <c r="G72" s="123">
        <f>IF(OR($C72="",$B$2="",$D$2=0),0,IF(G$3&lt;0,0,N(INDEX('CURVA PREVISION'!$A$1:$KZ$3000,$C72,11+3*MIN(G$3,$D$2-1)))))</f>
        <v/>
      </c>
      <c r="H72" s="123">
        <f>IF(OR($C72="",$B$2="",$D$2=0),0,IF(H$3&lt;0,0,N(INDEX('CURVA PREVISION'!$A$1:$KZ$3000,$C72,11+3*MIN(H$3,$D$2-1)))))</f>
        <v/>
      </c>
      <c r="I72" s="123">
        <f>IF(OR($C72="",$B$2="",$D$2=0),0,IF(I$3&lt;0,0,N(INDEX('CURVA PREVISION'!$A$1:$KZ$3000,$C72,11+3*MIN(I$3,$D$2-1)))))</f>
        <v/>
      </c>
      <c r="J72" s="123">
        <f>IF(OR($C72="",$B$2="",$D$2=0),0,IF(J$3&lt;0,0,N(INDEX('CURVA PREVISION'!$A$1:$KZ$3000,$C72,11+3*MIN(J$3,$D$2-1)))))</f>
        <v/>
      </c>
      <c r="K72" s="123">
        <f>IF(OR($C72="",$B$2="",$D$2=0),0,IF(K$3&lt;0,0,N(INDEX('CURVA PREVISION'!$A$1:$KZ$3000,$C72,11+3*MIN(K$3,$D$2-1)))))</f>
        <v/>
      </c>
      <c r="L72" s="123">
        <f>IF(OR($C72="",$B$2="",$D$2=0),0,IF(L$3&lt;0,0,N(INDEX('CURVA PREVISION'!$A$1:$KZ$3000,$C72,11+3*MIN(L$3,$D$2-1)))))</f>
        <v/>
      </c>
      <c r="M72" s="123">
        <f>IF(OR($C72="",$B$2="",$D$2=0),0,IF(M$3&lt;0,0,N(INDEX('CURVA PREVISION'!$A$1:$KZ$3000,$C72,11+3*MIN(M$3,$D$2-1)))))</f>
        <v/>
      </c>
      <c r="N72" s="123">
        <f>IF(OR($C72="",$B$2="",$D$2=0),0,IF(N$3&lt;0,0,N(INDEX('CURVA PREVISION'!$A$1:$KZ$3000,$C72,11+3*MIN(N$3,$D$2-1)))))</f>
        <v/>
      </c>
      <c r="O72" s="123">
        <f>IF(OR($C72="",$B$2="",$D$2=0),0,IF(O$3&lt;0,0,N(INDEX('CURVA PREVISION'!$A$1:$KZ$3000,$C72,11+3*MIN(O$3,$D$2-1)))))</f>
        <v/>
      </c>
      <c r="P72" s="123">
        <f>IF(OR($C72="",$B$2="",$D$2=0),0,IF(P$3&lt;0,0,N(INDEX('CURVA PREVISION'!$A$1:$KZ$3000,$C72,11+3*MIN(P$3,$D$2-1)))))</f>
        <v/>
      </c>
      <c r="Q72" s="123">
        <f>IF(OR($C72="",$B$2="",$D$2=0),0,IF(Q$3&lt;0,0,N(INDEX('CURVA PREVISION'!$A$1:$KZ$3000,$C72,11+3*MIN(Q$3,$D$2-1)))))</f>
        <v/>
      </c>
      <c r="R72" s="123">
        <f>IF(OR($C72="",$B$2="",$D$2=0),0,IF(R$3&lt;0,0,N(INDEX('CURVA PREVISION'!$A$1:$KZ$3000,$C72,11+3*MIN(R$3,$D$2-1)))))</f>
        <v/>
      </c>
      <c r="S72" s="123">
        <f>IF(OR($C72="",$B$2="",$D$2=0),0,IF(S$3&lt;0,0,N(INDEX('CURVA PREVISION'!$A$1:$KZ$3000,$C72,11+3*MIN(S$3,$D$2-1)))))</f>
        <v/>
      </c>
      <c r="T72" s="123">
        <f>IF(OR($C72="",$B$2="",$D$2=0),0,IF(T$3&lt;0,0,N(INDEX('CURVA PREVISION'!$A$1:$KZ$3000,$C72,11+3*MIN(T$3,$D$2-1)))))</f>
        <v/>
      </c>
      <c r="U72" s="123">
        <f>IF(OR($C72="",$B$2="",$D$2=0),0,IF(U$3&lt;0,0,N(INDEX('CURVA PREVISION'!$A$1:$KZ$3000,$C72,11+3*MIN(U$3,$D$2-1)))))</f>
        <v/>
      </c>
      <c r="V72" s="123">
        <f>IF(OR($C72="",$B$2="",$D$2=0),0,IF(V$3&lt;0,0,N(INDEX('CURVA PREVISION'!$A$1:$KZ$3000,$C72,11+3*MIN(V$3,$D$2-1)))))</f>
        <v/>
      </c>
      <c r="W72" s="123">
        <f>IF(OR($C72="",$B$2="",$D$2=0),0,IF(W$3&lt;0,0,N(INDEX('CURVA PREVISION'!$A$1:$KZ$3000,$C72,11+3*MIN(W$3,$D$2-1)))))</f>
        <v/>
      </c>
      <c r="X72" s="123">
        <f>IF(OR($C72="",$B$2="",$D$2=0),0,IF(X$3&lt;0,0,N(INDEX('CURVA PREVISION'!$A$1:$KZ$3000,$C72,11+3*MIN(X$3,$D$2-1)))))</f>
        <v/>
      </c>
      <c r="Y72" s="123">
        <f>IF(OR($C72="",$B$2="",$D$2=0),0,IF(Y$3&lt;0,0,N(INDEX('CURVA PREVISION'!$A$1:$KZ$3000,$C72,11+3*MIN(Y$3,$D$2-1)))))</f>
        <v/>
      </c>
      <c r="Z72" s="123">
        <f>IF(OR($C72="",$B$2="",$D$2=0),0,IF(Z$3&lt;0,0,N(INDEX('CURVA PREVISION'!$A$1:$KZ$3000,$C72,11+3*MIN(Z$3,$D$2-1)))))</f>
        <v/>
      </c>
      <c r="AA72" s="123">
        <f>IF(OR($C72="",$B$2="",$D$2=0),0,IF(AA$3&lt;0,0,N(INDEX('CURVA PREVISION'!$A$1:$KZ$3000,$C72,11+3*MIN(AA$3,$D$2-1)))))</f>
        <v/>
      </c>
      <c r="AB72" s="123">
        <f>IF(OR($C72="",$B$2="",$D$2=0),0,IF(AB$3&lt;0,0,N(INDEX('CURVA PREVISION'!$A$1:$KZ$3000,$C72,11+3*MIN(AB$3,$D$2-1)))))</f>
        <v/>
      </c>
      <c r="AC72" s="123">
        <f>IF(OR($C72="",$B$2="",$D$2=0),0,IF(AC$3&lt;0,0,N(INDEX('CURVA PREVISION'!$A$1:$KZ$3000,$C72,11+3*MIN(AC$3,$D$2-1)))))</f>
        <v/>
      </c>
      <c r="AD72" s="123">
        <f>IF(OR($C72="",$B$2="",$D$2=0),0,IF(AD$3&lt;0,0,N(INDEX('CURVA PREVISION'!$A$1:$KZ$3000,$C72,11+3*MIN(AD$3,$D$2-1)))))</f>
        <v/>
      </c>
      <c r="AE72" s="123">
        <f>IF(OR($C72="",$B$2="",$D$2=0),0,IF(AE$3&lt;0,0,N(INDEX('CURVA PREVISION'!$A$1:$KZ$3000,$C72,11+3*MIN(AE$3,$D$2-1)))))</f>
        <v/>
      </c>
      <c r="AF72" s="123">
        <f>IF(OR($C72="",$B$2="",$D$2=0),0,IF(AF$3&lt;0,0,N(INDEX('CURVA PREVISION'!$A$1:$KZ$3000,$C72,11+3*MIN(AF$3,$D$2-1)))))</f>
        <v/>
      </c>
      <c r="AG72" s="123">
        <f>IF(OR($C72="",$B$2="",$D$2=0),0,IF(AG$3&lt;0,0,N(INDEX('CURVA PREVISION'!$A$1:$KZ$3000,$C72,11+3*MIN(AG$3,$D$2-1)))))</f>
        <v/>
      </c>
      <c r="AH72" s="123">
        <f>IF(OR($C72="",$B$2="",$D$2=0),0,IF(AH$3&lt;0,0,N(INDEX('CURVA PREVISION'!$A$1:$KZ$3000,$C72,11+3*MIN(AH$3,$D$2-1)))))</f>
        <v/>
      </c>
      <c r="AI72" s="123">
        <f>IF(OR($C72="",$B$2="",$D$2=0),0,IF(AI$3&lt;0,0,N(INDEX('CURVA PREVISION'!$A$1:$KZ$3000,$C72,11+3*MIN(AI$3,$D$2-1)))))</f>
        <v/>
      </c>
      <c r="AJ72" s="123">
        <f>IF(OR($C72="",$B$2="",$D$2=0),0,IF(AJ$3&lt;0,0,N(INDEX('CURVA PREVISION'!$A$1:$KZ$3000,$C72,11+3*MIN(AJ$3,$D$2-1)))))</f>
        <v/>
      </c>
      <c r="AK72" s="123">
        <f>IF(OR($C72="",$B$2="",$D$2=0),0,IF(AK$3&lt;0,0,N(INDEX('CURVA PREVISION'!$A$1:$KZ$3000,$C72,11+3*MIN(AK$3,$D$2-1)))))</f>
        <v/>
      </c>
      <c r="AL72" s="123">
        <f>IF(OR($C72="",$B$2="",$D$2=0),0,IF(AL$3&lt;0,0,N(INDEX('CURVA PREVISION'!$A$1:$KZ$3000,$C72,11+3*MIN(AL$3,$D$2-1)))))</f>
        <v/>
      </c>
      <c r="AM72" s="123">
        <f>IF(OR($C72="",$B$2="",$D$2=0),0,IF(AM$3&lt;0,0,N(INDEX('CURVA PREVISION'!$A$1:$KZ$3000,$C72,11+3*MIN(AM$3,$D$2-1)))))</f>
        <v/>
      </c>
      <c r="AN72" s="123">
        <f>IF(OR($C72="",$B$2="",$D$2=0),0,IF(AN$3&lt;0,0,N(INDEX('CURVA PREVISION'!$A$1:$KZ$3000,$C72,11+3*MIN(AN$3,$D$2-1)))))</f>
        <v/>
      </c>
      <c r="AO72" s="123">
        <f>IF(OR($C72="",$B$2="",$D$2=0),0,IF(AO$3&lt;0,0,N(INDEX('CURVA PREVISION'!$A$1:$KZ$3000,$C72,11+3*MIN(AO$3,$D$2-1)))))</f>
        <v/>
      </c>
      <c r="AP72" s="123">
        <f>IF(OR($C72="",$B$2="",$D$2=0),0,IF(AP$3&lt;0,0,N(INDEX('CURVA PREVISION'!$A$1:$KZ$3000,$C72,11+3*MIN(AP$3,$D$2-1)))))</f>
        <v/>
      </c>
      <c r="AQ72" s="123">
        <f>IF(OR($C72="",$B$2="",$D$2=0),0,IF(AQ$3&lt;0,0,N(INDEX('CURVA PREVISION'!$A$1:$KZ$3000,$C72,11+3*MIN(AQ$3,$D$2-1)))))</f>
        <v/>
      </c>
      <c r="AR72" s="123">
        <f>IF(OR($C72="",$B$2="",$D$2=0),0,IF(AR$3&lt;0,0,N(INDEX('CURVA PREVISION'!$A$1:$KZ$3000,$C72,11+3*MIN(AR$3,$D$2-1)))))</f>
        <v/>
      </c>
      <c r="AS72" s="123">
        <f>IF(OR($C72="",$B$2="",$D$2=0),0,IF(AS$3&lt;0,0,N(INDEX('CURVA PREVISION'!$A$1:$KZ$3000,$C72,11+3*MIN(AS$3,$D$2-1)))))</f>
        <v/>
      </c>
      <c r="AT72" s="123">
        <f>IF(OR($C72="",$B$2="",$D$2=0),0,IF(AT$3&lt;0,0,N(INDEX('CURVA PREVISION'!$A$1:$KZ$3000,$C72,11+3*MIN(AT$3,$D$2-1)))))</f>
        <v/>
      </c>
      <c r="AU72" s="123">
        <f>IF(OR($C72="",$B$2="",$D$2=0),0,IF(AU$3&lt;0,0,N(INDEX('CURVA PREVISION'!$A$1:$KZ$3000,$C72,11+3*MIN(AU$3,$D$2-1)))))</f>
        <v/>
      </c>
      <c r="AV72" s="123">
        <f>IF(OR($C72="",$B$2="",$D$2=0),0,IF(AV$3&lt;0,0,N(INDEX('CURVA PREVISION'!$A$1:$KZ$3000,$C72,11+3*MIN(AV$3,$D$2-1)))))</f>
        <v/>
      </c>
      <c r="AW72" s="123">
        <f>IF(OR($C72="",$B$2="",$D$2=0),0,IF(AW$3&lt;0,0,N(INDEX('CURVA PREVISION'!$A$1:$KZ$3000,$C72,11+3*MIN(AW$3,$D$2-1)))))</f>
        <v/>
      </c>
      <c r="AX72" s="123">
        <f>IF(OR($C72="",$B$2="",$D$2=0),0,IF(AX$3&lt;0,0,N(INDEX('CURVA PREVISION'!$A$1:$KZ$3000,$C72,11+3*MIN(AX$3,$D$2-1)))))</f>
        <v/>
      </c>
      <c r="AY72" s="123">
        <f>IF(OR($C72="",$B$2="",$D$2=0),0,IF(AY$3&lt;0,0,N(INDEX('CURVA PREVISION'!$A$1:$KZ$3000,$C72,11+3*MIN(AY$3,$D$2-1)))))</f>
        <v/>
      </c>
      <c r="AZ72" s="123">
        <f>IF(OR($C72="",$B$2="",$D$2=0),0,IF(AZ$3&lt;0,0,N(INDEX('CURVA PREVISION'!$A$1:$KZ$3000,$C72,11+3*MIN(AZ$3,$D$2-1)))))</f>
        <v/>
      </c>
      <c r="BA72" s="123">
        <f>IF(OR($C72="",$B$2="",$D$2=0),0,IF(BA$3&lt;0,0,N(INDEX('CURVA PREVISION'!$A$1:$KZ$3000,$C72,11+3*MIN(BA$3,$D$2-1)))))</f>
        <v/>
      </c>
      <c r="BB72" s="123">
        <f>IF(OR($C72="",$B$2="",$D$2=0),0,IF(BB$3&lt;0,0,N(INDEX('CURVA PREVISION'!$A$1:$KZ$3000,$C72,11+3*MIN(BB$3,$D$2-1)))))</f>
        <v/>
      </c>
      <c r="BC72" s="123">
        <f>IF(OR($C72="",$B$2="",$D$2=0),0,IF(BC$3&lt;0,0,N(INDEX('CURVA PREVISION'!$A$1:$KZ$3000,$C72,11+3*MIN(BC$3,$D$2-1)))))</f>
        <v/>
      </c>
      <c r="BD72" s="123">
        <f>IF(OR($C72="",$B$2="",$D$2=0),0,IF(BD$3&lt;0,0,N(INDEX('CURVA PREVISION'!$A$1:$KZ$3000,$C72,11+3*MIN(BD$3,$D$2-1)))))</f>
        <v/>
      </c>
      <c r="BE72" s="123">
        <f>IF(OR($C72="",$B$2="",$D$2=0),0,IF(BE$3&lt;0,0,N(INDEX('CURVA PREVISION'!$A$1:$KZ$3000,$C72,11+3*MIN(BE$3,$D$2-1)))))</f>
        <v/>
      </c>
      <c r="BF72" s="123">
        <f>IF(OR($C72="",$B$2="",$D$2=0),0,IF(BF$3&lt;0,0,N(INDEX('CURVA PREVISION'!$A$1:$KZ$3000,$C72,11+3*MIN(BF$3,$D$2-1)))))</f>
        <v/>
      </c>
      <c r="BG72" s="123">
        <f>IF(OR($C72="",$B$2="",$D$2=0),0,IF(BG$3&lt;0,0,N(INDEX('CURVA PREVISION'!$A$1:$KZ$3000,$C72,11+3*MIN(BG$3,$D$2-1)))))</f>
        <v/>
      </c>
      <c r="BH72" s="123">
        <f>IF(OR($C72="",$B$2="",$D$2=0),0,IF(BH$3&lt;0,0,N(INDEX('CURVA PREVISION'!$A$1:$KZ$3000,$C72,11+3*MIN(BH$3,$D$2-1)))))</f>
        <v/>
      </c>
      <c r="BI72" s="123">
        <f>IF(OR($C72="",$B$2="",$D$2=0),0,IF(BI$3&lt;0,0,N(INDEX('CURVA PREVISION'!$A$1:$KZ$3000,$C72,11+3*MIN(BI$3,$D$2-1)))))</f>
        <v/>
      </c>
      <c r="BJ72" s="123">
        <f>IF(OR($C72="",$B$2="",$D$2=0),0,IF(BJ$3&lt;0,0,N(INDEX('CURVA PREVISION'!$A$1:$KZ$3000,$C72,11+3*MIN(BJ$3,$D$2-1)))))</f>
        <v/>
      </c>
      <c r="BK72" s="123">
        <f>IF(OR($C72="",$B$2="",$D$2=0),0,IF(BK$3&lt;0,0,N(INDEX('CURVA PREVISION'!$A$1:$KZ$3000,$C72,11+3*MIN(BK$3,$D$2-1)))))</f>
        <v/>
      </c>
      <c r="BL72" s="123">
        <f>IF(OR($C72="",$B$2="",$D$2=0),0,IF(BL$3&lt;0,0,N(INDEX('CURVA PREVISION'!$A$1:$KZ$3000,$C72,11+3*MIN(BL$3,$D$2-1)))))</f>
        <v/>
      </c>
      <c r="BM72" s="123">
        <f>IF(OR($C72="",$B$2="",$D$2=0),0,IF(BM$3&lt;0,0,N(INDEX('CURVA PREVISION'!$A$1:$KZ$3000,$C72,11+3*MIN(BM$3,$D$2-1)))))</f>
        <v/>
      </c>
      <c r="BN72" s="123">
        <f>IF(OR($C72="",$B$2="",$D$2=0),0,IF(BN$3&lt;0,0,N(INDEX('CURVA PREVISION'!$A$1:$KZ$3000,$C72,11+3*MIN(BN$3,$D$2-1)))))</f>
        <v/>
      </c>
      <c r="BO72" s="123">
        <f>IF(OR($C72="",$B$2="",$D$2=0),0,IF(BO$3&lt;0,0,N(INDEX('CURVA PREVISION'!$A$1:$KZ$3000,$C72,11+3*MIN(BO$3,$D$2-1)))))</f>
        <v/>
      </c>
      <c r="BP72" s="123">
        <f>IF(OR($C72="",$B$2="",$D$2=0),0,IF(BP$3&lt;0,0,N(INDEX('CURVA PREVISION'!$A$1:$KZ$3000,$C72,11+3*MIN(BP$3,$D$2-1)))))</f>
        <v/>
      </c>
      <c r="BQ72" s="123">
        <f>IF(OR($C72="",$B$2="",$D$2=0),0,IF(BQ$3&lt;0,0,N(INDEX('CURVA PREVISION'!$A$1:$KZ$3000,$C72,11+3*MIN(BQ$3,$D$2-1)))))</f>
        <v/>
      </c>
      <c r="BR72" s="123">
        <f>IF(OR($C72="",$B$2="",$D$2=0),0,IF(BR$3&lt;0,0,N(INDEX('CURVA PREVISION'!$A$1:$KZ$3000,$C72,11+3*MIN(BR$3,$D$2-1)))))</f>
        <v/>
      </c>
      <c r="BS72" s="123">
        <f>IF(OR($C72="",$B$2="",$D$2=0),0,IF(BS$3&lt;0,0,N(INDEX('CURVA PREVISION'!$A$1:$KZ$3000,$C72,11+3*MIN(BS$3,$D$2-1)))))</f>
        <v/>
      </c>
      <c r="BT72" s="123">
        <f>IF(OR($C72="",$B$2="",$D$2=0),0,IF(BT$3&lt;0,0,N(INDEX('CURVA PREVISION'!$A$1:$KZ$3000,$C72,11+3*MIN(BT$3,$D$2-1)))))</f>
        <v/>
      </c>
      <c r="BU72" s="123">
        <f>IF(OR($C72="",$B$2="",$D$2=0),0,IF(BU$3&lt;0,0,N(INDEX('CURVA PREVISION'!$A$1:$KZ$3000,$C72,11+3*MIN(BU$3,$D$2-1)))))</f>
        <v/>
      </c>
      <c r="BV72" s="123">
        <f>IF(OR($C72="",$B$2="",$D$2=0),0,IF(BV$3&lt;0,0,N(INDEX('CURVA PREVISION'!$A$1:$KZ$3000,$C72,11+3*MIN(BV$3,$D$2-1)))))</f>
        <v/>
      </c>
      <c r="BW72" s="123">
        <f>IF(OR($C72="",$B$2="",$D$2=0),0,IF(BW$3&lt;0,0,N(INDEX('CURVA PREVISION'!$A$1:$KZ$3000,$C72,11+3*MIN(BW$3,$D$2-1)))))</f>
        <v/>
      </c>
    </row>
    <row r="73">
      <c r="A73" s="61">
        <f>IF('VALOR POR PL'!Q37="",'VALOR POR PL'!C37,'VALOR POR PL'!Q37)</f>
        <v/>
      </c>
      <c r="B73" s="51">
        <f>B31</f>
        <v/>
      </c>
      <c r="C73" s="70">
        <f>IFERROR(MATCH(A73,'CURVA PREVISION'!$B$1:$B$3000,0),"")</f>
        <v/>
      </c>
      <c r="D73" s="123">
        <f>IF(OR($C73="",$B$2="",$D$2=0),0,IF(D$3&lt;0,0,N(INDEX('CURVA PREVISION'!$A$1:$KZ$3000,$C73,11+3*MIN(D$3,$D$2-1)))))</f>
        <v/>
      </c>
      <c r="E73" s="123">
        <f>IF(OR($C73="",$B$2="",$D$2=0),0,IF(E$3&lt;0,0,N(INDEX('CURVA PREVISION'!$A$1:$KZ$3000,$C73,11+3*MIN(E$3,$D$2-1)))))</f>
        <v/>
      </c>
      <c r="F73" s="123">
        <f>IF(OR($C73="",$B$2="",$D$2=0),0,IF(F$3&lt;0,0,N(INDEX('CURVA PREVISION'!$A$1:$KZ$3000,$C73,11+3*MIN(F$3,$D$2-1)))))</f>
        <v/>
      </c>
      <c r="G73" s="123">
        <f>IF(OR($C73="",$B$2="",$D$2=0),0,IF(G$3&lt;0,0,N(INDEX('CURVA PREVISION'!$A$1:$KZ$3000,$C73,11+3*MIN(G$3,$D$2-1)))))</f>
        <v/>
      </c>
      <c r="H73" s="123">
        <f>IF(OR($C73="",$B$2="",$D$2=0),0,IF(H$3&lt;0,0,N(INDEX('CURVA PREVISION'!$A$1:$KZ$3000,$C73,11+3*MIN(H$3,$D$2-1)))))</f>
        <v/>
      </c>
      <c r="I73" s="123">
        <f>IF(OR($C73="",$B$2="",$D$2=0),0,IF(I$3&lt;0,0,N(INDEX('CURVA PREVISION'!$A$1:$KZ$3000,$C73,11+3*MIN(I$3,$D$2-1)))))</f>
        <v/>
      </c>
      <c r="J73" s="123">
        <f>IF(OR($C73="",$B$2="",$D$2=0),0,IF(J$3&lt;0,0,N(INDEX('CURVA PREVISION'!$A$1:$KZ$3000,$C73,11+3*MIN(J$3,$D$2-1)))))</f>
        <v/>
      </c>
      <c r="K73" s="123">
        <f>IF(OR($C73="",$B$2="",$D$2=0),0,IF(K$3&lt;0,0,N(INDEX('CURVA PREVISION'!$A$1:$KZ$3000,$C73,11+3*MIN(K$3,$D$2-1)))))</f>
        <v/>
      </c>
      <c r="L73" s="123">
        <f>IF(OR($C73="",$B$2="",$D$2=0),0,IF(L$3&lt;0,0,N(INDEX('CURVA PREVISION'!$A$1:$KZ$3000,$C73,11+3*MIN(L$3,$D$2-1)))))</f>
        <v/>
      </c>
      <c r="M73" s="123">
        <f>IF(OR($C73="",$B$2="",$D$2=0),0,IF(M$3&lt;0,0,N(INDEX('CURVA PREVISION'!$A$1:$KZ$3000,$C73,11+3*MIN(M$3,$D$2-1)))))</f>
        <v/>
      </c>
      <c r="N73" s="123">
        <f>IF(OR($C73="",$B$2="",$D$2=0),0,IF(N$3&lt;0,0,N(INDEX('CURVA PREVISION'!$A$1:$KZ$3000,$C73,11+3*MIN(N$3,$D$2-1)))))</f>
        <v/>
      </c>
      <c r="O73" s="123">
        <f>IF(OR($C73="",$B$2="",$D$2=0),0,IF(O$3&lt;0,0,N(INDEX('CURVA PREVISION'!$A$1:$KZ$3000,$C73,11+3*MIN(O$3,$D$2-1)))))</f>
        <v/>
      </c>
      <c r="P73" s="123">
        <f>IF(OR($C73="",$B$2="",$D$2=0),0,IF(P$3&lt;0,0,N(INDEX('CURVA PREVISION'!$A$1:$KZ$3000,$C73,11+3*MIN(P$3,$D$2-1)))))</f>
        <v/>
      </c>
      <c r="Q73" s="123">
        <f>IF(OR($C73="",$B$2="",$D$2=0),0,IF(Q$3&lt;0,0,N(INDEX('CURVA PREVISION'!$A$1:$KZ$3000,$C73,11+3*MIN(Q$3,$D$2-1)))))</f>
        <v/>
      </c>
      <c r="R73" s="123">
        <f>IF(OR($C73="",$B$2="",$D$2=0),0,IF(R$3&lt;0,0,N(INDEX('CURVA PREVISION'!$A$1:$KZ$3000,$C73,11+3*MIN(R$3,$D$2-1)))))</f>
        <v/>
      </c>
      <c r="S73" s="123">
        <f>IF(OR($C73="",$B$2="",$D$2=0),0,IF(S$3&lt;0,0,N(INDEX('CURVA PREVISION'!$A$1:$KZ$3000,$C73,11+3*MIN(S$3,$D$2-1)))))</f>
        <v/>
      </c>
      <c r="T73" s="123">
        <f>IF(OR($C73="",$B$2="",$D$2=0),0,IF(T$3&lt;0,0,N(INDEX('CURVA PREVISION'!$A$1:$KZ$3000,$C73,11+3*MIN(T$3,$D$2-1)))))</f>
        <v/>
      </c>
      <c r="U73" s="123">
        <f>IF(OR($C73="",$B$2="",$D$2=0),0,IF(U$3&lt;0,0,N(INDEX('CURVA PREVISION'!$A$1:$KZ$3000,$C73,11+3*MIN(U$3,$D$2-1)))))</f>
        <v/>
      </c>
      <c r="V73" s="123">
        <f>IF(OR($C73="",$B$2="",$D$2=0),0,IF(V$3&lt;0,0,N(INDEX('CURVA PREVISION'!$A$1:$KZ$3000,$C73,11+3*MIN(V$3,$D$2-1)))))</f>
        <v/>
      </c>
      <c r="W73" s="123">
        <f>IF(OR($C73="",$B$2="",$D$2=0),0,IF(W$3&lt;0,0,N(INDEX('CURVA PREVISION'!$A$1:$KZ$3000,$C73,11+3*MIN(W$3,$D$2-1)))))</f>
        <v/>
      </c>
      <c r="X73" s="123">
        <f>IF(OR($C73="",$B$2="",$D$2=0),0,IF(X$3&lt;0,0,N(INDEX('CURVA PREVISION'!$A$1:$KZ$3000,$C73,11+3*MIN(X$3,$D$2-1)))))</f>
        <v/>
      </c>
      <c r="Y73" s="123">
        <f>IF(OR($C73="",$B$2="",$D$2=0),0,IF(Y$3&lt;0,0,N(INDEX('CURVA PREVISION'!$A$1:$KZ$3000,$C73,11+3*MIN(Y$3,$D$2-1)))))</f>
        <v/>
      </c>
      <c r="Z73" s="123">
        <f>IF(OR($C73="",$B$2="",$D$2=0),0,IF(Z$3&lt;0,0,N(INDEX('CURVA PREVISION'!$A$1:$KZ$3000,$C73,11+3*MIN(Z$3,$D$2-1)))))</f>
        <v/>
      </c>
      <c r="AA73" s="123">
        <f>IF(OR($C73="",$B$2="",$D$2=0),0,IF(AA$3&lt;0,0,N(INDEX('CURVA PREVISION'!$A$1:$KZ$3000,$C73,11+3*MIN(AA$3,$D$2-1)))))</f>
        <v/>
      </c>
      <c r="AB73" s="123">
        <f>IF(OR($C73="",$B$2="",$D$2=0),0,IF(AB$3&lt;0,0,N(INDEX('CURVA PREVISION'!$A$1:$KZ$3000,$C73,11+3*MIN(AB$3,$D$2-1)))))</f>
        <v/>
      </c>
      <c r="AC73" s="123">
        <f>IF(OR($C73="",$B$2="",$D$2=0),0,IF(AC$3&lt;0,0,N(INDEX('CURVA PREVISION'!$A$1:$KZ$3000,$C73,11+3*MIN(AC$3,$D$2-1)))))</f>
        <v/>
      </c>
      <c r="AD73" s="123">
        <f>IF(OR($C73="",$B$2="",$D$2=0),0,IF(AD$3&lt;0,0,N(INDEX('CURVA PREVISION'!$A$1:$KZ$3000,$C73,11+3*MIN(AD$3,$D$2-1)))))</f>
        <v/>
      </c>
      <c r="AE73" s="123">
        <f>IF(OR($C73="",$B$2="",$D$2=0),0,IF(AE$3&lt;0,0,N(INDEX('CURVA PREVISION'!$A$1:$KZ$3000,$C73,11+3*MIN(AE$3,$D$2-1)))))</f>
        <v/>
      </c>
      <c r="AF73" s="123">
        <f>IF(OR($C73="",$B$2="",$D$2=0),0,IF(AF$3&lt;0,0,N(INDEX('CURVA PREVISION'!$A$1:$KZ$3000,$C73,11+3*MIN(AF$3,$D$2-1)))))</f>
        <v/>
      </c>
      <c r="AG73" s="123">
        <f>IF(OR($C73="",$B$2="",$D$2=0),0,IF(AG$3&lt;0,0,N(INDEX('CURVA PREVISION'!$A$1:$KZ$3000,$C73,11+3*MIN(AG$3,$D$2-1)))))</f>
        <v/>
      </c>
      <c r="AH73" s="123">
        <f>IF(OR($C73="",$B$2="",$D$2=0),0,IF(AH$3&lt;0,0,N(INDEX('CURVA PREVISION'!$A$1:$KZ$3000,$C73,11+3*MIN(AH$3,$D$2-1)))))</f>
        <v/>
      </c>
      <c r="AI73" s="123">
        <f>IF(OR($C73="",$B$2="",$D$2=0),0,IF(AI$3&lt;0,0,N(INDEX('CURVA PREVISION'!$A$1:$KZ$3000,$C73,11+3*MIN(AI$3,$D$2-1)))))</f>
        <v/>
      </c>
      <c r="AJ73" s="123">
        <f>IF(OR($C73="",$B$2="",$D$2=0),0,IF(AJ$3&lt;0,0,N(INDEX('CURVA PREVISION'!$A$1:$KZ$3000,$C73,11+3*MIN(AJ$3,$D$2-1)))))</f>
        <v/>
      </c>
      <c r="AK73" s="123">
        <f>IF(OR($C73="",$B$2="",$D$2=0),0,IF(AK$3&lt;0,0,N(INDEX('CURVA PREVISION'!$A$1:$KZ$3000,$C73,11+3*MIN(AK$3,$D$2-1)))))</f>
        <v/>
      </c>
      <c r="AL73" s="123">
        <f>IF(OR($C73="",$B$2="",$D$2=0),0,IF(AL$3&lt;0,0,N(INDEX('CURVA PREVISION'!$A$1:$KZ$3000,$C73,11+3*MIN(AL$3,$D$2-1)))))</f>
        <v/>
      </c>
      <c r="AM73" s="123">
        <f>IF(OR($C73="",$B$2="",$D$2=0),0,IF(AM$3&lt;0,0,N(INDEX('CURVA PREVISION'!$A$1:$KZ$3000,$C73,11+3*MIN(AM$3,$D$2-1)))))</f>
        <v/>
      </c>
      <c r="AN73" s="123">
        <f>IF(OR($C73="",$B$2="",$D$2=0),0,IF(AN$3&lt;0,0,N(INDEX('CURVA PREVISION'!$A$1:$KZ$3000,$C73,11+3*MIN(AN$3,$D$2-1)))))</f>
        <v/>
      </c>
      <c r="AO73" s="123">
        <f>IF(OR($C73="",$B$2="",$D$2=0),0,IF(AO$3&lt;0,0,N(INDEX('CURVA PREVISION'!$A$1:$KZ$3000,$C73,11+3*MIN(AO$3,$D$2-1)))))</f>
        <v/>
      </c>
      <c r="AP73" s="123">
        <f>IF(OR($C73="",$B$2="",$D$2=0),0,IF(AP$3&lt;0,0,N(INDEX('CURVA PREVISION'!$A$1:$KZ$3000,$C73,11+3*MIN(AP$3,$D$2-1)))))</f>
        <v/>
      </c>
      <c r="AQ73" s="123">
        <f>IF(OR($C73="",$B$2="",$D$2=0),0,IF(AQ$3&lt;0,0,N(INDEX('CURVA PREVISION'!$A$1:$KZ$3000,$C73,11+3*MIN(AQ$3,$D$2-1)))))</f>
        <v/>
      </c>
      <c r="AR73" s="123">
        <f>IF(OR($C73="",$B$2="",$D$2=0),0,IF(AR$3&lt;0,0,N(INDEX('CURVA PREVISION'!$A$1:$KZ$3000,$C73,11+3*MIN(AR$3,$D$2-1)))))</f>
        <v/>
      </c>
      <c r="AS73" s="123">
        <f>IF(OR($C73="",$B$2="",$D$2=0),0,IF(AS$3&lt;0,0,N(INDEX('CURVA PREVISION'!$A$1:$KZ$3000,$C73,11+3*MIN(AS$3,$D$2-1)))))</f>
        <v/>
      </c>
      <c r="AT73" s="123">
        <f>IF(OR($C73="",$B$2="",$D$2=0),0,IF(AT$3&lt;0,0,N(INDEX('CURVA PREVISION'!$A$1:$KZ$3000,$C73,11+3*MIN(AT$3,$D$2-1)))))</f>
        <v/>
      </c>
      <c r="AU73" s="123">
        <f>IF(OR($C73="",$B$2="",$D$2=0),0,IF(AU$3&lt;0,0,N(INDEX('CURVA PREVISION'!$A$1:$KZ$3000,$C73,11+3*MIN(AU$3,$D$2-1)))))</f>
        <v/>
      </c>
      <c r="AV73" s="123">
        <f>IF(OR($C73="",$B$2="",$D$2=0),0,IF(AV$3&lt;0,0,N(INDEX('CURVA PREVISION'!$A$1:$KZ$3000,$C73,11+3*MIN(AV$3,$D$2-1)))))</f>
        <v/>
      </c>
      <c r="AW73" s="123">
        <f>IF(OR($C73="",$B$2="",$D$2=0),0,IF(AW$3&lt;0,0,N(INDEX('CURVA PREVISION'!$A$1:$KZ$3000,$C73,11+3*MIN(AW$3,$D$2-1)))))</f>
        <v/>
      </c>
      <c r="AX73" s="123">
        <f>IF(OR($C73="",$B$2="",$D$2=0),0,IF(AX$3&lt;0,0,N(INDEX('CURVA PREVISION'!$A$1:$KZ$3000,$C73,11+3*MIN(AX$3,$D$2-1)))))</f>
        <v/>
      </c>
      <c r="AY73" s="123">
        <f>IF(OR($C73="",$B$2="",$D$2=0),0,IF(AY$3&lt;0,0,N(INDEX('CURVA PREVISION'!$A$1:$KZ$3000,$C73,11+3*MIN(AY$3,$D$2-1)))))</f>
        <v/>
      </c>
      <c r="AZ73" s="123">
        <f>IF(OR($C73="",$B$2="",$D$2=0),0,IF(AZ$3&lt;0,0,N(INDEX('CURVA PREVISION'!$A$1:$KZ$3000,$C73,11+3*MIN(AZ$3,$D$2-1)))))</f>
        <v/>
      </c>
      <c r="BA73" s="123">
        <f>IF(OR($C73="",$B$2="",$D$2=0),0,IF(BA$3&lt;0,0,N(INDEX('CURVA PREVISION'!$A$1:$KZ$3000,$C73,11+3*MIN(BA$3,$D$2-1)))))</f>
        <v/>
      </c>
      <c r="BB73" s="123">
        <f>IF(OR($C73="",$B$2="",$D$2=0),0,IF(BB$3&lt;0,0,N(INDEX('CURVA PREVISION'!$A$1:$KZ$3000,$C73,11+3*MIN(BB$3,$D$2-1)))))</f>
        <v/>
      </c>
      <c r="BC73" s="123">
        <f>IF(OR($C73="",$B$2="",$D$2=0),0,IF(BC$3&lt;0,0,N(INDEX('CURVA PREVISION'!$A$1:$KZ$3000,$C73,11+3*MIN(BC$3,$D$2-1)))))</f>
        <v/>
      </c>
      <c r="BD73" s="123">
        <f>IF(OR($C73="",$B$2="",$D$2=0),0,IF(BD$3&lt;0,0,N(INDEX('CURVA PREVISION'!$A$1:$KZ$3000,$C73,11+3*MIN(BD$3,$D$2-1)))))</f>
        <v/>
      </c>
      <c r="BE73" s="123">
        <f>IF(OR($C73="",$B$2="",$D$2=0),0,IF(BE$3&lt;0,0,N(INDEX('CURVA PREVISION'!$A$1:$KZ$3000,$C73,11+3*MIN(BE$3,$D$2-1)))))</f>
        <v/>
      </c>
      <c r="BF73" s="123">
        <f>IF(OR($C73="",$B$2="",$D$2=0),0,IF(BF$3&lt;0,0,N(INDEX('CURVA PREVISION'!$A$1:$KZ$3000,$C73,11+3*MIN(BF$3,$D$2-1)))))</f>
        <v/>
      </c>
      <c r="BG73" s="123">
        <f>IF(OR($C73="",$B$2="",$D$2=0),0,IF(BG$3&lt;0,0,N(INDEX('CURVA PREVISION'!$A$1:$KZ$3000,$C73,11+3*MIN(BG$3,$D$2-1)))))</f>
        <v/>
      </c>
      <c r="BH73" s="123">
        <f>IF(OR($C73="",$B$2="",$D$2=0),0,IF(BH$3&lt;0,0,N(INDEX('CURVA PREVISION'!$A$1:$KZ$3000,$C73,11+3*MIN(BH$3,$D$2-1)))))</f>
        <v/>
      </c>
      <c r="BI73" s="123">
        <f>IF(OR($C73="",$B$2="",$D$2=0),0,IF(BI$3&lt;0,0,N(INDEX('CURVA PREVISION'!$A$1:$KZ$3000,$C73,11+3*MIN(BI$3,$D$2-1)))))</f>
        <v/>
      </c>
      <c r="BJ73" s="123">
        <f>IF(OR($C73="",$B$2="",$D$2=0),0,IF(BJ$3&lt;0,0,N(INDEX('CURVA PREVISION'!$A$1:$KZ$3000,$C73,11+3*MIN(BJ$3,$D$2-1)))))</f>
        <v/>
      </c>
      <c r="BK73" s="123">
        <f>IF(OR($C73="",$B$2="",$D$2=0),0,IF(BK$3&lt;0,0,N(INDEX('CURVA PREVISION'!$A$1:$KZ$3000,$C73,11+3*MIN(BK$3,$D$2-1)))))</f>
        <v/>
      </c>
      <c r="BL73" s="123">
        <f>IF(OR($C73="",$B$2="",$D$2=0),0,IF(BL$3&lt;0,0,N(INDEX('CURVA PREVISION'!$A$1:$KZ$3000,$C73,11+3*MIN(BL$3,$D$2-1)))))</f>
        <v/>
      </c>
      <c r="BM73" s="123">
        <f>IF(OR($C73="",$B$2="",$D$2=0),0,IF(BM$3&lt;0,0,N(INDEX('CURVA PREVISION'!$A$1:$KZ$3000,$C73,11+3*MIN(BM$3,$D$2-1)))))</f>
        <v/>
      </c>
      <c r="BN73" s="123">
        <f>IF(OR($C73="",$B$2="",$D$2=0),0,IF(BN$3&lt;0,0,N(INDEX('CURVA PREVISION'!$A$1:$KZ$3000,$C73,11+3*MIN(BN$3,$D$2-1)))))</f>
        <v/>
      </c>
      <c r="BO73" s="123">
        <f>IF(OR($C73="",$B$2="",$D$2=0),0,IF(BO$3&lt;0,0,N(INDEX('CURVA PREVISION'!$A$1:$KZ$3000,$C73,11+3*MIN(BO$3,$D$2-1)))))</f>
        <v/>
      </c>
      <c r="BP73" s="123">
        <f>IF(OR($C73="",$B$2="",$D$2=0),0,IF(BP$3&lt;0,0,N(INDEX('CURVA PREVISION'!$A$1:$KZ$3000,$C73,11+3*MIN(BP$3,$D$2-1)))))</f>
        <v/>
      </c>
      <c r="BQ73" s="123">
        <f>IF(OR($C73="",$B$2="",$D$2=0),0,IF(BQ$3&lt;0,0,N(INDEX('CURVA PREVISION'!$A$1:$KZ$3000,$C73,11+3*MIN(BQ$3,$D$2-1)))))</f>
        <v/>
      </c>
      <c r="BR73" s="123">
        <f>IF(OR($C73="",$B$2="",$D$2=0),0,IF(BR$3&lt;0,0,N(INDEX('CURVA PREVISION'!$A$1:$KZ$3000,$C73,11+3*MIN(BR$3,$D$2-1)))))</f>
        <v/>
      </c>
      <c r="BS73" s="123">
        <f>IF(OR($C73="",$B$2="",$D$2=0),0,IF(BS$3&lt;0,0,N(INDEX('CURVA PREVISION'!$A$1:$KZ$3000,$C73,11+3*MIN(BS$3,$D$2-1)))))</f>
        <v/>
      </c>
      <c r="BT73" s="123">
        <f>IF(OR($C73="",$B$2="",$D$2=0),0,IF(BT$3&lt;0,0,N(INDEX('CURVA PREVISION'!$A$1:$KZ$3000,$C73,11+3*MIN(BT$3,$D$2-1)))))</f>
        <v/>
      </c>
      <c r="BU73" s="123">
        <f>IF(OR($C73="",$B$2="",$D$2=0),0,IF(BU$3&lt;0,0,N(INDEX('CURVA PREVISION'!$A$1:$KZ$3000,$C73,11+3*MIN(BU$3,$D$2-1)))))</f>
        <v/>
      </c>
      <c r="BV73" s="123">
        <f>IF(OR($C73="",$B$2="",$D$2=0),0,IF(BV$3&lt;0,0,N(INDEX('CURVA PREVISION'!$A$1:$KZ$3000,$C73,11+3*MIN(BV$3,$D$2-1)))))</f>
        <v/>
      </c>
      <c r="BW73" s="123">
        <f>IF(OR($C73="",$B$2="",$D$2=0),0,IF(BW$3&lt;0,0,N(INDEX('CURVA PREVISION'!$A$1:$KZ$3000,$C73,11+3*MIN(BW$3,$D$2-1)))))</f>
        <v/>
      </c>
    </row>
    <row r="74">
      <c r="A74" s="61">
        <f>IF('VALOR POR PL'!Q38="",'VALOR POR PL'!C38,'VALOR POR PL'!Q38)</f>
        <v/>
      </c>
      <c r="B74" s="51">
        <f>B32</f>
        <v/>
      </c>
      <c r="C74" s="70">
        <f>IFERROR(MATCH(A74,'CURVA PREVISION'!$B$1:$B$3000,0),"")</f>
        <v/>
      </c>
      <c r="D74" s="123">
        <f>IF(OR($C74="",$B$2="",$D$2=0),0,IF(D$3&lt;0,0,N(INDEX('CURVA PREVISION'!$A$1:$KZ$3000,$C74,11+3*MIN(D$3,$D$2-1)))))</f>
        <v/>
      </c>
      <c r="E74" s="123">
        <f>IF(OR($C74="",$B$2="",$D$2=0),0,IF(E$3&lt;0,0,N(INDEX('CURVA PREVISION'!$A$1:$KZ$3000,$C74,11+3*MIN(E$3,$D$2-1)))))</f>
        <v/>
      </c>
      <c r="F74" s="123">
        <f>IF(OR($C74="",$B$2="",$D$2=0),0,IF(F$3&lt;0,0,N(INDEX('CURVA PREVISION'!$A$1:$KZ$3000,$C74,11+3*MIN(F$3,$D$2-1)))))</f>
        <v/>
      </c>
      <c r="G74" s="123">
        <f>IF(OR($C74="",$B$2="",$D$2=0),0,IF(G$3&lt;0,0,N(INDEX('CURVA PREVISION'!$A$1:$KZ$3000,$C74,11+3*MIN(G$3,$D$2-1)))))</f>
        <v/>
      </c>
      <c r="H74" s="123">
        <f>IF(OR($C74="",$B$2="",$D$2=0),0,IF(H$3&lt;0,0,N(INDEX('CURVA PREVISION'!$A$1:$KZ$3000,$C74,11+3*MIN(H$3,$D$2-1)))))</f>
        <v/>
      </c>
      <c r="I74" s="123">
        <f>IF(OR($C74="",$B$2="",$D$2=0),0,IF(I$3&lt;0,0,N(INDEX('CURVA PREVISION'!$A$1:$KZ$3000,$C74,11+3*MIN(I$3,$D$2-1)))))</f>
        <v/>
      </c>
      <c r="J74" s="123">
        <f>IF(OR($C74="",$B$2="",$D$2=0),0,IF(J$3&lt;0,0,N(INDEX('CURVA PREVISION'!$A$1:$KZ$3000,$C74,11+3*MIN(J$3,$D$2-1)))))</f>
        <v/>
      </c>
      <c r="K74" s="123">
        <f>IF(OR($C74="",$B$2="",$D$2=0),0,IF(K$3&lt;0,0,N(INDEX('CURVA PREVISION'!$A$1:$KZ$3000,$C74,11+3*MIN(K$3,$D$2-1)))))</f>
        <v/>
      </c>
      <c r="L74" s="123">
        <f>IF(OR($C74="",$B$2="",$D$2=0),0,IF(L$3&lt;0,0,N(INDEX('CURVA PREVISION'!$A$1:$KZ$3000,$C74,11+3*MIN(L$3,$D$2-1)))))</f>
        <v/>
      </c>
      <c r="M74" s="123">
        <f>IF(OR($C74="",$B$2="",$D$2=0),0,IF(M$3&lt;0,0,N(INDEX('CURVA PREVISION'!$A$1:$KZ$3000,$C74,11+3*MIN(M$3,$D$2-1)))))</f>
        <v/>
      </c>
      <c r="N74" s="123">
        <f>IF(OR($C74="",$B$2="",$D$2=0),0,IF(N$3&lt;0,0,N(INDEX('CURVA PREVISION'!$A$1:$KZ$3000,$C74,11+3*MIN(N$3,$D$2-1)))))</f>
        <v/>
      </c>
      <c r="O74" s="123">
        <f>IF(OR($C74="",$B$2="",$D$2=0),0,IF(O$3&lt;0,0,N(INDEX('CURVA PREVISION'!$A$1:$KZ$3000,$C74,11+3*MIN(O$3,$D$2-1)))))</f>
        <v/>
      </c>
      <c r="P74" s="123">
        <f>IF(OR($C74="",$B$2="",$D$2=0),0,IF(P$3&lt;0,0,N(INDEX('CURVA PREVISION'!$A$1:$KZ$3000,$C74,11+3*MIN(P$3,$D$2-1)))))</f>
        <v/>
      </c>
      <c r="Q74" s="123">
        <f>IF(OR($C74="",$B$2="",$D$2=0),0,IF(Q$3&lt;0,0,N(INDEX('CURVA PREVISION'!$A$1:$KZ$3000,$C74,11+3*MIN(Q$3,$D$2-1)))))</f>
        <v/>
      </c>
      <c r="R74" s="123">
        <f>IF(OR($C74="",$B$2="",$D$2=0),0,IF(R$3&lt;0,0,N(INDEX('CURVA PREVISION'!$A$1:$KZ$3000,$C74,11+3*MIN(R$3,$D$2-1)))))</f>
        <v/>
      </c>
      <c r="S74" s="123">
        <f>IF(OR($C74="",$B$2="",$D$2=0),0,IF(S$3&lt;0,0,N(INDEX('CURVA PREVISION'!$A$1:$KZ$3000,$C74,11+3*MIN(S$3,$D$2-1)))))</f>
        <v/>
      </c>
      <c r="T74" s="123">
        <f>IF(OR($C74="",$B$2="",$D$2=0),0,IF(T$3&lt;0,0,N(INDEX('CURVA PREVISION'!$A$1:$KZ$3000,$C74,11+3*MIN(T$3,$D$2-1)))))</f>
        <v/>
      </c>
      <c r="U74" s="123">
        <f>IF(OR($C74="",$B$2="",$D$2=0),0,IF(U$3&lt;0,0,N(INDEX('CURVA PREVISION'!$A$1:$KZ$3000,$C74,11+3*MIN(U$3,$D$2-1)))))</f>
        <v/>
      </c>
      <c r="V74" s="123">
        <f>IF(OR($C74="",$B$2="",$D$2=0),0,IF(V$3&lt;0,0,N(INDEX('CURVA PREVISION'!$A$1:$KZ$3000,$C74,11+3*MIN(V$3,$D$2-1)))))</f>
        <v/>
      </c>
      <c r="W74" s="123">
        <f>IF(OR($C74="",$B$2="",$D$2=0),0,IF(W$3&lt;0,0,N(INDEX('CURVA PREVISION'!$A$1:$KZ$3000,$C74,11+3*MIN(W$3,$D$2-1)))))</f>
        <v/>
      </c>
      <c r="X74" s="123">
        <f>IF(OR($C74="",$B$2="",$D$2=0),0,IF(X$3&lt;0,0,N(INDEX('CURVA PREVISION'!$A$1:$KZ$3000,$C74,11+3*MIN(X$3,$D$2-1)))))</f>
        <v/>
      </c>
      <c r="Y74" s="123">
        <f>IF(OR($C74="",$B$2="",$D$2=0),0,IF(Y$3&lt;0,0,N(INDEX('CURVA PREVISION'!$A$1:$KZ$3000,$C74,11+3*MIN(Y$3,$D$2-1)))))</f>
        <v/>
      </c>
      <c r="Z74" s="123">
        <f>IF(OR($C74="",$B$2="",$D$2=0),0,IF(Z$3&lt;0,0,N(INDEX('CURVA PREVISION'!$A$1:$KZ$3000,$C74,11+3*MIN(Z$3,$D$2-1)))))</f>
        <v/>
      </c>
      <c r="AA74" s="123">
        <f>IF(OR($C74="",$B$2="",$D$2=0),0,IF(AA$3&lt;0,0,N(INDEX('CURVA PREVISION'!$A$1:$KZ$3000,$C74,11+3*MIN(AA$3,$D$2-1)))))</f>
        <v/>
      </c>
      <c r="AB74" s="123">
        <f>IF(OR($C74="",$B$2="",$D$2=0),0,IF(AB$3&lt;0,0,N(INDEX('CURVA PREVISION'!$A$1:$KZ$3000,$C74,11+3*MIN(AB$3,$D$2-1)))))</f>
        <v/>
      </c>
      <c r="AC74" s="123">
        <f>IF(OR($C74="",$B$2="",$D$2=0),0,IF(AC$3&lt;0,0,N(INDEX('CURVA PREVISION'!$A$1:$KZ$3000,$C74,11+3*MIN(AC$3,$D$2-1)))))</f>
        <v/>
      </c>
      <c r="AD74" s="123">
        <f>IF(OR($C74="",$B$2="",$D$2=0),0,IF(AD$3&lt;0,0,N(INDEX('CURVA PREVISION'!$A$1:$KZ$3000,$C74,11+3*MIN(AD$3,$D$2-1)))))</f>
        <v/>
      </c>
      <c r="AE74" s="123">
        <f>IF(OR($C74="",$B$2="",$D$2=0),0,IF(AE$3&lt;0,0,N(INDEX('CURVA PREVISION'!$A$1:$KZ$3000,$C74,11+3*MIN(AE$3,$D$2-1)))))</f>
        <v/>
      </c>
      <c r="AF74" s="123">
        <f>IF(OR($C74="",$B$2="",$D$2=0),0,IF(AF$3&lt;0,0,N(INDEX('CURVA PREVISION'!$A$1:$KZ$3000,$C74,11+3*MIN(AF$3,$D$2-1)))))</f>
        <v/>
      </c>
      <c r="AG74" s="123">
        <f>IF(OR($C74="",$B$2="",$D$2=0),0,IF(AG$3&lt;0,0,N(INDEX('CURVA PREVISION'!$A$1:$KZ$3000,$C74,11+3*MIN(AG$3,$D$2-1)))))</f>
        <v/>
      </c>
      <c r="AH74" s="123">
        <f>IF(OR($C74="",$B$2="",$D$2=0),0,IF(AH$3&lt;0,0,N(INDEX('CURVA PREVISION'!$A$1:$KZ$3000,$C74,11+3*MIN(AH$3,$D$2-1)))))</f>
        <v/>
      </c>
      <c r="AI74" s="123">
        <f>IF(OR($C74="",$B$2="",$D$2=0),0,IF(AI$3&lt;0,0,N(INDEX('CURVA PREVISION'!$A$1:$KZ$3000,$C74,11+3*MIN(AI$3,$D$2-1)))))</f>
        <v/>
      </c>
      <c r="AJ74" s="123">
        <f>IF(OR($C74="",$B$2="",$D$2=0),0,IF(AJ$3&lt;0,0,N(INDEX('CURVA PREVISION'!$A$1:$KZ$3000,$C74,11+3*MIN(AJ$3,$D$2-1)))))</f>
        <v/>
      </c>
      <c r="AK74" s="123">
        <f>IF(OR($C74="",$B$2="",$D$2=0),0,IF(AK$3&lt;0,0,N(INDEX('CURVA PREVISION'!$A$1:$KZ$3000,$C74,11+3*MIN(AK$3,$D$2-1)))))</f>
        <v/>
      </c>
      <c r="AL74" s="123">
        <f>IF(OR($C74="",$B$2="",$D$2=0),0,IF(AL$3&lt;0,0,N(INDEX('CURVA PREVISION'!$A$1:$KZ$3000,$C74,11+3*MIN(AL$3,$D$2-1)))))</f>
        <v/>
      </c>
      <c r="AM74" s="123">
        <f>IF(OR($C74="",$B$2="",$D$2=0),0,IF(AM$3&lt;0,0,N(INDEX('CURVA PREVISION'!$A$1:$KZ$3000,$C74,11+3*MIN(AM$3,$D$2-1)))))</f>
        <v/>
      </c>
      <c r="AN74" s="123">
        <f>IF(OR($C74="",$B$2="",$D$2=0),0,IF(AN$3&lt;0,0,N(INDEX('CURVA PREVISION'!$A$1:$KZ$3000,$C74,11+3*MIN(AN$3,$D$2-1)))))</f>
        <v/>
      </c>
      <c r="AO74" s="123">
        <f>IF(OR($C74="",$B$2="",$D$2=0),0,IF(AO$3&lt;0,0,N(INDEX('CURVA PREVISION'!$A$1:$KZ$3000,$C74,11+3*MIN(AO$3,$D$2-1)))))</f>
        <v/>
      </c>
      <c r="AP74" s="123">
        <f>IF(OR($C74="",$B$2="",$D$2=0),0,IF(AP$3&lt;0,0,N(INDEX('CURVA PREVISION'!$A$1:$KZ$3000,$C74,11+3*MIN(AP$3,$D$2-1)))))</f>
        <v/>
      </c>
      <c r="AQ74" s="123">
        <f>IF(OR($C74="",$B$2="",$D$2=0),0,IF(AQ$3&lt;0,0,N(INDEX('CURVA PREVISION'!$A$1:$KZ$3000,$C74,11+3*MIN(AQ$3,$D$2-1)))))</f>
        <v/>
      </c>
      <c r="AR74" s="123">
        <f>IF(OR($C74="",$B$2="",$D$2=0),0,IF(AR$3&lt;0,0,N(INDEX('CURVA PREVISION'!$A$1:$KZ$3000,$C74,11+3*MIN(AR$3,$D$2-1)))))</f>
        <v/>
      </c>
      <c r="AS74" s="123">
        <f>IF(OR($C74="",$B$2="",$D$2=0),0,IF(AS$3&lt;0,0,N(INDEX('CURVA PREVISION'!$A$1:$KZ$3000,$C74,11+3*MIN(AS$3,$D$2-1)))))</f>
        <v/>
      </c>
      <c r="AT74" s="123">
        <f>IF(OR($C74="",$B$2="",$D$2=0),0,IF(AT$3&lt;0,0,N(INDEX('CURVA PREVISION'!$A$1:$KZ$3000,$C74,11+3*MIN(AT$3,$D$2-1)))))</f>
        <v/>
      </c>
      <c r="AU74" s="123">
        <f>IF(OR($C74="",$B$2="",$D$2=0),0,IF(AU$3&lt;0,0,N(INDEX('CURVA PREVISION'!$A$1:$KZ$3000,$C74,11+3*MIN(AU$3,$D$2-1)))))</f>
        <v/>
      </c>
      <c r="AV74" s="123">
        <f>IF(OR($C74="",$B$2="",$D$2=0),0,IF(AV$3&lt;0,0,N(INDEX('CURVA PREVISION'!$A$1:$KZ$3000,$C74,11+3*MIN(AV$3,$D$2-1)))))</f>
        <v/>
      </c>
      <c r="AW74" s="123">
        <f>IF(OR($C74="",$B$2="",$D$2=0),0,IF(AW$3&lt;0,0,N(INDEX('CURVA PREVISION'!$A$1:$KZ$3000,$C74,11+3*MIN(AW$3,$D$2-1)))))</f>
        <v/>
      </c>
      <c r="AX74" s="123">
        <f>IF(OR($C74="",$B$2="",$D$2=0),0,IF(AX$3&lt;0,0,N(INDEX('CURVA PREVISION'!$A$1:$KZ$3000,$C74,11+3*MIN(AX$3,$D$2-1)))))</f>
        <v/>
      </c>
      <c r="AY74" s="123">
        <f>IF(OR($C74="",$B$2="",$D$2=0),0,IF(AY$3&lt;0,0,N(INDEX('CURVA PREVISION'!$A$1:$KZ$3000,$C74,11+3*MIN(AY$3,$D$2-1)))))</f>
        <v/>
      </c>
      <c r="AZ74" s="123">
        <f>IF(OR($C74="",$B$2="",$D$2=0),0,IF(AZ$3&lt;0,0,N(INDEX('CURVA PREVISION'!$A$1:$KZ$3000,$C74,11+3*MIN(AZ$3,$D$2-1)))))</f>
        <v/>
      </c>
      <c r="BA74" s="123">
        <f>IF(OR($C74="",$B$2="",$D$2=0),0,IF(BA$3&lt;0,0,N(INDEX('CURVA PREVISION'!$A$1:$KZ$3000,$C74,11+3*MIN(BA$3,$D$2-1)))))</f>
        <v/>
      </c>
      <c r="BB74" s="123">
        <f>IF(OR($C74="",$B$2="",$D$2=0),0,IF(BB$3&lt;0,0,N(INDEX('CURVA PREVISION'!$A$1:$KZ$3000,$C74,11+3*MIN(BB$3,$D$2-1)))))</f>
        <v/>
      </c>
      <c r="BC74" s="123">
        <f>IF(OR($C74="",$B$2="",$D$2=0),0,IF(BC$3&lt;0,0,N(INDEX('CURVA PREVISION'!$A$1:$KZ$3000,$C74,11+3*MIN(BC$3,$D$2-1)))))</f>
        <v/>
      </c>
      <c r="BD74" s="123">
        <f>IF(OR($C74="",$B$2="",$D$2=0),0,IF(BD$3&lt;0,0,N(INDEX('CURVA PREVISION'!$A$1:$KZ$3000,$C74,11+3*MIN(BD$3,$D$2-1)))))</f>
        <v/>
      </c>
      <c r="BE74" s="123">
        <f>IF(OR($C74="",$B$2="",$D$2=0),0,IF(BE$3&lt;0,0,N(INDEX('CURVA PREVISION'!$A$1:$KZ$3000,$C74,11+3*MIN(BE$3,$D$2-1)))))</f>
        <v/>
      </c>
      <c r="BF74" s="123">
        <f>IF(OR($C74="",$B$2="",$D$2=0),0,IF(BF$3&lt;0,0,N(INDEX('CURVA PREVISION'!$A$1:$KZ$3000,$C74,11+3*MIN(BF$3,$D$2-1)))))</f>
        <v/>
      </c>
      <c r="BG74" s="123">
        <f>IF(OR($C74="",$B$2="",$D$2=0),0,IF(BG$3&lt;0,0,N(INDEX('CURVA PREVISION'!$A$1:$KZ$3000,$C74,11+3*MIN(BG$3,$D$2-1)))))</f>
        <v/>
      </c>
      <c r="BH74" s="123">
        <f>IF(OR($C74="",$B$2="",$D$2=0),0,IF(BH$3&lt;0,0,N(INDEX('CURVA PREVISION'!$A$1:$KZ$3000,$C74,11+3*MIN(BH$3,$D$2-1)))))</f>
        <v/>
      </c>
      <c r="BI74" s="123">
        <f>IF(OR($C74="",$B$2="",$D$2=0),0,IF(BI$3&lt;0,0,N(INDEX('CURVA PREVISION'!$A$1:$KZ$3000,$C74,11+3*MIN(BI$3,$D$2-1)))))</f>
        <v/>
      </c>
      <c r="BJ74" s="123">
        <f>IF(OR($C74="",$B$2="",$D$2=0),0,IF(BJ$3&lt;0,0,N(INDEX('CURVA PREVISION'!$A$1:$KZ$3000,$C74,11+3*MIN(BJ$3,$D$2-1)))))</f>
        <v/>
      </c>
      <c r="BK74" s="123">
        <f>IF(OR($C74="",$B$2="",$D$2=0),0,IF(BK$3&lt;0,0,N(INDEX('CURVA PREVISION'!$A$1:$KZ$3000,$C74,11+3*MIN(BK$3,$D$2-1)))))</f>
        <v/>
      </c>
      <c r="BL74" s="123">
        <f>IF(OR($C74="",$B$2="",$D$2=0),0,IF(BL$3&lt;0,0,N(INDEX('CURVA PREVISION'!$A$1:$KZ$3000,$C74,11+3*MIN(BL$3,$D$2-1)))))</f>
        <v/>
      </c>
      <c r="BM74" s="123">
        <f>IF(OR($C74="",$B$2="",$D$2=0),0,IF(BM$3&lt;0,0,N(INDEX('CURVA PREVISION'!$A$1:$KZ$3000,$C74,11+3*MIN(BM$3,$D$2-1)))))</f>
        <v/>
      </c>
      <c r="BN74" s="123">
        <f>IF(OR($C74="",$B$2="",$D$2=0),0,IF(BN$3&lt;0,0,N(INDEX('CURVA PREVISION'!$A$1:$KZ$3000,$C74,11+3*MIN(BN$3,$D$2-1)))))</f>
        <v/>
      </c>
      <c r="BO74" s="123">
        <f>IF(OR($C74="",$B$2="",$D$2=0),0,IF(BO$3&lt;0,0,N(INDEX('CURVA PREVISION'!$A$1:$KZ$3000,$C74,11+3*MIN(BO$3,$D$2-1)))))</f>
        <v/>
      </c>
      <c r="BP74" s="123">
        <f>IF(OR($C74="",$B$2="",$D$2=0),0,IF(BP$3&lt;0,0,N(INDEX('CURVA PREVISION'!$A$1:$KZ$3000,$C74,11+3*MIN(BP$3,$D$2-1)))))</f>
        <v/>
      </c>
      <c r="BQ74" s="123">
        <f>IF(OR($C74="",$B$2="",$D$2=0),0,IF(BQ$3&lt;0,0,N(INDEX('CURVA PREVISION'!$A$1:$KZ$3000,$C74,11+3*MIN(BQ$3,$D$2-1)))))</f>
        <v/>
      </c>
      <c r="BR74" s="123">
        <f>IF(OR($C74="",$B$2="",$D$2=0),0,IF(BR$3&lt;0,0,N(INDEX('CURVA PREVISION'!$A$1:$KZ$3000,$C74,11+3*MIN(BR$3,$D$2-1)))))</f>
        <v/>
      </c>
      <c r="BS74" s="123">
        <f>IF(OR($C74="",$B$2="",$D$2=0),0,IF(BS$3&lt;0,0,N(INDEX('CURVA PREVISION'!$A$1:$KZ$3000,$C74,11+3*MIN(BS$3,$D$2-1)))))</f>
        <v/>
      </c>
      <c r="BT74" s="123">
        <f>IF(OR($C74="",$B$2="",$D$2=0),0,IF(BT$3&lt;0,0,N(INDEX('CURVA PREVISION'!$A$1:$KZ$3000,$C74,11+3*MIN(BT$3,$D$2-1)))))</f>
        <v/>
      </c>
      <c r="BU74" s="123">
        <f>IF(OR($C74="",$B$2="",$D$2=0),0,IF(BU$3&lt;0,0,N(INDEX('CURVA PREVISION'!$A$1:$KZ$3000,$C74,11+3*MIN(BU$3,$D$2-1)))))</f>
        <v/>
      </c>
      <c r="BV74" s="123">
        <f>IF(OR($C74="",$B$2="",$D$2=0),0,IF(BV$3&lt;0,0,N(INDEX('CURVA PREVISION'!$A$1:$KZ$3000,$C74,11+3*MIN(BV$3,$D$2-1)))))</f>
        <v/>
      </c>
      <c r="BW74" s="123">
        <f>IF(OR($C74="",$B$2="",$D$2=0),0,IF(BW$3&lt;0,0,N(INDEX('CURVA PREVISION'!$A$1:$KZ$3000,$C74,11+3*MIN(BW$3,$D$2-1)))))</f>
        <v/>
      </c>
    </row>
    <row r="75">
      <c r="A75" s="61">
        <f>IF('VALOR POR PL'!Q39="",'VALOR POR PL'!C39,'VALOR POR PL'!Q39)</f>
        <v/>
      </c>
      <c r="B75" s="51">
        <f>B33</f>
        <v/>
      </c>
      <c r="C75" s="70">
        <f>IFERROR(MATCH(A75,'CURVA PREVISION'!$B$1:$B$3000,0),"")</f>
        <v/>
      </c>
      <c r="D75" s="123">
        <f>IF(OR($C75="",$B$2="",$D$2=0),0,IF(D$3&lt;0,0,N(INDEX('CURVA PREVISION'!$A$1:$KZ$3000,$C75,11+3*MIN(D$3,$D$2-1)))))</f>
        <v/>
      </c>
      <c r="E75" s="123">
        <f>IF(OR($C75="",$B$2="",$D$2=0),0,IF(E$3&lt;0,0,N(INDEX('CURVA PREVISION'!$A$1:$KZ$3000,$C75,11+3*MIN(E$3,$D$2-1)))))</f>
        <v/>
      </c>
      <c r="F75" s="123">
        <f>IF(OR($C75="",$B$2="",$D$2=0),0,IF(F$3&lt;0,0,N(INDEX('CURVA PREVISION'!$A$1:$KZ$3000,$C75,11+3*MIN(F$3,$D$2-1)))))</f>
        <v/>
      </c>
      <c r="G75" s="123">
        <f>IF(OR($C75="",$B$2="",$D$2=0),0,IF(G$3&lt;0,0,N(INDEX('CURVA PREVISION'!$A$1:$KZ$3000,$C75,11+3*MIN(G$3,$D$2-1)))))</f>
        <v/>
      </c>
      <c r="H75" s="123">
        <f>IF(OR($C75="",$B$2="",$D$2=0),0,IF(H$3&lt;0,0,N(INDEX('CURVA PREVISION'!$A$1:$KZ$3000,$C75,11+3*MIN(H$3,$D$2-1)))))</f>
        <v/>
      </c>
      <c r="I75" s="123">
        <f>IF(OR($C75="",$B$2="",$D$2=0),0,IF(I$3&lt;0,0,N(INDEX('CURVA PREVISION'!$A$1:$KZ$3000,$C75,11+3*MIN(I$3,$D$2-1)))))</f>
        <v/>
      </c>
      <c r="J75" s="123">
        <f>IF(OR($C75="",$B$2="",$D$2=0),0,IF(J$3&lt;0,0,N(INDEX('CURVA PREVISION'!$A$1:$KZ$3000,$C75,11+3*MIN(J$3,$D$2-1)))))</f>
        <v/>
      </c>
      <c r="K75" s="123">
        <f>IF(OR($C75="",$B$2="",$D$2=0),0,IF(K$3&lt;0,0,N(INDEX('CURVA PREVISION'!$A$1:$KZ$3000,$C75,11+3*MIN(K$3,$D$2-1)))))</f>
        <v/>
      </c>
      <c r="L75" s="123">
        <f>IF(OR($C75="",$B$2="",$D$2=0),0,IF(L$3&lt;0,0,N(INDEX('CURVA PREVISION'!$A$1:$KZ$3000,$C75,11+3*MIN(L$3,$D$2-1)))))</f>
        <v/>
      </c>
      <c r="M75" s="123">
        <f>IF(OR($C75="",$B$2="",$D$2=0),0,IF(M$3&lt;0,0,N(INDEX('CURVA PREVISION'!$A$1:$KZ$3000,$C75,11+3*MIN(M$3,$D$2-1)))))</f>
        <v/>
      </c>
      <c r="N75" s="123">
        <f>IF(OR($C75="",$B$2="",$D$2=0),0,IF(N$3&lt;0,0,N(INDEX('CURVA PREVISION'!$A$1:$KZ$3000,$C75,11+3*MIN(N$3,$D$2-1)))))</f>
        <v/>
      </c>
      <c r="O75" s="123">
        <f>IF(OR($C75="",$B$2="",$D$2=0),0,IF(O$3&lt;0,0,N(INDEX('CURVA PREVISION'!$A$1:$KZ$3000,$C75,11+3*MIN(O$3,$D$2-1)))))</f>
        <v/>
      </c>
      <c r="P75" s="123">
        <f>IF(OR($C75="",$B$2="",$D$2=0),0,IF(P$3&lt;0,0,N(INDEX('CURVA PREVISION'!$A$1:$KZ$3000,$C75,11+3*MIN(P$3,$D$2-1)))))</f>
        <v/>
      </c>
      <c r="Q75" s="123">
        <f>IF(OR($C75="",$B$2="",$D$2=0),0,IF(Q$3&lt;0,0,N(INDEX('CURVA PREVISION'!$A$1:$KZ$3000,$C75,11+3*MIN(Q$3,$D$2-1)))))</f>
        <v/>
      </c>
      <c r="R75" s="123">
        <f>IF(OR($C75="",$B$2="",$D$2=0),0,IF(R$3&lt;0,0,N(INDEX('CURVA PREVISION'!$A$1:$KZ$3000,$C75,11+3*MIN(R$3,$D$2-1)))))</f>
        <v/>
      </c>
      <c r="S75" s="123">
        <f>IF(OR($C75="",$B$2="",$D$2=0),0,IF(S$3&lt;0,0,N(INDEX('CURVA PREVISION'!$A$1:$KZ$3000,$C75,11+3*MIN(S$3,$D$2-1)))))</f>
        <v/>
      </c>
      <c r="T75" s="123">
        <f>IF(OR($C75="",$B$2="",$D$2=0),0,IF(T$3&lt;0,0,N(INDEX('CURVA PREVISION'!$A$1:$KZ$3000,$C75,11+3*MIN(T$3,$D$2-1)))))</f>
        <v/>
      </c>
      <c r="U75" s="123">
        <f>IF(OR($C75="",$B$2="",$D$2=0),0,IF(U$3&lt;0,0,N(INDEX('CURVA PREVISION'!$A$1:$KZ$3000,$C75,11+3*MIN(U$3,$D$2-1)))))</f>
        <v/>
      </c>
      <c r="V75" s="123">
        <f>IF(OR($C75="",$B$2="",$D$2=0),0,IF(V$3&lt;0,0,N(INDEX('CURVA PREVISION'!$A$1:$KZ$3000,$C75,11+3*MIN(V$3,$D$2-1)))))</f>
        <v/>
      </c>
      <c r="W75" s="123">
        <f>IF(OR($C75="",$B$2="",$D$2=0),0,IF(W$3&lt;0,0,N(INDEX('CURVA PREVISION'!$A$1:$KZ$3000,$C75,11+3*MIN(W$3,$D$2-1)))))</f>
        <v/>
      </c>
      <c r="X75" s="123">
        <f>IF(OR($C75="",$B$2="",$D$2=0),0,IF(X$3&lt;0,0,N(INDEX('CURVA PREVISION'!$A$1:$KZ$3000,$C75,11+3*MIN(X$3,$D$2-1)))))</f>
        <v/>
      </c>
      <c r="Y75" s="123">
        <f>IF(OR($C75="",$B$2="",$D$2=0),0,IF(Y$3&lt;0,0,N(INDEX('CURVA PREVISION'!$A$1:$KZ$3000,$C75,11+3*MIN(Y$3,$D$2-1)))))</f>
        <v/>
      </c>
      <c r="Z75" s="123">
        <f>IF(OR($C75="",$B$2="",$D$2=0),0,IF(Z$3&lt;0,0,N(INDEX('CURVA PREVISION'!$A$1:$KZ$3000,$C75,11+3*MIN(Z$3,$D$2-1)))))</f>
        <v/>
      </c>
      <c r="AA75" s="123">
        <f>IF(OR($C75="",$B$2="",$D$2=0),0,IF(AA$3&lt;0,0,N(INDEX('CURVA PREVISION'!$A$1:$KZ$3000,$C75,11+3*MIN(AA$3,$D$2-1)))))</f>
        <v/>
      </c>
      <c r="AB75" s="123">
        <f>IF(OR($C75="",$B$2="",$D$2=0),0,IF(AB$3&lt;0,0,N(INDEX('CURVA PREVISION'!$A$1:$KZ$3000,$C75,11+3*MIN(AB$3,$D$2-1)))))</f>
        <v/>
      </c>
      <c r="AC75" s="123">
        <f>IF(OR($C75="",$B$2="",$D$2=0),0,IF(AC$3&lt;0,0,N(INDEX('CURVA PREVISION'!$A$1:$KZ$3000,$C75,11+3*MIN(AC$3,$D$2-1)))))</f>
        <v/>
      </c>
      <c r="AD75" s="123">
        <f>IF(OR($C75="",$B$2="",$D$2=0),0,IF(AD$3&lt;0,0,N(INDEX('CURVA PREVISION'!$A$1:$KZ$3000,$C75,11+3*MIN(AD$3,$D$2-1)))))</f>
        <v/>
      </c>
      <c r="AE75" s="123">
        <f>IF(OR($C75="",$B$2="",$D$2=0),0,IF(AE$3&lt;0,0,N(INDEX('CURVA PREVISION'!$A$1:$KZ$3000,$C75,11+3*MIN(AE$3,$D$2-1)))))</f>
        <v/>
      </c>
      <c r="AF75" s="123">
        <f>IF(OR($C75="",$B$2="",$D$2=0),0,IF(AF$3&lt;0,0,N(INDEX('CURVA PREVISION'!$A$1:$KZ$3000,$C75,11+3*MIN(AF$3,$D$2-1)))))</f>
        <v/>
      </c>
      <c r="AG75" s="123">
        <f>IF(OR($C75="",$B$2="",$D$2=0),0,IF(AG$3&lt;0,0,N(INDEX('CURVA PREVISION'!$A$1:$KZ$3000,$C75,11+3*MIN(AG$3,$D$2-1)))))</f>
        <v/>
      </c>
      <c r="AH75" s="123">
        <f>IF(OR($C75="",$B$2="",$D$2=0),0,IF(AH$3&lt;0,0,N(INDEX('CURVA PREVISION'!$A$1:$KZ$3000,$C75,11+3*MIN(AH$3,$D$2-1)))))</f>
        <v/>
      </c>
      <c r="AI75" s="123">
        <f>IF(OR($C75="",$B$2="",$D$2=0),0,IF(AI$3&lt;0,0,N(INDEX('CURVA PREVISION'!$A$1:$KZ$3000,$C75,11+3*MIN(AI$3,$D$2-1)))))</f>
        <v/>
      </c>
      <c r="AJ75" s="123">
        <f>IF(OR($C75="",$B$2="",$D$2=0),0,IF(AJ$3&lt;0,0,N(INDEX('CURVA PREVISION'!$A$1:$KZ$3000,$C75,11+3*MIN(AJ$3,$D$2-1)))))</f>
        <v/>
      </c>
      <c r="AK75" s="123">
        <f>IF(OR($C75="",$B$2="",$D$2=0),0,IF(AK$3&lt;0,0,N(INDEX('CURVA PREVISION'!$A$1:$KZ$3000,$C75,11+3*MIN(AK$3,$D$2-1)))))</f>
        <v/>
      </c>
      <c r="AL75" s="123">
        <f>IF(OR($C75="",$B$2="",$D$2=0),0,IF(AL$3&lt;0,0,N(INDEX('CURVA PREVISION'!$A$1:$KZ$3000,$C75,11+3*MIN(AL$3,$D$2-1)))))</f>
        <v/>
      </c>
      <c r="AM75" s="123">
        <f>IF(OR($C75="",$B$2="",$D$2=0),0,IF(AM$3&lt;0,0,N(INDEX('CURVA PREVISION'!$A$1:$KZ$3000,$C75,11+3*MIN(AM$3,$D$2-1)))))</f>
        <v/>
      </c>
      <c r="AN75" s="123">
        <f>IF(OR($C75="",$B$2="",$D$2=0),0,IF(AN$3&lt;0,0,N(INDEX('CURVA PREVISION'!$A$1:$KZ$3000,$C75,11+3*MIN(AN$3,$D$2-1)))))</f>
        <v/>
      </c>
      <c r="AO75" s="123">
        <f>IF(OR($C75="",$B$2="",$D$2=0),0,IF(AO$3&lt;0,0,N(INDEX('CURVA PREVISION'!$A$1:$KZ$3000,$C75,11+3*MIN(AO$3,$D$2-1)))))</f>
        <v/>
      </c>
      <c r="AP75" s="123">
        <f>IF(OR($C75="",$B$2="",$D$2=0),0,IF(AP$3&lt;0,0,N(INDEX('CURVA PREVISION'!$A$1:$KZ$3000,$C75,11+3*MIN(AP$3,$D$2-1)))))</f>
        <v/>
      </c>
      <c r="AQ75" s="123">
        <f>IF(OR($C75="",$B$2="",$D$2=0),0,IF(AQ$3&lt;0,0,N(INDEX('CURVA PREVISION'!$A$1:$KZ$3000,$C75,11+3*MIN(AQ$3,$D$2-1)))))</f>
        <v/>
      </c>
      <c r="AR75" s="123">
        <f>IF(OR($C75="",$B$2="",$D$2=0),0,IF(AR$3&lt;0,0,N(INDEX('CURVA PREVISION'!$A$1:$KZ$3000,$C75,11+3*MIN(AR$3,$D$2-1)))))</f>
        <v/>
      </c>
      <c r="AS75" s="123">
        <f>IF(OR($C75="",$B$2="",$D$2=0),0,IF(AS$3&lt;0,0,N(INDEX('CURVA PREVISION'!$A$1:$KZ$3000,$C75,11+3*MIN(AS$3,$D$2-1)))))</f>
        <v/>
      </c>
      <c r="AT75" s="123">
        <f>IF(OR($C75="",$B$2="",$D$2=0),0,IF(AT$3&lt;0,0,N(INDEX('CURVA PREVISION'!$A$1:$KZ$3000,$C75,11+3*MIN(AT$3,$D$2-1)))))</f>
        <v/>
      </c>
      <c r="AU75" s="123">
        <f>IF(OR($C75="",$B$2="",$D$2=0),0,IF(AU$3&lt;0,0,N(INDEX('CURVA PREVISION'!$A$1:$KZ$3000,$C75,11+3*MIN(AU$3,$D$2-1)))))</f>
        <v/>
      </c>
      <c r="AV75" s="123">
        <f>IF(OR($C75="",$B$2="",$D$2=0),0,IF(AV$3&lt;0,0,N(INDEX('CURVA PREVISION'!$A$1:$KZ$3000,$C75,11+3*MIN(AV$3,$D$2-1)))))</f>
        <v/>
      </c>
      <c r="AW75" s="123">
        <f>IF(OR($C75="",$B$2="",$D$2=0),0,IF(AW$3&lt;0,0,N(INDEX('CURVA PREVISION'!$A$1:$KZ$3000,$C75,11+3*MIN(AW$3,$D$2-1)))))</f>
        <v/>
      </c>
      <c r="AX75" s="123">
        <f>IF(OR($C75="",$B$2="",$D$2=0),0,IF(AX$3&lt;0,0,N(INDEX('CURVA PREVISION'!$A$1:$KZ$3000,$C75,11+3*MIN(AX$3,$D$2-1)))))</f>
        <v/>
      </c>
      <c r="AY75" s="123">
        <f>IF(OR($C75="",$B$2="",$D$2=0),0,IF(AY$3&lt;0,0,N(INDEX('CURVA PREVISION'!$A$1:$KZ$3000,$C75,11+3*MIN(AY$3,$D$2-1)))))</f>
        <v/>
      </c>
      <c r="AZ75" s="123">
        <f>IF(OR($C75="",$B$2="",$D$2=0),0,IF(AZ$3&lt;0,0,N(INDEX('CURVA PREVISION'!$A$1:$KZ$3000,$C75,11+3*MIN(AZ$3,$D$2-1)))))</f>
        <v/>
      </c>
      <c r="BA75" s="123">
        <f>IF(OR($C75="",$B$2="",$D$2=0),0,IF(BA$3&lt;0,0,N(INDEX('CURVA PREVISION'!$A$1:$KZ$3000,$C75,11+3*MIN(BA$3,$D$2-1)))))</f>
        <v/>
      </c>
      <c r="BB75" s="123">
        <f>IF(OR($C75="",$B$2="",$D$2=0),0,IF(BB$3&lt;0,0,N(INDEX('CURVA PREVISION'!$A$1:$KZ$3000,$C75,11+3*MIN(BB$3,$D$2-1)))))</f>
        <v/>
      </c>
      <c r="BC75" s="123">
        <f>IF(OR($C75="",$B$2="",$D$2=0),0,IF(BC$3&lt;0,0,N(INDEX('CURVA PREVISION'!$A$1:$KZ$3000,$C75,11+3*MIN(BC$3,$D$2-1)))))</f>
        <v/>
      </c>
      <c r="BD75" s="123">
        <f>IF(OR($C75="",$B$2="",$D$2=0),0,IF(BD$3&lt;0,0,N(INDEX('CURVA PREVISION'!$A$1:$KZ$3000,$C75,11+3*MIN(BD$3,$D$2-1)))))</f>
        <v/>
      </c>
      <c r="BE75" s="123">
        <f>IF(OR($C75="",$B$2="",$D$2=0),0,IF(BE$3&lt;0,0,N(INDEX('CURVA PREVISION'!$A$1:$KZ$3000,$C75,11+3*MIN(BE$3,$D$2-1)))))</f>
        <v/>
      </c>
      <c r="BF75" s="123">
        <f>IF(OR($C75="",$B$2="",$D$2=0),0,IF(BF$3&lt;0,0,N(INDEX('CURVA PREVISION'!$A$1:$KZ$3000,$C75,11+3*MIN(BF$3,$D$2-1)))))</f>
        <v/>
      </c>
      <c r="BG75" s="123">
        <f>IF(OR($C75="",$B$2="",$D$2=0),0,IF(BG$3&lt;0,0,N(INDEX('CURVA PREVISION'!$A$1:$KZ$3000,$C75,11+3*MIN(BG$3,$D$2-1)))))</f>
        <v/>
      </c>
      <c r="BH75" s="123">
        <f>IF(OR($C75="",$B$2="",$D$2=0),0,IF(BH$3&lt;0,0,N(INDEX('CURVA PREVISION'!$A$1:$KZ$3000,$C75,11+3*MIN(BH$3,$D$2-1)))))</f>
        <v/>
      </c>
      <c r="BI75" s="123">
        <f>IF(OR($C75="",$B$2="",$D$2=0),0,IF(BI$3&lt;0,0,N(INDEX('CURVA PREVISION'!$A$1:$KZ$3000,$C75,11+3*MIN(BI$3,$D$2-1)))))</f>
        <v/>
      </c>
      <c r="BJ75" s="123">
        <f>IF(OR($C75="",$B$2="",$D$2=0),0,IF(BJ$3&lt;0,0,N(INDEX('CURVA PREVISION'!$A$1:$KZ$3000,$C75,11+3*MIN(BJ$3,$D$2-1)))))</f>
        <v/>
      </c>
      <c r="BK75" s="123">
        <f>IF(OR($C75="",$B$2="",$D$2=0),0,IF(BK$3&lt;0,0,N(INDEX('CURVA PREVISION'!$A$1:$KZ$3000,$C75,11+3*MIN(BK$3,$D$2-1)))))</f>
        <v/>
      </c>
      <c r="BL75" s="123">
        <f>IF(OR($C75="",$B$2="",$D$2=0),0,IF(BL$3&lt;0,0,N(INDEX('CURVA PREVISION'!$A$1:$KZ$3000,$C75,11+3*MIN(BL$3,$D$2-1)))))</f>
        <v/>
      </c>
      <c r="BM75" s="123">
        <f>IF(OR($C75="",$B$2="",$D$2=0),0,IF(BM$3&lt;0,0,N(INDEX('CURVA PREVISION'!$A$1:$KZ$3000,$C75,11+3*MIN(BM$3,$D$2-1)))))</f>
        <v/>
      </c>
      <c r="BN75" s="123">
        <f>IF(OR($C75="",$B$2="",$D$2=0),0,IF(BN$3&lt;0,0,N(INDEX('CURVA PREVISION'!$A$1:$KZ$3000,$C75,11+3*MIN(BN$3,$D$2-1)))))</f>
        <v/>
      </c>
      <c r="BO75" s="123">
        <f>IF(OR($C75="",$B$2="",$D$2=0),0,IF(BO$3&lt;0,0,N(INDEX('CURVA PREVISION'!$A$1:$KZ$3000,$C75,11+3*MIN(BO$3,$D$2-1)))))</f>
        <v/>
      </c>
      <c r="BP75" s="123">
        <f>IF(OR($C75="",$B$2="",$D$2=0),0,IF(BP$3&lt;0,0,N(INDEX('CURVA PREVISION'!$A$1:$KZ$3000,$C75,11+3*MIN(BP$3,$D$2-1)))))</f>
        <v/>
      </c>
      <c r="BQ75" s="123">
        <f>IF(OR($C75="",$B$2="",$D$2=0),0,IF(BQ$3&lt;0,0,N(INDEX('CURVA PREVISION'!$A$1:$KZ$3000,$C75,11+3*MIN(BQ$3,$D$2-1)))))</f>
        <v/>
      </c>
      <c r="BR75" s="123">
        <f>IF(OR($C75="",$B$2="",$D$2=0),0,IF(BR$3&lt;0,0,N(INDEX('CURVA PREVISION'!$A$1:$KZ$3000,$C75,11+3*MIN(BR$3,$D$2-1)))))</f>
        <v/>
      </c>
      <c r="BS75" s="123">
        <f>IF(OR($C75="",$B$2="",$D$2=0),0,IF(BS$3&lt;0,0,N(INDEX('CURVA PREVISION'!$A$1:$KZ$3000,$C75,11+3*MIN(BS$3,$D$2-1)))))</f>
        <v/>
      </c>
      <c r="BT75" s="123">
        <f>IF(OR($C75="",$B$2="",$D$2=0),0,IF(BT$3&lt;0,0,N(INDEX('CURVA PREVISION'!$A$1:$KZ$3000,$C75,11+3*MIN(BT$3,$D$2-1)))))</f>
        <v/>
      </c>
      <c r="BU75" s="123">
        <f>IF(OR($C75="",$B$2="",$D$2=0),0,IF(BU$3&lt;0,0,N(INDEX('CURVA PREVISION'!$A$1:$KZ$3000,$C75,11+3*MIN(BU$3,$D$2-1)))))</f>
        <v/>
      </c>
      <c r="BV75" s="123">
        <f>IF(OR($C75="",$B$2="",$D$2=0),0,IF(BV$3&lt;0,0,N(INDEX('CURVA PREVISION'!$A$1:$KZ$3000,$C75,11+3*MIN(BV$3,$D$2-1)))))</f>
        <v/>
      </c>
      <c r="BW75" s="123">
        <f>IF(OR($C75="",$B$2="",$D$2=0),0,IF(BW$3&lt;0,0,N(INDEX('CURVA PREVISION'!$A$1:$KZ$3000,$C75,11+3*MIN(BW$3,$D$2-1)))))</f>
        <v/>
      </c>
    </row>
    <row r="76">
      <c r="A76" s="61">
        <f>IF('VALOR POR PL'!Q40="",'VALOR POR PL'!C40,'VALOR POR PL'!Q40)</f>
        <v/>
      </c>
      <c r="B76" s="51">
        <f>B34</f>
        <v/>
      </c>
      <c r="C76" s="70">
        <f>IFERROR(MATCH(A76,'CURVA PREVISION'!$B$1:$B$3000,0),"")</f>
        <v/>
      </c>
      <c r="D76" s="123">
        <f>IF(OR($C76="",$B$2="",$D$2=0),0,IF(D$3&lt;0,0,N(INDEX('CURVA PREVISION'!$A$1:$KZ$3000,$C76,11+3*MIN(D$3,$D$2-1)))))</f>
        <v/>
      </c>
      <c r="E76" s="123">
        <f>IF(OR($C76="",$B$2="",$D$2=0),0,IF(E$3&lt;0,0,N(INDEX('CURVA PREVISION'!$A$1:$KZ$3000,$C76,11+3*MIN(E$3,$D$2-1)))))</f>
        <v/>
      </c>
      <c r="F76" s="123">
        <f>IF(OR($C76="",$B$2="",$D$2=0),0,IF(F$3&lt;0,0,N(INDEX('CURVA PREVISION'!$A$1:$KZ$3000,$C76,11+3*MIN(F$3,$D$2-1)))))</f>
        <v/>
      </c>
      <c r="G76" s="123">
        <f>IF(OR($C76="",$B$2="",$D$2=0),0,IF(G$3&lt;0,0,N(INDEX('CURVA PREVISION'!$A$1:$KZ$3000,$C76,11+3*MIN(G$3,$D$2-1)))))</f>
        <v/>
      </c>
      <c r="H76" s="123">
        <f>IF(OR($C76="",$B$2="",$D$2=0),0,IF(H$3&lt;0,0,N(INDEX('CURVA PREVISION'!$A$1:$KZ$3000,$C76,11+3*MIN(H$3,$D$2-1)))))</f>
        <v/>
      </c>
      <c r="I76" s="123">
        <f>IF(OR($C76="",$B$2="",$D$2=0),0,IF(I$3&lt;0,0,N(INDEX('CURVA PREVISION'!$A$1:$KZ$3000,$C76,11+3*MIN(I$3,$D$2-1)))))</f>
        <v/>
      </c>
      <c r="J76" s="123">
        <f>IF(OR($C76="",$B$2="",$D$2=0),0,IF(J$3&lt;0,0,N(INDEX('CURVA PREVISION'!$A$1:$KZ$3000,$C76,11+3*MIN(J$3,$D$2-1)))))</f>
        <v/>
      </c>
      <c r="K76" s="123">
        <f>IF(OR($C76="",$B$2="",$D$2=0),0,IF(K$3&lt;0,0,N(INDEX('CURVA PREVISION'!$A$1:$KZ$3000,$C76,11+3*MIN(K$3,$D$2-1)))))</f>
        <v/>
      </c>
      <c r="L76" s="123">
        <f>IF(OR($C76="",$B$2="",$D$2=0),0,IF(L$3&lt;0,0,N(INDEX('CURVA PREVISION'!$A$1:$KZ$3000,$C76,11+3*MIN(L$3,$D$2-1)))))</f>
        <v/>
      </c>
      <c r="M76" s="123">
        <f>IF(OR($C76="",$B$2="",$D$2=0),0,IF(M$3&lt;0,0,N(INDEX('CURVA PREVISION'!$A$1:$KZ$3000,$C76,11+3*MIN(M$3,$D$2-1)))))</f>
        <v/>
      </c>
      <c r="N76" s="123">
        <f>IF(OR($C76="",$B$2="",$D$2=0),0,IF(N$3&lt;0,0,N(INDEX('CURVA PREVISION'!$A$1:$KZ$3000,$C76,11+3*MIN(N$3,$D$2-1)))))</f>
        <v/>
      </c>
      <c r="O76" s="123">
        <f>IF(OR($C76="",$B$2="",$D$2=0),0,IF(O$3&lt;0,0,N(INDEX('CURVA PREVISION'!$A$1:$KZ$3000,$C76,11+3*MIN(O$3,$D$2-1)))))</f>
        <v/>
      </c>
      <c r="P76" s="123">
        <f>IF(OR($C76="",$B$2="",$D$2=0),0,IF(P$3&lt;0,0,N(INDEX('CURVA PREVISION'!$A$1:$KZ$3000,$C76,11+3*MIN(P$3,$D$2-1)))))</f>
        <v/>
      </c>
      <c r="Q76" s="123">
        <f>IF(OR($C76="",$B$2="",$D$2=0),0,IF(Q$3&lt;0,0,N(INDEX('CURVA PREVISION'!$A$1:$KZ$3000,$C76,11+3*MIN(Q$3,$D$2-1)))))</f>
        <v/>
      </c>
      <c r="R76" s="123">
        <f>IF(OR($C76="",$B$2="",$D$2=0),0,IF(R$3&lt;0,0,N(INDEX('CURVA PREVISION'!$A$1:$KZ$3000,$C76,11+3*MIN(R$3,$D$2-1)))))</f>
        <v/>
      </c>
      <c r="S76" s="123">
        <f>IF(OR($C76="",$B$2="",$D$2=0),0,IF(S$3&lt;0,0,N(INDEX('CURVA PREVISION'!$A$1:$KZ$3000,$C76,11+3*MIN(S$3,$D$2-1)))))</f>
        <v/>
      </c>
      <c r="T76" s="123">
        <f>IF(OR($C76="",$B$2="",$D$2=0),0,IF(T$3&lt;0,0,N(INDEX('CURVA PREVISION'!$A$1:$KZ$3000,$C76,11+3*MIN(T$3,$D$2-1)))))</f>
        <v/>
      </c>
      <c r="U76" s="123">
        <f>IF(OR($C76="",$B$2="",$D$2=0),0,IF(U$3&lt;0,0,N(INDEX('CURVA PREVISION'!$A$1:$KZ$3000,$C76,11+3*MIN(U$3,$D$2-1)))))</f>
        <v/>
      </c>
      <c r="V76" s="123">
        <f>IF(OR($C76="",$B$2="",$D$2=0),0,IF(V$3&lt;0,0,N(INDEX('CURVA PREVISION'!$A$1:$KZ$3000,$C76,11+3*MIN(V$3,$D$2-1)))))</f>
        <v/>
      </c>
      <c r="W76" s="123">
        <f>IF(OR($C76="",$B$2="",$D$2=0),0,IF(W$3&lt;0,0,N(INDEX('CURVA PREVISION'!$A$1:$KZ$3000,$C76,11+3*MIN(W$3,$D$2-1)))))</f>
        <v/>
      </c>
      <c r="X76" s="123">
        <f>IF(OR($C76="",$B$2="",$D$2=0),0,IF(X$3&lt;0,0,N(INDEX('CURVA PREVISION'!$A$1:$KZ$3000,$C76,11+3*MIN(X$3,$D$2-1)))))</f>
        <v/>
      </c>
      <c r="Y76" s="123">
        <f>IF(OR($C76="",$B$2="",$D$2=0),0,IF(Y$3&lt;0,0,N(INDEX('CURVA PREVISION'!$A$1:$KZ$3000,$C76,11+3*MIN(Y$3,$D$2-1)))))</f>
        <v/>
      </c>
      <c r="Z76" s="123">
        <f>IF(OR($C76="",$B$2="",$D$2=0),0,IF(Z$3&lt;0,0,N(INDEX('CURVA PREVISION'!$A$1:$KZ$3000,$C76,11+3*MIN(Z$3,$D$2-1)))))</f>
        <v/>
      </c>
      <c r="AA76" s="123">
        <f>IF(OR($C76="",$B$2="",$D$2=0),0,IF(AA$3&lt;0,0,N(INDEX('CURVA PREVISION'!$A$1:$KZ$3000,$C76,11+3*MIN(AA$3,$D$2-1)))))</f>
        <v/>
      </c>
      <c r="AB76" s="123">
        <f>IF(OR($C76="",$B$2="",$D$2=0),0,IF(AB$3&lt;0,0,N(INDEX('CURVA PREVISION'!$A$1:$KZ$3000,$C76,11+3*MIN(AB$3,$D$2-1)))))</f>
        <v/>
      </c>
      <c r="AC76" s="123">
        <f>IF(OR($C76="",$B$2="",$D$2=0),0,IF(AC$3&lt;0,0,N(INDEX('CURVA PREVISION'!$A$1:$KZ$3000,$C76,11+3*MIN(AC$3,$D$2-1)))))</f>
        <v/>
      </c>
      <c r="AD76" s="123">
        <f>IF(OR($C76="",$B$2="",$D$2=0),0,IF(AD$3&lt;0,0,N(INDEX('CURVA PREVISION'!$A$1:$KZ$3000,$C76,11+3*MIN(AD$3,$D$2-1)))))</f>
        <v/>
      </c>
      <c r="AE76" s="123">
        <f>IF(OR($C76="",$B$2="",$D$2=0),0,IF(AE$3&lt;0,0,N(INDEX('CURVA PREVISION'!$A$1:$KZ$3000,$C76,11+3*MIN(AE$3,$D$2-1)))))</f>
        <v/>
      </c>
      <c r="AF76" s="123">
        <f>IF(OR($C76="",$B$2="",$D$2=0),0,IF(AF$3&lt;0,0,N(INDEX('CURVA PREVISION'!$A$1:$KZ$3000,$C76,11+3*MIN(AF$3,$D$2-1)))))</f>
        <v/>
      </c>
      <c r="AG76" s="123">
        <f>IF(OR($C76="",$B$2="",$D$2=0),0,IF(AG$3&lt;0,0,N(INDEX('CURVA PREVISION'!$A$1:$KZ$3000,$C76,11+3*MIN(AG$3,$D$2-1)))))</f>
        <v/>
      </c>
      <c r="AH76" s="123">
        <f>IF(OR($C76="",$B$2="",$D$2=0),0,IF(AH$3&lt;0,0,N(INDEX('CURVA PREVISION'!$A$1:$KZ$3000,$C76,11+3*MIN(AH$3,$D$2-1)))))</f>
        <v/>
      </c>
      <c r="AI76" s="123">
        <f>IF(OR($C76="",$B$2="",$D$2=0),0,IF(AI$3&lt;0,0,N(INDEX('CURVA PREVISION'!$A$1:$KZ$3000,$C76,11+3*MIN(AI$3,$D$2-1)))))</f>
        <v/>
      </c>
      <c r="AJ76" s="123">
        <f>IF(OR($C76="",$B$2="",$D$2=0),0,IF(AJ$3&lt;0,0,N(INDEX('CURVA PREVISION'!$A$1:$KZ$3000,$C76,11+3*MIN(AJ$3,$D$2-1)))))</f>
        <v/>
      </c>
      <c r="AK76" s="123">
        <f>IF(OR($C76="",$B$2="",$D$2=0),0,IF(AK$3&lt;0,0,N(INDEX('CURVA PREVISION'!$A$1:$KZ$3000,$C76,11+3*MIN(AK$3,$D$2-1)))))</f>
        <v/>
      </c>
      <c r="AL76" s="123">
        <f>IF(OR($C76="",$B$2="",$D$2=0),0,IF(AL$3&lt;0,0,N(INDEX('CURVA PREVISION'!$A$1:$KZ$3000,$C76,11+3*MIN(AL$3,$D$2-1)))))</f>
        <v/>
      </c>
      <c r="AM76" s="123">
        <f>IF(OR($C76="",$B$2="",$D$2=0),0,IF(AM$3&lt;0,0,N(INDEX('CURVA PREVISION'!$A$1:$KZ$3000,$C76,11+3*MIN(AM$3,$D$2-1)))))</f>
        <v/>
      </c>
      <c r="AN76" s="123">
        <f>IF(OR($C76="",$B$2="",$D$2=0),0,IF(AN$3&lt;0,0,N(INDEX('CURVA PREVISION'!$A$1:$KZ$3000,$C76,11+3*MIN(AN$3,$D$2-1)))))</f>
        <v/>
      </c>
      <c r="AO76" s="123">
        <f>IF(OR($C76="",$B$2="",$D$2=0),0,IF(AO$3&lt;0,0,N(INDEX('CURVA PREVISION'!$A$1:$KZ$3000,$C76,11+3*MIN(AO$3,$D$2-1)))))</f>
        <v/>
      </c>
      <c r="AP76" s="123">
        <f>IF(OR($C76="",$B$2="",$D$2=0),0,IF(AP$3&lt;0,0,N(INDEX('CURVA PREVISION'!$A$1:$KZ$3000,$C76,11+3*MIN(AP$3,$D$2-1)))))</f>
        <v/>
      </c>
      <c r="AQ76" s="123">
        <f>IF(OR($C76="",$B$2="",$D$2=0),0,IF(AQ$3&lt;0,0,N(INDEX('CURVA PREVISION'!$A$1:$KZ$3000,$C76,11+3*MIN(AQ$3,$D$2-1)))))</f>
        <v/>
      </c>
      <c r="AR76" s="123">
        <f>IF(OR($C76="",$B$2="",$D$2=0),0,IF(AR$3&lt;0,0,N(INDEX('CURVA PREVISION'!$A$1:$KZ$3000,$C76,11+3*MIN(AR$3,$D$2-1)))))</f>
        <v/>
      </c>
      <c r="AS76" s="123">
        <f>IF(OR($C76="",$B$2="",$D$2=0),0,IF(AS$3&lt;0,0,N(INDEX('CURVA PREVISION'!$A$1:$KZ$3000,$C76,11+3*MIN(AS$3,$D$2-1)))))</f>
        <v/>
      </c>
      <c r="AT76" s="123">
        <f>IF(OR($C76="",$B$2="",$D$2=0),0,IF(AT$3&lt;0,0,N(INDEX('CURVA PREVISION'!$A$1:$KZ$3000,$C76,11+3*MIN(AT$3,$D$2-1)))))</f>
        <v/>
      </c>
      <c r="AU76" s="123">
        <f>IF(OR($C76="",$B$2="",$D$2=0),0,IF(AU$3&lt;0,0,N(INDEX('CURVA PREVISION'!$A$1:$KZ$3000,$C76,11+3*MIN(AU$3,$D$2-1)))))</f>
        <v/>
      </c>
      <c r="AV76" s="123">
        <f>IF(OR($C76="",$B$2="",$D$2=0),0,IF(AV$3&lt;0,0,N(INDEX('CURVA PREVISION'!$A$1:$KZ$3000,$C76,11+3*MIN(AV$3,$D$2-1)))))</f>
        <v/>
      </c>
      <c r="AW76" s="123">
        <f>IF(OR($C76="",$B$2="",$D$2=0),0,IF(AW$3&lt;0,0,N(INDEX('CURVA PREVISION'!$A$1:$KZ$3000,$C76,11+3*MIN(AW$3,$D$2-1)))))</f>
        <v/>
      </c>
      <c r="AX76" s="123">
        <f>IF(OR($C76="",$B$2="",$D$2=0),0,IF(AX$3&lt;0,0,N(INDEX('CURVA PREVISION'!$A$1:$KZ$3000,$C76,11+3*MIN(AX$3,$D$2-1)))))</f>
        <v/>
      </c>
      <c r="AY76" s="123">
        <f>IF(OR($C76="",$B$2="",$D$2=0),0,IF(AY$3&lt;0,0,N(INDEX('CURVA PREVISION'!$A$1:$KZ$3000,$C76,11+3*MIN(AY$3,$D$2-1)))))</f>
        <v/>
      </c>
      <c r="AZ76" s="123">
        <f>IF(OR($C76="",$B$2="",$D$2=0),0,IF(AZ$3&lt;0,0,N(INDEX('CURVA PREVISION'!$A$1:$KZ$3000,$C76,11+3*MIN(AZ$3,$D$2-1)))))</f>
        <v/>
      </c>
      <c r="BA76" s="123">
        <f>IF(OR($C76="",$B$2="",$D$2=0),0,IF(BA$3&lt;0,0,N(INDEX('CURVA PREVISION'!$A$1:$KZ$3000,$C76,11+3*MIN(BA$3,$D$2-1)))))</f>
        <v/>
      </c>
      <c r="BB76" s="123">
        <f>IF(OR($C76="",$B$2="",$D$2=0),0,IF(BB$3&lt;0,0,N(INDEX('CURVA PREVISION'!$A$1:$KZ$3000,$C76,11+3*MIN(BB$3,$D$2-1)))))</f>
        <v/>
      </c>
      <c r="BC76" s="123">
        <f>IF(OR($C76="",$B$2="",$D$2=0),0,IF(BC$3&lt;0,0,N(INDEX('CURVA PREVISION'!$A$1:$KZ$3000,$C76,11+3*MIN(BC$3,$D$2-1)))))</f>
        <v/>
      </c>
      <c r="BD76" s="123">
        <f>IF(OR($C76="",$B$2="",$D$2=0),0,IF(BD$3&lt;0,0,N(INDEX('CURVA PREVISION'!$A$1:$KZ$3000,$C76,11+3*MIN(BD$3,$D$2-1)))))</f>
        <v/>
      </c>
      <c r="BE76" s="123">
        <f>IF(OR($C76="",$B$2="",$D$2=0),0,IF(BE$3&lt;0,0,N(INDEX('CURVA PREVISION'!$A$1:$KZ$3000,$C76,11+3*MIN(BE$3,$D$2-1)))))</f>
        <v/>
      </c>
      <c r="BF76" s="123">
        <f>IF(OR($C76="",$B$2="",$D$2=0),0,IF(BF$3&lt;0,0,N(INDEX('CURVA PREVISION'!$A$1:$KZ$3000,$C76,11+3*MIN(BF$3,$D$2-1)))))</f>
        <v/>
      </c>
      <c r="BG76" s="123">
        <f>IF(OR($C76="",$B$2="",$D$2=0),0,IF(BG$3&lt;0,0,N(INDEX('CURVA PREVISION'!$A$1:$KZ$3000,$C76,11+3*MIN(BG$3,$D$2-1)))))</f>
        <v/>
      </c>
      <c r="BH76" s="123">
        <f>IF(OR($C76="",$B$2="",$D$2=0),0,IF(BH$3&lt;0,0,N(INDEX('CURVA PREVISION'!$A$1:$KZ$3000,$C76,11+3*MIN(BH$3,$D$2-1)))))</f>
        <v/>
      </c>
      <c r="BI76" s="123">
        <f>IF(OR($C76="",$B$2="",$D$2=0),0,IF(BI$3&lt;0,0,N(INDEX('CURVA PREVISION'!$A$1:$KZ$3000,$C76,11+3*MIN(BI$3,$D$2-1)))))</f>
        <v/>
      </c>
      <c r="BJ76" s="123">
        <f>IF(OR($C76="",$B$2="",$D$2=0),0,IF(BJ$3&lt;0,0,N(INDEX('CURVA PREVISION'!$A$1:$KZ$3000,$C76,11+3*MIN(BJ$3,$D$2-1)))))</f>
        <v/>
      </c>
      <c r="BK76" s="123">
        <f>IF(OR($C76="",$B$2="",$D$2=0),0,IF(BK$3&lt;0,0,N(INDEX('CURVA PREVISION'!$A$1:$KZ$3000,$C76,11+3*MIN(BK$3,$D$2-1)))))</f>
        <v/>
      </c>
      <c r="BL76" s="123">
        <f>IF(OR($C76="",$B$2="",$D$2=0),0,IF(BL$3&lt;0,0,N(INDEX('CURVA PREVISION'!$A$1:$KZ$3000,$C76,11+3*MIN(BL$3,$D$2-1)))))</f>
        <v/>
      </c>
      <c r="BM76" s="123">
        <f>IF(OR($C76="",$B$2="",$D$2=0),0,IF(BM$3&lt;0,0,N(INDEX('CURVA PREVISION'!$A$1:$KZ$3000,$C76,11+3*MIN(BM$3,$D$2-1)))))</f>
        <v/>
      </c>
      <c r="BN76" s="123">
        <f>IF(OR($C76="",$B$2="",$D$2=0),0,IF(BN$3&lt;0,0,N(INDEX('CURVA PREVISION'!$A$1:$KZ$3000,$C76,11+3*MIN(BN$3,$D$2-1)))))</f>
        <v/>
      </c>
      <c r="BO76" s="123">
        <f>IF(OR($C76="",$B$2="",$D$2=0),0,IF(BO$3&lt;0,0,N(INDEX('CURVA PREVISION'!$A$1:$KZ$3000,$C76,11+3*MIN(BO$3,$D$2-1)))))</f>
        <v/>
      </c>
      <c r="BP76" s="123">
        <f>IF(OR($C76="",$B$2="",$D$2=0),0,IF(BP$3&lt;0,0,N(INDEX('CURVA PREVISION'!$A$1:$KZ$3000,$C76,11+3*MIN(BP$3,$D$2-1)))))</f>
        <v/>
      </c>
      <c r="BQ76" s="123">
        <f>IF(OR($C76="",$B$2="",$D$2=0),0,IF(BQ$3&lt;0,0,N(INDEX('CURVA PREVISION'!$A$1:$KZ$3000,$C76,11+3*MIN(BQ$3,$D$2-1)))))</f>
        <v/>
      </c>
      <c r="BR76" s="123">
        <f>IF(OR($C76="",$B$2="",$D$2=0),0,IF(BR$3&lt;0,0,N(INDEX('CURVA PREVISION'!$A$1:$KZ$3000,$C76,11+3*MIN(BR$3,$D$2-1)))))</f>
        <v/>
      </c>
      <c r="BS76" s="123">
        <f>IF(OR($C76="",$B$2="",$D$2=0),0,IF(BS$3&lt;0,0,N(INDEX('CURVA PREVISION'!$A$1:$KZ$3000,$C76,11+3*MIN(BS$3,$D$2-1)))))</f>
        <v/>
      </c>
      <c r="BT76" s="123">
        <f>IF(OR($C76="",$B$2="",$D$2=0),0,IF(BT$3&lt;0,0,N(INDEX('CURVA PREVISION'!$A$1:$KZ$3000,$C76,11+3*MIN(BT$3,$D$2-1)))))</f>
        <v/>
      </c>
      <c r="BU76" s="123">
        <f>IF(OR($C76="",$B$2="",$D$2=0),0,IF(BU$3&lt;0,0,N(INDEX('CURVA PREVISION'!$A$1:$KZ$3000,$C76,11+3*MIN(BU$3,$D$2-1)))))</f>
        <v/>
      </c>
      <c r="BV76" s="123">
        <f>IF(OR($C76="",$B$2="",$D$2=0),0,IF(BV$3&lt;0,0,N(INDEX('CURVA PREVISION'!$A$1:$KZ$3000,$C76,11+3*MIN(BV$3,$D$2-1)))))</f>
        <v/>
      </c>
      <c r="BW76" s="123">
        <f>IF(OR($C76="",$B$2="",$D$2=0),0,IF(BW$3&lt;0,0,N(INDEX('CURVA PREVISION'!$A$1:$KZ$3000,$C76,11+3*MIN(BW$3,$D$2-1)))))</f>
        <v/>
      </c>
    </row>
    <row r="77">
      <c r="A77" s="61">
        <f>IF('VALOR POR PL'!Q41="",'VALOR POR PL'!C41,'VALOR POR PL'!Q41)</f>
        <v/>
      </c>
      <c r="B77" s="51">
        <f>B35</f>
        <v/>
      </c>
      <c r="C77" s="70">
        <f>IFERROR(MATCH(A77,'CURVA PREVISION'!$B$1:$B$3000,0),"")</f>
        <v/>
      </c>
      <c r="D77" s="123">
        <f>IF(OR($C77="",$B$2="",$D$2=0),0,IF(D$3&lt;0,0,N(INDEX('CURVA PREVISION'!$A$1:$KZ$3000,$C77,11+3*MIN(D$3,$D$2-1)))))</f>
        <v/>
      </c>
      <c r="E77" s="123">
        <f>IF(OR($C77="",$B$2="",$D$2=0),0,IF(E$3&lt;0,0,N(INDEX('CURVA PREVISION'!$A$1:$KZ$3000,$C77,11+3*MIN(E$3,$D$2-1)))))</f>
        <v/>
      </c>
      <c r="F77" s="123">
        <f>IF(OR($C77="",$B$2="",$D$2=0),0,IF(F$3&lt;0,0,N(INDEX('CURVA PREVISION'!$A$1:$KZ$3000,$C77,11+3*MIN(F$3,$D$2-1)))))</f>
        <v/>
      </c>
      <c r="G77" s="123">
        <f>IF(OR($C77="",$B$2="",$D$2=0),0,IF(G$3&lt;0,0,N(INDEX('CURVA PREVISION'!$A$1:$KZ$3000,$C77,11+3*MIN(G$3,$D$2-1)))))</f>
        <v/>
      </c>
      <c r="H77" s="123">
        <f>IF(OR($C77="",$B$2="",$D$2=0),0,IF(H$3&lt;0,0,N(INDEX('CURVA PREVISION'!$A$1:$KZ$3000,$C77,11+3*MIN(H$3,$D$2-1)))))</f>
        <v/>
      </c>
      <c r="I77" s="123">
        <f>IF(OR($C77="",$B$2="",$D$2=0),0,IF(I$3&lt;0,0,N(INDEX('CURVA PREVISION'!$A$1:$KZ$3000,$C77,11+3*MIN(I$3,$D$2-1)))))</f>
        <v/>
      </c>
      <c r="J77" s="123">
        <f>IF(OR($C77="",$B$2="",$D$2=0),0,IF(J$3&lt;0,0,N(INDEX('CURVA PREVISION'!$A$1:$KZ$3000,$C77,11+3*MIN(J$3,$D$2-1)))))</f>
        <v/>
      </c>
      <c r="K77" s="123">
        <f>IF(OR($C77="",$B$2="",$D$2=0),0,IF(K$3&lt;0,0,N(INDEX('CURVA PREVISION'!$A$1:$KZ$3000,$C77,11+3*MIN(K$3,$D$2-1)))))</f>
        <v/>
      </c>
      <c r="L77" s="123">
        <f>IF(OR($C77="",$B$2="",$D$2=0),0,IF(L$3&lt;0,0,N(INDEX('CURVA PREVISION'!$A$1:$KZ$3000,$C77,11+3*MIN(L$3,$D$2-1)))))</f>
        <v/>
      </c>
      <c r="M77" s="123">
        <f>IF(OR($C77="",$B$2="",$D$2=0),0,IF(M$3&lt;0,0,N(INDEX('CURVA PREVISION'!$A$1:$KZ$3000,$C77,11+3*MIN(M$3,$D$2-1)))))</f>
        <v/>
      </c>
      <c r="N77" s="123">
        <f>IF(OR($C77="",$B$2="",$D$2=0),0,IF(N$3&lt;0,0,N(INDEX('CURVA PREVISION'!$A$1:$KZ$3000,$C77,11+3*MIN(N$3,$D$2-1)))))</f>
        <v/>
      </c>
      <c r="O77" s="123">
        <f>IF(OR($C77="",$B$2="",$D$2=0),0,IF(O$3&lt;0,0,N(INDEX('CURVA PREVISION'!$A$1:$KZ$3000,$C77,11+3*MIN(O$3,$D$2-1)))))</f>
        <v/>
      </c>
      <c r="P77" s="123">
        <f>IF(OR($C77="",$B$2="",$D$2=0),0,IF(P$3&lt;0,0,N(INDEX('CURVA PREVISION'!$A$1:$KZ$3000,$C77,11+3*MIN(P$3,$D$2-1)))))</f>
        <v/>
      </c>
      <c r="Q77" s="123">
        <f>IF(OR($C77="",$B$2="",$D$2=0),0,IF(Q$3&lt;0,0,N(INDEX('CURVA PREVISION'!$A$1:$KZ$3000,$C77,11+3*MIN(Q$3,$D$2-1)))))</f>
        <v/>
      </c>
      <c r="R77" s="123">
        <f>IF(OR($C77="",$B$2="",$D$2=0),0,IF(R$3&lt;0,0,N(INDEX('CURVA PREVISION'!$A$1:$KZ$3000,$C77,11+3*MIN(R$3,$D$2-1)))))</f>
        <v/>
      </c>
      <c r="S77" s="123">
        <f>IF(OR($C77="",$B$2="",$D$2=0),0,IF(S$3&lt;0,0,N(INDEX('CURVA PREVISION'!$A$1:$KZ$3000,$C77,11+3*MIN(S$3,$D$2-1)))))</f>
        <v/>
      </c>
      <c r="T77" s="123">
        <f>IF(OR($C77="",$B$2="",$D$2=0),0,IF(T$3&lt;0,0,N(INDEX('CURVA PREVISION'!$A$1:$KZ$3000,$C77,11+3*MIN(T$3,$D$2-1)))))</f>
        <v/>
      </c>
      <c r="U77" s="123">
        <f>IF(OR($C77="",$B$2="",$D$2=0),0,IF(U$3&lt;0,0,N(INDEX('CURVA PREVISION'!$A$1:$KZ$3000,$C77,11+3*MIN(U$3,$D$2-1)))))</f>
        <v/>
      </c>
      <c r="V77" s="123">
        <f>IF(OR($C77="",$B$2="",$D$2=0),0,IF(V$3&lt;0,0,N(INDEX('CURVA PREVISION'!$A$1:$KZ$3000,$C77,11+3*MIN(V$3,$D$2-1)))))</f>
        <v/>
      </c>
      <c r="W77" s="123">
        <f>IF(OR($C77="",$B$2="",$D$2=0),0,IF(W$3&lt;0,0,N(INDEX('CURVA PREVISION'!$A$1:$KZ$3000,$C77,11+3*MIN(W$3,$D$2-1)))))</f>
        <v/>
      </c>
      <c r="X77" s="123">
        <f>IF(OR($C77="",$B$2="",$D$2=0),0,IF(X$3&lt;0,0,N(INDEX('CURVA PREVISION'!$A$1:$KZ$3000,$C77,11+3*MIN(X$3,$D$2-1)))))</f>
        <v/>
      </c>
      <c r="Y77" s="123">
        <f>IF(OR($C77="",$B$2="",$D$2=0),0,IF(Y$3&lt;0,0,N(INDEX('CURVA PREVISION'!$A$1:$KZ$3000,$C77,11+3*MIN(Y$3,$D$2-1)))))</f>
        <v/>
      </c>
      <c r="Z77" s="123">
        <f>IF(OR($C77="",$B$2="",$D$2=0),0,IF(Z$3&lt;0,0,N(INDEX('CURVA PREVISION'!$A$1:$KZ$3000,$C77,11+3*MIN(Z$3,$D$2-1)))))</f>
        <v/>
      </c>
      <c r="AA77" s="123">
        <f>IF(OR($C77="",$B$2="",$D$2=0),0,IF(AA$3&lt;0,0,N(INDEX('CURVA PREVISION'!$A$1:$KZ$3000,$C77,11+3*MIN(AA$3,$D$2-1)))))</f>
        <v/>
      </c>
      <c r="AB77" s="123">
        <f>IF(OR($C77="",$B$2="",$D$2=0),0,IF(AB$3&lt;0,0,N(INDEX('CURVA PREVISION'!$A$1:$KZ$3000,$C77,11+3*MIN(AB$3,$D$2-1)))))</f>
        <v/>
      </c>
      <c r="AC77" s="123">
        <f>IF(OR($C77="",$B$2="",$D$2=0),0,IF(AC$3&lt;0,0,N(INDEX('CURVA PREVISION'!$A$1:$KZ$3000,$C77,11+3*MIN(AC$3,$D$2-1)))))</f>
        <v/>
      </c>
      <c r="AD77" s="123">
        <f>IF(OR($C77="",$B$2="",$D$2=0),0,IF(AD$3&lt;0,0,N(INDEX('CURVA PREVISION'!$A$1:$KZ$3000,$C77,11+3*MIN(AD$3,$D$2-1)))))</f>
        <v/>
      </c>
      <c r="AE77" s="123">
        <f>IF(OR($C77="",$B$2="",$D$2=0),0,IF(AE$3&lt;0,0,N(INDEX('CURVA PREVISION'!$A$1:$KZ$3000,$C77,11+3*MIN(AE$3,$D$2-1)))))</f>
        <v/>
      </c>
      <c r="AF77" s="123">
        <f>IF(OR($C77="",$B$2="",$D$2=0),0,IF(AF$3&lt;0,0,N(INDEX('CURVA PREVISION'!$A$1:$KZ$3000,$C77,11+3*MIN(AF$3,$D$2-1)))))</f>
        <v/>
      </c>
      <c r="AG77" s="123">
        <f>IF(OR($C77="",$B$2="",$D$2=0),0,IF(AG$3&lt;0,0,N(INDEX('CURVA PREVISION'!$A$1:$KZ$3000,$C77,11+3*MIN(AG$3,$D$2-1)))))</f>
        <v/>
      </c>
      <c r="AH77" s="123">
        <f>IF(OR($C77="",$B$2="",$D$2=0),0,IF(AH$3&lt;0,0,N(INDEX('CURVA PREVISION'!$A$1:$KZ$3000,$C77,11+3*MIN(AH$3,$D$2-1)))))</f>
        <v/>
      </c>
      <c r="AI77" s="123">
        <f>IF(OR($C77="",$B$2="",$D$2=0),0,IF(AI$3&lt;0,0,N(INDEX('CURVA PREVISION'!$A$1:$KZ$3000,$C77,11+3*MIN(AI$3,$D$2-1)))))</f>
        <v/>
      </c>
      <c r="AJ77" s="123">
        <f>IF(OR($C77="",$B$2="",$D$2=0),0,IF(AJ$3&lt;0,0,N(INDEX('CURVA PREVISION'!$A$1:$KZ$3000,$C77,11+3*MIN(AJ$3,$D$2-1)))))</f>
        <v/>
      </c>
      <c r="AK77" s="123">
        <f>IF(OR($C77="",$B$2="",$D$2=0),0,IF(AK$3&lt;0,0,N(INDEX('CURVA PREVISION'!$A$1:$KZ$3000,$C77,11+3*MIN(AK$3,$D$2-1)))))</f>
        <v/>
      </c>
      <c r="AL77" s="123">
        <f>IF(OR($C77="",$B$2="",$D$2=0),0,IF(AL$3&lt;0,0,N(INDEX('CURVA PREVISION'!$A$1:$KZ$3000,$C77,11+3*MIN(AL$3,$D$2-1)))))</f>
        <v/>
      </c>
      <c r="AM77" s="123">
        <f>IF(OR($C77="",$B$2="",$D$2=0),0,IF(AM$3&lt;0,0,N(INDEX('CURVA PREVISION'!$A$1:$KZ$3000,$C77,11+3*MIN(AM$3,$D$2-1)))))</f>
        <v/>
      </c>
      <c r="AN77" s="123">
        <f>IF(OR($C77="",$B$2="",$D$2=0),0,IF(AN$3&lt;0,0,N(INDEX('CURVA PREVISION'!$A$1:$KZ$3000,$C77,11+3*MIN(AN$3,$D$2-1)))))</f>
        <v/>
      </c>
      <c r="AO77" s="123">
        <f>IF(OR($C77="",$B$2="",$D$2=0),0,IF(AO$3&lt;0,0,N(INDEX('CURVA PREVISION'!$A$1:$KZ$3000,$C77,11+3*MIN(AO$3,$D$2-1)))))</f>
        <v/>
      </c>
      <c r="AP77" s="123">
        <f>IF(OR($C77="",$B$2="",$D$2=0),0,IF(AP$3&lt;0,0,N(INDEX('CURVA PREVISION'!$A$1:$KZ$3000,$C77,11+3*MIN(AP$3,$D$2-1)))))</f>
        <v/>
      </c>
      <c r="AQ77" s="123">
        <f>IF(OR($C77="",$B$2="",$D$2=0),0,IF(AQ$3&lt;0,0,N(INDEX('CURVA PREVISION'!$A$1:$KZ$3000,$C77,11+3*MIN(AQ$3,$D$2-1)))))</f>
        <v/>
      </c>
      <c r="AR77" s="123">
        <f>IF(OR($C77="",$B$2="",$D$2=0),0,IF(AR$3&lt;0,0,N(INDEX('CURVA PREVISION'!$A$1:$KZ$3000,$C77,11+3*MIN(AR$3,$D$2-1)))))</f>
        <v/>
      </c>
      <c r="AS77" s="123">
        <f>IF(OR($C77="",$B$2="",$D$2=0),0,IF(AS$3&lt;0,0,N(INDEX('CURVA PREVISION'!$A$1:$KZ$3000,$C77,11+3*MIN(AS$3,$D$2-1)))))</f>
        <v/>
      </c>
      <c r="AT77" s="123">
        <f>IF(OR($C77="",$B$2="",$D$2=0),0,IF(AT$3&lt;0,0,N(INDEX('CURVA PREVISION'!$A$1:$KZ$3000,$C77,11+3*MIN(AT$3,$D$2-1)))))</f>
        <v/>
      </c>
      <c r="AU77" s="123">
        <f>IF(OR($C77="",$B$2="",$D$2=0),0,IF(AU$3&lt;0,0,N(INDEX('CURVA PREVISION'!$A$1:$KZ$3000,$C77,11+3*MIN(AU$3,$D$2-1)))))</f>
        <v/>
      </c>
      <c r="AV77" s="123">
        <f>IF(OR($C77="",$B$2="",$D$2=0),0,IF(AV$3&lt;0,0,N(INDEX('CURVA PREVISION'!$A$1:$KZ$3000,$C77,11+3*MIN(AV$3,$D$2-1)))))</f>
        <v/>
      </c>
      <c r="AW77" s="123">
        <f>IF(OR($C77="",$B$2="",$D$2=0),0,IF(AW$3&lt;0,0,N(INDEX('CURVA PREVISION'!$A$1:$KZ$3000,$C77,11+3*MIN(AW$3,$D$2-1)))))</f>
        <v/>
      </c>
      <c r="AX77" s="123">
        <f>IF(OR($C77="",$B$2="",$D$2=0),0,IF(AX$3&lt;0,0,N(INDEX('CURVA PREVISION'!$A$1:$KZ$3000,$C77,11+3*MIN(AX$3,$D$2-1)))))</f>
        <v/>
      </c>
      <c r="AY77" s="123">
        <f>IF(OR($C77="",$B$2="",$D$2=0),0,IF(AY$3&lt;0,0,N(INDEX('CURVA PREVISION'!$A$1:$KZ$3000,$C77,11+3*MIN(AY$3,$D$2-1)))))</f>
        <v/>
      </c>
      <c r="AZ77" s="123">
        <f>IF(OR($C77="",$B$2="",$D$2=0),0,IF(AZ$3&lt;0,0,N(INDEX('CURVA PREVISION'!$A$1:$KZ$3000,$C77,11+3*MIN(AZ$3,$D$2-1)))))</f>
        <v/>
      </c>
      <c r="BA77" s="123">
        <f>IF(OR($C77="",$B$2="",$D$2=0),0,IF(BA$3&lt;0,0,N(INDEX('CURVA PREVISION'!$A$1:$KZ$3000,$C77,11+3*MIN(BA$3,$D$2-1)))))</f>
        <v/>
      </c>
      <c r="BB77" s="123">
        <f>IF(OR($C77="",$B$2="",$D$2=0),0,IF(BB$3&lt;0,0,N(INDEX('CURVA PREVISION'!$A$1:$KZ$3000,$C77,11+3*MIN(BB$3,$D$2-1)))))</f>
        <v/>
      </c>
      <c r="BC77" s="123">
        <f>IF(OR($C77="",$B$2="",$D$2=0),0,IF(BC$3&lt;0,0,N(INDEX('CURVA PREVISION'!$A$1:$KZ$3000,$C77,11+3*MIN(BC$3,$D$2-1)))))</f>
        <v/>
      </c>
      <c r="BD77" s="123">
        <f>IF(OR($C77="",$B$2="",$D$2=0),0,IF(BD$3&lt;0,0,N(INDEX('CURVA PREVISION'!$A$1:$KZ$3000,$C77,11+3*MIN(BD$3,$D$2-1)))))</f>
        <v/>
      </c>
      <c r="BE77" s="123">
        <f>IF(OR($C77="",$B$2="",$D$2=0),0,IF(BE$3&lt;0,0,N(INDEX('CURVA PREVISION'!$A$1:$KZ$3000,$C77,11+3*MIN(BE$3,$D$2-1)))))</f>
        <v/>
      </c>
      <c r="BF77" s="123">
        <f>IF(OR($C77="",$B$2="",$D$2=0),0,IF(BF$3&lt;0,0,N(INDEX('CURVA PREVISION'!$A$1:$KZ$3000,$C77,11+3*MIN(BF$3,$D$2-1)))))</f>
        <v/>
      </c>
      <c r="BG77" s="123">
        <f>IF(OR($C77="",$B$2="",$D$2=0),0,IF(BG$3&lt;0,0,N(INDEX('CURVA PREVISION'!$A$1:$KZ$3000,$C77,11+3*MIN(BG$3,$D$2-1)))))</f>
        <v/>
      </c>
      <c r="BH77" s="123">
        <f>IF(OR($C77="",$B$2="",$D$2=0),0,IF(BH$3&lt;0,0,N(INDEX('CURVA PREVISION'!$A$1:$KZ$3000,$C77,11+3*MIN(BH$3,$D$2-1)))))</f>
        <v/>
      </c>
      <c r="BI77" s="123">
        <f>IF(OR($C77="",$B$2="",$D$2=0),0,IF(BI$3&lt;0,0,N(INDEX('CURVA PREVISION'!$A$1:$KZ$3000,$C77,11+3*MIN(BI$3,$D$2-1)))))</f>
        <v/>
      </c>
      <c r="BJ77" s="123">
        <f>IF(OR($C77="",$B$2="",$D$2=0),0,IF(BJ$3&lt;0,0,N(INDEX('CURVA PREVISION'!$A$1:$KZ$3000,$C77,11+3*MIN(BJ$3,$D$2-1)))))</f>
        <v/>
      </c>
      <c r="BK77" s="123">
        <f>IF(OR($C77="",$B$2="",$D$2=0),0,IF(BK$3&lt;0,0,N(INDEX('CURVA PREVISION'!$A$1:$KZ$3000,$C77,11+3*MIN(BK$3,$D$2-1)))))</f>
        <v/>
      </c>
      <c r="BL77" s="123">
        <f>IF(OR($C77="",$B$2="",$D$2=0),0,IF(BL$3&lt;0,0,N(INDEX('CURVA PREVISION'!$A$1:$KZ$3000,$C77,11+3*MIN(BL$3,$D$2-1)))))</f>
        <v/>
      </c>
      <c r="BM77" s="123">
        <f>IF(OR($C77="",$B$2="",$D$2=0),0,IF(BM$3&lt;0,0,N(INDEX('CURVA PREVISION'!$A$1:$KZ$3000,$C77,11+3*MIN(BM$3,$D$2-1)))))</f>
        <v/>
      </c>
      <c r="BN77" s="123">
        <f>IF(OR($C77="",$B$2="",$D$2=0),0,IF(BN$3&lt;0,0,N(INDEX('CURVA PREVISION'!$A$1:$KZ$3000,$C77,11+3*MIN(BN$3,$D$2-1)))))</f>
        <v/>
      </c>
      <c r="BO77" s="123">
        <f>IF(OR($C77="",$B$2="",$D$2=0),0,IF(BO$3&lt;0,0,N(INDEX('CURVA PREVISION'!$A$1:$KZ$3000,$C77,11+3*MIN(BO$3,$D$2-1)))))</f>
        <v/>
      </c>
      <c r="BP77" s="123">
        <f>IF(OR($C77="",$B$2="",$D$2=0),0,IF(BP$3&lt;0,0,N(INDEX('CURVA PREVISION'!$A$1:$KZ$3000,$C77,11+3*MIN(BP$3,$D$2-1)))))</f>
        <v/>
      </c>
      <c r="BQ77" s="123">
        <f>IF(OR($C77="",$B$2="",$D$2=0),0,IF(BQ$3&lt;0,0,N(INDEX('CURVA PREVISION'!$A$1:$KZ$3000,$C77,11+3*MIN(BQ$3,$D$2-1)))))</f>
        <v/>
      </c>
      <c r="BR77" s="123">
        <f>IF(OR($C77="",$B$2="",$D$2=0),0,IF(BR$3&lt;0,0,N(INDEX('CURVA PREVISION'!$A$1:$KZ$3000,$C77,11+3*MIN(BR$3,$D$2-1)))))</f>
        <v/>
      </c>
      <c r="BS77" s="123">
        <f>IF(OR($C77="",$B$2="",$D$2=0),0,IF(BS$3&lt;0,0,N(INDEX('CURVA PREVISION'!$A$1:$KZ$3000,$C77,11+3*MIN(BS$3,$D$2-1)))))</f>
        <v/>
      </c>
      <c r="BT77" s="123">
        <f>IF(OR($C77="",$B$2="",$D$2=0),0,IF(BT$3&lt;0,0,N(INDEX('CURVA PREVISION'!$A$1:$KZ$3000,$C77,11+3*MIN(BT$3,$D$2-1)))))</f>
        <v/>
      </c>
      <c r="BU77" s="123">
        <f>IF(OR($C77="",$B$2="",$D$2=0),0,IF(BU$3&lt;0,0,N(INDEX('CURVA PREVISION'!$A$1:$KZ$3000,$C77,11+3*MIN(BU$3,$D$2-1)))))</f>
        <v/>
      </c>
      <c r="BV77" s="123">
        <f>IF(OR($C77="",$B$2="",$D$2=0),0,IF(BV$3&lt;0,0,N(INDEX('CURVA PREVISION'!$A$1:$KZ$3000,$C77,11+3*MIN(BV$3,$D$2-1)))))</f>
        <v/>
      </c>
      <c r="BW77" s="123">
        <f>IF(OR($C77="",$B$2="",$D$2=0),0,IF(BW$3&lt;0,0,N(INDEX('CURVA PREVISION'!$A$1:$KZ$3000,$C77,11+3*MIN(BW$3,$D$2-1)))))</f>
        <v/>
      </c>
    </row>
    <row r="78">
      <c r="A78" s="61">
        <f>IF('VALOR POR PL'!Q42="",'VALOR POR PL'!C42,'VALOR POR PL'!Q42)</f>
        <v/>
      </c>
      <c r="B78" s="51">
        <f>B36</f>
        <v/>
      </c>
      <c r="C78" s="70">
        <f>IFERROR(MATCH(A78,'CURVA PREVISION'!$B$1:$B$3000,0),"")</f>
        <v/>
      </c>
      <c r="D78" s="123">
        <f>IF(OR($C78="",$B$2="",$D$2=0),0,IF(D$3&lt;0,0,N(INDEX('CURVA PREVISION'!$A$1:$KZ$3000,$C78,11+3*MIN(D$3,$D$2-1)))))</f>
        <v/>
      </c>
      <c r="E78" s="123">
        <f>IF(OR($C78="",$B$2="",$D$2=0),0,IF(E$3&lt;0,0,N(INDEX('CURVA PREVISION'!$A$1:$KZ$3000,$C78,11+3*MIN(E$3,$D$2-1)))))</f>
        <v/>
      </c>
      <c r="F78" s="123">
        <f>IF(OR($C78="",$B$2="",$D$2=0),0,IF(F$3&lt;0,0,N(INDEX('CURVA PREVISION'!$A$1:$KZ$3000,$C78,11+3*MIN(F$3,$D$2-1)))))</f>
        <v/>
      </c>
      <c r="G78" s="123">
        <f>IF(OR($C78="",$B$2="",$D$2=0),0,IF(G$3&lt;0,0,N(INDEX('CURVA PREVISION'!$A$1:$KZ$3000,$C78,11+3*MIN(G$3,$D$2-1)))))</f>
        <v/>
      </c>
      <c r="H78" s="123">
        <f>IF(OR($C78="",$B$2="",$D$2=0),0,IF(H$3&lt;0,0,N(INDEX('CURVA PREVISION'!$A$1:$KZ$3000,$C78,11+3*MIN(H$3,$D$2-1)))))</f>
        <v/>
      </c>
      <c r="I78" s="123">
        <f>IF(OR($C78="",$B$2="",$D$2=0),0,IF(I$3&lt;0,0,N(INDEX('CURVA PREVISION'!$A$1:$KZ$3000,$C78,11+3*MIN(I$3,$D$2-1)))))</f>
        <v/>
      </c>
      <c r="J78" s="123">
        <f>IF(OR($C78="",$B$2="",$D$2=0),0,IF(J$3&lt;0,0,N(INDEX('CURVA PREVISION'!$A$1:$KZ$3000,$C78,11+3*MIN(J$3,$D$2-1)))))</f>
        <v/>
      </c>
      <c r="K78" s="123">
        <f>IF(OR($C78="",$B$2="",$D$2=0),0,IF(K$3&lt;0,0,N(INDEX('CURVA PREVISION'!$A$1:$KZ$3000,$C78,11+3*MIN(K$3,$D$2-1)))))</f>
        <v/>
      </c>
      <c r="L78" s="123">
        <f>IF(OR($C78="",$B$2="",$D$2=0),0,IF(L$3&lt;0,0,N(INDEX('CURVA PREVISION'!$A$1:$KZ$3000,$C78,11+3*MIN(L$3,$D$2-1)))))</f>
        <v/>
      </c>
      <c r="M78" s="123">
        <f>IF(OR($C78="",$B$2="",$D$2=0),0,IF(M$3&lt;0,0,N(INDEX('CURVA PREVISION'!$A$1:$KZ$3000,$C78,11+3*MIN(M$3,$D$2-1)))))</f>
        <v/>
      </c>
      <c r="N78" s="123">
        <f>IF(OR($C78="",$B$2="",$D$2=0),0,IF(N$3&lt;0,0,N(INDEX('CURVA PREVISION'!$A$1:$KZ$3000,$C78,11+3*MIN(N$3,$D$2-1)))))</f>
        <v/>
      </c>
      <c r="O78" s="123">
        <f>IF(OR($C78="",$B$2="",$D$2=0),0,IF(O$3&lt;0,0,N(INDEX('CURVA PREVISION'!$A$1:$KZ$3000,$C78,11+3*MIN(O$3,$D$2-1)))))</f>
        <v/>
      </c>
      <c r="P78" s="123">
        <f>IF(OR($C78="",$B$2="",$D$2=0),0,IF(P$3&lt;0,0,N(INDEX('CURVA PREVISION'!$A$1:$KZ$3000,$C78,11+3*MIN(P$3,$D$2-1)))))</f>
        <v/>
      </c>
      <c r="Q78" s="123">
        <f>IF(OR($C78="",$B$2="",$D$2=0),0,IF(Q$3&lt;0,0,N(INDEX('CURVA PREVISION'!$A$1:$KZ$3000,$C78,11+3*MIN(Q$3,$D$2-1)))))</f>
        <v/>
      </c>
      <c r="R78" s="123">
        <f>IF(OR($C78="",$B$2="",$D$2=0),0,IF(R$3&lt;0,0,N(INDEX('CURVA PREVISION'!$A$1:$KZ$3000,$C78,11+3*MIN(R$3,$D$2-1)))))</f>
        <v/>
      </c>
      <c r="S78" s="123">
        <f>IF(OR($C78="",$B$2="",$D$2=0),0,IF(S$3&lt;0,0,N(INDEX('CURVA PREVISION'!$A$1:$KZ$3000,$C78,11+3*MIN(S$3,$D$2-1)))))</f>
        <v/>
      </c>
      <c r="T78" s="123">
        <f>IF(OR($C78="",$B$2="",$D$2=0),0,IF(T$3&lt;0,0,N(INDEX('CURVA PREVISION'!$A$1:$KZ$3000,$C78,11+3*MIN(T$3,$D$2-1)))))</f>
        <v/>
      </c>
      <c r="U78" s="123">
        <f>IF(OR($C78="",$B$2="",$D$2=0),0,IF(U$3&lt;0,0,N(INDEX('CURVA PREVISION'!$A$1:$KZ$3000,$C78,11+3*MIN(U$3,$D$2-1)))))</f>
        <v/>
      </c>
      <c r="V78" s="123">
        <f>IF(OR($C78="",$B$2="",$D$2=0),0,IF(V$3&lt;0,0,N(INDEX('CURVA PREVISION'!$A$1:$KZ$3000,$C78,11+3*MIN(V$3,$D$2-1)))))</f>
        <v/>
      </c>
      <c r="W78" s="123">
        <f>IF(OR($C78="",$B$2="",$D$2=0),0,IF(W$3&lt;0,0,N(INDEX('CURVA PREVISION'!$A$1:$KZ$3000,$C78,11+3*MIN(W$3,$D$2-1)))))</f>
        <v/>
      </c>
      <c r="X78" s="123">
        <f>IF(OR($C78="",$B$2="",$D$2=0),0,IF(X$3&lt;0,0,N(INDEX('CURVA PREVISION'!$A$1:$KZ$3000,$C78,11+3*MIN(X$3,$D$2-1)))))</f>
        <v/>
      </c>
      <c r="Y78" s="123">
        <f>IF(OR($C78="",$B$2="",$D$2=0),0,IF(Y$3&lt;0,0,N(INDEX('CURVA PREVISION'!$A$1:$KZ$3000,$C78,11+3*MIN(Y$3,$D$2-1)))))</f>
        <v/>
      </c>
      <c r="Z78" s="123">
        <f>IF(OR($C78="",$B$2="",$D$2=0),0,IF(Z$3&lt;0,0,N(INDEX('CURVA PREVISION'!$A$1:$KZ$3000,$C78,11+3*MIN(Z$3,$D$2-1)))))</f>
        <v/>
      </c>
      <c r="AA78" s="123">
        <f>IF(OR($C78="",$B$2="",$D$2=0),0,IF(AA$3&lt;0,0,N(INDEX('CURVA PREVISION'!$A$1:$KZ$3000,$C78,11+3*MIN(AA$3,$D$2-1)))))</f>
        <v/>
      </c>
      <c r="AB78" s="123">
        <f>IF(OR($C78="",$B$2="",$D$2=0),0,IF(AB$3&lt;0,0,N(INDEX('CURVA PREVISION'!$A$1:$KZ$3000,$C78,11+3*MIN(AB$3,$D$2-1)))))</f>
        <v/>
      </c>
      <c r="AC78" s="123">
        <f>IF(OR($C78="",$B$2="",$D$2=0),0,IF(AC$3&lt;0,0,N(INDEX('CURVA PREVISION'!$A$1:$KZ$3000,$C78,11+3*MIN(AC$3,$D$2-1)))))</f>
        <v/>
      </c>
      <c r="AD78" s="123">
        <f>IF(OR($C78="",$B$2="",$D$2=0),0,IF(AD$3&lt;0,0,N(INDEX('CURVA PREVISION'!$A$1:$KZ$3000,$C78,11+3*MIN(AD$3,$D$2-1)))))</f>
        <v/>
      </c>
      <c r="AE78" s="123">
        <f>IF(OR($C78="",$B$2="",$D$2=0),0,IF(AE$3&lt;0,0,N(INDEX('CURVA PREVISION'!$A$1:$KZ$3000,$C78,11+3*MIN(AE$3,$D$2-1)))))</f>
        <v/>
      </c>
      <c r="AF78" s="123">
        <f>IF(OR($C78="",$B$2="",$D$2=0),0,IF(AF$3&lt;0,0,N(INDEX('CURVA PREVISION'!$A$1:$KZ$3000,$C78,11+3*MIN(AF$3,$D$2-1)))))</f>
        <v/>
      </c>
      <c r="AG78" s="123">
        <f>IF(OR($C78="",$B$2="",$D$2=0),0,IF(AG$3&lt;0,0,N(INDEX('CURVA PREVISION'!$A$1:$KZ$3000,$C78,11+3*MIN(AG$3,$D$2-1)))))</f>
        <v/>
      </c>
      <c r="AH78" s="123">
        <f>IF(OR($C78="",$B$2="",$D$2=0),0,IF(AH$3&lt;0,0,N(INDEX('CURVA PREVISION'!$A$1:$KZ$3000,$C78,11+3*MIN(AH$3,$D$2-1)))))</f>
        <v/>
      </c>
      <c r="AI78" s="123">
        <f>IF(OR($C78="",$B$2="",$D$2=0),0,IF(AI$3&lt;0,0,N(INDEX('CURVA PREVISION'!$A$1:$KZ$3000,$C78,11+3*MIN(AI$3,$D$2-1)))))</f>
        <v/>
      </c>
      <c r="AJ78" s="123">
        <f>IF(OR($C78="",$B$2="",$D$2=0),0,IF(AJ$3&lt;0,0,N(INDEX('CURVA PREVISION'!$A$1:$KZ$3000,$C78,11+3*MIN(AJ$3,$D$2-1)))))</f>
        <v/>
      </c>
      <c r="AK78" s="123">
        <f>IF(OR($C78="",$B$2="",$D$2=0),0,IF(AK$3&lt;0,0,N(INDEX('CURVA PREVISION'!$A$1:$KZ$3000,$C78,11+3*MIN(AK$3,$D$2-1)))))</f>
        <v/>
      </c>
      <c r="AL78" s="123">
        <f>IF(OR($C78="",$B$2="",$D$2=0),0,IF(AL$3&lt;0,0,N(INDEX('CURVA PREVISION'!$A$1:$KZ$3000,$C78,11+3*MIN(AL$3,$D$2-1)))))</f>
        <v/>
      </c>
      <c r="AM78" s="123">
        <f>IF(OR($C78="",$B$2="",$D$2=0),0,IF(AM$3&lt;0,0,N(INDEX('CURVA PREVISION'!$A$1:$KZ$3000,$C78,11+3*MIN(AM$3,$D$2-1)))))</f>
        <v/>
      </c>
      <c r="AN78" s="123">
        <f>IF(OR($C78="",$B$2="",$D$2=0),0,IF(AN$3&lt;0,0,N(INDEX('CURVA PREVISION'!$A$1:$KZ$3000,$C78,11+3*MIN(AN$3,$D$2-1)))))</f>
        <v/>
      </c>
      <c r="AO78" s="123">
        <f>IF(OR($C78="",$B$2="",$D$2=0),0,IF(AO$3&lt;0,0,N(INDEX('CURVA PREVISION'!$A$1:$KZ$3000,$C78,11+3*MIN(AO$3,$D$2-1)))))</f>
        <v/>
      </c>
      <c r="AP78" s="123">
        <f>IF(OR($C78="",$B$2="",$D$2=0),0,IF(AP$3&lt;0,0,N(INDEX('CURVA PREVISION'!$A$1:$KZ$3000,$C78,11+3*MIN(AP$3,$D$2-1)))))</f>
        <v/>
      </c>
      <c r="AQ78" s="123">
        <f>IF(OR($C78="",$B$2="",$D$2=0),0,IF(AQ$3&lt;0,0,N(INDEX('CURVA PREVISION'!$A$1:$KZ$3000,$C78,11+3*MIN(AQ$3,$D$2-1)))))</f>
        <v/>
      </c>
      <c r="AR78" s="123">
        <f>IF(OR($C78="",$B$2="",$D$2=0),0,IF(AR$3&lt;0,0,N(INDEX('CURVA PREVISION'!$A$1:$KZ$3000,$C78,11+3*MIN(AR$3,$D$2-1)))))</f>
        <v/>
      </c>
      <c r="AS78" s="123">
        <f>IF(OR($C78="",$B$2="",$D$2=0),0,IF(AS$3&lt;0,0,N(INDEX('CURVA PREVISION'!$A$1:$KZ$3000,$C78,11+3*MIN(AS$3,$D$2-1)))))</f>
        <v/>
      </c>
      <c r="AT78" s="123">
        <f>IF(OR($C78="",$B$2="",$D$2=0),0,IF(AT$3&lt;0,0,N(INDEX('CURVA PREVISION'!$A$1:$KZ$3000,$C78,11+3*MIN(AT$3,$D$2-1)))))</f>
        <v/>
      </c>
      <c r="AU78" s="123">
        <f>IF(OR($C78="",$B$2="",$D$2=0),0,IF(AU$3&lt;0,0,N(INDEX('CURVA PREVISION'!$A$1:$KZ$3000,$C78,11+3*MIN(AU$3,$D$2-1)))))</f>
        <v/>
      </c>
      <c r="AV78" s="123">
        <f>IF(OR($C78="",$B$2="",$D$2=0),0,IF(AV$3&lt;0,0,N(INDEX('CURVA PREVISION'!$A$1:$KZ$3000,$C78,11+3*MIN(AV$3,$D$2-1)))))</f>
        <v/>
      </c>
      <c r="AW78" s="123">
        <f>IF(OR($C78="",$B$2="",$D$2=0),0,IF(AW$3&lt;0,0,N(INDEX('CURVA PREVISION'!$A$1:$KZ$3000,$C78,11+3*MIN(AW$3,$D$2-1)))))</f>
        <v/>
      </c>
      <c r="AX78" s="123">
        <f>IF(OR($C78="",$B$2="",$D$2=0),0,IF(AX$3&lt;0,0,N(INDEX('CURVA PREVISION'!$A$1:$KZ$3000,$C78,11+3*MIN(AX$3,$D$2-1)))))</f>
        <v/>
      </c>
      <c r="AY78" s="123">
        <f>IF(OR($C78="",$B$2="",$D$2=0),0,IF(AY$3&lt;0,0,N(INDEX('CURVA PREVISION'!$A$1:$KZ$3000,$C78,11+3*MIN(AY$3,$D$2-1)))))</f>
        <v/>
      </c>
      <c r="AZ78" s="123">
        <f>IF(OR($C78="",$B$2="",$D$2=0),0,IF(AZ$3&lt;0,0,N(INDEX('CURVA PREVISION'!$A$1:$KZ$3000,$C78,11+3*MIN(AZ$3,$D$2-1)))))</f>
        <v/>
      </c>
      <c r="BA78" s="123">
        <f>IF(OR($C78="",$B$2="",$D$2=0),0,IF(BA$3&lt;0,0,N(INDEX('CURVA PREVISION'!$A$1:$KZ$3000,$C78,11+3*MIN(BA$3,$D$2-1)))))</f>
        <v/>
      </c>
      <c r="BB78" s="123">
        <f>IF(OR($C78="",$B$2="",$D$2=0),0,IF(BB$3&lt;0,0,N(INDEX('CURVA PREVISION'!$A$1:$KZ$3000,$C78,11+3*MIN(BB$3,$D$2-1)))))</f>
        <v/>
      </c>
      <c r="BC78" s="123">
        <f>IF(OR($C78="",$B$2="",$D$2=0),0,IF(BC$3&lt;0,0,N(INDEX('CURVA PREVISION'!$A$1:$KZ$3000,$C78,11+3*MIN(BC$3,$D$2-1)))))</f>
        <v/>
      </c>
      <c r="BD78" s="123">
        <f>IF(OR($C78="",$B$2="",$D$2=0),0,IF(BD$3&lt;0,0,N(INDEX('CURVA PREVISION'!$A$1:$KZ$3000,$C78,11+3*MIN(BD$3,$D$2-1)))))</f>
        <v/>
      </c>
      <c r="BE78" s="123">
        <f>IF(OR($C78="",$B$2="",$D$2=0),0,IF(BE$3&lt;0,0,N(INDEX('CURVA PREVISION'!$A$1:$KZ$3000,$C78,11+3*MIN(BE$3,$D$2-1)))))</f>
        <v/>
      </c>
      <c r="BF78" s="123">
        <f>IF(OR($C78="",$B$2="",$D$2=0),0,IF(BF$3&lt;0,0,N(INDEX('CURVA PREVISION'!$A$1:$KZ$3000,$C78,11+3*MIN(BF$3,$D$2-1)))))</f>
        <v/>
      </c>
      <c r="BG78" s="123">
        <f>IF(OR($C78="",$B$2="",$D$2=0),0,IF(BG$3&lt;0,0,N(INDEX('CURVA PREVISION'!$A$1:$KZ$3000,$C78,11+3*MIN(BG$3,$D$2-1)))))</f>
        <v/>
      </c>
      <c r="BH78" s="123">
        <f>IF(OR($C78="",$B$2="",$D$2=0),0,IF(BH$3&lt;0,0,N(INDEX('CURVA PREVISION'!$A$1:$KZ$3000,$C78,11+3*MIN(BH$3,$D$2-1)))))</f>
        <v/>
      </c>
      <c r="BI78" s="123">
        <f>IF(OR($C78="",$B$2="",$D$2=0),0,IF(BI$3&lt;0,0,N(INDEX('CURVA PREVISION'!$A$1:$KZ$3000,$C78,11+3*MIN(BI$3,$D$2-1)))))</f>
        <v/>
      </c>
      <c r="BJ78" s="123">
        <f>IF(OR($C78="",$B$2="",$D$2=0),0,IF(BJ$3&lt;0,0,N(INDEX('CURVA PREVISION'!$A$1:$KZ$3000,$C78,11+3*MIN(BJ$3,$D$2-1)))))</f>
        <v/>
      </c>
      <c r="BK78" s="123">
        <f>IF(OR($C78="",$B$2="",$D$2=0),0,IF(BK$3&lt;0,0,N(INDEX('CURVA PREVISION'!$A$1:$KZ$3000,$C78,11+3*MIN(BK$3,$D$2-1)))))</f>
        <v/>
      </c>
      <c r="BL78" s="123">
        <f>IF(OR($C78="",$B$2="",$D$2=0),0,IF(BL$3&lt;0,0,N(INDEX('CURVA PREVISION'!$A$1:$KZ$3000,$C78,11+3*MIN(BL$3,$D$2-1)))))</f>
        <v/>
      </c>
      <c r="BM78" s="123">
        <f>IF(OR($C78="",$B$2="",$D$2=0),0,IF(BM$3&lt;0,0,N(INDEX('CURVA PREVISION'!$A$1:$KZ$3000,$C78,11+3*MIN(BM$3,$D$2-1)))))</f>
        <v/>
      </c>
      <c r="BN78" s="123">
        <f>IF(OR($C78="",$B$2="",$D$2=0),0,IF(BN$3&lt;0,0,N(INDEX('CURVA PREVISION'!$A$1:$KZ$3000,$C78,11+3*MIN(BN$3,$D$2-1)))))</f>
        <v/>
      </c>
      <c r="BO78" s="123">
        <f>IF(OR($C78="",$B$2="",$D$2=0),0,IF(BO$3&lt;0,0,N(INDEX('CURVA PREVISION'!$A$1:$KZ$3000,$C78,11+3*MIN(BO$3,$D$2-1)))))</f>
        <v/>
      </c>
      <c r="BP78" s="123">
        <f>IF(OR($C78="",$B$2="",$D$2=0),0,IF(BP$3&lt;0,0,N(INDEX('CURVA PREVISION'!$A$1:$KZ$3000,$C78,11+3*MIN(BP$3,$D$2-1)))))</f>
        <v/>
      </c>
      <c r="BQ78" s="123">
        <f>IF(OR($C78="",$B$2="",$D$2=0),0,IF(BQ$3&lt;0,0,N(INDEX('CURVA PREVISION'!$A$1:$KZ$3000,$C78,11+3*MIN(BQ$3,$D$2-1)))))</f>
        <v/>
      </c>
      <c r="BR78" s="123">
        <f>IF(OR($C78="",$B$2="",$D$2=0),0,IF(BR$3&lt;0,0,N(INDEX('CURVA PREVISION'!$A$1:$KZ$3000,$C78,11+3*MIN(BR$3,$D$2-1)))))</f>
        <v/>
      </c>
      <c r="BS78" s="123">
        <f>IF(OR($C78="",$B$2="",$D$2=0),0,IF(BS$3&lt;0,0,N(INDEX('CURVA PREVISION'!$A$1:$KZ$3000,$C78,11+3*MIN(BS$3,$D$2-1)))))</f>
        <v/>
      </c>
      <c r="BT78" s="123">
        <f>IF(OR($C78="",$B$2="",$D$2=0),0,IF(BT$3&lt;0,0,N(INDEX('CURVA PREVISION'!$A$1:$KZ$3000,$C78,11+3*MIN(BT$3,$D$2-1)))))</f>
        <v/>
      </c>
      <c r="BU78" s="123">
        <f>IF(OR($C78="",$B$2="",$D$2=0),0,IF(BU$3&lt;0,0,N(INDEX('CURVA PREVISION'!$A$1:$KZ$3000,$C78,11+3*MIN(BU$3,$D$2-1)))))</f>
        <v/>
      </c>
      <c r="BV78" s="123">
        <f>IF(OR($C78="",$B$2="",$D$2=0),0,IF(BV$3&lt;0,0,N(INDEX('CURVA PREVISION'!$A$1:$KZ$3000,$C78,11+3*MIN(BV$3,$D$2-1)))))</f>
        <v/>
      </c>
      <c r="BW78" s="123">
        <f>IF(OR($C78="",$B$2="",$D$2=0),0,IF(BW$3&lt;0,0,N(INDEX('CURVA PREVISION'!$A$1:$KZ$3000,$C78,11+3*MIN(BW$3,$D$2-1)))))</f>
        <v/>
      </c>
    </row>
    <row r="79">
      <c r="A79" s="61">
        <f>IF('VALOR POR PL'!Q43="",'VALOR POR PL'!C43,'VALOR POR PL'!Q43)</f>
        <v/>
      </c>
      <c r="B79" s="51">
        <f>B37</f>
        <v/>
      </c>
      <c r="C79" s="70">
        <f>IFERROR(MATCH(A79,'CURVA PREVISION'!$B$1:$B$3000,0),"")</f>
        <v/>
      </c>
      <c r="D79" s="123">
        <f>IF(OR($C79="",$B$2="",$D$2=0),0,IF(D$3&lt;0,0,N(INDEX('CURVA PREVISION'!$A$1:$KZ$3000,$C79,11+3*MIN(D$3,$D$2-1)))))</f>
        <v/>
      </c>
      <c r="E79" s="123">
        <f>IF(OR($C79="",$B$2="",$D$2=0),0,IF(E$3&lt;0,0,N(INDEX('CURVA PREVISION'!$A$1:$KZ$3000,$C79,11+3*MIN(E$3,$D$2-1)))))</f>
        <v/>
      </c>
      <c r="F79" s="123">
        <f>IF(OR($C79="",$B$2="",$D$2=0),0,IF(F$3&lt;0,0,N(INDEX('CURVA PREVISION'!$A$1:$KZ$3000,$C79,11+3*MIN(F$3,$D$2-1)))))</f>
        <v/>
      </c>
      <c r="G79" s="123">
        <f>IF(OR($C79="",$B$2="",$D$2=0),0,IF(G$3&lt;0,0,N(INDEX('CURVA PREVISION'!$A$1:$KZ$3000,$C79,11+3*MIN(G$3,$D$2-1)))))</f>
        <v/>
      </c>
      <c r="H79" s="123">
        <f>IF(OR($C79="",$B$2="",$D$2=0),0,IF(H$3&lt;0,0,N(INDEX('CURVA PREVISION'!$A$1:$KZ$3000,$C79,11+3*MIN(H$3,$D$2-1)))))</f>
        <v/>
      </c>
      <c r="I79" s="123">
        <f>IF(OR($C79="",$B$2="",$D$2=0),0,IF(I$3&lt;0,0,N(INDEX('CURVA PREVISION'!$A$1:$KZ$3000,$C79,11+3*MIN(I$3,$D$2-1)))))</f>
        <v/>
      </c>
      <c r="J79" s="123">
        <f>IF(OR($C79="",$B$2="",$D$2=0),0,IF(J$3&lt;0,0,N(INDEX('CURVA PREVISION'!$A$1:$KZ$3000,$C79,11+3*MIN(J$3,$D$2-1)))))</f>
        <v/>
      </c>
      <c r="K79" s="123">
        <f>IF(OR($C79="",$B$2="",$D$2=0),0,IF(K$3&lt;0,0,N(INDEX('CURVA PREVISION'!$A$1:$KZ$3000,$C79,11+3*MIN(K$3,$D$2-1)))))</f>
        <v/>
      </c>
      <c r="L79" s="123">
        <f>IF(OR($C79="",$B$2="",$D$2=0),0,IF(L$3&lt;0,0,N(INDEX('CURVA PREVISION'!$A$1:$KZ$3000,$C79,11+3*MIN(L$3,$D$2-1)))))</f>
        <v/>
      </c>
      <c r="M79" s="123">
        <f>IF(OR($C79="",$B$2="",$D$2=0),0,IF(M$3&lt;0,0,N(INDEX('CURVA PREVISION'!$A$1:$KZ$3000,$C79,11+3*MIN(M$3,$D$2-1)))))</f>
        <v/>
      </c>
      <c r="N79" s="123">
        <f>IF(OR($C79="",$B$2="",$D$2=0),0,IF(N$3&lt;0,0,N(INDEX('CURVA PREVISION'!$A$1:$KZ$3000,$C79,11+3*MIN(N$3,$D$2-1)))))</f>
        <v/>
      </c>
      <c r="O79" s="123">
        <f>IF(OR($C79="",$B$2="",$D$2=0),0,IF(O$3&lt;0,0,N(INDEX('CURVA PREVISION'!$A$1:$KZ$3000,$C79,11+3*MIN(O$3,$D$2-1)))))</f>
        <v/>
      </c>
      <c r="P79" s="123">
        <f>IF(OR($C79="",$B$2="",$D$2=0),0,IF(P$3&lt;0,0,N(INDEX('CURVA PREVISION'!$A$1:$KZ$3000,$C79,11+3*MIN(P$3,$D$2-1)))))</f>
        <v/>
      </c>
      <c r="Q79" s="123">
        <f>IF(OR($C79="",$B$2="",$D$2=0),0,IF(Q$3&lt;0,0,N(INDEX('CURVA PREVISION'!$A$1:$KZ$3000,$C79,11+3*MIN(Q$3,$D$2-1)))))</f>
        <v/>
      </c>
      <c r="R79" s="123">
        <f>IF(OR($C79="",$B$2="",$D$2=0),0,IF(R$3&lt;0,0,N(INDEX('CURVA PREVISION'!$A$1:$KZ$3000,$C79,11+3*MIN(R$3,$D$2-1)))))</f>
        <v/>
      </c>
      <c r="S79" s="123">
        <f>IF(OR($C79="",$B$2="",$D$2=0),0,IF(S$3&lt;0,0,N(INDEX('CURVA PREVISION'!$A$1:$KZ$3000,$C79,11+3*MIN(S$3,$D$2-1)))))</f>
        <v/>
      </c>
      <c r="T79" s="123">
        <f>IF(OR($C79="",$B$2="",$D$2=0),0,IF(T$3&lt;0,0,N(INDEX('CURVA PREVISION'!$A$1:$KZ$3000,$C79,11+3*MIN(T$3,$D$2-1)))))</f>
        <v/>
      </c>
      <c r="U79" s="123">
        <f>IF(OR($C79="",$B$2="",$D$2=0),0,IF(U$3&lt;0,0,N(INDEX('CURVA PREVISION'!$A$1:$KZ$3000,$C79,11+3*MIN(U$3,$D$2-1)))))</f>
        <v/>
      </c>
      <c r="V79" s="123">
        <f>IF(OR($C79="",$B$2="",$D$2=0),0,IF(V$3&lt;0,0,N(INDEX('CURVA PREVISION'!$A$1:$KZ$3000,$C79,11+3*MIN(V$3,$D$2-1)))))</f>
        <v/>
      </c>
      <c r="W79" s="123">
        <f>IF(OR($C79="",$B$2="",$D$2=0),0,IF(W$3&lt;0,0,N(INDEX('CURVA PREVISION'!$A$1:$KZ$3000,$C79,11+3*MIN(W$3,$D$2-1)))))</f>
        <v/>
      </c>
      <c r="X79" s="123">
        <f>IF(OR($C79="",$B$2="",$D$2=0),0,IF(X$3&lt;0,0,N(INDEX('CURVA PREVISION'!$A$1:$KZ$3000,$C79,11+3*MIN(X$3,$D$2-1)))))</f>
        <v/>
      </c>
      <c r="Y79" s="123">
        <f>IF(OR($C79="",$B$2="",$D$2=0),0,IF(Y$3&lt;0,0,N(INDEX('CURVA PREVISION'!$A$1:$KZ$3000,$C79,11+3*MIN(Y$3,$D$2-1)))))</f>
        <v/>
      </c>
      <c r="Z79" s="123">
        <f>IF(OR($C79="",$B$2="",$D$2=0),0,IF(Z$3&lt;0,0,N(INDEX('CURVA PREVISION'!$A$1:$KZ$3000,$C79,11+3*MIN(Z$3,$D$2-1)))))</f>
        <v/>
      </c>
      <c r="AA79" s="123">
        <f>IF(OR($C79="",$B$2="",$D$2=0),0,IF(AA$3&lt;0,0,N(INDEX('CURVA PREVISION'!$A$1:$KZ$3000,$C79,11+3*MIN(AA$3,$D$2-1)))))</f>
        <v/>
      </c>
      <c r="AB79" s="123">
        <f>IF(OR($C79="",$B$2="",$D$2=0),0,IF(AB$3&lt;0,0,N(INDEX('CURVA PREVISION'!$A$1:$KZ$3000,$C79,11+3*MIN(AB$3,$D$2-1)))))</f>
        <v/>
      </c>
      <c r="AC79" s="123">
        <f>IF(OR($C79="",$B$2="",$D$2=0),0,IF(AC$3&lt;0,0,N(INDEX('CURVA PREVISION'!$A$1:$KZ$3000,$C79,11+3*MIN(AC$3,$D$2-1)))))</f>
        <v/>
      </c>
      <c r="AD79" s="123">
        <f>IF(OR($C79="",$B$2="",$D$2=0),0,IF(AD$3&lt;0,0,N(INDEX('CURVA PREVISION'!$A$1:$KZ$3000,$C79,11+3*MIN(AD$3,$D$2-1)))))</f>
        <v/>
      </c>
      <c r="AE79" s="123">
        <f>IF(OR($C79="",$B$2="",$D$2=0),0,IF(AE$3&lt;0,0,N(INDEX('CURVA PREVISION'!$A$1:$KZ$3000,$C79,11+3*MIN(AE$3,$D$2-1)))))</f>
        <v/>
      </c>
      <c r="AF79" s="123">
        <f>IF(OR($C79="",$B$2="",$D$2=0),0,IF(AF$3&lt;0,0,N(INDEX('CURVA PREVISION'!$A$1:$KZ$3000,$C79,11+3*MIN(AF$3,$D$2-1)))))</f>
        <v/>
      </c>
      <c r="AG79" s="123">
        <f>IF(OR($C79="",$B$2="",$D$2=0),0,IF(AG$3&lt;0,0,N(INDEX('CURVA PREVISION'!$A$1:$KZ$3000,$C79,11+3*MIN(AG$3,$D$2-1)))))</f>
        <v/>
      </c>
      <c r="AH79" s="123">
        <f>IF(OR($C79="",$B$2="",$D$2=0),0,IF(AH$3&lt;0,0,N(INDEX('CURVA PREVISION'!$A$1:$KZ$3000,$C79,11+3*MIN(AH$3,$D$2-1)))))</f>
        <v/>
      </c>
      <c r="AI79" s="123">
        <f>IF(OR($C79="",$B$2="",$D$2=0),0,IF(AI$3&lt;0,0,N(INDEX('CURVA PREVISION'!$A$1:$KZ$3000,$C79,11+3*MIN(AI$3,$D$2-1)))))</f>
        <v/>
      </c>
      <c r="AJ79" s="123">
        <f>IF(OR($C79="",$B$2="",$D$2=0),0,IF(AJ$3&lt;0,0,N(INDEX('CURVA PREVISION'!$A$1:$KZ$3000,$C79,11+3*MIN(AJ$3,$D$2-1)))))</f>
        <v/>
      </c>
      <c r="AK79" s="123">
        <f>IF(OR($C79="",$B$2="",$D$2=0),0,IF(AK$3&lt;0,0,N(INDEX('CURVA PREVISION'!$A$1:$KZ$3000,$C79,11+3*MIN(AK$3,$D$2-1)))))</f>
        <v/>
      </c>
      <c r="AL79" s="123">
        <f>IF(OR($C79="",$B$2="",$D$2=0),0,IF(AL$3&lt;0,0,N(INDEX('CURVA PREVISION'!$A$1:$KZ$3000,$C79,11+3*MIN(AL$3,$D$2-1)))))</f>
        <v/>
      </c>
      <c r="AM79" s="123">
        <f>IF(OR($C79="",$B$2="",$D$2=0),0,IF(AM$3&lt;0,0,N(INDEX('CURVA PREVISION'!$A$1:$KZ$3000,$C79,11+3*MIN(AM$3,$D$2-1)))))</f>
        <v/>
      </c>
      <c r="AN79" s="123">
        <f>IF(OR($C79="",$B$2="",$D$2=0),0,IF(AN$3&lt;0,0,N(INDEX('CURVA PREVISION'!$A$1:$KZ$3000,$C79,11+3*MIN(AN$3,$D$2-1)))))</f>
        <v/>
      </c>
      <c r="AO79" s="123">
        <f>IF(OR($C79="",$B$2="",$D$2=0),0,IF(AO$3&lt;0,0,N(INDEX('CURVA PREVISION'!$A$1:$KZ$3000,$C79,11+3*MIN(AO$3,$D$2-1)))))</f>
        <v/>
      </c>
      <c r="AP79" s="123">
        <f>IF(OR($C79="",$B$2="",$D$2=0),0,IF(AP$3&lt;0,0,N(INDEX('CURVA PREVISION'!$A$1:$KZ$3000,$C79,11+3*MIN(AP$3,$D$2-1)))))</f>
        <v/>
      </c>
      <c r="AQ79" s="123">
        <f>IF(OR($C79="",$B$2="",$D$2=0),0,IF(AQ$3&lt;0,0,N(INDEX('CURVA PREVISION'!$A$1:$KZ$3000,$C79,11+3*MIN(AQ$3,$D$2-1)))))</f>
        <v/>
      </c>
      <c r="AR79" s="123">
        <f>IF(OR($C79="",$B$2="",$D$2=0),0,IF(AR$3&lt;0,0,N(INDEX('CURVA PREVISION'!$A$1:$KZ$3000,$C79,11+3*MIN(AR$3,$D$2-1)))))</f>
        <v/>
      </c>
      <c r="AS79" s="123">
        <f>IF(OR($C79="",$B$2="",$D$2=0),0,IF(AS$3&lt;0,0,N(INDEX('CURVA PREVISION'!$A$1:$KZ$3000,$C79,11+3*MIN(AS$3,$D$2-1)))))</f>
        <v/>
      </c>
      <c r="AT79" s="123">
        <f>IF(OR($C79="",$B$2="",$D$2=0),0,IF(AT$3&lt;0,0,N(INDEX('CURVA PREVISION'!$A$1:$KZ$3000,$C79,11+3*MIN(AT$3,$D$2-1)))))</f>
        <v/>
      </c>
      <c r="AU79" s="123">
        <f>IF(OR($C79="",$B$2="",$D$2=0),0,IF(AU$3&lt;0,0,N(INDEX('CURVA PREVISION'!$A$1:$KZ$3000,$C79,11+3*MIN(AU$3,$D$2-1)))))</f>
        <v/>
      </c>
      <c r="AV79" s="123">
        <f>IF(OR($C79="",$B$2="",$D$2=0),0,IF(AV$3&lt;0,0,N(INDEX('CURVA PREVISION'!$A$1:$KZ$3000,$C79,11+3*MIN(AV$3,$D$2-1)))))</f>
        <v/>
      </c>
      <c r="AW79" s="123">
        <f>IF(OR($C79="",$B$2="",$D$2=0),0,IF(AW$3&lt;0,0,N(INDEX('CURVA PREVISION'!$A$1:$KZ$3000,$C79,11+3*MIN(AW$3,$D$2-1)))))</f>
        <v/>
      </c>
      <c r="AX79" s="123">
        <f>IF(OR($C79="",$B$2="",$D$2=0),0,IF(AX$3&lt;0,0,N(INDEX('CURVA PREVISION'!$A$1:$KZ$3000,$C79,11+3*MIN(AX$3,$D$2-1)))))</f>
        <v/>
      </c>
      <c r="AY79" s="123">
        <f>IF(OR($C79="",$B$2="",$D$2=0),0,IF(AY$3&lt;0,0,N(INDEX('CURVA PREVISION'!$A$1:$KZ$3000,$C79,11+3*MIN(AY$3,$D$2-1)))))</f>
        <v/>
      </c>
      <c r="AZ79" s="123">
        <f>IF(OR($C79="",$B$2="",$D$2=0),0,IF(AZ$3&lt;0,0,N(INDEX('CURVA PREVISION'!$A$1:$KZ$3000,$C79,11+3*MIN(AZ$3,$D$2-1)))))</f>
        <v/>
      </c>
      <c r="BA79" s="123">
        <f>IF(OR($C79="",$B$2="",$D$2=0),0,IF(BA$3&lt;0,0,N(INDEX('CURVA PREVISION'!$A$1:$KZ$3000,$C79,11+3*MIN(BA$3,$D$2-1)))))</f>
        <v/>
      </c>
      <c r="BB79" s="123">
        <f>IF(OR($C79="",$B$2="",$D$2=0),0,IF(BB$3&lt;0,0,N(INDEX('CURVA PREVISION'!$A$1:$KZ$3000,$C79,11+3*MIN(BB$3,$D$2-1)))))</f>
        <v/>
      </c>
      <c r="BC79" s="123">
        <f>IF(OR($C79="",$B$2="",$D$2=0),0,IF(BC$3&lt;0,0,N(INDEX('CURVA PREVISION'!$A$1:$KZ$3000,$C79,11+3*MIN(BC$3,$D$2-1)))))</f>
        <v/>
      </c>
      <c r="BD79" s="123">
        <f>IF(OR($C79="",$B$2="",$D$2=0),0,IF(BD$3&lt;0,0,N(INDEX('CURVA PREVISION'!$A$1:$KZ$3000,$C79,11+3*MIN(BD$3,$D$2-1)))))</f>
        <v/>
      </c>
      <c r="BE79" s="123">
        <f>IF(OR($C79="",$B$2="",$D$2=0),0,IF(BE$3&lt;0,0,N(INDEX('CURVA PREVISION'!$A$1:$KZ$3000,$C79,11+3*MIN(BE$3,$D$2-1)))))</f>
        <v/>
      </c>
      <c r="BF79" s="123">
        <f>IF(OR($C79="",$B$2="",$D$2=0),0,IF(BF$3&lt;0,0,N(INDEX('CURVA PREVISION'!$A$1:$KZ$3000,$C79,11+3*MIN(BF$3,$D$2-1)))))</f>
        <v/>
      </c>
      <c r="BG79" s="123">
        <f>IF(OR($C79="",$B$2="",$D$2=0),0,IF(BG$3&lt;0,0,N(INDEX('CURVA PREVISION'!$A$1:$KZ$3000,$C79,11+3*MIN(BG$3,$D$2-1)))))</f>
        <v/>
      </c>
      <c r="BH79" s="123">
        <f>IF(OR($C79="",$B$2="",$D$2=0),0,IF(BH$3&lt;0,0,N(INDEX('CURVA PREVISION'!$A$1:$KZ$3000,$C79,11+3*MIN(BH$3,$D$2-1)))))</f>
        <v/>
      </c>
      <c r="BI79" s="123">
        <f>IF(OR($C79="",$B$2="",$D$2=0),0,IF(BI$3&lt;0,0,N(INDEX('CURVA PREVISION'!$A$1:$KZ$3000,$C79,11+3*MIN(BI$3,$D$2-1)))))</f>
        <v/>
      </c>
      <c r="BJ79" s="123">
        <f>IF(OR($C79="",$B$2="",$D$2=0),0,IF(BJ$3&lt;0,0,N(INDEX('CURVA PREVISION'!$A$1:$KZ$3000,$C79,11+3*MIN(BJ$3,$D$2-1)))))</f>
        <v/>
      </c>
      <c r="BK79" s="123">
        <f>IF(OR($C79="",$B$2="",$D$2=0),0,IF(BK$3&lt;0,0,N(INDEX('CURVA PREVISION'!$A$1:$KZ$3000,$C79,11+3*MIN(BK$3,$D$2-1)))))</f>
        <v/>
      </c>
      <c r="BL79" s="123">
        <f>IF(OR($C79="",$B$2="",$D$2=0),0,IF(BL$3&lt;0,0,N(INDEX('CURVA PREVISION'!$A$1:$KZ$3000,$C79,11+3*MIN(BL$3,$D$2-1)))))</f>
        <v/>
      </c>
      <c r="BM79" s="123">
        <f>IF(OR($C79="",$B$2="",$D$2=0),0,IF(BM$3&lt;0,0,N(INDEX('CURVA PREVISION'!$A$1:$KZ$3000,$C79,11+3*MIN(BM$3,$D$2-1)))))</f>
        <v/>
      </c>
      <c r="BN79" s="123">
        <f>IF(OR($C79="",$B$2="",$D$2=0),0,IF(BN$3&lt;0,0,N(INDEX('CURVA PREVISION'!$A$1:$KZ$3000,$C79,11+3*MIN(BN$3,$D$2-1)))))</f>
        <v/>
      </c>
      <c r="BO79" s="123">
        <f>IF(OR($C79="",$B$2="",$D$2=0),0,IF(BO$3&lt;0,0,N(INDEX('CURVA PREVISION'!$A$1:$KZ$3000,$C79,11+3*MIN(BO$3,$D$2-1)))))</f>
        <v/>
      </c>
      <c r="BP79" s="123">
        <f>IF(OR($C79="",$B$2="",$D$2=0),0,IF(BP$3&lt;0,0,N(INDEX('CURVA PREVISION'!$A$1:$KZ$3000,$C79,11+3*MIN(BP$3,$D$2-1)))))</f>
        <v/>
      </c>
      <c r="BQ79" s="123">
        <f>IF(OR($C79="",$B$2="",$D$2=0),0,IF(BQ$3&lt;0,0,N(INDEX('CURVA PREVISION'!$A$1:$KZ$3000,$C79,11+3*MIN(BQ$3,$D$2-1)))))</f>
        <v/>
      </c>
      <c r="BR79" s="123">
        <f>IF(OR($C79="",$B$2="",$D$2=0),0,IF(BR$3&lt;0,0,N(INDEX('CURVA PREVISION'!$A$1:$KZ$3000,$C79,11+3*MIN(BR$3,$D$2-1)))))</f>
        <v/>
      </c>
      <c r="BS79" s="123">
        <f>IF(OR($C79="",$B$2="",$D$2=0),0,IF(BS$3&lt;0,0,N(INDEX('CURVA PREVISION'!$A$1:$KZ$3000,$C79,11+3*MIN(BS$3,$D$2-1)))))</f>
        <v/>
      </c>
      <c r="BT79" s="123">
        <f>IF(OR($C79="",$B$2="",$D$2=0),0,IF(BT$3&lt;0,0,N(INDEX('CURVA PREVISION'!$A$1:$KZ$3000,$C79,11+3*MIN(BT$3,$D$2-1)))))</f>
        <v/>
      </c>
      <c r="BU79" s="123">
        <f>IF(OR($C79="",$B$2="",$D$2=0),0,IF(BU$3&lt;0,0,N(INDEX('CURVA PREVISION'!$A$1:$KZ$3000,$C79,11+3*MIN(BU$3,$D$2-1)))))</f>
        <v/>
      </c>
      <c r="BV79" s="123">
        <f>IF(OR($C79="",$B$2="",$D$2=0),0,IF(BV$3&lt;0,0,N(INDEX('CURVA PREVISION'!$A$1:$KZ$3000,$C79,11+3*MIN(BV$3,$D$2-1)))))</f>
        <v/>
      </c>
      <c r="BW79" s="123">
        <f>IF(OR($C79="",$B$2="",$D$2=0),0,IF(BW$3&lt;0,0,N(INDEX('CURVA PREVISION'!$A$1:$KZ$3000,$C79,11+3*MIN(BW$3,$D$2-1)))))</f>
        <v/>
      </c>
    </row>
    <row r="80">
      <c r="A80" s="61">
        <f>IF('VALOR POR PL'!Q44="",'VALOR POR PL'!C44,'VALOR POR PL'!Q44)</f>
        <v/>
      </c>
      <c r="B80" s="51">
        <f>B38</f>
        <v/>
      </c>
      <c r="C80" s="70">
        <f>IFERROR(MATCH(A80,'CURVA PREVISION'!$B$1:$B$3000,0),"")</f>
        <v/>
      </c>
      <c r="D80" s="123">
        <f>IF(OR($C80="",$B$2="",$D$2=0),0,IF(D$3&lt;0,0,N(INDEX('CURVA PREVISION'!$A$1:$KZ$3000,$C80,11+3*MIN(D$3,$D$2-1)))))</f>
        <v/>
      </c>
      <c r="E80" s="123">
        <f>IF(OR($C80="",$B$2="",$D$2=0),0,IF(E$3&lt;0,0,N(INDEX('CURVA PREVISION'!$A$1:$KZ$3000,$C80,11+3*MIN(E$3,$D$2-1)))))</f>
        <v/>
      </c>
      <c r="F80" s="123">
        <f>IF(OR($C80="",$B$2="",$D$2=0),0,IF(F$3&lt;0,0,N(INDEX('CURVA PREVISION'!$A$1:$KZ$3000,$C80,11+3*MIN(F$3,$D$2-1)))))</f>
        <v/>
      </c>
      <c r="G80" s="123">
        <f>IF(OR($C80="",$B$2="",$D$2=0),0,IF(G$3&lt;0,0,N(INDEX('CURVA PREVISION'!$A$1:$KZ$3000,$C80,11+3*MIN(G$3,$D$2-1)))))</f>
        <v/>
      </c>
      <c r="H80" s="123">
        <f>IF(OR($C80="",$B$2="",$D$2=0),0,IF(H$3&lt;0,0,N(INDEX('CURVA PREVISION'!$A$1:$KZ$3000,$C80,11+3*MIN(H$3,$D$2-1)))))</f>
        <v/>
      </c>
      <c r="I80" s="123">
        <f>IF(OR($C80="",$B$2="",$D$2=0),0,IF(I$3&lt;0,0,N(INDEX('CURVA PREVISION'!$A$1:$KZ$3000,$C80,11+3*MIN(I$3,$D$2-1)))))</f>
        <v/>
      </c>
      <c r="J80" s="123">
        <f>IF(OR($C80="",$B$2="",$D$2=0),0,IF(J$3&lt;0,0,N(INDEX('CURVA PREVISION'!$A$1:$KZ$3000,$C80,11+3*MIN(J$3,$D$2-1)))))</f>
        <v/>
      </c>
      <c r="K80" s="123">
        <f>IF(OR($C80="",$B$2="",$D$2=0),0,IF(K$3&lt;0,0,N(INDEX('CURVA PREVISION'!$A$1:$KZ$3000,$C80,11+3*MIN(K$3,$D$2-1)))))</f>
        <v/>
      </c>
      <c r="L80" s="123">
        <f>IF(OR($C80="",$B$2="",$D$2=0),0,IF(L$3&lt;0,0,N(INDEX('CURVA PREVISION'!$A$1:$KZ$3000,$C80,11+3*MIN(L$3,$D$2-1)))))</f>
        <v/>
      </c>
      <c r="M80" s="123">
        <f>IF(OR($C80="",$B$2="",$D$2=0),0,IF(M$3&lt;0,0,N(INDEX('CURVA PREVISION'!$A$1:$KZ$3000,$C80,11+3*MIN(M$3,$D$2-1)))))</f>
        <v/>
      </c>
      <c r="N80" s="123">
        <f>IF(OR($C80="",$B$2="",$D$2=0),0,IF(N$3&lt;0,0,N(INDEX('CURVA PREVISION'!$A$1:$KZ$3000,$C80,11+3*MIN(N$3,$D$2-1)))))</f>
        <v/>
      </c>
      <c r="O80" s="123">
        <f>IF(OR($C80="",$B$2="",$D$2=0),0,IF(O$3&lt;0,0,N(INDEX('CURVA PREVISION'!$A$1:$KZ$3000,$C80,11+3*MIN(O$3,$D$2-1)))))</f>
        <v/>
      </c>
      <c r="P80" s="123">
        <f>IF(OR($C80="",$B$2="",$D$2=0),0,IF(P$3&lt;0,0,N(INDEX('CURVA PREVISION'!$A$1:$KZ$3000,$C80,11+3*MIN(P$3,$D$2-1)))))</f>
        <v/>
      </c>
      <c r="Q80" s="123">
        <f>IF(OR($C80="",$B$2="",$D$2=0),0,IF(Q$3&lt;0,0,N(INDEX('CURVA PREVISION'!$A$1:$KZ$3000,$C80,11+3*MIN(Q$3,$D$2-1)))))</f>
        <v/>
      </c>
      <c r="R80" s="123">
        <f>IF(OR($C80="",$B$2="",$D$2=0),0,IF(R$3&lt;0,0,N(INDEX('CURVA PREVISION'!$A$1:$KZ$3000,$C80,11+3*MIN(R$3,$D$2-1)))))</f>
        <v/>
      </c>
      <c r="S80" s="123">
        <f>IF(OR($C80="",$B$2="",$D$2=0),0,IF(S$3&lt;0,0,N(INDEX('CURVA PREVISION'!$A$1:$KZ$3000,$C80,11+3*MIN(S$3,$D$2-1)))))</f>
        <v/>
      </c>
      <c r="T80" s="123">
        <f>IF(OR($C80="",$B$2="",$D$2=0),0,IF(T$3&lt;0,0,N(INDEX('CURVA PREVISION'!$A$1:$KZ$3000,$C80,11+3*MIN(T$3,$D$2-1)))))</f>
        <v/>
      </c>
      <c r="U80" s="123">
        <f>IF(OR($C80="",$B$2="",$D$2=0),0,IF(U$3&lt;0,0,N(INDEX('CURVA PREVISION'!$A$1:$KZ$3000,$C80,11+3*MIN(U$3,$D$2-1)))))</f>
        <v/>
      </c>
      <c r="V80" s="123">
        <f>IF(OR($C80="",$B$2="",$D$2=0),0,IF(V$3&lt;0,0,N(INDEX('CURVA PREVISION'!$A$1:$KZ$3000,$C80,11+3*MIN(V$3,$D$2-1)))))</f>
        <v/>
      </c>
      <c r="W80" s="123">
        <f>IF(OR($C80="",$B$2="",$D$2=0),0,IF(W$3&lt;0,0,N(INDEX('CURVA PREVISION'!$A$1:$KZ$3000,$C80,11+3*MIN(W$3,$D$2-1)))))</f>
        <v/>
      </c>
      <c r="X80" s="123">
        <f>IF(OR($C80="",$B$2="",$D$2=0),0,IF(X$3&lt;0,0,N(INDEX('CURVA PREVISION'!$A$1:$KZ$3000,$C80,11+3*MIN(X$3,$D$2-1)))))</f>
        <v/>
      </c>
      <c r="Y80" s="123">
        <f>IF(OR($C80="",$B$2="",$D$2=0),0,IF(Y$3&lt;0,0,N(INDEX('CURVA PREVISION'!$A$1:$KZ$3000,$C80,11+3*MIN(Y$3,$D$2-1)))))</f>
        <v/>
      </c>
      <c r="Z80" s="123">
        <f>IF(OR($C80="",$B$2="",$D$2=0),0,IF(Z$3&lt;0,0,N(INDEX('CURVA PREVISION'!$A$1:$KZ$3000,$C80,11+3*MIN(Z$3,$D$2-1)))))</f>
        <v/>
      </c>
      <c r="AA80" s="123">
        <f>IF(OR($C80="",$B$2="",$D$2=0),0,IF(AA$3&lt;0,0,N(INDEX('CURVA PREVISION'!$A$1:$KZ$3000,$C80,11+3*MIN(AA$3,$D$2-1)))))</f>
        <v/>
      </c>
      <c r="AB80" s="123">
        <f>IF(OR($C80="",$B$2="",$D$2=0),0,IF(AB$3&lt;0,0,N(INDEX('CURVA PREVISION'!$A$1:$KZ$3000,$C80,11+3*MIN(AB$3,$D$2-1)))))</f>
        <v/>
      </c>
      <c r="AC80" s="123">
        <f>IF(OR($C80="",$B$2="",$D$2=0),0,IF(AC$3&lt;0,0,N(INDEX('CURVA PREVISION'!$A$1:$KZ$3000,$C80,11+3*MIN(AC$3,$D$2-1)))))</f>
        <v/>
      </c>
      <c r="AD80" s="123">
        <f>IF(OR($C80="",$B$2="",$D$2=0),0,IF(AD$3&lt;0,0,N(INDEX('CURVA PREVISION'!$A$1:$KZ$3000,$C80,11+3*MIN(AD$3,$D$2-1)))))</f>
        <v/>
      </c>
      <c r="AE80" s="123">
        <f>IF(OR($C80="",$B$2="",$D$2=0),0,IF(AE$3&lt;0,0,N(INDEX('CURVA PREVISION'!$A$1:$KZ$3000,$C80,11+3*MIN(AE$3,$D$2-1)))))</f>
        <v/>
      </c>
      <c r="AF80" s="123">
        <f>IF(OR($C80="",$B$2="",$D$2=0),0,IF(AF$3&lt;0,0,N(INDEX('CURVA PREVISION'!$A$1:$KZ$3000,$C80,11+3*MIN(AF$3,$D$2-1)))))</f>
        <v/>
      </c>
      <c r="AG80" s="123">
        <f>IF(OR($C80="",$B$2="",$D$2=0),0,IF(AG$3&lt;0,0,N(INDEX('CURVA PREVISION'!$A$1:$KZ$3000,$C80,11+3*MIN(AG$3,$D$2-1)))))</f>
        <v/>
      </c>
      <c r="AH80" s="123">
        <f>IF(OR($C80="",$B$2="",$D$2=0),0,IF(AH$3&lt;0,0,N(INDEX('CURVA PREVISION'!$A$1:$KZ$3000,$C80,11+3*MIN(AH$3,$D$2-1)))))</f>
        <v/>
      </c>
      <c r="AI80" s="123">
        <f>IF(OR($C80="",$B$2="",$D$2=0),0,IF(AI$3&lt;0,0,N(INDEX('CURVA PREVISION'!$A$1:$KZ$3000,$C80,11+3*MIN(AI$3,$D$2-1)))))</f>
        <v/>
      </c>
      <c r="AJ80" s="123">
        <f>IF(OR($C80="",$B$2="",$D$2=0),0,IF(AJ$3&lt;0,0,N(INDEX('CURVA PREVISION'!$A$1:$KZ$3000,$C80,11+3*MIN(AJ$3,$D$2-1)))))</f>
        <v/>
      </c>
      <c r="AK80" s="123">
        <f>IF(OR($C80="",$B$2="",$D$2=0),0,IF(AK$3&lt;0,0,N(INDEX('CURVA PREVISION'!$A$1:$KZ$3000,$C80,11+3*MIN(AK$3,$D$2-1)))))</f>
        <v/>
      </c>
      <c r="AL80" s="123">
        <f>IF(OR($C80="",$B$2="",$D$2=0),0,IF(AL$3&lt;0,0,N(INDEX('CURVA PREVISION'!$A$1:$KZ$3000,$C80,11+3*MIN(AL$3,$D$2-1)))))</f>
        <v/>
      </c>
      <c r="AM80" s="123">
        <f>IF(OR($C80="",$B$2="",$D$2=0),0,IF(AM$3&lt;0,0,N(INDEX('CURVA PREVISION'!$A$1:$KZ$3000,$C80,11+3*MIN(AM$3,$D$2-1)))))</f>
        <v/>
      </c>
      <c r="AN80" s="123">
        <f>IF(OR($C80="",$B$2="",$D$2=0),0,IF(AN$3&lt;0,0,N(INDEX('CURVA PREVISION'!$A$1:$KZ$3000,$C80,11+3*MIN(AN$3,$D$2-1)))))</f>
        <v/>
      </c>
      <c r="AO80" s="123">
        <f>IF(OR($C80="",$B$2="",$D$2=0),0,IF(AO$3&lt;0,0,N(INDEX('CURVA PREVISION'!$A$1:$KZ$3000,$C80,11+3*MIN(AO$3,$D$2-1)))))</f>
        <v/>
      </c>
      <c r="AP80" s="123">
        <f>IF(OR($C80="",$B$2="",$D$2=0),0,IF(AP$3&lt;0,0,N(INDEX('CURVA PREVISION'!$A$1:$KZ$3000,$C80,11+3*MIN(AP$3,$D$2-1)))))</f>
        <v/>
      </c>
      <c r="AQ80" s="123">
        <f>IF(OR($C80="",$B$2="",$D$2=0),0,IF(AQ$3&lt;0,0,N(INDEX('CURVA PREVISION'!$A$1:$KZ$3000,$C80,11+3*MIN(AQ$3,$D$2-1)))))</f>
        <v/>
      </c>
      <c r="AR80" s="123">
        <f>IF(OR($C80="",$B$2="",$D$2=0),0,IF(AR$3&lt;0,0,N(INDEX('CURVA PREVISION'!$A$1:$KZ$3000,$C80,11+3*MIN(AR$3,$D$2-1)))))</f>
        <v/>
      </c>
      <c r="AS80" s="123">
        <f>IF(OR($C80="",$B$2="",$D$2=0),0,IF(AS$3&lt;0,0,N(INDEX('CURVA PREVISION'!$A$1:$KZ$3000,$C80,11+3*MIN(AS$3,$D$2-1)))))</f>
        <v/>
      </c>
      <c r="AT80" s="123">
        <f>IF(OR($C80="",$B$2="",$D$2=0),0,IF(AT$3&lt;0,0,N(INDEX('CURVA PREVISION'!$A$1:$KZ$3000,$C80,11+3*MIN(AT$3,$D$2-1)))))</f>
        <v/>
      </c>
      <c r="AU80" s="123">
        <f>IF(OR($C80="",$B$2="",$D$2=0),0,IF(AU$3&lt;0,0,N(INDEX('CURVA PREVISION'!$A$1:$KZ$3000,$C80,11+3*MIN(AU$3,$D$2-1)))))</f>
        <v/>
      </c>
      <c r="AV80" s="123">
        <f>IF(OR($C80="",$B$2="",$D$2=0),0,IF(AV$3&lt;0,0,N(INDEX('CURVA PREVISION'!$A$1:$KZ$3000,$C80,11+3*MIN(AV$3,$D$2-1)))))</f>
        <v/>
      </c>
      <c r="AW80" s="123">
        <f>IF(OR($C80="",$B$2="",$D$2=0),0,IF(AW$3&lt;0,0,N(INDEX('CURVA PREVISION'!$A$1:$KZ$3000,$C80,11+3*MIN(AW$3,$D$2-1)))))</f>
        <v/>
      </c>
      <c r="AX80" s="123">
        <f>IF(OR($C80="",$B$2="",$D$2=0),0,IF(AX$3&lt;0,0,N(INDEX('CURVA PREVISION'!$A$1:$KZ$3000,$C80,11+3*MIN(AX$3,$D$2-1)))))</f>
        <v/>
      </c>
      <c r="AY80" s="123">
        <f>IF(OR($C80="",$B$2="",$D$2=0),0,IF(AY$3&lt;0,0,N(INDEX('CURVA PREVISION'!$A$1:$KZ$3000,$C80,11+3*MIN(AY$3,$D$2-1)))))</f>
        <v/>
      </c>
      <c r="AZ80" s="123">
        <f>IF(OR($C80="",$B$2="",$D$2=0),0,IF(AZ$3&lt;0,0,N(INDEX('CURVA PREVISION'!$A$1:$KZ$3000,$C80,11+3*MIN(AZ$3,$D$2-1)))))</f>
        <v/>
      </c>
      <c r="BA80" s="123">
        <f>IF(OR($C80="",$B$2="",$D$2=0),0,IF(BA$3&lt;0,0,N(INDEX('CURVA PREVISION'!$A$1:$KZ$3000,$C80,11+3*MIN(BA$3,$D$2-1)))))</f>
        <v/>
      </c>
      <c r="BB80" s="123">
        <f>IF(OR($C80="",$B$2="",$D$2=0),0,IF(BB$3&lt;0,0,N(INDEX('CURVA PREVISION'!$A$1:$KZ$3000,$C80,11+3*MIN(BB$3,$D$2-1)))))</f>
        <v/>
      </c>
      <c r="BC80" s="123">
        <f>IF(OR($C80="",$B$2="",$D$2=0),0,IF(BC$3&lt;0,0,N(INDEX('CURVA PREVISION'!$A$1:$KZ$3000,$C80,11+3*MIN(BC$3,$D$2-1)))))</f>
        <v/>
      </c>
      <c r="BD80" s="123">
        <f>IF(OR($C80="",$B$2="",$D$2=0),0,IF(BD$3&lt;0,0,N(INDEX('CURVA PREVISION'!$A$1:$KZ$3000,$C80,11+3*MIN(BD$3,$D$2-1)))))</f>
        <v/>
      </c>
      <c r="BE80" s="123">
        <f>IF(OR($C80="",$B$2="",$D$2=0),0,IF(BE$3&lt;0,0,N(INDEX('CURVA PREVISION'!$A$1:$KZ$3000,$C80,11+3*MIN(BE$3,$D$2-1)))))</f>
        <v/>
      </c>
      <c r="BF80" s="123">
        <f>IF(OR($C80="",$B$2="",$D$2=0),0,IF(BF$3&lt;0,0,N(INDEX('CURVA PREVISION'!$A$1:$KZ$3000,$C80,11+3*MIN(BF$3,$D$2-1)))))</f>
        <v/>
      </c>
      <c r="BG80" s="123">
        <f>IF(OR($C80="",$B$2="",$D$2=0),0,IF(BG$3&lt;0,0,N(INDEX('CURVA PREVISION'!$A$1:$KZ$3000,$C80,11+3*MIN(BG$3,$D$2-1)))))</f>
        <v/>
      </c>
      <c r="BH80" s="123">
        <f>IF(OR($C80="",$B$2="",$D$2=0),0,IF(BH$3&lt;0,0,N(INDEX('CURVA PREVISION'!$A$1:$KZ$3000,$C80,11+3*MIN(BH$3,$D$2-1)))))</f>
        <v/>
      </c>
      <c r="BI80" s="123">
        <f>IF(OR($C80="",$B$2="",$D$2=0),0,IF(BI$3&lt;0,0,N(INDEX('CURVA PREVISION'!$A$1:$KZ$3000,$C80,11+3*MIN(BI$3,$D$2-1)))))</f>
        <v/>
      </c>
      <c r="BJ80" s="123">
        <f>IF(OR($C80="",$B$2="",$D$2=0),0,IF(BJ$3&lt;0,0,N(INDEX('CURVA PREVISION'!$A$1:$KZ$3000,$C80,11+3*MIN(BJ$3,$D$2-1)))))</f>
        <v/>
      </c>
      <c r="BK80" s="123">
        <f>IF(OR($C80="",$B$2="",$D$2=0),0,IF(BK$3&lt;0,0,N(INDEX('CURVA PREVISION'!$A$1:$KZ$3000,$C80,11+3*MIN(BK$3,$D$2-1)))))</f>
        <v/>
      </c>
      <c r="BL80" s="123">
        <f>IF(OR($C80="",$B$2="",$D$2=0),0,IF(BL$3&lt;0,0,N(INDEX('CURVA PREVISION'!$A$1:$KZ$3000,$C80,11+3*MIN(BL$3,$D$2-1)))))</f>
        <v/>
      </c>
      <c r="BM80" s="123">
        <f>IF(OR($C80="",$B$2="",$D$2=0),0,IF(BM$3&lt;0,0,N(INDEX('CURVA PREVISION'!$A$1:$KZ$3000,$C80,11+3*MIN(BM$3,$D$2-1)))))</f>
        <v/>
      </c>
      <c r="BN80" s="123">
        <f>IF(OR($C80="",$B$2="",$D$2=0),0,IF(BN$3&lt;0,0,N(INDEX('CURVA PREVISION'!$A$1:$KZ$3000,$C80,11+3*MIN(BN$3,$D$2-1)))))</f>
        <v/>
      </c>
      <c r="BO80" s="123">
        <f>IF(OR($C80="",$B$2="",$D$2=0),0,IF(BO$3&lt;0,0,N(INDEX('CURVA PREVISION'!$A$1:$KZ$3000,$C80,11+3*MIN(BO$3,$D$2-1)))))</f>
        <v/>
      </c>
      <c r="BP80" s="123">
        <f>IF(OR($C80="",$B$2="",$D$2=0),0,IF(BP$3&lt;0,0,N(INDEX('CURVA PREVISION'!$A$1:$KZ$3000,$C80,11+3*MIN(BP$3,$D$2-1)))))</f>
        <v/>
      </c>
      <c r="BQ80" s="123">
        <f>IF(OR($C80="",$B$2="",$D$2=0),0,IF(BQ$3&lt;0,0,N(INDEX('CURVA PREVISION'!$A$1:$KZ$3000,$C80,11+3*MIN(BQ$3,$D$2-1)))))</f>
        <v/>
      </c>
      <c r="BR80" s="123">
        <f>IF(OR($C80="",$B$2="",$D$2=0),0,IF(BR$3&lt;0,0,N(INDEX('CURVA PREVISION'!$A$1:$KZ$3000,$C80,11+3*MIN(BR$3,$D$2-1)))))</f>
        <v/>
      </c>
      <c r="BS80" s="123">
        <f>IF(OR($C80="",$B$2="",$D$2=0),0,IF(BS$3&lt;0,0,N(INDEX('CURVA PREVISION'!$A$1:$KZ$3000,$C80,11+3*MIN(BS$3,$D$2-1)))))</f>
        <v/>
      </c>
      <c r="BT80" s="123">
        <f>IF(OR($C80="",$B$2="",$D$2=0),0,IF(BT$3&lt;0,0,N(INDEX('CURVA PREVISION'!$A$1:$KZ$3000,$C80,11+3*MIN(BT$3,$D$2-1)))))</f>
        <v/>
      </c>
      <c r="BU80" s="123">
        <f>IF(OR($C80="",$B$2="",$D$2=0),0,IF(BU$3&lt;0,0,N(INDEX('CURVA PREVISION'!$A$1:$KZ$3000,$C80,11+3*MIN(BU$3,$D$2-1)))))</f>
        <v/>
      </c>
      <c r="BV80" s="123">
        <f>IF(OR($C80="",$B$2="",$D$2=0),0,IF(BV$3&lt;0,0,N(INDEX('CURVA PREVISION'!$A$1:$KZ$3000,$C80,11+3*MIN(BV$3,$D$2-1)))))</f>
        <v/>
      </c>
      <c r="BW80" s="123">
        <f>IF(OR($C80="",$B$2="",$D$2=0),0,IF(BW$3&lt;0,0,N(INDEX('CURVA PREVISION'!$A$1:$KZ$3000,$C80,11+3*MIN(BW$3,$D$2-1)))))</f>
        <v/>
      </c>
    </row>
    <row r="81">
      <c r="A81" s="61">
        <f>IF('VALOR POR PL'!Q45="",'VALOR POR PL'!C45,'VALOR POR PL'!Q45)</f>
        <v/>
      </c>
      <c r="B81" s="51">
        <f>B39</f>
        <v/>
      </c>
      <c r="C81" s="70">
        <f>IFERROR(MATCH(A81,'CURVA PREVISION'!$B$1:$B$3000,0),"")</f>
        <v/>
      </c>
      <c r="D81" s="123">
        <f>IF(OR($C81="",$B$2="",$D$2=0),0,IF(D$3&lt;0,0,N(INDEX('CURVA PREVISION'!$A$1:$KZ$3000,$C81,11+3*MIN(D$3,$D$2-1)))))</f>
        <v/>
      </c>
      <c r="E81" s="123">
        <f>IF(OR($C81="",$B$2="",$D$2=0),0,IF(E$3&lt;0,0,N(INDEX('CURVA PREVISION'!$A$1:$KZ$3000,$C81,11+3*MIN(E$3,$D$2-1)))))</f>
        <v/>
      </c>
      <c r="F81" s="123">
        <f>IF(OR($C81="",$B$2="",$D$2=0),0,IF(F$3&lt;0,0,N(INDEX('CURVA PREVISION'!$A$1:$KZ$3000,$C81,11+3*MIN(F$3,$D$2-1)))))</f>
        <v/>
      </c>
      <c r="G81" s="123">
        <f>IF(OR($C81="",$B$2="",$D$2=0),0,IF(G$3&lt;0,0,N(INDEX('CURVA PREVISION'!$A$1:$KZ$3000,$C81,11+3*MIN(G$3,$D$2-1)))))</f>
        <v/>
      </c>
      <c r="H81" s="123">
        <f>IF(OR($C81="",$B$2="",$D$2=0),0,IF(H$3&lt;0,0,N(INDEX('CURVA PREVISION'!$A$1:$KZ$3000,$C81,11+3*MIN(H$3,$D$2-1)))))</f>
        <v/>
      </c>
      <c r="I81" s="123">
        <f>IF(OR($C81="",$B$2="",$D$2=0),0,IF(I$3&lt;0,0,N(INDEX('CURVA PREVISION'!$A$1:$KZ$3000,$C81,11+3*MIN(I$3,$D$2-1)))))</f>
        <v/>
      </c>
      <c r="J81" s="123">
        <f>IF(OR($C81="",$B$2="",$D$2=0),0,IF(J$3&lt;0,0,N(INDEX('CURVA PREVISION'!$A$1:$KZ$3000,$C81,11+3*MIN(J$3,$D$2-1)))))</f>
        <v/>
      </c>
      <c r="K81" s="123">
        <f>IF(OR($C81="",$B$2="",$D$2=0),0,IF(K$3&lt;0,0,N(INDEX('CURVA PREVISION'!$A$1:$KZ$3000,$C81,11+3*MIN(K$3,$D$2-1)))))</f>
        <v/>
      </c>
      <c r="L81" s="123">
        <f>IF(OR($C81="",$B$2="",$D$2=0),0,IF(L$3&lt;0,0,N(INDEX('CURVA PREVISION'!$A$1:$KZ$3000,$C81,11+3*MIN(L$3,$D$2-1)))))</f>
        <v/>
      </c>
      <c r="M81" s="123">
        <f>IF(OR($C81="",$B$2="",$D$2=0),0,IF(M$3&lt;0,0,N(INDEX('CURVA PREVISION'!$A$1:$KZ$3000,$C81,11+3*MIN(M$3,$D$2-1)))))</f>
        <v/>
      </c>
      <c r="N81" s="123">
        <f>IF(OR($C81="",$B$2="",$D$2=0),0,IF(N$3&lt;0,0,N(INDEX('CURVA PREVISION'!$A$1:$KZ$3000,$C81,11+3*MIN(N$3,$D$2-1)))))</f>
        <v/>
      </c>
      <c r="O81" s="123">
        <f>IF(OR($C81="",$B$2="",$D$2=0),0,IF(O$3&lt;0,0,N(INDEX('CURVA PREVISION'!$A$1:$KZ$3000,$C81,11+3*MIN(O$3,$D$2-1)))))</f>
        <v/>
      </c>
      <c r="P81" s="123">
        <f>IF(OR($C81="",$B$2="",$D$2=0),0,IF(P$3&lt;0,0,N(INDEX('CURVA PREVISION'!$A$1:$KZ$3000,$C81,11+3*MIN(P$3,$D$2-1)))))</f>
        <v/>
      </c>
      <c r="Q81" s="123">
        <f>IF(OR($C81="",$B$2="",$D$2=0),0,IF(Q$3&lt;0,0,N(INDEX('CURVA PREVISION'!$A$1:$KZ$3000,$C81,11+3*MIN(Q$3,$D$2-1)))))</f>
        <v/>
      </c>
      <c r="R81" s="123">
        <f>IF(OR($C81="",$B$2="",$D$2=0),0,IF(R$3&lt;0,0,N(INDEX('CURVA PREVISION'!$A$1:$KZ$3000,$C81,11+3*MIN(R$3,$D$2-1)))))</f>
        <v/>
      </c>
      <c r="S81" s="123">
        <f>IF(OR($C81="",$B$2="",$D$2=0),0,IF(S$3&lt;0,0,N(INDEX('CURVA PREVISION'!$A$1:$KZ$3000,$C81,11+3*MIN(S$3,$D$2-1)))))</f>
        <v/>
      </c>
      <c r="T81" s="123">
        <f>IF(OR($C81="",$B$2="",$D$2=0),0,IF(T$3&lt;0,0,N(INDEX('CURVA PREVISION'!$A$1:$KZ$3000,$C81,11+3*MIN(T$3,$D$2-1)))))</f>
        <v/>
      </c>
      <c r="U81" s="123">
        <f>IF(OR($C81="",$B$2="",$D$2=0),0,IF(U$3&lt;0,0,N(INDEX('CURVA PREVISION'!$A$1:$KZ$3000,$C81,11+3*MIN(U$3,$D$2-1)))))</f>
        <v/>
      </c>
      <c r="V81" s="123">
        <f>IF(OR($C81="",$B$2="",$D$2=0),0,IF(V$3&lt;0,0,N(INDEX('CURVA PREVISION'!$A$1:$KZ$3000,$C81,11+3*MIN(V$3,$D$2-1)))))</f>
        <v/>
      </c>
      <c r="W81" s="123">
        <f>IF(OR($C81="",$B$2="",$D$2=0),0,IF(W$3&lt;0,0,N(INDEX('CURVA PREVISION'!$A$1:$KZ$3000,$C81,11+3*MIN(W$3,$D$2-1)))))</f>
        <v/>
      </c>
      <c r="X81" s="123">
        <f>IF(OR($C81="",$B$2="",$D$2=0),0,IF(X$3&lt;0,0,N(INDEX('CURVA PREVISION'!$A$1:$KZ$3000,$C81,11+3*MIN(X$3,$D$2-1)))))</f>
        <v/>
      </c>
      <c r="Y81" s="123">
        <f>IF(OR($C81="",$B$2="",$D$2=0),0,IF(Y$3&lt;0,0,N(INDEX('CURVA PREVISION'!$A$1:$KZ$3000,$C81,11+3*MIN(Y$3,$D$2-1)))))</f>
        <v/>
      </c>
      <c r="Z81" s="123">
        <f>IF(OR($C81="",$B$2="",$D$2=0),0,IF(Z$3&lt;0,0,N(INDEX('CURVA PREVISION'!$A$1:$KZ$3000,$C81,11+3*MIN(Z$3,$D$2-1)))))</f>
        <v/>
      </c>
      <c r="AA81" s="123">
        <f>IF(OR($C81="",$B$2="",$D$2=0),0,IF(AA$3&lt;0,0,N(INDEX('CURVA PREVISION'!$A$1:$KZ$3000,$C81,11+3*MIN(AA$3,$D$2-1)))))</f>
        <v/>
      </c>
      <c r="AB81" s="123">
        <f>IF(OR($C81="",$B$2="",$D$2=0),0,IF(AB$3&lt;0,0,N(INDEX('CURVA PREVISION'!$A$1:$KZ$3000,$C81,11+3*MIN(AB$3,$D$2-1)))))</f>
        <v/>
      </c>
      <c r="AC81" s="123">
        <f>IF(OR($C81="",$B$2="",$D$2=0),0,IF(AC$3&lt;0,0,N(INDEX('CURVA PREVISION'!$A$1:$KZ$3000,$C81,11+3*MIN(AC$3,$D$2-1)))))</f>
        <v/>
      </c>
      <c r="AD81" s="123">
        <f>IF(OR($C81="",$B$2="",$D$2=0),0,IF(AD$3&lt;0,0,N(INDEX('CURVA PREVISION'!$A$1:$KZ$3000,$C81,11+3*MIN(AD$3,$D$2-1)))))</f>
        <v/>
      </c>
      <c r="AE81" s="123">
        <f>IF(OR($C81="",$B$2="",$D$2=0),0,IF(AE$3&lt;0,0,N(INDEX('CURVA PREVISION'!$A$1:$KZ$3000,$C81,11+3*MIN(AE$3,$D$2-1)))))</f>
        <v/>
      </c>
      <c r="AF81" s="123">
        <f>IF(OR($C81="",$B$2="",$D$2=0),0,IF(AF$3&lt;0,0,N(INDEX('CURVA PREVISION'!$A$1:$KZ$3000,$C81,11+3*MIN(AF$3,$D$2-1)))))</f>
        <v/>
      </c>
      <c r="AG81" s="123">
        <f>IF(OR($C81="",$B$2="",$D$2=0),0,IF(AG$3&lt;0,0,N(INDEX('CURVA PREVISION'!$A$1:$KZ$3000,$C81,11+3*MIN(AG$3,$D$2-1)))))</f>
        <v/>
      </c>
      <c r="AH81" s="123">
        <f>IF(OR($C81="",$B$2="",$D$2=0),0,IF(AH$3&lt;0,0,N(INDEX('CURVA PREVISION'!$A$1:$KZ$3000,$C81,11+3*MIN(AH$3,$D$2-1)))))</f>
        <v/>
      </c>
      <c r="AI81" s="123">
        <f>IF(OR($C81="",$B$2="",$D$2=0),0,IF(AI$3&lt;0,0,N(INDEX('CURVA PREVISION'!$A$1:$KZ$3000,$C81,11+3*MIN(AI$3,$D$2-1)))))</f>
        <v/>
      </c>
      <c r="AJ81" s="123">
        <f>IF(OR($C81="",$B$2="",$D$2=0),0,IF(AJ$3&lt;0,0,N(INDEX('CURVA PREVISION'!$A$1:$KZ$3000,$C81,11+3*MIN(AJ$3,$D$2-1)))))</f>
        <v/>
      </c>
      <c r="AK81" s="123">
        <f>IF(OR($C81="",$B$2="",$D$2=0),0,IF(AK$3&lt;0,0,N(INDEX('CURVA PREVISION'!$A$1:$KZ$3000,$C81,11+3*MIN(AK$3,$D$2-1)))))</f>
        <v/>
      </c>
      <c r="AL81" s="123">
        <f>IF(OR($C81="",$B$2="",$D$2=0),0,IF(AL$3&lt;0,0,N(INDEX('CURVA PREVISION'!$A$1:$KZ$3000,$C81,11+3*MIN(AL$3,$D$2-1)))))</f>
        <v/>
      </c>
      <c r="AM81" s="123">
        <f>IF(OR($C81="",$B$2="",$D$2=0),0,IF(AM$3&lt;0,0,N(INDEX('CURVA PREVISION'!$A$1:$KZ$3000,$C81,11+3*MIN(AM$3,$D$2-1)))))</f>
        <v/>
      </c>
      <c r="AN81" s="123">
        <f>IF(OR($C81="",$B$2="",$D$2=0),0,IF(AN$3&lt;0,0,N(INDEX('CURVA PREVISION'!$A$1:$KZ$3000,$C81,11+3*MIN(AN$3,$D$2-1)))))</f>
        <v/>
      </c>
      <c r="AO81" s="123">
        <f>IF(OR($C81="",$B$2="",$D$2=0),0,IF(AO$3&lt;0,0,N(INDEX('CURVA PREVISION'!$A$1:$KZ$3000,$C81,11+3*MIN(AO$3,$D$2-1)))))</f>
        <v/>
      </c>
      <c r="AP81" s="123">
        <f>IF(OR($C81="",$B$2="",$D$2=0),0,IF(AP$3&lt;0,0,N(INDEX('CURVA PREVISION'!$A$1:$KZ$3000,$C81,11+3*MIN(AP$3,$D$2-1)))))</f>
        <v/>
      </c>
      <c r="AQ81" s="123">
        <f>IF(OR($C81="",$B$2="",$D$2=0),0,IF(AQ$3&lt;0,0,N(INDEX('CURVA PREVISION'!$A$1:$KZ$3000,$C81,11+3*MIN(AQ$3,$D$2-1)))))</f>
        <v/>
      </c>
      <c r="AR81" s="123">
        <f>IF(OR($C81="",$B$2="",$D$2=0),0,IF(AR$3&lt;0,0,N(INDEX('CURVA PREVISION'!$A$1:$KZ$3000,$C81,11+3*MIN(AR$3,$D$2-1)))))</f>
        <v/>
      </c>
      <c r="AS81" s="123">
        <f>IF(OR($C81="",$B$2="",$D$2=0),0,IF(AS$3&lt;0,0,N(INDEX('CURVA PREVISION'!$A$1:$KZ$3000,$C81,11+3*MIN(AS$3,$D$2-1)))))</f>
        <v/>
      </c>
      <c r="AT81" s="123">
        <f>IF(OR($C81="",$B$2="",$D$2=0),0,IF(AT$3&lt;0,0,N(INDEX('CURVA PREVISION'!$A$1:$KZ$3000,$C81,11+3*MIN(AT$3,$D$2-1)))))</f>
        <v/>
      </c>
      <c r="AU81" s="123">
        <f>IF(OR($C81="",$B$2="",$D$2=0),0,IF(AU$3&lt;0,0,N(INDEX('CURVA PREVISION'!$A$1:$KZ$3000,$C81,11+3*MIN(AU$3,$D$2-1)))))</f>
        <v/>
      </c>
      <c r="AV81" s="123">
        <f>IF(OR($C81="",$B$2="",$D$2=0),0,IF(AV$3&lt;0,0,N(INDEX('CURVA PREVISION'!$A$1:$KZ$3000,$C81,11+3*MIN(AV$3,$D$2-1)))))</f>
        <v/>
      </c>
      <c r="AW81" s="123">
        <f>IF(OR($C81="",$B$2="",$D$2=0),0,IF(AW$3&lt;0,0,N(INDEX('CURVA PREVISION'!$A$1:$KZ$3000,$C81,11+3*MIN(AW$3,$D$2-1)))))</f>
        <v/>
      </c>
      <c r="AX81" s="123">
        <f>IF(OR($C81="",$B$2="",$D$2=0),0,IF(AX$3&lt;0,0,N(INDEX('CURVA PREVISION'!$A$1:$KZ$3000,$C81,11+3*MIN(AX$3,$D$2-1)))))</f>
        <v/>
      </c>
      <c r="AY81" s="123">
        <f>IF(OR($C81="",$B$2="",$D$2=0),0,IF(AY$3&lt;0,0,N(INDEX('CURVA PREVISION'!$A$1:$KZ$3000,$C81,11+3*MIN(AY$3,$D$2-1)))))</f>
        <v/>
      </c>
      <c r="AZ81" s="123">
        <f>IF(OR($C81="",$B$2="",$D$2=0),0,IF(AZ$3&lt;0,0,N(INDEX('CURVA PREVISION'!$A$1:$KZ$3000,$C81,11+3*MIN(AZ$3,$D$2-1)))))</f>
        <v/>
      </c>
      <c r="BA81" s="123">
        <f>IF(OR($C81="",$B$2="",$D$2=0),0,IF(BA$3&lt;0,0,N(INDEX('CURVA PREVISION'!$A$1:$KZ$3000,$C81,11+3*MIN(BA$3,$D$2-1)))))</f>
        <v/>
      </c>
      <c r="BB81" s="123">
        <f>IF(OR($C81="",$B$2="",$D$2=0),0,IF(BB$3&lt;0,0,N(INDEX('CURVA PREVISION'!$A$1:$KZ$3000,$C81,11+3*MIN(BB$3,$D$2-1)))))</f>
        <v/>
      </c>
      <c r="BC81" s="123">
        <f>IF(OR($C81="",$B$2="",$D$2=0),0,IF(BC$3&lt;0,0,N(INDEX('CURVA PREVISION'!$A$1:$KZ$3000,$C81,11+3*MIN(BC$3,$D$2-1)))))</f>
        <v/>
      </c>
      <c r="BD81" s="123">
        <f>IF(OR($C81="",$B$2="",$D$2=0),0,IF(BD$3&lt;0,0,N(INDEX('CURVA PREVISION'!$A$1:$KZ$3000,$C81,11+3*MIN(BD$3,$D$2-1)))))</f>
        <v/>
      </c>
      <c r="BE81" s="123">
        <f>IF(OR($C81="",$B$2="",$D$2=0),0,IF(BE$3&lt;0,0,N(INDEX('CURVA PREVISION'!$A$1:$KZ$3000,$C81,11+3*MIN(BE$3,$D$2-1)))))</f>
        <v/>
      </c>
      <c r="BF81" s="123">
        <f>IF(OR($C81="",$B$2="",$D$2=0),0,IF(BF$3&lt;0,0,N(INDEX('CURVA PREVISION'!$A$1:$KZ$3000,$C81,11+3*MIN(BF$3,$D$2-1)))))</f>
        <v/>
      </c>
      <c r="BG81" s="123">
        <f>IF(OR($C81="",$B$2="",$D$2=0),0,IF(BG$3&lt;0,0,N(INDEX('CURVA PREVISION'!$A$1:$KZ$3000,$C81,11+3*MIN(BG$3,$D$2-1)))))</f>
        <v/>
      </c>
      <c r="BH81" s="123">
        <f>IF(OR($C81="",$B$2="",$D$2=0),0,IF(BH$3&lt;0,0,N(INDEX('CURVA PREVISION'!$A$1:$KZ$3000,$C81,11+3*MIN(BH$3,$D$2-1)))))</f>
        <v/>
      </c>
      <c r="BI81" s="123">
        <f>IF(OR($C81="",$B$2="",$D$2=0),0,IF(BI$3&lt;0,0,N(INDEX('CURVA PREVISION'!$A$1:$KZ$3000,$C81,11+3*MIN(BI$3,$D$2-1)))))</f>
        <v/>
      </c>
      <c r="BJ81" s="123">
        <f>IF(OR($C81="",$B$2="",$D$2=0),0,IF(BJ$3&lt;0,0,N(INDEX('CURVA PREVISION'!$A$1:$KZ$3000,$C81,11+3*MIN(BJ$3,$D$2-1)))))</f>
        <v/>
      </c>
      <c r="BK81" s="123">
        <f>IF(OR($C81="",$B$2="",$D$2=0),0,IF(BK$3&lt;0,0,N(INDEX('CURVA PREVISION'!$A$1:$KZ$3000,$C81,11+3*MIN(BK$3,$D$2-1)))))</f>
        <v/>
      </c>
      <c r="BL81" s="123">
        <f>IF(OR($C81="",$B$2="",$D$2=0),0,IF(BL$3&lt;0,0,N(INDEX('CURVA PREVISION'!$A$1:$KZ$3000,$C81,11+3*MIN(BL$3,$D$2-1)))))</f>
        <v/>
      </c>
      <c r="BM81" s="123">
        <f>IF(OR($C81="",$B$2="",$D$2=0),0,IF(BM$3&lt;0,0,N(INDEX('CURVA PREVISION'!$A$1:$KZ$3000,$C81,11+3*MIN(BM$3,$D$2-1)))))</f>
        <v/>
      </c>
      <c r="BN81" s="123">
        <f>IF(OR($C81="",$B$2="",$D$2=0),0,IF(BN$3&lt;0,0,N(INDEX('CURVA PREVISION'!$A$1:$KZ$3000,$C81,11+3*MIN(BN$3,$D$2-1)))))</f>
        <v/>
      </c>
      <c r="BO81" s="123">
        <f>IF(OR($C81="",$B$2="",$D$2=0),0,IF(BO$3&lt;0,0,N(INDEX('CURVA PREVISION'!$A$1:$KZ$3000,$C81,11+3*MIN(BO$3,$D$2-1)))))</f>
        <v/>
      </c>
      <c r="BP81" s="123">
        <f>IF(OR($C81="",$B$2="",$D$2=0),0,IF(BP$3&lt;0,0,N(INDEX('CURVA PREVISION'!$A$1:$KZ$3000,$C81,11+3*MIN(BP$3,$D$2-1)))))</f>
        <v/>
      </c>
      <c r="BQ81" s="123">
        <f>IF(OR($C81="",$B$2="",$D$2=0),0,IF(BQ$3&lt;0,0,N(INDEX('CURVA PREVISION'!$A$1:$KZ$3000,$C81,11+3*MIN(BQ$3,$D$2-1)))))</f>
        <v/>
      </c>
      <c r="BR81" s="123">
        <f>IF(OR($C81="",$B$2="",$D$2=0),0,IF(BR$3&lt;0,0,N(INDEX('CURVA PREVISION'!$A$1:$KZ$3000,$C81,11+3*MIN(BR$3,$D$2-1)))))</f>
        <v/>
      </c>
      <c r="BS81" s="123">
        <f>IF(OR($C81="",$B$2="",$D$2=0),0,IF(BS$3&lt;0,0,N(INDEX('CURVA PREVISION'!$A$1:$KZ$3000,$C81,11+3*MIN(BS$3,$D$2-1)))))</f>
        <v/>
      </c>
      <c r="BT81" s="123">
        <f>IF(OR($C81="",$B$2="",$D$2=0),0,IF(BT$3&lt;0,0,N(INDEX('CURVA PREVISION'!$A$1:$KZ$3000,$C81,11+3*MIN(BT$3,$D$2-1)))))</f>
        <v/>
      </c>
      <c r="BU81" s="123">
        <f>IF(OR($C81="",$B$2="",$D$2=0),0,IF(BU$3&lt;0,0,N(INDEX('CURVA PREVISION'!$A$1:$KZ$3000,$C81,11+3*MIN(BU$3,$D$2-1)))))</f>
        <v/>
      </c>
      <c r="BV81" s="123">
        <f>IF(OR($C81="",$B$2="",$D$2=0),0,IF(BV$3&lt;0,0,N(INDEX('CURVA PREVISION'!$A$1:$KZ$3000,$C81,11+3*MIN(BV$3,$D$2-1)))))</f>
        <v/>
      </c>
      <c r="BW81" s="123">
        <f>IF(OR($C81="",$B$2="",$D$2=0),0,IF(BW$3&lt;0,0,N(INDEX('CURVA PREVISION'!$A$1:$KZ$3000,$C81,11+3*MIN(BW$3,$D$2-1)))))</f>
        <v/>
      </c>
    </row>
    <row r="82">
      <c r="A82" s="61">
        <f>IF('VALOR POR PL'!Q46="",'VALOR POR PL'!C46,'VALOR POR PL'!Q46)</f>
        <v/>
      </c>
      <c r="B82" s="51">
        <f>B40</f>
        <v/>
      </c>
      <c r="C82" s="70">
        <f>IFERROR(MATCH(A82,'CURVA PREVISION'!$B$1:$B$3000,0),"")</f>
        <v/>
      </c>
      <c r="D82" s="123">
        <f>IF(OR($C82="",$B$2="",$D$2=0),0,IF(D$3&lt;0,0,N(INDEX('CURVA PREVISION'!$A$1:$KZ$3000,$C82,11+3*MIN(D$3,$D$2-1)))))</f>
        <v/>
      </c>
      <c r="E82" s="123">
        <f>IF(OR($C82="",$B$2="",$D$2=0),0,IF(E$3&lt;0,0,N(INDEX('CURVA PREVISION'!$A$1:$KZ$3000,$C82,11+3*MIN(E$3,$D$2-1)))))</f>
        <v/>
      </c>
      <c r="F82" s="123">
        <f>IF(OR($C82="",$B$2="",$D$2=0),0,IF(F$3&lt;0,0,N(INDEX('CURVA PREVISION'!$A$1:$KZ$3000,$C82,11+3*MIN(F$3,$D$2-1)))))</f>
        <v/>
      </c>
      <c r="G82" s="123">
        <f>IF(OR($C82="",$B$2="",$D$2=0),0,IF(G$3&lt;0,0,N(INDEX('CURVA PREVISION'!$A$1:$KZ$3000,$C82,11+3*MIN(G$3,$D$2-1)))))</f>
        <v/>
      </c>
      <c r="H82" s="123">
        <f>IF(OR($C82="",$B$2="",$D$2=0),0,IF(H$3&lt;0,0,N(INDEX('CURVA PREVISION'!$A$1:$KZ$3000,$C82,11+3*MIN(H$3,$D$2-1)))))</f>
        <v/>
      </c>
      <c r="I82" s="123">
        <f>IF(OR($C82="",$B$2="",$D$2=0),0,IF(I$3&lt;0,0,N(INDEX('CURVA PREVISION'!$A$1:$KZ$3000,$C82,11+3*MIN(I$3,$D$2-1)))))</f>
        <v/>
      </c>
      <c r="J82" s="123">
        <f>IF(OR($C82="",$B$2="",$D$2=0),0,IF(J$3&lt;0,0,N(INDEX('CURVA PREVISION'!$A$1:$KZ$3000,$C82,11+3*MIN(J$3,$D$2-1)))))</f>
        <v/>
      </c>
      <c r="K82" s="123">
        <f>IF(OR($C82="",$B$2="",$D$2=0),0,IF(K$3&lt;0,0,N(INDEX('CURVA PREVISION'!$A$1:$KZ$3000,$C82,11+3*MIN(K$3,$D$2-1)))))</f>
        <v/>
      </c>
      <c r="L82" s="123">
        <f>IF(OR($C82="",$B$2="",$D$2=0),0,IF(L$3&lt;0,0,N(INDEX('CURVA PREVISION'!$A$1:$KZ$3000,$C82,11+3*MIN(L$3,$D$2-1)))))</f>
        <v/>
      </c>
      <c r="M82" s="123">
        <f>IF(OR($C82="",$B$2="",$D$2=0),0,IF(M$3&lt;0,0,N(INDEX('CURVA PREVISION'!$A$1:$KZ$3000,$C82,11+3*MIN(M$3,$D$2-1)))))</f>
        <v/>
      </c>
      <c r="N82" s="123">
        <f>IF(OR($C82="",$B$2="",$D$2=0),0,IF(N$3&lt;0,0,N(INDEX('CURVA PREVISION'!$A$1:$KZ$3000,$C82,11+3*MIN(N$3,$D$2-1)))))</f>
        <v/>
      </c>
      <c r="O82" s="123">
        <f>IF(OR($C82="",$B$2="",$D$2=0),0,IF(O$3&lt;0,0,N(INDEX('CURVA PREVISION'!$A$1:$KZ$3000,$C82,11+3*MIN(O$3,$D$2-1)))))</f>
        <v/>
      </c>
      <c r="P82" s="123">
        <f>IF(OR($C82="",$B$2="",$D$2=0),0,IF(P$3&lt;0,0,N(INDEX('CURVA PREVISION'!$A$1:$KZ$3000,$C82,11+3*MIN(P$3,$D$2-1)))))</f>
        <v/>
      </c>
      <c r="Q82" s="123">
        <f>IF(OR($C82="",$B$2="",$D$2=0),0,IF(Q$3&lt;0,0,N(INDEX('CURVA PREVISION'!$A$1:$KZ$3000,$C82,11+3*MIN(Q$3,$D$2-1)))))</f>
        <v/>
      </c>
      <c r="R82" s="123">
        <f>IF(OR($C82="",$B$2="",$D$2=0),0,IF(R$3&lt;0,0,N(INDEX('CURVA PREVISION'!$A$1:$KZ$3000,$C82,11+3*MIN(R$3,$D$2-1)))))</f>
        <v/>
      </c>
      <c r="S82" s="123">
        <f>IF(OR($C82="",$B$2="",$D$2=0),0,IF(S$3&lt;0,0,N(INDEX('CURVA PREVISION'!$A$1:$KZ$3000,$C82,11+3*MIN(S$3,$D$2-1)))))</f>
        <v/>
      </c>
      <c r="T82" s="123">
        <f>IF(OR($C82="",$B$2="",$D$2=0),0,IF(T$3&lt;0,0,N(INDEX('CURVA PREVISION'!$A$1:$KZ$3000,$C82,11+3*MIN(T$3,$D$2-1)))))</f>
        <v/>
      </c>
      <c r="U82" s="123">
        <f>IF(OR($C82="",$B$2="",$D$2=0),0,IF(U$3&lt;0,0,N(INDEX('CURVA PREVISION'!$A$1:$KZ$3000,$C82,11+3*MIN(U$3,$D$2-1)))))</f>
        <v/>
      </c>
      <c r="V82" s="123">
        <f>IF(OR($C82="",$B$2="",$D$2=0),0,IF(V$3&lt;0,0,N(INDEX('CURVA PREVISION'!$A$1:$KZ$3000,$C82,11+3*MIN(V$3,$D$2-1)))))</f>
        <v/>
      </c>
      <c r="W82" s="123">
        <f>IF(OR($C82="",$B$2="",$D$2=0),0,IF(W$3&lt;0,0,N(INDEX('CURVA PREVISION'!$A$1:$KZ$3000,$C82,11+3*MIN(W$3,$D$2-1)))))</f>
        <v/>
      </c>
      <c r="X82" s="123">
        <f>IF(OR($C82="",$B$2="",$D$2=0),0,IF(X$3&lt;0,0,N(INDEX('CURVA PREVISION'!$A$1:$KZ$3000,$C82,11+3*MIN(X$3,$D$2-1)))))</f>
        <v/>
      </c>
      <c r="Y82" s="123">
        <f>IF(OR($C82="",$B$2="",$D$2=0),0,IF(Y$3&lt;0,0,N(INDEX('CURVA PREVISION'!$A$1:$KZ$3000,$C82,11+3*MIN(Y$3,$D$2-1)))))</f>
        <v/>
      </c>
      <c r="Z82" s="123">
        <f>IF(OR($C82="",$B$2="",$D$2=0),0,IF(Z$3&lt;0,0,N(INDEX('CURVA PREVISION'!$A$1:$KZ$3000,$C82,11+3*MIN(Z$3,$D$2-1)))))</f>
        <v/>
      </c>
      <c r="AA82" s="123">
        <f>IF(OR($C82="",$B$2="",$D$2=0),0,IF(AA$3&lt;0,0,N(INDEX('CURVA PREVISION'!$A$1:$KZ$3000,$C82,11+3*MIN(AA$3,$D$2-1)))))</f>
        <v/>
      </c>
      <c r="AB82" s="123">
        <f>IF(OR($C82="",$B$2="",$D$2=0),0,IF(AB$3&lt;0,0,N(INDEX('CURVA PREVISION'!$A$1:$KZ$3000,$C82,11+3*MIN(AB$3,$D$2-1)))))</f>
        <v/>
      </c>
      <c r="AC82" s="123">
        <f>IF(OR($C82="",$B$2="",$D$2=0),0,IF(AC$3&lt;0,0,N(INDEX('CURVA PREVISION'!$A$1:$KZ$3000,$C82,11+3*MIN(AC$3,$D$2-1)))))</f>
        <v/>
      </c>
      <c r="AD82" s="123">
        <f>IF(OR($C82="",$B$2="",$D$2=0),0,IF(AD$3&lt;0,0,N(INDEX('CURVA PREVISION'!$A$1:$KZ$3000,$C82,11+3*MIN(AD$3,$D$2-1)))))</f>
        <v/>
      </c>
      <c r="AE82" s="123">
        <f>IF(OR($C82="",$B$2="",$D$2=0),0,IF(AE$3&lt;0,0,N(INDEX('CURVA PREVISION'!$A$1:$KZ$3000,$C82,11+3*MIN(AE$3,$D$2-1)))))</f>
        <v/>
      </c>
      <c r="AF82" s="123">
        <f>IF(OR($C82="",$B$2="",$D$2=0),0,IF(AF$3&lt;0,0,N(INDEX('CURVA PREVISION'!$A$1:$KZ$3000,$C82,11+3*MIN(AF$3,$D$2-1)))))</f>
        <v/>
      </c>
      <c r="AG82" s="123">
        <f>IF(OR($C82="",$B$2="",$D$2=0),0,IF(AG$3&lt;0,0,N(INDEX('CURVA PREVISION'!$A$1:$KZ$3000,$C82,11+3*MIN(AG$3,$D$2-1)))))</f>
        <v/>
      </c>
      <c r="AH82" s="123">
        <f>IF(OR($C82="",$B$2="",$D$2=0),0,IF(AH$3&lt;0,0,N(INDEX('CURVA PREVISION'!$A$1:$KZ$3000,$C82,11+3*MIN(AH$3,$D$2-1)))))</f>
        <v/>
      </c>
      <c r="AI82" s="123">
        <f>IF(OR($C82="",$B$2="",$D$2=0),0,IF(AI$3&lt;0,0,N(INDEX('CURVA PREVISION'!$A$1:$KZ$3000,$C82,11+3*MIN(AI$3,$D$2-1)))))</f>
        <v/>
      </c>
      <c r="AJ82" s="123">
        <f>IF(OR($C82="",$B$2="",$D$2=0),0,IF(AJ$3&lt;0,0,N(INDEX('CURVA PREVISION'!$A$1:$KZ$3000,$C82,11+3*MIN(AJ$3,$D$2-1)))))</f>
        <v/>
      </c>
      <c r="AK82" s="123">
        <f>IF(OR($C82="",$B$2="",$D$2=0),0,IF(AK$3&lt;0,0,N(INDEX('CURVA PREVISION'!$A$1:$KZ$3000,$C82,11+3*MIN(AK$3,$D$2-1)))))</f>
        <v/>
      </c>
      <c r="AL82" s="123">
        <f>IF(OR($C82="",$B$2="",$D$2=0),0,IF(AL$3&lt;0,0,N(INDEX('CURVA PREVISION'!$A$1:$KZ$3000,$C82,11+3*MIN(AL$3,$D$2-1)))))</f>
        <v/>
      </c>
      <c r="AM82" s="123">
        <f>IF(OR($C82="",$B$2="",$D$2=0),0,IF(AM$3&lt;0,0,N(INDEX('CURVA PREVISION'!$A$1:$KZ$3000,$C82,11+3*MIN(AM$3,$D$2-1)))))</f>
        <v/>
      </c>
      <c r="AN82" s="123">
        <f>IF(OR($C82="",$B$2="",$D$2=0),0,IF(AN$3&lt;0,0,N(INDEX('CURVA PREVISION'!$A$1:$KZ$3000,$C82,11+3*MIN(AN$3,$D$2-1)))))</f>
        <v/>
      </c>
      <c r="AO82" s="123">
        <f>IF(OR($C82="",$B$2="",$D$2=0),0,IF(AO$3&lt;0,0,N(INDEX('CURVA PREVISION'!$A$1:$KZ$3000,$C82,11+3*MIN(AO$3,$D$2-1)))))</f>
        <v/>
      </c>
      <c r="AP82" s="123">
        <f>IF(OR($C82="",$B$2="",$D$2=0),0,IF(AP$3&lt;0,0,N(INDEX('CURVA PREVISION'!$A$1:$KZ$3000,$C82,11+3*MIN(AP$3,$D$2-1)))))</f>
        <v/>
      </c>
      <c r="AQ82" s="123">
        <f>IF(OR($C82="",$B$2="",$D$2=0),0,IF(AQ$3&lt;0,0,N(INDEX('CURVA PREVISION'!$A$1:$KZ$3000,$C82,11+3*MIN(AQ$3,$D$2-1)))))</f>
        <v/>
      </c>
      <c r="AR82" s="123">
        <f>IF(OR($C82="",$B$2="",$D$2=0),0,IF(AR$3&lt;0,0,N(INDEX('CURVA PREVISION'!$A$1:$KZ$3000,$C82,11+3*MIN(AR$3,$D$2-1)))))</f>
        <v/>
      </c>
      <c r="AS82" s="123">
        <f>IF(OR($C82="",$B$2="",$D$2=0),0,IF(AS$3&lt;0,0,N(INDEX('CURVA PREVISION'!$A$1:$KZ$3000,$C82,11+3*MIN(AS$3,$D$2-1)))))</f>
        <v/>
      </c>
      <c r="AT82" s="123">
        <f>IF(OR($C82="",$B$2="",$D$2=0),0,IF(AT$3&lt;0,0,N(INDEX('CURVA PREVISION'!$A$1:$KZ$3000,$C82,11+3*MIN(AT$3,$D$2-1)))))</f>
        <v/>
      </c>
      <c r="AU82" s="123">
        <f>IF(OR($C82="",$B$2="",$D$2=0),0,IF(AU$3&lt;0,0,N(INDEX('CURVA PREVISION'!$A$1:$KZ$3000,$C82,11+3*MIN(AU$3,$D$2-1)))))</f>
        <v/>
      </c>
      <c r="AV82" s="123">
        <f>IF(OR($C82="",$B$2="",$D$2=0),0,IF(AV$3&lt;0,0,N(INDEX('CURVA PREVISION'!$A$1:$KZ$3000,$C82,11+3*MIN(AV$3,$D$2-1)))))</f>
        <v/>
      </c>
      <c r="AW82" s="123">
        <f>IF(OR($C82="",$B$2="",$D$2=0),0,IF(AW$3&lt;0,0,N(INDEX('CURVA PREVISION'!$A$1:$KZ$3000,$C82,11+3*MIN(AW$3,$D$2-1)))))</f>
        <v/>
      </c>
      <c r="AX82" s="123">
        <f>IF(OR($C82="",$B$2="",$D$2=0),0,IF(AX$3&lt;0,0,N(INDEX('CURVA PREVISION'!$A$1:$KZ$3000,$C82,11+3*MIN(AX$3,$D$2-1)))))</f>
        <v/>
      </c>
      <c r="AY82" s="123">
        <f>IF(OR($C82="",$B$2="",$D$2=0),0,IF(AY$3&lt;0,0,N(INDEX('CURVA PREVISION'!$A$1:$KZ$3000,$C82,11+3*MIN(AY$3,$D$2-1)))))</f>
        <v/>
      </c>
      <c r="AZ82" s="123">
        <f>IF(OR($C82="",$B$2="",$D$2=0),0,IF(AZ$3&lt;0,0,N(INDEX('CURVA PREVISION'!$A$1:$KZ$3000,$C82,11+3*MIN(AZ$3,$D$2-1)))))</f>
        <v/>
      </c>
      <c r="BA82" s="123">
        <f>IF(OR($C82="",$B$2="",$D$2=0),0,IF(BA$3&lt;0,0,N(INDEX('CURVA PREVISION'!$A$1:$KZ$3000,$C82,11+3*MIN(BA$3,$D$2-1)))))</f>
        <v/>
      </c>
      <c r="BB82" s="123">
        <f>IF(OR($C82="",$B$2="",$D$2=0),0,IF(BB$3&lt;0,0,N(INDEX('CURVA PREVISION'!$A$1:$KZ$3000,$C82,11+3*MIN(BB$3,$D$2-1)))))</f>
        <v/>
      </c>
      <c r="BC82" s="123">
        <f>IF(OR($C82="",$B$2="",$D$2=0),0,IF(BC$3&lt;0,0,N(INDEX('CURVA PREVISION'!$A$1:$KZ$3000,$C82,11+3*MIN(BC$3,$D$2-1)))))</f>
        <v/>
      </c>
      <c r="BD82" s="123">
        <f>IF(OR($C82="",$B$2="",$D$2=0),0,IF(BD$3&lt;0,0,N(INDEX('CURVA PREVISION'!$A$1:$KZ$3000,$C82,11+3*MIN(BD$3,$D$2-1)))))</f>
        <v/>
      </c>
      <c r="BE82" s="123">
        <f>IF(OR($C82="",$B$2="",$D$2=0),0,IF(BE$3&lt;0,0,N(INDEX('CURVA PREVISION'!$A$1:$KZ$3000,$C82,11+3*MIN(BE$3,$D$2-1)))))</f>
        <v/>
      </c>
      <c r="BF82" s="123">
        <f>IF(OR($C82="",$B$2="",$D$2=0),0,IF(BF$3&lt;0,0,N(INDEX('CURVA PREVISION'!$A$1:$KZ$3000,$C82,11+3*MIN(BF$3,$D$2-1)))))</f>
        <v/>
      </c>
      <c r="BG82" s="123">
        <f>IF(OR($C82="",$B$2="",$D$2=0),0,IF(BG$3&lt;0,0,N(INDEX('CURVA PREVISION'!$A$1:$KZ$3000,$C82,11+3*MIN(BG$3,$D$2-1)))))</f>
        <v/>
      </c>
      <c r="BH82" s="123">
        <f>IF(OR($C82="",$B$2="",$D$2=0),0,IF(BH$3&lt;0,0,N(INDEX('CURVA PREVISION'!$A$1:$KZ$3000,$C82,11+3*MIN(BH$3,$D$2-1)))))</f>
        <v/>
      </c>
      <c r="BI82" s="123">
        <f>IF(OR($C82="",$B$2="",$D$2=0),0,IF(BI$3&lt;0,0,N(INDEX('CURVA PREVISION'!$A$1:$KZ$3000,$C82,11+3*MIN(BI$3,$D$2-1)))))</f>
        <v/>
      </c>
      <c r="BJ82" s="123">
        <f>IF(OR($C82="",$B$2="",$D$2=0),0,IF(BJ$3&lt;0,0,N(INDEX('CURVA PREVISION'!$A$1:$KZ$3000,$C82,11+3*MIN(BJ$3,$D$2-1)))))</f>
        <v/>
      </c>
      <c r="BK82" s="123">
        <f>IF(OR($C82="",$B$2="",$D$2=0),0,IF(BK$3&lt;0,0,N(INDEX('CURVA PREVISION'!$A$1:$KZ$3000,$C82,11+3*MIN(BK$3,$D$2-1)))))</f>
        <v/>
      </c>
      <c r="BL82" s="123">
        <f>IF(OR($C82="",$B$2="",$D$2=0),0,IF(BL$3&lt;0,0,N(INDEX('CURVA PREVISION'!$A$1:$KZ$3000,$C82,11+3*MIN(BL$3,$D$2-1)))))</f>
        <v/>
      </c>
      <c r="BM82" s="123">
        <f>IF(OR($C82="",$B$2="",$D$2=0),0,IF(BM$3&lt;0,0,N(INDEX('CURVA PREVISION'!$A$1:$KZ$3000,$C82,11+3*MIN(BM$3,$D$2-1)))))</f>
        <v/>
      </c>
      <c r="BN82" s="123">
        <f>IF(OR($C82="",$B$2="",$D$2=0),0,IF(BN$3&lt;0,0,N(INDEX('CURVA PREVISION'!$A$1:$KZ$3000,$C82,11+3*MIN(BN$3,$D$2-1)))))</f>
        <v/>
      </c>
      <c r="BO82" s="123">
        <f>IF(OR($C82="",$B$2="",$D$2=0),0,IF(BO$3&lt;0,0,N(INDEX('CURVA PREVISION'!$A$1:$KZ$3000,$C82,11+3*MIN(BO$3,$D$2-1)))))</f>
        <v/>
      </c>
      <c r="BP82" s="123">
        <f>IF(OR($C82="",$B$2="",$D$2=0),0,IF(BP$3&lt;0,0,N(INDEX('CURVA PREVISION'!$A$1:$KZ$3000,$C82,11+3*MIN(BP$3,$D$2-1)))))</f>
        <v/>
      </c>
      <c r="BQ82" s="123">
        <f>IF(OR($C82="",$B$2="",$D$2=0),0,IF(BQ$3&lt;0,0,N(INDEX('CURVA PREVISION'!$A$1:$KZ$3000,$C82,11+3*MIN(BQ$3,$D$2-1)))))</f>
        <v/>
      </c>
      <c r="BR82" s="123">
        <f>IF(OR($C82="",$B$2="",$D$2=0),0,IF(BR$3&lt;0,0,N(INDEX('CURVA PREVISION'!$A$1:$KZ$3000,$C82,11+3*MIN(BR$3,$D$2-1)))))</f>
        <v/>
      </c>
      <c r="BS82" s="123">
        <f>IF(OR($C82="",$B$2="",$D$2=0),0,IF(BS$3&lt;0,0,N(INDEX('CURVA PREVISION'!$A$1:$KZ$3000,$C82,11+3*MIN(BS$3,$D$2-1)))))</f>
        <v/>
      </c>
      <c r="BT82" s="123">
        <f>IF(OR($C82="",$B$2="",$D$2=0),0,IF(BT$3&lt;0,0,N(INDEX('CURVA PREVISION'!$A$1:$KZ$3000,$C82,11+3*MIN(BT$3,$D$2-1)))))</f>
        <v/>
      </c>
      <c r="BU82" s="123">
        <f>IF(OR($C82="",$B$2="",$D$2=0),0,IF(BU$3&lt;0,0,N(INDEX('CURVA PREVISION'!$A$1:$KZ$3000,$C82,11+3*MIN(BU$3,$D$2-1)))))</f>
        <v/>
      </c>
      <c r="BV82" s="123">
        <f>IF(OR($C82="",$B$2="",$D$2=0),0,IF(BV$3&lt;0,0,N(INDEX('CURVA PREVISION'!$A$1:$KZ$3000,$C82,11+3*MIN(BV$3,$D$2-1)))))</f>
        <v/>
      </c>
      <c r="BW82" s="123">
        <f>IF(OR($C82="",$B$2="",$D$2=0),0,IF(BW$3&lt;0,0,N(INDEX('CURVA PREVISION'!$A$1:$KZ$3000,$C82,11+3*MIN(BW$3,$D$2-1)))))</f>
        <v/>
      </c>
    </row>
    <row r="83">
      <c r="A83" s="61">
        <f>IF('VALOR POR PL'!Q47="",'VALOR POR PL'!C47,'VALOR POR PL'!Q47)</f>
        <v/>
      </c>
      <c r="B83" s="51">
        <f>B41</f>
        <v/>
      </c>
      <c r="C83" s="70">
        <f>IFERROR(MATCH(A83,'CURVA PREVISION'!$B$1:$B$3000,0),"")</f>
        <v/>
      </c>
      <c r="D83" s="123">
        <f>IF(OR($C83="",$B$2="",$D$2=0),0,IF(D$3&lt;0,0,N(INDEX('CURVA PREVISION'!$A$1:$KZ$3000,$C83,11+3*MIN(D$3,$D$2-1)))))</f>
        <v/>
      </c>
      <c r="E83" s="123">
        <f>IF(OR($C83="",$B$2="",$D$2=0),0,IF(E$3&lt;0,0,N(INDEX('CURVA PREVISION'!$A$1:$KZ$3000,$C83,11+3*MIN(E$3,$D$2-1)))))</f>
        <v/>
      </c>
      <c r="F83" s="123">
        <f>IF(OR($C83="",$B$2="",$D$2=0),0,IF(F$3&lt;0,0,N(INDEX('CURVA PREVISION'!$A$1:$KZ$3000,$C83,11+3*MIN(F$3,$D$2-1)))))</f>
        <v/>
      </c>
      <c r="G83" s="123">
        <f>IF(OR($C83="",$B$2="",$D$2=0),0,IF(G$3&lt;0,0,N(INDEX('CURVA PREVISION'!$A$1:$KZ$3000,$C83,11+3*MIN(G$3,$D$2-1)))))</f>
        <v/>
      </c>
      <c r="H83" s="123">
        <f>IF(OR($C83="",$B$2="",$D$2=0),0,IF(H$3&lt;0,0,N(INDEX('CURVA PREVISION'!$A$1:$KZ$3000,$C83,11+3*MIN(H$3,$D$2-1)))))</f>
        <v/>
      </c>
      <c r="I83" s="123">
        <f>IF(OR($C83="",$B$2="",$D$2=0),0,IF(I$3&lt;0,0,N(INDEX('CURVA PREVISION'!$A$1:$KZ$3000,$C83,11+3*MIN(I$3,$D$2-1)))))</f>
        <v/>
      </c>
      <c r="J83" s="123">
        <f>IF(OR($C83="",$B$2="",$D$2=0),0,IF(J$3&lt;0,0,N(INDEX('CURVA PREVISION'!$A$1:$KZ$3000,$C83,11+3*MIN(J$3,$D$2-1)))))</f>
        <v/>
      </c>
      <c r="K83" s="123">
        <f>IF(OR($C83="",$B$2="",$D$2=0),0,IF(K$3&lt;0,0,N(INDEX('CURVA PREVISION'!$A$1:$KZ$3000,$C83,11+3*MIN(K$3,$D$2-1)))))</f>
        <v/>
      </c>
      <c r="L83" s="123">
        <f>IF(OR($C83="",$B$2="",$D$2=0),0,IF(L$3&lt;0,0,N(INDEX('CURVA PREVISION'!$A$1:$KZ$3000,$C83,11+3*MIN(L$3,$D$2-1)))))</f>
        <v/>
      </c>
      <c r="M83" s="123">
        <f>IF(OR($C83="",$B$2="",$D$2=0),0,IF(M$3&lt;0,0,N(INDEX('CURVA PREVISION'!$A$1:$KZ$3000,$C83,11+3*MIN(M$3,$D$2-1)))))</f>
        <v/>
      </c>
      <c r="N83" s="123">
        <f>IF(OR($C83="",$B$2="",$D$2=0),0,IF(N$3&lt;0,0,N(INDEX('CURVA PREVISION'!$A$1:$KZ$3000,$C83,11+3*MIN(N$3,$D$2-1)))))</f>
        <v/>
      </c>
      <c r="O83" s="123">
        <f>IF(OR($C83="",$B$2="",$D$2=0),0,IF(O$3&lt;0,0,N(INDEX('CURVA PREVISION'!$A$1:$KZ$3000,$C83,11+3*MIN(O$3,$D$2-1)))))</f>
        <v/>
      </c>
      <c r="P83" s="123">
        <f>IF(OR($C83="",$B$2="",$D$2=0),0,IF(P$3&lt;0,0,N(INDEX('CURVA PREVISION'!$A$1:$KZ$3000,$C83,11+3*MIN(P$3,$D$2-1)))))</f>
        <v/>
      </c>
      <c r="Q83" s="123">
        <f>IF(OR($C83="",$B$2="",$D$2=0),0,IF(Q$3&lt;0,0,N(INDEX('CURVA PREVISION'!$A$1:$KZ$3000,$C83,11+3*MIN(Q$3,$D$2-1)))))</f>
        <v/>
      </c>
      <c r="R83" s="123">
        <f>IF(OR($C83="",$B$2="",$D$2=0),0,IF(R$3&lt;0,0,N(INDEX('CURVA PREVISION'!$A$1:$KZ$3000,$C83,11+3*MIN(R$3,$D$2-1)))))</f>
        <v/>
      </c>
      <c r="S83" s="123">
        <f>IF(OR($C83="",$B$2="",$D$2=0),0,IF(S$3&lt;0,0,N(INDEX('CURVA PREVISION'!$A$1:$KZ$3000,$C83,11+3*MIN(S$3,$D$2-1)))))</f>
        <v/>
      </c>
      <c r="T83" s="123">
        <f>IF(OR($C83="",$B$2="",$D$2=0),0,IF(T$3&lt;0,0,N(INDEX('CURVA PREVISION'!$A$1:$KZ$3000,$C83,11+3*MIN(T$3,$D$2-1)))))</f>
        <v/>
      </c>
      <c r="U83" s="123">
        <f>IF(OR($C83="",$B$2="",$D$2=0),0,IF(U$3&lt;0,0,N(INDEX('CURVA PREVISION'!$A$1:$KZ$3000,$C83,11+3*MIN(U$3,$D$2-1)))))</f>
        <v/>
      </c>
      <c r="V83" s="123">
        <f>IF(OR($C83="",$B$2="",$D$2=0),0,IF(V$3&lt;0,0,N(INDEX('CURVA PREVISION'!$A$1:$KZ$3000,$C83,11+3*MIN(V$3,$D$2-1)))))</f>
        <v/>
      </c>
      <c r="W83" s="123">
        <f>IF(OR($C83="",$B$2="",$D$2=0),0,IF(W$3&lt;0,0,N(INDEX('CURVA PREVISION'!$A$1:$KZ$3000,$C83,11+3*MIN(W$3,$D$2-1)))))</f>
        <v/>
      </c>
      <c r="X83" s="123">
        <f>IF(OR($C83="",$B$2="",$D$2=0),0,IF(X$3&lt;0,0,N(INDEX('CURVA PREVISION'!$A$1:$KZ$3000,$C83,11+3*MIN(X$3,$D$2-1)))))</f>
        <v/>
      </c>
      <c r="Y83" s="123">
        <f>IF(OR($C83="",$B$2="",$D$2=0),0,IF(Y$3&lt;0,0,N(INDEX('CURVA PREVISION'!$A$1:$KZ$3000,$C83,11+3*MIN(Y$3,$D$2-1)))))</f>
        <v/>
      </c>
      <c r="Z83" s="123">
        <f>IF(OR($C83="",$B$2="",$D$2=0),0,IF(Z$3&lt;0,0,N(INDEX('CURVA PREVISION'!$A$1:$KZ$3000,$C83,11+3*MIN(Z$3,$D$2-1)))))</f>
        <v/>
      </c>
      <c r="AA83" s="123">
        <f>IF(OR($C83="",$B$2="",$D$2=0),0,IF(AA$3&lt;0,0,N(INDEX('CURVA PREVISION'!$A$1:$KZ$3000,$C83,11+3*MIN(AA$3,$D$2-1)))))</f>
        <v/>
      </c>
      <c r="AB83" s="123">
        <f>IF(OR($C83="",$B$2="",$D$2=0),0,IF(AB$3&lt;0,0,N(INDEX('CURVA PREVISION'!$A$1:$KZ$3000,$C83,11+3*MIN(AB$3,$D$2-1)))))</f>
        <v/>
      </c>
      <c r="AC83" s="123">
        <f>IF(OR($C83="",$B$2="",$D$2=0),0,IF(AC$3&lt;0,0,N(INDEX('CURVA PREVISION'!$A$1:$KZ$3000,$C83,11+3*MIN(AC$3,$D$2-1)))))</f>
        <v/>
      </c>
      <c r="AD83" s="123">
        <f>IF(OR($C83="",$B$2="",$D$2=0),0,IF(AD$3&lt;0,0,N(INDEX('CURVA PREVISION'!$A$1:$KZ$3000,$C83,11+3*MIN(AD$3,$D$2-1)))))</f>
        <v/>
      </c>
      <c r="AE83" s="123">
        <f>IF(OR($C83="",$B$2="",$D$2=0),0,IF(AE$3&lt;0,0,N(INDEX('CURVA PREVISION'!$A$1:$KZ$3000,$C83,11+3*MIN(AE$3,$D$2-1)))))</f>
        <v/>
      </c>
      <c r="AF83" s="123">
        <f>IF(OR($C83="",$B$2="",$D$2=0),0,IF(AF$3&lt;0,0,N(INDEX('CURVA PREVISION'!$A$1:$KZ$3000,$C83,11+3*MIN(AF$3,$D$2-1)))))</f>
        <v/>
      </c>
      <c r="AG83" s="123">
        <f>IF(OR($C83="",$B$2="",$D$2=0),0,IF(AG$3&lt;0,0,N(INDEX('CURVA PREVISION'!$A$1:$KZ$3000,$C83,11+3*MIN(AG$3,$D$2-1)))))</f>
        <v/>
      </c>
      <c r="AH83" s="123">
        <f>IF(OR($C83="",$B$2="",$D$2=0),0,IF(AH$3&lt;0,0,N(INDEX('CURVA PREVISION'!$A$1:$KZ$3000,$C83,11+3*MIN(AH$3,$D$2-1)))))</f>
        <v/>
      </c>
      <c r="AI83" s="123">
        <f>IF(OR($C83="",$B$2="",$D$2=0),0,IF(AI$3&lt;0,0,N(INDEX('CURVA PREVISION'!$A$1:$KZ$3000,$C83,11+3*MIN(AI$3,$D$2-1)))))</f>
        <v/>
      </c>
      <c r="AJ83" s="123">
        <f>IF(OR($C83="",$B$2="",$D$2=0),0,IF(AJ$3&lt;0,0,N(INDEX('CURVA PREVISION'!$A$1:$KZ$3000,$C83,11+3*MIN(AJ$3,$D$2-1)))))</f>
        <v/>
      </c>
      <c r="AK83" s="123">
        <f>IF(OR($C83="",$B$2="",$D$2=0),0,IF(AK$3&lt;0,0,N(INDEX('CURVA PREVISION'!$A$1:$KZ$3000,$C83,11+3*MIN(AK$3,$D$2-1)))))</f>
        <v/>
      </c>
      <c r="AL83" s="123">
        <f>IF(OR($C83="",$B$2="",$D$2=0),0,IF(AL$3&lt;0,0,N(INDEX('CURVA PREVISION'!$A$1:$KZ$3000,$C83,11+3*MIN(AL$3,$D$2-1)))))</f>
        <v/>
      </c>
      <c r="AM83" s="123">
        <f>IF(OR($C83="",$B$2="",$D$2=0),0,IF(AM$3&lt;0,0,N(INDEX('CURVA PREVISION'!$A$1:$KZ$3000,$C83,11+3*MIN(AM$3,$D$2-1)))))</f>
        <v/>
      </c>
      <c r="AN83" s="123">
        <f>IF(OR($C83="",$B$2="",$D$2=0),0,IF(AN$3&lt;0,0,N(INDEX('CURVA PREVISION'!$A$1:$KZ$3000,$C83,11+3*MIN(AN$3,$D$2-1)))))</f>
        <v/>
      </c>
      <c r="AO83" s="123">
        <f>IF(OR($C83="",$B$2="",$D$2=0),0,IF(AO$3&lt;0,0,N(INDEX('CURVA PREVISION'!$A$1:$KZ$3000,$C83,11+3*MIN(AO$3,$D$2-1)))))</f>
        <v/>
      </c>
      <c r="AP83" s="123">
        <f>IF(OR($C83="",$B$2="",$D$2=0),0,IF(AP$3&lt;0,0,N(INDEX('CURVA PREVISION'!$A$1:$KZ$3000,$C83,11+3*MIN(AP$3,$D$2-1)))))</f>
        <v/>
      </c>
      <c r="AQ83" s="123">
        <f>IF(OR($C83="",$B$2="",$D$2=0),0,IF(AQ$3&lt;0,0,N(INDEX('CURVA PREVISION'!$A$1:$KZ$3000,$C83,11+3*MIN(AQ$3,$D$2-1)))))</f>
        <v/>
      </c>
      <c r="AR83" s="123">
        <f>IF(OR($C83="",$B$2="",$D$2=0),0,IF(AR$3&lt;0,0,N(INDEX('CURVA PREVISION'!$A$1:$KZ$3000,$C83,11+3*MIN(AR$3,$D$2-1)))))</f>
        <v/>
      </c>
      <c r="AS83" s="123">
        <f>IF(OR($C83="",$B$2="",$D$2=0),0,IF(AS$3&lt;0,0,N(INDEX('CURVA PREVISION'!$A$1:$KZ$3000,$C83,11+3*MIN(AS$3,$D$2-1)))))</f>
        <v/>
      </c>
      <c r="AT83" s="123">
        <f>IF(OR($C83="",$B$2="",$D$2=0),0,IF(AT$3&lt;0,0,N(INDEX('CURVA PREVISION'!$A$1:$KZ$3000,$C83,11+3*MIN(AT$3,$D$2-1)))))</f>
        <v/>
      </c>
      <c r="AU83" s="123">
        <f>IF(OR($C83="",$B$2="",$D$2=0),0,IF(AU$3&lt;0,0,N(INDEX('CURVA PREVISION'!$A$1:$KZ$3000,$C83,11+3*MIN(AU$3,$D$2-1)))))</f>
        <v/>
      </c>
      <c r="AV83" s="123">
        <f>IF(OR($C83="",$B$2="",$D$2=0),0,IF(AV$3&lt;0,0,N(INDEX('CURVA PREVISION'!$A$1:$KZ$3000,$C83,11+3*MIN(AV$3,$D$2-1)))))</f>
        <v/>
      </c>
      <c r="AW83" s="123">
        <f>IF(OR($C83="",$B$2="",$D$2=0),0,IF(AW$3&lt;0,0,N(INDEX('CURVA PREVISION'!$A$1:$KZ$3000,$C83,11+3*MIN(AW$3,$D$2-1)))))</f>
        <v/>
      </c>
      <c r="AX83" s="123">
        <f>IF(OR($C83="",$B$2="",$D$2=0),0,IF(AX$3&lt;0,0,N(INDEX('CURVA PREVISION'!$A$1:$KZ$3000,$C83,11+3*MIN(AX$3,$D$2-1)))))</f>
        <v/>
      </c>
      <c r="AY83" s="123">
        <f>IF(OR($C83="",$B$2="",$D$2=0),0,IF(AY$3&lt;0,0,N(INDEX('CURVA PREVISION'!$A$1:$KZ$3000,$C83,11+3*MIN(AY$3,$D$2-1)))))</f>
        <v/>
      </c>
      <c r="AZ83" s="123">
        <f>IF(OR($C83="",$B$2="",$D$2=0),0,IF(AZ$3&lt;0,0,N(INDEX('CURVA PREVISION'!$A$1:$KZ$3000,$C83,11+3*MIN(AZ$3,$D$2-1)))))</f>
        <v/>
      </c>
      <c r="BA83" s="123">
        <f>IF(OR($C83="",$B$2="",$D$2=0),0,IF(BA$3&lt;0,0,N(INDEX('CURVA PREVISION'!$A$1:$KZ$3000,$C83,11+3*MIN(BA$3,$D$2-1)))))</f>
        <v/>
      </c>
      <c r="BB83" s="123">
        <f>IF(OR($C83="",$B$2="",$D$2=0),0,IF(BB$3&lt;0,0,N(INDEX('CURVA PREVISION'!$A$1:$KZ$3000,$C83,11+3*MIN(BB$3,$D$2-1)))))</f>
        <v/>
      </c>
      <c r="BC83" s="123">
        <f>IF(OR($C83="",$B$2="",$D$2=0),0,IF(BC$3&lt;0,0,N(INDEX('CURVA PREVISION'!$A$1:$KZ$3000,$C83,11+3*MIN(BC$3,$D$2-1)))))</f>
        <v/>
      </c>
      <c r="BD83" s="123">
        <f>IF(OR($C83="",$B$2="",$D$2=0),0,IF(BD$3&lt;0,0,N(INDEX('CURVA PREVISION'!$A$1:$KZ$3000,$C83,11+3*MIN(BD$3,$D$2-1)))))</f>
        <v/>
      </c>
      <c r="BE83" s="123">
        <f>IF(OR($C83="",$B$2="",$D$2=0),0,IF(BE$3&lt;0,0,N(INDEX('CURVA PREVISION'!$A$1:$KZ$3000,$C83,11+3*MIN(BE$3,$D$2-1)))))</f>
        <v/>
      </c>
      <c r="BF83" s="123">
        <f>IF(OR($C83="",$B$2="",$D$2=0),0,IF(BF$3&lt;0,0,N(INDEX('CURVA PREVISION'!$A$1:$KZ$3000,$C83,11+3*MIN(BF$3,$D$2-1)))))</f>
        <v/>
      </c>
      <c r="BG83" s="123">
        <f>IF(OR($C83="",$B$2="",$D$2=0),0,IF(BG$3&lt;0,0,N(INDEX('CURVA PREVISION'!$A$1:$KZ$3000,$C83,11+3*MIN(BG$3,$D$2-1)))))</f>
        <v/>
      </c>
      <c r="BH83" s="123">
        <f>IF(OR($C83="",$B$2="",$D$2=0),0,IF(BH$3&lt;0,0,N(INDEX('CURVA PREVISION'!$A$1:$KZ$3000,$C83,11+3*MIN(BH$3,$D$2-1)))))</f>
        <v/>
      </c>
      <c r="BI83" s="123">
        <f>IF(OR($C83="",$B$2="",$D$2=0),0,IF(BI$3&lt;0,0,N(INDEX('CURVA PREVISION'!$A$1:$KZ$3000,$C83,11+3*MIN(BI$3,$D$2-1)))))</f>
        <v/>
      </c>
      <c r="BJ83" s="123">
        <f>IF(OR($C83="",$B$2="",$D$2=0),0,IF(BJ$3&lt;0,0,N(INDEX('CURVA PREVISION'!$A$1:$KZ$3000,$C83,11+3*MIN(BJ$3,$D$2-1)))))</f>
        <v/>
      </c>
      <c r="BK83" s="123">
        <f>IF(OR($C83="",$B$2="",$D$2=0),0,IF(BK$3&lt;0,0,N(INDEX('CURVA PREVISION'!$A$1:$KZ$3000,$C83,11+3*MIN(BK$3,$D$2-1)))))</f>
        <v/>
      </c>
      <c r="BL83" s="123">
        <f>IF(OR($C83="",$B$2="",$D$2=0),0,IF(BL$3&lt;0,0,N(INDEX('CURVA PREVISION'!$A$1:$KZ$3000,$C83,11+3*MIN(BL$3,$D$2-1)))))</f>
        <v/>
      </c>
      <c r="BM83" s="123">
        <f>IF(OR($C83="",$B$2="",$D$2=0),0,IF(BM$3&lt;0,0,N(INDEX('CURVA PREVISION'!$A$1:$KZ$3000,$C83,11+3*MIN(BM$3,$D$2-1)))))</f>
        <v/>
      </c>
      <c r="BN83" s="123">
        <f>IF(OR($C83="",$B$2="",$D$2=0),0,IF(BN$3&lt;0,0,N(INDEX('CURVA PREVISION'!$A$1:$KZ$3000,$C83,11+3*MIN(BN$3,$D$2-1)))))</f>
        <v/>
      </c>
      <c r="BO83" s="123">
        <f>IF(OR($C83="",$B$2="",$D$2=0),0,IF(BO$3&lt;0,0,N(INDEX('CURVA PREVISION'!$A$1:$KZ$3000,$C83,11+3*MIN(BO$3,$D$2-1)))))</f>
        <v/>
      </c>
      <c r="BP83" s="123">
        <f>IF(OR($C83="",$B$2="",$D$2=0),0,IF(BP$3&lt;0,0,N(INDEX('CURVA PREVISION'!$A$1:$KZ$3000,$C83,11+3*MIN(BP$3,$D$2-1)))))</f>
        <v/>
      </c>
      <c r="BQ83" s="123">
        <f>IF(OR($C83="",$B$2="",$D$2=0),0,IF(BQ$3&lt;0,0,N(INDEX('CURVA PREVISION'!$A$1:$KZ$3000,$C83,11+3*MIN(BQ$3,$D$2-1)))))</f>
        <v/>
      </c>
      <c r="BR83" s="123">
        <f>IF(OR($C83="",$B$2="",$D$2=0),0,IF(BR$3&lt;0,0,N(INDEX('CURVA PREVISION'!$A$1:$KZ$3000,$C83,11+3*MIN(BR$3,$D$2-1)))))</f>
        <v/>
      </c>
      <c r="BS83" s="123">
        <f>IF(OR($C83="",$B$2="",$D$2=0),0,IF(BS$3&lt;0,0,N(INDEX('CURVA PREVISION'!$A$1:$KZ$3000,$C83,11+3*MIN(BS$3,$D$2-1)))))</f>
        <v/>
      </c>
      <c r="BT83" s="123">
        <f>IF(OR($C83="",$B$2="",$D$2=0),0,IF(BT$3&lt;0,0,N(INDEX('CURVA PREVISION'!$A$1:$KZ$3000,$C83,11+3*MIN(BT$3,$D$2-1)))))</f>
        <v/>
      </c>
      <c r="BU83" s="123">
        <f>IF(OR($C83="",$B$2="",$D$2=0),0,IF(BU$3&lt;0,0,N(INDEX('CURVA PREVISION'!$A$1:$KZ$3000,$C83,11+3*MIN(BU$3,$D$2-1)))))</f>
        <v/>
      </c>
      <c r="BV83" s="123">
        <f>IF(OR($C83="",$B$2="",$D$2=0),0,IF(BV$3&lt;0,0,N(INDEX('CURVA PREVISION'!$A$1:$KZ$3000,$C83,11+3*MIN(BV$3,$D$2-1)))))</f>
        <v/>
      </c>
      <c r="BW83" s="123">
        <f>IF(OR($C83="",$B$2="",$D$2=0),0,IF(BW$3&lt;0,0,N(INDEX('CURVA PREVISION'!$A$1:$KZ$3000,$C83,11+3*MIN(BW$3,$D$2-1)))))</f>
        <v/>
      </c>
    </row>
    <row r="84">
      <c r="A84" s="61">
        <f>IF('VALOR POR PL'!Q48="",'VALOR POR PL'!C48,'VALOR POR PL'!Q48)</f>
        <v/>
      </c>
      <c r="B84" s="51">
        <f>B42</f>
        <v/>
      </c>
      <c r="C84" s="70">
        <f>IFERROR(MATCH(A84,'CURVA PREVISION'!$B$1:$B$3000,0),"")</f>
        <v/>
      </c>
      <c r="D84" s="123">
        <f>IF(OR($C84="",$B$2="",$D$2=0),0,IF(D$3&lt;0,0,N(INDEX('CURVA PREVISION'!$A$1:$KZ$3000,$C84,11+3*MIN(D$3,$D$2-1)))))</f>
        <v/>
      </c>
      <c r="E84" s="123">
        <f>IF(OR($C84="",$B$2="",$D$2=0),0,IF(E$3&lt;0,0,N(INDEX('CURVA PREVISION'!$A$1:$KZ$3000,$C84,11+3*MIN(E$3,$D$2-1)))))</f>
        <v/>
      </c>
      <c r="F84" s="123">
        <f>IF(OR($C84="",$B$2="",$D$2=0),0,IF(F$3&lt;0,0,N(INDEX('CURVA PREVISION'!$A$1:$KZ$3000,$C84,11+3*MIN(F$3,$D$2-1)))))</f>
        <v/>
      </c>
      <c r="G84" s="123">
        <f>IF(OR($C84="",$B$2="",$D$2=0),0,IF(G$3&lt;0,0,N(INDEX('CURVA PREVISION'!$A$1:$KZ$3000,$C84,11+3*MIN(G$3,$D$2-1)))))</f>
        <v/>
      </c>
      <c r="H84" s="123">
        <f>IF(OR($C84="",$B$2="",$D$2=0),0,IF(H$3&lt;0,0,N(INDEX('CURVA PREVISION'!$A$1:$KZ$3000,$C84,11+3*MIN(H$3,$D$2-1)))))</f>
        <v/>
      </c>
      <c r="I84" s="123">
        <f>IF(OR($C84="",$B$2="",$D$2=0),0,IF(I$3&lt;0,0,N(INDEX('CURVA PREVISION'!$A$1:$KZ$3000,$C84,11+3*MIN(I$3,$D$2-1)))))</f>
        <v/>
      </c>
      <c r="J84" s="123">
        <f>IF(OR($C84="",$B$2="",$D$2=0),0,IF(J$3&lt;0,0,N(INDEX('CURVA PREVISION'!$A$1:$KZ$3000,$C84,11+3*MIN(J$3,$D$2-1)))))</f>
        <v/>
      </c>
      <c r="K84" s="123">
        <f>IF(OR($C84="",$B$2="",$D$2=0),0,IF(K$3&lt;0,0,N(INDEX('CURVA PREVISION'!$A$1:$KZ$3000,$C84,11+3*MIN(K$3,$D$2-1)))))</f>
        <v/>
      </c>
      <c r="L84" s="123">
        <f>IF(OR($C84="",$B$2="",$D$2=0),0,IF(L$3&lt;0,0,N(INDEX('CURVA PREVISION'!$A$1:$KZ$3000,$C84,11+3*MIN(L$3,$D$2-1)))))</f>
        <v/>
      </c>
      <c r="M84" s="123">
        <f>IF(OR($C84="",$B$2="",$D$2=0),0,IF(M$3&lt;0,0,N(INDEX('CURVA PREVISION'!$A$1:$KZ$3000,$C84,11+3*MIN(M$3,$D$2-1)))))</f>
        <v/>
      </c>
      <c r="N84" s="123">
        <f>IF(OR($C84="",$B$2="",$D$2=0),0,IF(N$3&lt;0,0,N(INDEX('CURVA PREVISION'!$A$1:$KZ$3000,$C84,11+3*MIN(N$3,$D$2-1)))))</f>
        <v/>
      </c>
      <c r="O84" s="123">
        <f>IF(OR($C84="",$B$2="",$D$2=0),0,IF(O$3&lt;0,0,N(INDEX('CURVA PREVISION'!$A$1:$KZ$3000,$C84,11+3*MIN(O$3,$D$2-1)))))</f>
        <v/>
      </c>
      <c r="P84" s="123">
        <f>IF(OR($C84="",$B$2="",$D$2=0),0,IF(P$3&lt;0,0,N(INDEX('CURVA PREVISION'!$A$1:$KZ$3000,$C84,11+3*MIN(P$3,$D$2-1)))))</f>
        <v/>
      </c>
      <c r="Q84" s="123">
        <f>IF(OR($C84="",$B$2="",$D$2=0),0,IF(Q$3&lt;0,0,N(INDEX('CURVA PREVISION'!$A$1:$KZ$3000,$C84,11+3*MIN(Q$3,$D$2-1)))))</f>
        <v/>
      </c>
      <c r="R84" s="123">
        <f>IF(OR($C84="",$B$2="",$D$2=0),0,IF(R$3&lt;0,0,N(INDEX('CURVA PREVISION'!$A$1:$KZ$3000,$C84,11+3*MIN(R$3,$D$2-1)))))</f>
        <v/>
      </c>
      <c r="S84" s="123">
        <f>IF(OR($C84="",$B$2="",$D$2=0),0,IF(S$3&lt;0,0,N(INDEX('CURVA PREVISION'!$A$1:$KZ$3000,$C84,11+3*MIN(S$3,$D$2-1)))))</f>
        <v/>
      </c>
      <c r="T84" s="123">
        <f>IF(OR($C84="",$B$2="",$D$2=0),0,IF(T$3&lt;0,0,N(INDEX('CURVA PREVISION'!$A$1:$KZ$3000,$C84,11+3*MIN(T$3,$D$2-1)))))</f>
        <v/>
      </c>
      <c r="U84" s="123">
        <f>IF(OR($C84="",$B$2="",$D$2=0),0,IF(U$3&lt;0,0,N(INDEX('CURVA PREVISION'!$A$1:$KZ$3000,$C84,11+3*MIN(U$3,$D$2-1)))))</f>
        <v/>
      </c>
      <c r="V84" s="123">
        <f>IF(OR($C84="",$B$2="",$D$2=0),0,IF(V$3&lt;0,0,N(INDEX('CURVA PREVISION'!$A$1:$KZ$3000,$C84,11+3*MIN(V$3,$D$2-1)))))</f>
        <v/>
      </c>
      <c r="W84" s="123">
        <f>IF(OR($C84="",$B$2="",$D$2=0),0,IF(W$3&lt;0,0,N(INDEX('CURVA PREVISION'!$A$1:$KZ$3000,$C84,11+3*MIN(W$3,$D$2-1)))))</f>
        <v/>
      </c>
      <c r="X84" s="123">
        <f>IF(OR($C84="",$B$2="",$D$2=0),0,IF(X$3&lt;0,0,N(INDEX('CURVA PREVISION'!$A$1:$KZ$3000,$C84,11+3*MIN(X$3,$D$2-1)))))</f>
        <v/>
      </c>
      <c r="Y84" s="123">
        <f>IF(OR($C84="",$B$2="",$D$2=0),0,IF(Y$3&lt;0,0,N(INDEX('CURVA PREVISION'!$A$1:$KZ$3000,$C84,11+3*MIN(Y$3,$D$2-1)))))</f>
        <v/>
      </c>
      <c r="Z84" s="123">
        <f>IF(OR($C84="",$B$2="",$D$2=0),0,IF(Z$3&lt;0,0,N(INDEX('CURVA PREVISION'!$A$1:$KZ$3000,$C84,11+3*MIN(Z$3,$D$2-1)))))</f>
        <v/>
      </c>
      <c r="AA84" s="123">
        <f>IF(OR($C84="",$B$2="",$D$2=0),0,IF(AA$3&lt;0,0,N(INDEX('CURVA PREVISION'!$A$1:$KZ$3000,$C84,11+3*MIN(AA$3,$D$2-1)))))</f>
        <v/>
      </c>
      <c r="AB84" s="123">
        <f>IF(OR($C84="",$B$2="",$D$2=0),0,IF(AB$3&lt;0,0,N(INDEX('CURVA PREVISION'!$A$1:$KZ$3000,$C84,11+3*MIN(AB$3,$D$2-1)))))</f>
        <v/>
      </c>
      <c r="AC84" s="123">
        <f>IF(OR($C84="",$B$2="",$D$2=0),0,IF(AC$3&lt;0,0,N(INDEX('CURVA PREVISION'!$A$1:$KZ$3000,$C84,11+3*MIN(AC$3,$D$2-1)))))</f>
        <v/>
      </c>
      <c r="AD84" s="123">
        <f>IF(OR($C84="",$B$2="",$D$2=0),0,IF(AD$3&lt;0,0,N(INDEX('CURVA PREVISION'!$A$1:$KZ$3000,$C84,11+3*MIN(AD$3,$D$2-1)))))</f>
        <v/>
      </c>
      <c r="AE84" s="123">
        <f>IF(OR($C84="",$B$2="",$D$2=0),0,IF(AE$3&lt;0,0,N(INDEX('CURVA PREVISION'!$A$1:$KZ$3000,$C84,11+3*MIN(AE$3,$D$2-1)))))</f>
        <v/>
      </c>
      <c r="AF84" s="123">
        <f>IF(OR($C84="",$B$2="",$D$2=0),0,IF(AF$3&lt;0,0,N(INDEX('CURVA PREVISION'!$A$1:$KZ$3000,$C84,11+3*MIN(AF$3,$D$2-1)))))</f>
        <v/>
      </c>
      <c r="AG84" s="123">
        <f>IF(OR($C84="",$B$2="",$D$2=0),0,IF(AG$3&lt;0,0,N(INDEX('CURVA PREVISION'!$A$1:$KZ$3000,$C84,11+3*MIN(AG$3,$D$2-1)))))</f>
        <v/>
      </c>
      <c r="AH84" s="123">
        <f>IF(OR($C84="",$B$2="",$D$2=0),0,IF(AH$3&lt;0,0,N(INDEX('CURVA PREVISION'!$A$1:$KZ$3000,$C84,11+3*MIN(AH$3,$D$2-1)))))</f>
        <v/>
      </c>
      <c r="AI84" s="123">
        <f>IF(OR($C84="",$B$2="",$D$2=0),0,IF(AI$3&lt;0,0,N(INDEX('CURVA PREVISION'!$A$1:$KZ$3000,$C84,11+3*MIN(AI$3,$D$2-1)))))</f>
        <v/>
      </c>
      <c r="AJ84" s="123">
        <f>IF(OR($C84="",$B$2="",$D$2=0),0,IF(AJ$3&lt;0,0,N(INDEX('CURVA PREVISION'!$A$1:$KZ$3000,$C84,11+3*MIN(AJ$3,$D$2-1)))))</f>
        <v/>
      </c>
      <c r="AK84" s="123">
        <f>IF(OR($C84="",$B$2="",$D$2=0),0,IF(AK$3&lt;0,0,N(INDEX('CURVA PREVISION'!$A$1:$KZ$3000,$C84,11+3*MIN(AK$3,$D$2-1)))))</f>
        <v/>
      </c>
      <c r="AL84" s="123">
        <f>IF(OR($C84="",$B$2="",$D$2=0),0,IF(AL$3&lt;0,0,N(INDEX('CURVA PREVISION'!$A$1:$KZ$3000,$C84,11+3*MIN(AL$3,$D$2-1)))))</f>
        <v/>
      </c>
      <c r="AM84" s="123">
        <f>IF(OR($C84="",$B$2="",$D$2=0),0,IF(AM$3&lt;0,0,N(INDEX('CURVA PREVISION'!$A$1:$KZ$3000,$C84,11+3*MIN(AM$3,$D$2-1)))))</f>
        <v/>
      </c>
      <c r="AN84" s="123">
        <f>IF(OR($C84="",$B$2="",$D$2=0),0,IF(AN$3&lt;0,0,N(INDEX('CURVA PREVISION'!$A$1:$KZ$3000,$C84,11+3*MIN(AN$3,$D$2-1)))))</f>
        <v/>
      </c>
      <c r="AO84" s="123">
        <f>IF(OR($C84="",$B$2="",$D$2=0),0,IF(AO$3&lt;0,0,N(INDEX('CURVA PREVISION'!$A$1:$KZ$3000,$C84,11+3*MIN(AO$3,$D$2-1)))))</f>
        <v/>
      </c>
      <c r="AP84" s="123">
        <f>IF(OR($C84="",$B$2="",$D$2=0),0,IF(AP$3&lt;0,0,N(INDEX('CURVA PREVISION'!$A$1:$KZ$3000,$C84,11+3*MIN(AP$3,$D$2-1)))))</f>
        <v/>
      </c>
      <c r="AQ84" s="123">
        <f>IF(OR($C84="",$B$2="",$D$2=0),0,IF(AQ$3&lt;0,0,N(INDEX('CURVA PREVISION'!$A$1:$KZ$3000,$C84,11+3*MIN(AQ$3,$D$2-1)))))</f>
        <v/>
      </c>
      <c r="AR84" s="123">
        <f>IF(OR($C84="",$B$2="",$D$2=0),0,IF(AR$3&lt;0,0,N(INDEX('CURVA PREVISION'!$A$1:$KZ$3000,$C84,11+3*MIN(AR$3,$D$2-1)))))</f>
        <v/>
      </c>
      <c r="AS84" s="123">
        <f>IF(OR($C84="",$B$2="",$D$2=0),0,IF(AS$3&lt;0,0,N(INDEX('CURVA PREVISION'!$A$1:$KZ$3000,$C84,11+3*MIN(AS$3,$D$2-1)))))</f>
        <v/>
      </c>
      <c r="AT84" s="123">
        <f>IF(OR($C84="",$B$2="",$D$2=0),0,IF(AT$3&lt;0,0,N(INDEX('CURVA PREVISION'!$A$1:$KZ$3000,$C84,11+3*MIN(AT$3,$D$2-1)))))</f>
        <v/>
      </c>
      <c r="AU84" s="123">
        <f>IF(OR($C84="",$B$2="",$D$2=0),0,IF(AU$3&lt;0,0,N(INDEX('CURVA PREVISION'!$A$1:$KZ$3000,$C84,11+3*MIN(AU$3,$D$2-1)))))</f>
        <v/>
      </c>
      <c r="AV84" s="123">
        <f>IF(OR($C84="",$B$2="",$D$2=0),0,IF(AV$3&lt;0,0,N(INDEX('CURVA PREVISION'!$A$1:$KZ$3000,$C84,11+3*MIN(AV$3,$D$2-1)))))</f>
        <v/>
      </c>
      <c r="AW84" s="123">
        <f>IF(OR($C84="",$B$2="",$D$2=0),0,IF(AW$3&lt;0,0,N(INDEX('CURVA PREVISION'!$A$1:$KZ$3000,$C84,11+3*MIN(AW$3,$D$2-1)))))</f>
        <v/>
      </c>
      <c r="AX84" s="123">
        <f>IF(OR($C84="",$B$2="",$D$2=0),0,IF(AX$3&lt;0,0,N(INDEX('CURVA PREVISION'!$A$1:$KZ$3000,$C84,11+3*MIN(AX$3,$D$2-1)))))</f>
        <v/>
      </c>
      <c r="AY84" s="123">
        <f>IF(OR($C84="",$B$2="",$D$2=0),0,IF(AY$3&lt;0,0,N(INDEX('CURVA PREVISION'!$A$1:$KZ$3000,$C84,11+3*MIN(AY$3,$D$2-1)))))</f>
        <v/>
      </c>
      <c r="AZ84" s="123">
        <f>IF(OR($C84="",$B$2="",$D$2=0),0,IF(AZ$3&lt;0,0,N(INDEX('CURVA PREVISION'!$A$1:$KZ$3000,$C84,11+3*MIN(AZ$3,$D$2-1)))))</f>
        <v/>
      </c>
      <c r="BA84" s="123">
        <f>IF(OR($C84="",$B$2="",$D$2=0),0,IF(BA$3&lt;0,0,N(INDEX('CURVA PREVISION'!$A$1:$KZ$3000,$C84,11+3*MIN(BA$3,$D$2-1)))))</f>
        <v/>
      </c>
      <c r="BB84" s="123">
        <f>IF(OR($C84="",$B$2="",$D$2=0),0,IF(BB$3&lt;0,0,N(INDEX('CURVA PREVISION'!$A$1:$KZ$3000,$C84,11+3*MIN(BB$3,$D$2-1)))))</f>
        <v/>
      </c>
      <c r="BC84" s="123">
        <f>IF(OR($C84="",$B$2="",$D$2=0),0,IF(BC$3&lt;0,0,N(INDEX('CURVA PREVISION'!$A$1:$KZ$3000,$C84,11+3*MIN(BC$3,$D$2-1)))))</f>
        <v/>
      </c>
      <c r="BD84" s="123">
        <f>IF(OR($C84="",$B$2="",$D$2=0),0,IF(BD$3&lt;0,0,N(INDEX('CURVA PREVISION'!$A$1:$KZ$3000,$C84,11+3*MIN(BD$3,$D$2-1)))))</f>
        <v/>
      </c>
      <c r="BE84" s="123">
        <f>IF(OR($C84="",$B$2="",$D$2=0),0,IF(BE$3&lt;0,0,N(INDEX('CURVA PREVISION'!$A$1:$KZ$3000,$C84,11+3*MIN(BE$3,$D$2-1)))))</f>
        <v/>
      </c>
      <c r="BF84" s="123">
        <f>IF(OR($C84="",$B$2="",$D$2=0),0,IF(BF$3&lt;0,0,N(INDEX('CURVA PREVISION'!$A$1:$KZ$3000,$C84,11+3*MIN(BF$3,$D$2-1)))))</f>
        <v/>
      </c>
      <c r="BG84" s="123">
        <f>IF(OR($C84="",$B$2="",$D$2=0),0,IF(BG$3&lt;0,0,N(INDEX('CURVA PREVISION'!$A$1:$KZ$3000,$C84,11+3*MIN(BG$3,$D$2-1)))))</f>
        <v/>
      </c>
      <c r="BH84" s="123">
        <f>IF(OR($C84="",$B$2="",$D$2=0),0,IF(BH$3&lt;0,0,N(INDEX('CURVA PREVISION'!$A$1:$KZ$3000,$C84,11+3*MIN(BH$3,$D$2-1)))))</f>
        <v/>
      </c>
      <c r="BI84" s="123">
        <f>IF(OR($C84="",$B$2="",$D$2=0),0,IF(BI$3&lt;0,0,N(INDEX('CURVA PREVISION'!$A$1:$KZ$3000,$C84,11+3*MIN(BI$3,$D$2-1)))))</f>
        <v/>
      </c>
      <c r="BJ84" s="123">
        <f>IF(OR($C84="",$B$2="",$D$2=0),0,IF(BJ$3&lt;0,0,N(INDEX('CURVA PREVISION'!$A$1:$KZ$3000,$C84,11+3*MIN(BJ$3,$D$2-1)))))</f>
        <v/>
      </c>
      <c r="BK84" s="123">
        <f>IF(OR($C84="",$B$2="",$D$2=0),0,IF(BK$3&lt;0,0,N(INDEX('CURVA PREVISION'!$A$1:$KZ$3000,$C84,11+3*MIN(BK$3,$D$2-1)))))</f>
        <v/>
      </c>
      <c r="BL84" s="123">
        <f>IF(OR($C84="",$B$2="",$D$2=0),0,IF(BL$3&lt;0,0,N(INDEX('CURVA PREVISION'!$A$1:$KZ$3000,$C84,11+3*MIN(BL$3,$D$2-1)))))</f>
        <v/>
      </c>
      <c r="BM84" s="123">
        <f>IF(OR($C84="",$B$2="",$D$2=0),0,IF(BM$3&lt;0,0,N(INDEX('CURVA PREVISION'!$A$1:$KZ$3000,$C84,11+3*MIN(BM$3,$D$2-1)))))</f>
        <v/>
      </c>
      <c r="BN84" s="123">
        <f>IF(OR($C84="",$B$2="",$D$2=0),0,IF(BN$3&lt;0,0,N(INDEX('CURVA PREVISION'!$A$1:$KZ$3000,$C84,11+3*MIN(BN$3,$D$2-1)))))</f>
        <v/>
      </c>
      <c r="BO84" s="123">
        <f>IF(OR($C84="",$B$2="",$D$2=0),0,IF(BO$3&lt;0,0,N(INDEX('CURVA PREVISION'!$A$1:$KZ$3000,$C84,11+3*MIN(BO$3,$D$2-1)))))</f>
        <v/>
      </c>
      <c r="BP84" s="123">
        <f>IF(OR($C84="",$B$2="",$D$2=0),0,IF(BP$3&lt;0,0,N(INDEX('CURVA PREVISION'!$A$1:$KZ$3000,$C84,11+3*MIN(BP$3,$D$2-1)))))</f>
        <v/>
      </c>
      <c r="BQ84" s="123">
        <f>IF(OR($C84="",$B$2="",$D$2=0),0,IF(BQ$3&lt;0,0,N(INDEX('CURVA PREVISION'!$A$1:$KZ$3000,$C84,11+3*MIN(BQ$3,$D$2-1)))))</f>
        <v/>
      </c>
      <c r="BR84" s="123">
        <f>IF(OR($C84="",$B$2="",$D$2=0),0,IF(BR$3&lt;0,0,N(INDEX('CURVA PREVISION'!$A$1:$KZ$3000,$C84,11+3*MIN(BR$3,$D$2-1)))))</f>
        <v/>
      </c>
      <c r="BS84" s="123">
        <f>IF(OR($C84="",$B$2="",$D$2=0),0,IF(BS$3&lt;0,0,N(INDEX('CURVA PREVISION'!$A$1:$KZ$3000,$C84,11+3*MIN(BS$3,$D$2-1)))))</f>
        <v/>
      </c>
      <c r="BT84" s="123">
        <f>IF(OR($C84="",$B$2="",$D$2=0),0,IF(BT$3&lt;0,0,N(INDEX('CURVA PREVISION'!$A$1:$KZ$3000,$C84,11+3*MIN(BT$3,$D$2-1)))))</f>
        <v/>
      </c>
      <c r="BU84" s="123">
        <f>IF(OR($C84="",$B$2="",$D$2=0),0,IF(BU$3&lt;0,0,N(INDEX('CURVA PREVISION'!$A$1:$KZ$3000,$C84,11+3*MIN(BU$3,$D$2-1)))))</f>
        <v/>
      </c>
      <c r="BV84" s="123">
        <f>IF(OR($C84="",$B$2="",$D$2=0),0,IF(BV$3&lt;0,0,N(INDEX('CURVA PREVISION'!$A$1:$KZ$3000,$C84,11+3*MIN(BV$3,$D$2-1)))))</f>
        <v/>
      </c>
      <c r="BW84" s="123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4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  <c r="CB1" s="124">
        <f>IF(CB$4="",0,IFERROR(1/INDEX('"INCC-FGV"'!$B$2:$B$800,MATCH(CB$4,'"INCC-FGV"'!$A$2:$A$800,0)),0))</f>
        <v/>
      </c>
      <c r="CC1" s="124">
        <f>IF(CC$4="",0,IFERROR(1/INDEX('"INCC-FGV"'!$B$2:$B$800,MATCH(CC$4,'"INCC-FGV"'!$A$2:$A$800,0)),0))</f>
        <v/>
      </c>
      <c r="CD1" s="124">
        <f>IF(CD$4="",0,IFERROR(1/INDEX('"INCC-FGV"'!$B$2:$B$800,MATCH(CD$4,'"INCC-FGV"'!$A$2:$A$800,0)),0))</f>
        <v/>
      </c>
      <c r="CE1" s="124">
        <f>IF(CE$4="",0,IFERROR(1/INDEX('"INCC-FGV"'!$B$2:$B$800,MATCH(CE$4,'"INCC-FGV"'!$A$2:$A$800,0)),0))</f>
        <v/>
      </c>
      <c r="CF1" s="124">
        <f>IF(CF$4="",0,IFERROR(1/INDEX('"INCC-FGV"'!$B$2:$B$800,MATCH(CF$4,'"INCC-FGV"'!$A$2:$A$800,0)),0))</f>
        <v/>
      </c>
      <c r="CG1" s="124">
        <f>IF(CG$4="",0,IFERROR(1/INDEX('"INCC-FGV"'!$B$2:$B$800,MATCH(CG$4,'"INCC-FGV"'!$A$2:$A$800,0)),0))</f>
        <v/>
      </c>
      <c r="CH1" s="124">
        <f>IF(CH$4="",0,IFERROR(1/INDEX('"INCC-FGV"'!$B$2:$B$800,MATCH(CH$4,'"INCC-FGV"'!$A$2:$A$800,0)),0))</f>
        <v/>
      </c>
      <c r="CI1" s="124">
        <f>IF(CI$4="",0,IFERROR(1/INDEX('"INCC-FGV"'!$B$2:$B$800,MATCH(CI$4,'"INCC-FGV"'!$A$2:$A$800,0)),0))</f>
        <v/>
      </c>
      <c r="CJ1" s="124">
        <f>IF(CJ$4="",0,IFERROR(1/INDEX('"INCC-FGV"'!$B$2:$B$800,MATCH(CJ$4,'"INCC-FGV"'!$A$2:$A$800,0)),0))</f>
        <v/>
      </c>
      <c r="CK1" s="124">
        <f>IF(CK$4="",0,IFERROR(1/INDEX('"INCC-FGV"'!$B$2:$B$800,MATCH(CK$4,'"INCC-FGV"'!$A$2:$A$800,0)),0))</f>
        <v/>
      </c>
      <c r="CL1" s="124">
        <f>IF(CL$4="",0,IFERROR(1/INDEX('"INCC-FGV"'!$B$2:$B$800,MATCH(CL$4,'"INCC-FGV"'!$A$2:$A$800,0)),0))</f>
        <v/>
      </c>
      <c r="CM1" s="124">
        <f>IF(CM$4="",0,IFERROR(1/INDEX('"INCC-FGV"'!$B$2:$B$800,MATCH(CM$4,'"INCC-FGV"'!$A$2:$A$800,0)),0))</f>
        <v/>
      </c>
      <c r="CN1" s="124">
        <f>IF(CN$4="",0,IFERROR(1/INDEX('"INCC-FGV"'!$B$2:$B$800,MATCH(CN$4,'"INCC-FGV"'!$A$2:$A$800,0)),0))</f>
        <v/>
      </c>
      <c r="CO1" s="124">
        <f>IF(CO$4="",0,IFERROR(1/INDEX('"INCC-FGV"'!$B$2:$B$800,MATCH(CO$4,'"INCC-FGV"'!$A$2:$A$800,0)),0))</f>
        <v/>
      </c>
      <c r="CP1" s="124">
        <f>IF(CP$4="",0,IFERROR(1/INDEX('"INCC-FGV"'!$B$2:$B$800,MATCH(CP$4,'"INCC-FGV"'!$A$2:$A$800,0)),0))</f>
        <v/>
      </c>
      <c r="CQ1" s="124">
        <f>IF(CQ$4="",0,IFERROR(1/INDEX('"INCC-FGV"'!$B$2:$B$800,MATCH(CQ$4,'"INCC-FGV"'!$A$2:$A$800,0)),0))</f>
        <v/>
      </c>
      <c r="CR1" s="124">
        <f>IF(CR$4="",0,IFERROR(1/INDEX('"INCC-FGV"'!$B$2:$B$800,MATCH(CR$4,'"INCC-FGV"'!$A$2:$A$800,0)),0))</f>
        <v/>
      </c>
      <c r="CS1" s="124">
        <f>IF(CS$4="",0,IFERROR(1/INDEX('"INCC-FGV"'!$B$2:$B$800,MATCH(CS$4,'"INCC-FGV"'!$A$2:$A$800,0)),0))</f>
        <v/>
      </c>
      <c r="CT1" s="124">
        <f>IF(CT$4="",0,IFERROR(1/INDEX('"INCC-FGV"'!$B$2:$B$800,MATCH(CT$4,'"INCC-FGV"'!$A$2:$A$800,0)),0))</f>
        <v/>
      </c>
      <c r="CU1" s="124">
        <f>IF(CU$4="",0,IFERROR(1/INDEX('"INCC-FGV"'!$B$2:$B$800,MATCH(CU$4,'"INCC-FGV"'!$A$2:$A$800,0)),0))</f>
        <v/>
      </c>
      <c r="CV1" s="124">
        <f>IF(CV$4="",0,IFERROR(1/INDEX('"INCC-FGV"'!$B$2:$B$800,MATCH(CV$4,'"INCC-FGV"'!$A$2:$A$800,0)),0))</f>
        <v/>
      </c>
      <c r="CW1" s="124">
        <f>IF(CW$4="",0,IFERROR(1/INDEX('"INCC-FGV"'!$B$2:$B$800,MATCH(CW$4,'"INCC-FGV"'!$A$2:$A$800,0)),0))</f>
        <v/>
      </c>
      <c r="CX1" s="124">
        <f>IF(CX$4="",0,IFERROR(1/INDEX('"INCC-FGV"'!$B$2:$B$800,MATCH(CX$4,'"INCC-FGV"'!$A$2:$A$800,0)),0))</f>
        <v/>
      </c>
      <c r="CY1" s="124">
        <f>IF(CY$4="",0,IFERROR(1/INDEX('"INCC-FGV"'!$B$2:$B$800,MATCH(CY$4,'"INCC-FGV"'!$A$2:$A$800,0)),0))</f>
        <v/>
      </c>
      <c r="CZ1" s="124">
        <f>IF(CZ$4="",0,IFERROR(1/INDEX('"INCC-FGV"'!$B$2:$B$800,MATCH(CZ$4,'"INCC-FGV"'!$A$2:$A$800,0)),0))</f>
        <v/>
      </c>
      <c r="DA1" s="124">
        <f>IF(DA$4="",0,IFERROR(1/INDEX('"INCC-FGV"'!$B$2:$B$800,MATCH(DA$4,'"INCC-FGV"'!$A$2:$A$800,0)),0))</f>
        <v/>
      </c>
      <c r="DB1" s="124">
        <f>IF(DB$4="",0,IFERROR(1/INDEX('"INCC-FGV"'!$B$2:$B$800,MATCH(DB$4,'"INCC-FGV"'!$A$2:$A$800,0)),0))</f>
        <v/>
      </c>
      <c r="DC1" s="124">
        <f>IF(DC$4="",0,IFERROR(1/INDEX('"INCC-FGV"'!$B$2:$B$800,MATCH(DC$4,'"INCC-FGV"'!$A$2:$A$800,0)),0))</f>
        <v/>
      </c>
      <c r="DD1" s="124">
        <f>IF(DD$4="",0,IFERROR(1/INDEX('"INCC-FGV"'!$B$2:$B$800,MATCH(DD$4,'"INCC-FGV"'!$A$2:$A$800,0)),0))</f>
        <v/>
      </c>
      <c r="DE1" s="124">
        <f>IF(DE$4="",0,IFERROR(1/INDEX('"INCC-FGV"'!$B$2:$B$800,MATCH(DE$4,'"INCC-FGV"'!$A$2:$A$800,0)),0))</f>
        <v/>
      </c>
      <c r="DF1" s="124">
        <f>IF(DF$4="",0,IFERROR(1/INDEX('"INCC-FGV"'!$B$2:$B$800,MATCH(DF$4,'"INCC-FGV"'!$A$2:$A$800,0)),0))</f>
        <v/>
      </c>
      <c r="DG1" s="124">
        <f>IF(DG$4="",0,IFERROR(1/INDEX('"INCC-FGV"'!$B$2:$B$800,MATCH(DG$4,'"INCC-FGV"'!$A$2:$A$800,0)),0))</f>
        <v/>
      </c>
      <c r="DH1" s="124">
        <f>IF(DH$4="",0,IFERROR(1/INDEX('"INCC-FGV"'!$B$2:$B$800,MATCH(DH$4,'"INCC-FGV"'!$A$2:$A$800,0)),0))</f>
        <v/>
      </c>
      <c r="DI1" s="124">
        <f>IF(DI$4="",0,IFERROR(1/INDEX('"INCC-FGV"'!$B$2:$B$800,MATCH(DI$4,'"INCC-FGV"'!$A$2:$A$800,0)),0))</f>
        <v/>
      </c>
      <c r="DJ1" s="124">
        <f>IF(DJ$4="",0,IFERROR(1/INDEX('"INCC-FGV"'!$B$2:$B$800,MATCH(DJ$4,'"INCC-FGV"'!$A$2:$A$800,0)),0))</f>
        <v/>
      </c>
      <c r="DK1" s="124">
        <f>IF(DK$4="",0,IFERROR(1/INDEX('"INCC-FGV"'!$B$2:$B$800,MATCH(DK$4,'"INCC-FGV"'!$A$2:$A$800,0)),0))</f>
        <v/>
      </c>
      <c r="DL1" s="124">
        <f>IF(DL$4="",0,IFERROR(1/INDEX('"INCC-FGV"'!$B$2:$B$800,MATCH(DL$4,'"INCC-FGV"'!$A$2:$A$800,0)),0))</f>
        <v/>
      </c>
      <c r="DM1" s="124">
        <f>IF(DM$4="",0,IFERROR(1/INDEX('"INCC-FGV"'!$B$2:$B$800,MATCH(DM$4,'"INCC-FGV"'!$A$2:$A$800,0)),0))</f>
        <v/>
      </c>
      <c r="DN1" s="124">
        <f>IF(DN$4="",0,IFERROR(1/INDEX('"INCC-FGV"'!$B$2:$B$800,MATCH(DN$4,'"INCC-FGV"'!$A$2:$A$800,0)),0))</f>
        <v/>
      </c>
      <c r="DO1" s="124">
        <f>IF(DO$4="",0,IFERROR(1/INDEX('"INCC-FGV"'!$B$2:$B$800,MATCH(DO$4,'"INCC-FGV"'!$A$2:$A$800,0)),0))</f>
        <v/>
      </c>
      <c r="DP1" s="124">
        <f>IF(DP$4="",0,IFERROR(1/INDEX('"INCC-FGV"'!$B$2:$B$800,MATCH(DP$4,'"INCC-FGV"'!$A$2:$A$800,0)),0))</f>
        <v/>
      </c>
      <c r="DQ1" s="124">
        <f>IF(DQ$4="",0,IFERROR(1/INDEX('"INCC-FGV"'!$B$2:$B$800,MATCH(DQ$4,'"INCC-FGV"'!$A$2:$A$800,0)),0))</f>
        <v/>
      </c>
      <c r="DR1" s="124">
        <f>IF(DR$4="",0,IFERROR(1/INDEX('"INCC-FGV"'!$B$2:$B$800,MATCH(DR$4,'"INCC-FGV"'!$A$2:$A$800,0)),0))</f>
        <v/>
      </c>
      <c r="DS1" s="124">
        <f>IF(DS$4="",0,IFERROR(1/INDEX('"INCC-FGV"'!$B$2:$B$800,MATCH(DS$4,'"INCC-FGV"'!$A$2:$A$800,0)),0))</f>
        <v/>
      </c>
      <c r="DT1" s="124">
        <f>IF(DT$4="",0,IFERROR(1/INDEX('"INCC-FGV"'!$B$2:$B$800,MATCH(DT$4,'"INCC-FGV"'!$A$2:$A$800,0)),0))</f>
        <v/>
      </c>
      <c r="DU1" s="124">
        <f>IF(DU$4="",0,IFERROR(1/INDEX('"INCC-FGV"'!$B$2:$B$800,MATCH(DU$4,'"INCC-FGV"'!$A$2:$A$800,0)),0))</f>
        <v/>
      </c>
      <c r="DV1" s="124">
        <f>IF(DV$4="",0,IFERROR(1/INDEX('"INCC-FGV"'!$B$2:$B$800,MATCH(DV$4,'"INCC-FGV"'!$A$2:$A$800,0)),0))</f>
        <v/>
      </c>
      <c r="DW1" s="124">
        <f>IF(DW$4="",0,IFERROR(1/INDEX('"INCC-FGV"'!$B$2:$B$800,MATCH(DW$4,'"INCC-FGV"'!$A$2:$A$800,0)),0))</f>
        <v/>
      </c>
      <c r="DX1" s="124">
        <f>IF(DX$4="",0,IFERROR(1/INDEX('"INCC-FGV"'!$B$2:$B$800,MATCH(DX$4,'"INCC-FGV"'!$A$2:$A$800,0)),0))</f>
        <v/>
      </c>
      <c r="DY1" s="124">
        <f>IF(DY$4="",0,IFERROR(1/INDEX('"INCC-FGV"'!$B$2:$B$800,MATCH(DY$4,'"INCC-FGV"'!$A$2:$A$800,0)),0))</f>
        <v/>
      </c>
      <c r="DZ1" s="124">
        <f>IF(DZ$4="",0,IFERROR(1/INDEX('"INCC-FGV"'!$B$2:$B$800,MATCH(DZ$4,'"INCC-FGV"'!$A$2:$A$800,0)),0))</f>
        <v/>
      </c>
      <c r="EA1" s="124">
        <f>IF(EA$4="",0,IFERROR(1/INDEX('"INCC-FGV"'!$B$2:$B$800,MATCH(EA$4,'"INCC-FGV"'!$A$2:$A$800,0)),0))</f>
        <v/>
      </c>
      <c r="EB1" s="124">
        <f>IF(EB$4="",0,IFERROR(1/INDEX('"INCC-FGV"'!$B$2:$B$800,MATCH(EB$4,'"INCC-FGV"'!$A$2:$A$800,0)),0))</f>
        <v/>
      </c>
      <c r="EC1" s="124">
        <f>IF(EC$4="",0,IFERROR(1/INDEX('"INCC-FGV"'!$B$2:$B$800,MATCH(EC$4,'"INCC-FGV"'!$A$2:$A$800,0)),0))</f>
        <v/>
      </c>
      <c r="ED1" s="124">
        <f>IF(ED$4="",0,IFERROR(1/INDEX('"INCC-FGV"'!$B$2:$B$800,MATCH(ED$4,'"INCC-FGV"'!$A$2:$A$800,0)),0))</f>
        <v/>
      </c>
      <c r="EE1" s="124">
        <f>IF(EE$4="",0,IFERROR(1/INDEX('"INCC-FGV"'!$B$2:$B$800,MATCH(EE$4,'"INCC-FGV"'!$A$2:$A$800,0)),0))</f>
        <v/>
      </c>
      <c r="EF1" s="124">
        <f>IF(EF$4="",0,IFERROR(1/INDEX('"INCC-FGV"'!$B$2:$B$800,MATCH(EF$4,'"INCC-FGV"'!$A$2:$A$800,0)),0))</f>
        <v/>
      </c>
      <c r="EG1" s="124">
        <f>IF(EG$4="",0,IFERROR(1/INDEX('"INCC-FGV"'!$B$2:$B$800,MATCH(EG$4,'"INCC-FGV"'!$A$2:$A$800,0)),0))</f>
        <v/>
      </c>
      <c r="EH1" s="124">
        <f>IF(EH$4="",0,IFERROR(1/INDEX('"INCC-FGV"'!$B$2:$B$800,MATCH(EH$4,'"INCC-FGV"'!$A$2:$A$800,0)),0))</f>
        <v/>
      </c>
      <c r="EI1" s="124">
        <f>IF(EI$4="",0,IFERROR(1/INDEX('"INCC-FGV"'!$B$2:$B$800,MATCH(EI$4,'"INCC-FGV"'!$A$2:$A$800,0)),0))</f>
        <v/>
      </c>
      <c r="EJ1" s="124">
        <f>IF(EJ$4="",0,IFERROR(1/INDEX('"INCC-FGV"'!$B$2:$B$800,MATCH(EJ$4,'"INCC-FGV"'!$A$2:$A$800,0)),0))</f>
        <v/>
      </c>
      <c r="EK1" s="124">
        <f>IF(EK$4="",0,IFERROR(1/INDEX('"INCC-FGV"'!$B$2:$B$800,MATCH(EK$4,'"INCC-FGV"'!$A$2:$A$800,0)),0))</f>
        <v/>
      </c>
      <c r="EL1" s="124">
        <f>IF(EL$4="",0,IFERROR(1/INDEX('"INCC-FGV"'!$B$2:$B$800,MATCH(EL$4,'"INCC-FGV"'!$A$2:$A$800,0)),0))</f>
        <v/>
      </c>
      <c r="EM1" s="124">
        <f>IF(EM$4="",0,IFERROR(1/INDEX('"INCC-FGV"'!$B$2:$B$800,MATCH(EM$4,'"INCC-FGV"'!$A$2:$A$800,0)),0))</f>
        <v/>
      </c>
      <c r="EN1" s="124">
        <f>IF(EN$4="",0,IFERROR(1/INDEX('"INCC-FGV"'!$B$2:$B$800,MATCH(EN$4,'"INCC-FGV"'!$A$2:$A$800,0)),0))</f>
        <v/>
      </c>
      <c r="EO1" s="124">
        <f>IF(EO$4="",0,IFERROR(1/INDEX('"INCC-FGV"'!$B$2:$B$800,MATCH(EO$4,'"INCC-FGV"'!$A$2:$A$800,0)),0))</f>
        <v/>
      </c>
      <c r="EP1" s="124">
        <f>IF(EP$4="",0,IFERROR(1/INDEX('"INCC-FGV"'!$B$2:$B$800,MATCH(EP$4,'"INCC-FGV"'!$A$2:$A$800,0)),0))</f>
        <v/>
      </c>
      <c r="EQ1" s="124">
        <f>IF(EQ$4="",0,IFERROR(1/INDEX('"INCC-FGV"'!$B$2:$B$800,MATCH(EQ$4,'"INCC-FGV"'!$A$2:$A$800,0)),0))</f>
        <v/>
      </c>
      <c r="ER1" s="124">
        <f>IF(ER$4="",0,IFERROR(1/INDEX('"INCC-FGV"'!$B$2:$B$800,MATCH(ER$4,'"INCC-FGV"'!$A$2:$A$800,0)),0))</f>
        <v/>
      </c>
      <c r="ES1" s="124">
        <f>IF(ES$4="",0,IFERROR(1/INDEX('"INCC-FGV"'!$B$2:$B$800,MATCH(ES$4,'"INCC-FGV"'!$A$2:$A$800,0)),0))</f>
        <v/>
      </c>
      <c r="ET1" s="124">
        <f>IF(ET$4="",0,IFERROR(1/INDEX('"INCC-FGV"'!$B$2:$B$800,MATCH(ET$4,'"INCC-FGV"'!$A$2:$A$800,0)),0))</f>
        <v/>
      </c>
      <c r="EU1" s="124">
        <f>IF(EU$4="",0,IFERROR(1/INDEX('"INCC-FGV"'!$B$2:$B$800,MATCH(EU$4,'"INCC-FGV"'!$A$2:$A$800,0)),0))</f>
        <v/>
      </c>
      <c r="EV1" s="124">
        <f>IF(EV$4="",0,IFERROR(1/INDEX('"INCC-FGV"'!$B$2:$B$800,MATCH(EV$4,'"INCC-FGV"'!$A$2:$A$800,0)),0))</f>
        <v/>
      </c>
      <c r="EW1" s="124">
        <f>IF(EW$4="",0,IFERROR(1/INDEX('"INCC-FGV"'!$B$2:$B$800,MATCH(EW$4,'"INCC-FGV"'!$A$2:$A$800,0)),0))</f>
        <v/>
      </c>
      <c r="EX1" s="124">
        <f>IF(EX$4="",0,IFERROR(1/INDEX('"INCC-FGV"'!$B$2:$B$800,MATCH(EX$4,'"INCC-FGV"'!$A$2:$A$800,0)),0))</f>
        <v/>
      </c>
      <c r="EY1" s="124">
        <f>IF(EY$4="",0,IFERROR(1/INDEX('"INCC-FGV"'!$B$2:$B$800,MATCH(EY$4,'"INCC-FGV"'!$A$2:$A$800,0)),0))</f>
        <v/>
      </c>
      <c r="EZ1" s="124">
        <f>IF(EZ$4="",0,IFERROR(1/INDEX('"INCC-FGV"'!$B$2:$B$800,MATCH(EZ$4,'"INCC-FGV"'!$A$2:$A$800,0)),0))</f>
        <v/>
      </c>
      <c r="FA1" s="124">
        <f>IF(FA$4="",0,IFERROR(1/INDEX('"INCC-FGV"'!$B$2:$B$800,MATCH(FA$4,'"INCC-FGV"'!$A$2:$A$800,0)),0))</f>
        <v/>
      </c>
      <c r="FB1" s="124">
        <f>IF(FB$4="",0,IFERROR(1/INDEX('"INCC-FGV"'!$B$2:$B$800,MATCH(FB$4,'"INCC-FGV"'!$A$2:$A$800,0)),0))</f>
        <v/>
      </c>
      <c r="FC1" s="124">
        <f>IF(FC$4="",0,IFERROR(1/INDEX('"INCC-FGV"'!$B$2:$B$800,MATCH(FC$4,'"INCC-FGV"'!$A$2:$A$800,0)),0))</f>
        <v/>
      </c>
      <c r="FD1" s="124">
        <f>IF(FD$4="",0,IFERROR(1/INDEX('"INCC-FGV"'!$B$2:$B$800,MATCH(FD$4,'"INCC-FGV"'!$A$2:$A$800,0)),0))</f>
        <v/>
      </c>
      <c r="FE1" s="124">
        <f>IF(FE$4="",0,IFERROR(1/INDEX('"INCC-FGV"'!$B$2:$B$800,MATCH(FE$4,'"INCC-FGV"'!$A$2:$A$800,0)),0))</f>
        <v/>
      </c>
      <c r="FF1" s="124">
        <f>IF(FF$4="",0,IFERROR(1/INDEX('"INCC-FGV"'!$B$2:$B$800,MATCH(FF$4,'"INCC-FGV"'!$A$2:$A$800,0)),0))</f>
        <v/>
      </c>
      <c r="FG1" s="124">
        <f>IF(FG$4="",0,IFERROR(1/INDEX('"INCC-FGV"'!$B$2:$B$800,MATCH(FG$4,'"INCC-FGV"'!$A$2:$A$800,0)),0))</f>
        <v/>
      </c>
      <c r="FH1" s="124">
        <f>IF(FH$4="",0,IFERROR(1/INDEX('"INCC-FGV"'!$B$2:$B$800,MATCH(FH$4,'"INCC-FGV"'!$A$2:$A$800,0)),0))</f>
        <v/>
      </c>
      <c r="FI1" s="124">
        <f>IF(FI$4="",0,IFERROR(1/INDEX('"INCC-FGV"'!$B$2:$B$800,MATCH(FI$4,'"INCC-FGV"'!$A$2:$A$800,0)),0))</f>
        <v/>
      </c>
      <c r="FJ1" s="124">
        <f>IF(FJ$4="",0,IFERROR(1/INDEX('"INCC-FGV"'!$B$2:$B$800,MATCH(FJ$4,'"INCC-FGV"'!$A$2:$A$800,0)),0))</f>
        <v/>
      </c>
      <c r="FK1" s="124">
        <f>IF(FK$4="",0,IFERROR(1/INDEX('"INCC-FGV"'!$B$2:$B$800,MATCH(FK$4,'"INCC-FGV"'!$A$2:$A$800,0)),0))</f>
        <v/>
      </c>
      <c r="FL1" s="124">
        <f>IF(FL$4="",0,IFERROR(1/INDEX('"INCC-FGV"'!$B$2:$B$800,MATCH(FL$4,'"INCC-FGV"'!$A$2:$A$800,0)),0))</f>
        <v/>
      </c>
      <c r="FM1" s="124">
        <f>IF(FM$4="",0,IFERROR(1/INDEX('"INCC-FGV"'!$B$2:$B$800,MATCH(FM$4,'"INCC-FGV"'!$A$2:$A$800,0)),0))</f>
        <v/>
      </c>
      <c r="FN1" s="124">
        <f>IF(FN$4="",0,IFERROR(1/INDEX('"INCC-FGV"'!$B$2:$B$800,MATCH(FN$4,'"INCC-FGV"'!$A$2:$A$800,0)),0))</f>
        <v/>
      </c>
      <c r="FO1" s="124">
        <f>IF(FO$4="",0,IFERROR(1/INDEX('"INCC-FGV"'!$B$2:$B$800,MATCH(FO$4,'"INCC-FGV"'!$A$2:$A$800,0)),0))</f>
        <v/>
      </c>
      <c r="FP1" s="124">
        <f>IF(FP$4="",0,IFERROR(1/INDEX('"INCC-FGV"'!$B$2:$B$800,MATCH(FP$4,'"INCC-FGV"'!$A$2:$A$800,0)),0))</f>
        <v/>
      </c>
      <c r="FQ1" s="124">
        <f>IF(FQ$4="",0,IFERROR(1/INDEX('"INCC-FGV"'!$B$2:$B$800,MATCH(FQ$4,'"INCC-FGV"'!$A$2:$A$800,0)),0))</f>
        <v/>
      </c>
      <c r="FR1" s="124">
        <f>IF(FR$4="",0,IFERROR(1/INDEX('"INCC-FGV"'!$B$2:$B$800,MATCH(FR$4,'"INCC-FGV"'!$A$2:$A$800,0)),0))</f>
        <v/>
      </c>
      <c r="FS1" s="124">
        <f>IF(FS$4="",0,IFERROR(1/INDEX('"INCC-FGV"'!$B$2:$B$800,MATCH(FS$4,'"INCC-FGV"'!$A$2:$A$800,0)),0))</f>
        <v/>
      </c>
      <c r="FT1" s="124">
        <f>IF(FT$4="",0,IFERROR(1/INDEX('"INCC-FGV"'!$B$2:$B$800,MATCH(FT$4,'"INCC-FGV"'!$A$2:$A$800,0)),0))</f>
        <v/>
      </c>
      <c r="FU1" s="124">
        <f>IF(FU$4="",0,IFERROR(1/INDEX('"INCC-FGV"'!$B$2:$B$800,MATCH(FU$4,'"INCC-FGV"'!$A$2:$A$800,0)),0))</f>
        <v/>
      </c>
      <c r="FV1" s="124">
        <f>IF(FV$4="",0,IFERROR(1/INDEX('"INCC-FGV"'!$B$2:$B$800,MATCH(FV$4,'"INCC-FGV"'!$A$2:$A$800,0)),0))</f>
        <v/>
      </c>
      <c r="FW1" s="124">
        <f>IF(FW$4="",0,IFERROR(1/INDEX('"INCC-FGV"'!$B$2:$B$800,MATCH(FW$4,'"INCC-FGV"'!$A$2:$A$800,0)),0))</f>
        <v/>
      </c>
      <c r="FX1" s="124">
        <f>IF(FX$4="",0,IFERROR(1/INDEX('"INCC-FGV"'!$B$2:$B$800,MATCH(FX$4,'"INCC-FGV"'!$A$2:$A$800,0)),0))</f>
        <v/>
      </c>
      <c r="FY1" s="124">
        <f>IF(FY$4="",0,IFERROR(1/INDEX('"INCC-FGV"'!$B$2:$B$800,MATCH(FY$4,'"INCC-FGV"'!$A$2:$A$800,0)),0))</f>
        <v/>
      </c>
      <c r="FZ1" s="124">
        <f>IF(FZ$4="",0,IFERROR(1/INDEX('"INCC-FGV"'!$B$2:$B$800,MATCH(FZ$4,'"INCC-FGV"'!$A$2:$A$800,0)),0))</f>
        <v/>
      </c>
      <c r="GA1" s="124">
        <f>IF(GA$4="",0,IFERROR(1/INDEX('"INCC-FGV"'!$B$2:$B$800,MATCH(GA$4,'"INCC-FGV"'!$A$2:$A$800,0)),0))</f>
        <v/>
      </c>
      <c r="GB1" s="124">
        <f>IF(GB$4="",0,IFERROR(1/INDEX('"INCC-FGV"'!$B$2:$B$800,MATCH(GB$4,'"INCC-FGV"'!$A$2:$A$800,0)),0))</f>
        <v/>
      </c>
      <c r="GC1" s="124">
        <f>IF(GC$4="",0,IFERROR(1/INDEX('"INCC-FGV"'!$B$2:$B$800,MATCH(GC$4,'"INCC-FGV"'!$A$2:$A$800,0)),0))</f>
        <v/>
      </c>
      <c r="GD1" s="124">
        <f>IF(GD$4="",0,IFERROR(1/INDEX('"INCC-FGV"'!$B$2:$B$800,MATCH(GD$4,'"INCC-FGV"'!$A$2:$A$800,0)),0))</f>
        <v/>
      </c>
      <c r="GE1" s="124">
        <f>IF(GE$4="",0,IFERROR(1/INDEX('"INCC-FGV"'!$B$2:$B$800,MATCH(GE$4,'"INCC-FGV"'!$A$2:$A$800,0)),0))</f>
        <v/>
      </c>
      <c r="GF1" s="124">
        <f>IF(GF$4="",0,IFERROR(1/INDEX('"INCC-FGV"'!$B$2:$B$800,MATCH(GF$4,'"INCC-FGV"'!$A$2:$A$800,0)),0))</f>
        <v/>
      </c>
      <c r="GG1" s="124">
        <f>IF(GG$4="",0,IFERROR(1/INDEX('"INCC-FGV"'!$B$2:$B$800,MATCH(GG$4,'"INCC-FGV"'!$A$2:$A$800,0)),0))</f>
        <v/>
      </c>
      <c r="GH1" s="124">
        <f>IF(GH$4="",0,IFERROR(1/INDEX('"INCC-FGV"'!$B$2:$B$800,MATCH(GH$4,'"INCC-FGV"'!$A$2:$A$800,0)),0))</f>
        <v/>
      </c>
      <c r="GI1" s="124">
        <f>IF(GI$4="",0,IFERROR(1/INDEX('"INCC-FGV"'!$B$2:$B$800,MATCH(GI$4,'"INCC-FGV"'!$A$2:$A$800,0)),0))</f>
        <v/>
      </c>
      <c r="GJ1" s="124">
        <f>IF(GJ$4="",0,IFERROR(1/INDEX('"INCC-FGV"'!$B$2:$B$800,MATCH(GJ$4,'"INCC-FGV"'!$A$2:$A$800,0)),0))</f>
        <v/>
      </c>
      <c r="GK1" s="124">
        <f>IF(GK$4="",0,IFERROR(1/INDEX('"INCC-FGV"'!$B$2:$B$800,MATCH(GK$4,'"INCC-FGV"'!$A$2:$A$800,0)),0))</f>
        <v/>
      </c>
      <c r="GL1" s="124">
        <f>IF(GL$4="",0,IFERROR(1/INDEX('"INCC-FGV"'!$B$2:$B$800,MATCH(GL$4,'"INCC-FGV"'!$A$2:$A$800,0)),0))</f>
        <v/>
      </c>
      <c r="GM1" s="124">
        <f>IF(GM$4="",0,IFERROR(1/INDEX('"INCC-FGV"'!$B$2:$B$800,MATCH(GM$4,'"INCC-FGV"'!$A$2:$A$800,0)),0))</f>
        <v/>
      </c>
      <c r="GN1" s="124">
        <f>IF(GN$4="",0,IFERROR(1/INDEX('"INCC-FGV"'!$B$2:$B$800,MATCH(GN$4,'"INCC-FGV"'!$A$2:$A$800,0)),0))</f>
        <v/>
      </c>
      <c r="GO1" s="124">
        <f>IF(GO$4="",0,IFERROR(1/INDEX('"INCC-FGV"'!$B$2:$B$800,MATCH(GO$4,'"INCC-FGV"'!$A$2:$A$800,0)),0))</f>
        <v/>
      </c>
      <c r="GP1" s="124">
        <f>IF(GP$4="",0,IFERROR(1/INDEX('"INCC-FGV"'!$B$2:$B$800,MATCH(GP$4,'"INCC-FGV"'!$A$2:$A$800,0)),0))</f>
        <v/>
      </c>
      <c r="GQ1" s="124">
        <f>IF(GQ$4="",0,IFERROR(1/INDEX('"INCC-FGV"'!$B$2:$B$800,MATCH(GQ$4,'"INCC-FGV"'!$A$2:$A$800,0)),0))</f>
        <v/>
      </c>
      <c r="GR1" s="124">
        <f>IF(GR$4="",0,IFERROR(1/INDEX('"INCC-FGV"'!$B$2:$B$800,MATCH(GR$4,'"INCC-FGV"'!$A$2:$A$800,0)),0))</f>
        <v/>
      </c>
      <c r="GS1" s="124">
        <f>IF(GS$4="",0,IFERROR(1/INDEX('"INCC-FGV"'!$B$2:$B$800,MATCH(GS$4,'"INCC-FGV"'!$A$2:$A$800,0)),0))</f>
        <v/>
      </c>
      <c r="GT1" s="124">
        <f>IF(GT$4="",0,IFERROR(1/INDEX('"INCC-FGV"'!$B$2:$B$800,MATCH(GT$4,'"INCC-FGV"'!$A$2:$A$800,0)),0))</f>
        <v/>
      </c>
      <c r="GU1" s="124">
        <f>IF(GU$4="",0,IFERROR(1/INDEX('"INCC-FGV"'!$B$2:$B$800,MATCH(GU$4,'"INCC-FGV"'!$A$2:$A$800,0)),0))</f>
        <v/>
      </c>
      <c r="GV1" s="124">
        <f>IF(GV$4="",0,IFERROR(1/INDEX('"INCC-FGV"'!$B$2:$B$800,MATCH(GV$4,'"INCC-FGV"'!$A$2:$A$800,0)),0))</f>
        <v/>
      </c>
      <c r="GW1" s="124">
        <f>IF(GW$4="",0,IFERROR(1/INDEX('"INCC-FGV"'!$B$2:$B$800,MATCH(GW$4,'"INCC-FGV"'!$A$2:$A$800,0)),0))</f>
        <v/>
      </c>
      <c r="GX1" s="124">
        <f>IF(GX$4="",0,IFERROR(1/INDEX('"INCC-FGV"'!$B$2:$B$800,MATCH(GX$4,'"INCC-FGV"'!$A$2:$A$800,0)),0))</f>
        <v/>
      </c>
      <c r="GY1" s="124">
        <f>IF(GY$4="",0,IFERROR(1/INDEX('"INCC-FGV"'!$B$2:$B$800,MATCH(GY$4,'"INCC-FGV"'!$A$2:$A$800,0)),0))</f>
        <v/>
      </c>
      <c r="GZ1" s="124">
        <f>IF(GZ$4="",0,IFERROR(1/INDEX('"INCC-FGV"'!$B$2:$B$800,MATCH(GZ$4,'"INCC-FGV"'!$A$2:$A$800,0)),0))</f>
        <v/>
      </c>
      <c r="HA1" s="124">
        <f>IF(HA$4="",0,IFERROR(1/INDEX('"INCC-FGV"'!$B$2:$B$800,MATCH(HA$4,'"INCC-FGV"'!$A$2:$A$800,0)),0))</f>
        <v/>
      </c>
      <c r="HB1" s="124">
        <f>IF(HB$4="",0,IFERROR(1/INDEX('"INCC-FGV"'!$B$2:$B$800,MATCH(HB$4,'"INCC-FGV"'!$A$2:$A$800,0)),0))</f>
        <v/>
      </c>
      <c r="HC1" s="124">
        <f>IF(HC$4="",0,IFERROR(1/INDEX('"INCC-FGV"'!$B$2:$B$800,MATCH(HC$4,'"INCC-FGV"'!$A$2:$A$800,0)),0))</f>
        <v/>
      </c>
      <c r="HD1" s="124">
        <f>IF(HD$4="",0,IFERROR(1/INDEX('"INCC-FGV"'!$B$2:$B$800,MATCH(HD$4,'"INCC-FGV"'!$A$2:$A$800,0)),0))</f>
        <v/>
      </c>
      <c r="HE1" s="124">
        <f>IF(HE$4="",0,IFERROR(1/INDEX('"INCC-FGV"'!$B$2:$B$800,MATCH(HE$4,'"INCC-FGV"'!$A$2:$A$800,0)),0))</f>
        <v/>
      </c>
      <c r="HF1" s="124">
        <f>IF(HF$4="",0,IFERROR(1/INDEX('"INCC-FGV"'!$B$2:$B$800,MATCH(HF$4,'"INCC-FGV"'!$A$2:$A$800,0)),0))</f>
        <v/>
      </c>
      <c r="HG1" s="124">
        <f>IF(HG$4="",0,IFERROR(1/INDEX('"INCC-FGV"'!$B$2:$B$800,MATCH(HG$4,'"INCC-FGV"'!$A$2:$A$800,0)),0))</f>
        <v/>
      </c>
      <c r="HH1" s="124">
        <f>IF(HH$4="",0,IFERROR(1/INDEX('"INCC-FGV"'!$B$2:$B$800,MATCH(HH$4,'"INCC-FGV"'!$A$2:$A$800,0)),0))</f>
        <v/>
      </c>
      <c r="HI1" s="124">
        <f>IF(HI$4="",0,IFERROR(1/INDEX('"INCC-FGV"'!$B$2:$B$800,MATCH(HI$4,'"INCC-FGV"'!$A$2:$A$800,0)),0))</f>
        <v/>
      </c>
      <c r="HJ1" s="124">
        <f>IF(HJ$4="",0,IFERROR(1/INDEX('"INCC-FGV"'!$B$2:$B$800,MATCH(HJ$4,'"INCC-FGV"'!$A$2:$A$800,0)),0))</f>
        <v/>
      </c>
      <c r="HK1" s="124">
        <f>IF(HK$4="",0,IFERROR(1/INDEX('"INCC-FGV"'!$B$2:$B$800,MATCH(HK$4,'"INCC-FGV"'!$A$2:$A$800,0)),0))</f>
        <v/>
      </c>
      <c r="HL1" s="124">
        <f>IF(HL$4="",0,IFERROR(1/INDEX('"INCC-FGV"'!$B$2:$B$800,MATCH(HL$4,'"INCC-FGV"'!$A$2:$A$800,0)),0))</f>
        <v/>
      </c>
      <c r="HM1" s="124">
        <f>IF(HM$4="",0,IFERROR(1/INDEX('"INCC-FGV"'!$B$2:$B$800,MATCH(HM$4,'"INCC-FGV"'!$A$2:$A$800,0)),0))</f>
        <v/>
      </c>
      <c r="HN1" s="124">
        <f>IF(HN$4="",0,IFERROR(1/INDEX('"INCC-FGV"'!$B$2:$B$800,MATCH(HN$4,'"INCC-FGV"'!$A$2:$A$800,0)),0))</f>
        <v/>
      </c>
      <c r="HO1" s="124">
        <f>IF(HO$4="",0,IFERROR(1/INDEX('"INCC-FGV"'!$B$2:$B$800,MATCH(HO$4,'"INCC-FGV"'!$A$2:$A$800,0)),0))</f>
        <v/>
      </c>
      <c r="HP1" s="124">
        <f>IF(HP$4="",0,IFERROR(1/INDEX('"INCC-FGV"'!$B$2:$B$800,MATCH(HP$4,'"INCC-FGV"'!$A$2:$A$800,0)),0))</f>
        <v/>
      </c>
      <c r="HQ1" s="124">
        <f>IF(HQ$4="",0,IFERROR(1/INDEX('"INCC-FGV"'!$B$2:$B$800,MATCH(HQ$4,'"INCC-FGV"'!$A$2:$A$800,0)),0))</f>
        <v/>
      </c>
      <c r="HR1" s="124">
        <f>IF(HR$4="",0,IFERROR(1/INDEX('"INCC-FGV"'!$B$2:$B$800,MATCH(HR$4,'"INCC-FGV"'!$A$2:$A$800,0)),0))</f>
        <v/>
      </c>
      <c r="HS1" s="124">
        <f>IF(HS$4="",0,IFERROR(1/INDEX('"INCC-FGV"'!$B$2:$B$800,MATCH(HS$4,'"INCC-FGV"'!$A$2:$A$800,0)),0))</f>
        <v/>
      </c>
      <c r="HT1" s="124">
        <f>IF(HT$4="",0,IFERROR(1/INDEX('"INCC-FGV"'!$B$2:$B$800,MATCH(HT$4,'"INCC-FGV"'!$A$2:$A$800,0)),0))</f>
        <v/>
      </c>
      <c r="HU1" s="124">
        <f>IF(HU$4="",0,IFERROR(1/INDEX('"INCC-FGV"'!$B$2:$B$800,MATCH(HU$4,'"INCC-FGV"'!$A$2:$A$800,0)),0))</f>
        <v/>
      </c>
      <c r="HV1" s="124">
        <f>IF(HV$4="",0,IFERROR(1/INDEX('"INCC-FGV"'!$B$2:$B$800,MATCH(HV$4,'"INCC-FGV"'!$A$2:$A$800,0)),0))</f>
        <v/>
      </c>
      <c r="HW1" s="124">
        <f>IF(HW$4="",0,IFERROR(1/INDEX('"INCC-FGV"'!$B$2:$B$800,MATCH(HW$4,'"INCC-FGV"'!$A$2:$A$800,0)),0))</f>
        <v/>
      </c>
      <c r="HX1" s="124">
        <f>IF(HX$4="",0,IFERROR(1/INDEX('"INCC-FGV"'!$B$2:$B$800,MATCH(HX$4,'"INCC-FGV"'!$A$2:$A$800,0)),0))</f>
        <v/>
      </c>
      <c r="HY1" s="124">
        <f>IF(HY$4="",0,IFERROR(1/INDEX('"INCC-FGV"'!$B$2:$B$800,MATCH(HY$4,'"INCC-FGV"'!$A$2:$A$800,0)),0))</f>
        <v/>
      </c>
      <c r="HZ1" s="124">
        <f>IF(HZ$4="",0,IFERROR(1/INDEX('"INCC-FGV"'!$B$2:$B$800,MATCH(HZ$4,'"INCC-FGV"'!$A$2:$A$800,0)),0))</f>
        <v/>
      </c>
      <c r="IA1" s="124">
        <f>IF(IA$4="",0,IFERROR(1/INDEX('"INCC-FGV"'!$B$2:$B$800,MATCH(IA$4,'"INCC-FGV"'!$A$2:$A$800,0)),0))</f>
        <v/>
      </c>
      <c r="IB1" s="124">
        <f>IF(IB$4="",0,IFERROR(1/INDEX('"INCC-FGV"'!$B$2:$B$800,MATCH(IB$4,'"INCC-FGV"'!$A$2:$A$800,0)),0))</f>
        <v/>
      </c>
      <c r="IC1" s="124">
        <f>IF(IC$4="",0,IFERROR(1/INDEX('"INCC-FGV"'!$B$2:$B$800,MATCH(IC$4,'"INCC-FGV"'!$A$2:$A$800,0)),0))</f>
        <v/>
      </c>
      <c r="ID1" s="124">
        <f>IF(ID$4="",0,IFERROR(1/INDEX('"INCC-FGV"'!$B$2:$B$800,MATCH(ID$4,'"INCC-FGV"'!$A$2:$A$800,0)),0))</f>
        <v/>
      </c>
      <c r="IE1" s="124">
        <f>IF(IE$4="",0,IFERROR(1/INDEX('"INCC-FGV"'!$B$2:$B$800,MATCH(IE$4,'"INCC-FGV"'!$A$2:$A$800,0)),0))</f>
        <v/>
      </c>
      <c r="IF1" s="124">
        <f>IF(IF$4="",0,IFERROR(1/INDEX('"INCC-FGV"'!$B$2:$B$800,MATCH(IF$4,'"INCC-FGV"'!$A$2:$A$800,0)),0))</f>
        <v/>
      </c>
      <c r="IG1" s="124">
        <f>IF(IG$4="",0,IFERROR(1/INDEX('"INCC-FGV"'!$B$2:$B$800,MATCH(IG$4,'"INCC-FGV"'!$A$2:$A$800,0)),0))</f>
        <v/>
      </c>
      <c r="IH1" s="124">
        <f>IF(IH$4="",0,IFERROR(1/INDEX('"INCC-FGV"'!$B$2:$B$800,MATCH(IH$4,'"INCC-FGV"'!$A$2:$A$800,0)),0))</f>
        <v/>
      </c>
      <c r="II1" s="124">
        <f>IF(II$4="",0,IFERROR(1/INDEX('"INCC-FGV"'!$B$2:$B$800,MATCH(II$4,'"INCC-FGV"'!$A$2:$A$800,0)),0))</f>
        <v/>
      </c>
      <c r="IJ1" s="124">
        <f>IF(IJ$4="",0,IFERROR(1/INDEX('"INCC-FGV"'!$B$2:$B$800,MATCH(IJ$4,'"INCC-FGV"'!$A$2:$A$800,0)),0))</f>
        <v/>
      </c>
      <c r="IK1" s="124">
        <f>IF(IK$4="",0,IFERROR(1/INDEX('"INCC-FGV"'!$B$2:$B$800,MATCH(IK$4,'"INCC-FGV"'!$A$2:$A$800,0)),0))</f>
        <v/>
      </c>
      <c r="IL1" s="124">
        <f>IF(IL$4="",0,IFERROR(1/INDEX('"INCC-FGV"'!$B$2:$B$800,MATCH(IL$4,'"INCC-FGV"'!$A$2:$A$800,0)),0))</f>
        <v/>
      </c>
      <c r="IM1" s="124">
        <f>IF(IM$4="",0,IFERROR(1/INDEX('"INCC-FGV"'!$B$2:$B$800,MATCH(IM$4,'"INCC-FGV"'!$A$2:$A$800,0)),0))</f>
        <v/>
      </c>
      <c r="IN1" s="124">
        <f>IF(IN$4="",0,IFERROR(1/INDEX('"INCC-FGV"'!$B$2:$B$800,MATCH(IN$4,'"INCC-FGV"'!$A$2:$A$800,0)),0))</f>
        <v/>
      </c>
      <c r="IO1" s="124">
        <f>IF(IO$4="",0,IFERROR(1/INDEX('"INCC-FGV"'!$B$2:$B$800,MATCH(IO$4,'"INCC-FGV"'!$A$2:$A$800,0)),0))</f>
        <v/>
      </c>
      <c r="IP1" s="124">
        <f>IF(IP$4="",0,IFERROR(1/INDEX('"INCC-FGV"'!$B$2:$B$800,MATCH(IP$4,'"INCC-FGV"'!$A$2:$A$800,0)),0))</f>
        <v/>
      </c>
      <c r="IQ1" s="124">
        <f>IF(IQ$4="",0,IFERROR(1/INDEX('"INCC-FGV"'!$B$2:$B$800,MATCH(IQ$4,'"INCC-FGV"'!$A$2:$A$800,0)),0))</f>
        <v/>
      </c>
      <c r="IR1" s="124">
        <f>IF(IR$4="",0,IFERROR(1/INDEX('"INCC-FGV"'!$B$2:$B$800,MATCH(IR$4,'"INCC-FGV"'!$A$2:$A$800,0)),0))</f>
        <v/>
      </c>
      <c r="IS1" s="124">
        <f>IF(IS$4="",0,IFERROR(1/INDEX('"INCC-FGV"'!$B$2:$B$800,MATCH(IS$4,'"INCC-FGV"'!$A$2:$A$800,0)),0))</f>
        <v/>
      </c>
      <c r="IT1" s="124">
        <f>IF(IT$4="",0,IFERROR(1/INDEX('"INCC-FGV"'!$B$2:$B$800,MATCH(IT$4,'"INCC-FGV"'!$A$2:$A$800,0)),0))</f>
        <v/>
      </c>
      <c r="IU1" s="124">
        <f>IF(IU$4="",0,IFERROR(1/INDEX('"INCC-FGV"'!$B$2:$B$800,MATCH(IU$4,'"INCC-FGV"'!$A$2:$A$800,0)),0))</f>
        <v/>
      </c>
      <c r="IV1" s="124">
        <f>IF(IV$4="",0,IFERROR(1/INDEX('"INCC-FGV"'!$B$2:$B$800,MATCH(IV$4,'"INCC-FGV"'!$A$2:$A$800,0)),0))</f>
        <v/>
      </c>
      <c r="IW1" s="124">
        <f>IF(IW$4="",0,IFERROR(1/INDEX('"INCC-FGV"'!$B$2:$B$800,MATCH(IW$4,'"INCC-FGV"'!$A$2:$A$800,0)),0))</f>
        <v/>
      </c>
      <c r="IX1" s="124">
        <f>IF(IX$4="",0,IFERROR(1/INDEX('"INCC-FGV"'!$B$2:$B$800,MATCH(IX$4,'"INCC-FGV"'!$A$2:$A$800,0)),0))</f>
        <v/>
      </c>
      <c r="IY1" s="124">
        <f>IF(IY$4="",0,IFERROR(1/INDEX('"INCC-FGV"'!$B$2:$B$800,MATCH(IY$4,'"INCC-FGV"'!$A$2:$A$800,0)),0))</f>
        <v/>
      </c>
      <c r="IZ1" s="124">
        <f>IF(IZ$4="",0,IFERROR(1/INDEX('"INCC-FGV"'!$B$2:$B$800,MATCH(IZ$4,'"INCC-FGV"'!$A$2:$A$800,0)),0))</f>
        <v/>
      </c>
      <c r="JA1" s="124">
        <f>IF(JA$4="",0,IFERROR(1/INDEX('"INCC-FGV"'!$B$2:$B$800,MATCH(JA$4,'"INCC-FGV"'!$A$2:$A$800,0)),0))</f>
        <v/>
      </c>
      <c r="JB1" s="124">
        <f>IF(JB$4="",0,IFERROR(1/INDEX('"INCC-FGV"'!$B$2:$B$800,MATCH(JB$4,'"INCC-FGV"'!$A$2:$A$800,0)),0))</f>
        <v/>
      </c>
      <c r="JC1" s="124">
        <f>IF(JC$4="",0,IFERROR(1/INDEX('"INCC-FGV"'!$B$2:$B$800,MATCH(JC$4,'"INCC-FGV"'!$A$2:$A$800,0)),0))</f>
        <v/>
      </c>
      <c r="JD1" s="124">
        <f>IF(JD$4="",0,IFERROR(1/INDEX('"INCC-FGV"'!$B$2:$B$800,MATCH(JD$4,'"INCC-FGV"'!$A$2:$A$800,0)),0))</f>
        <v/>
      </c>
      <c r="JE1" s="124">
        <f>IF(JE$4="",0,IFERROR(1/INDEX('"INCC-FGV"'!$B$2:$B$800,MATCH(JE$4,'"INCC-FGV"'!$A$2:$A$800,0)),0))</f>
        <v/>
      </c>
      <c r="JF1" s="124">
        <f>IF(JF$4="",0,IFERROR(1/INDEX('"INCC-FGV"'!$B$2:$B$800,MATCH(JF$4,'"INCC-FGV"'!$A$2:$A$800,0)),0))</f>
        <v/>
      </c>
      <c r="JG1" s="124">
        <f>IF(JG$4="",0,IFERROR(1/INDEX('"INCC-FGV"'!$B$2:$B$800,MATCH(JG$4,'"INCC-FGV"'!$A$2:$A$800,0)),0))</f>
        <v/>
      </c>
      <c r="JH1" s="124">
        <f>IF(JH$4="",0,IFERROR(1/INDEX('"INCC-FGV"'!$B$2:$B$800,MATCH(JH$4,'"INCC-FGV"'!$A$2:$A$800,0)),0))</f>
        <v/>
      </c>
      <c r="JI1" s="124">
        <f>IF(JI$4="",0,IFERROR(1/INDEX('"INCC-FGV"'!$B$2:$B$800,MATCH(JI$4,'"INCC-FGV"'!$A$2:$A$800,0)),0))</f>
        <v/>
      </c>
      <c r="JJ1" s="124">
        <f>IF(JJ$4="",0,IFERROR(1/INDEX('"INCC-FGV"'!$B$2:$B$800,MATCH(JJ$4,'"INCC-FGV"'!$A$2:$A$800,0)),0))</f>
        <v/>
      </c>
      <c r="JK1" s="124">
        <f>IF(JK$4="",0,IFERROR(1/INDEX('"INCC-FGV"'!$B$2:$B$800,MATCH(JK$4,'"INCC-FGV"'!$A$2:$A$800,0)),0))</f>
        <v/>
      </c>
      <c r="JL1" s="124">
        <f>IF(JL$4="",0,IFERROR(1/INDEX('"INCC-FGV"'!$B$2:$B$800,MATCH(JL$4,'"INCC-FGV"'!$A$2:$A$800,0)),0))</f>
        <v/>
      </c>
      <c r="JM1" s="124">
        <f>IF(JM$4="",0,IFERROR(1/INDEX('"INCC-FGV"'!$B$2:$B$800,MATCH(JM$4,'"INCC-FGV"'!$A$2:$A$800,0)),0))</f>
        <v/>
      </c>
      <c r="JN1" s="124">
        <f>IF(JN$4="",0,IFERROR(1/INDEX('"INCC-FGV"'!$B$2:$B$800,MATCH(JN$4,'"INCC-FGV"'!$A$2:$A$800,0)),0))</f>
        <v/>
      </c>
      <c r="JO1" s="124">
        <f>IF(JO$4="",0,IFERROR(1/INDEX('"INCC-FGV"'!$B$2:$B$800,MATCH(JO$4,'"INCC-FGV"'!$A$2:$A$800,0)),0))</f>
        <v/>
      </c>
      <c r="JP1" s="124">
        <f>IF(JP$4="",0,IFERROR(1/INDEX('"INCC-FGV"'!$B$2:$B$800,MATCH(JP$4,'"INCC-FGV"'!$A$2:$A$800,0)),0))</f>
        <v/>
      </c>
      <c r="JQ1" s="124">
        <f>IF(JQ$4="",0,IFERROR(1/INDEX('"INCC-FGV"'!$B$2:$B$800,MATCH(JQ$4,'"INCC-FGV"'!$A$2:$A$800,0)),0))</f>
        <v/>
      </c>
      <c r="JR1" s="124">
        <f>IF(JR$4="",0,IFERROR(1/INDEX('"INCC-FGV"'!$B$2:$B$800,MATCH(JR$4,'"INCC-FGV"'!$A$2:$A$800,0)),0))</f>
        <v/>
      </c>
      <c r="JS1" s="124">
        <f>IF(JS$4="",0,IFERROR(1/INDEX('"INCC-FGV"'!$B$2:$B$800,MATCH(JS$4,'"INCC-FGV"'!$A$2:$A$800,0)),0))</f>
        <v/>
      </c>
    </row>
    <row r="2">
      <c r="A2" s="2" t="inlineStr">
        <is>
          <t>Grupos do ERP sem correspondência →</t>
        </is>
      </c>
      <c r="C2" s="69">
        <f>SUMPRODUCT(('DADOS BRUTOS'!$A$3:$A$500&lt;&gt;"")*(COUNTIF($B$5:$C$42,'DADOS BRUTOS'!$A$3:$A$500)=0)*(COUNTIF($A$50:$A$69,'DADOS BRUTOS'!$A$3:$A$500)=0))</f>
        <v/>
      </c>
      <c r="CB2" s="116" t="inlineStr">
        <is>
          <t>CÁLCULO AUXILIAR — soma por coluna da aba DADOS BRUTOS (não editar)</t>
        </is>
      </c>
    </row>
    <row r="3">
      <c r="D3" s="116" t="inlineStr">
        <is>
          <t>Acu até →</t>
        </is>
      </c>
      <c r="CB3" s="116">
        <f>"B"</f>
        <v/>
      </c>
      <c r="CC3" s="116">
        <f>"C"</f>
        <v/>
      </c>
      <c r="CD3" s="116">
        <f>"D"</f>
        <v/>
      </c>
      <c r="CE3" s="116">
        <f>"E"</f>
        <v/>
      </c>
      <c r="CF3" s="116">
        <f>"F"</f>
        <v/>
      </c>
      <c r="CG3" s="116">
        <f>"G"</f>
        <v/>
      </c>
      <c r="CH3" s="116">
        <f>"H"</f>
        <v/>
      </c>
      <c r="CI3" s="116">
        <f>"I"</f>
        <v/>
      </c>
      <c r="CJ3" s="116">
        <f>"J"</f>
        <v/>
      </c>
      <c r="CK3" s="116">
        <f>"K"</f>
        <v/>
      </c>
      <c r="CL3" s="116">
        <f>"L"</f>
        <v/>
      </c>
      <c r="CM3" s="116">
        <f>"M"</f>
        <v/>
      </c>
      <c r="CN3" s="116">
        <f>"N"</f>
        <v/>
      </c>
      <c r="CO3" s="116">
        <f>"O"</f>
        <v/>
      </c>
      <c r="CP3" s="116">
        <f>"P"</f>
        <v/>
      </c>
      <c r="CQ3" s="116">
        <f>"Q"</f>
        <v/>
      </c>
      <c r="CR3" s="116">
        <f>"R"</f>
        <v/>
      </c>
      <c r="CS3" s="116">
        <f>"S"</f>
        <v/>
      </c>
      <c r="CT3" s="116">
        <f>"T"</f>
        <v/>
      </c>
      <c r="CU3" s="116">
        <f>"U"</f>
        <v/>
      </c>
      <c r="CV3" s="116">
        <f>"V"</f>
        <v/>
      </c>
      <c r="CW3" s="116">
        <f>"W"</f>
        <v/>
      </c>
      <c r="CX3" s="116">
        <f>"X"</f>
        <v/>
      </c>
      <c r="CY3" s="116">
        <f>"Y"</f>
        <v/>
      </c>
      <c r="CZ3" s="116">
        <f>"Z"</f>
        <v/>
      </c>
      <c r="DA3" s="116">
        <f>"AA"</f>
        <v/>
      </c>
      <c r="DB3" s="116">
        <f>"AB"</f>
        <v/>
      </c>
      <c r="DC3" s="116">
        <f>"AC"</f>
        <v/>
      </c>
      <c r="DD3" s="116">
        <f>"AD"</f>
        <v/>
      </c>
      <c r="DE3" s="116">
        <f>"AE"</f>
        <v/>
      </c>
      <c r="DF3" s="116">
        <f>"AF"</f>
        <v/>
      </c>
      <c r="DG3" s="116">
        <f>"AG"</f>
        <v/>
      </c>
      <c r="DH3" s="116">
        <f>"AH"</f>
        <v/>
      </c>
      <c r="DI3" s="116">
        <f>"AI"</f>
        <v/>
      </c>
      <c r="DJ3" s="116">
        <f>"AJ"</f>
        <v/>
      </c>
      <c r="DK3" s="116">
        <f>"AK"</f>
        <v/>
      </c>
      <c r="DL3" s="116">
        <f>"AL"</f>
        <v/>
      </c>
      <c r="DM3" s="116">
        <f>"AM"</f>
        <v/>
      </c>
      <c r="DN3" s="116">
        <f>"AN"</f>
        <v/>
      </c>
      <c r="DO3" s="116">
        <f>"AO"</f>
        <v/>
      </c>
      <c r="DP3" s="116">
        <f>"AP"</f>
        <v/>
      </c>
      <c r="DQ3" s="116">
        <f>"AQ"</f>
        <v/>
      </c>
      <c r="DR3" s="116">
        <f>"AR"</f>
        <v/>
      </c>
      <c r="DS3" s="116">
        <f>"AS"</f>
        <v/>
      </c>
      <c r="DT3" s="116">
        <f>"AT"</f>
        <v/>
      </c>
      <c r="DU3" s="116">
        <f>"AU"</f>
        <v/>
      </c>
      <c r="DV3" s="116">
        <f>"AV"</f>
        <v/>
      </c>
      <c r="DW3" s="116">
        <f>"AW"</f>
        <v/>
      </c>
      <c r="DX3" s="116">
        <f>"AX"</f>
        <v/>
      </c>
      <c r="DY3" s="116">
        <f>"AY"</f>
        <v/>
      </c>
      <c r="DZ3" s="116">
        <f>"AZ"</f>
        <v/>
      </c>
      <c r="EA3" s="116">
        <f>"BA"</f>
        <v/>
      </c>
      <c r="EB3" s="116">
        <f>"BB"</f>
        <v/>
      </c>
      <c r="EC3" s="116">
        <f>"BC"</f>
        <v/>
      </c>
      <c r="ED3" s="116">
        <f>"BD"</f>
        <v/>
      </c>
      <c r="EE3" s="116">
        <f>"BE"</f>
        <v/>
      </c>
      <c r="EF3" s="116">
        <f>"BF"</f>
        <v/>
      </c>
      <c r="EG3" s="116">
        <f>"BG"</f>
        <v/>
      </c>
      <c r="EH3" s="116">
        <f>"BH"</f>
        <v/>
      </c>
      <c r="EI3" s="116">
        <f>"BI"</f>
        <v/>
      </c>
      <c r="EJ3" s="116">
        <f>"BJ"</f>
        <v/>
      </c>
      <c r="EK3" s="116">
        <f>"BK"</f>
        <v/>
      </c>
      <c r="EL3" s="116">
        <f>"BL"</f>
        <v/>
      </c>
      <c r="EM3" s="116">
        <f>"BM"</f>
        <v/>
      </c>
      <c r="EN3" s="116">
        <f>"BN"</f>
        <v/>
      </c>
      <c r="EO3" s="116">
        <f>"BO"</f>
        <v/>
      </c>
      <c r="EP3" s="116">
        <f>"BP"</f>
        <v/>
      </c>
      <c r="EQ3" s="116">
        <f>"BQ"</f>
        <v/>
      </c>
      <c r="ER3" s="116">
        <f>"BR"</f>
        <v/>
      </c>
      <c r="ES3" s="116">
        <f>"BS"</f>
        <v/>
      </c>
      <c r="ET3" s="116">
        <f>"BT"</f>
        <v/>
      </c>
      <c r="EU3" s="116">
        <f>"BU"</f>
        <v/>
      </c>
      <c r="EV3" s="116">
        <f>"BV"</f>
        <v/>
      </c>
      <c r="EW3" s="116">
        <f>"BW"</f>
        <v/>
      </c>
      <c r="EX3" s="116">
        <f>"BX"</f>
        <v/>
      </c>
      <c r="EY3" s="116">
        <f>"BY"</f>
        <v/>
      </c>
      <c r="EZ3" s="116">
        <f>"BZ"</f>
        <v/>
      </c>
      <c r="FA3" s="116">
        <f>"CA"</f>
        <v/>
      </c>
      <c r="FB3" s="116">
        <f>"CB"</f>
        <v/>
      </c>
      <c r="FC3" s="116">
        <f>"CC"</f>
        <v/>
      </c>
      <c r="FD3" s="116">
        <f>"CD"</f>
        <v/>
      </c>
      <c r="FE3" s="116">
        <f>"CE"</f>
        <v/>
      </c>
      <c r="FF3" s="116">
        <f>"CF"</f>
        <v/>
      </c>
      <c r="FG3" s="116">
        <f>"CG"</f>
        <v/>
      </c>
      <c r="FH3" s="116">
        <f>"CH"</f>
        <v/>
      </c>
      <c r="FI3" s="116">
        <f>"CI"</f>
        <v/>
      </c>
      <c r="FJ3" s="116">
        <f>"CJ"</f>
        <v/>
      </c>
      <c r="FK3" s="116">
        <f>"CK"</f>
        <v/>
      </c>
      <c r="FL3" s="116">
        <f>"CL"</f>
        <v/>
      </c>
      <c r="FM3" s="116">
        <f>"CM"</f>
        <v/>
      </c>
      <c r="FN3" s="116">
        <f>"CN"</f>
        <v/>
      </c>
      <c r="FO3" s="116">
        <f>"CO"</f>
        <v/>
      </c>
      <c r="FP3" s="116">
        <f>"CP"</f>
        <v/>
      </c>
      <c r="FQ3" s="116">
        <f>"CQ"</f>
        <v/>
      </c>
      <c r="FR3" s="116">
        <f>"CR"</f>
        <v/>
      </c>
      <c r="FS3" s="116">
        <f>"CS"</f>
        <v/>
      </c>
      <c r="FT3" s="116">
        <f>"CT"</f>
        <v/>
      </c>
      <c r="FU3" s="116">
        <f>"CU"</f>
        <v/>
      </c>
      <c r="FV3" s="116">
        <f>"CV"</f>
        <v/>
      </c>
      <c r="FW3" s="116">
        <f>"CW"</f>
        <v/>
      </c>
      <c r="FX3" s="116">
        <f>"CX"</f>
        <v/>
      </c>
      <c r="FY3" s="116">
        <f>"CY"</f>
        <v/>
      </c>
      <c r="FZ3" s="116">
        <f>"CZ"</f>
        <v/>
      </c>
      <c r="GA3" s="116">
        <f>"DA"</f>
        <v/>
      </c>
      <c r="GB3" s="116">
        <f>"DB"</f>
        <v/>
      </c>
      <c r="GC3" s="116">
        <f>"DC"</f>
        <v/>
      </c>
      <c r="GD3" s="116">
        <f>"DD"</f>
        <v/>
      </c>
      <c r="GE3" s="116">
        <f>"DE"</f>
        <v/>
      </c>
      <c r="GF3" s="116">
        <f>"DF"</f>
        <v/>
      </c>
      <c r="GG3" s="116">
        <f>"DG"</f>
        <v/>
      </c>
      <c r="GH3" s="116">
        <f>"DH"</f>
        <v/>
      </c>
      <c r="GI3" s="116">
        <f>"DI"</f>
        <v/>
      </c>
      <c r="GJ3" s="116">
        <f>"DJ"</f>
        <v/>
      </c>
      <c r="GK3" s="116">
        <f>"DK"</f>
        <v/>
      </c>
      <c r="GL3" s="116">
        <f>"DL"</f>
        <v/>
      </c>
      <c r="GM3" s="116">
        <f>"DM"</f>
        <v/>
      </c>
      <c r="GN3" s="116">
        <f>"DN"</f>
        <v/>
      </c>
      <c r="GO3" s="116">
        <f>"DO"</f>
        <v/>
      </c>
      <c r="GP3" s="116">
        <f>"DP"</f>
        <v/>
      </c>
      <c r="GQ3" s="116">
        <f>"DQ"</f>
        <v/>
      </c>
      <c r="GR3" s="116">
        <f>"DR"</f>
        <v/>
      </c>
      <c r="GS3" s="116">
        <f>"DS"</f>
        <v/>
      </c>
      <c r="GT3" s="116">
        <f>"DT"</f>
        <v/>
      </c>
      <c r="GU3" s="116">
        <f>"DU"</f>
        <v/>
      </c>
      <c r="GV3" s="116">
        <f>"DV"</f>
        <v/>
      </c>
      <c r="GW3" s="116">
        <f>"DW"</f>
        <v/>
      </c>
      <c r="GX3" s="116">
        <f>"DX"</f>
        <v/>
      </c>
      <c r="GY3" s="116">
        <f>"DY"</f>
        <v/>
      </c>
      <c r="GZ3" s="116">
        <f>"DZ"</f>
        <v/>
      </c>
      <c r="HA3" s="116">
        <f>"EA"</f>
        <v/>
      </c>
      <c r="HB3" s="116">
        <f>"EB"</f>
        <v/>
      </c>
      <c r="HC3" s="116">
        <f>"EC"</f>
        <v/>
      </c>
      <c r="HD3" s="116">
        <f>"ED"</f>
        <v/>
      </c>
      <c r="HE3" s="116">
        <f>"EE"</f>
        <v/>
      </c>
      <c r="HF3" s="116">
        <f>"EF"</f>
        <v/>
      </c>
      <c r="HG3" s="116">
        <f>"EG"</f>
        <v/>
      </c>
      <c r="HH3" s="116">
        <f>"EH"</f>
        <v/>
      </c>
      <c r="HI3" s="116">
        <f>"EI"</f>
        <v/>
      </c>
      <c r="HJ3" s="116">
        <f>"EJ"</f>
        <v/>
      </c>
      <c r="HK3" s="116">
        <f>"EK"</f>
        <v/>
      </c>
      <c r="HL3" s="116">
        <f>"EL"</f>
        <v/>
      </c>
      <c r="HM3" s="116">
        <f>"EM"</f>
        <v/>
      </c>
      <c r="HN3" s="116">
        <f>"EN"</f>
        <v/>
      </c>
      <c r="HO3" s="116">
        <f>"EO"</f>
        <v/>
      </c>
      <c r="HP3" s="116">
        <f>"EP"</f>
        <v/>
      </c>
      <c r="HQ3" s="116">
        <f>"EQ"</f>
        <v/>
      </c>
      <c r="HR3" s="116">
        <f>"ER"</f>
        <v/>
      </c>
      <c r="HS3" s="116">
        <f>"ES"</f>
        <v/>
      </c>
      <c r="HT3" s="116">
        <f>"ET"</f>
        <v/>
      </c>
      <c r="HU3" s="116">
        <f>"EU"</f>
        <v/>
      </c>
      <c r="HV3" s="116">
        <f>"EV"</f>
        <v/>
      </c>
      <c r="HW3" s="116">
        <f>"EW"</f>
        <v/>
      </c>
      <c r="HX3" s="116">
        <f>"EX"</f>
        <v/>
      </c>
      <c r="HY3" s="116">
        <f>"EY"</f>
        <v/>
      </c>
      <c r="HZ3" s="116">
        <f>"EZ"</f>
        <v/>
      </c>
      <c r="IA3" s="116">
        <f>"FA"</f>
        <v/>
      </c>
      <c r="IB3" s="116">
        <f>"FB"</f>
        <v/>
      </c>
      <c r="IC3" s="116">
        <f>"FC"</f>
        <v/>
      </c>
      <c r="ID3" s="116">
        <f>"FD"</f>
        <v/>
      </c>
      <c r="IE3" s="116">
        <f>"FE"</f>
        <v/>
      </c>
      <c r="IF3" s="116">
        <f>"FF"</f>
        <v/>
      </c>
      <c r="IG3" s="116">
        <f>"FG"</f>
        <v/>
      </c>
      <c r="IH3" s="116">
        <f>"FH"</f>
        <v/>
      </c>
      <c r="II3" s="116">
        <f>"FI"</f>
        <v/>
      </c>
      <c r="IJ3" s="116">
        <f>"FJ"</f>
        <v/>
      </c>
      <c r="IK3" s="116">
        <f>"FK"</f>
        <v/>
      </c>
      <c r="IL3" s="116">
        <f>"FL"</f>
        <v/>
      </c>
      <c r="IM3" s="116">
        <f>"FM"</f>
        <v/>
      </c>
      <c r="IN3" s="116">
        <f>"FN"</f>
        <v/>
      </c>
      <c r="IO3" s="116">
        <f>"FO"</f>
        <v/>
      </c>
      <c r="IP3" s="116">
        <f>"FP"</f>
        <v/>
      </c>
      <c r="IQ3" s="116">
        <f>"FQ"</f>
        <v/>
      </c>
      <c r="IR3" s="116">
        <f>"FR"</f>
        <v/>
      </c>
      <c r="IS3" s="116">
        <f>"FS"</f>
        <v/>
      </c>
      <c r="IT3" s="116">
        <f>"FT"</f>
        <v/>
      </c>
      <c r="IU3" s="116">
        <f>"FU"</f>
        <v/>
      </c>
      <c r="IV3" s="116">
        <f>"FV"</f>
        <v/>
      </c>
      <c r="IW3" s="116">
        <f>"FW"</f>
        <v/>
      </c>
      <c r="IX3" s="116">
        <f>"FX"</f>
        <v/>
      </c>
      <c r="IY3" s="116">
        <f>"FY"</f>
        <v/>
      </c>
      <c r="IZ3" s="116">
        <f>"FZ"</f>
        <v/>
      </c>
      <c r="JA3" s="116">
        <f>"GA"</f>
        <v/>
      </c>
      <c r="JB3" s="116">
        <f>"GB"</f>
        <v/>
      </c>
      <c r="JC3" s="116">
        <f>"GC"</f>
        <v/>
      </c>
      <c r="JD3" s="116">
        <f>"GD"</f>
        <v/>
      </c>
      <c r="JE3" s="116">
        <f>"GE"</f>
        <v/>
      </c>
      <c r="JF3" s="116">
        <f>"GF"</f>
        <v/>
      </c>
      <c r="JG3" s="116">
        <f>"GG"</f>
        <v/>
      </c>
      <c r="JH3" s="116">
        <f>"GH"</f>
        <v/>
      </c>
      <c r="JI3" s="116">
        <f>"GI"</f>
        <v/>
      </c>
      <c r="JJ3" s="116">
        <f>"GJ"</f>
        <v/>
      </c>
      <c r="JK3" s="116">
        <f>"GK"</f>
        <v/>
      </c>
      <c r="JL3" s="116">
        <f>"GL"</f>
        <v/>
      </c>
      <c r="JM3" s="116">
        <f>"GM"</f>
        <v/>
      </c>
      <c r="JN3" s="116">
        <f>"GN"</f>
        <v/>
      </c>
      <c r="JO3" s="116">
        <f>"GO"</f>
        <v/>
      </c>
      <c r="JP3" s="116">
        <f>"GP"</f>
        <v/>
      </c>
      <c r="JQ3" s="116">
        <f>"GQ"</f>
        <v/>
      </c>
      <c r="JR3" s="116">
        <f>"GR"</f>
        <v/>
      </c>
      <c r="JS3" s="116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2">
        <f>'MODELO PARA BI'!H1</f>
        <v/>
      </c>
      <c r="E4" s="122">
        <f>'MODELO PARA BI'!I1</f>
        <v/>
      </c>
      <c r="F4" s="122">
        <f>'MODELO PARA BI'!J1</f>
        <v/>
      </c>
      <c r="G4" s="122">
        <f>'MODELO PARA BI'!K1</f>
        <v/>
      </c>
      <c r="H4" s="122">
        <f>'MODELO PARA BI'!L1</f>
        <v/>
      </c>
      <c r="I4" s="122">
        <f>'MODELO PARA BI'!M1</f>
        <v/>
      </c>
      <c r="J4" s="122">
        <f>'MODELO PARA BI'!N1</f>
        <v/>
      </c>
      <c r="K4" s="122">
        <f>'MODELO PARA BI'!O1</f>
        <v/>
      </c>
      <c r="L4" s="122">
        <f>'MODELO PARA BI'!P1</f>
        <v/>
      </c>
      <c r="M4" s="122">
        <f>'MODELO PARA BI'!Q1</f>
        <v/>
      </c>
      <c r="N4" s="122">
        <f>'MODELO PARA BI'!R1</f>
        <v/>
      </c>
      <c r="O4" s="122">
        <f>'MODELO PARA BI'!S1</f>
        <v/>
      </c>
      <c r="P4" s="122">
        <f>'MODELO PARA BI'!T1</f>
        <v/>
      </c>
      <c r="Q4" s="122">
        <f>'MODELO PARA BI'!U1</f>
        <v/>
      </c>
      <c r="R4" s="122">
        <f>'MODELO PARA BI'!V1</f>
        <v/>
      </c>
      <c r="S4" s="122">
        <f>'MODELO PARA BI'!W1</f>
        <v/>
      </c>
      <c r="T4" s="122">
        <f>'MODELO PARA BI'!X1</f>
        <v/>
      </c>
      <c r="U4" s="122">
        <f>'MODELO PARA BI'!Y1</f>
        <v/>
      </c>
      <c r="V4" s="122">
        <f>'MODELO PARA BI'!Z1</f>
        <v/>
      </c>
      <c r="W4" s="122">
        <f>'MODELO PARA BI'!AA1</f>
        <v/>
      </c>
      <c r="X4" s="122">
        <f>'MODELO PARA BI'!AB1</f>
        <v/>
      </c>
      <c r="Y4" s="122">
        <f>'MODELO PARA BI'!AC1</f>
        <v/>
      </c>
      <c r="Z4" s="122">
        <f>'MODELO PARA BI'!AD1</f>
        <v/>
      </c>
      <c r="AA4" s="122">
        <f>'MODELO PARA BI'!AE1</f>
        <v/>
      </c>
      <c r="AB4" s="122">
        <f>'MODELO PARA BI'!AF1</f>
        <v/>
      </c>
      <c r="AC4" s="122">
        <f>'MODELO PARA BI'!AG1</f>
        <v/>
      </c>
      <c r="AD4" s="122">
        <f>'MODELO PARA BI'!AH1</f>
        <v/>
      </c>
      <c r="AE4" s="122">
        <f>'MODELO PARA BI'!AI1</f>
        <v/>
      </c>
      <c r="AF4" s="122">
        <f>'MODELO PARA BI'!AJ1</f>
        <v/>
      </c>
      <c r="AG4" s="122">
        <f>'MODELO PARA BI'!AK1</f>
        <v/>
      </c>
      <c r="AH4" s="122">
        <f>'MODELO PARA BI'!AL1</f>
        <v/>
      </c>
      <c r="AI4" s="122">
        <f>'MODELO PARA BI'!AM1</f>
        <v/>
      </c>
      <c r="AJ4" s="122">
        <f>'MODELO PARA BI'!AN1</f>
        <v/>
      </c>
      <c r="AK4" s="122">
        <f>'MODELO PARA BI'!AO1</f>
        <v/>
      </c>
      <c r="AL4" s="122">
        <f>'MODELO PARA BI'!AP1</f>
        <v/>
      </c>
      <c r="AM4" s="122">
        <f>'MODELO PARA BI'!AQ1</f>
        <v/>
      </c>
      <c r="AN4" s="122">
        <f>'MODELO PARA BI'!AR1</f>
        <v/>
      </c>
      <c r="AO4" s="122">
        <f>'MODELO PARA BI'!AS1</f>
        <v/>
      </c>
      <c r="AP4" s="122">
        <f>'MODELO PARA BI'!AT1</f>
        <v/>
      </c>
      <c r="AQ4" s="122">
        <f>'MODELO PARA BI'!AU1</f>
        <v/>
      </c>
      <c r="AR4" s="122">
        <f>'MODELO PARA BI'!AV1</f>
        <v/>
      </c>
      <c r="AS4" s="122">
        <f>'MODELO PARA BI'!AW1</f>
        <v/>
      </c>
      <c r="AT4" s="122">
        <f>'MODELO PARA BI'!AX1</f>
        <v/>
      </c>
      <c r="AU4" s="122">
        <f>'MODELO PARA BI'!AY1</f>
        <v/>
      </c>
      <c r="AV4" s="122">
        <f>'MODELO PARA BI'!AZ1</f>
        <v/>
      </c>
      <c r="AW4" s="122">
        <f>'MODELO PARA BI'!BA1</f>
        <v/>
      </c>
      <c r="AX4" s="122">
        <f>'MODELO PARA BI'!BB1</f>
        <v/>
      </c>
      <c r="AY4" s="122">
        <f>'MODELO PARA BI'!BC1</f>
        <v/>
      </c>
      <c r="AZ4" s="122">
        <f>'MODELO PARA BI'!BD1</f>
        <v/>
      </c>
      <c r="BA4" s="122">
        <f>'MODELO PARA BI'!BE1</f>
        <v/>
      </c>
      <c r="BB4" s="122">
        <f>'MODELO PARA BI'!BF1</f>
        <v/>
      </c>
      <c r="BC4" s="122">
        <f>'MODELO PARA BI'!BG1</f>
        <v/>
      </c>
      <c r="BD4" s="122">
        <f>'MODELO PARA BI'!BH1</f>
        <v/>
      </c>
      <c r="BE4" s="122">
        <f>'MODELO PARA BI'!BI1</f>
        <v/>
      </c>
      <c r="BF4" s="122">
        <f>'MODELO PARA BI'!BJ1</f>
        <v/>
      </c>
      <c r="BG4" s="122">
        <f>'MODELO PARA BI'!BK1</f>
        <v/>
      </c>
      <c r="BH4" s="122">
        <f>'MODELO PARA BI'!BL1</f>
        <v/>
      </c>
      <c r="BI4" s="122">
        <f>'MODELO PARA BI'!BM1</f>
        <v/>
      </c>
      <c r="BJ4" s="122">
        <f>'MODELO PARA BI'!BN1</f>
        <v/>
      </c>
      <c r="BK4" s="122">
        <f>'MODELO PARA BI'!BO1</f>
        <v/>
      </c>
      <c r="BL4" s="122">
        <f>'MODELO PARA BI'!BP1</f>
        <v/>
      </c>
      <c r="BM4" s="122">
        <f>'MODELO PARA BI'!BQ1</f>
        <v/>
      </c>
      <c r="BN4" s="122">
        <f>'MODELO PARA BI'!BR1</f>
        <v/>
      </c>
      <c r="BO4" s="122">
        <f>'MODELO PARA BI'!BS1</f>
        <v/>
      </c>
      <c r="BP4" s="122">
        <f>'MODELO PARA BI'!BT1</f>
        <v/>
      </c>
      <c r="BQ4" s="122">
        <f>'MODELO PARA BI'!BU1</f>
        <v/>
      </c>
      <c r="BR4" s="122">
        <f>'MODELO PARA BI'!BV1</f>
        <v/>
      </c>
      <c r="BS4" s="122">
        <f>'MODELO PARA BI'!BW1</f>
        <v/>
      </c>
      <c r="BT4" s="122">
        <f>'MODELO PARA BI'!BX1</f>
        <v/>
      </c>
      <c r="BU4" s="122">
        <f>'MODELO PARA BI'!BY1</f>
        <v/>
      </c>
      <c r="BV4" s="122">
        <f>'MODELO PARA BI'!BZ1</f>
        <v/>
      </c>
      <c r="BW4" s="122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BZ4" s="58" t="inlineStr">
        <is>
          <t>INCC DO
ACUMULADO
(mês a mês)</t>
        </is>
      </c>
      <c r="CB4" s="112">
        <f>IF(ISNUMBER('DADOS BRUTOS'!B$2),DATE(YEAR('DADOS BRUTOS'!B$2),MONTH('DADOS BRUTOS'!B$2),1),"")</f>
        <v/>
      </c>
      <c r="CC4" s="112">
        <f>IF(ISNUMBER('DADOS BRUTOS'!C$2),DATE(YEAR('DADOS BRUTOS'!C$2),MONTH('DADOS BRUTOS'!C$2),1),"")</f>
        <v/>
      </c>
      <c r="CD4" s="112">
        <f>IF(ISNUMBER('DADOS BRUTOS'!D$2),DATE(YEAR('DADOS BRUTOS'!D$2),MONTH('DADOS BRUTOS'!D$2),1),"")</f>
        <v/>
      </c>
      <c r="CE4" s="112">
        <f>IF(ISNUMBER('DADOS BRUTOS'!E$2),DATE(YEAR('DADOS BRUTOS'!E$2),MONTH('DADOS BRUTOS'!E$2),1),"")</f>
        <v/>
      </c>
      <c r="CF4" s="112">
        <f>IF(ISNUMBER('DADOS BRUTOS'!F$2),DATE(YEAR('DADOS BRUTOS'!F$2),MONTH('DADOS BRUTOS'!F$2),1),"")</f>
        <v/>
      </c>
      <c r="CG4" s="112">
        <f>IF(ISNUMBER('DADOS BRUTOS'!G$2),DATE(YEAR('DADOS BRUTOS'!G$2),MONTH('DADOS BRUTOS'!G$2),1),"")</f>
        <v/>
      </c>
      <c r="CH4" s="112">
        <f>IF(ISNUMBER('DADOS BRUTOS'!H$2),DATE(YEAR('DADOS BRUTOS'!H$2),MONTH('DADOS BRUTOS'!H$2),1),"")</f>
        <v/>
      </c>
      <c r="CI4" s="112">
        <f>IF(ISNUMBER('DADOS BRUTOS'!I$2),DATE(YEAR('DADOS BRUTOS'!I$2),MONTH('DADOS BRUTOS'!I$2),1),"")</f>
        <v/>
      </c>
      <c r="CJ4" s="112">
        <f>IF(ISNUMBER('DADOS BRUTOS'!J$2),DATE(YEAR('DADOS BRUTOS'!J$2),MONTH('DADOS BRUTOS'!J$2),1),"")</f>
        <v/>
      </c>
      <c r="CK4" s="112">
        <f>IF(ISNUMBER('DADOS BRUTOS'!K$2),DATE(YEAR('DADOS BRUTOS'!K$2),MONTH('DADOS BRUTOS'!K$2),1),"")</f>
        <v/>
      </c>
      <c r="CL4" s="112">
        <f>IF(ISNUMBER('DADOS BRUTOS'!L$2),DATE(YEAR('DADOS BRUTOS'!L$2),MONTH('DADOS BRUTOS'!L$2),1),"")</f>
        <v/>
      </c>
      <c r="CM4" s="112">
        <f>IF(ISNUMBER('DADOS BRUTOS'!M$2),DATE(YEAR('DADOS BRUTOS'!M$2),MONTH('DADOS BRUTOS'!M$2),1),"")</f>
        <v/>
      </c>
      <c r="CN4" s="112">
        <f>IF(ISNUMBER('DADOS BRUTOS'!N$2),DATE(YEAR('DADOS BRUTOS'!N$2),MONTH('DADOS BRUTOS'!N$2),1),"")</f>
        <v/>
      </c>
      <c r="CO4" s="112">
        <f>IF(ISNUMBER('DADOS BRUTOS'!O$2),DATE(YEAR('DADOS BRUTOS'!O$2),MONTH('DADOS BRUTOS'!O$2),1),"")</f>
        <v/>
      </c>
      <c r="CP4" s="112">
        <f>IF(ISNUMBER('DADOS BRUTOS'!P$2),DATE(YEAR('DADOS BRUTOS'!P$2),MONTH('DADOS BRUTOS'!P$2),1),"")</f>
        <v/>
      </c>
      <c r="CQ4" s="112">
        <f>IF(ISNUMBER('DADOS BRUTOS'!Q$2),DATE(YEAR('DADOS BRUTOS'!Q$2),MONTH('DADOS BRUTOS'!Q$2),1),"")</f>
        <v/>
      </c>
      <c r="CR4" s="112">
        <f>IF(ISNUMBER('DADOS BRUTOS'!R$2),DATE(YEAR('DADOS BRUTOS'!R$2),MONTH('DADOS BRUTOS'!R$2),1),"")</f>
        <v/>
      </c>
      <c r="CS4" s="112">
        <f>IF(ISNUMBER('DADOS BRUTOS'!S$2),DATE(YEAR('DADOS BRUTOS'!S$2),MONTH('DADOS BRUTOS'!S$2),1),"")</f>
        <v/>
      </c>
      <c r="CT4" s="112">
        <f>IF(ISNUMBER('DADOS BRUTOS'!T$2),DATE(YEAR('DADOS BRUTOS'!T$2),MONTH('DADOS BRUTOS'!T$2),1),"")</f>
        <v/>
      </c>
      <c r="CU4" s="112">
        <f>IF(ISNUMBER('DADOS BRUTOS'!U$2),DATE(YEAR('DADOS BRUTOS'!U$2),MONTH('DADOS BRUTOS'!U$2),1),"")</f>
        <v/>
      </c>
      <c r="CV4" s="112">
        <f>IF(ISNUMBER('DADOS BRUTOS'!V$2),DATE(YEAR('DADOS BRUTOS'!V$2),MONTH('DADOS BRUTOS'!V$2),1),"")</f>
        <v/>
      </c>
      <c r="CW4" s="112">
        <f>IF(ISNUMBER('DADOS BRUTOS'!W$2),DATE(YEAR('DADOS BRUTOS'!W$2),MONTH('DADOS BRUTOS'!W$2),1),"")</f>
        <v/>
      </c>
      <c r="CX4" s="112">
        <f>IF(ISNUMBER('DADOS BRUTOS'!X$2),DATE(YEAR('DADOS BRUTOS'!X$2),MONTH('DADOS BRUTOS'!X$2),1),"")</f>
        <v/>
      </c>
      <c r="CY4" s="112">
        <f>IF(ISNUMBER('DADOS BRUTOS'!Y$2),DATE(YEAR('DADOS BRUTOS'!Y$2),MONTH('DADOS BRUTOS'!Y$2),1),"")</f>
        <v/>
      </c>
      <c r="CZ4" s="112">
        <f>IF(ISNUMBER('DADOS BRUTOS'!Z$2),DATE(YEAR('DADOS BRUTOS'!Z$2),MONTH('DADOS BRUTOS'!Z$2),1),"")</f>
        <v/>
      </c>
      <c r="DA4" s="112">
        <f>IF(ISNUMBER('DADOS BRUTOS'!AA$2),DATE(YEAR('DADOS BRUTOS'!AA$2),MONTH('DADOS BRUTOS'!AA$2),1),"")</f>
        <v/>
      </c>
      <c r="DB4" s="112">
        <f>IF(ISNUMBER('DADOS BRUTOS'!AB$2),DATE(YEAR('DADOS BRUTOS'!AB$2),MONTH('DADOS BRUTOS'!AB$2),1),"")</f>
        <v/>
      </c>
      <c r="DC4" s="112">
        <f>IF(ISNUMBER('DADOS BRUTOS'!AC$2),DATE(YEAR('DADOS BRUTOS'!AC$2),MONTH('DADOS BRUTOS'!AC$2),1),"")</f>
        <v/>
      </c>
      <c r="DD4" s="112">
        <f>IF(ISNUMBER('DADOS BRUTOS'!AD$2),DATE(YEAR('DADOS BRUTOS'!AD$2),MONTH('DADOS BRUTOS'!AD$2),1),"")</f>
        <v/>
      </c>
      <c r="DE4" s="112">
        <f>IF(ISNUMBER('DADOS BRUTOS'!AE$2),DATE(YEAR('DADOS BRUTOS'!AE$2),MONTH('DADOS BRUTOS'!AE$2),1),"")</f>
        <v/>
      </c>
      <c r="DF4" s="112">
        <f>IF(ISNUMBER('DADOS BRUTOS'!AF$2),DATE(YEAR('DADOS BRUTOS'!AF$2),MONTH('DADOS BRUTOS'!AF$2),1),"")</f>
        <v/>
      </c>
      <c r="DG4" s="112">
        <f>IF(ISNUMBER('DADOS BRUTOS'!AG$2),DATE(YEAR('DADOS BRUTOS'!AG$2),MONTH('DADOS BRUTOS'!AG$2),1),"")</f>
        <v/>
      </c>
      <c r="DH4" s="112">
        <f>IF(ISNUMBER('DADOS BRUTOS'!AH$2),DATE(YEAR('DADOS BRUTOS'!AH$2),MONTH('DADOS BRUTOS'!AH$2),1),"")</f>
        <v/>
      </c>
      <c r="DI4" s="112">
        <f>IF(ISNUMBER('DADOS BRUTOS'!AI$2),DATE(YEAR('DADOS BRUTOS'!AI$2),MONTH('DADOS BRUTOS'!AI$2),1),"")</f>
        <v/>
      </c>
      <c r="DJ4" s="112">
        <f>IF(ISNUMBER('DADOS BRUTOS'!AJ$2),DATE(YEAR('DADOS BRUTOS'!AJ$2),MONTH('DADOS BRUTOS'!AJ$2),1),"")</f>
        <v/>
      </c>
      <c r="DK4" s="112">
        <f>IF(ISNUMBER('DADOS BRUTOS'!AK$2),DATE(YEAR('DADOS BRUTOS'!AK$2),MONTH('DADOS BRUTOS'!AK$2),1),"")</f>
        <v/>
      </c>
      <c r="DL4" s="112">
        <f>IF(ISNUMBER('DADOS BRUTOS'!AL$2),DATE(YEAR('DADOS BRUTOS'!AL$2),MONTH('DADOS BRUTOS'!AL$2),1),"")</f>
        <v/>
      </c>
      <c r="DM4" s="112">
        <f>IF(ISNUMBER('DADOS BRUTOS'!AM$2),DATE(YEAR('DADOS BRUTOS'!AM$2),MONTH('DADOS BRUTOS'!AM$2),1),"")</f>
        <v/>
      </c>
      <c r="DN4" s="112">
        <f>IF(ISNUMBER('DADOS BRUTOS'!AN$2),DATE(YEAR('DADOS BRUTOS'!AN$2),MONTH('DADOS BRUTOS'!AN$2),1),"")</f>
        <v/>
      </c>
      <c r="DO4" s="112">
        <f>IF(ISNUMBER('DADOS BRUTOS'!AO$2),DATE(YEAR('DADOS BRUTOS'!AO$2),MONTH('DADOS BRUTOS'!AO$2),1),"")</f>
        <v/>
      </c>
      <c r="DP4" s="112">
        <f>IF(ISNUMBER('DADOS BRUTOS'!AP$2),DATE(YEAR('DADOS BRUTOS'!AP$2),MONTH('DADOS BRUTOS'!AP$2),1),"")</f>
        <v/>
      </c>
      <c r="DQ4" s="112">
        <f>IF(ISNUMBER('DADOS BRUTOS'!AQ$2),DATE(YEAR('DADOS BRUTOS'!AQ$2),MONTH('DADOS BRUTOS'!AQ$2),1),"")</f>
        <v/>
      </c>
      <c r="DR4" s="112">
        <f>IF(ISNUMBER('DADOS BRUTOS'!AR$2),DATE(YEAR('DADOS BRUTOS'!AR$2),MONTH('DADOS BRUTOS'!AR$2),1),"")</f>
        <v/>
      </c>
      <c r="DS4" s="112">
        <f>IF(ISNUMBER('DADOS BRUTOS'!AS$2),DATE(YEAR('DADOS BRUTOS'!AS$2),MONTH('DADOS BRUTOS'!AS$2),1),"")</f>
        <v/>
      </c>
      <c r="DT4" s="112">
        <f>IF(ISNUMBER('DADOS BRUTOS'!AT$2),DATE(YEAR('DADOS BRUTOS'!AT$2),MONTH('DADOS BRUTOS'!AT$2),1),"")</f>
        <v/>
      </c>
      <c r="DU4" s="112">
        <f>IF(ISNUMBER('DADOS BRUTOS'!AU$2),DATE(YEAR('DADOS BRUTOS'!AU$2),MONTH('DADOS BRUTOS'!AU$2),1),"")</f>
        <v/>
      </c>
      <c r="DV4" s="112">
        <f>IF(ISNUMBER('DADOS BRUTOS'!AV$2),DATE(YEAR('DADOS BRUTOS'!AV$2),MONTH('DADOS BRUTOS'!AV$2),1),"")</f>
        <v/>
      </c>
      <c r="DW4" s="112">
        <f>IF(ISNUMBER('DADOS BRUTOS'!AW$2),DATE(YEAR('DADOS BRUTOS'!AW$2),MONTH('DADOS BRUTOS'!AW$2),1),"")</f>
        <v/>
      </c>
      <c r="DX4" s="112">
        <f>IF(ISNUMBER('DADOS BRUTOS'!AX$2),DATE(YEAR('DADOS BRUTOS'!AX$2),MONTH('DADOS BRUTOS'!AX$2),1),"")</f>
        <v/>
      </c>
      <c r="DY4" s="112">
        <f>IF(ISNUMBER('DADOS BRUTOS'!AY$2),DATE(YEAR('DADOS BRUTOS'!AY$2),MONTH('DADOS BRUTOS'!AY$2),1),"")</f>
        <v/>
      </c>
      <c r="DZ4" s="112">
        <f>IF(ISNUMBER('DADOS BRUTOS'!AZ$2),DATE(YEAR('DADOS BRUTOS'!AZ$2),MONTH('DADOS BRUTOS'!AZ$2),1),"")</f>
        <v/>
      </c>
      <c r="EA4" s="112">
        <f>IF(ISNUMBER('DADOS BRUTOS'!BA$2),DATE(YEAR('DADOS BRUTOS'!BA$2),MONTH('DADOS BRUTOS'!BA$2),1),"")</f>
        <v/>
      </c>
      <c r="EB4" s="112">
        <f>IF(ISNUMBER('DADOS BRUTOS'!BB$2),DATE(YEAR('DADOS BRUTOS'!BB$2),MONTH('DADOS BRUTOS'!BB$2),1),"")</f>
        <v/>
      </c>
      <c r="EC4" s="112">
        <f>IF(ISNUMBER('DADOS BRUTOS'!BC$2),DATE(YEAR('DADOS BRUTOS'!BC$2),MONTH('DADOS BRUTOS'!BC$2),1),"")</f>
        <v/>
      </c>
      <c r="ED4" s="112">
        <f>IF(ISNUMBER('DADOS BRUTOS'!BD$2),DATE(YEAR('DADOS BRUTOS'!BD$2),MONTH('DADOS BRUTOS'!BD$2),1),"")</f>
        <v/>
      </c>
      <c r="EE4" s="112">
        <f>IF(ISNUMBER('DADOS BRUTOS'!BE$2),DATE(YEAR('DADOS BRUTOS'!BE$2),MONTH('DADOS BRUTOS'!BE$2),1),"")</f>
        <v/>
      </c>
      <c r="EF4" s="112">
        <f>IF(ISNUMBER('DADOS BRUTOS'!BF$2),DATE(YEAR('DADOS BRUTOS'!BF$2),MONTH('DADOS BRUTOS'!BF$2),1),"")</f>
        <v/>
      </c>
      <c r="EG4" s="112">
        <f>IF(ISNUMBER('DADOS BRUTOS'!BG$2),DATE(YEAR('DADOS BRUTOS'!BG$2),MONTH('DADOS BRUTOS'!BG$2),1),"")</f>
        <v/>
      </c>
      <c r="EH4" s="112">
        <f>IF(ISNUMBER('DADOS BRUTOS'!BH$2),DATE(YEAR('DADOS BRUTOS'!BH$2),MONTH('DADOS BRUTOS'!BH$2),1),"")</f>
        <v/>
      </c>
      <c r="EI4" s="112">
        <f>IF(ISNUMBER('DADOS BRUTOS'!BI$2),DATE(YEAR('DADOS BRUTOS'!BI$2),MONTH('DADOS BRUTOS'!BI$2),1),"")</f>
        <v/>
      </c>
      <c r="EJ4" s="112">
        <f>IF(ISNUMBER('DADOS BRUTOS'!BJ$2),DATE(YEAR('DADOS BRUTOS'!BJ$2),MONTH('DADOS BRUTOS'!BJ$2),1),"")</f>
        <v/>
      </c>
      <c r="EK4" s="112">
        <f>IF(ISNUMBER('DADOS BRUTOS'!BK$2),DATE(YEAR('DADOS BRUTOS'!BK$2),MONTH('DADOS BRUTOS'!BK$2),1),"")</f>
        <v/>
      </c>
      <c r="EL4" s="112">
        <f>IF(ISNUMBER('DADOS BRUTOS'!BL$2),DATE(YEAR('DADOS BRUTOS'!BL$2),MONTH('DADOS BRUTOS'!BL$2),1),"")</f>
        <v/>
      </c>
      <c r="EM4" s="112">
        <f>IF(ISNUMBER('DADOS BRUTOS'!BM$2),DATE(YEAR('DADOS BRUTOS'!BM$2),MONTH('DADOS BRUTOS'!BM$2),1),"")</f>
        <v/>
      </c>
      <c r="EN4" s="112">
        <f>IF(ISNUMBER('DADOS BRUTOS'!BN$2),DATE(YEAR('DADOS BRUTOS'!BN$2),MONTH('DADOS BRUTOS'!BN$2),1),"")</f>
        <v/>
      </c>
      <c r="EO4" s="112">
        <f>IF(ISNUMBER('DADOS BRUTOS'!BO$2),DATE(YEAR('DADOS BRUTOS'!BO$2),MONTH('DADOS BRUTOS'!BO$2),1),"")</f>
        <v/>
      </c>
      <c r="EP4" s="112">
        <f>IF(ISNUMBER('DADOS BRUTOS'!BP$2),DATE(YEAR('DADOS BRUTOS'!BP$2),MONTH('DADOS BRUTOS'!BP$2),1),"")</f>
        <v/>
      </c>
      <c r="EQ4" s="112">
        <f>IF(ISNUMBER('DADOS BRUTOS'!BQ$2),DATE(YEAR('DADOS BRUTOS'!BQ$2),MONTH('DADOS BRUTOS'!BQ$2),1),"")</f>
        <v/>
      </c>
      <c r="ER4" s="112">
        <f>IF(ISNUMBER('DADOS BRUTOS'!BR$2),DATE(YEAR('DADOS BRUTOS'!BR$2),MONTH('DADOS BRUTOS'!BR$2),1),"")</f>
        <v/>
      </c>
      <c r="ES4" s="112">
        <f>IF(ISNUMBER('DADOS BRUTOS'!BS$2),DATE(YEAR('DADOS BRUTOS'!BS$2),MONTH('DADOS BRUTOS'!BS$2),1),"")</f>
        <v/>
      </c>
      <c r="ET4" s="112">
        <f>IF(ISNUMBER('DADOS BRUTOS'!BT$2),DATE(YEAR('DADOS BRUTOS'!BT$2),MONTH('DADOS BRUTOS'!BT$2),1),"")</f>
        <v/>
      </c>
      <c r="EU4" s="112">
        <f>IF(ISNUMBER('DADOS BRUTOS'!BU$2),DATE(YEAR('DADOS BRUTOS'!BU$2),MONTH('DADOS BRUTOS'!BU$2),1),"")</f>
        <v/>
      </c>
      <c r="EV4" s="112">
        <f>IF(ISNUMBER('DADOS BRUTOS'!BV$2),DATE(YEAR('DADOS BRUTOS'!BV$2),MONTH('DADOS BRUTOS'!BV$2),1),"")</f>
        <v/>
      </c>
      <c r="EW4" s="112">
        <f>IF(ISNUMBER('DADOS BRUTOS'!BW$2),DATE(YEAR('DADOS BRUTOS'!BW$2),MONTH('DADOS BRUTOS'!BW$2),1),"")</f>
        <v/>
      </c>
      <c r="EX4" s="112">
        <f>IF(ISNUMBER('DADOS BRUTOS'!BX$2),DATE(YEAR('DADOS BRUTOS'!BX$2),MONTH('DADOS BRUTOS'!BX$2),1),"")</f>
        <v/>
      </c>
      <c r="EY4" s="112">
        <f>IF(ISNUMBER('DADOS BRUTOS'!BY$2),DATE(YEAR('DADOS BRUTOS'!BY$2),MONTH('DADOS BRUTOS'!BY$2),1),"")</f>
        <v/>
      </c>
      <c r="EZ4" s="112">
        <f>IF(ISNUMBER('DADOS BRUTOS'!BZ$2),DATE(YEAR('DADOS BRUTOS'!BZ$2),MONTH('DADOS BRUTOS'!BZ$2),1),"")</f>
        <v/>
      </c>
      <c r="FA4" s="112">
        <f>IF(ISNUMBER('DADOS BRUTOS'!CA$2),DATE(YEAR('DADOS BRUTOS'!CA$2),MONTH('DADOS BRUTOS'!CA$2),1),"")</f>
        <v/>
      </c>
      <c r="FB4" s="112">
        <f>IF(ISNUMBER('DADOS BRUTOS'!CB$2),DATE(YEAR('DADOS BRUTOS'!CB$2),MONTH('DADOS BRUTOS'!CB$2),1),"")</f>
        <v/>
      </c>
      <c r="FC4" s="112">
        <f>IF(ISNUMBER('DADOS BRUTOS'!CC$2),DATE(YEAR('DADOS BRUTOS'!CC$2),MONTH('DADOS BRUTOS'!CC$2),1),"")</f>
        <v/>
      </c>
      <c r="FD4" s="112">
        <f>IF(ISNUMBER('DADOS BRUTOS'!CD$2),DATE(YEAR('DADOS BRUTOS'!CD$2),MONTH('DADOS BRUTOS'!CD$2),1),"")</f>
        <v/>
      </c>
      <c r="FE4" s="112">
        <f>IF(ISNUMBER('DADOS BRUTOS'!CE$2),DATE(YEAR('DADOS BRUTOS'!CE$2),MONTH('DADOS BRUTOS'!CE$2),1),"")</f>
        <v/>
      </c>
      <c r="FF4" s="112">
        <f>IF(ISNUMBER('DADOS BRUTOS'!CF$2),DATE(YEAR('DADOS BRUTOS'!CF$2),MONTH('DADOS BRUTOS'!CF$2),1),"")</f>
        <v/>
      </c>
      <c r="FG4" s="112">
        <f>IF(ISNUMBER('DADOS BRUTOS'!CG$2),DATE(YEAR('DADOS BRUTOS'!CG$2),MONTH('DADOS BRUTOS'!CG$2),1),"")</f>
        <v/>
      </c>
      <c r="FH4" s="112">
        <f>IF(ISNUMBER('DADOS BRUTOS'!CH$2),DATE(YEAR('DADOS BRUTOS'!CH$2),MONTH('DADOS BRUTOS'!CH$2),1),"")</f>
        <v/>
      </c>
      <c r="FI4" s="112">
        <f>IF(ISNUMBER('DADOS BRUTOS'!CI$2),DATE(YEAR('DADOS BRUTOS'!CI$2),MONTH('DADOS BRUTOS'!CI$2),1),"")</f>
        <v/>
      </c>
      <c r="FJ4" s="112">
        <f>IF(ISNUMBER('DADOS BRUTOS'!CJ$2),DATE(YEAR('DADOS BRUTOS'!CJ$2),MONTH('DADOS BRUTOS'!CJ$2),1),"")</f>
        <v/>
      </c>
      <c r="FK4" s="112">
        <f>IF(ISNUMBER('DADOS BRUTOS'!CK$2),DATE(YEAR('DADOS BRUTOS'!CK$2),MONTH('DADOS BRUTOS'!CK$2),1),"")</f>
        <v/>
      </c>
      <c r="FL4" s="112">
        <f>IF(ISNUMBER('DADOS BRUTOS'!CL$2),DATE(YEAR('DADOS BRUTOS'!CL$2),MONTH('DADOS BRUTOS'!CL$2),1),"")</f>
        <v/>
      </c>
      <c r="FM4" s="112">
        <f>IF(ISNUMBER('DADOS BRUTOS'!CM$2),DATE(YEAR('DADOS BRUTOS'!CM$2),MONTH('DADOS BRUTOS'!CM$2),1),"")</f>
        <v/>
      </c>
      <c r="FN4" s="112">
        <f>IF(ISNUMBER('DADOS BRUTOS'!CN$2),DATE(YEAR('DADOS BRUTOS'!CN$2),MONTH('DADOS BRUTOS'!CN$2),1),"")</f>
        <v/>
      </c>
      <c r="FO4" s="112">
        <f>IF(ISNUMBER('DADOS BRUTOS'!CO$2),DATE(YEAR('DADOS BRUTOS'!CO$2),MONTH('DADOS BRUTOS'!CO$2),1),"")</f>
        <v/>
      </c>
      <c r="FP4" s="112">
        <f>IF(ISNUMBER('DADOS BRUTOS'!CP$2),DATE(YEAR('DADOS BRUTOS'!CP$2),MONTH('DADOS BRUTOS'!CP$2),1),"")</f>
        <v/>
      </c>
      <c r="FQ4" s="112">
        <f>IF(ISNUMBER('DADOS BRUTOS'!CQ$2),DATE(YEAR('DADOS BRUTOS'!CQ$2),MONTH('DADOS BRUTOS'!CQ$2),1),"")</f>
        <v/>
      </c>
      <c r="FR4" s="112">
        <f>IF(ISNUMBER('DADOS BRUTOS'!CR$2),DATE(YEAR('DADOS BRUTOS'!CR$2),MONTH('DADOS BRUTOS'!CR$2),1),"")</f>
        <v/>
      </c>
      <c r="FS4" s="112">
        <f>IF(ISNUMBER('DADOS BRUTOS'!CS$2),DATE(YEAR('DADOS BRUTOS'!CS$2),MONTH('DADOS BRUTOS'!CS$2),1),"")</f>
        <v/>
      </c>
      <c r="FT4" s="112">
        <f>IF(ISNUMBER('DADOS BRUTOS'!CT$2),DATE(YEAR('DADOS BRUTOS'!CT$2),MONTH('DADOS BRUTOS'!CT$2),1),"")</f>
        <v/>
      </c>
      <c r="FU4" s="112">
        <f>IF(ISNUMBER('DADOS BRUTOS'!CU$2),DATE(YEAR('DADOS BRUTOS'!CU$2),MONTH('DADOS BRUTOS'!CU$2),1),"")</f>
        <v/>
      </c>
      <c r="FV4" s="112">
        <f>IF(ISNUMBER('DADOS BRUTOS'!CV$2),DATE(YEAR('DADOS BRUTOS'!CV$2),MONTH('DADOS BRUTOS'!CV$2),1),"")</f>
        <v/>
      </c>
      <c r="FW4" s="112">
        <f>IF(ISNUMBER('DADOS BRUTOS'!CW$2),DATE(YEAR('DADOS BRUTOS'!CW$2),MONTH('DADOS BRUTOS'!CW$2),1),"")</f>
        <v/>
      </c>
      <c r="FX4" s="112">
        <f>IF(ISNUMBER('DADOS BRUTOS'!CX$2),DATE(YEAR('DADOS BRUTOS'!CX$2),MONTH('DADOS BRUTOS'!CX$2),1),"")</f>
        <v/>
      </c>
      <c r="FY4" s="112">
        <f>IF(ISNUMBER('DADOS BRUTOS'!CY$2),DATE(YEAR('DADOS BRUTOS'!CY$2),MONTH('DADOS BRUTOS'!CY$2),1),"")</f>
        <v/>
      </c>
      <c r="FZ4" s="112">
        <f>IF(ISNUMBER('DADOS BRUTOS'!CZ$2),DATE(YEAR('DADOS BRUTOS'!CZ$2),MONTH('DADOS BRUTOS'!CZ$2),1),"")</f>
        <v/>
      </c>
      <c r="GA4" s="112">
        <f>IF(ISNUMBER('DADOS BRUTOS'!DA$2),DATE(YEAR('DADOS BRUTOS'!DA$2),MONTH('DADOS BRUTOS'!DA$2),1),"")</f>
        <v/>
      </c>
      <c r="GB4" s="112">
        <f>IF(ISNUMBER('DADOS BRUTOS'!DB$2),DATE(YEAR('DADOS BRUTOS'!DB$2),MONTH('DADOS BRUTOS'!DB$2),1),"")</f>
        <v/>
      </c>
      <c r="GC4" s="112">
        <f>IF(ISNUMBER('DADOS BRUTOS'!DC$2),DATE(YEAR('DADOS BRUTOS'!DC$2),MONTH('DADOS BRUTOS'!DC$2),1),"")</f>
        <v/>
      </c>
      <c r="GD4" s="112">
        <f>IF(ISNUMBER('DADOS BRUTOS'!DD$2),DATE(YEAR('DADOS BRUTOS'!DD$2),MONTH('DADOS BRUTOS'!DD$2),1),"")</f>
        <v/>
      </c>
      <c r="GE4" s="112">
        <f>IF(ISNUMBER('DADOS BRUTOS'!DE$2),DATE(YEAR('DADOS BRUTOS'!DE$2),MONTH('DADOS BRUTOS'!DE$2),1),"")</f>
        <v/>
      </c>
      <c r="GF4" s="112">
        <f>IF(ISNUMBER('DADOS BRUTOS'!DF$2),DATE(YEAR('DADOS BRUTOS'!DF$2),MONTH('DADOS BRUTOS'!DF$2),1),"")</f>
        <v/>
      </c>
      <c r="GG4" s="112">
        <f>IF(ISNUMBER('DADOS BRUTOS'!DG$2),DATE(YEAR('DADOS BRUTOS'!DG$2),MONTH('DADOS BRUTOS'!DG$2),1),"")</f>
        <v/>
      </c>
      <c r="GH4" s="112">
        <f>IF(ISNUMBER('DADOS BRUTOS'!DH$2),DATE(YEAR('DADOS BRUTOS'!DH$2),MONTH('DADOS BRUTOS'!DH$2),1),"")</f>
        <v/>
      </c>
      <c r="GI4" s="112">
        <f>IF(ISNUMBER('DADOS BRUTOS'!DI$2),DATE(YEAR('DADOS BRUTOS'!DI$2),MONTH('DADOS BRUTOS'!DI$2),1),"")</f>
        <v/>
      </c>
      <c r="GJ4" s="112">
        <f>IF(ISNUMBER('DADOS BRUTOS'!DJ$2),DATE(YEAR('DADOS BRUTOS'!DJ$2),MONTH('DADOS BRUTOS'!DJ$2),1),"")</f>
        <v/>
      </c>
      <c r="GK4" s="112">
        <f>IF(ISNUMBER('DADOS BRUTOS'!DK$2),DATE(YEAR('DADOS BRUTOS'!DK$2),MONTH('DADOS BRUTOS'!DK$2),1),"")</f>
        <v/>
      </c>
      <c r="GL4" s="112">
        <f>IF(ISNUMBER('DADOS BRUTOS'!DL$2),DATE(YEAR('DADOS BRUTOS'!DL$2),MONTH('DADOS BRUTOS'!DL$2),1),"")</f>
        <v/>
      </c>
      <c r="GM4" s="112">
        <f>IF(ISNUMBER('DADOS BRUTOS'!DM$2),DATE(YEAR('DADOS BRUTOS'!DM$2),MONTH('DADOS BRUTOS'!DM$2),1),"")</f>
        <v/>
      </c>
      <c r="GN4" s="112">
        <f>IF(ISNUMBER('DADOS BRUTOS'!DN$2),DATE(YEAR('DADOS BRUTOS'!DN$2),MONTH('DADOS BRUTOS'!DN$2),1),"")</f>
        <v/>
      </c>
      <c r="GO4" s="112">
        <f>IF(ISNUMBER('DADOS BRUTOS'!DO$2),DATE(YEAR('DADOS BRUTOS'!DO$2),MONTH('DADOS BRUTOS'!DO$2),1),"")</f>
        <v/>
      </c>
      <c r="GP4" s="112">
        <f>IF(ISNUMBER('DADOS BRUTOS'!DP$2),DATE(YEAR('DADOS BRUTOS'!DP$2),MONTH('DADOS BRUTOS'!DP$2),1),"")</f>
        <v/>
      </c>
      <c r="GQ4" s="112">
        <f>IF(ISNUMBER('DADOS BRUTOS'!DQ$2),DATE(YEAR('DADOS BRUTOS'!DQ$2),MONTH('DADOS BRUTOS'!DQ$2),1),"")</f>
        <v/>
      </c>
      <c r="GR4" s="112">
        <f>IF(ISNUMBER('DADOS BRUTOS'!DR$2),DATE(YEAR('DADOS BRUTOS'!DR$2),MONTH('DADOS BRUTOS'!DR$2),1),"")</f>
        <v/>
      </c>
      <c r="GS4" s="112">
        <f>IF(ISNUMBER('DADOS BRUTOS'!DS$2),DATE(YEAR('DADOS BRUTOS'!DS$2),MONTH('DADOS BRUTOS'!DS$2),1),"")</f>
        <v/>
      </c>
      <c r="GT4" s="112">
        <f>IF(ISNUMBER('DADOS BRUTOS'!DT$2),DATE(YEAR('DADOS BRUTOS'!DT$2),MONTH('DADOS BRUTOS'!DT$2),1),"")</f>
        <v/>
      </c>
      <c r="GU4" s="112">
        <f>IF(ISNUMBER('DADOS BRUTOS'!DU$2),DATE(YEAR('DADOS BRUTOS'!DU$2),MONTH('DADOS BRUTOS'!DU$2),1),"")</f>
        <v/>
      </c>
      <c r="GV4" s="112">
        <f>IF(ISNUMBER('DADOS BRUTOS'!DV$2),DATE(YEAR('DADOS BRUTOS'!DV$2),MONTH('DADOS BRUTOS'!DV$2),1),"")</f>
        <v/>
      </c>
      <c r="GW4" s="112">
        <f>IF(ISNUMBER('DADOS BRUTOS'!DW$2),DATE(YEAR('DADOS BRUTOS'!DW$2),MONTH('DADOS BRUTOS'!DW$2),1),"")</f>
        <v/>
      </c>
      <c r="GX4" s="112">
        <f>IF(ISNUMBER('DADOS BRUTOS'!DX$2),DATE(YEAR('DADOS BRUTOS'!DX$2),MONTH('DADOS BRUTOS'!DX$2),1),"")</f>
        <v/>
      </c>
      <c r="GY4" s="112">
        <f>IF(ISNUMBER('DADOS BRUTOS'!DY$2),DATE(YEAR('DADOS BRUTOS'!DY$2),MONTH('DADOS BRUTOS'!DY$2),1),"")</f>
        <v/>
      </c>
      <c r="GZ4" s="112">
        <f>IF(ISNUMBER('DADOS BRUTOS'!DZ$2),DATE(YEAR('DADOS BRUTOS'!DZ$2),MONTH('DADOS BRUTOS'!DZ$2),1),"")</f>
        <v/>
      </c>
      <c r="HA4" s="112">
        <f>IF(ISNUMBER('DADOS BRUTOS'!EA$2),DATE(YEAR('DADOS BRUTOS'!EA$2),MONTH('DADOS BRUTOS'!EA$2),1),"")</f>
        <v/>
      </c>
      <c r="HB4" s="112">
        <f>IF(ISNUMBER('DADOS BRUTOS'!EB$2),DATE(YEAR('DADOS BRUTOS'!EB$2),MONTH('DADOS BRUTOS'!EB$2),1),"")</f>
        <v/>
      </c>
      <c r="HC4" s="112">
        <f>IF(ISNUMBER('DADOS BRUTOS'!EC$2),DATE(YEAR('DADOS BRUTOS'!EC$2),MONTH('DADOS BRUTOS'!EC$2),1),"")</f>
        <v/>
      </c>
      <c r="HD4" s="112">
        <f>IF(ISNUMBER('DADOS BRUTOS'!ED$2),DATE(YEAR('DADOS BRUTOS'!ED$2),MONTH('DADOS BRUTOS'!ED$2),1),"")</f>
        <v/>
      </c>
      <c r="HE4" s="112">
        <f>IF(ISNUMBER('DADOS BRUTOS'!EE$2),DATE(YEAR('DADOS BRUTOS'!EE$2),MONTH('DADOS BRUTOS'!EE$2),1),"")</f>
        <v/>
      </c>
      <c r="HF4" s="112">
        <f>IF(ISNUMBER('DADOS BRUTOS'!EF$2),DATE(YEAR('DADOS BRUTOS'!EF$2),MONTH('DADOS BRUTOS'!EF$2),1),"")</f>
        <v/>
      </c>
      <c r="HG4" s="112">
        <f>IF(ISNUMBER('DADOS BRUTOS'!EG$2),DATE(YEAR('DADOS BRUTOS'!EG$2),MONTH('DADOS BRUTOS'!EG$2),1),"")</f>
        <v/>
      </c>
      <c r="HH4" s="112">
        <f>IF(ISNUMBER('DADOS BRUTOS'!EH$2),DATE(YEAR('DADOS BRUTOS'!EH$2),MONTH('DADOS BRUTOS'!EH$2),1),"")</f>
        <v/>
      </c>
      <c r="HI4" s="112">
        <f>IF(ISNUMBER('DADOS BRUTOS'!EI$2),DATE(YEAR('DADOS BRUTOS'!EI$2),MONTH('DADOS BRUTOS'!EI$2),1),"")</f>
        <v/>
      </c>
      <c r="HJ4" s="112">
        <f>IF(ISNUMBER('DADOS BRUTOS'!EJ$2),DATE(YEAR('DADOS BRUTOS'!EJ$2),MONTH('DADOS BRUTOS'!EJ$2),1),"")</f>
        <v/>
      </c>
      <c r="HK4" s="112">
        <f>IF(ISNUMBER('DADOS BRUTOS'!EK$2),DATE(YEAR('DADOS BRUTOS'!EK$2),MONTH('DADOS BRUTOS'!EK$2),1),"")</f>
        <v/>
      </c>
      <c r="HL4" s="112">
        <f>IF(ISNUMBER('DADOS BRUTOS'!EL$2),DATE(YEAR('DADOS BRUTOS'!EL$2),MONTH('DADOS BRUTOS'!EL$2),1),"")</f>
        <v/>
      </c>
      <c r="HM4" s="112">
        <f>IF(ISNUMBER('DADOS BRUTOS'!EM$2),DATE(YEAR('DADOS BRUTOS'!EM$2),MONTH('DADOS BRUTOS'!EM$2),1),"")</f>
        <v/>
      </c>
      <c r="HN4" s="112">
        <f>IF(ISNUMBER('DADOS BRUTOS'!EN$2),DATE(YEAR('DADOS BRUTOS'!EN$2),MONTH('DADOS BRUTOS'!EN$2),1),"")</f>
        <v/>
      </c>
      <c r="HO4" s="112">
        <f>IF(ISNUMBER('DADOS BRUTOS'!EO$2),DATE(YEAR('DADOS BRUTOS'!EO$2),MONTH('DADOS BRUTOS'!EO$2),1),"")</f>
        <v/>
      </c>
      <c r="HP4" s="112">
        <f>IF(ISNUMBER('DADOS BRUTOS'!EP$2),DATE(YEAR('DADOS BRUTOS'!EP$2),MONTH('DADOS BRUTOS'!EP$2),1),"")</f>
        <v/>
      </c>
      <c r="HQ4" s="112">
        <f>IF(ISNUMBER('DADOS BRUTOS'!EQ$2),DATE(YEAR('DADOS BRUTOS'!EQ$2),MONTH('DADOS BRUTOS'!EQ$2),1),"")</f>
        <v/>
      </c>
      <c r="HR4" s="112">
        <f>IF(ISNUMBER('DADOS BRUTOS'!ER$2),DATE(YEAR('DADOS BRUTOS'!ER$2),MONTH('DADOS BRUTOS'!ER$2),1),"")</f>
        <v/>
      </c>
      <c r="HS4" s="112">
        <f>IF(ISNUMBER('DADOS BRUTOS'!ES$2),DATE(YEAR('DADOS BRUTOS'!ES$2),MONTH('DADOS BRUTOS'!ES$2),1),"")</f>
        <v/>
      </c>
      <c r="HT4" s="112">
        <f>IF(ISNUMBER('DADOS BRUTOS'!ET$2),DATE(YEAR('DADOS BRUTOS'!ET$2),MONTH('DADOS BRUTOS'!ET$2),1),"")</f>
        <v/>
      </c>
      <c r="HU4" s="112">
        <f>IF(ISNUMBER('DADOS BRUTOS'!EU$2),DATE(YEAR('DADOS BRUTOS'!EU$2),MONTH('DADOS BRUTOS'!EU$2),1),"")</f>
        <v/>
      </c>
      <c r="HV4" s="112">
        <f>IF(ISNUMBER('DADOS BRUTOS'!EV$2),DATE(YEAR('DADOS BRUTOS'!EV$2),MONTH('DADOS BRUTOS'!EV$2),1),"")</f>
        <v/>
      </c>
      <c r="HW4" s="112">
        <f>IF(ISNUMBER('DADOS BRUTOS'!EW$2),DATE(YEAR('DADOS BRUTOS'!EW$2),MONTH('DADOS BRUTOS'!EW$2),1),"")</f>
        <v/>
      </c>
      <c r="HX4" s="112">
        <f>IF(ISNUMBER('DADOS BRUTOS'!EX$2),DATE(YEAR('DADOS BRUTOS'!EX$2),MONTH('DADOS BRUTOS'!EX$2),1),"")</f>
        <v/>
      </c>
      <c r="HY4" s="112">
        <f>IF(ISNUMBER('DADOS BRUTOS'!EY$2),DATE(YEAR('DADOS BRUTOS'!EY$2),MONTH('DADOS BRUTOS'!EY$2),1),"")</f>
        <v/>
      </c>
      <c r="HZ4" s="112">
        <f>IF(ISNUMBER('DADOS BRUTOS'!EZ$2),DATE(YEAR('DADOS BRUTOS'!EZ$2),MONTH('DADOS BRUTOS'!EZ$2),1),"")</f>
        <v/>
      </c>
      <c r="IA4" s="112">
        <f>IF(ISNUMBER('DADOS BRUTOS'!FA$2),DATE(YEAR('DADOS BRUTOS'!FA$2),MONTH('DADOS BRUTOS'!FA$2),1),"")</f>
        <v/>
      </c>
      <c r="IB4" s="112">
        <f>IF(ISNUMBER('DADOS BRUTOS'!FB$2),DATE(YEAR('DADOS BRUTOS'!FB$2),MONTH('DADOS BRUTOS'!FB$2),1),"")</f>
        <v/>
      </c>
      <c r="IC4" s="112">
        <f>IF(ISNUMBER('DADOS BRUTOS'!FC$2),DATE(YEAR('DADOS BRUTOS'!FC$2),MONTH('DADOS BRUTOS'!FC$2),1),"")</f>
        <v/>
      </c>
      <c r="ID4" s="112">
        <f>IF(ISNUMBER('DADOS BRUTOS'!FD$2),DATE(YEAR('DADOS BRUTOS'!FD$2),MONTH('DADOS BRUTOS'!FD$2),1),"")</f>
        <v/>
      </c>
      <c r="IE4" s="112">
        <f>IF(ISNUMBER('DADOS BRUTOS'!FE$2),DATE(YEAR('DADOS BRUTOS'!FE$2),MONTH('DADOS BRUTOS'!FE$2),1),"")</f>
        <v/>
      </c>
      <c r="IF4" s="112">
        <f>IF(ISNUMBER('DADOS BRUTOS'!FF$2),DATE(YEAR('DADOS BRUTOS'!FF$2),MONTH('DADOS BRUTOS'!FF$2),1),"")</f>
        <v/>
      </c>
      <c r="IG4" s="112">
        <f>IF(ISNUMBER('DADOS BRUTOS'!FG$2),DATE(YEAR('DADOS BRUTOS'!FG$2),MONTH('DADOS BRUTOS'!FG$2),1),"")</f>
        <v/>
      </c>
      <c r="IH4" s="112">
        <f>IF(ISNUMBER('DADOS BRUTOS'!FH$2),DATE(YEAR('DADOS BRUTOS'!FH$2),MONTH('DADOS BRUTOS'!FH$2),1),"")</f>
        <v/>
      </c>
      <c r="II4" s="112">
        <f>IF(ISNUMBER('DADOS BRUTOS'!FI$2),DATE(YEAR('DADOS BRUTOS'!FI$2),MONTH('DADOS BRUTOS'!FI$2),1),"")</f>
        <v/>
      </c>
      <c r="IJ4" s="112">
        <f>IF(ISNUMBER('DADOS BRUTOS'!FJ$2),DATE(YEAR('DADOS BRUTOS'!FJ$2),MONTH('DADOS BRUTOS'!FJ$2),1),"")</f>
        <v/>
      </c>
      <c r="IK4" s="112">
        <f>IF(ISNUMBER('DADOS BRUTOS'!FK$2),DATE(YEAR('DADOS BRUTOS'!FK$2),MONTH('DADOS BRUTOS'!FK$2),1),"")</f>
        <v/>
      </c>
      <c r="IL4" s="112">
        <f>IF(ISNUMBER('DADOS BRUTOS'!FL$2),DATE(YEAR('DADOS BRUTOS'!FL$2),MONTH('DADOS BRUTOS'!FL$2),1),"")</f>
        <v/>
      </c>
      <c r="IM4" s="112">
        <f>IF(ISNUMBER('DADOS BRUTOS'!FM$2),DATE(YEAR('DADOS BRUTOS'!FM$2),MONTH('DADOS BRUTOS'!FM$2),1),"")</f>
        <v/>
      </c>
      <c r="IN4" s="112">
        <f>IF(ISNUMBER('DADOS BRUTOS'!FN$2),DATE(YEAR('DADOS BRUTOS'!FN$2),MONTH('DADOS BRUTOS'!FN$2),1),"")</f>
        <v/>
      </c>
      <c r="IO4" s="112">
        <f>IF(ISNUMBER('DADOS BRUTOS'!FO$2),DATE(YEAR('DADOS BRUTOS'!FO$2),MONTH('DADOS BRUTOS'!FO$2),1),"")</f>
        <v/>
      </c>
      <c r="IP4" s="112">
        <f>IF(ISNUMBER('DADOS BRUTOS'!FP$2),DATE(YEAR('DADOS BRUTOS'!FP$2),MONTH('DADOS BRUTOS'!FP$2),1),"")</f>
        <v/>
      </c>
      <c r="IQ4" s="112">
        <f>IF(ISNUMBER('DADOS BRUTOS'!FQ$2),DATE(YEAR('DADOS BRUTOS'!FQ$2),MONTH('DADOS BRUTOS'!FQ$2),1),"")</f>
        <v/>
      </c>
      <c r="IR4" s="112">
        <f>IF(ISNUMBER('DADOS BRUTOS'!FR$2),DATE(YEAR('DADOS BRUTOS'!FR$2),MONTH('DADOS BRUTOS'!FR$2),1),"")</f>
        <v/>
      </c>
      <c r="IS4" s="112">
        <f>IF(ISNUMBER('DADOS BRUTOS'!FS$2),DATE(YEAR('DADOS BRUTOS'!FS$2),MONTH('DADOS BRUTOS'!FS$2),1),"")</f>
        <v/>
      </c>
      <c r="IT4" s="112">
        <f>IF(ISNUMBER('DADOS BRUTOS'!FT$2),DATE(YEAR('DADOS BRUTOS'!FT$2),MONTH('DADOS BRUTOS'!FT$2),1),"")</f>
        <v/>
      </c>
      <c r="IU4" s="112">
        <f>IF(ISNUMBER('DADOS BRUTOS'!FU$2),DATE(YEAR('DADOS BRUTOS'!FU$2),MONTH('DADOS BRUTOS'!FU$2),1),"")</f>
        <v/>
      </c>
      <c r="IV4" s="112">
        <f>IF(ISNUMBER('DADOS BRUTOS'!FV$2),DATE(YEAR('DADOS BRUTOS'!FV$2),MONTH('DADOS BRUTOS'!FV$2),1),"")</f>
        <v/>
      </c>
      <c r="IW4" s="112">
        <f>IF(ISNUMBER('DADOS BRUTOS'!FW$2),DATE(YEAR('DADOS BRUTOS'!FW$2),MONTH('DADOS BRUTOS'!FW$2),1),"")</f>
        <v/>
      </c>
      <c r="IX4" s="112">
        <f>IF(ISNUMBER('DADOS BRUTOS'!FX$2),DATE(YEAR('DADOS BRUTOS'!FX$2),MONTH('DADOS BRUTOS'!FX$2),1),"")</f>
        <v/>
      </c>
      <c r="IY4" s="112">
        <f>IF(ISNUMBER('DADOS BRUTOS'!FY$2),DATE(YEAR('DADOS BRUTOS'!FY$2),MONTH('DADOS BRUTOS'!FY$2),1),"")</f>
        <v/>
      </c>
      <c r="IZ4" s="112">
        <f>IF(ISNUMBER('DADOS BRUTOS'!FZ$2),DATE(YEAR('DADOS BRUTOS'!FZ$2),MONTH('DADOS BRUTOS'!FZ$2),1),"")</f>
        <v/>
      </c>
      <c r="JA4" s="112">
        <f>IF(ISNUMBER('DADOS BRUTOS'!GA$2),DATE(YEAR('DADOS BRUTOS'!GA$2),MONTH('DADOS BRUTOS'!GA$2),1),"")</f>
        <v/>
      </c>
      <c r="JB4" s="112">
        <f>IF(ISNUMBER('DADOS BRUTOS'!GB$2),DATE(YEAR('DADOS BRUTOS'!GB$2),MONTH('DADOS BRUTOS'!GB$2),1),"")</f>
        <v/>
      </c>
      <c r="JC4" s="112">
        <f>IF(ISNUMBER('DADOS BRUTOS'!GC$2),DATE(YEAR('DADOS BRUTOS'!GC$2),MONTH('DADOS BRUTOS'!GC$2),1),"")</f>
        <v/>
      </c>
      <c r="JD4" s="112">
        <f>IF(ISNUMBER('DADOS BRUTOS'!GD$2),DATE(YEAR('DADOS BRUTOS'!GD$2),MONTH('DADOS BRUTOS'!GD$2),1),"")</f>
        <v/>
      </c>
      <c r="JE4" s="112">
        <f>IF(ISNUMBER('DADOS BRUTOS'!GE$2),DATE(YEAR('DADOS BRUTOS'!GE$2),MONTH('DADOS BRUTOS'!GE$2),1),"")</f>
        <v/>
      </c>
      <c r="JF4" s="112">
        <f>IF(ISNUMBER('DADOS BRUTOS'!GF$2),DATE(YEAR('DADOS BRUTOS'!GF$2),MONTH('DADOS BRUTOS'!GF$2),1),"")</f>
        <v/>
      </c>
      <c r="JG4" s="112">
        <f>IF(ISNUMBER('DADOS BRUTOS'!GG$2),DATE(YEAR('DADOS BRUTOS'!GG$2),MONTH('DADOS BRUTOS'!GG$2),1),"")</f>
        <v/>
      </c>
      <c r="JH4" s="112">
        <f>IF(ISNUMBER('DADOS BRUTOS'!GH$2),DATE(YEAR('DADOS BRUTOS'!GH$2),MONTH('DADOS BRUTOS'!GH$2),1),"")</f>
        <v/>
      </c>
      <c r="JI4" s="112">
        <f>IF(ISNUMBER('DADOS BRUTOS'!GI$2),DATE(YEAR('DADOS BRUTOS'!GI$2),MONTH('DADOS BRUTOS'!GI$2),1),"")</f>
        <v/>
      </c>
      <c r="JJ4" s="112">
        <f>IF(ISNUMBER('DADOS BRUTOS'!GJ$2),DATE(YEAR('DADOS BRUTOS'!GJ$2),MONTH('DADOS BRUTOS'!GJ$2),1),"")</f>
        <v/>
      </c>
      <c r="JK4" s="112">
        <f>IF(ISNUMBER('DADOS BRUTOS'!GK$2),DATE(YEAR('DADOS BRUTOS'!GK$2),MONTH('DADOS BRUTOS'!GK$2),1),"")</f>
        <v/>
      </c>
      <c r="JL4" s="112">
        <f>IF(ISNUMBER('DADOS BRUTOS'!GL$2),DATE(YEAR('DADOS BRUTOS'!GL$2),MONTH('DADOS BRUTOS'!GL$2),1),"")</f>
        <v/>
      </c>
      <c r="JM4" s="112">
        <f>IF(ISNUMBER('DADOS BRUTOS'!GM$2),DATE(YEAR('DADOS BRUTOS'!GM$2),MONTH('DADOS BRUTOS'!GM$2),1),"")</f>
        <v/>
      </c>
      <c r="JN4" s="112">
        <f>IF(ISNUMBER('DADOS BRUTOS'!GN$2),DATE(YEAR('DADOS BRUTOS'!GN$2),MONTH('DADOS BRUTOS'!GN$2),1),"")</f>
        <v/>
      </c>
      <c r="JO4" s="112">
        <f>IF(ISNUMBER('DADOS BRUTOS'!GO$2),DATE(YEAR('DADOS BRUTOS'!GO$2),MONTH('DADOS BRUTOS'!GO$2),1),"")</f>
        <v/>
      </c>
      <c r="JP4" s="112">
        <f>IF(ISNUMBER('DADOS BRUTOS'!GP$2),DATE(YEAR('DADOS BRUTOS'!GP$2),MONTH('DADOS BRUTOS'!GP$2),1),"")</f>
        <v/>
      </c>
      <c r="JQ4" s="112">
        <f>IF(ISNUMBER('DADOS BRUTOS'!GQ$2),DATE(YEAR('DADOS BRUTOS'!GQ$2),MONTH('DADOS BRUTOS'!GQ$2),1),"")</f>
        <v/>
      </c>
      <c r="JR4" s="112">
        <f>IF(ISNUMBER('DADOS BRUTOS'!GR$2),DATE(YEAR('DADOS BRUTOS'!GR$2),MONTH('DADOS BRUTOS'!GR$2),1),"")</f>
        <v/>
      </c>
      <c r="JS4" s="112">
        <f>IF(ISNUMBER('DADOS BRUTOS'!GS$2),DATE(YEAR('DADOS BRUTOS'!GS$2),MONTH('DADOS BRUTOS'!GS$2),1),"")</f>
        <v/>
      </c>
    </row>
    <row r="5">
      <c r="A5" s="61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BZ5" s="49">
        <f>SUMPRODUCT(($CB$4:$JS$4&lt;&gt;"")*($CB$4:$JS$4&lt;=$D$4),$CB5:$JS5,$CB$1:$JS$1)</f>
        <v/>
      </c>
      <c r="CB5" s="125">
        <f>IF(OR(CB$4="",$B5=""),0,SUMIF('DADOS BRUTOS'!$A$3:$A$500,$B5,'DADOS BRUTOS'!B$3:B$500)+IF($C5="",0,SUMIF('DADOS BRUTOS'!$A$3:$A$500,$C5,'DADOS BRUTOS'!B$3:B$500)))</f>
        <v/>
      </c>
      <c r="CC5" s="125">
        <f>IF(OR(CC$4="",$B5=""),0,SUMIF('DADOS BRUTOS'!$A$3:$A$500,$B5,'DADOS BRUTOS'!C$3:C$500)+IF($C5="",0,SUMIF('DADOS BRUTOS'!$A$3:$A$500,$C5,'DADOS BRUTOS'!C$3:C$500)))</f>
        <v/>
      </c>
      <c r="CD5" s="125">
        <f>IF(OR(CD$4="",$B5=""),0,SUMIF('DADOS BRUTOS'!$A$3:$A$500,$B5,'DADOS BRUTOS'!D$3:D$500)+IF($C5="",0,SUMIF('DADOS BRUTOS'!$A$3:$A$500,$C5,'DADOS BRUTOS'!D$3:D$500)))</f>
        <v/>
      </c>
      <c r="CE5" s="125">
        <f>IF(OR(CE$4="",$B5=""),0,SUMIF('DADOS BRUTOS'!$A$3:$A$500,$B5,'DADOS BRUTOS'!E$3:E$500)+IF($C5="",0,SUMIF('DADOS BRUTOS'!$A$3:$A$500,$C5,'DADOS BRUTOS'!E$3:E$500)))</f>
        <v/>
      </c>
      <c r="CF5" s="125">
        <f>IF(OR(CF$4="",$B5=""),0,SUMIF('DADOS BRUTOS'!$A$3:$A$500,$B5,'DADOS BRUTOS'!F$3:F$500)+IF($C5="",0,SUMIF('DADOS BRUTOS'!$A$3:$A$500,$C5,'DADOS BRUTOS'!F$3:F$500)))</f>
        <v/>
      </c>
      <c r="CG5" s="125">
        <f>IF(OR(CG$4="",$B5=""),0,SUMIF('DADOS BRUTOS'!$A$3:$A$500,$B5,'DADOS BRUTOS'!G$3:G$500)+IF($C5="",0,SUMIF('DADOS BRUTOS'!$A$3:$A$500,$C5,'DADOS BRUTOS'!G$3:G$500)))</f>
        <v/>
      </c>
      <c r="CH5" s="125">
        <f>IF(OR(CH$4="",$B5=""),0,SUMIF('DADOS BRUTOS'!$A$3:$A$500,$B5,'DADOS BRUTOS'!H$3:H$500)+IF($C5="",0,SUMIF('DADOS BRUTOS'!$A$3:$A$500,$C5,'DADOS BRUTOS'!H$3:H$500)))</f>
        <v/>
      </c>
      <c r="CI5" s="125">
        <f>IF(OR(CI$4="",$B5=""),0,SUMIF('DADOS BRUTOS'!$A$3:$A$500,$B5,'DADOS BRUTOS'!I$3:I$500)+IF($C5="",0,SUMIF('DADOS BRUTOS'!$A$3:$A$500,$C5,'DADOS BRUTOS'!I$3:I$500)))</f>
        <v/>
      </c>
      <c r="CJ5" s="125">
        <f>IF(OR(CJ$4="",$B5=""),0,SUMIF('DADOS BRUTOS'!$A$3:$A$500,$B5,'DADOS BRUTOS'!J$3:J$500)+IF($C5="",0,SUMIF('DADOS BRUTOS'!$A$3:$A$500,$C5,'DADOS BRUTOS'!J$3:J$500)))</f>
        <v/>
      </c>
      <c r="CK5" s="125">
        <f>IF(OR(CK$4="",$B5=""),0,SUMIF('DADOS BRUTOS'!$A$3:$A$500,$B5,'DADOS BRUTOS'!K$3:K$500)+IF($C5="",0,SUMIF('DADOS BRUTOS'!$A$3:$A$500,$C5,'DADOS BRUTOS'!K$3:K$500)))</f>
        <v/>
      </c>
      <c r="CL5" s="125">
        <f>IF(OR(CL$4="",$B5=""),0,SUMIF('DADOS BRUTOS'!$A$3:$A$500,$B5,'DADOS BRUTOS'!L$3:L$500)+IF($C5="",0,SUMIF('DADOS BRUTOS'!$A$3:$A$500,$C5,'DADOS BRUTOS'!L$3:L$500)))</f>
        <v/>
      </c>
      <c r="CM5" s="125">
        <f>IF(OR(CM$4="",$B5=""),0,SUMIF('DADOS BRUTOS'!$A$3:$A$500,$B5,'DADOS BRUTOS'!M$3:M$500)+IF($C5="",0,SUMIF('DADOS BRUTOS'!$A$3:$A$500,$C5,'DADOS BRUTOS'!M$3:M$500)))</f>
        <v/>
      </c>
      <c r="CN5" s="125">
        <f>IF(OR(CN$4="",$B5=""),0,SUMIF('DADOS BRUTOS'!$A$3:$A$500,$B5,'DADOS BRUTOS'!N$3:N$500)+IF($C5="",0,SUMIF('DADOS BRUTOS'!$A$3:$A$500,$C5,'DADOS BRUTOS'!N$3:N$500)))</f>
        <v/>
      </c>
      <c r="CO5" s="125">
        <f>IF(OR(CO$4="",$B5=""),0,SUMIF('DADOS BRUTOS'!$A$3:$A$500,$B5,'DADOS BRUTOS'!O$3:O$500)+IF($C5="",0,SUMIF('DADOS BRUTOS'!$A$3:$A$500,$C5,'DADOS BRUTOS'!O$3:O$500)))</f>
        <v/>
      </c>
      <c r="CP5" s="125">
        <f>IF(OR(CP$4="",$B5=""),0,SUMIF('DADOS BRUTOS'!$A$3:$A$500,$B5,'DADOS BRUTOS'!P$3:P$500)+IF($C5="",0,SUMIF('DADOS BRUTOS'!$A$3:$A$500,$C5,'DADOS BRUTOS'!P$3:P$500)))</f>
        <v/>
      </c>
      <c r="CQ5" s="125">
        <f>IF(OR(CQ$4="",$B5=""),0,SUMIF('DADOS BRUTOS'!$A$3:$A$500,$B5,'DADOS BRUTOS'!Q$3:Q$500)+IF($C5="",0,SUMIF('DADOS BRUTOS'!$A$3:$A$500,$C5,'DADOS BRUTOS'!Q$3:Q$500)))</f>
        <v/>
      </c>
      <c r="CR5" s="125">
        <f>IF(OR(CR$4="",$B5=""),0,SUMIF('DADOS BRUTOS'!$A$3:$A$500,$B5,'DADOS BRUTOS'!R$3:R$500)+IF($C5="",0,SUMIF('DADOS BRUTOS'!$A$3:$A$500,$C5,'DADOS BRUTOS'!R$3:R$500)))</f>
        <v/>
      </c>
      <c r="CS5" s="125">
        <f>IF(OR(CS$4="",$B5=""),0,SUMIF('DADOS BRUTOS'!$A$3:$A$500,$B5,'DADOS BRUTOS'!S$3:S$500)+IF($C5="",0,SUMIF('DADOS BRUTOS'!$A$3:$A$500,$C5,'DADOS BRUTOS'!S$3:S$500)))</f>
        <v/>
      </c>
      <c r="CT5" s="125">
        <f>IF(OR(CT$4="",$B5=""),0,SUMIF('DADOS BRUTOS'!$A$3:$A$500,$B5,'DADOS BRUTOS'!T$3:T$500)+IF($C5="",0,SUMIF('DADOS BRUTOS'!$A$3:$A$500,$C5,'DADOS BRUTOS'!T$3:T$500)))</f>
        <v/>
      </c>
      <c r="CU5" s="125">
        <f>IF(OR(CU$4="",$B5=""),0,SUMIF('DADOS BRUTOS'!$A$3:$A$500,$B5,'DADOS BRUTOS'!U$3:U$500)+IF($C5="",0,SUMIF('DADOS BRUTOS'!$A$3:$A$500,$C5,'DADOS BRUTOS'!U$3:U$500)))</f>
        <v/>
      </c>
      <c r="CV5" s="125">
        <f>IF(OR(CV$4="",$B5=""),0,SUMIF('DADOS BRUTOS'!$A$3:$A$500,$B5,'DADOS BRUTOS'!V$3:V$500)+IF($C5="",0,SUMIF('DADOS BRUTOS'!$A$3:$A$500,$C5,'DADOS BRUTOS'!V$3:V$500)))</f>
        <v/>
      </c>
      <c r="CW5" s="125">
        <f>IF(OR(CW$4="",$B5=""),0,SUMIF('DADOS BRUTOS'!$A$3:$A$500,$B5,'DADOS BRUTOS'!W$3:W$500)+IF($C5="",0,SUMIF('DADOS BRUTOS'!$A$3:$A$500,$C5,'DADOS BRUTOS'!W$3:W$500)))</f>
        <v/>
      </c>
      <c r="CX5" s="125">
        <f>IF(OR(CX$4="",$B5=""),0,SUMIF('DADOS BRUTOS'!$A$3:$A$500,$B5,'DADOS BRUTOS'!X$3:X$500)+IF($C5="",0,SUMIF('DADOS BRUTOS'!$A$3:$A$500,$C5,'DADOS BRUTOS'!X$3:X$500)))</f>
        <v/>
      </c>
      <c r="CY5" s="125">
        <f>IF(OR(CY$4="",$B5=""),0,SUMIF('DADOS BRUTOS'!$A$3:$A$500,$B5,'DADOS BRUTOS'!Y$3:Y$500)+IF($C5="",0,SUMIF('DADOS BRUTOS'!$A$3:$A$500,$C5,'DADOS BRUTOS'!Y$3:Y$500)))</f>
        <v/>
      </c>
      <c r="CZ5" s="125">
        <f>IF(OR(CZ$4="",$B5=""),0,SUMIF('DADOS BRUTOS'!$A$3:$A$500,$B5,'DADOS BRUTOS'!Z$3:Z$500)+IF($C5="",0,SUMIF('DADOS BRUTOS'!$A$3:$A$500,$C5,'DADOS BRUTOS'!Z$3:Z$500)))</f>
        <v/>
      </c>
      <c r="DA5" s="125">
        <f>IF(OR(DA$4="",$B5=""),0,SUMIF('DADOS BRUTOS'!$A$3:$A$500,$B5,'DADOS BRUTOS'!AA$3:AA$500)+IF($C5="",0,SUMIF('DADOS BRUTOS'!$A$3:$A$500,$C5,'DADOS BRUTOS'!AA$3:AA$500)))</f>
        <v/>
      </c>
      <c r="DB5" s="125">
        <f>IF(OR(DB$4="",$B5=""),0,SUMIF('DADOS BRUTOS'!$A$3:$A$500,$B5,'DADOS BRUTOS'!AB$3:AB$500)+IF($C5="",0,SUMIF('DADOS BRUTOS'!$A$3:$A$500,$C5,'DADOS BRUTOS'!AB$3:AB$500)))</f>
        <v/>
      </c>
      <c r="DC5" s="125">
        <f>IF(OR(DC$4="",$B5=""),0,SUMIF('DADOS BRUTOS'!$A$3:$A$500,$B5,'DADOS BRUTOS'!AC$3:AC$500)+IF($C5="",0,SUMIF('DADOS BRUTOS'!$A$3:$A$500,$C5,'DADOS BRUTOS'!AC$3:AC$500)))</f>
        <v/>
      </c>
      <c r="DD5" s="125">
        <f>IF(OR(DD$4="",$B5=""),0,SUMIF('DADOS BRUTOS'!$A$3:$A$500,$B5,'DADOS BRUTOS'!AD$3:AD$500)+IF($C5="",0,SUMIF('DADOS BRUTOS'!$A$3:$A$500,$C5,'DADOS BRUTOS'!AD$3:AD$500)))</f>
        <v/>
      </c>
      <c r="DE5" s="125">
        <f>IF(OR(DE$4="",$B5=""),0,SUMIF('DADOS BRUTOS'!$A$3:$A$500,$B5,'DADOS BRUTOS'!AE$3:AE$500)+IF($C5="",0,SUMIF('DADOS BRUTOS'!$A$3:$A$500,$C5,'DADOS BRUTOS'!AE$3:AE$500)))</f>
        <v/>
      </c>
      <c r="DF5" s="125">
        <f>IF(OR(DF$4="",$B5=""),0,SUMIF('DADOS BRUTOS'!$A$3:$A$500,$B5,'DADOS BRUTOS'!AF$3:AF$500)+IF($C5="",0,SUMIF('DADOS BRUTOS'!$A$3:$A$500,$C5,'DADOS BRUTOS'!AF$3:AF$500)))</f>
        <v/>
      </c>
      <c r="DG5" s="125">
        <f>IF(OR(DG$4="",$B5=""),0,SUMIF('DADOS BRUTOS'!$A$3:$A$500,$B5,'DADOS BRUTOS'!AG$3:AG$500)+IF($C5="",0,SUMIF('DADOS BRUTOS'!$A$3:$A$500,$C5,'DADOS BRUTOS'!AG$3:AG$500)))</f>
        <v/>
      </c>
      <c r="DH5" s="125">
        <f>IF(OR(DH$4="",$B5=""),0,SUMIF('DADOS BRUTOS'!$A$3:$A$500,$B5,'DADOS BRUTOS'!AH$3:AH$500)+IF($C5="",0,SUMIF('DADOS BRUTOS'!$A$3:$A$500,$C5,'DADOS BRUTOS'!AH$3:AH$500)))</f>
        <v/>
      </c>
      <c r="DI5" s="125">
        <f>IF(OR(DI$4="",$B5=""),0,SUMIF('DADOS BRUTOS'!$A$3:$A$500,$B5,'DADOS BRUTOS'!AI$3:AI$500)+IF($C5="",0,SUMIF('DADOS BRUTOS'!$A$3:$A$500,$C5,'DADOS BRUTOS'!AI$3:AI$500)))</f>
        <v/>
      </c>
      <c r="DJ5" s="125">
        <f>IF(OR(DJ$4="",$B5=""),0,SUMIF('DADOS BRUTOS'!$A$3:$A$500,$B5,'DADOS BRUTOS'!AJ$3:AJ$500)+IF($C5="",0,SUMIF('DADOS BRUTOS'!$A$3:$A$500,$C5,'DADOS BRUTOS'!AJ$3:AJ$500)))</f>
        <v/>
      </c>
      <c r="DK5" s="125">
        <f>IF(OR(DK$4="",$B5=""),0,SUMIF('DADOS BRUTOS'!$A$3:$A$500,$B5,'DADOS BRUTOS'!AK$3:AK$500)+IF($C5="",0,SUMIF('DADOS BRUTOS'!$A$3:$A$500,$C5,'DADOS BRUTOS'!AK$3:AK$500)))</f>
        <v/>
      </c>
      <c r="DL5" s="125">
        <f>IF(OR(DL$4="",$B5=""),0,SUMIF('DADOS BRUTOS'!$A$3:$A$500,$B5,'DADOS BRUTOS'!AL$3:AL$500)+IF($C5="",0,SUMIF('DADOS BRUTOS'!$A$3:$A$500,$C5,'DADOS BRUTOS'!AL$3:AL$500)))</f>
        <v/>
      </c>
      <c r="DM5" s="125">
        <f>IF(OR(DM$4="",$B5=""),0,SUMIF('DADOS BRUTOS'!$A$3:$A$500,$B5,'DADOS BRUTOS'!AM$3:AM$500)+IF($C5="",0,SUMIF('DADOS BRUTOS'!$A$3:$A$500,$C5,'DADOS BRUTOS'!AM$3:AM$500)))</f>
        <v/>
      </c>
      <c r="DN5" s="125">
        <f>IF(OR(DN$4="",$B5=""),0,SUMIF('DADOS BRUTOS'!$A$3:$A$500,$B5,'DADOS BRUTOS'!AN$3:AN$500)+IF($C5="",0,SUMIF('DADOS BRUTOS'!$A$3:$A$500,$C5,'DADOS BRUTOS'!AN$3:AN$500)))</f>
        <v/>
      </c>
      <c r="DO5" s="125">
        <f>IF(OR(DO$4="",$B5=""),0,SUMIF('DADOS BRUTOS'!$A$3:$A$500,$B5,'DADOS BRUTOS'!AO$3:AO$500)+IF($C5="",0,SUMIF('DADOS BRUTOS'!$A$3:$A$500,$C5,'DADOS BRUTOS'!AO$3:AO$500)))</f>
        <v/>
      </c>
      <c r="DP5" s="125">
        <f>IF(OR(DP$4="",$B5=""),0,SUMIF('DADOS BRUTOS'!$A$3:$A$500,$B5,'DADOS BRUTOS'!AP$3:AP$500)+IF($C5="",0,SUMIF('DADOS BRUTOS'!$A$3:$A$500,$C5,'DADOS BRUTOS'!AP$3:AP$500)))</f>
        <v/>
      </c>
      <c r="DQ5" s="125">
        <f>IF(OR(DQ$4="",$B5=""),0,SUMIF('DADOS BRUTOS'!$A$3:$A$500,$B5,'DADOS BRUTOS'!AQ$3:AQ$500)+IF($C5="",0,SUMIF('DADOS BRUTOS'!$A$3:$A$500,$C5,'DADOS BRUTOS'!AQ$3:AQ$500)))</f>
        <v/>
      </c>
      <c r="DR5" s="125">
        <f>IF(OR(DR$4="",$B5=""),0,SUMIF('DADOS BRUTOS'!$A$3:$A$500,$B5,'DADOS BRUTOS'!AR$3:AR$500)+IF($C5="",0,SUMIF('DADOS BRUTOS'!$A$3:$A$500,$C5,'DADOS BRUTOS'!AR$3:AR$500)))</f>
        <v/>
      </c>
      <c r="DS5" s="125">
        <f>IF(OR(DS$4="",$B5=""),0,SUMIF('DADOS BRUTOS'!$A$3:$A$500,$B5,'DADOS BRUTOS'!AS$3:AS$500)+IF($C5="",0,SUMIF('DADOS BRUTOS'!$A$3:$A$500,$C5,'DADOS BRUTOS'!AS$3:AS$500)))</f>
        <v/>
      </c>
      <c r="DT5" s="125">
        <f>IF(OR(DT$4="",$B5=""),0,SUMIF('DADOS BRUTOS'!$A$3:$A$500,$B5,'DADOS BRUTOS'!AT$3:AT$500)+IF($C5="",0,SUMIF('DADOS BRUTOS'!$A$3:$A$500,$C5,'DADOS BRUTOS'!AT$3:AT$500)))</f>
        <v/>
      </c>
      <c r="DU5" s="125">
        <f>IF(OR(DU$4="",$B5=""),0,SUMIF('DADOS BRUTOS'!$A$3:$A$500,$B5,'DADOS BRUTOS'!AU$3:AU$500)+IF($C5="",0,SUMIF('DADOS BRUTOS'!$A$3:$A$500,$C5,'DADOS BRUTOS'!AU$3:AU$500)))</f>
        <v/>
      </c>
      <c r="DV5" s="125">
        <f>IF(OR(DV$4="",$B5=""),0,SUMIF('DADOS BRUTOS'!$A$3:$A$500,$B5,'DADOS BRUTOS'!AV$3:AV$500)+IF($C5="",0,SUMIF('DADOS BRUTOS'!$A$3:$A$500,$C5,'DADOS BRUTOS'!AV$3:AV$500)))</f>
        <v/>
      </c>
      <c r="DW5" s="125">
        <f>IF(OR(DW$4="",$B5=""),0,SUMIF('DADOS BRUTOS'!$A$3:$A$500,$B5,'DADOS BRUTOS'!AW$3:AW$500)+IF($C5="",0,SUMIF('DADOS BRUTOS'!$A$3:$A$500,$C5,'DADOS BRUTOS'!AW$3:AW$500)))</f>
        <v/>
      </c>
      <c r="DX5" s="125">
        <f>IF(OR(DX$4="",$B5=""),0,SUMIF('DADOS BRUTOS'!$A$3:$A$500,$B5,'DADOS BRUTOS'!AX$3:AX$500)+IF($C5="",0,SUMIF('DADOS BRUTOS'!$A$3:$A$500,$C5,'DADOS BRUTOS'!AX$3:AX$500)))</f>
        <v/>
      </c>
      <c r="DY5" s="125">
        <f>IF(OR(DY$4="",$B5=""),0,SUMIF('DADOS BRUTOS'!$A$3:$A$500,$B5,'DADOS BRUTOS'!AY$3:AY$500)+IF($C5="",0,SUMIF('DADOS BRUTOS'!$A$3:$A$500,$C5,'DADOS BRUTOS'!AY$3:AY$500)))</f>
        <v/>
      </c>
      <c r="DZ5" s="125">
        <f>IF(OR(DZ$4="",$B5=""),0,SUMIF('DADOS BRUTOS'!$A$3:$A$500,$B5,'DADOS BRUTOS'!AZ$3:AZ$500)+IF($C5="",0,SUMIF('DADOS BRUTOS'!$A$3:$A$500,$C5,'DADOS BRUTOS'!AZ$3:AZ$500)))</f>
        <v/>
      </c>
      <c r="EA5" s="125">
        <f>IF(OR(EA$4="",$B5=""),0,SUMIF('DADOS BRUTOS'!$A$3:$A$500,$B5,'DADOS BRUTOS'!BA$3:BA$500)+IF($C5="",0,SUMIF('DADOS BRUTOS'!$A$3:$A$500,$C5,'DADOS BRUTOS'!BA$3:BA$500)))</f>
        <v/>
      </c>
      <c r="EB5" s="125">
        <f>IF(OR(EB$4="",$B5=""),0,SUMIF('DADOS BRUTOS'!$A$3:$A$500,$B5,'DADOS BRUTOS'!BB$3:BB$500)+IF($C5="",0,SUMIF('DADOS BRUTOS'!$A$3:$A$500,$C5,'DADOS BRUTOS'!BB$3:BB$500)))</f>
        <v/>
      </c>
      <c r="EC5" s="125">
        <f>IF(OR(EC$4="",$B5=""),0,SUMIF('DADOS BRUTOS'!$A$3:$A$500,$B5,'DADOS BRUTOS'!BC$3:BC$500)+IF($C5="",0,SUMIF('DADOS BRUTOS'!$A$3:$A$500,$C5,'DADOS BRUTOS'!BC$3:BC$500)))</f>
        <v/>
      </c>
      <c r="ED5" s="125">
        <f>IF(OR(ED$4="",$B5=""),0,SUMIF('DADOS BRUTOS'!$A$3:$A$500,$B5,'DADOS BRUTOS'!BD$3:BD$500)+IF($C5="",0,SUMIF('DADOS BRUTOS'!$A$3:$A$500,$C5,'DADOS BRUTOS'!BD$3:BD$500)))</f>
        <v/>
      </c>
      <c r="EE5" s="125">
        <f>IF(OR(EE$4="",$B5=""),0,SUMIF('DADOS BRUTOS'!$A$3:$A$500,$B5,'DADOS BRUTOS'!BE$3:BE$500)+IF($C5="",0,SUMIF('DADOS BRUTOS'!$A$3:$A$500,$C5,'DADOS BRUTOS'!BE$3:BE$500)))</f>
        <v/>
      </c>
      <c r="EF5" s="125">
        <f>IF(OR(EF$4="",$B5=""),0,SUMIF('DADOS BRUTOS'!$A$3:$A$500,$B5,'DADOS BRUTOS'!BF$3:BF$500)+IF($C5="",0,SUMIF('DADOS BRUTOS'!$A$3:$A$500,$C5,'DADOS BRUTOS'!BF$3:BF$500)))</f>
        <v/>
      </c>
      <c r="EG5" s="125">
        <f>IF(OR(EG$4="",$B5=""),0,SUMIF('DADOS BRUTOS'!$A$3:$A$500,$B5,'DADOS BRUTOS'!BG$3:BG$500)+IF($C5="",0,SUMIF('DADOS BRUTOS'!$A$3:$A$500,$C5,'DADOS BRUTOS'!BG$3:BG$500)))</f>
        <v/>
      </c>
      <c r="EH5" s="125">
        <f>IF(OR(EH$4="",$B5=""),0,SUMIF('DADOS BRUTOS'!$A$3:$A$500,$B5,'DADOS BRUTOS'!BH$3:BH$500)+IF($C5="",0,SUMIF('DADOS BRUTOS'!$A$3:$A$500,$C5,'DADOS BRUTOS'!BH$3:BH$500)))</f>
        <v/>
      </c>
      <c r="EI5" s="125">
        <f>IF(OR(EI$4="",$B5=""),0,SUMIF('DADOS BRUTOS'!$A$3:$A$500,$B5,'DADOS BRUTOS'!BI$3:BI$500)+IF($C5="",0,SUMIF('DADOS BRUTOS'!$A$3:$A$500,$C5,'DADOS BRUTOS'!BI$3:BI$500)))</f>
        <v/>
      </c>
      <c r="EJ5" s="125">
        <f>IF(OR(EJ$4="",$B5=""),0,SUMIF('DADOS BRUTOS'!$A$3:$A$500,$B5,'DADOS BRUTOS'!BJ$3:BJ$500)+IF($C5="",0,SUMIF('DADOS BRUTOS'!$A$3:$A$500,$C5,'DADOS BRUTOS'!BJ$3:BJ$500)))</f>
        <v/>
      </c>
      <c r="EK5" s="125">
        <f>IF(OR(EK$4="",$B5=""),0,SUMIF('DADOS BRUTOS'!$A$3:$A$500,$B5,'DADOS BRUTOS'!BK$3:BK$500)+IF($C5="",0,SUMIF('DADOS BRUTOS'!$A$3:$A$500,$C5,'DADOS BRUTOS'!BK$3:BK$500)))</f>
        <v/>
      </c>
      <c r="EL5" s="125">
        <f>IF(OR(EL$4="",$B5=""),0,SUMIF('DADOS BRUTOS'!$A$3:$A$500,$B5,'DADOS BRUTOS'!BL$3:BL$500)+IF($C5="",0,SUMIF('DADOS BRUTOS'!$A$3:$A$500,$C5,'DADOS BRUTOS'!BL$3:BL$500)))</f>
        <v/>
      </c>
      <c r="EM5" s="125">
        <f>IF(OR(EM$4="",$B5=""),0,SUMIF('DADOS BRUTOS'!$A$3:$A$500,$B5,'DADOS BRUTOS'!BM$3:BM$500)+IF($C5="",0,SUMIF('DADOS BRUTOS'!$A$3:$A$500,$C5,'DADOS BRUTOS'!BM$3:BM$500)))</f>
        <v/>
      </c>
      <c r="EN5" s="125">
        <f>IF(OR(EN$4="",$B5=""),0,SUMIF('DADOS BRUTOS'!$A$3:$A$500,$B5,'DADOS BRUTOS'!BN$3:BN$500)+IF($C5="",0,SUMIF('DADOS BRUTOS'!$A$3:$A$500,$C5,'DADOS BRUTOS'!BN$3:BN$500)))</f>
        <v/>
      </c>
      <c r="EO5" s="125">
        <f>IF(OR(EO$4="",$B5=""),0,SUMIF('DADOS BRUTOS'!$A$3:$A$500,$B5,'DADOS BRUTOS'!BO$3:BO$500)+IF($C5="",0,SUMIF('DADOS BRUTOS'!$A$3:$A$500,$C5,'DADOS BRUTOS'!BO$3:BO$500)))</f>
        <v/>
      </c>
      <c r="EP5" s="125">
        <f>IF(OR(EP$4="",$B5=""),0,SUMIF('DADOS BRUTOS'!$A$3:$A$500,$B5,'DADOS BRUTOS'!BP$3:BP$500)+IF($C5="",0,SUMIF('DADOS BRUTOS'!$A$3:$A$500,$C5,'DADOS BRUTOS'!BP$3:BP$500)))</f>
        <v/>
      </c>
      <c r="EQ5" s="125">
        <f>IF(OR(EQ$4="",$B5=""),0,SUMIF('DADOS BRUTOS'!$A$3:$A$500,$B5,'DADOS BRUTOS'!BQ$3:BQ$500)+IF($C5="",0,SUMIF('DADOS BRUTOS'!$A$3:$A$500,$C5,'DADOS BRUTOS'!BQ$3:BQ$500)))</f>
        <v/>
      </c>
      <c r="ER5" s="125">
        <f>IF(OR(ER$4="",$B5=""),0,SUMIF('DADOS BRUTOS'!$A$3:$A$500,$B5,'DADOS BRUTOS'!BR$3:BR$500)+IF($C5="",0,SUMIF('DADOS BRUTOS'!$A$3:$A$500,$C5,'DADOS BRUTOS'!BR$3:BR$500)))</f>
        <v/>
      </c>
      <c r="ES5" s="125">
        <f>IF(OR(ES$4="",$B5=""),0,SUMIF('DADOS BRUTOS'!$A$3:$A$500,$B5,'DADOS BRUTOS'!BS$3:BS$500)+IF($C5="",0,SUMIF('DADOS BRUTOS'!$A$3:$A$500,$C5,'DADOS BRUTOS'!BS$3:BS$500)))</f>
        <v/>
      </c>
      <c r="ET5" s="125">
        <f>IF(OR(ET$4="",$B5=""),0,SUMIF('DADOS BRUTOS'!$A$3:$A$500,$B5,'DADOS BRUTOS'!BT$3:BT$500)+IF($C5="",0,SUMIF('DADOS BRUTOS'!$A$3:$A$500,$C5,'DADOS BRUTOS'!BT$3:BT$500)))</f>
        <v/>
      </c>
      <c r="EU5" s="125">
        <f>IF(OR(EU$4="",$B5=""),0,SUMIF('DADOS BRUTOS'!$A$3:$A$500,$B5,'DADOS BRUTOS'!BU$3:BU$500)+IF($C5="",0,SUMIF('DADOS BRUTOS'!$A$3:$A$500,$C5,'DADOS BRUTOS'!BU$3:BU$500)))</f>
        <v/>
      </c>
      <c r="EV5" s="125">
        <f>IF(OR(EV$4="",$B5=""),0,SUMIF('DADOS BRUTOS'!$A$3:$A$500,$B5,'DADOS BRUTOS'!BV$3:BV$500)+IF($C5="",0,SUMIF('DADOS BRUTOS'!$A$3:$A$500,$C5,'DADOS BRUTOS'!BV$3:BV$500)))</f>
        <v/>
      </c>
      <c r="EW5" s="125">
        <f>IF(OR(EW$4="",$B5=""),0,SUMIF('DADOS BRUTOS'!$A$3:$A$500,$B5,'DADOS BRUTOS'!BW$3:BW$500)+IF($C5="",0,SUMIF('DADOS BRUTOS'!$A$3:$A$500,$C5,'DADOS BRUTOS'!BW$3:BW$500)))</f>
        <v/>
      </c>
      <c r="EX5" s="125">
        <f>IF(OR(EX$4="",$B5=""),0,SUMIF('DADOS BRUTOS'!$A$3:$A$500,$B5,'DADOS BRUTOS'!BX$3:BX$500)+IF($C5="",0,SUMIF('DADOS BRUTOS'!$A$3:$A$500,$C5,'DADOS BRUTOS'!BX$3:BX$500)))</f>
        <v/>
      </c>
      <c r="EY5" s="125">
        <f>IF(OR(EY$4="",$B5=""),0,SUMIF('DADOS BRUTOS'!$A$3:$A$500,$B5,'DADOS BRUTOS'!BY$3:BY$500)+IF($C5="",0,SUMIF('DADOS BRUTOS'!$A$3:$A$500,$C5,'DADOS BRUTOS'!BY$3:BY$500)))</f>
        <v/>
      </c>
      <c r="EZ5" s="125">
        <f>IF(OR(EZ$4="",$B5=""),0,SUMIF('DADOS BRUTOS'!$A$3:$A$500,$B5,'DADOS BRUTOS'!BZ$3:BZ$500)+IF($C5="",0,SUMIF('DADOS BRUTOS'!$A$3:$A$500,$C5,'DADOS BRUTOS'!BZ$3:BZ$500)))</f>
        <v/>
      </c>
      <c r="FA5" s="125">
        <f>IF(OR(FA$4="",$B5=""),0,SUMIF('DADOS BRUTOS'!$A$3:$A$500,$B5,'DADOS BRUTOS'!CA$3:CA$500)+IF($C5="",0,SUMIF('DADOS BRUTOS'!$A$3:$A$500,$C5,'DADOS BRUTOS'!CA$3:CA$500)))</f>
        <v/>
      </c>
      <c r="FB5" s="125">
        <f>IF(OR(FB$4="",$B5=""),0,SUMIF('DADOS BRUTOS'!$A$3:$A$500,$B5,'DADOS BRUTOS'!CB$3:CB$500)+IF($C5="",0,SUMIF('DADOS BRUTOS'!$A$3:$A$500,$C5,'DADOS BRUTOS'!CB$3:CB$500)))</f>
        <v/>
      </c>
      <c r="FC5" s="125">
        <f>IF(OR(FC$4="",$B5=""),0,SUMIF('DADOS BRUTOS'!$A$3:$A$500,$B5,'DADOS BRUTOS'!CC$3:CC$500)+IF($C5="",0,SUMIF('DADOS BRUTOS'!$A$3:$A$500,$C5,'DADOS BRUTOS'!CC$3:CC$500)))</f>
        <v/>
      </c>
      <c r="FD5" s="125">
        <f>IF(OR(FD$4="",$B5=""),0,SUMIF('DADOS BRUTOS'!$A$3:$A$500,$B5,'DADOS BRUTOS'!CD$3:CD$500)+IF($C5="",0,SUMIF('DADOS BRUTOS'!$A$3:$A$500,$C5,'DADOS BRUTOS'!CD$3:CD$500)))</f>
        <v/>
      </c>
      <c r="FE5" s="125">
        <f>IF(OR(FE$4="",$B5=""),0,SUMIF('DADOS BRUTOS'!$A$3:$A$500,$B5,'DADOS BRUTOS'!CE$3:CE$500)+IF($C5="",0,SUMIF('DADOS BRUTOS'!$A$3:$A$500,$C5,'DADOS BRUTOS'!CE$3:CE$500)))</f>
        <v/>
      </c>
      <c r="FF5" s="125">
        <f>IF(OR(FF$4="",$B5=""),0,SUMIF('DADOS BRUTOS'!$A$3:$A$500,$B5,'DADOS BRUTOS'!CF$3:CF$500)+IF($C5="",0,SUMIF('DADOS BRUTOS'!$A$3:$A$500,$C5,'DADOS BRUTOS'!CF$3:CF$500)))</f>
        <v/>
      </c>
      <c r="FG5" s="125">
        <f>IF(OR(FG$4="",$B5=""),0,SUMIF('DADOS BRUTOS'!$A$3:$A$500,$B5,'DADOS BRUTOS'!CG$3:CG$500)+IF($C5="",0,SUMIF('DADOS BRUTOS'!$A$3:$A$500,$C5,'DADOS BRUTOS'!CG$3:CG$500)))</f>
        <v/>
      </c>
      <c r="FH5" s="125">
        <f>IF(OR(FH$4="",$B5=""),0,SUMIF('DADOS BRUTOS'!$A$3:$A$500,$B5,'DADOS BRUTOS'!CH$3:CH$500)+IF($C5="",0,SUMIF('DADOS BRUTOS'!$A$3:$A$500,$C5,'DADOS BRUTOS'!CH$3:CH$500)))</f>
        <v/>
      </c>
      <c r="FI5" s="125">
        <f>IF(OR(FI$4="",$B5=""),0,SUMIF('DADOS BRUTOS'!$A$3:$A$500,$B5,'DADOS BRUTOS'!CI$3:CI$500)+IF($C5="",0,SUMIF('DADOS BRUTOS'!$A$3:$A$500,$C5,'DADOS BRUTOS'!CI$3:CI$500)))</f>
        <v/>
      </c>
      <c r="FJ5" s="125">
        <f>IF(OR(FJ$4="",$B5=""),0,SUMIF('DADOS BRUTOS'!$A$3:$A$500,$B5,'DADOS BRUTOS'!CJ$3:CJ$500)+IF($C5="",0,SUMIF('DADOS BRUTOS'!$A$3:$A$500,$C5,'DADOS BRUTOS'!CJ$3:CJ$500)))</f>
        <v/>
      </c>
      <c r="FK5" s="125">
        <f>IF(OR(FK$4="",$B5=""),0,SUMIF('DADOS BRUTOS'!$A$3:$A$500,$B5,'DADOS BRUTOS'!CK$3:CK$500)+IF($C5="",0,SUMIF('DADOS BRUTOS'!$A$3:$A$500,$C5,'DADOS BRUTOS'!CK$3:CK$500)))</f>
        <v/>
      </c>
      <c r="FL5" s="125">
        <f>IF(OR(FL$4="",$B5=""),0,SUMIF('DADOS BRUTOS'!$A$3:$A$500,$B5,'DADOS BRUTOS'!CL$3:CL$500)+IF($C5="",0,SUMIF('DADOS BRUTOS'!$A$3:$A$500,$C5,'DADOS BRUTOS'!CL$3:CL$500)))</f>
        <v/>
      </c>
      <c r="FM5" s="125">
        <f>IF(OR(FM$4="",$B5=""),0,SUMIF('DADOS BRUTOS'!$A$3:$A$500,$B5,'DADOS BRUTOS'!CM$3:CM$500)+IF($C5="",0,SUMIF('DADOS BRUTOS'!$A$3:$A$500,$C5,'DADOS BRUTOS'!CM$3:CM$500)))</f>
        <v/>
      </c>
      <c r="FN5" s="125">
        <f>IF(OR(FN$4="",$B5=""),0,SUMIF('DADOS BRUTOS'!$A$3:$A$500,$B5,'DADOS BRUTOS'!CN$3:CN$500)+IF($C5="",0,SUMIF('DADOS BRUTOS'!$A$3:$A$500,$C5,'DADOS BRUTOS'!CN$3:CN$500)))</f>
        <v/>
      </c>
      <c r="FO5" s="125">
        <f>IF(OR(FO$4="",$B5=""),0,SUMIF('DADOS BRUTOS'!$A$3:$A$500,$B5,'DADOS BRUTOS'!CO$3:CO$500)+IF($C5="",0,SUMIF('DADOS BRUTOS'!$A$3:$A$500,$C5,'DADOS BRUTOS'!CO$3:CO$500)))</f>
        <v/>
      </c>
      <c r="FP5" s="125">
        <f>IF(OR(FP$4="",$B5=""),0,SUMIF('DADOS BRUTOS'!$A$3:$A$500,$B5,'DADOS BRUTOS'!CP$3:CP$500)+IF($C5="",0,SUMIF('DADOS BRUTOS'!$A$3:$A$500,$C5,'DADOS BRUTOS'!CP$3:CP$500)))</f>
        <v/>
      </c>
      <c r="FQ5" s="125">
        <f>IF(OR(FQ$4="",$B5=""),0,SUMIF('DADOS BRUTOS'!$A$3:$A$500,$B5,'DADOS BRUTOS'!CQ$3:CQ$500)+IF($C5="",0,SUMIF('DADOS BRUTOS'!$A$3:$A$500,$C5,'DADOS BRUTOS'!CQ$3:CQ$500)))</f>
        <v/>
      </c>
      <c r="FR5" s="125">
        <f>IF(OR(FR$4="",$B5=""),0,SUMIF('DADOS BRUTOS'!$A$3:$A$500,$B5,'DADOS BRUTOS'!CR$3:CR$500)+IF($C5="",0,SUMIF('DADOS BRUTOS'!$A$3:$A$500,$C5,'DADOS BRUTOS'!CR$3:CR$500)))</f>
        <v/>
      </c>
      <c r="FS5" s="125">
        <f>IF(OR(FS$4="",$B5=""),0,SUMIF('DADOS BRUTOS'!$A$3:$A$500,$B5,'DADOS BRUTOS'!CS$3:CS$500)+IF($C5="",0,SUMIF('DADOS BRUTOS'!$A$3:$A$500,$C5,'DADOS BRUTOS'!CS$3:CS$500)))</f>
        <v/>
      </c>
      <c r="FT5" s="125">
        <f>IF(OR(FT$4="",$B5=""),0,SUMIF('DADOS BRUTOS'!$A$3:$A$500,$B5,'DADOS BRUTOS'!CT$3:CT$500)+IF($C5="",0,SUMIF('DADOS BRUTOS'!$A$3:$A$500,$C5,'DADOS BRUTOS'!CT$3:CT$500)))</f>
        <v/>
      </c>
      <c r="FU5" s="125">
        <f>IF(OR(FU$4="",$B5=""),0,SUMIF('DADOS BRUTOS'!$A$3:$A$500,$B5,'DADOS BRUTOS'!CU$3:CU$500)+IF($C5="",0,SUMIF('DADOS BRUTOS'!$A$3:$A$500,$C5,'DADOS BRUTOS'!CU$3:CU$500)))</f>
        <v/>
      </c>
      <c r="FV5" s="125">
        <f>IF(OR(FV$4="",$B5=""),0,SUMIF('DADOS BRUTOS'!$A$3:$A$500,$B5,'DADOS BRUTOS'!CV$3:CV$500)+IF($C5="",0,SUMIF('DADOS BRUTOS'!$A$3:$A$500,$C5,'DADOS BRUTOS'!CV$3:CV$500)))</f>
        <v/>
      </c>
      <c r="FW5" s="125">
        <f>IF(OR(FW$4="",$B5=""),0,SUMIF('DADOS BRUTOS'!$A$3:$A$500,$B5,'DADOS BRUTOS'!CW$3:CW$500)+IF($C5="",0,SUMIF('DADOS BRUTOS'!$A$3:$A$500,$C5,'DADOS BRUTOS'!CW$3:CW$500)))</f>
        <v/>
      </c>
      <c r="FX5" s="125">
        <f>IF(OR(FX$4="",$B5=""),0,SUMIF('DADOS BRUTOS'!$A$3:$A$500,$B5,'DADOS BRUTOS'!CX$3:CX$500)+IF($C5="",0,SUMIF('DADOS BRUTOS'!$A$3:$A$500,$C5,'DADOS BRUTOS'!CX$3:CX$500)))</f>
        <v/>
      </c>
      <c r="FY5" s="125">
        <f>IF(OR(FY$4="",$B5=""),0,SUMIF('DADOS BRUTOS'!$A$3:$A$500,$B5,'DADOS BRUTOS'!CY$3:CY$500)+IF($C5="",0,SUMIF('DADOS BRUTOS'!$A$3:$A$500,$C5,'DADOS BRUTOS'!CY$3:CY$500)))</f>
        <v/>
      </c>
      <c r="FZ5" s="125">
        <f>IF(OR(FZ$4="",$B5=""),0,SUMIF('DADOS BRUTOS'!$A$3:$A$500,$B5,'DADOS BRUTOS'!CZ$3:CZ$500)+IF($C5="",0,SUMIF('DADOS BRUTOS'!$A$3:$A$500,$C5,'DADOS BRUTOS'!CZ$3:CZ$500)))</f>
        <v/>
      </c>
      <c r="GA5" s="125">
        <f>IF(OR(GA$4="",$B5=""),0,SUMIF('DADOS BRUTOS'!$A$3:$A$500,$B5,'DADOS BRUTOS'!DA$3:DA$500)+IF($C5="",0,SUMIF('DADOS BRUTOS'!$A$3:$A$500,$C5,'DADOS BRUTOS'!DA$3:DA$500)))</f>
        <v/>
      </c>
      <c r="GB5" s="125">
        <f>IF(OR(GB$4="",$B5=""),0,SUMIF('DADOS BRUTOS'!$A$3:$A$500,$B5,'DADOS BRUTOS'!DB$3:DB$500)+IF($C5="",0,SUMIF('DADOS BRUTOS'!$A$3:$A$500,$C5,'DADOS BRUTOS'!DB$3:DB$500)))</f>
        <v/>
      </c>
      <c r="GC5" s="125">
        <f>IF(OR(GC$4="",$B5=""),0,SUMIF('DADOS BRUTOS'!$A$3:$A$500,$B5,'DADOS BRUTOS'!DC$3:DC$500)+IF($C5="",0,SUMIF('DADOS BRUTOS'!$A$3:$A$500,$C5,'DADOS BRUTOS'!DC$3:DC$500)))</f>
        <v/>
      </c>
      <c r="GD5" s="125">
        <f>IF(OR(GD$4="",$B5=""),0,SUMIF('DADOS BRUTOS'!$A$3:$A$500,$B5,'DADOS BRUTOS'!DD$3:DD$500)+IF($C5="",0,SUMIF('DADOS BRUTOS'!$A$3:$A$500,$C5,'DADOS BRUTOS'!DD$3:DD$500)))</f>
        <v/>
      </c>
      <c r="GE5" s="125">
        <f>IF(OR(GE$4="",$B5=""),0,SUMIF('DADOS BRUTOS'!$A$3:$A$500,$B5,'DADOS BRUTOS'!DE$3:DE$500)+IF($C5="",0,SUMIF('DADOS BRUTOS'!$A$3:$A$500,$C5,'DADOS BRUTOS'!DE$3:DE$500)))</f>
        <v/>
      </c>
      <c r="GF5" s="125">
        <f>IF(OR(GF$4="",$B5=""),0,SUMIF('DADOS BRUTOS'!$A$3:$A$500,$B5,'DADOS BRUTOS'!DF$3:DF$500)+IF($C5="",0,SUMIF('DADOS BRUTOS'!$A$3:$A$500,$C5,'DADOS BRUTOS'!DF$3:DF$500)))</f>
        <v/>
      </c>
      <c r="GG5" s="125">
        <f>IF(OR(GG$4="",$B5=""),0,SUMIF('DADOS BRUTOS'!$A$3:$A$500,$B5,'DADOS BRUTOS'!DG$3:DG$500)+IF($C5="",0,SUMIF('DADOS BRUTOS'!$A$3:$A$500,$C5,'DADOS BRUTOS'!DG$3:DG$500)))</f>
        <v/>
      </c>
      <c r="GH5" s="125">
        <f>IF(OR(GH$4="",$B5=""),0,SUMIF('DADOS BRUTOS'!$A$3:$A$500,$B5,'DADOS BRUTOS'!DH$3:DH$500)+IF($C5="",0,SUMIF('DADOS BRUTOS'!$A$3:$A$500,$C5,'DADOS BRUTOS'!DH$3:DH$500)))</f>
        <v/>
      </c>
      <c r="GI5" s="125">
        <f>IF(OR(GI$4="",$B5=""),0,SUMIF('DADOS BRUTOS'!$A$3:$A$500,$B5,'DADOS BRUTOS'!DI$3:DI$500)+IF($C5="",0,SUMIF('DADOS BRUTOS'!$A$3:$A$500,$C5,'DADOS BRUTOS'!DI$3:DI$500)))</f>
        <v/>
      </c>
      <c r="GJ5" s="125">
        <f>IF(OR(GJ$4="",$B5=""),0,SUMIF('DADOS BRUTOS'!$A$3:$A$500,$B5,'DADOS BRUTOS'!DJ$3:DJ$500)+IF($C5="",0,SUMIF('DADOS BRUTOS'!$A$3:$A$500,$C5,'DADOS BRUTOS'!DJ$3:DJ$500)))</f>
        <v/>
      </c>
      <c r="GK5" s="125">
        <f>IF(OR(GK$4="",$B5=""),0,SUMIF('DADOS BRUTOS'!$A$3:$A$500,$B5,'DADOS BRUTOS'!DK$3:DK$500)+IF($C5="",0,SUMIF('DADOS BRUTOS'!$A$3:$A$500,$C5,'DADOS BRUTOS'!DK$3:DK$500)))</f>
        <v/>
      </c>
      <c r="GL5" s="125">
        <f>IF(OR(GL$4="",$B5=""),0,SUMIF('DADOS BRUTOS'!$A$3:$A$500,$B5,'DADOS BRUTOS'!DL$3:DL$500)+IF($C5="",0,SUMIF('DADOS BRUTOS'!$A$3:$A$500,$C5,'DADOS BRUTOS'!DL$3:DL$500)))</f>
        <v/>
      </c>
      <c r="GM5" s="125">
        <f>IF(OR(GM$4="",$B5=""),0,SUMIF('DADOS BRUTOS'!$A$3:$A$500,$B5,'DADOS BRUTOS'!DM$3:DM$500)+IF($C5="",0,SUMIF('DADOS BRUTOS'!$A$3:$A$500,$C5,'DADOS BRUTOS'!DM$3:DM$500)))</f>
        <v/>
      </c>
      <c r="GN5" s="125">
        <f>IF(OR(GN$4="",$B5=""),0,SUMIF('DADOS BRUTOS'!$A$3:$A$500,$B5,'DADOS BRUTOS'!DN$3:DN$500)+IF($C5="",0,SUMIF('DADOS BRUTOS'!$A$3:$A$500,$C5,'DADOS BRUTOS'!DN$3:DN$500)))</f>
        <v/>
      </c>
      <c r="GO5" s="125">
        <f>IF(OR(GO$4="",$B5=""),0,SUMIF('DADOS BRUTOS'!$A$3:$A$500,$B5,'DADOS BRUTOS'!DO$3:DO$500)+IF($C5="",0,SUMIF('DADOS BRUTOS'!$A$3:$A$500,$C5,'DADOS BRUTOS'!DO$3:DO$500)))</f>
        <v/>
      </c>
      <c r="GP5" s="125">
        <f>IF(OR(GP$4="",$B5=""),0,SUMIF('DADOS BRUTOS'!$A$3:$A$500,$B5,'DADOS BRUTOS'!DP$3:DP$500)+IF($C5="",0,SUMIF('DADOS BRUTOS'!$A$3:$A$500,$C5,'DADOS BRUTOS'!DP$3:DP$500)))</f>
        <v/>
      </c>
      <c r="GQ5" s="125">
        <f>IF(OR(GQ$4="",$B5=""),0,SUMIF('DADOS BRUTOS'!$A$3:$A$500,$B5,'DADOS BRUTOS'!DQ$3:DQ$500)+IF($C5="",0,SUMIF('DADOS BRUTOS'!$A$3:$A$500,$C5,'DADOS BRUTOS'!DQ$3:DQ$500)))</f>
        <v/>
      </c>
      <c r="GR5" s="125">
        <f>IF(OR(GR$4="",$B5=""),0,SUMIF('DADOS BRUTOS'!$A$3:$A$500,$B5,'DADOS BRUTOS'!DR$3:DR$500)+IF($C5="",0,SUMIF('DADOS BRUTOS'!$A$3:$A$500,$C5,'DADOS BRUTOS'!DR$3:DR$500)))</f>
        <v/>
      </c>
      <c r="GS5" s="125">
        <f>IF(OR(GS$4="",$B5=""),0,SUMIF('DADOS BRUTOS'!$A$3:$A$500,$B5,'DADOS BRUTOS'!DS$3:DS$500)+IF($C5="",0,SUMIF('DADOS BRUTOS'!$A$3:$A$500,$C5,'DADOS BRUTOS'!DS$3:DS$500)))</f>
        <v/>
      </c>
      <c r="GT5" s="125">
        <f>IF(OR(GT$4="",$B5=""),0,SUMIF('DADOS BRUTOS'!$A$3:$A$500,$B5,'DADOS BRUTOS'!DT$3:DT$500)+IF($C5="",0,SUMIF('DADOS BRUTOS'!$A$3:$A$500,$C5,'DADOS BRUTOS'!DT$3:DT$500)))</f>
        <v/>
      </c>
      <c r="GU5" s="125">
        <f>IF(OR(GU$4="",$B5=""),0,SUMIF('DADOS BRUTOS'!$A$3:$A$500,$B5,'DADOS BRUTOS'!DU$3:DU$500)+IF($C5="",0,SUMIF('DADOS BRUTOS'!$A$3:$A$500,$C5,'DADOS BRUTOS'!DU$3:DU$500)))</f>
        <v/>
      </c>
      <c r="GV5" s="125">
        <f>IF(OR(GV$4="",$B5=""),0,SUMIF('DADOS BRUTOS'!$A$3:$A$500,$B5,'DADOS BRUTOS'!DV$3:DV$500)+IF($C5="",0,SUMIF('DADOS BRUTOS'!$A$3:$A$500,$C5,'DADOS BRUTOS'!DV$3:DV$500)))</f>
        <v/>
      </c>
      <c r="GW5" s="125">
        <f>IF(OR(GW$4="",$B5=""),0,SUMIF('DADOS BRUTOS'!$A$3:$A$500,$B5,'DADOS BRUTOS'!DW$3:DW$500)+IF($C5="",0,SUMIF('DADOS BRUTOS'!$A$3:$A$500,$C5,'DADOS BRUTOS'!DW$3:DW$500)))</f>
        <v/>
      </c>
      <c r="GX5" s="125">
        <f>IF(OR(GX$4="",$B5=""),0,SUMIF('DADOS BRUTOS'!$A$3:$A$500,$B5,'DADOS BRUTOS'!DX$3:DX$500)+IF($C5="",0,SUMIF('DADOS BRUTOS'!$A$3:$A$500,$C5,'DADOS BRUTOS'!DX$3:DX$500)))</f>
        <v/>
      </c>
      <c r="GY5" s="125">
        <f>IF(OR(GY$4="",$B5=""),0,SUMIF('DADOS BRUTOS'!$A$3:$A$500,$B5,'DADOS BRUTOS'!DY$3:DY$500)+IF($C5="",0,SUMIF('DADOS BRUTOS'!$A$3:$A$500,$C5,'DADOS BRUTOS'!DY$3:DY$500)))</f>
        <v/>
      </c>
      <c r="GZ5" s="125">
        <f>IF(OR(GZ$4="",$B5=""),0,SUMIF('DADOS BRUTOS'!$A$3:$A$500,$B5,'DADOS BRUTOS'!DZ$3:DZ$500)+IF($C5="",0,SUMIF('DADOS BRUTOS'!$A$3:$A$500,$C5,'DADOS BRUTOS'!DZ$3:DZ$500)))</f>
        <v/>
      </c>
      <c r="HA5" s="125">
        <f>IF(OR(HA$4="",$B5=""),0,SUMIF('DADOS BRUTOS'!$A$3:$A$500,$B5,'DADOS BRUTOS'!EA$3:EA$500)+IF($C5="",0,SUMIF('DADOS BRUTOS'!$A$3:$A$500,$C5,'DADOS BRUTOS'!EA$3:EA$500)))</f>
        <v/>
      </c>
      <c r="HB5" s="125">
        <f>IF(OR(HB$4="",$B5=""),0,SUMIF('DADOS BRUTOS'!$A$3:$A$500,$B5,'DADOS BRUTOS'!EB$3:EB$500)+IF($C5="",0,SUMIF('DADOS BRUTOS'!$A$3:$A$500,$C5,'DADOS BRUTOS'!EB$3:EB$500)))</f>
        <v/>
      </c>
      <c r="HC5" s="125">
        <f>IF(OR(HC$4="",$B5=""),0,SUMIF('DADOS BRUTOS'!$A$3:$A$500,$B5,'DADOS BRUTOS'!EC$3:EC$500)+IF($C5="",0,SUMIF('DADOS BRUTOS'!$A$3:$A$500,$C5,'DADOS BRUTOS'!EC$3:EC$500)))</f>
        <v/>
      </c>
      <c r="HD5" s="125">
        <f>IF(OR(HD$4="",$B5=""),0,SUMIF('DADOS BRUTOS'!$A$3:$A$500,$B5,'DADOS BRUTOS'!ED$3:ED$500)+IF($C5="",0,SUMIF('DADOS BRUTOS'!$A$3:$A$500,$C5,'DADOS BRUTOS'!ED$3:ED$500)))</f>
        <v/>
      </c>
      <c r="HE5" s="125">
        <f>IF(OR(HE$4="",$B5=""),0,SUMIF('DADOS BRUTOS'!$A$3:$A$500,$B5,'DADOS BRUTOS'!EE$3:EE$500)+IF($C5="",0,SUMIF('DADOS BRUTOS'!$A$3:$A$500,$C5,'DADOS BRUTOS'!EE$3:EE$500)))</f>
        <v/>
      </c>
      <c r="HF5" s="125">
        <f>IF(OR(HF$4="",$B5=""),0,SUMIF('DADOS BRUTOS'!$A$3:$A$500,$B5,'DADOS BRUTOS'!EF$3:EF$500)+IF($C5="",0,SUMIF('DADOS BRUTOS'!$A$3:$A$500,$C5,'DADOS BRUTOS'!EF$3:EF$500)))</f>
        <v/>
      </c>
      <c r="HG5" s="125">
        <f>IF(OR(HG$4="",$B5=""),0,SUMIF('DADOS BRUTOS'!$A$3:$A$500,$B5,'DADOS BRUTOS'!EG$3:EG$500)+IF($C5="",0,SUMIF('DADOS BRUTOS'!$A$3:$A$500,$C5,'DADOS BRUTOS'!EG$3:EG$500)))</f>
        <v/>
      </c>
      <c r="HH5" s="125">
        <f>IF(OR(HH$4="",$B5=""),0,SUMIF('DADOS BRUTOS'!$A$3:$A$500,$B5,'DADOS BRUTOS'!EH$3:EH$500)+IF($C5="",0,SUMIF('DADOS BRUTOS'!$A$3:$A$500,$C5,'DADOS BRUTOS'!EH$3:EH$500)))</f>
        <v/>
      </c>
      <c r="HI5" s="125">
        <f>IF(OR(HI$4="",$B5=""),0,SUMIF('DADOS BRUTOS'!$A$3:$A$500,$B5,'DADOS BRUTOS'!EI$3:EI$500)+IF($C5="",0,SUMIF('DADOS BRUTOS'!$A$3:$A$500,$C5,'DADOS BRUTOS'!EI$3:EI$500)))</f>
        <v/>
      </c>
      <c r="HJ5" s="125">
        <f>IF(OR(HJ$4="",$B5=""),0,SUMIF('DADOS BRUTOS'!$A$3:$A$500,$B5,'DADOS BRUTOS'!EJ$3:EJ$500)+IF($C5="",0,SUMIF('DADOS BRUTOS'!$A$3:$A$500,$C5,'DADOS BRUTOS'!EJ$3:EJ$500)))</f>
        <v/>
      </c>
      <c r="HK5" s="125">
        <f>IF(OR(HK$4="",$B5=""),0,SUMIF('DADOS BRUTOS'!$A$3:$A$500,$B5,'DADOS BRUTOS'!EK$3:EK$500)+IF($C5="",0,SUMIF('DADOS BRUTOS'!$A$3:$A$500,$C5,'DADOS BRUTOS'!EK$3:EK$500)))</f>
        <v/>
      </c>
      <c r="HL5" s="125">
        <f>IF(OR(HL$4="",$B5=""),0,SUMIF('DADOS BRUTOS'!$A$3:$A$500,$B5,'DADOS BRUTOS'!EL$3:EL$500)+IF($C5="",0,SUMIF('DADOS BRUTOS'!$A$3:$A$500,$C5,'DADOS BRUTOS'!EL$3:EL$500)))</f>
        <v/>
      </c>
      <c r="HM5" s="125">
        <f>IF(OR(HM$4="",$B5=""),0,SUMIF('DADOS BRUTOS'!$A$3:$A$500,$B5,'DADOS BRUTOS'!EM$3:EM$500)+IF($C5="",0,SUMIF('DADOS BRUTOS'!$A$3:$A$500,$C5,'DADOS BRUTOS'!EM$3:EM$500)))</f>
        <v/>
      </c>
      <c r="HN5" s="125">
        <f>IF(OR(HN$4="",$B5=""),0,SUMIF('DADOS BRUTOS'!$A$3:$A$500,$B5,'DADOS BRUTOS'!EN$3:EN$500)+IF($C5="",0,SUMIF('DADOS BRUTOS'!$A$3:$A$500,$C5,'DADOS BRUTOS'!EN$3:EN$500)))</f>
        <v/>
      </c>
      <c r="HO5" s="125">
        <f>IF(OR(HO$4="",$B5=""),0,SUMIF('DADOS BRUTOS'!$A$3:$A$500,$B5,'DADOS BRUTOS'!EO$3:EO$500)+IF($C5="",0,SUMIF('DADOS BRUTOS'!$A$3:$A$500,$C5,'DADOS BRUTOS'!EO$3:EO$500)))</f>
        <v/>
      </c>
      <c r="HP5" s="125">
        <f>IF(OR(HP$4="",$B5=""),0,SUMIF('DADOS BRUTOS'!$A$3:$A$500,$B5,'DADOS BRUTOS'!EP$3:EP$500)+IF($C5="",0,SUMIF('DADOS BRUTOS'!$A$3:$A$500,$C5,'DADOS BRUTOS'!EP$3:EP$500)))</f>
        <v/>
      </c>
      <c r="HQ5" s="125">
        <f>IF(OR(HQ$4="",$B5=""),0,SUMIF('DADOS BRUTOS'!$A$3:$A$500,$B5,'DADOS BRUTOS'!EQ$3:EQ$500)+IF($C5="",0,SUMIF('DADOS BRUTOS'!$A$3:$A$500,$C5,'DADOS BRUTOS'!EQ$3:EQ$500)))</f>
        <v/>
      </c>
      <c r="HR5" s="125">
        <f>IF(OR(HR$4="",$B5=""),0,SUMIF('DADOS BRUTOS'!$A$3:$A$500,$B5,'DADOS BRUTOS'!ER$3:ER$500)+IF($C5="",0,SUMIF('DADOS BRUTOS'!$A$3:$A$500,$C5,'DADOS BRUTOS'!ER$3:ER$500)))</f>
        <v/>
      </c>
      <c r="HS5" s="125">
        <f>IF(OR(HS$4="",$B5=""),0,SUMIF('DADOS BRUTOS'!$A$3:$A$500,$B5,'DADOS BRUTOS'!ES$3:ES$500)+IF($C5="",0,SUMIF('DADOS BRUTOS'!$A$3:$A$500,$C5,'DADOS BRUTOS'!ES$3:ES$500)))</f>
        <v/>
      </c>
      <c r="HT5" s="125">
        <f>IF(OR(HT$4="",$B5=""),0,SUMIF('DADOS BRUTOS'!$A$3:$A$500,$B5,'DADOS BRUTOS'!ET$3:ET$500)+IF($C5="",0,SUMIF('DADOS BRUTOS'!$A$3:$A$500,$C5,'DADOS BRUTOS'!ET$3:ET$500)))</f>
        <v/>
      </c>
      <c r="HU5" s="125">
        <f>IF(OR(HU$4="",$B5=""),0,SUMIF('DADOS BRUTOS'!$A$3:$A$500,$B5,'DADOS BRUTOS'!EU$3:EU$500)+IF($C5="",0,SUMIF('DADOS BRUTOS'!$A$3:$A$500,$C5,'DADOS BRUTOS'!EU$3:EU$500)))</f>
        <v/>
      </c>
      <c r="HV5" s="125">
        <f>IF(OR(HV$4="",$B5=""),0,SUMIF('DADOS BRUTOS'!$A$3:$A$500,$B5,'DADOS BRUTOS'!EV$3:EV$500)+IF($C5="",0,SUMIF('DADOS BRUTOS'!$A$3:$A$500,$C5,'DADOS BRUTOS'!EV$3:EV$500)))</f>
        <v/>
      </c>
      <c r="HW5" s="125">
        <f>IF(OR(HW$4="",$B5=""),0,SUMIF('DADOS BRUTOS'!$A$3:$A$500,$B5,'DADOS BRUTOS'!EW$3:EW$500)+IF($C5="",0,SUMIF('DADOS BRUTOS'!$A$3:$A$500,$C5,'DADOS BRUTOS'!EW$3:EW$500)))</f>
        <v/>
      </c>
      <c r="HX5" s="125">
        <f>IF(OR(HX$4="",$B5=""),0,SUMIF('DADOS BRUTOS'!$A$3:$A$500,$B5,'DADOS BRUTOS'!EX$3:EX$500)+IF($C5="",0,SUMIF('DADOS BRUTOS'!$A$3:$A$500,$C5,'DADOS BRUTOS'!EX$3:EX$500)))</f>
        <v/>
      </c>
      <c r="HY5" s="125">
        <f>IF(OR(HY$4="",$B5=""),0,SUMIF('DADOS BRUTOS'!$A$3:$A$500,$B5,'DADOS BRUTOS'!EY$3:EY$500)+IF($C5="",0,SUMIF('DADOS BRUTOS'!$A$3:$A$500,$C5,'DADOS BRUTOS'!EY$3:EY$500)))</f>
        <v/>
      </c>
      <c r="HZ5" s="125">
        <f>IF(OR(HZ$4="",$B5=""),0,SUMIF('DADOS BRUTOS'!$A$3:$A$500,$B5,'DADOS BRUTOS'!EZ$3:EZ$500)+IF($C5="",0,SUMIF('DADOS BRUTOS'!$A$3:$A$500,$C5,'DADOS BRUTOS'!EZ$3:EZ$500)))</f>
        <v/>
      </c>
      <c r="IA5" s="125">
        <f>IF(OR(IA$4="",$B5=""),0,SUMIF('DADOS BRUTOS'!$A$3:$A$500,$B5,'DADOS BRUTOS'!FA$3:FA$500)+IF($C5="",0,SUMIF('DADOS BRUTOS'!$A$3:$A$500,$C5,'DADOS BRUTOS'!FA$3:FA$500)))</f>
        <v/>
      </c>
      <c r="IB5" s="125">
        <f>IF(OR(IB$4="",$B5=""),0,SUMIF('DADOS BRUTOS'!$A$3:$A$500,$B5,'DADOS BRUTOS'!FB$3:FB$500)+IF($C5="",0,SUMIF('DADOS BRUTOS'!$A$3:$A$500,$C5,'DADOS BRUTOS'!FB$3:FB$500)))</f>
        <v/>
      </c>
      <c r="IC5" s="125">
        <f>IF(OR(IC$4="",$B5=""),0,SUMIF('DADOS BRUTOS'!$A$3:$A$500,$B5,'DADOS BRUTOS'!FC$3:FC$500)+IF($C5="",0,SUMIF('DADOS BRUTOS'!$A$3:$A$500,$C5,'DADOS BRUTOS'!FC$3:FC$500)))</f>
        <v/>
      </c>
      <c r="ID5" s="125">
        <f>IF(OR(ID$4="",$B5=""),0,SUMIF('DADOS BRUTOS'!$A$3:$A$500,$B5,'DADOS BRUTOS'!FD$3:FD$500)+IF($C5="",0,SUMIF('DADOS BRUTOS'!$A$3:$A$500,$C5,'DADOS BRUTOS'!FD$3:FD$500)))</f>
        <v/>
      </c>
      <c r="IE5" s="125">
        <f>IF(OR(IE$4="",$B5=""),0,SUMIF('DADOS BRUTOS'!$A$3:$A$500,$B5,'DADOS BRUTOS'!FE$3:FE$500)+IF($C5="",0,SUMIF('DADOS BRUTOS'!$A$3:$A$500,$C5,'DADOS BRUTOS'!FE$3:FE$500)))</f>
        <v/>
      </c>
      <c r="IF5" s="125">
        <f>IF(OR(IF$4="",$B5=""),0,SUMIF('DADOS BRUTOS'!$A$3:$A$500,$B5,'DADOS BRUTOS'!FF$3:FF$500)+IF($C5="",0,SUMIF('DADOS BRUTOS'!$A$3:$A$500,$C5,'DADOS BRUTOS'!FF$3:FF$500)))</f>
        <v/>
      </c>
      <c r="IG5" s="125">
        <f>IF(OR(IG$4="",$B5=""),0,SUMIF('DADOS BRUTOS'!$A$3:$A$500,$B5,'DADOS BRUTOS'!FG$3:FG$500)+IF($C5="",0,SUMIF('DADOS BRUTOS'!$A$3:$A$500,$C5,'DADOS BRUTOS'!FG$3:FG$500)))</f>
        <v/>
      </c>
      <c r="IH5" s="125">
        <f>IF(OR(IH$4="",$B5=""),0,SUMIF('DADOS BRUTOS'!$A$3:$A$500,$B5,'DADOS BRUTOS'!FH$3:FH$500)+IF($C5="",0,SUMIF('DADOS BRUTOS'!$A$3:$A$500,$C5,'DADOS BRUTOS'!FH$3:FH$500)))</f>
        <v/>
      </c>
      <c r="II5" s="125">
        <f>IF(OR(II$4="",$B5=""),0,SUMIF('DADOS BRUTOS'!$A$3:$A$500,$B5,'DADOS BRUTOS'!FI$3:FI$500)+IF($C5="",0,SUMIF('DADOS BRUTOS'!$A$3:$A$500,$C5,'DADOS BRUTOS'!FI$3:FI$500)))</f>
        <v/>
      </c>
      <c r="IJ5" s="125">
        <f>IF(OR(IJ$4="",$B5=""),0,SUMIF('DADOS BRUTOS'!$A$3:$A$500,$B5,'DADOS BRUTOS'!FJ$3:FJ$500)+IF($C5="",0,SUMIF('DADOS BRUTOS'!$A$3:$A$500,$C5,'DADOS BRUTOS'!FJ$3:FJ$500)))</f>
        <v/>
      </c>
      <c r="IK5" s="125">
        <f>IF(OR(IK$4="",$B5=""),0,SUMIF('DADOS BRUTOS'!$A$3:$A$500,$B5,'DADOS BRUTOS'!FK$3:FK$500)+IF($C5="",0,SUMIF('DADOS BRUTOS'!$A$3:$A$500,$C5,'DADOS BRUTOS'!FK$3:FK$500)))</f>
        <v/>
      </c>
      <c r="IL5" s="125">
        <f>IF(OR(IL$4="",$B5=""),0,SUMIF('DADOS BRUTOS'!$A$3:$A$500,$B5,'DADOS BRUTOS'!FL$3:FL$500)+IF($C5="",0,SUMIF('DADOS BRUTOS'!$A$3:$A$500,$C5,'DADOS BRUTOS'!FL$3:FL$500)))</f>
        <v/>
      </c>
      <c r="IM5" s="125">
        <f>IF(OR(IM$4="",$B5=""),0,SUMIF('DADOS BRUTOS'!$A$3:$A$500,$B5,'DADOS BRUTOS'!FM$3:FM$500)+IF($C5="",0,SUMIF('DADOS BRUTOS'!$A$3:$A$500,$C5,'DADOS BRUTOS'!FM$3:FM$500)))</f>
        <v/>
      </c>
      <c r="IN5" s="125">
        <f>IF(OR(IN$4="",$B5=""),0,SUMIF('DADOS BRUTOS'!$A$3:$A$500,$B5,'DADOS BRUTOS'!FN$3:FN$500)+IF($C5="",0,SUMIF('DADOS BRUTOS'!$A$3:$A$500,$C5,'DADOS BRUTOS'!FN$3:FN$500)))</f>
        <v/>
      </c>
      <c r="IO5" s="125">
        <f>IF(OR(IO$4="",$B5=""),0,SUMIF('DADOS BRUTOS'!$A$3:$A$500,$B5,'DADOS BRUTOS'!FO$3:FO$500)+IF($C5="",0,SUMIF('DADOS BRUTOS'!$A$3:$A$500,$C5,'DADOS BRUTOS'!FO$3:FO$500)))</f>
        <v/>
      </c>
      <c r="IP5" s="125">
        <f>IF(OR(IP$4="",$B5=""),0,SUMIF('DADOS BRUTOS'!$A$3:$A$500,$B5,'DADOS BRUTOS'!FP$3:FP$500)+IF($C5="",0,SUMIF('DADOS BRUTOS'!$A$3:$A$500,$C5,'DADOS BRUTOS'!FP$3:FP$500)))</f>
        <v/>
      </c>
      <c r="IQ5" s="125">
        <f>IF(OR(IQ$4="",$B5=""),0,SUMIF('DADOS BRUTOS'!$A$3:$A$500,$B5,'DADOS BRUTOS'!FQ$3:FQ$500)+IF($C5="",0,SUMIF('DADOS BRUTOS'!$A$3:$A$500,$C5,'DADOS BRUTOS'!FQ$3:FQ$500)))</f>
        <v/>
      </c>
      <c r="IR5" s="125">
        <f>IF(OR(IR$4="",$B5=""),0,SUMIF('DADOS BRUTOS'!$A$3:$A$500,$B5,'DADOS BRUTOS'!FR$3:FR$500)+IF($C5="",0,SUMIF('DADOS BRUTOS'!$A$3:$A$500,$C5,'DADOS BRUTOS'!FR$3:FR$500)))</f>
        <v/>
      </c>
      <c r="IS5" s="125">
        <f>IF(OR(IS$4="",$B5=""),0,SUMIF('DADOS BRUTOS'!$A$3:$A$500,$B5,'DADOS BRUTOS'!FS$3:FS$500)+IF($C5="",0,SUMIF('DADOS BRUTOS'!$A$3:$A$500,$C5,'DADOS BRUTOS'!FS$3:FS$500)))</f>
        <v/>
      </c>
      <c r="IT5" s="125">
        <f>IF(OR(IT$4="",$B5=""),0,SUMIF('DADOS BRUTOS'!$A$3:$A$500,$B5,'DADOS BRUTOS'!FT$3:FT$500)+IF($C5="",0,SUMIF('DADOS BRUTOS'!$A$3:$A$500,$C5,'DADOS BRUTOS'!FT$3:FT$500)))</f>
        <v/>
      </c>
      <c r="IU5" s="125">
        <f>IF(OR(IU$4="",$B5=""),0,SUMIF('DADOS BRUTOS'!$A$3:$A$500,$B5,'DADOS BRUTOS'!FU$3:FU$500)+IF($C5="",0,SUMIF('DADOS BRUTOS'!$A$3:$A$500,$C5,'DADOS BRUTOS'!FU$3:FU$500)))</f>
        <v/>
      </c>
      <c r="IV5" s="125">
        <f>IF(OR(IV$4="",$B5=""),0,SUMIF('DADOS BRUTOS'!$A$3:$A$500,$B5,'DADOS BRUTOS'!FV$3:FV$500)+IF($C5="",0,SUMIF('DADOS BRUTOS'!$A$3:$A$500,$C5,'DADOS BRUTOS'!FV$3:FV$500)))</f>
        <v/>
      </c>
      <c r="IW5" s="125">
        <f>IF(OR(IW$4="",$B5=""),0,SUMIF('DADOS BRUTOS'!$A$3:$A$500,$B5,'DADOS BRUTOS'!FW$3:FW$500)+IF($C5="",0,SUMIF('DADOS BRUTOS'!$A$3:$A$500,$C5,'DADOS BRUTOS'!FW$3:FW$500)))</f>
        <v/>
      </c>
      <c r="IX5" s="125">
        <f>IF(OR(IX$4="",$B5=""),0,SUMIF('DADOS BRUTOS'!$A$3:$A$500,$B5,'DADOS BRUTOS'!FX$3:FX$500)+IF($C5="",0,SUMIF('DADOS BRUTOS'!$A$3:$A$500,$C5,'DADOS BRUTOS'!FX$3:FX$500)))</f>
        <v/>
      </c>
      <c r="IY5" s="125">
        <f>IF(OR(IY$4="",$B5=""),0,SUMIF('DADOS BRUTOS'!$A$3:$A$500,$B5,'DADOS BRUTOS'!FY$3:FY$500)+IF($C5="",0,SUMIF('DADOS BRUTOS'!$A$3:$A$500,$C5,'DADOS BRUTOS'!FY$3:FY$500)))</f>
        <v/>
      </c>
      <c r="IZ5" s="125">
        <f>IF(OR(IZ$4="",$B5=""),0,SUMIF('DADOS BRUTOS'!$A$3:$A$500,$B5,'DADOS BRUTOS'!FZ$3:FZ$500)+IF($C5="",0,SUMIF('DADOS BRUTOS'!$A$3:$A$500,$C5,'DADOS BRUTOS'!FZ$3:FZ$500)))</f>
        <v/>
      </c>
      <c r="JA5" s="125">
        <f>IF(OR(JA$4="",$B5=""),0,SUMIF('DADOS BRUTOS'!$A$3:$A$500,$B5,'DADOS BRUTOS'!GA$3:GA$500)+IF($C5="",0,SUMIF('DADOS BRUTOS'!$A$3:$A$500,$C5,'DADOS BRUTOS'!GA$3:GA$500)))</f>
        <v/>
      </c>
      <c r="JB5" s="125">
        <f>IF(OR(JB$4="",$B5=""),0,SUMIF('DADOS BRUTOS'!$A$3:$A$500,$B5,'DADOS BRUTOS'!GB$3:GB$500)+IF($C5="",0,SUMIF('DADOS BRUTOS'!$A$3:$A$500,$C5,'DADOS BRUTOS'!GB$3:GB$500)))</f>
        <v/>
      </c>
      <c r="JC5" s="125">
        <f>IF(OR(JC$4="",$B5=""),0,SUMIF('DADOS BRUTOS'!$A$3:$A$500,$B5,'DADOS BRUTOS'!GC$3:GC$500)+IF($C5="",0,SUMIF('DADOS BRUTOS'!$A$3:$A$500,$C5,'DADOS BRUTOS'!GC$3:GC$500)))</f>
        <v/>
      </c>
      <c r="JD5" s="125">
        <f>IF(OR(JD$4="",$B5=""),0,SUMIF('DADOS BRUTOS'!$A$3:$A$500,$B5,'DADOS BRUTOS'!GD$3:GD$500)+IF($C5="",0,SUMIF('DADOS BRUTOS'!$A$3:$A$500,$C5,'DADOS BRUTOS'!GD$3:GD$500)))</f>
        <v/>
      </c>
      <c r="JE5" s="125">
        <f>IF(OR(JE$4="",$B5=""),0,SUMIF('DADOS BRUTOS'!$A$3:$A$500,$B5,'DADOS BRUTOS'!GE$3:GE$500)+IF($C5="",0,SUMIF('DADOS BRUTOS'!$A$3:$A$500,$C5,'DADOS BRUTOS'!GE$3:GE$500)))</f>
        <v/>
      </c>
      <c r="JF5" s="125">
        <f>IF(OR(JF$4="",$B5=""),0,SUMIF('DADOS BRUTOS'!$A$3:$A$500,$B5,'DADOS BRUTOS'!GF$3:GF$500)+IF($C5="",0,SUMIF('DADOS BRUTOS'!$A$3:$A$500,$C5,'DADOS BRUTOS'!GF$3:GF$500)))</f>
        <v/>
      </c>
      <c r="JG5" s="125">
        <f>IF(OR(JG$4="",$B5=""),0,SUMIF('DADOS BRUTOS'!$A$3:$A$500,$B5,'DADOS BRUTOS'!GG$3:GG$500)+IF($C5="",0,SUMIF('DADOS BRUTOS'!$A$3:$A$500,$C5,'DADOS BRUTOS'!GG$3:GG$500)))</f>
        <v/>
      </c>
      <c r="JH5" s="125">
        <f>IF(OR(JH$4="",$B5=""),0,SUMIF('DADOS BRUTOS'!$A$3:$A$500,$B5,'DADOS BRUTOS'!GH$3:GH$500)+IF($C5="",0,SUMIF('DADOS BRUTOS'!$A$3:$A$500,$C5,'DADOS BRUTOS'!GH$3:GH$500)))</f>
        <v/>
      </c>
      <c r="JI5" s="125">
        <f>IF(OR(JI$4="",$B5=""),0,SUMIF('DADOS BRUTOS'!$A$3:$A$500,$B5,'DADOS BRUTOS'!GI$3:GI$500)+IF($C5="",0,SUMIF('DADOS BRUTOS'!$A$3:$A$500,$C5,'DADOS BRUTOS'!GI$3:GI$500)))</f>
        <v/>
      </c>
      <c r="JJ5" s="125">
        <f>IF(OR(JJ$4="",$B5=""),0,SUMIF('DADOS BRUTOS'!$A$3:$A$500,$B5,'DADOS BRUTOS'!GJ$3:GJ$500)+IF($C5="",0,SUMIF('DADOS BRUTOS'!$A$3:$A$500,$C5,'DADOS BRUTOS'!GJ$3:GJ$500)))</f>
        <v/>
      </c>
      <c r="JK5" s="125">
        <f>IF(OR(JK$4="",$B5=""),0,SUMIF('DADOS BRUTOS'!$A$3:$A$500,$B5,'DADOS BRUTOS'!GK$3:GK$500)+IF($C5="",0,SUMIF('DADOS BRUTOS'!$A$3:$A$500,$C5,'DADOS BRUTOS'!GK$3:GK$500)))</f>
        <v/>
      </c>
      <c r="JL5" s="125">
        <f>IF(OR(JL$4="",$B5=""),0,SUMIF('DADOS BRUTOS'!$A$3:$A$500,$B5,'DADOS BRUTOS'!GL$3:GL$500)+IF($C5="",0,SUMIF('DADOS BRUTOS'!$A$3:$A$500,$C5,'DADOS BRUTOS'!GL$3:GL$500)))</f>
        <v/>
      </c>
      <c r="JM5" s="125">
        <f>IF(OR(JM$4="",$B5=""),0,SUMIF('DADOS BRUTOS'!$A$3:$A$500,$B5,'DADOS BRUTOS'!GM$3:GM$500)+IF($C5="",0,SUMIF('DADOS BRUTOS'!$A$3:$A$500,$C5,'DADOS BRUTOS'!GM$3:GM$500)))</f>
        <v/>
      </c>
      <c r="JN5" s="125">
        <f>IF(OR(JN$4="",$B5=""),0,SUMIF('DADOS BRUTOS'!$A$3:$A$500,$B5,'DADOS BRUTOS'!GN$3:GN$500)+IF($C5="",0,SUMIF('DADOS BRUTOS'!$A$3:$A$500,$C5,'DADOS BRUTOS'!GN$3:GN$500)))</f>
        <v/>
      </c>
      <c r="JO5" s="125">
        <f>IF(OR(JO$4="",$B5=""),0,SUMIF('DADOS BRUTOS'!$A$3:$A$500,$B5,'DADOS BRUTOS'!GO$3:GO$500)+IF($C5="",0,SUMIF('DADOS BRUTOS'!$A$3:$A$500,$C5,'DADOS BRUTOS'!GO$3:GO$500)))</f>
        <v/>
      </c>
      <c r="JP5" s="125">
        <f>IF(OR(JP$4="",$B5=""),0,SUMIF('DADOS BRUTOS'!$A$3:$A$500,$B5,'DADOS BRUTOS'!GP$3:GP$500)+IF($C5="",0,SUMIF('DADOS BRUTOS'!$A$3:$A$500,$C5,'DADOS BRUTOS'!GP$3:GP$500)))</f>
        <v/>
      </c>
      <c r="JQ5" s="125">
        <f>IF(OR(JQ$4="",$B5=""),0,SUMIF('DADOS BRUTOS'!$A$3:$A$500,$B5,'DADOS BRUTOS'!GQ$3:GQ$500)+IF($C5="",0,SUMIF('DADOS BRUTOS'!$A$3:$A$500,$C5,'DADOS BRUTOS'!GQ$3:GQ$500)))</f>
        <v/>
      </c>
      <c r="JR5" s="125">
        <f>IF(OR(JR$4="",$B5=""),0,SUMIF('DADOS BRUTOS'!$A$3:$A$500,$B5,'DADOS BRUTOS'!GR$3:GR$500)+IF($C5="",0,SUMIF('DADOS BRUTOS'!$A$3:$A$500,$C5,'DADOS BRUTOS'!GR$3:GR$500)))</f>
        <v/>
      </c>
      <c r="JS5" s="125">
        <f>IF(OR(JS$4="",$B5=""),0,SUMIF('DADOS BRUTOS'!$A$3:$A$500,$B5,'DADOS BRUTOS'!GS$3:GS$500)+IF($C5="",0,SUMIF('DADOS BRUTOS'!$A$3:$A$500,$C5,'DADOS BRUTOS'!GS$3:GS$500)))</f>
        <v/>
      </c>
    </row>
    <row r="6">
      <c r="A6" s="61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BZ6" s="49">
        <f>SUMPRODUCT(($CB$4:$JS$4&lt;&gt;"")*($CB$4:$JS$4&lt;=$D$4),$CB6:$JS6,$CB$1:$JS$1)</f>
        <v/>
      </c>
      <c r="CB6" s="125">
        <f>IF(OR(CB$4="",$B6=""),0,SUMIF('DADOS BRUTOS'!$A$3:$A$500,$B6,'DADOS BRUTOS'!B$3:B$500)+IF($C6="",0,SUMIF('DADOS BRUTOS'!$A$3:$A$500,$C6,'DADOS BRUTOS'!B$3:B$500)))</f>
        <v/>
      </c>
      <c r="CC6" s="125">
        <f>IF(OR(CC$4="",$B6=""),0,SUMIF('DADOS BRUTOS'!$A$3:$A$500,$B6,'DADOS BRUTOS'!C$3:C$500)+IF($C6="",0,SUMIF('DADOS BRUTOS'!$A$3:$A$500,$C6,'DADOS BRUTOS'!C$3:C$500)))</f>
        <v/>
      </c>
      <c r="CD6" s="125">
        <f>IF(OR(CD$4="",$B6=""),0,SUMIF('DADOS BRUTOS'!$A$3:$A$500,$B6,'DADOS BRUTOS'!D$3:D$500)+IF($C6="",0,SUMIF('DADOS BRUTOS'!$A$3:$A$500,$C6,'DADOS BRUTOS'!D$3:D$500)))</f>
        <v/>
      </c>
      <c r="CE6" s="125">
        <f>IF(OR(CE$4="",$B6=""),0,SUMIF('DADOS BRUTOS'!$A$3:$A$500,$B6,'DADOS BRUTOS'!E$3:E$500)+IF($C6="",0,SUMIF('DADOS BRUTOS'!$A$3:$A$500,$C6,'DADOS BRUTOS'!E$3:E$500)))</f>
        <v/>
      </c>
      <c r="CF6" s="125">
        <f>IF(OR(CF$4="",$B6=""),0,SUMIF('DADOS BRUTOS'!$A$3:$A$500,$B6,'DADOS BRUTOS'!F$3:F$500)+IF($C6="",0,SUMIF('DADOS BRUTOS'!$A$3:$A$500,$C6,'DADOS BRUTOS'!F$3:F$500)))</f>
        <v/>
      </c>
      <c r="CG6" s="125">
        <f>IF(OR(CG$4="",$B6=""),0,SUMIF('DADOS BRUTOS'!$A$3:$A$500,$B6,'DADOS BRUTOS'!G$3:G$500)+IF($C6="",0,SUMIF('DADOS BRUTOS'!$A$3:$A$500,$C6,'DADOS BRUTOS'!G$3:G$500)))</f>
        <v/>
      </c>
      <c r="CH6" s="125">
        <f>IF(OR(CH$4="",$B6=""),0,SUMIF('DADOS BRUTOS'!$A$3:$A$500,$B6,'DADOS BRUTOS'!H$3:H$500)+IF($C6="",0,SUMIF('DADOS BRUTOS'!$A$3:$A$500,$C6,'DADOS BRUTOS'!H$3:H$500)))</f>
        <v/>
      </c>
      <c r="CI6" s="125">
        <f>IF(OR(CI$4="",$B6=""),0,SUMIF('DADOS BRUTOS'!$A$3:$A$500,$B6,'DADOS BRUTOS'!I$3:I$500)+IF($C6="",0,SUMIF('DADOS BRUTOS'!$A$3:$A$500,$C6,'DADOS BRUTOS'!I$3:I$500)))</f>
        <v/>
      </c>
      <c r="CJ6" s="125">
        <f>IF(OR(CJ$4="",$B6=""),0,SUMIF('DADOS BRUTOS'!$A$3:$A$500,$B6,'DADOS BRUTOS'!J$3:J$500)+IF($C6="",0,SUMIF('DADOS BRUTOS'!$A$3:$A$500,$C6,'DADOS BRUTOS'!J$3:J$500)))</f>
        <v/>
      </c>
      <c r="CK6" s="125">
        <f>IF(OR(CK$4="",$B6=""),0,SUMIF('DADOS BRUTOS'!$A$3:$A$500,$B6,'DADOS BRUTOS'!K$3:K$500)+IF($C6="",0,SUMIF('DADOS BRUTOS'!$A$3:$A$500,$C6,'DADOS BRUTOS'!K$3:K$500)))</f>
        <v/>
      </c>
      <c r="CL6" s="125">
        <f>IF(OR(CL$4="",$B6=""),0,SUMIF('DADOS BRUTOS'!$A$3:$A$500,$B6,'DADOS BRUTOS'!L$3:L$500)+IF($C6="",0,SUMIF('DADOS BRUTOS'!$A$3:$A$500,$C6,'DADOS BRUTOS'!L$3:L$500)))</f>
        <v/>
      </c>
      <c r="CM6" s="125">
        <f>IF(OR(CM$4="",$B6=""),0,SUMIF('DADOS BRUTOS'!$A$3:$A$500,$B6,'DADOS BRUTOS'!M$3:M$500)+IF($C6="",0,SUMIF('DADOS BRUTOS'!$A$3:$A$500,$C6,'DADOS BRUTOS'!M$3:M$500)))</f>
        <v/>
      </c>
      <c r="CN6" s="125">
        <f>IF(OR(CN$4="",$B6=""),0,SUMIF('DADOS BRUTOS'!$A$3:$A$500,$B6,'DADOS BRUTOS'!N$3:N$500)+IF($C6="",0,SUMIF('DADOS BRUTOS'!$A$3:$A$500,$C6,'DADOS BRUTOS'!N$3:N$500)))</f>
        <v/>
      </c>
      <c r="CO6" s="125">
        <f>IF(OR(CO$4="",$B6=""),0,SUMIF('DADOS BRUTOS'!$A$3:$A$500,$B6,'DADOS BRUTOS'!O$3:O$500)+IF($C6="",0,SUMIF('DADOS BRUTOS'!$A$3:$A$500,$C6,'DADOS BRUTOS'!O$3:O$500)))</f>
        <v/>
      </c>
      <c r="CP6" s="125">
        <f>IF(OR(CP$4="",$B6=""),0,SUMIF('DADOS BRUTOS'!$A$3:$A$500,$B6,'DADOS BRUTOS'!P$3:P$500)+IF($C6="",0,SUMIF('DADOS BRUTOS'!$A$3:$A$500,$C6,'DADOS BRUTOS'!P$3:P$500)))</f>
        <v/>
      </c>
      <c r="CQ6" s="125">
        <f>IF(OR(CQ$4="",$B6=""),0,SUMIF('DADOS BRUTOS'!$A$3:$A$500,$B6,'DADOS BRUTOS'!Q$3:Q$500)+IF($C6="",0,SUMIF('DADOS BRUTOS'!$A$3:$A$500,$C6,'DADOS BRUTOS'!Q$3:Q$500)))</f>
        <v/>
      </c>
      <c r="CR6" s="125">
        <f>IF(OR(CR$4="",$B6=""),0,SUMIF('DADOS BRUTOS'!$A$3:$A$500,$B6,'DADOS BRUTOS'!R$3:R$500)+IF($C6="",0,SUMIF('DADOS BRUTOS'!$A$3:$A$500,$C6,'DADOS BRUTOS'!R$3:R$500)))</f>
        <v/>
      </c>
      <c r="CS6" s="125">
        <f>IF(OR(CS$4="",$B6=""),0,SUMIF('DADOS BRUTOS'!$A$3:$A$500,$B6,'DADOS BRUTOS'!S$3:S$500)+IF($C6="",0,SUMIF('DADOS BRUTOS'!$A$3:$A$500,$C6,'DADOS BRUTOS'!S$3:S$500)))</f>
        <v/>
      </c>
      <c r="CT6" s="125">
        <f>IF(OR(CT$4="",$B6=""),0,SUMIF('DADOS BRUTOS'!$A$3:$A$500,$B6,'DADOS BRUTOS'!T$3:T$500)+IF($C6="",0,SUMIF('DADOS BRUTOS'!$A$3:$A$500,$C6,'DADOS BRUTOS'!T$3:T$500)))</f>
        <v/>
      </c>
      <c r="CU6" s="125">
        <f>IF(OR(CU$4="",$B6=""),0,SUMIF('DADOS BRUTOS'!$A$3:$A$500,$B6,'DADOS BRUTOS'!U$3:U$500)+IF($C6="",0,SUMIF('DADOS BRUTOS'!$A$3:$A$500,$C6,'DADOS BRUTOS'!U$3:U$500)))</f>
        <v/>
      </c>
      <c r="CV6" s="125">
        <f>IF(OR(CV$4="",$B6=""),0,SUMIF('DADOS BRUTOS'!$A$3:$A$500,$B6,'DADOS BRUTOS'!V$3:V$500)+IF($C6="",0,SUMIF('DADOS BRUTOS'!$A$3:$A$500,$C6,'DADOS BRUTOS'!V$3:V$500)))</f>
        <v/>
      </c>
      <c r="CW6" s="125">
        <f>IF(OR(CW$4="",$B6=""),0,SUMIF('DADOS BRUTOS'!$A$3:$A$500,$B6,'DADOS BRUTOS'!W$3:W$500)+IF($C6="",0,SUMIF('DADOS BRUTOS'!$A$3:$A$500,$C6,'DADOS BRUTOS'!W$3:W$500)))</f>
        <v/>
      </c>
      <c r="CX6" s="125">
        <f>IF(OR(CX$4="",$B6=""),0,SUMIF('DADOS BRUTOS'!$A$3:$A$500,$B6,'DADOS BRUTOS'!X$3:X$500)+IF($C6="",0,SUMIF('DADOS BRUTOS'!$A$3:$A$500,$C6,'DADOS BRUTOS'!X$3:X$500)))</f>
        <v/>
      </c>
      <c r="CY6" s="125">
        <f>IF(OR(CY$4="",$B6=""),0,SUMIF('DADOS BRUTOS'!$A$3:$A$500,$B6,'DADOS BRUTOS'!Y$3:Y$500)+IF($C6="",0,SUMIF('DADOS BRUTOS'!$A$3:$A$500,$C6,'DADOS BRUTOS'!Y$3:Y$500)))</f>
        <v/>
      </c>
      <c r="CZ6" s="125">
        <f>IF(OR(CZ$4="",$B6=""),0,SUMIF('DADOS BRUTOS'!$A$3:$A$500,$B6,'DADOS BRUTOS'!Z$3:Z$500)+IF($C6="",0,SUMIF('DADOS BRUTOS'!$A$3:$A$500,$C6,'DADOS BRUTOS'!Z$3:Z$500)))</f>
        <v/>
      </c>
      <c r="DA6" s="125">
        <f>IF(OR(DA$4="",$B6=""),0,SUMIF('DADOS BRUTOS'!$A$3:$A$500,$B6,'DADOS BRUTOS'!AA$3:AA$500)+IF($C6="",0,SUMIF('DADOS BRUTOS'!$A$3:$A$500,$C6,'DADOS BRUTOS'!AA$3:AA$500)))</f>
        <v/>
      </c>
      <c r="DB6" s="125">
        <f>IF(OR(DB$4="",$B6=""),0,SUMIF('DADOS BRUTOS'!$A$3:$A$500,$B6,'DADOS BRUTOS'!AB$3:AB$500)+IF($C6="",0,SUMIF('DADOS BRUTOS'!$A$3:$A$500,$C6,'DADOS BRUTOS'!AB$3:AB$500)))</f>
        <v/>
      </c>
      <c r="DC6" s="125">
        <f>IF(OR(DC$4="",$B6=""),0,SUMIF('DADOS BRUTOS'!$A$3:$A$500,$B6,'DADOS BRUTOS'!AC$3:AC$500)+IF($C6="",0,SUMIF('DADOS BRUTOS'!$A$3:$A$500,$C6,'DADOS BRUTOS'!AC$3:AC$500)))</f>
        <v/>
      </c>
      <c r="DD6" s="125">
        <f>IF(OR(DD$4="",$B6=""),0,SUMIF('DADOS BRUTOS'!$A$3:$A$500,$B6,'DADOS BRUTOS'!AD$3:AD$500)+IF($C6="",0,SUMIF('DADOS BRUTOS'!$A$3:$A$500,$C6,'DADOS BRUTOS'!AD$3:AD$500)))</f>
        <v/>
      </c>
      <c r="DE6" s="125">
        <f>IF(OR(DE$4="",$B6=""),0,SUMIF('DADOS BRUTOS'!$A$3:$A$500,$B6,'DADOS BRUTOS'!AE$3:AE$500)+IF($C6="",0,SUMIF('DADOS BRUTOS'!$A$3:$A$500,$C6,'DADOS BRUTOS'!AE$3:AE$500)))</f>
        <v/>
      </c>
      <c r="DF6" s="125">
        <f>IF(OR(DF$4="",$B6=""),0,SUMIF('DADOS BRUTOS'!$A$3:$A$500,$B6,'DADOS BRUTOS'!AF$3:AF$500)+IF($C6="",0,SUMIF('DADOS BRUTOS'!$A$3:$A$500,$C6,'DADOS BRUTOS'!AF$3:AF$500)))</f>
        <v/>
      </c>
      <c r="DG6" s="125">
        <f>IF(OR(DG$4="",$B6=""),0,SUMIF('DADOS BRUTOS'!$A$3:$A$500,$B6,'DADOS BRUTOS'!AG$3:AG$500)+IF($C6="",0,SUMIF('DADOS BRUTOS'!$A$3:$A$500,$C6,'DADOS BRUTOS'!AG$3:AG$500)))</f>
        <v/>
      </c>
      <c r="DH6" s="125">
        <f>IF(OR(DH$4="",$B6=""),0,SUMIF('DADOS BRUTOS'!$A$3:$A$500,$B6,'DADOS BRUTOS'!AH$3:AH$500)+IF($C6="",0,SUMIF('DADOS BRUTOS'!$A$3:$A$500,$C6,'DADOS BRUTOS'!AH$3:AH$500)))</f>
        <v/>
      </c>
      <c r="DI6" s="125">
        <f>IF(OR(DI$4="",$B6=""),0,SUMIF('DADOS BRUTOS'!$A$3:$A$500,$B6,'DADOS BRUTOS'!AI$3:AI$500)+IF($C6="",0,SUMIF('DADOS BRUTOS'!$A$3:$A$500,$C6,'DADOS BRUTOS'!AI$3:AI$500)))</f>
        <v/>
      </c>
      <c r="DJ6" s="125">
        <f>IF(OR(DJ$4="",$B6=""),0,SUMIF('DADOS BRUTOS'!$A$3:$A$500,$B6,'DADOS BRUTOS'!AJ$3:AJ$500)+IF($C6="",0,SUMIF('DADOS BRUTOS'!$A$3:$A$500,$C6,'DADOS BRUTOS'!AJ$3:AJ$500)))</f>
        <v/>
      </c>
      <c r="DK6" s="125">
        <f>IF(OR(DK$4="",$B6=""),0,SUMIF('DADOS BRUTOS'!$A$3:$A$500,$B6,'DADOS BRUTOS'!AK$3:AK$500)+IF($C6="",0,SUMIF('DADOS BRUTOS'!$A$3:$A$500,$C6,'DADOS BRUTOS'!AK$3:AK$500)))</f>
        <v/>
      </c>
      <c r="DL6" s="125">
        <f>IF(OR(DL$4="",$B6=""),0,SUMIF('DADOS BRUTOS'!$A$3:$A$500,$B6,'DADOS BRUTOS'!AL$3:AL$500)+IF($C6="",0,SUMIF('DADOS BRUTOS'!$A$3:$A$500,$C6,'DADOS BRUTOS'!AL$3:AL$500)))</f>
        <v/>
      </c>
      <c r="DM6" s="125">
        <f>IF(OR(DM$4="",$B6=""),0,SUMIF('DADOS BRUTOS'!$A$3:$A$500,$B6,'DADOS BRUTOS'!AM$3:AM$500)+IF($C6="",0,SUMIF('DADOS BRUTOS'!$A$3:$A$500,$C6,'DADOS BRUTOS'!AM$3:AM$500)))</f>
        <v/>
      </c>
      <c r="DN6" s="125">
        <f>IF(OR(DN$4="",$B6=""),0,SUMIF('DADOS BRUTOS'!$A$3:$A$500,$B6,'DADOS BRUTOS'!AN$3:AN$500)+IF($C6="",0,SUMIF('DADOS BRUTOS'!$A$3:$A$500,$C6,'DADOS BRUTOS'!AN$3:AN$500)))</f>
        <v/>
      </c>
      <c r="DO6" s="125">
        <f>IF(OR(DO$4="",$B6=""),0,SUMIF('DADOS BRUTOS'!$A$3:$A$500,$B6,'DADOS BRUTOS'!AO$3:AO$500)+IF($C6="",0,SUMIF('DADOS BRUTOS'!$A$3:$A$500,$C6,'DADOS BRUTOS'!AO$3:AO$500)))</f>
        <v/>
      </c>
      <c r="DP6" s="125">
        <f>IF(OR(DP$4="",$B6=""),0,SUMIF('DADOS BRUTOS'!$A$3:$A$500,$B6,'DADOS BRUTOS'!AP$3:AP$500)+IF($C6="",0,SUMIF('DADOS BRUTOS'!$A$3:$A$500,$C6,'DADOS BRUTOS'!AP$3:AP$500)))</f>
        <v/>
      </c>
      <c r="DQ6" s="125">
        <f>IF(OR(DQ$4="",$B6=""),0,SUMIF('DADOS BRUTOS'!$A$3:$A$500,$B6,'DADOS BRUTOS'!AQ$3:AQ$500)+IF($C6="",0,SUMIF('DADOS BRUTOS'!$A$3:$A$500,$C6,'DADOS BRUTOS'!AQ$3:AQ$500)))</f>
        <v/>
      </c>
      <c r="DR6" s="125">
        <f>IF(OR(DR$4="",$B6=""),0,SUMIF('DADOS BRUTOS'!$A$3:$A$500,$B6,'DADOS BRUTOS'!AR$3:AR$500)+IF($C6="",0,SUMIF('DADOS BRUTOS'!$A$3:$A$500,$C6,'DADOS BRUTOS'!AR$3:AR$500)))</f>
        <v/>
      </c>
      <c r="DS6" s="125">
        <f>IF(OR(DS$4="",$B6=""),0,SUMIF('DADOS BRUTOS'!$A$3:$A$500,$B6,'DADOS BRUTOS'!AS$3:AS$500)+IF($C6="",0,SUMIF('DADOS BRUTOS'!$A$3:$A$500,$C6,'DADOS BRUTOS'!AS$3:AS$500)))</f>
        <v/>
      </c>
      <c r="DT6" s="125">
        <f>IF(OR(DT$4="",$B6=""),0,SUMIF('DADOS BRUTOS'!$A$3:$A$500,$B6,'DADOS BRUTOS'!AT$3:AT$500)+IF($C6="",0,SUMIF('DADOS BRUTOS'!$A$3:$A$500,$C6,'DADOS BRUTOS'!AT$3:AT$500)))</f>
        <v/>
      </c>
      <c r="DU6" s="125">
        <f>IF(OR(DU$4="",$B6=""),0,SUMIF('DADOS BRUTOS'!$A$3:$A$500,$B6,'DADOS BRUTOS'!AU$3:AU$500)+IF($C6="",0,SUMIF('DADOS BRUTOS'!$A$3:$A$500,$C6,'DADOS BRUTOS'!AU$3:AU$500)))</f>
        <v/>
      </c>
      <c r="DV6" s="125">
        <f>IF(OR(DV$4="",$B6=""),0,SUMIF('DADOS BRUTOS'!$A$3:$A$500,$B6,'DADOS BRUTOS'!AV$3:AV$500)+IF($C6="",0,SUMIF('DADOS BRUTOS'!$A$3:$A$500,$C6,'DADOS BRUTOS'!AV$3:AV$500)))</f>
        <v/>
      </c>
      <c r="DW6" s="125">
        <f>IF(OR(DW$4="",$B6=""),0,SUMIF('DADOS BRUTOS'!$A$3:$A$500,$B6,'DADOS BRUTOS'!AW$3:AW$500)+IF($C6="",0,SUMIF('DADOS BRUTOS'!$A$3:$A$500,$C6,'DADOS BRUTOS'!AW$3:AW$500)))</f>
        <v/>
      </c>
      <c r="DX6" s="125">
        <f>IF(OR(DX$4="",$B6=""),0,SUMIF('DADOS BRUTOS'!$A$3:$A$500,$B6,'DADOS BRUTOS'!AX$3:AX$500)+IF($C6="",0,SUMIF('DADOS BRUTOS'!$A$3:$A$500,$C6,'DADOS BRUTOS'!AX$3:AX$500)))</f>
        <v/>
      </c>
      <c r="DY6" s="125">
        <f>IF(OR(DY$4="",$B6=""),0,SUMIF('DADOS BRUTOS'!$A$3:$A$500,$B6,'DADOS BRUTOS'!AY$3:AY$500)+IF($C6="",0,SUMIF('DADOS BRUTOS'!$A$3:$A$500,$C6,'DADOS BRUTOS'!AY$3:AY$500)))</f>
        <v/>
      </c>
      <c r="DZ6" s="125">
        <f>IF(OR(DZ$4="",$B6=""),0,SUMIF('DADOS BRUTOS'!$A$3:$A$500,$B6,'DADOS BRUTOS'!AZ$3:AZ$500)+IF($C6="",0,SUMIF('DADOS BRUTOS'!$A$3:$A$500,$C6,'DADOS BRUTOS'!AZ$3:AZ$500)))</f>
        <v/>
      </c>
      <c r="EA6" s="125">
        <f>IF(OR(EA$4="",$B6=""),0,SUMIF('DADOS BRUTOS'!$A$3:$A$500,$B6,'DADOS BRUTOS'!BA$3:BA$500)+IF($C6="",0,SUMIF('DADOS BRUTOS'!$A$3:$A$500,$C6,'DADOS BRUTOS'!BA$3:BA$500)))</f>
        <v/>
      </c>
      <c r="EB6" s="125">
        <f>IF(OR(EB$4="",$B6=""),0,SUMIF('DADOS BRUTOS'!$A$3:$A$500,$B6,'DADOS BRUTOS'!BB$3:BB$500)+IF($C6="",0,SUMIF('DADOS BRUTOS'!$A$3:$A$500,$C6,'DADOS BRUTOS'!BB$3:BB$500)))</f>
        <v/>
      </c>
      <c r="EC6" s="125">
        <f>IF(OR(EC$4="",$B6=""),0,SUMIF('DADOS BRUTOS'!$A$3:$A$500,$B6,'DADOS BRUTOS'!BC$3:BC$500)+IF($C6="",0,SUMIF('DADOS BRUTOS'!$A$3:$A$500,$C6,'DADOS BRUTOS'!BC$3:BC$500)))</f>
        <v/>
      </c>
      <c r="ED6" s="125">
        <f>IF(OR(ED$4="",$B6=""),0,SUMIF('DADOS BRUTOS'!$A$3:$A$500,$B6,'DADOS BRUTOS'!BD$3:BD$500)+IF($C6="",0,SUMIF('DADOS BRUTOS'!$A$3:$A$500,$C6,'DADOS BRUTOS'!BD$3:BD$500)))</f>
        <v/>
      </c>
      <c r="EE6" s="125">
        <f>IF(OR(EE$4="",$B6=""),0,SUMIF('DADOS BRUTOS'!$A$3:$A$500,$B6,'DADOS BRUTOS'!BE$3:BE$500)+IF($C6="",0,SUMIF('DADOS BRUTOS'!$A$3:$A$500,$C6,'DADOS BRUTOS'!BE$3:BE$500)))</f>
        <v/>
      </c>
      <c r="EF6" s="125">
        <f>IF(OR(EF$4="",$B6=""),0,SUMIF('DADOS BRUTOS'!$A$3:$A$500,$B6,'DADOS BRUTOS'!BF$3:BF$500)+IF($C6="",0,SUMIF('DADOS BRUTOS'!$A$3:$A$500,$C6,'DADOS BRUTOS'!BF$3:BF$500)))</f>
        <v/>
      </c>
      <c r="EG6" s="125">
        <f>IF(OR(EG$4="",$B6=""),0,SUMIF('DADOS BRUTOS'!$A$3:$A$500,$B6,'DADOS BRUTOS'!BG$3:BG$500)+IF($C6="",0,SUMIF('DADOS BRUTOS'!$A$3:$A$500,$C6,'DADOS BRUTOS'!BG$3:BG$500)))</f>
        <v/>
      </c>
      <c r="EH6" s="125">
        <f>IF(OR(EH$4="",$B6=""),0,SUMIF('DADOS BRUTOS'!$A$3:$A$500,$B6,'DADOS BRUTOS'!BH$3:BH$500)+IF($C6="",0,SUMIF('DADOS BRUTOS'!$A$3:$A$500,$C6,'DADOS BRUTOS'!BH$3:BH$500)))</f>
        <v/>
      </c>
      <c r="EI6" s="125">
        <f>IF(OR(EI$4="",$B6=""),0,SUMIF('DADOS BRUTOS'!$A$3:$A$500,$B6,'DADOS BRUTOS'!BI$3:BI$500)+IF($C6="",0,SUMIF('DADOS BRUTOS'!$A$3:$A$500,$C6,'DADOS BRUTOS'!BI$3:BI$500)))</f>
        <v/>
      </c>
      <c r="EJ6" s="125">
        <f>IF(OR(EJ$4="",$B6=""),0,SUMIF('DADOS BRUTOS'!$A$3:$A$500,$B6,'DADOS BRUTOS'!BJ$3:BJ$500)+IF($C6="",0,SUMIF('DADOS BRUTOS'!$A$3:$A$500,$C6,'DADOS BRUTOS'!BJ$3:BJ$500)))</f>
        <v/>
      </c>
      <c r="EK6" s="125">
        <f>IF(OR(EK$4="",$B6=""),0,SUMIF('DADOS BRUTOS'!$A$3:$A$500,$B6,'DADOS BRUTOS'!BK$3:BK$500)+IF($C6="",0,SUMIF('DADOS BRUTOS'!$A$3:$A$500,$C6,'DADOS BRUTOS'!BK$3:BK$500)))</f>
        <v/>
      </c>
      <c r="EL6" s="125">
        <f>IF(OR(EL$4="",$B6=""),0,SUMIF('DADOS BRUTOS'!$A$3:$A$500,$B6,'DADOS BRUTOS'!BL$3:BL$500)+IF($C6="",0,SUMIF('DADOS BRUTOS'!$A$3:$A$500,$C6,'DADOS BRUTOS'!BL$3:BL$500)))</f>
        <v/>
      </c>
      <c r="EM6" s="125">
        <f>IF(OR(EM$4="",$B6=""),0,SUMIF('DADOS BRUTOS'!$A$3:$A$500,$B6,'DADOS BRUTOS'!BM$3:BM$500)+IF($C6="",0,SUMIF('DADOS BRUTOS'!$A$3:$A$500,$C6,'DADOS BRUTOS'!BM$3:BM$500)))</f>
        <v/>
      </c>
      <c r="EN6" s="125">
        <f>IF(OR(EN$4="",$B6=""),0,SUMIF('DADOS BRUTOS'!$A$3:$A$500,$B6,'DADOS BRUTOS'!BN$3:BN$500)+IF($C6="",0,SUMIF('DADOS BRUTOS'!$A$3:$A$500,$C6,'DADOS BRUTOS'!BN$3:BN$500)))</f>
        <v/>
      </c>
      <c r="EO6" s="125">
        <f>IF(OR(EO$4="",$B6=""),0,SUMIF('DADOS BRUTOS'!$A$3:$A$500,$B6,'DADOS BRUTOS'!BO$3:BO$500)+IF($C6="",0,SUMIF('DADOS BRUTOS'!$A$3:$A$500,$C6,'DADOS BRUTOS'!BO$3:BO$500)))</f>
        <v/>
      </c>
      <c r="EP6" s="125">
        <f>IF(OR(EP$4="",$B6=""),0,SUMIF('DADOS BRUTOS'!$A$3:$A$500,$B6,'DADOS BRUTOS'!BP$3:BP$500)+IF($C6="",0,SUMIF('DADOS BRUTOS'!$A$3:$A$500,$C6,'DADOS BRUTOS'!BP$3:BP$500)))</f>
        <v/>
      </c>
      <c r="EQ6" s="125">
        <f>IF(OR(EQ$4="",$B6=""),0,SUMIF('DADOS BRUTOS'!$A$3:$A$500,$B6,'DADOS BRUTOS'!BQ$3:BQ$500)+IF($C6="",0,SUMIF('DADOS BRUTOS'!$A$3:$A$500,$C6,'DADOS BRUTOS'!BQ$3:BQ$500)))</f>
        <v/>
      </c>
      <c r="ER6" s="125">
        <f>IF(OR(ER$4="",$B6=""),0,SUMIF('DADOS BRUTOS'!$A$3:$A$500,$B6,'DADOS BRUTOS'!BR$3:BR$500)+IF($C6="",0,SUMIF('DADOS BRUTOS'!$A$3:$A$500,$C6,'DADOS BRUTOS'!BR$3:BR$500)))</f>
        <v/>
      </c>
      <c r="ES6" s="125">
        <f>IF(OR(ES$4="",$B6=""),0,SUMIF('DADOS BRUTOS'!$A$3:$A$500,$B6,'DADOS BRUTOS'!BS$3:BS$500)+IF($C6="",0,SUMIF('DADOS BRUTOS'!$A$3:$A$500,$C6,'DADOS BRUTOS'!BS$3:BS$500)))</f>
        <v/>
      </c>
      <c r="ET6" s="125">
        <f>IF(OR(ET$4="",$B6=""),0,SUMIF('DADOS BRUTOS'!$A$3:$A$500,$B6,'DADOS BRUTOS'!BT$3:BT$500)+IF($C6="",0,SUMIF('DADOS BRUTOS'!$A$3:$A$500,$C6,'DADOS BRUTOS'!BT$3:BT$500)))</f>
        <v/>
      </c>
      <c r="EU6" s="125">
        <f>IF(OR(EU$4="",$B6=""),0,SUMIF('DADOS BRUTOS'!$A$3:$A$500,$B6,'DADOS BRUTOS'!BU$3:BU$500)+IF($C6="",0,SUMIF('DADOS BRUTOS'!$A$3:$A$500,$C6,'DADOS BRUTOS'!BU$3:BU$500)))</f>
        <v/>
      </c>
      <c r="EV6" s="125">
        <f>IF(OR(EV$4="",$B6=""),0,SUMIF('DADOS BRUTOS'!$A$3:$A$500,$B6,'DADOS BRUTOS'!BV$3:BV$500)+IF($C6="",0,SUMIF('DADOS BRUTOS'!$A$3:$A$500,$C6,'DADOS BRUTOS'!BV$3:BV$500)))</f>
        <v/>
      </c>
      <c r="EW6" s="125">
        <f>IF(OR(EW$4="",$B6=""),0,SUMIF('DADOS BRUTOS'!$A$3:$A$500,$B6,'DADOS BRUTOS'!BW$3:BW$500)+IF($C6="",0,SUMIF('DADOS BRUTOS'!$A$3:$A$500,$C6,'DADOS BRUTOS'!BW$3:BW$500)))</f>
        <v/>
      </c>
      <c r="EX6" s="125">
        <f>IF(OR(EX$4="",$B6=""),0,SUMIF('DADOS BRUTOS'!$A$3:$A$500,$B6,'DADOS BRUTOS'!BX$3:BX$500)+IF($C6="",0,SUMIF('DADOS BRUTOS'!$A$3:$A$500,$C6,'DADOS BRUTOS'!BX$3:BX$500)))</f>
        <v/>
      </c>
      <c r="EY6" s="125">
        <f>IF(OR(EY$4="",$B6=""),0,SUMIF('DADOS BRUTOS'!$A$3:$A$500,$B6,'DADOS BRUTOS'!BY$3:BY$500)+IF($C6="",0,SUMIF('DADOS BRUTOS'!$A$3:$A$500,$C6,'DADOS BRUTOS'!BY$3:BY$500)))</f>
        <v/>
      </c>
      <c r="EZ6" s="125">
        <f>IF(OR(EZ$4="",$B6=""),0,SUMIF('DADOS BRUTOS'!$A$3:$A$500,$B6,'DADOS BRUTOS'!BZ$3:BZ$500)+IF($C6="",0,SUMIF('DADOS BRUTOS'!$A$3:$A$500,$C6,'DADOS BRUTOS'!BZ$3:BZ$500)))</f>
        <v/>
      </c>
      <c r="FA6" s="125">
        <f>IF(OR(FA$4="",$B6=""),0,SUMIF('DADOS BRUTOS'!$A$3:$A$500,$B6,'DADOS BRUTOS'!CA$3:CA$500)+IF($C6="",0,SUMIF('DADOS BRUTOS'!$A$3:$A$500,$C6,'DADOS BRUTOS'!CA$3:CA$500)))</f>
        <v/>
      </c>
      <c r="FB6" s="125">
        <f>IF(OR(FB$4="",$B6=""),0,SUMIF('DADOS BRUTOS'!$A$3:$A$500,$B6,'DADOS BRUTOS'!CB$3:CB$500)+IF($C6="",0,SUMIF('DADOS BRUTOS'!$A$3:$A$500,$C6,'DADOS BRUTOS'!CB$3:CB$500)))</f>
        <v/>
      </c>
      <c r="FC6" s="125">
        <f>IF(OR(FC$4="",$B6=""),0,SUMIF('DADOS BRUTOS'!$A$3:$A$500,$B6,'DADOS BRUTOS'!CC$3:CC$500)+IF($C6="",0,SUMIF('DADOS BRUTOS'!$A$3:$A$500,$C6,'DADOS BRUTOS'!CC$3:CC$500)))</f>
        <v/>
      </c>
      <c r="FD6" s="125">
        <f>IF(OR(FD$4="",$B6=""),0,SUMIF('DADOS BRUTOS'!$A$3:$A$500,$B6,'DADOS BRUTOS'!CD$3:CD$500)+IF($C6="",0,SUMIF('DADOS BRUTOS'!$A$3:$A$500,$C6,'DADOS BRUTOS'!CD$3:CD$500)))</f>
        <v/>
      </c>
      <c r="FE6" s="125">
        <f>IF(OR(FE$4="",$B6=""),0,SUMIF('DADOS BRUTOS'!$A$3:$A$500,$B6,'DADOS BRUTOS'!CE$3:CE$500)+IF($C6="",0,SUMIF('DADOS BRUTOS'!$A$3:$A$500,$C6,'DADOS BRUTOS'!CE$3:CE$500)))</f>
        <v/>
      </c>
      <c r="FF6" s="125">
        <f>IF(OR(FF$4="",$B6=""),0,SUMIF('DADOS BRUTOS'!$A$3:$A$500,$B6,'DADOS BRUTOS'!CF$3:CF$500)+IF($C6="",0,SUMIF('DADOS BRUTOS'!$A$3:$A$500,$C6,'DADOS BRUTOS'!CF$3:CF$500)))</f>
        <v/>
      </c>
      <c r="FG6" s="125">
        <f>IF(OR(FG$4="",$B6=""),0,SUMIF('DADOS BRUTOS'!$A$3:$A$500,$B6,'DADOS BRUTOS'!CG$3:CG$500)+IF($C6="",0,SUMIF('DADOS BRUTOS'!$A$3:$A$500,$C6,'DADOS BRUTOS'!CG$3:CG$500)))</f>
        <v/>
      </c>
      <c r="FH6" s="125">
        <f>IF(OR(FH$4="",$B6=""),0,SUMIF('DADOS BRUTOS'!$A$3:$A$500,$B6,'DADOS BRUTOS'!CH$3:CH$500)+IF($C6="",0,SUMIF('DADOS BRUTOS'!$A$3:$A$500,$C6,'DADOS BRUTOS'!CH$3:CH$500)))</f>
        <v/>
      </c>
      <c r="FI6" s="125">
        <f>IF(OR(FI$4="",$B6=""),0,SUMIF('DADOS BRUTOS'!$A$3:$A$500,$B6,'DADOS BRUTOS'!CI$3:CI$500)+IF($C6="",0,SUMIF('DADOS BRUTOS'!$A$3:$A$500,$C6,'DADOS BRUTOS'!CI$3:CI$500)))</f>
        <v/>
      </c>
      <c r="FJ6" s="125">
        <f>IF(OR(FJ$4="",$B6=""),0,SUMIF('DADOS BRUTOS'!$A$3:$A$500,$B6,'DADOS BRUTOS'!CJ$3:CJ$500)+IF($C6="",0,SUMIF('DADOS BRUTOS'!$A$3:$A$500,$C6,'DADOS BRUTOS'!CJ$3:CJ$500)))</f>
        <v/>
      </c>
      <c r="FK6" s="125">
        <f>IF(OR(FK$4="",$B6=""),0,SUMIF('DADOS BRUTOS'!$A$3:$A$500,$B6,'DADOS BRUTOS'!CK$3:CK$500)+IF($C6="",0,SUMIF('DADOS BRUTOS'!$A$3:$A$500,$C6,'DADOS BRUTOS'!CK$3:CK$500)))</f>
        <v/>
      </c>
      <c r="FL6" s="125">
        <f>IF(OR(FL$4="",$B6=""),0,SUMIF('DADOS BRUTOS'!$A$3:$A$500,$B6,'DADOS BRUTOS'!CL$3:CL$500)+IF($C6="",0,SUMIF('DADOS BRUTOS'!$A$3:$A$500,$C6,'DADOS BRUTOS'!CL$3:CL$500)))</f>
        <v/>
      </c>
      <c r="FM6" s="125">
        <f>IF(OR(FM$4="",$B6=""),0,SUMIF('DADOS BRUTOS'!$A$3:$A$500,$B6,'DADOS BRUTOS'!CM$3:CM$500)+IF($C6="",0,SUMIF('DADOS BRUTOS'!$A$3:$A$500,$C6,'DADOS BRUTOS'!CM$3:CM$500)))</f>
        <v/>
      </c>
      <c r="FN6" s="125">
        <f>IF(OR(FN$4="",$B6=""),0,SUMIF('DADOS BRUTOS'!$A$3:$A$500,$B6,'DADOS BRUTOS'!CN$3:CN$500)+IF($C6="",0,SUMIF('DADOS BRUTOS'!$A$3:$A$500,$C6,'DADOS BRUTOS'!CN$3:CN$500)))</f>
        <v/>
      </c>
      <c r="FO6" s="125">
        <f>IF(OR(FO$4="",$B6=""),0,SUMIF('DADOS BRUTOS'!$A$3:$A$500,$B6,'DADOS BRUTOS'!CO$3:CO$500)+IF($C6="",0,SUMIF('DADOS BRUTOS'!$A$3:$A$500,$C6,'DADOS BRUTOS'!CO$3:CO$500)))</f>
        <v/>
      </c>
      <c r="FP6" s="125">
        <f>IF(OR(FP$4="",$B6=""),0,SUMIF('DADOS BRUTOS'!$A$3:$A$500,$B6,'DADOS BRUTOS'!CP$3:CP$500)+IF($C6="",0,SUMIF('DADOS BRUTOS'!$A$3:$A$500,$C6,'DADOS BRUTOS'!CP$3:CP$500)))</f>
        <v/>
      </c>
      <c r="FQ6" s="125">
        <f>IF(OR(FQ$4="",$B6=""),0,SUMIF('DADOS BRUTOS'!$A$3:$A$500,$B6,'DADOS BRUTOS'!CQ$3:CQ$500)+IF($C6="",0,SUMIF('DADOS BRUTOS'!$A$3:$A$500,$C6,'DADOS BRUTOS'!CQ$3:CQ$500)))</f>
        <v/>
      </c>
      <c r="FR6" s="125">
        <f>IF(OR(FR$4="",$B6=""),0,SUMIF('DADOS BRUTOS'!$A$3:$A$500,$B6,'DADOS BRUTOS'!CR$3:CR$500)+IF($C6="",0,SUMIF('DADOS BRUTOS'!$A$3:$A$500,$C6,'DADOS BRUTOS'!CR$3:CR$500)))</f>
        <v/>
      </c>
      <c r="FS6" s="125">
        <f>IF(OR(FS$4="",$B6=""),0,SUMIF('DADOS BRUTOS'!$A$3:$A$500,$B6,'DADOS BRUTOS'!CS$3:CS$500)+IF($C6="",0,SUMIF('DADOS BRUTOS'!$A$3:$A$500,$C6,'DADOS BRUTOS'!CS$3:CS$500)))</f>
        <v/>
      </c>
      <c r="FT6" s="125">
        <f>IF(OR(FT$4="",$B6=""),0,SUMIF('DADOS BRUTOS'!$A$3:$A$500,$B6,'DADOS BRUTOS'!CT$3:CT$500)+IF($C6="",0,SUMIF('DADOS BRUTOS'!$A$3:$A$500,$C6,'DADOS BRUTOS'!CT$3:CT$500)))</f>
        <v/>
      </c>
      <c r="FU6" s="125">
        <f>IF(OR(FU$4="",$B6=""),0,SUMIF('DADOS BRUTOS'!$A$3:$A$500,$B6,'DADOS BRUTOS'!CU$3:CU$500)+IF($C6="",0,SUMIF('DADOS BRUTOS'!$A$3:$A$500,$C6,'DADOS BRUTOS'!CU$3:CU$500)))</f>
        <v/>
      </c>
      <c r="FV6" s="125">
        <f>IF(OR(FV$4="",$B6=""),0,SUMIF('DADOS BRUTOS'!$A$3:$A$500,$B6,'DADOS BRUTOS'!CV$3:CV$500)+IF($C6="",0,SUMIF('DADOS BRUTOS'!$A$3:$A$500,$C6,'DADOS BRUTOS'!CV$3:CV$500)))</f>
        <v/>
      </c>
      <c r="FW6" s="125">
        <f>IF(OR(FW$4="",$B6=""),0,SUMIF('DADOS BRUTOS'!$A$3:$A$500,$B6,'DADOS BRUTOS'!CW$3:CW$500)+IF($C6="",0,SUMIF('DADOS BRUTOS'!$A$3:$A$500,$C6,'DADOS BRUTOS'!CW$3:CW$500)))</f>
        <v/>
      </c>
      <c r="FX6" s="125">
        <f>IF(OR(FX$4="",$B6=""),0,SUMIF('DADOS BRUTOS'!$A$3:$A$500,$B6,'DADOS BRUTOS'!CX$3:CX$500)+IF($C6="",0,SUMIF('DADOS BRUTOS'!$A$3:$A$500,$C6,'DADOS BRUTOS'!CX$3:CX$500)))</f>
        <v/>
      </c>
      <c r="FY6" s="125">
        <f>IF(OR(FY$4="",$B6=""),0,SUMIF('DADOS BRUTOS'!$A$3:$A$500,$B6,'DADOS BRUTOS'!CY$3:CY$500)+IF($C6="",0,SUMIF('DADOS BRUTOS'!$A$3:$A$500,$C6,'DADOS BRUTOS'!CY$3:CY$500)))</f>
        <v/>
      </c>
      <c r="FZ6" s="125">
        <f>IF(OR(FZ$4="",$B6=""),0,SUMIF('DADOS BRUTOS'!$A$3:$A$500,$B6,'DADOS BRUTOS'!CZ$3:CZ$500)+IF($C6="",0,SUMIF('DADOS BRUTOS'!$A$3:$A$500,$C6,'DADOS BRUTOS'!CZ$3:CZ$500)))</f>
        <v/>
      </c>
      <c r="GA6" s="125">
        <f>IF(OR(GA$4="",$B6=""),0,SUMIF('DADOS BRUTOS'!$A$3:$A$500,$B6,'DADOS BRUTOS'!DA$3:DA$500)+IF($C6="",0,SUMIF('DADOS BRUTOS'!$A$3:$A$500,$C6,'DADOS BRUTOS'!DA$3:DA$500)))</f>
        <v/>
      </c>
      <c r="GB6" s="125">
        <f>IF(OR(GB$4="",$B6=""),0,SUMIF('DADOS BRUTOS'!$A$3:$A$500,$B6,'DADOS BRUTOS'!DB$3:DB$500)+IF($C6="",0,SUMIF('DADOS BRUTOS'!$A$3:$A$500,$C6,'DADOS BRUTOS'!DB$3:DB$500)))</f>
        <v/>
      </c>
      <c r="GC6" s="125">
        <f>IF(OR(GC$4="",$B6=""),0,SUMIF('DADOS BRUTOS'!$A$3:$A$500,$B6,'DADOS BRUTOS'!DC$3:DC$500)+IF($C6="",0,SUMIF('DADOS BRUTOS'!$A$3:$A$500,$C6,'DADOS BRUTOS'!DC$3:DC$500)))</f>
        <v/>
      </c>
      <c r="GD6" s="125">
        <f>IF(OR(GD$4="",$B6=""),0,SUMIF('DADOS BRUTOS'!$A$3:$A$500,$B6,'DADOS BRUTOS'!DD$3:DD$500)+IF($C6="",0,SUMIF('DADOS BRUTOS'!$A$3:$A$500,$C6,'DADOS BRUTOS'!DD$3:DD$500)))</f>
        <v/>
      </c>
      <c r="GE6" s="125">
        <f>IF(OR(GE$4="",$B6=""),0,SUMIF('DADOS BRUTOS'!$A$3:$A$500,$B6,'DADOS BRUTOS'!DE$3:DE$500)+IF($C6="",0,SUMIF('DADOS BRUTOS'!$A$3:$A$500,$C6,'DADOS BRUTOS'!DE$3:DE$500)))</f>
        <v/>
      </c>
      <c r="GF6" s="125">
        <f>IF(OR(GF$4="",$B6=""),0,SUMIF('DADOS BRUTOS'!$A$3:$A$500,$B6,'DADOS BRUTOS'!DF$3:DF$500)+IF($C6="",0,SUMIF('DADOS BRUTOS'!$A$3:$A$500,$C6,'DADOS BRUTOS'!DF$3:DF$500)))</f>
        <v/>
      </c>
      <c r="GG6" s="125">
        <f>IF(OR(GG$4="",$B6=""),0,SUMIF('DADOS BRUTOS'!$A$3:$A$500,$B6,'DADOS BRUTOS'!DG$3:DG$500)+IF($C6="",0,SUMIF('DADOS BRUTOS'!$A$3:$A$500,$C6,'DADOS BRUTOS'!DG$3:DG$500)))</f>
        <v/>
      </c>
      <c r="GH6" s="125">
        <f>IF(OR(GH$4="",$B6=""),0,SUMIF('DADOS BRUTOS'!$A$3:$A$500,$B6,'DADOS BRUTOS'!DH$3:DH$500)+IF($C6="",0,SUMIF('DADOS BRUTOS'!$A$3:$A$500,$C6,'DADOS BRUTOS'!DH$3:DH$500)))</f>
        <v/>
      </c>
      <c r="GI6" s="125">
        <f>IF(OR(GI$4="",$B6=""),0,SUMIF('DADOS BRUTOS'!$A$3:$A$500,$B6,'DADOS BRUTOS'!DI$3:DI$500)+IF($C6="",0,SUMIF('DADOS BRUTOS'!$A$3:$A$500,$C6,'DADOS BRUTOS'!DI$3:DI$500)))</f>
        <v/>
      </c>
      <c r="GJ6" s="125">
        <f>IF(OR(GJ$4="",$B6=""),0,SUMIF('DADOS BRUTOS'!$A$3:$A$500,$B6,'DADOS BRUTOS'!DJ$3:DJ$500)+IF($C6="",0,SUMIF('DADOS BRUTOS'!$A$3:$A$500,$C6,'DADOS BRUTOS'!DJ$3:DJ$500)))</f>
        <v/>
      </c>
      <c r="GK6" s="125">
        <f>IF(OR(GK$4="",$B6=""),0,SUMIF('DADOS BRUTOS'!$A$3:$A$500,$B6,'DADOS BRUTOS'!DK$3:DK$500)+IF($C6="",0,SUMIF('DADOS BRUTOS'!$A$3:$A$500,$C6,'DADOS BRUTOS'!DK$3:DK$500)))</f>
        <v/>
      </c>
      <c r="GL6" s="125">
        <f>IF(OR(GL$4="",$B6=""),0,SUMIF('DADOS BRUTOS'!$A$3:$A$500,$B6,'DADOS BRUTOS'!DL$3:DL$500)+IF($C6="",0,SUMIF('DADOS BRUTOS'!$A$3:$A$500,$C6,'DADOS BRUTOS'!DL$3:DL$500)))</f>
        <v/>
      </c>
      <c r="GM6" s="125">
        <f>IF(OR(GM$4="",$B6=""),0,SUMIF('DADOS BRUTOS'!$A$3:$A$500,$B6,'DADOS BRUTOS'!DM$3:DM$500)+IF($C6="",0,SUMIF('DADOS BRUTOS'!$A$3:$A$500,$C6,'DADOS BRUTOS'!DM$3:DM$500)))</f>
        <v/>
      </c>
      <c r="GN6" s="125">
        <f>IF(OR(GN$4="",$B6=""),0,SUMIF('DADOS BRUTOS'!$A$3:$A$500,$B6,'DADOS BRUTOS'!DN$3:DN$500)+IF($C6="",0,SUMIF('DADOS BRUTOS'!$A$3:$A$500,$C6,'DADOS BRUTOS'!DN$3:DN$500)))</f>
        <v/>
      </c>
      <c r="GO6" s="125">
        <f>IF(OR(GO$4="",$B6=""),0,SUMIF('DADOS BRUTOS'!$A$3:$A$500,$B6,'DADOS BRUTOS'!DO$3:DO$500)+IF($C6="",0,SUMIF('DADOS BRUTOS'!$A$3:$A$500,$C6,'DADOS BRUTOS'!DO$3:DO$500)))</f>
        <v/>
      </c>
      <c r="GP6" s="125">
        <f>IF(OR(GP$4="",$B6=""),0,SUMIF('DADOS BRUTOS'!$A$3:$A$500,$B6,'DADOS BRUTOS'!DP$3:DP$500)+IF($C6="",0,SUMIF('DADOS BRUTOS'!$A$3:$A$500,$C6,'DADOS BRUTOS'!DP$3:DP$500)))</f>
        <v/>
      </c>
      <c r="GQ6" s="125">
        <f>IF(OR(GQ$4="",$B6=""),0,SUMIF('DADOS BRUTOS'!$A$3:$A$500,$B6,'DADOS BRUTOS'!DQ$3:DQ$500)+IF($C6="",0,SUMIF('DADOS BRUTOS'!$A$3:$A$500,$C6,'DADOS BRUTOS'!DQ$3:DQ$500)))</f>
        <v/>
      </c>
      <c r="GR6" s="125">
        <f>IF(OR(GR$4="",$B6=""),0,SUMIF('DADOS BRUTOS'!$A$3:$A$500,$B6,'DADOS BRUTOS'!DR$3:DR$500)+IF($C6="",0,SUMIF('DADOS BRUTOS'!$A$3:$A$500,$C6,'DADOS BRUTOS'!DR$3:DR$500)))</f>
        <v/>
      </c>
      <c r="GS6" s="125">
        <f>IF(OR(GS$4="",$B6=""),0,SUMIF('DADOS BRUTOS'!$A$3:$A$500,$B6,'DADOS BRUTOS'!DS$3:DS$500)+IF($C6="",0,SUMIF('DADOS BRUTOS'!$A$3:$A$500,$C6,'DADOS BRUTOS'!DS$3:DS$500)))</f>
        <v/>
      </c>
      <c r="GT6" s="125">
        <f>IF(OR(GT$4="",$B6=""),0,SUMIF('DADOS BRUTOS'!$A$3:$A$500,$B6,'DADOS BRUTOS'!DT$3:DT$500)+IF($C6="",0,SUMIF('DADOS BRUTOS'!$A$3:$A$500,$C6,'DADOS BRUTOS'!DT$3:DT$500)))</f>
        <v/>
      </c>
      <c r="GU6" s="125">
        <f>IF(OR(GU$4="",$B6=""),0,SUMIF('DADOS BRUTOS'!$A$3:$A$500,$B6,'DADOS BRUTOS'!DU$3:DU$500)+IF($C6="",0,SUMIF('DADOS BRUTOS'!$A$3:$A$500,$C6,'DADOS BRUTOS'!DU$3:DU$500)))</f>
        <v/>
      </c>
      <c r="GV6" s="125">
        <f>IF(OR(GV$4="",$B6=""),0,SUMIF('DADOS BRUTOS'!$A$3:$A$500,$B6,'DADOS BRUTOS'!DV$3:DV$500)+IF($C6="",0,SUMIF('DADOS BRUTOS'!$A$3:$A$500,$C6,'DADOS BRUTOS'!DV$3:DV$500)))</f>
        <v/>
      </c>
      <c r="GW6" s="125">
        <f>IF(OR(GW$4="",$B6=""),0,SUMIF('DADOS BRUTOS'!$A$3:$A$500,$B6,'DADOS BRUTOS'!DW$3:DW$500)+IF($C6="",0,SUMIF('DADOS BRUTOS'!$A$3:$A$500,$C6,'DADOS BRUTOS'!DW$3:DW$500)))</f>
        <v/>
      </c>
      <c r="GX6" s="125">
        <f>IF(OR(GX$4="",$B6=""),0,SUMIF('DADOS BRUTOS'!$A$3:$A$500,$B6,'DADOS BRUTOS'!DX$3:DX$500)+IF($C6="",0,SUMIF('DADOS BRUTOS'!$A$3:$A$500,$C6,'DADOS BRUTOS'!DX$3:DX$500)))</f>
        <v/>
      </c>
      <c r="GY6" s="125">
        <f>IF(OR(GY$4="",$B6=""),0,SUMIF('DADOS BRUTOS'!$A$3:$A$500,$B6,'DADOS BRUTOS'!DY$3:DY$500)+IF($C6="",0,SUMIF('DADOS BRUTOS'!$A$3:$A$500,$C6,'DADOS BRUTOS'!DY$3:DY$500)))</f>
        <v/>
      </c>
      <c r="GZ6" s="125">
        <f>IF(OR(GZ$4="",$B6=""),0,SUMIF('DADOS BRUTOS'!$A$3:$A$500,$B6,'DADOS BRUTOS'!DZ$3:DZ$500)+IF($C6="",0,SUMIF('DADOS BRUTOS'!$A$3:$A$500,$C6,'DADOS BRUTOS'!DZ$3:DZ$500)))</f>
        <v/>
      </c>
      <c r="HA6" s="125">
        <f>IF(OR(HA$4="",$B6=""),0,SUMIF('DADOS BRUTOS'!$A$3:$A$500,$B6,'DADOS BRUTOS'!EA$3:EA$500)+IF($C6="",0,SUMIF('DADOS BRUTOS'!$A$3:$A$500,$C6,'DADOS BRUTOS'!EA$3:EA$500)))</f>
        <v/>
      </c>
      <c r="HB6" s="125">
        <f>IF(OR(HB$4="",$B6=""),0,SUMIF('DADOS BRUTOS'!$A$3:$A$500,$B6,'DADOS BRUTOS'!EB$3:EB$500)+IF($C6="",0,SUMIF('DADOS BRUTOS'!$A$3:$A$500,$C6,'DADOS BRUTOS'!EB$3:EB$500)))</f>
        <v/>
      </c>
      <c r="HC6" s="125">
        <f>IF(OR(HC$4="",$B6=""),0,SUMIF('DADOS BRUTOS'!$A$3:$A$500,$B6,'DADOS BRUTOS'!EC$3:EC$500)+IF($C6="",0,SUMIF('DADOS BRUTOS'!$A$3:$A$500,$C6,'DADOS BRUTOS'!EC$3:EC$500)))</f>
        <v/>
      </c>
      <c r="HD6" s="125">
        <f>IF(OR(HD$4="",$B6=""),0,SUMIF('DADOS BRUTOS'!$A$3:$A$500,$B6,'DADOS BRUTOS'!ED$3:ED$500)+IF($C6="",0,SUMIF('DADOS BRUTOS'!$A$3:$A$500,$C6,'DADOS BRUTOS'!ED$3:ED$500)))</f>
        <v/>
      </c>
      <c r="HE6" s="125">
        <f>IF(OR(HE$4="",$B6=""),0,SUMIF('DADOS BRUTOS'!$A$3:$A$500,$B6,'DADOS BRUTOS'!EE$3:EE$500)+IF($C6="",0,SUMIF('DADOS BRUTOS'!$A$3:$A$500,$C6,'DADOS BRUTOS'!EE$3:EE$500)))</f>
        <v/>
      </c>
      <c r="HF6" s="125">
        <f>IF(OR(HF$4="",$B6=""),0,SUMIF('DADOS BRUTOS'!$A$3:$A$500,$B6,'DADOS BRUTOS'!EF$3:EF$500)+IF($C6="",0,SUMIF('DADOS BRUTOS'!$A$3:$A$500,$C6,'DADOS BRUTOS'!EF$3:EF$500)))</f>
        <v/>
      </c>
      <c r="HG6" s="125">
        <f>IF(OR(HG$4="",$B6=""),0,SUMIF('DADOS BRUTOS'!$A$3:$A$500,$B6,'DADOS BRUTOS'!EG$3:EG$500)+IF($C6="",0,SUMIF('DADOS BRUTOS'!$A$3:$A$500,$C6,'DADOS BRUTOS'!EG$3:EG$500)))</f>
        <v/>
      </c>
      <c r="HH6" s="125">
        <f>IF(OR(HH$4="",$B6=""),0,SUMIF('DADOS BRUTOS'!$A$3:$A$500,$B6,'DADOS BRUTOS'!EH$3:EH$500)+IF($C6="",0,SUMIF('DADOS BRUTOS'!$A$3:$A$500,$C6,'DADOS BRUTOS'!EH$3:EH$500)))</f>
        <v/>
      </c>
      <c r="HI6" s="125">
        <f>IF(OR(HI$4="",$B6=""),0,SUMIF('DADOS BRUTOS'!$A$3:$A$500,$B6,'DADOS BRUTOS'!EI$3:EI$500)+IF($C6="",0,SUMIF('DADOS BRUTOS'!$A$3:$A$500,$C6,'DADOS BRUTOS'!EI$3:EI$500)))</f>
        <v/>
      </c>
      <c r="HJ6" s="125">
        <f>IF(OR(HJ$4="",$B6=""),0,SUMIF('DADOS BRUTOS'!$A$3:$A$500,$B6,'DADOS BRUTOS'!EJ$3:EJ$500)+IF($C6="",0,SUMIF('DADOS BRUTOS'!$A$3:$A$500,$C6,'DADOS BRUTOS'!EJ$3:EJ$500)))</f>
        <v/>
      </c>
      <c r="HK6" s="125">
        <f>IF(OR(HK$4="",$B6=""),0,SUMIF('DADOS BRUTOS'!$A$3:$A$500,$B6,'DADOS BRUTOS'!EK$3:EK$500)+IF($C6="",0,SUMIF('DADOS BRUTOS'!$A$3:$A$500,$C6,'DADOS BRUTOS'!EK$3:EK$500)))</f>
        <v/>
      </c>
      <c r="HL6" s="125">
        <f>IF(OR(HL$4="",$B6=""),0,SUMIF('DADOS BRUTOS'!$A$3:$A$500,$B6,'DADOS BRUTOS'!EL$3:EL$500)+IF($C6="",0,SUMIF('DADOS BRUTOS'!$A$3:$A$500,$C6,'DADOS BRUTOS'!EL$3:EL$500)))</f>
        <v/>
      </c>
      <c r="HM6" s="125">
        <f>IF(OR(HM$4="",$B6=""),0,SUMIF('DADOS BRUTOS'!$A$3:$A$500,$B6,'DADOS BRUTOS'!EM$3:EM$500)+IF($C6="",0,SUMIF('DADOS BRUTOS'!$A$3:$A$500,$C6,'DADOS BRUTOS'!EM$3:EM$500)))</f>
        <v/>
      </c>
      <c r="HN6" s="125">
        <f>IF(OR(HN$4="",$B6=""),0,SUMIF('DADOS BRUTOS'!$A$3:$A$500,$B6,'DADOS BRUTOS'!EN$3:EN$500)+IF($C6="",0,SUMIF('DADOS BRUTOS'!$A$3:$A$500,$C6,'DADOS BRUTOS'!EN$3:EN$500)))</f>
        <v/>
      </c>
      <c r="HO6" s="125">
        <f>IF(OR(HO$4="",$B6=""),0,SUMIF('DADOS BRUTOS'!$A$3:$A$500,$B6,'DADOS BRUTOS'!EO$3:EO$500)+IF($C6="",0,SUMIF('DADOS BRUTOS'!$A$3:$A$500,$C6,'DADOS BRUTOS'!EO$3:EO$500)))</f>
        <v/>
      </c>
      <c r="HP6" s="125">
        <f>IF(OR(HP$4="",$B6=""),0,SUMIF('DADOS BRUTOS'!$A$3:$A$500,$B6,'DADOS BRUTOS'!EP$3:EP$500)+IF($C6="",0,SUMIF('DADOS BRUTOS'!$A$3:$A$500,$C6,'DADOS BRUTOS'!EP$3:EP$500)))</f>
        <v/>
      </c>
      <c r="HQ6" s="125">
        <f>IF(OR(HQ$4="",$B6=""),0,SUMIF('DADOS BRUTOS'!$A$3:$A$500,$B6,'DADOS BRUTOS'!EQ$3:EQ$500)+IF($C6="",0,SUMIF('DADOS BRUTOS'!$A$3:$A$500,$C6,'DADOS BRUTOS'!EQ$3:EQ$500)))</f>
        <v/>
      </c>
      <c r="HR6" s="125">
        <f>IF(OR(HR$4="",$B6=""),0,SUMIF('DADOS BRUTOS'!$A$3:$A$500,$B6,'DADOS BRUTOS'!ER$3:ER$500)+IF($C6="",0,SUMIF('DADOS BRUTOS'!$A$3:$A$500,$C6,'DADOS BRUTOS'!ER$3:ER$500)))</f>
        <v/>
      </c>
      <c r="HS6" s="125">
        <f>IF(OR(HS$4="",$B6=""),0,SUMIF('DADOS BRUTOS'!$A$3:$A$500,$B6,'DADOS BRUTOS'!ES$3:ES$500)+IF($C6="",0,SUMIF('DADOS BRUTOS'!$A$3:$A$500,$C6,'DADOS BRUTOS'!ES$3:ES$500)))</f>
        <v/>
      </c>
      <c r="HT6" s="125">
        <f>IF(OR(HT$4="",$B6=""),0,SUMIF('DADOS BRUTOS'!$A$3:$A$500,$B6,'DADOS BRUTOS'!ET$3:ET$500)+IF($C6="",0,SUMIF('DADOS BRUTOS'!$A$3:$A$500,$C6,'DADOS BRUTOS'!ET$3:ET$500)))</f>
        <v/>
      </c>
      <c r="HU6" s="125">
        <f>IF(OR(HU$4="",$B6=""),0,SUMIF('DADOS BRUTOS'!$A$3:$A$500,$B6,'DADOS BRUTOS'!EU$3:EU$500)+IF($C6="",0,SUMIF('DADOS BRUTOS'!$A$3:$A$500,$C6,'DADOS BRUTOS'!EU$3:EU$500)))</f>
        <v/>
      </c>
      <c r="HV6" s="125">
        <f>IF(OR(HV$4="",$B6=""),0,SUMIF('DADOS BRUTOS'!$A$3:$A$500,$B6,'DADOS BRUTOS'!EV$3:EV$500)+IF($C6="",0,SUMIF('DADOS BRUTOS'!$A$3:$A$500,$C6,'DADOS BRUTOS'!EV$3:EV$500)))</f>
        <v/>
      </c>
      <c r="HW6" s="125">
        <f>IF(OR(HW$4="",$B6=""),0,SUMIF('DADOS BRUTOS'!$A$3:$A$500,$B6,'DADOS BRUTOS'!EW$3:EW$500)+IF($C6="",0,SUMIF('DADOS BRUTOS'!$A$3:$A$500,$C6,'DADOS BRUTOS'!EW$3:EW$500)))</f>
        <v/>
      </c>
      <c r="HX6" s="125">
        <f>IF(OR(HX$4="",$B6=""),0,SUMIF('DADOS BRUTOS'!$A$3:$A$500,$B6,'DADOS BRUTOS'!EX$3:EX$500)+IF($C6="",0,SUMIF('DADOS BRUTOS'!$A$3:$A$500,$C6,'DADOS BRUTOS'!EX$3:EX$500)))</f>
        <v/>
      </c>
      <c r="HY6" s="125">
        <f>IF(OR(HY$4="",$B6=""),0,SUMIF('DADOS BRUTOS'!$A$3:$A$500,$B6,'DADOS BRUTOS'!EY$3:EY$500)+IF($C6="",0,SUMIF('DADOS BRUTOS'!$A$3:$A$500,$C6,'DADOS BRUTOS'!EY$3:EY$500)))</f>
        <v/>
      </c>
      <c r="HZ6" s="125">
        <f>IF(OR(HZ$4="",$B6=""),0,SUMIF('DADOS BRUTOS'!$A$3:$A$500,$B6,'DADOS BRUTOS'!EZ$3:EZ$500)+IF($C6="",0,SUMIF('DADOS BRUTOS'!$A$3:$A$500,$C6,'DADOS BRUTOS'!EZ$3:EZ$500)))</f>
        <v/>
      </c>
      <c r="IA6" s="125">
        <f>IF(OR(IA$4="",$B6=""),0,SUMIF('DADOS BRUTOS'!$A$3:$A$500,$B6,'DADOS BRUTOS'!FA$3:FA$500)+IF($C6="",0,SUMIF('DADOS BRUTOS'!$A$3:$A$500,$C6,'DADOS BRUTOS'!FA$3:FA$500)))</f>
        <v/>
      </c>
      <c r="IB6" s="125">
        <f>IF(OR(IB$4="",$B6=""),0,SUMIF('DADOS BRUTOS'!$A$3:$A$500,$B6,'DADOS BRUTOS'!FB$3:FB$500)+IF($C6="",0,SUMIF('DADOS BRUTOS'!$A$3:$A$500,$C6,'DADOS BRUTOS'!FB$3:FB$500)))</f>
        <v/>
      </c>
      <c r="IC6" s="125">
        <f>IF(OR(IC$4="",$B6=""),0,SUMIF('DADOS BRUTOS'!$A$3:$A$500,$B6,'DADOS BRUTOS'!FC$3:FC$500)+IF($C6="",0,SUMIF('DADOS BRUTOS'!$A$3:$A$500,$C6,'DADOS BRUTOS'!FC$3:FC$500)))</f>
        <v/>
      </c>
      <c r="ID6" s="125">
        <f>IF(OR(ID$4="",$B6=""),0,SUMIF('DADOS BRUTOS'!$A$3:$A$500,$B6,'DADOS BRUTOS'!FD$3:FD$500)+IF($C6="",0,SUMIF('DADOS BRUTOS'!$A$3:$A$500,$C6,'DADOS BRUTOS'!FD$3:FD$500)))</f>
        <v/>
      </c>
      <c r="IE6" s="125">
        <f>IF(OR(IE$4="",$B6=""),0,SUMIF('DADOS BRUTOS'!$A$3:$A$500,$B6,'DADOS BRUTOS'!FE$3:FE$500)+IF($C6="",0,SUMIF('DADOS BRUTOS'!$A$3:$A$500,$C6,'DADOS BRUTOS'!FE$3:FE$500)))</f>
        <v/>
      </c>
      <c r="IF6" s="125">
        <f>IF(OR(IF$4="",$B6=""),0,SUMIF('DADOS BRUTOS'!$A$3:$A$500,$B6,'DADOS BRUTOS'!FF$3:FF$500)+IF($C6="",0,SUMIF('DADOS BRUTOS'!$A$3:$A$500,$C6,'DADOS BRUTOS'!FF$3:FF$500)))</f>
        <v/>
      </c>
      <c r="IG6" s="125">
        <f>IF(OR(IG$4="",$B6=""),0,SUMIF('DADOS BRUTOS'!$A$3:$A$500,$B6,'DADOS BRUTOS'!FG$3:FG$500)+IF($C6="",0,SUMIF('DADOS BRUTOS'!$A$3:$A$500,$C6,'DADOS BRUTOS'!FG$3:FG$500)))</f>
        <v/>
      </c>
      <c r="IH6" s="125">
        <f>IF(OR(IH$4="",$B6=""),0,SUMIF('DADOS BRUTOS'!$A$3:$A$500,$B6,'DADOS BRUTOS'!FH$3:FH$500)+IF($C6="",0,SUMIF('DADOS BRUTOS'!$A$3:$A$500,$C6,'DADOS BRUTOS'!FH$3:FH$500)))</f>
        <v/>
      </c>
      <c r="II6" s="125">
        <f>IF(OR(II$4="",$B6=""),0,SUMIF('DADOS BRUTOS'!$A$3:$A$500,$B6,'DADOS BRUTOS'!FI$3:FI$500)+IF($C6="",0,SUMIF('DADOS BRUTOS'!$A$3:$A$500,$C6,'DADOS BRUTOS'!FI$3:FI$500)))</f>
        <v/>
      </c>
      <c r="IJ6" s="125">
        <f>IF(OR(IJ$4="",$B6=""),0,SUMIF('DADOS BRUTOS'!$A$3:$A$500,$B6,'DADOS BRUTOS'!FJ$3:FJ$500)+IF($C6="",0,SUMIF('DADOS BRUTOS'!$A$3:$A$500,$C6,'DADOS BRUTOS'!FJ$3:FJ$500)))</f>
        <v/>
      </c>
      <c r="IK6" s="125">
        <f>IF(OR(IK$4="",$B6=""),0,SUMIF('DADOS BRUTOS'!$A$3:$A$500,$B6,'DADOS BRUTOS'!FK$3:FK$500)+IF($C6="",0,SUMIF('DADOS BRUTOS'!$A$3:$A$500,$C6,'DADOS BRUTOS'!FK$3:FK$500)))</f>
        <v/>
      </c>
      <c r="IL6" s="125">
        <f>IF(OR(IL$4="",$B6=""),0,SUMIF('DADOS BRUTOS'!$A$3:$A$500,$B6,'DADOS BRUTOS'!FL$3:FL$500)+IF($C6="",0,SUMIF('DADOS BRUTOS'!$A$3:$A$500,$C6,'DADOS BRUTOS'!FL$3:FL$500)))</f>
        <v/>
      </c>
      <c r="IM6" s="125">
        <f>IF(OR(IM$4="",$B6=""),0,SUMIF('DADOS BRUTOS'!$A$3:$A$500,$B6,'DADOS BRUTOS'!FM$3:FM$500)+IF($C6="",0,SUMIF('DADOS BRUTOS'!$A$3:$A$500,$C6,'DADOS BRUTOS'!FM$3:FM$500)))</f>
        <v/>
      </c>
      <c r="IN6" s="125">
        <f>IF(OR(IN$4="",$B6=""),0,SUMIF('DADOS BRUTOS'!$A$3:$A$500,$B6,'DADOS BRUTOS'!FN$3:FN$500)+IF($C6="",0,SUMIF('DADOS BRUTOS'!$A$3:$A$500,$C6,'DADOS BRUTOS'!FN$3:FN$500)))</f>
        <v/>
      </c>
      <c r="IO6" s="125">
        <f>IF(OR(IO$4="",$B6=""),0,SUMIF('DADOS BRUTOS'!$A$3:$A$500,$B6,'DADOS BRUTOS'!FO$3:FO$500)+IF($C6="",0,SUMIF('DADOS BRUTOS'!$A$3:$A$500,$C6,'DADOS BRUTOS'!FO$3:FO$500)))</f>
        <v/>
      </c>
      <c r="IP6" s="125">
        <f>IF(OR(IP$4="",$B6=""),0,SUMIF('DADOS BRUTOS'!$A$3:$A$500,$B6,'DADOS BRUTOS'!FP$3:FP$500)+IF($C6="",0,SUMIF('DADOS BRUTOS'!$A$3:$A$500,$C6,'DADOS BRUTOS'!FP$3:FP$500)))</f>
        <v/>
      </c>
      <c r="IQ6" s="125">
        <f>IF(OR(IQ$4="",$B6=""),0,SUMIF('DADOS BRUTOS'!$A$3:$A$500,$B6,'DADOS BRUTOS'!FQ$3:FQ$500)+IF($C6="",0,SUMIF('DADOS BRUTOS'!$A$3:$A$500,$C6,'DADOS BRUTOS'!FQ$3:FQ$500)))</f>
        <v/>
      </c>
      <c r="IR6" s="125">
        <f>IF(OR(IR$4="",$B6=""),0,SUMIF('DADOS BRUTOS'!$A$3:$A$500,$B6,'DADOS BRUTOS'!FR$3:FR$500)+IF($C6="",0,SUMIF('DADOS BRUTOS'!$A$3:$A$500,$C6,'DADOS BRUTOS'!FR$3:FR$500)))</f>
        <v/>
      </c>
      <c r="IS6" s="125">
        <f>IF(OR(IS$4="",$B6=""),0,SUMIF('DADOS BRUTOS'!$A$3:$A$500,$B6,'DADOS BRUTOS'!FS$3:FS$500)+IF($C6="",0,SUMIF('DADOS BRUTOS'!$A$3:$A$500,$C6,'DADOS BRUTOS'!FS$3:FS$500)))</f>
        <v/>
      </c>
      <c r="IT6" s="125">
        <f>IF(OR(IT$4="",$B6=""),0,SUMIF('DADOS BRUTOS'!$A$3:$A$500,$B6,'DADOS BRUTOS'!FT$3:FT$500)+IF($C6="",0,SUMIF('DADOS BRUTOS'!$A$3:$A$500,$C6,'DADOS BRUTOS'!FT$3:FT$500)))</f>
        <v/>
      </c>
      <c r="IU6" s="125">
        <f>IF(OR(IU$4="",$B6=""),0,SUMIF('DADOS BRUTOS'!$A$3:$A$500,$B6,'DADOS BRUTOS'!FU$3:FU$500)+IF($C6="",0,SUMIF('DADOS BRUTOS'!$A$3:$A$500,$C6,'DADOS BRUTOS'!FU$3:FU$500)))</f>
        <v/>
      </c>
      <c r="IV6" s="125">
        <f>IF(OR(IV$4="",$B6=""),0,SUMIF('DADOS BRUTOS'!$A$3:$A$500,$B6,'DADOS BRUTOS'!FV$3:FV$500)+IF($C6="",0,SUMIF('DADOS BRUTOS'!$A$3:$A$500,$C6,'DADOS BRUTOS'!FV$3:FV$500)))</f>
        <v/>
      </c>
      <c r="IW6" s="125">
        <f>IF(OR(IW$4="",$B6=""),0,SUMIF('DADOS BRUTOS'!$A$3:$A$500,$B6,'DADOS BRUTOS'!FW$3:FW$500)+IF($C6="",0,SUMIF('DADOS BRUTOS'!$A$3:$A$500,$C6,'DADOS BRUTOS'!FW$3:FW$500)))</f>
        <v/>
      </c>
      <c r="IX6" s="125">
        <f>IF(OR(IX$4="",$B6=""),0,SUMIF('DADOS BRUTOS'!$A$3:$A$500,$B6,'DADOS BRUTOS'!FX$3:FX$500)+IF($C6="",0,SUMIF('DADOS BRUTOS'!$A$3:$A$500,$C6,'DADOS BRUTOS'!FX$3:FX$500)))</f>
        <v/>
      </c>
      <c r="IY6" s="125">
        <f>IF(OR(IY$4="",$B6=""),0,SUMIF('DADOS BRUTOS'!$A$3:$A$500,$B6,'DADOS BRUTOS'!FY$3:FY$500)+IF($C6="",0,SUMIF('DADOS BRUTOS'!$A$3:$A$500,$C6,'DADOS BRUTOS'!FY$3:FY$500)))</f>
        <v/>
      </c>
      <c r="IZ6" s="125">
        <f>IF(OR(IZ$4="",$B6=""),0,SUMIF('DADOS BRUTOS'!$A$3:$A$500,$B6,'DADOS BRUTOS'!FZ$3:FZ$500)+IF($C6="",0,SUMIF('DADOS BRUTOS'!$A$3:$A$500,$C6,'DADOS BRUTOS'!FZ$3:FZ$500)))</f>
        <v/>
      </c>
      <c r="JA6" s="125">
        <f>IF(OR(JA$4="",$B6=""),0,SUMIF('DADOS BRUTOS'!$A$3:$A$500,$B6,'DADOS BRUTOS'!GA$3:GA$500)+IF($C6="",0,SUMIF('DADOS BRUTOS'!$A$3:$A$500,$C6,'DADOS BRUTOS'!GA$3:GA$500)))</f>
        <v/>
      </c>
      <c r="JB6" s="125">
        <f>IF(OR(JB$4="",$B6=""),0,SUMIF('DADOS BRUTOS'!$A$3:$A$500,$B6,'DADOS BRUTOS'!GB$3:GB$500)+IF($C6="",0,SUMIF('DADOS BRUTOS'!$A$3:$A$500,$C6,'DADOS BRUTOS'!GB$3:GB$500)))</f>
        <v/>
      </c>
      <c r="JC6" s="125">
        <f>IF(OR(JC$4="",$B6=""),0,SUMIF('DADOS BRUTOS'!$A$3:$A$500,$B6,'DADOS BRUTOS'!GC$3:GC$500)+IF($C6="",0,SUMIF('DADOS BRUTOS'!$A$3:$A$500,$C6,'DADOS BRUTOS'!GC$3:GC$500)))</f>
        <v/>
      </c>
      <c r="JD6" s="125">
        <f>IF(OR(JD$4="",$B6=""),0,SUMIF('DADOS BRUTOS'!$A$3:$A$500,$B6,'DADOS BRUTOS'!GD$3:GD$500)+IF($C6="",0,SUMIF('DADOS BRUTOS'!$A$3:$A$500,$C6,'DADOS BRUTOS'!GD$3:GD$500)))</f>
        <v/>
      </c>
      <c r="JE6" s="125">
        <f>IF(OR(JE$4="",$B6=""),0,SUMIF('DADOS BRUTOS'!$A$3:$A$500,$B6,'DADOS BRUTOS'!GE$3:GE$500)+IF($C6="",0,SUMIF('DADOS BRUTOS'!$A$3:$A$500,$C6,'DADOS BRUTOS'!GE$3:GE$500)))</f>
        <v/>
      </c>
      <c r="JF6" s="125">
        <f>IF(OR(JF$4="",$B6=""),0,SUMIF('DADOS BRUTOS'!$A$3:$A$500,$B6,'DADOS BRUTOS'!GF$3:GF$500)+IF($C6="",0,SUMIF('DADOS BRUTOS'!$A$3:$A$500,$C6,'DADOS BRUTOS'!GF$3:GF$500)))</f>
        <v/>
      </c>
      <c r="JG6" s="125">
        <f>IF(OR(JG$4="",$B6=""),0,SUMIF('DADOS BRUTOS'!$A$3:$A$500,$B6,'DADOS BRUTOS'!GG$3:GG$500)+IF($C6="",0,SUMIF('DADOS BRUTOS'!$A$3:$A$500,$C6,'DADOS BRUTOS'!GG$3:GG$500)))</f>
        <v/>
      </c>
      <c r="JH6" s="125">
        <f>IF(OR(JH$4="",$B6=""),0,SUMIF('DADOS BRUTOS'!$A$3:$A$500,$B6,'DADOS BRUTOS'!GH$3:GH$500)+IF($C6="",0,SUMIF('DADOS BRUTOS'!$A$3:$A$500,$C6,'DADOS BRUTOS'!GH$3:GH$500)))</f>
        <v/>
      </c>
      <c r="JI6" s="125">
        <f>IF(OR(JI$4="",$B6=""),0,SUMIF('DADOS BRUTOS'!$A$3:$A$500,$B6,'DADOS BRUTOS'!GI$3:GI$500)+IF($C6="",0,SUMIF('DADOS BRUTOS'!$A$3:$A$500,$C6,'DADOS BRUTOS'!GI$3:GI$500)))</f>
        <v/>
      </c>
      <c r="JJ6" s="125">
        <f>IF(OR(JJ$4="",$B6=""),0,SUMIF('DADOS BRUTOS'!$A$3:$A$500,$B6,'DADOS BRUTOS'!GJ$3:GJ$500)+IF($C6="",0,SUMIF('DADOS BRUTOS'!$A$3:$A$500,$C6,'DADOS BRUTOS'!GJ$3:GJ$500)))</f>
        <v/>
      </c>
      <c r="JK6" s="125">
        <f>IF(OR(JK$4="",$B6=""),0,SUMIF('DADOS BRUTOS'!$A$3:$A$500,$B6,'DADOS BRUTOS'!GK$3:GK$500)+IF($C6="",0,SUMIF('DADOS BRUTOS'!$A$3:$A$500,$C6,'DADOS BRUTOS'!GK$3:GK$500)))</f>
        <v/>
      </c>
      <c r="JL6" s="125">
        <f>IF(OR(JL$4="",$B6=""),0,SUMIF('DADOS BRUTOS'!$A$3:$A$500,$B6,'DADOS BRUTOS'!GL$3:GL$500)+IF($C6="",0,SUMIF('DADOS BRUTOS'!$A$3:$A$500,$C6,'DADOS BRUTOS'!GL$3:GL$500)))</f>
        <v/>
      </c>
      <c r="JM6" s="125">
        <f>IF(OR(JM$4="",$B6=""),0,SUMIF('DADOS BRUTOS'!$A$3:$A$500,$B6,'DADOS BRUTOS'!GM$3:GM$500)+IF($C6="",0,SUMIF('DADOS BRUTOS'!$A$3:$A$500,$C6,'DADOS BRUTOS'!GM$3:GM$500)))</f>
        <v/>
      </c>
      <c r="JN6" s="125">
        <f>IF(OR(JN$4="",$B6=""),0,SUMIF('DADOS BRUTOS'!$A$3:$A$500,$B6,'DADOS BRUTOS'!GN$3:GN$500)+IF($C6="",0,SUMIF('DADOS BRUTOS'!$A$3:$A$500,$C6,'DADOS BRUTOS'!GN$3:GN$500)))</f>
        <v/>
      </c>
      <c r="JO6" s="125">
        <f>IF(OR(JO$4="",$B6=""),0,SUMIF('DADOS BRUTOS'!$A$3:$A$500,$B6,'DADOS BRUTOS'!GO$3:GO$500)+IF($C6="",0,SUMIF('DADOS BRUTOS'!$A$3:$A$500,$C6,'DADOS BRUTOS'!GO$3:GO$500)))</f>
        <v/>
      </c>
      <c r="JP6" s="125">
        <f>IF(OR(JP$4="",$B6=""),0,SUMIF('DADOS BRUTOS'!$A$3:$A$500,$B6,'DADOS BRUTOS'!GP$3:GP$500)+IF($C6="",0,SUMIF('DADOS BRUTOS'!$A$3:$A$500,$C6,'DADOS BRUTOS'!GP$3:GP$500)))</f>
        <v/>
      </c>
      <c r="JQ6" s="125">
        <f>IF(OR(JQ$4="",$B6=""),0,SUMIF('DADOS BRUTOS'!$A$3:$A$500,$B6,'DADOS BRUTOS'!GQ$3:GQ$500)+IF($C6="",0,SUMIF('DADOS BRUTOS'!$A$3:$A$500,$C6,'DADOS BRUTOS'!GQ$3:GQ$500)))</f>
        <v/>
      </c>
      <c r="JR6" s="125">
        <f>IF(OR(JR$4="",$B6=""),0,SUMIF('DADOS BRUTOS'!$A$3:$A$500,$B6,'DADOS BRUTOS'!GR$3:GR$500)+IF($C6="",0,SUMIF('DADOS BRUTOS'!$A$3:$A$500,$C6,'DADOS BRUTOS'!GR$3:GR$500)))</f>
        <v/>
      </c>
      <c r="JS6" s="125">
        <f>IF(OR(JS$4="",$B6=""),0,SUMIF('DADOS BRUTOS'!$A$3:$A$500,$B6,'DADOS BRUTOS'!GS$3:GS$500)+IF($C6="",0,SUMIF('DADOS BRUTOS'!$A$3:$A$500,$C6,'DADOS BRUTOS'!GS$3:GS$500)))</f>
        <v/>
      </c>
    </row>
    <row r="7">
      <c r="A7" s="61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BZ7" s="49">
        <f>SUMPRODUCT(($CB$4:$JS$4&lt;&gt;"")*($CB$4:$JS$4&lt;=$D$4),$CB7:$JS7,$CB$1:$JS$1)</f>
        <v/>
      </c>
      <c r="CB7" s="125">
        <f>IF(OR(CB$4="",$B7=""),0,SUMIF('DADOS BRUTOS'!$A$3:$A$500,$B7,'DADOS BRUTOS'!B$3:B$500)+IF($C7="",0,SUMIF('DADOS BRUTOS'!$A$3:$A$500,$C7,'DADOS BRUTOS'!B$3:B$500)))</f>
        <v/>
      </c>
      <c r="CC7" s="125">
        <f>IF(OR(CC$4="",$B7=""),0,SUMIF('DADOS BRUTOS'!$A$3:$A$500,$B7,'DADOS BRUTOS'!C$3:C$500)+IF($C7="",0,SUMIF('DADOS BRUTOS'!$A$3:$A$500,$C7,'DADOS BRUTOS'!C$3:C$500)))</f>
        <v/>
      </c>
      <c r="CD7" s="125">
        <f>IF(OR(CD$4="",$B7=""),0,SUMIF('DADOS BRUTOS'!$A$3:$A$500,$B7,'DADOS BRUTOS'!D$3:D$500)+IF($C7="",0,SUMIF('DADOS BRUTOS'!$A$3:$A$500,$C7,'DADOS BRUTOS'!D$3:D$500)))</f>
        <v/>
      </c>
      <c r="CE7" s="125">
        <f>IF(OR(CE$4="",$B7=""),0,SUMIF('DADOS BRUTOS'!$A$3:$A$500,$B7,'DADOS BRUTOS'!E$3:E$500)+IF($C7="",0,SUMIF('DADOS BRUTOS'!$A$3:$A$500,$C7,'DADOS BRUTOS'!E$3:E$500)))</f>
        <v/>
      </c>
      <c r="CF7" s="125">
        <f>IF(OR(CF$4="",$B7=""),0,SUMIF('DADOS BRUTOS'!$A$3:$A$500,$B7,'DADOS BRUTOS'!F$3:F$500)+IF($C7="",0,SUMIF('DADOS BRUTOS'!$A$3:$A$500,$C7,'DADOS BRUTOS'!F$3:F$500)))</f>
        <v/>
      </c>
      <c r="CG7" s="125">
        <f>IF(OR(CG$4="",$B7=""),0,SUMIF('DADOS BRUTOS'!$A$3:$A$500,$B7,'DADOS BRUTOS'!G$3:G$500)+IF($C7="",0,SUMIF('DADOS BRUTOS'!$A$3:$A$500,$C7,'DADOS BRUTOS'!G$3:G$500)))</f>
        <v/>
      </c>
      <c r="CH7" s="125">
        <f>IF(OR(CH$4="",$B7=""),0,SUMIF('DADOS BRUTOS'!$A$3:$A$500,$B7,'DADOS BRUTOS'!H$3:H$500)+IF($C7="",0,SUMIF('DADOS BRUTOS'!$A$3:$A$500,$C7,'DADOS BRUTOS'!H$3:H$500)))</f>
        <v/>
      </c>
      <c r="CI7" s="125">
        <f>IF(OR(CI$4="",$B7=""),0,SUMIF('DADOS BRUTOS'!$A$3:$A$500,$B7,'DADOS BRUTOS'!I$3:I$500)+IF($C7="",0,SUMIF('DADOS BRUTOS'!$A$3:$A$500,$C7,'DADOS BRUTOS'!I$3:I$500)))</f>
        <v/>
      </c>
      <c r="CJ7" s="125">
        <f>IF(OR(CJ$4="",$B7=""),0,SUMIF('DADOS BRUTOS'!$A$3:$A$500,$B7,'DADOS BRUTOS'!J$3:J$500)+IF($C7="",0,SUMIF('DADOS BRUTOS'!$A$3:$A$500,$C7,'DADOS BRUTOS'!J$3:J$500)))</f>
        <v/>
      </c>
      <c r="CK7" s="125">
        <f>IF(OR(CK$4="",$B7=""),0,SUMIF('DADOS BRUTOS'!$A$3:$A$500,$B7,'DADOS BRUTOS'!K$3:K$500)+IF($C7="",0,SUMIF('DADOS BRUTOS'!$A$3:$A$500,$C7,'DADOS BRUTOS'!K$3:K$500)))</f>
        <v/>
      </c>
      <c r="CL7" s="125">
        <f>IF(OR(CL$4="",$B7=""),0,SUMIF('DADOS BRUTOS'!$A$3:$A$500,$B7,'DADOS BRUTOS'!L$3:L$500)+IF($C7="",0,SUMIF('DADOS BRUTOS'!$A$3:$A$500,$C7,'DADOS BRUTOS'!L$3:L$500)))</f>
        <v/>
      </c>
      <c r="CM7" s="125">
        <f>IF(OR(CM$4="",$B7=""),0,SUMIF('DADOS BRUTOS'!$A$3:$A$500,$B7,'DADOS BRUTOS'!M$3:M$500)+IF($C7="",0,SUMIF('DADOS BRUTOS'!$A$3:$A$500,$C7,'DADOS BRUTOS'!M$3:M$500)))</f>
        <v/>
      </c>
      <c r="CN7" s="125">
        <f>IF(OR(CN$4="",$B7=""),0,SUMIF('DADOS BRUTOS'!$A$3:$A$500,$B7,'DADOS BRUTOS'!N$3:N$500)+IF($C7="",0,SUMIF('DADOS BRUTOS'!$A$3:$A$500,$C7,'DADOS BRUTOS'!N$3:N$500)))</f>
        <v/>
      </c>
      <c r="CO7" s="125">
        <f>IF(OR(CO$4="",$B7=""),0,SUMIF('DADOS BRUTOS'!$A$3:$A$500,$B7,'DADOS BRUTOS'!O$3:O$500)+IF($C7="",0,SUMIF('DADOS BRUTOS'!$A$3:$A$500,$C7,'DADOS BRUTOS'!O$3:O$500)))</f>
        <v/>
      </c>
      <c r="CP7" s="125">
        <f>IF(OR(CP$4="",$B7=""),0,SUMIF('DADOS BRUTOS'!$A$3:$A$500,$B7,'DADOS BRUTOS'!P$3:P$500)+IF($C7="",0,SUMIF('DADOS BRUTOS'!$A$3:$A$500,$C7,'DADOS BRUTOS'!P$3:P$500)))</f>
        <v/>
      </c>
      <c r="CQ7" s="125">
        <f>IF(OR(CQ$4="",$B7=""),0,SUMIF('DADOS BRUTOS'!$A$3:$A$500,$B7,'DADOS BRUTOS'!Q$3:Q$500)+IF($C7="",0,SUMIF('DADOS BRUTOS'!$A$3:$A$500,$C7,'DADOS BRUTOS'!Q$3:Q$500)))</f>
        <v/>
      </c>
      <c r="CR7" s="125">
        <f>IF(OR(CR$4="",$B7=""),0,SUMIF('DADOS BRUTOS'!$A$3:$A$500,$B7,'DADOS BRUTOS'!R$3:R$500)+IF($C7="",0,SUMIF('DADOS BRUTOS'!$A$3:$A$500,$C7,'DADOS BRUTOS'!R$3:R$500)))</f>
        <v/>
      </c>
      <c r="CS7" s="125">
        <f>IF(OR(CS$4="",$B7=""),0,SUMIF('DADOS BRUTOS'!$A$3:$A$500,$B7,'DADOS BRUTOS'!S$3:S$500)+IF($C7="",0,SUMIF('DADOS BRUTOS'!$A$3:$A$500,$C7,'DADOS BRUTOS'!S$3:S$500)))</f>
        <v/>
      </c>
      <c r="CT7" s="125">
        <f>IF(OR(CT$4="",$B7=""),0,SUMIF('DADOS BRUTOS'!$A$3:$A$500,$B7,'DADOS BRUTOS'!T$3:T$500)+IF($C7="",0,SUMIF('DADOS BRUTOS'!$A$3:$A$500,$C7,'DADOS BRUTOS'!T$3:T$500)))</f>
        <v/>
      </c>
      <c r="CU7" s="125">
        <f>IF(OR(CU$4="",$B7=""),0,SUMIF('DADOS BRUTOS'!$A$3:$A$500,$B7,'DADOS BRUTOS'!U$3:U$500)+IF($C7="",0,SUMIF('DADOS BRUTOS'!$A$3:$A$500,$C7,'DADOS BRUTOS'!U$3:U$500)))</f>
        <v/>
      </c>
      <c r="CV7" s="125">
        <f>IF(OR(CV$4="",$B7=""),0,SUMIF('DADOS BRUTOS'!$A$3:$A$500,$B7,'DADOS BRUTOS'!V$3:V$500)+IF($C7="",0,SUMIF('DADOS BRUTOS'!$A$3:$A$500,$C7,'DADOS BRUTOS'!V$3:V$500)))</f>
        <v/>
      </c>
      <c r="CW7" s="125">
        <f>IF(OR(CW$4="",$B7=""),0,SUMIF('DADOS BRUTOS'!$A$3:$A$500,$B7,'DADOS BRUTOS'!W$3:W$500)+IF($C7="",0,SUMIF('DADOS BRUTOS'!$A$3:$A$500,$C7,'DADOS BRUTOS'!W$3:W$500)))</f>
        <v/>
      </c>
      <c r="CX7" s="125">
        <f>IF(OR(CX$4="",$B7=""),0,SUMIF('DADOS BRUTOS'!$A$3:$A$500,$B7,'DADOS BRUTOS'!X$3:X$500)+IF($C7="",0,SUMIF('DADOS BRUTOS'!$A$3:$A$500,$C7,'DADOS BRUTOS'!X$3:X$500)))</f>
        <v/>
      </c>
      <c r="CY7" s="125">
        <f>IF(OR(CY$4="",$B7=""),0,SUMIF('DADOS BRUTOS'!$A$3:$A$500,$B7,'DADOS BRUTOS'!Y$3:Y$500)+IF($C7="",0,SUMIF('DADOS BRUTOS'!$A$3:$A$500,$C7,'DADOS BRUTOS'!Y$3:Y$500)))</f>
        <v/>
      </c>
      <c r="CZ7" s="125">
        <f>IF(OR(CZ$4="",$B7=""),0,SUMIF('DADOS BRUTOS'!$A$3:$A$500,$B7,'DADOS BRUTOS'!Z$3:Z$500)+IF($C7="",0,SUMIF('DADOS BRUTOS'!$A$3:$A$500,$C7,'DADOS BRUTOS'!Z$3:Z$500)))</f>
        <v/>
      </c>
      <c r="DA7" s="125">
        <f>IF(OR(DA$4="",$B7=""),0,SUMIF('DADOS BRUTOS'!$A$3:$A$500,$B7,'DADOS BRUTOS'!AA$3:AA$500)+IF($C7="",0,SUMIF('DADOS BRUTOS'!$A$3:$A$500,$C7,'DADOS BRUTOS'!AA$3:AA$500)))</f>
        <v/>
      </c>
      <c r="DB7" s="125">
        <f>IF(OR(DB$4="",$B7=""),0,SUMIF('DADOS BRUTOS'!$A$3:$A$500,$B7,'DADOS BRUTOS'!AB$3:AB$500)+IF($C7="",0,SUMIF('DADOS BRUTOS'!$A$3:$A$500,$C7,'DADOS BRUTOS'!AB$3:AB$500)))</f>
        <v/>
      </c>
      <c r="DC7" s="125">
        <f>IF(OR(DC$4="",$B7=""),0,SUMIF('DADOS BRUTOS'!$A$3:$A$500,$B7,'DADOS BRUTOS'!AC$3:AC$500)+IF($C7="",0,SUMIF('DADOS BRUTOS'!$A$3:$A$500,$C7,'DADOS BRUTOS'!AC$3:AC$500)))</f>
        <v/>
      </c>
      <c r="DD7" s="125">
        <f>IF(OR(DD$4="",$B7=""),0,SUMIF('DADOS BRUTOS'!$A$3:$A$500,$B7,'DADOS BRUTOS'!AD$3:AD$500)+IF($C7="",0,SUMIF('DADOS BRUTOS'!$A$3:$A$500,$C7,'DADOS BRUTOS'!AD$3:AD$500)))</f>
        <v/>
      </c>
      <c r="DE7" s="125">
        <f>IF(OR(DE$4="",$B7=""),0,SUMIF('DADOS BRUTOS'!$A$3:$A$500,$B7,'DADOS BRUTOS'!AE$3:AE$500)+IF($C7="",0,SUMIF('DADOS BRUTOS'!$A$3:$A$500,$C7,'DADOS BRUTOS'!AE$3:AE$500)))</f>
        <v/>
      </c>
      <c r="DF7" s="125">
        <f>IF(OR(DF$4="",$B7=""),0,SUMIF('DADOS BRUTOS'!$A$3:$A$500,$B7,'DADOS BRUTOS'!AF$3:AF$500)+IF($C7="",0,SUMIF('DADOS BRUTOS'!$A$3:$A$500,$C7,'DADOS BRUTOS'!AF$3:AF$500)))</f>
        <v/>
      </c>
      <c r="DG7" s="125">
        <f>IF(OR(DG$4="",$B7=""),0,SUMIF('DADOS BRUTOS'!$A$3:$A$500,$B7,'DADOS BRUTOS'!AG$3:AG$500)+IF($C7="",0,SUMIF('DADOS BRUTOS'!$A$3:$A$500,$C7,'DADOS BRUTOS'!AG$3:AG$500)))</f>
        <v/>
      </c>
      <c r="DH7" s="125">
        <f>IF(OR(DH$4="",$B7=""),0,SUMIF('DADOS BRUTOS'!$A$3:$A$500,$B7,'DADOS BRUTOS'!AH$3:AH$500)+IF($C7="",0,SUMIF('DADOS BRUTOS'!$A$3:$A$500,$C7,'DADOS BRUTOS'!AH$3:AH$500)))</f>
        <v/>
      </c>
      <c r="DI7" s="125">
        <f>IF(OR(DI$4="",$B7=""),0,SUMIF('DADOS BRUTOS'!$A$3:$A$500,$B7,'DADOS BRUTOS'!AI$3:AI$500)+IF($C7="",0,SUMIF('DADOS BRUTOS'!$A$3:$A$500,$C7,'DADOS BRUTOS'!AI$3:AI$500)))</f>
        <v/>
      </c>
      <c r="DJ7" s="125">
        <f>IF(OR(DJ$4="",$B7=""),0,SUMIF('DADOS BRUTOS'!$A$3:$A$500,$B7,'DADOS BRUTOS'!AJ$3:AJ$500)+IF($C7="",0,SUMIF('DADOS BRUTOS'!$A$3:$A$500,$C7,'DADOS BRUTOS'!AJ$3:AJ$500)))</f>
        <v/>
      </c>
      <c r="DK7" s="125">
        <f>IF(OR(DK$4="",$B7=""),0,SUMIF('DADOS BRUTOS'!$A$3:$A$500,$B7,'DADOS BRUTOS'!AK$3:AK$500)+IF($C7="",0,SUMIF('DADOS BRUTOS'!$A$3:$A$500,$C7,'DADOS BRUTOS'!AK$3:AK$500)))</f>
        <v/>
      </c>
      <c r="DL7" s="125">
        <f>IF(OR(DL$4="",$B7=""),0,SUMIF('DADOS BRUTOS'!$A$3:$A$500,$B7,'DADOS BRUTOS'!AL$3:AL$500)+IF($C7="",0,SUMIF('DADOS BRUTOS'!$A$3:$A$500,$C7,'DADOS BRUTOS'!AL$3:AL$500)))</f>
        <v/>
      </c>
      <c r="DM7" s="125">
        <f>IF(OR(DM$4="",$B7=""),0,SUMIF('DADOS BRUTOS'!$A$3:$A$500,$B7,'DADOS BRUTOS'!AM$3:AM$500)+IF($C7="",0,SUMIF('DADOS BRUTOS'!$A$3:$A$500,$C7,'DADOS BRUTOS'!AM$3:AM$500)))</f>
        <v/>
      </c>
      <c r="DN7" s="125">
        <f>IF(OR(DN$4="",$B7=""),0,SUMIF('DADOS BRUTOS'!$A$3:$A$500,$B7,'DADOS BRUTOS'!AN$3:AN$500)+IF($C7="",0,SUMIF('DADOS BRUTOS'!$A$3:$A$500,$C7,'DADOS BRUTOS'!AN$3:AN$500)))</f>
        <v/>
      </c>
      <c r="DO7" s="125">
        <f>IF(OR(DO$4="",$B7=""),0,SUMIF('DADOS BRUTOS'!$A$3:$A$500,$B7,'DADOS BRUTOS'!AO$3:AO$500)+IF($C7="",0,SUMIF('DADOS BRUTOS'!$A$3:$A$500,$C7,'DADOS BRUTOS'!AO$3:AO$500)))</f>
        <v/>
      </c>
      <c r="DP7" s="125">
        <f>IF(OR(DP$4="",$B7=""),0,SUMIF('DADOS BRUTOS'!$A$3:$A$500,$B7,'DADOS BRUTOS'!AP$3:AP$500)+IF($C7="",0,SUMIF('DADOS BRUTOS'!$A$3:$A$500,$C7,'DADOS BRUTOS'!AP$3:AP$500)))</f>
        <v/>
      </c>
      <c r="DQ7" s="125">
        <f>IF(OR(DQ$4="",$B7=""),0,SUMIF('DADOS BRUTOS'!$A$3:$A$500,$B7,'DADOS BRUTOS'!AQ$3:AQ$500)+IF($C7="",0,SUMIF('DADOS BRUTOS'!$A$3:$A$500,$C7,'DADOS BRUTOS'!AQ$3:AQ$500)))</f>
        <v/>
      </c>
      <c r="DR7" s="125">
        <f>IF(OR(DR$4="",$B7=""),0,SUMIF('DADOS BRUTOS'!$A$3:$A$500,$B7,'DADOS BRUTOS'!AR$3:AR$500)+IF($C7="",0,SUMIF('DADOS BRUTOS'!$A$3:$A$500,$C7,'DADOS BRUTOS'!AR$3:AR$500)))</f>
        <v/>
      </c>
      <c r="DS7" s="125">
        <f>IF(OR(DS$4="",$B7=""),0,SUMIF('DADOS BRUTOS'!$A$3:$A$500,$B7,'DADOS BRUTOS'!AS$3:AS$500)+IF($C7="",0,SUMIF('DADOS BRUTOS'!$A$3:$A$500,$C7,'DADOS BRUTOS'!AS$3:AS$500)))</f>
        <v/>
      </c>
      <c r="DT7" s="125">
        <f>IF(OR(DT$4="",$B7=""),0,SUMIF('DADOS BRUTOS'!$A$3:$A$500,$B7,'DADOS BRUTOS'!AT$3:AT$500)+IF($C7="",0,SUMIF('DADOS BRUTOS'!$A$3:$A$500,$C7,'DADOS BRUTOS'!AT$3:AT$500)))</f>
        <v/>
      </c>
      <c r="DU7" s="125">
        <f>IF(OR(DU$4="",$B7=""),0,SUMIF('DADOS BRUTOS'!$A$3:$A$500,$B7,'DADOS BRUTOS'!AU$3:AU$500)+IF($C7="",0,SUMIF('DADOS BRUTOS'!$A$3:$A$500,$C7,'DADOS BRUTOS'!AU$3:AU$500)))</f>
        <v/>
      </c>
      <c r="DV7" s="125">
        <f>IF(OR(DV$4="",$B7=""),0,SUMIF('DADOS BRUTOS'!$A$3:$A$500,$B7,'DADOS BRUTOS'!AV$3:AV$500)+IF($C7="",0,SUMIF('DADOS BRUTOS'!$A$3:$A$500,$C7,'DADOS BRUTOS'!AV$3:AV$500)))</f>
        <v/>
      </c>
      <c r="DW7" s="125">
        <f>IF(OR(DW$4="",$B7=""),0,SUMIF('DADOS BRUTOS'!$A$3:$A$500,$B7,'DADOS BRUTOS'!AW$3:AW$500)+IF($C7="",0,SUMIF('DADOS BRUTOS'!$A$3:$A$500,$C7,'DADOS BRUTOS'!AW$3:AW$500)))</f>
        <v/>
      </c>
      <c r="DX7" s="125">
        <f>IF(OR(DX$4="",$B7=""),0,SUMIF('DADOS BRUTOS'!$A$3:$A$500,$B7,'DADOS BRUTOS'!AX$3:AX$500)+IF($C7="",0,SUMIF('DADOS BRUTOS'!$A$3:$A$500,$C7,'DADOS BRUTOS'!AX$3:AX$500)))</f>
        <v/>
      </c>
      <c r="DY7" s="125">
        <f>IF(OR(DY$4="",$B7=""),0,SUMIF('DADOS BRUTOS'!$A$3:$A$500,$B7,'DADOS BRUTOS'!AY$3:AY$500)+IF($C7="",0,SUMIF('DADOS BRUTOS'!$A$3:$A$500,$C7,'DADOS BRUTOS'!AY$3:AY$500)))</f>
        <v/>
      </c>
      <c r="DZ7" s="125">
        <f>IF(OR(DZ$4="",$B7=""),0,SUMIF('DADOS BRUTOS'!$A$3:$A$500,$B7,'DADOS BRUTOS'!AZ$3:AZ$500)+IF($C7="",0,SUMIF('DADOS BRUTOS'!$A$3:$A$500,$C7,'DADOS BRUTOS'!AZ$3:AZ$500)))</f>
        <v/>
      </c>
      <c r="EA7" s="125">
        <f>IF(OR(EA$4="",$B7=""),0,SUMIF('DADOS BRUTOS'!$A$3:$A$500,$B7,'DADOS BRUTOS'!BA$3:BA$500)+IF($C7="",0,SUMIF('DADOS BRUTOS'!$A$3:$A$500,$C7,'DADOS BRUTOS'!BA$3:BA$500)))</f>
        <v/>
      </c>
      <c r="EB7" s="125">
        <f>IF(OR(EB$4="",$B7=""),0,SUMIF('DADOS BRUTOS'!$A$3:$A$500,$B7,'DADOS BRUTOS'!BB$3:BB$500)+IF($C7="",0,SUMIF('DADOS BRUTOS'!$A$3:$A$500,$C7,'DADOS BRUTOS'!BB$3:BB$500)))</f>
        <v/>
      </c>
      <c r="EC7" s="125">
        <f>IF(OR(EC$4="",$B7=""),0,SUMIF('DADOS BRUTOS'!$A$3:$A$500,$B7,'DADOS BRUTOS'!BC$3:BC$500)+IF($C7="",0,SUMIF('DADOS BRUTOS'!$A$3:$A$500,$C7,'DADOS BRUTOS'!BC$3:BC$500)))</f>
        <v/>
      </c>
      <c r="ED7" s="125">
        <f>IF(OR(ED$4="",$B7=""),0,SUMIF('DADOS BRUTOS'!$A$3:$A$500,$B7,'DADOS BRUTOS'!BD$3:BD$500)+IF($C7="",0,SUMIF('DADOS BRUTOS'!$A$3:$A$500,$C7,'DADOS BRUTOS'!BD$3:BD$500)))</f>
        <v/>
      </c>
      <c r="EE7" s="125">
        <f>IF(OR(EE$4="",$B7=""),0,SUMIF('DADOS BRUTOS'!$A$3:$A$500,$B7,'DADOS BRUTOS'!BE$3:BE$500)+IF($C7="",0,SUMIF('DADOS BRUTOS'!$A$3:$A$500,$C7,'DADOS BRUTOS'!BE$3:BE$500)))</f>
        <v/>
      </c>
      <c r="EF7" s="125">
        <f>IF(OR(EF$4="",$B7=""),0,SUMIF('DADOS BRUTOS'!$A$3:$A$500,$B7,'DADOS BRUTOS'!BF$3:BF$500)+IF($C7="",0,SUMIF('DADOS BRUTOS'!$A$3:$A$500,$C7,'DADOS BRUTOS'!BF$3:BF$500)))</f>
        <v/>
      </c>
      <c r="EG7" s="125">
        <f>IF(OR(EG$4="",$B7=""),0,SUMIF('DADOS BRUTOS'!$A$3:$A$500,$B7,'DADOS BRUTOS'!BG$3:BG$500)+IF($C7="",0,SUMIF('DADOS BRUTOS'!$A$3:$A$500,$C7,'DADOS BRUTOS'!BG$3:BG$500)))</f>
        <v/>
      </c>
      <c r="EH7" s="125">
        <f>IF(OR(EH$4="",$B7=""),0,SUMIF('DADOS BRUTOS'!$A$3:$A$500,$B7,'DADOS BRUTOS'!BH$3:BH$500)+IF($C7="",0,SUMIF('DADOS BRUTOS'!$A$3:$A$500,$C7,'DADOS BRUTOS'!BH$3:BH$500)))</f>
        <v/>
      </c>
      <c r="EI7" s="125">
        <f>IF(OR(EI$4="",$B7=""),0,SUMIF('DADOS BRUTOS'!$A$3:$A$500,$B7,'DADOS BRUTOS'!BI$3:BI$500)+IF($C7="",0,SUMIF('DADOS BRUTOS'!$A$3:$A$500,$C7,'DADOS BRUTOS'!BI$3:BI$500)))</f>
        <v/>
      </c>
      <c r="EJ7" s="125">
        <f>IF(OR(EJ$4="",$B7=""),0,SUMIF('DADOS BRUTOS'!$A$3:$A$500,$B7,'DADOS BRUTOS'!BJ$3:BJ$500)+IF($C7="",0,SUMIF('DADOS BRUTOS'!$A$3:$A$500,$C7,'DADOS BRUTOS'!BJ$3:BJ$500)))</f>
        <v/>
      </c>
      <c r="EK7" s="125">
        <f>IF(OR(EK$4="",$B7=""),0,SUMIF('DADOS BRUTOS'!$A$3:$A$500,$B7,'DADOS BRUTOS'!BK$3:BK$500)+IF($C7="",0,SUMIF('DADOS BRUTOS'!$A$3:$A$500,$C7,'DADOS BRUTOS'!BK$3:BK$500)))</f>
        <v/>
      </c>
      <c r="EL7" s="125">
        <f>IF(OR(EL$4="",$B7=""),0,SUMIF('DADOS BRUTOS'!$A$3:$A$500,$B7,'DADOS BRUTOS'!BL$3:BL$500)+IF($C7="",0,SUMIF('DADOS BRUTOS'!$A$3:$A$500,$C7,'DADOS BRUTOS'!BL$3:BL$500)))</f>
        <v/>
      </c>
      <c r="EM7" s="125">
        <f>IF(OR(EM$4="",$B7=""),0,SUMIF('DADOS BRUTOS'!$A$3:$A$500,$B7,'DADOS BRUTOS'!BM$3:BM$500)+IF($C7="",0,SUMIF('DADOS BRUTOS'!$A$3:$A$500,$C7,'DADOS BRUTOS'!BM$3:BM$500)))</f>
        <v/>
      </c>
      <c r="EN7" s="125">
        <f>IF(OR(EN$4="",$B7=""),0,SUMIF('DADOS BRUTOS'!$A$3:$A$500,$B7,'DADOS BRUTOS'!BN$3:BN$500)+IF($C7="",0,SUMIF('DADOS BRUTOS'!$A$3:$A$500,$C7,'DADOS BRUTOS'!BN$3:BN$500)))</f>
        <v/>
      </c>
      <c r="EO7" s="125">
        <f>IF(OR(EO$4="",$B7=""),0,SUMIF('DADOS BRUTOS'!$A$3:$A$500,$B7,'DADOS BRUTOS'!BO$3:BO$500)+IF($C7="",0,SUMIF('DADOS BRUTOS'!$A$3:$A$500,$C7,'DADOS BRUTOS'!BO$3:BO$500)))</f>
        <v/>
      </c>
      <c r="EP7" s="125">
        <f>IF(OR(EP$4="",$B7=""),0,SUMIF('DADOS BRUTOS'!$A$3:$A$500,$B7,'DADOS BRUTOS'!BP$3:BP$500)+IF($C7="",0,SUMIF('DADOS BRUTOS'!$A$3:$A$500,$C7,'DADOS BRUTOS'!BP$3:BP$500)))</f>
        <v/>
      </c>
      <c r="EQ7" s="125">
        <f>IF(OR(EQ$4="",$B7=""),0,SUMIF('DADOS BRUTOS'!$A$3:$A$500,$B7,'DADOS BRUTOS'!BQ$3:BQ$500)+IF($C7="",0,SUMIF('DADOS BRUTOS'!$A$3:$A$500,$C7,'DADOS BRUTOS'!BQ$3:BQ$500)))</f>
        <v/>
      </c>
      <c r="ER7" s="125">
        <f>IF(OR(ER$4="",$B7=""),0,SUMIF('DADOS BRUTOS'!$A$3:$A$500,$B7,'DADOS BRUTOS'!BR$3:BR$500)+IF($C7="",0,SUMIF('DADOS BRUTOS'!$A$3:$A$500,$C7,'DADOS BRUTOS'!BR$3:BR$500)))</f>
        <v/>
      </c>
      <c r="ES7" s="125">
        <f>IF(OR(ES$4="",$B7=""),0,SUMIF('DADOS BRUTOS'!$A$3:$A$500,$B7,'DADOS BRUTOS'!BS$3:BS$500)+IF($C7="",0,SUMIF('DADOS BRUTOS'!$A$3:$A$500,$C7,'DADOS BRUTOS'!BS$3:BS$500)))</f>
        <v/>
      </c>
      <c r="ET7" s="125">
        <f>IF(OR(ET$4="",$B7=""),0,SUMIF('DADOS BRUTOS'!$A$3:$A$500,$B7,'DADOS BRUTOS'!BT$3:BT$500)+IF($C7="",0,SUMIF('DADOS BRUTOS'!$A$3:$A$500,$C7,'DADOS BRUTOS'!BT$3:BT$500)))</f>
        <v/>
      </c>
      <c r="EU7" s="125">
        <f>IF(OR(EU$4="",$B7=""),0,SUMIF('DADOS BRUTOS'!$A$3:$A$500,$B7,'DADOS BRUTOS'!BU$3:BU$500)+IF($C7="",0,SUMIF('DADOS BRUTOS'!$A$3:$A$500,$C7,'DADOS BRUTOS'!BU$3:BU$500)))</f>
        <v/>
      </c>
      <c r="EV7" s="125">
        <f>IF(OR(EV$4="",$B7=""),0,SUMIF('DADOS BRUTOS'!$A$3:$A$500,$B7,'DADOS BRUTOS'!BV$3:BV$500)+IF($C7="",0,SUMIF('DADOS BRUTOS'!$A$3:$A$500,$C7,'DADOS BRUTOS'!BV$3:BV$500)))</f>
        <v/>
      </c>
      <c r="EW7" s="125">
        <f>IF(OR(EW$4="",$B7=""),0,SUMIF('DADOS BRUTOS'!$A$3:$A$500,$B7,'DADOS BRUTOS'!BW$3:BW$500)+IF($C7="",0,SUMIF('DADOS BRUTOS'!$A$3:$A$500,$C7,'DADOS BRUTOS'!BW$3:BW$500)))</f>
        <v/>
      </c>
      <c r="EX7" s="125">
        <f>IF(OR(EX$4="",$B7=""),0,SUMIF('DADOS BRUTOS'!$A$3:$A$500,$B7,'DADOS BRUTOS'!BX$3:BX$500)+IF($C7="",0,SUMIF('DADOS BRUTOS'!$A$3:$A$500,$C7,'DADOS BRUTOS'!BX$3:BX$500)))</f>
        <v/>
      </c>
      <c r="EY7" s="125">
        <f>IF(OR(EY$4="",$B7=""),0,SUMIF('DADOS BRUTOS'!$A$3:$A$500,$B7,'DADOS BRUTOS'!BY$3:BY$500)+IF($C7="",0,SUMIF('DADOS BRUTOS'!$A$3:$A$500,$C7,'DADOS BRUTOS'!BY$3:BY$500)))</f>
        <v/>
      </c>
      <c r="EZ7" s="125">
        <f>IF(OR(EZ$4="",$B7=""),0,SUMIF('DADOS BRUTOS'!$A$3:$A$500,$B7,'DADOS BRUTOS'!BZ$3:BZ$500)+IF($C7="",0,SUMIF('DADOS BRUTOS'!$A$3:$A$500,$C7,'DADOS BRUTOS'!BZ$3:BZ$500)))</f>
        <v/>
      </c>
      <c r="FA7" s="125">
        <f>IF(OR(FA$4="",$B7=""),0,SUMIF('DADOS BRUTOS'!$A$3:$A$500,$B7,'DADOS BRUTOS'!CA$3:CA$500)+IF($C7="",0,SUMIF('DADOS BRUTOS'!$A$3:$A$500,$C7,'DADOS BRUTOS'!CA$3:CA$500)))</f>
        <v/>
      </c>
      <c r="FB7" s="125">
        <f>IF(OR(FB$4="",$B7=""),0,SUMIF('DADOS BRUTOS'!$A$3:$A$500,$B7,'DADOS BRUTOS'!CB$3:CB$500)+IF($C7="",0,SUMIF('DADOS BRUTOS'!$A$3:$A$500,$C7,'DADOS BRUTOS'!CB$3:CB$500)))</f>
        <v/>
      </c>
      <c r="FC7" s="125">
        <f>IF(OR(FC$4="",$B7=""),0,SUMIF('DADOS BRUTOS'!$A$3:$A$500,$B7,'DADOS BRUTOS'!CC$3:CC$500)+IF($C7="",0,SUMIF('DADOS BRUTOS'!$A$3:$A$500,$C7,'DADOS BRUTOS'!CC$3:CC$500)))</f>
        <v/>
      </c>
      <c r="FD7" s="125">
        <f>IF(OR(FD$4="",$B7=""),0,SUMIF('DADOS BRUTOS'!$A$3:$A$500,$B7,'DADOS BRUTOS'!CD$3:CD$500)+IF($C7="",0,SUMIF('DADOS BRUTOS'!$A$3:$A$500,$C7,'DADOS BRUTOS'!CD$3:CD$500)))</f>
        <v/>
      </c>
      <c r="FE7" s="125">
        <f>IF(OR(FE$4="",$B7=""),0,SUMIF('DADOS BRUTOS'!$A$3:$A$500,$B7,'DADOS BRUTOS'!CE$3:CE$500)+IF($C7="",0,SUMIF('DADOS BRUTOS'!$A$3:$A$500,$C7,'DADOS BRUTOS'!CE$3:CE$500)))</f>
        <v/>
      </c>
      <c r="FF7" s="125">
        <f>IF(OR(FF$4="",$B7=""),0,SUMIF('DADOS BRUTOS'!$A$3:$A$500,$B7,'DADOS BRUTOS'!CF$3:CF$500)+IF($C7="",0,SUMIF('DADOS BRUTOS'!$A$3:$A$500,$C7,'DADOS BRUTOS'!CF$3:CF$500)))</f>
        <v/>
      </c>
      <c r="FG7" s="125">
        <f>IF(OR(FG$4="",$B7=""),0,SUMIF('DADOS BRUTOS'!$A$3:$A$500,$B7,'DADOS BRUTOS'!CG$3:CG$500)+IF($C7="",0,SUMIF('DADOS BRUTOS'!$A$3:$A$500,$C7,'DADOS BRUTOS'!CG$3:CG$500)))</f>
        <v/>
      </c>
      <c r="FH7" s="125">
        <f>IF(OR(FH$4="",$B7=""),0,SUMIF('DADOS BRUTOS'!$A$3:$A$500,$B7,'DADOS BRUTOS'!CH$3:CH$500)+IF($C7="",0,SUMIF('DADOS BRUTOS'!$A$3:$A$500,$C7,'DADOS BRUTOS'!CH$3:CH$500)))</f>
        <v/>
      </c>
      <c r="FI7" s="125">
        <f>IF(OR(FI$4="",$B7=""),0,SUMIF('DADOS BRUTOS'!$A$3:$A$500,$B7,'DADOS BRUTOS'!CI$3:CI$500)+IF($C7="",0,SUMIF('DADOS BRUTOS'!$A$3:$A$500,$C7,'DADOS BRUTOS'!CI$3:CI$500)))</f>
        <v/>
      </c>
      <c r="FJ7" s="125">
        <f>IF(OR(FJ$4="",$B7=""),0,SUMIF('DADOS BRUTOS'!$A$3:$A$500,$B7,'DADOS BRUTOS'!CJ$3:CJ$500)+IF($C7="",0,SUMIF('DADOS BRUTOS'!$A$3:$A$500,$C7,'DADOS BRUTOS'!CJ$3:CJ$500)))</f>
        <v/>
      </c>
      <c r="FK7" s="125">
        <f>IF(OR(FK$4="",$B7=""),0,SUMIF('DADOS BRUTOS'!$A$3:$A$500,$B7,'DADOS BRUTOS'!CK$3:CK$500)+IF($C7="",0,SUMIF('DADOS BRUTOS'!$A$3:$A$500,$C7,'DADOS BRUTOS'!CK$3:CK$500)))</f>
        <v/>
      </c>
      <c r="FL7" s="125">
        <f>IF(OR(FL$4="",$B7=""),0,SUMIF('DADOS BRUTOS'!$A$3:$A$500,$B7,'DADOS BRUTOS'!CL$3:CL$500)+IF($C7="",0,SUMIF('DADOS BRUTOS'!$A$3:$A$500,$C7,'DADOS BRUTOS'!CL$3:CL$500)))</f>
        <v/>
      </c>
      <c r="FM7" s="125">
        <f>IF(OR(FM$4="",$B7=""),0,SUMIF('DADOS BRUTOS'!$A$3:$A$500,$B7,'DADOS BRUTOS'!CM$3:CM$500)+IF($C7="",0,SUMIF('DADOS BRUTOS'!$A$3:$A$500,$C7,'DADOS BRUTOS'!CM$3:CM$500)))</f>
        <v/>
      </c>
      <c r="FN7" s="125">
        <f>IF(OR(FN$4="",$B7=""),0,SUMIF('DADOS BRUTOS'!$A$3:$A$500,$B7,'DADOS BRUTOS'!CN$3:CN$500)+IF($C7="",0,SUMIF('DADOS BRUTOS'!$A$3:$A$500,$C7,'DADOS BRUTOS'!CN$3:CN$500)))</f>
        <v/>
      </c>
      <c r="FO7" s="125">
        <f>IF(OR(FO$4="",$B7=""),0,SUMIF('DADOS BRUTOS'!$A$3:$A$500,$B7,'DADOS BRUTOS'!CO$3:CO$500)+IF($C7="",0,SUMIF('DADOS BRUTOS'!$A$3:$A$500,$C7,'DADOS BRUTOS'!CO$3:CO$500)))</f>
        <v/>
      </c>
      <c r="FP7" s="125">
        <f>IF(OR(FP$4="",$B7=""),0,SUMIF('DADOS BRUTOS'!$A$3:$A$500,$B7,'DADOS BRUTOS'!CP$3:CP$500)+IF($C7="",0,SUMIF('DADOS BRUTOS'!$A$3:$A$500,$C7,'DADOS BRUTOS'!CP$3:CP$500)))</f>
        <v/>
      </c>
      <c r="FQ7" s="125">
        <f>IF(OR(FQ$4="",$B7=""),0,SUMIF('DADOS BRUTOS'!$A$3:$A$500,$B7,'DADOS BRUTOS'!CQ$3:CQ$500)+IF($C7="",0,SUMIF('DADOS BRUTOS'!$A$3:$A$500,$C7,'DADOS BRUTOS'!CQ$3:CQ$500)))</f>
        <v/>
      </c>
      <c r="FR7" s="125">
        <f>IF(OR(FR$4="",$B7=""),0,SUMIF('DADOS BRUTOS'!$A$3:$A$500,$B7,'DADOS BRUTOS'!CR$3:CR$500)+IF($C7="",0,SUMIF('DADOS BRUTOS'!$A$3:$A$500,$C7,'DADOS BRUTOS'!CR$3:CR$500)))</f>
        <v/>
      </c>
      <c r="FS7" s="125">
        <f>IF(OR(FS$4="",$B7=""),0,SUMIF('DADOS BRUTOS'!$A$3:$A$500,$B7,'DADOS BRUTOS'!CS$3:CS$500)+IF($C7="",0,SUMIF('DADOS BRUTOS'!$A$3:$A$500,$C7,'DADOS BRUTOS'!CS$3:CS$500)))</f>
        <v/>
      </c>
      <c r="FT7" s="125">
        <f>IF(OR(FT$4="",$B7=""),0,SUMIF('DADOS BRUTOS'!$A$3:$A$500,$B7,'DADOS BRUTOS'!CT$3:CT$500)+IF($C7="",0,SUMIF('DADOS BRUTOS'!$A$3:$A$500,$C7,'DADOS BRUTOS'!CT$3:CT$500)))</f>
        <v/>
      </c>
      <c r="FU7" s="125">
        <f>IF(OR(FU$4="",$B7=""),0,SUMIF('DADOS BRUTOS'!$A$3:$A$500,$B7,'DADOS BRUTOS'!CU$3:CU$500)+IF($C7="",0,SUMIF('DADOS BRUTOS'!$A$3:$A$500,$C7,'DADOS BRUTOS'!CU$3:CU$500)))</f>
        <v/>
      </c>
      <c r="FV7" s="125">
        <f>IF(OR(FV$4="",$B7=""),0,SUMIF('DADOS BRUTOS'!$A$3:$A$500,$B7,'DADOS BRUTOS'!CV$3:CV$500)+IF($C7="",0,SUMIF('DADOS BRUTOS'!$A$3:$A$500,$C7,'DADOS BRUTOS'!CV$3:CV$500)))</f>
        <v/>
      </c>
      <c r="FW7" s="125">
        <f>IF(OR(FW$4="",$B7=""),0,SUMIF('DADOS BRUTOS'!$A$3:$A$500,$B7,'DADOS BRUTOS'!CW$3:CW$500)+IF($C7="",0,SUMIF('DADOS BRUTOS'!$A$3:$A$500,$C7,'DADOS BRUTOS'!CW$3:CW$500)))</f>
        <v/>
      </c>
      <c r="FX7" s="125">
        <f>IF(OR(FX$4="",$B7=""),0,SUMIF('DADOS BRUTOS'!$A$3:$A$500,$B7,'DADOS BRUTOS'!CX$3:CX$500)+IF($C7="",0,SUMIF('DADOS BRUTOS'!$A$3:$A$500,$C7,'DADOS BRUTOS'!CX$3:CX$500)))</f>
        <v/>
      </c>
      <c r="FY7" s="125">
        <f>IF(OR(FY$4="",$B7=""),0,SUMIF('DADOS BRUTOS'!$A$3:$A$500,$B7,'DADOS BRUTOS'!CY$3:CY$500)+IF($C7="",0,SUMIF('DADOS BRUTOS'!$A$3:$A$500,$C7,'DADOS BRUTOS'!CY$3:CY$500)))</f>
        <v/>
      </c>
      <c r="FZ7" s="125">
        <f>IF(OR(FZ$4="",$B7=""),0,SUMIF('DADOS BRUTOS'!$A$3:$A$500,$B7,'DADOS BRUTOS'!CZ$3:CZ$500)+IF($C7="",0,SUMIF('DADOS BRUTOS'!$A$3:$A$500,$C7,'DADOS BRUTOS'!CZ$3:CZ$500)))</f>
        <v/>
      </c>
      <c r="GA7" s="125">
        <f>IF(OR(GA$4="",$B7=""),0,SUMIF('DADOS BRUTOS'!$A$3:$A$500,$B7,'DADOS BRUTOS'!DA$3:DA$500)+IF($C7="",0,SUMIF('DADOS BRUTOS'!$A$3:$A$500,$C7,'DADOS BRUTOS'!DA$3:DA$500)))</f>
        <v/>
      </c>
      <c r="GB7" s="125">
        <f>IF(OR(GB$4="",$B7=""),0,SUMIF('DADOS BRUTOS'!$A$3:$A$500,$B7,'DADOS BRUTOS'!DB$3:DB$500)+IF($C7="",0,SUMIF('DADOS BRUTOS'!$A$3:$A$500,$C7,'DADOS BRUTOS'!DB$3:DB$500)))</f>
        <v/>
      </c>
      <c r="GC7" s="125">
        <f>IF(OR(GC$4="",$B7=""),0,SUMIF('DADOS BRUTOS'!$A$3:$A$500,$B7,'DADOS BRUTOS'!DC$3:DC$500)+IF($C7="",0,SUMIF('DADOS BRUTOS'!$A$3:$A$500,$C7,'DADOS BRUTOS'!DC$3:DC$500)))</f>
        <v/>
      </c>
      <c r="GD7" s="125">
        <f>IF(OR(GD$4="",$B7=""),0,SUMIF('DADOS BRUTOS'!$A$3:$A$500,$B7,'DADOS BRUTOS'!DD$3:DD$500)+IF($C7="",0,SUMIF('DADOS BRUTOS'!$A$3:$A$500,$C7,'DADOS BRUTOS'!DD$3:DD$500)))</f>
        <v/>
      </c>
      <c r="GE7" s="125">
        <f>IF(OR(GE$4="",$B7=""),0,SUMIF('DADOS BRUTOS'!$A$3:$A$500,$B7,'DADOS BRUTOS'!DE$3:DE$500)+IF($C7="",0,SUMIF('DADOS BRUTOS'!$A$3:$A$500,$C7,'DADOS BRUTOS'!DE$3:DE$500)))</f>
        <v/>
      </c>
      <c r="GF7" s="125">
        <f>IF(OR(GF$4="",$B7=""),0,SUMIF('DADOS BRUTOS'!$A$3:$A$500,$B7,'DADOS BRUTOS'!DF$3:DF$500)+IF($C7="",0,SUMIF('DADOS BRUTOS'!$A$3:$A$500,$C7,'DADOS BRUTOS'!DF$3:DF$500)))</f>
        <v/>
      </c>
      <c r="GG7" s="125">
        <f>IF(OR(GG$4="",$B7=""),0,SUMIF('DADOS BRUTOS'!$A$3:$A$500,$B7,'DADOS BRUTOS'!DG$3:DG$500)+IF($C7="",0,SUMIF('DADOS BRUTOS'!$A$3:$A$500,$C7,'DADOS BRUTOS'!DG$3:DG$500)))</f>
        <v/>
      </c>
      <c r="GH7" s="125">
        <f>IF(OR(GH$4="",$B7=""),0,SUMIF('DADOS BRUTOS'!$A$3:$A$500,$B7,'DADOS BRUTOS'!DH$3:DH$500)+IF($C7="",0,SUMIF('DADOS BRUTOS'!$A$3:$A$500,$C7,'DADOS BRUTOS'!DH$3:DH$500)))</f>
        <v/>
      </c>
      <c r="GI7" s="125">
        <f>IF(OR(GI$4="",$B7=""),0,SUMIF('DADOS BRUTOS'!$A$3:$A$500,$B7,'DADOS BRUTOS'!DI$3:DI$500)+IF($C7="",0,SUMIF('DADOS BRUTOS'!$A$3:$A$500,$C7,'DADOS BRUTOS'!DI$3:DI$500)))</f>
        <v/>
      </c>
      <c r="GJ7" s="125">
        <f>IF(OR(GJ$4="",$B7=""),0,SUMIF('DADOS BRUTOS'!$A$3:$A$500,$B7,'DADOS BRUTOS'!DJ$3:DJ$500)+IF($C7="",0,SUMIF('DADOS BRUTOS'!$A$3:$A$500,$C7,'DADOS BRUTOS'!DJ$3:DJ$500)))</f>
        <v/>
      </c>
      <c r="GK7" s="125">
        <f>IF(OR(GK$4="",$B7=""),0,SUMIF('DADOS BRUTOS'!$A$3:$A$500,$B7,'DADOS BRUTOS'!DK$3:DK$500)+IF($C7="",0,SUMIF('DADOS BRUTOS'!$A$3:$A$500,$C7,'DADOS BRUTOS'!DK$3:DK$500)))</f>
        <v/>
      </c>
      <c r="GL7" s="125">
        <f>IF(OR(GL$4="",$B7=""),0,SUMIF('DADOS BRUTOS'!$A$3:$A$500,$B7,'DADOS BRUTOS'!DL$3:DL$500)+IF($C7="",0,SUMIF('DADOS BRUTOS'!$A$3:$A$500,$C7,'DADOS BRUTOS'!DL$3:DL$500)))</f>
        <v/>
      </c>
      <c r="GM7" s="125">
        <f>IF(OR(GM$4="",$B7=""),0,SUMIF('DADOS BRUTOS'!$A$3:$A$500,$B7,'DADOS BRUTOS'!DM$3:DM$500)+IF($C7="",0,SUMIF('DADOS BRUTOS'!$A$3:$A$500,$C7,'DADOS BRUTOS'!DM$3:DM$500)))</f>
        <v/>
      </c>
      <c r="GN7" s="125">
        <f>IF(OR(GN$4="",$B7=""),0,SUMIF('DADOS BRUTOS'!$A$3:$A$500,$B7,'DADOS BRUTOS'!DN$3:DN$500)+IF($C7="",0,SUMIF('DADOS BRUTOS'!$A$3:$A$500,$C7,'DADOS BRUTOS'!DN$3:DN$500)))</f>
        <v/>
      </c>
      <c r="GO7" s="125">
        <f>IF(OR(GO$4="",$B7=""),0,SUMIF('DADOS BRUTOS'!$A$3:$A$500,$B7,'DADOS BRUTOS'!DO$3:DO$500)+IF($C7="",0,SUMIF('DADOS BRUTOS'!$A$3:$A$500,$C7,'DADOS BRUTOS'!DO$3:DO$500)))</f>
        <v/>
      </c>
      <c r="GP7" s="125">
        <f>IF(OR(GP$4="",$B7=""),0,SUMIF('DADOS BRUTOS'!$A$3:$A$500,$B7,'DADOS BRUTOS'!DP$3:DP$500)+IF($C7="",0,SUMIF('DADOS BRUTOS'!$A$3:$A$500,$C7,'DADOS BRUTOS'!DP$3:DP$500)))</f>
        <v/>
      </c>
      <c r="GQ7" s="125">
        <f>IF(OR(GQ$4="",$B7=""),0,SUMIF('DADOS BRUTOS'!$A$3:$A$500,$B7,'DADOS BRUTOS'!DQ$3:DQ$500)+IF($C7="",0,SUMIF('DADOS BRUTOS'!$A$3:$A$500,$C7,'DADOS BRUTOS'!DQ$3:DQ$500)))</f>
        <v/>
      </c>
      <c r="GR7" s="125">
        <f>IF(OR(GR$4="",$B7=""),0,SUMIF('DADOS BRUTOS'!$A$3:$A$500,$B7,'DADOS BRUTOS'!DR$3:DR$500)+IF($C7="",0,SUMIF('DADOS BRUTOS'!$A$3:$A$500,$C7,'DADOS BRUTOS'!DR$3:DR$500)))</f>
        <v/>
      </c>
      <c r="GS7" s="125">
        <f>IF(OR(GS$4="",$B7=""),0,SUMIF('DADOS BRUTOS'!$A$3:$A$500,$B7,'DADOS BRUTOS'!DS$3:DS$500)+IF($C7="",0,SUMIF('DADOS BRUTOS'!$A$3:$A$500,$C7,'DADOS BRUTOS'!DS$3:DS$500)))</f>
        <v/>
      </c>
      <c r="GT7" s="125">
        <f>IF(OR(GT$4="",$B7=""),0,SUMIF('DADOS BRUTOS'!$A$3:$A$500,$B7,'DADOS BRUTOS'!DT$3:DT$500)+IF($C7="",0,SUMIF('DADOS BRUTOS'!$A$3:$A$500,$C7,'DADOS BRUTOS'!DT$3:DT$500)))</f>
        <v/>
      </c>
      <c r="GU7" s="125">
        <f>IF(OR(GU$4="",$B7=""),0,SUMIF('DADOS BRUTOS'!$A$3:$A$500,$B7,'DADOS BRUTOS'!DU$3:DU$500)+IF($C7="",0,SUMIF('DADOS BRUTOS'!$A$3:$A$500,$C7,'DADOS BRUTOS'!DU$3:DU$500)))</f>
        <v/>
      </c>
      <c r="GV7" s="125">
        <f>IF(OR(GV$4="",$B7=""),0,SUMIF('DADOS BRUTOS'!$A$3:$A$500,$B7,'DADOS BRUTOS'!DV$3:DV$500)+IF($C7="",0,SUMIF('DADOS BRUTOS'!$A$3:$A$500,$C7,'DADOS BRUTOS'!DV$3:DV$500)))</f>
        <v/>
      </c>
      <c r="GW7" s="125">
        <f>IF(OR(GW$4="",$B7=""),0,SUMIF('DADOS BRUTOS'!$A$3:$A$500,$B7,'DADOS BRUTOS'!DW$3:DW$500)+IF($C7="",0,SUMIF('DADOS BRUTOS'!$A$3:$A$500,$C7,'DADOS BRUTOS'!DW$3:DW$500)))</f>
        <v/>
      </c>
      <c r="GX7" s="125">
        <f>IF(OR(GX$4="",$B7=""),0,SUMIF('DADOS BRUTOS'!$A$3:$A$500,$B7,'DADOS BRUTOS'!DX$3:DX$500)+IF($C7="",0,SUMIF('DADOS BRUTOS'!$A$3:$A$500,$C7,'DADOS BRUTOS'!DX$3:DX$500)))</f>
        <v/>
      </c>
      <c r="GY7" s="125">
        <f>IF(OR(GY$4="",$B7=""),0,SUMIF('DADOS BRUTOS'!$A$3:$A$500,$B7,'DADOS BRUTOS'!DY$3:DY$500)+IF($C7="",0,SUMIF('DADOS BRUTOS'!$A$3:$A$500,$C7,'DADOS BRUTOS'!DY$3:DY$500)))</f>
        <v/>
      </c>
      <c r="GZ7" s="125">
        <f>IF(OR(GZ$4="",$B7=""),0,SUMIF('DADOS BRUTOS'!$A$3:$A$500,$B7,'DADOS BRUTOS'!DZ$3:DZ$500)+IF($C7="",0,SUMIF('DADOS BRUTOS'!$A$3:$A$500,$C7,'DADOS BRUTOS'!DZ$3:DZ$500)))</f>
        <v/>
      </c>
      <c r="HA7" s="125">
        <f>IF(OR(HA$4="",$B7=""),0,SUMIF('DADOS BRUTOS'!$A$3:$A$500,$B7,'DADOS BRUTOS'!EA$3:EA$500)+IF($C7="",0,SUMIF('DADOS BRUTOS'!$A$3:$A$500,$C7,'DADOS BRUTOS'!EA$3:EA$500)))</f>
        <v/>
      </c>
      <c r="HB7" s="125">
        <f>IF(OR(HB$4="",$B7=""),0,SUMIF('DADOS BRUTOS'!$A$3:$A$500,$B7,'DADOS BRUTOS'!EB$3:EB$500)+IF($C7="",0,SUMIF('DADOS BRUTOS'!$A$3:$A$500,$C7,'DADOS BRUTOS'!EB$3:EB$500)))</f>
        <v/>
      </c>
      <c r="HC7" s="125">
        <f>IF(OR(HC$4="",$B7=""),0,SUMIF('DADOS BRUTOS'!$A$3:$A$500,$B7,'DADOS BRUTOS'!EC$3:EC$500)+IF($C7="",0,SUMIF('DADOS BRUTOS'!$A$3:$A$500,$C7,'DADOS BRUTOS'!EC$3:EC$500)))</f>
        <v/>
      </c>
      <c r="HD7" s="125">
        <f>IF(OR(HD$4="",$B7=""),0,SUMIF('DADOS BRUTOS'!$A$3:$A$500,$B7,'DADOS BRUTOS'!ED$3:ED$500)+IF($C7="",0,SUMIF('DADOS BRUTOS'!$A$3:$A$500,$C7,'DADOS BRUTOS'!ED$3:ED$500)))</f>
        <v/>
      </c>
      <c r="HE7" s="125">
        <f>IF(OR(HE$4="",$B7=""),0,SUMIF('DADOS BRUTOS'!$A$3:$A$500,$B7,'DADOS BRUTOS'!EE$3:EE$500)+IF($C7="",0,SUMIF('DADOS BRUTOS'!$A$3:$A$500,$C7,'DADOS BRUTOS'!EE$3:EE$500)))</f>
        <v/>
      </c>
      <c r="HF7" s="125">
        <f>IF(OR(HF$4="",$B7=""),0,SUMIF('DADOS BRUTOS'!$A$3:$A$500,$B7,'DADOS BRUTOS'!EF$3:EF$500)+IF($C7="",0,SUMIF('DADOS BRUTOS'!$A$3:$A$500,$C7,'DADOS BRUTOS'!EF$3:EF$500)))</f>
        <v/>
      </c>
      <c r="HG7" s="125">
        <f>IF(OR(HG$4="",$B7=""),0,SUMIF('DADOS BRUTOS'!$A$3:$A$500,$B7,'DADOS BRUTOS'!EG$3:EG$500)+IF($C7="",0,SUMIF('DADOS BRUTOS'!$A$3:$A$500,$C7,'DADOS BRUTOS'!EG$3:EG$500)))</f>
        <v/>
      </c>
      <c r="HH7" s="125">
        <f>IF(OR(HH$4="",$B7=""),0,SUMIF('DADOS BRUTOS'!$A$3:$A$500,$B7,'DADOS BRUTOS'!EH$3:EH$500)+IF($C7="",0,SUMIF('DADOS BRUTOS'!$A$3:$A$500,$C7,'DADOS BRUTOS'!EH$3:EH$500)))</f>
        <v/>
      </c>
      <c r="HI7" s="125">
        <f>IF(OR(HI$4="",$B7=""),0,SUMIF('DADOS BRUTOS'!$A$3:$A$500,$B7,'DADOS BRUTOS'!EI$3:EI$500)+IF($C7="",0,SUMIF('DADOS BRUTOS'!$A$3:$A$500,$C7,'DADOS BRUTOS'!EI$3:EI$500)))</f>
        <v/>
      </c>
      <c r="HJ7" s="125">
        <f>IF(OR(HJ$4="",$B7=""),0,SUMIF('DADOS BRUTOS'!$A$3:$A$500,$B7,'DADOS BRUTOS'!EJ$3:EJ$500)+IF($C7="",0,SUMIF('DADOS BRUTOS'!$A$3:$A$500,$C7,'DADOS BRUTOS'!EJ$3:EJ$500)))</f>
        <v/>
      </c>
      <c r="HK7" s="125">
        <f>IF(OR(HK$4="",$B7=""),0,SUMIF('DADOS BRUTOS'!$A$3:$A$500,$B7,'DADOS BRUTOS'!EK$3:EK$500)+IF($C7="",0,SUMIF('DADOS BRUTOS'!$A$3:$A$500,$C7,'DADOS BRUTOS'!EK$3:EK$500)))</f>
        <v/>
      </c>
      <c r="HL7" s="125">
        <f>IF(OR(HL$4="",$B7=""),0,SUMIF('DADOS BRUTOS'!$A$3:$A$500,$B7,'DADOS BRUTOS'!EL$3:EL$500)+IF($C7="",0,SUMIF('DADOS BRUTOS'!$A$3:$A$500,$C7,'DADOS BRUTOS'!EL$3:EL$500)))</f>
        <v/>
      </c>
      <c r="HM7" s="125">
        <f>IF(OR(HM$4="",$B7=""),0,SUMIF('DADOS BRUTOS'!$A$3:$A$500,$B7,'DADOS BRUTOS'!EM$3:EM$500)+IF($C7="",0,SUMIF('DADOS BRUTOS'!$A$3:$A$500,$C7,'DADOS BRUTOS'!EM$3:EM$500)))</f>
        <v/>
      </c>
      <c r="HN7" s="125">
        <f>IF(OR(HN$4="",$B7=""),0,SUMIF('DADOS BRUTOS'!$A$3:$A$500,$B7,'DADOS BRUTOS'!EN$3:EN$500)+IF($C7="",0,SUMIF('DADOS BRUTOS'!$A$3:$A$500,$C7,'DADOS BRUTOS'!EN$3:EN$500)))</f>
        <v/>
      </c>
      <c r="HO7" s="125">
        <f>IF(OR(HO$4="",$B7=""),0,SUMIF('DADOS BRUTOS'!$A$3:$A$500,$B7,'DADOS BRUTOS'!EO$3:EO$500)+IF($C7="",0,SUMIF('DADOS BRUTOS'!$A$3:$A$500,$C7,'DADOS BRUTOS'!EO$3:EO$500)))</f>
        <v/>
      </c>
      <c r="HP7" s="125">
        <f>IF(OR(HP$4="",$B7=""),0,SUMIF('DADOS BRUTOS'!$A$3:$A$500,$B7,'DADOS BRUTOS'!EP$3:EP$500)+IF($C7="",0,SUMIF('DADOS BRUTOS'!$A$3:$A$500,$C7,'DADOS BRUTOS'!EP$3:EP$500)))</f>
        <v/>
      </c>
      <c r="HQ7" s="125">
        <f>IF(OR(HQ$4="",$B7=""),0,SUMIF('DADOS BRUTOS'!$A$3:$A$500,$B7,'DADOS BRUTOS'!EQ$3:EQ$500)+IF($C7="",0,SUMIF('DADOS BRUTOS'!$A$3:$A$500,$C7,'DADOS BRUTOS'!EQ$3:EQ$500)))</f>
        <v/>
      </c>
      <c r="HR7" s="125">
        <f>IF(OR(HR$4="",$B7=""),0,SUMIF('DADOS BRUTOS'!$A$3:$A$500,$B7,'DADOS BRUTOS'!ER$3:ER$500)+IF($C7="",0,SUMIF('DADOS BRUTOS'!$A$3:$A$500,$C7,'DADOS BRUTOS'!ER$3:ER$500)))</f>
        <v/>
      </c>
      <c r="HS7" s="125">
        <f>IF(OR(HS$4="",$B7=""),0,SUMIF('DADOS BRUTOS'!$A$3:$A$500,$B7,'DADOS BRUTOS'!ES$3:ES$500)+IF($C7="",0,SUMIF('DADOS BRUTOS'!$A$3:$A$500,$C7,'DADOS BRUTOS'!ES$3:ES$500)))</f>
        <v/>
      </c>
      <c r="HT7" s="125">
        <f>IF(OR(HT$4="",$B7=""),0,SUMIF('DADOS BRUTOS'!$A$3:$A$500,$B7,'DADOS BRUTOS'!ET$3:ET$500)+IF($C7="",0,SUMIF('DADOS BRUTOS'!$A$3:$A$500,$C7,'DADOS BRUTOS'!ET$3:ET$500)))</f>
        <v/>
      </c>
      <c r="HU7" s="125">
        <f>IF(OR(HU$4="",$B7=""),0,SUMIF('DADOS BRUTOS'!$A$3:$A$500,$B7,'DADOS BRUTOS'!EU$3:EU$500)+IF($C7="",0,SUMIF('DADOS BRUTOS'!$A$3:$A$500,$C7,'DADOS BRUTOS'!EU$3:EU$500)))</f>
        <v/>
      </c>
      <c r="HV7" s="125">
        <f>IF(OR(HV$4="",$B7=""),0,SUMIF('DADOS BRUTOS'!$A$3:$A$500,$B7,'DADOS BRUTOS'!EV$3:EV$500)+IF($C7="",0,SUMIF('DADOS BRUTOS'!$A$3:$A$500,$C7,'DADOS BRUTOS'!EV$3:EV$500)))</f>
        <v/>
      </c>
      <c r="HW7" s="125">
        <f>IF(OR(HW$4="",$B7=""),0,SUMIF('DADOS BRUTOS'!$A$3:$A$500,$B7,'DADOS BRUTOS'!EW$3:EW$500)+IF($C7="",0,SUMIF('DADOS BRUTOS'!$A$3:$A$500,$C7,'DADOS BRUTOS'!EW$3:EW$500)))</f>
        <v/>
      </c>
      <c r="HX7" s="125">
        <f>IF(OR(HX$4="",$B7=""),0,SUMIF('DADOS BRUTOS'!$A$3:$A$500,$B7,'DADOS BRUTOS'!EX$3:EX$500)+IF($C7="",0,SUMIF('DADOS BRUTOS'!$A$3:$A$500,$C7,'DADOS BRUTOS'!EX$3:EX$500)))</f>
        <v/>
      </c>
      <c r="HY7" s="125">
        <f>IF(OR(HY$4="",$B7=""),0,SUMIF('DADOS BRUTOS'!$A$3:$A$500,$B7,'DADOS BRUTOS'!EY$3:EY$500)+IF($C7="",0,SUMIF('DADOS BRUTOS'!$A$3:$A$500,$C7,'DADOS BRUTOS'!EY$3:EY$500)))</f>
        <v/>
      </c>
      <c r="HZ7" s="125">
        <f>IF(OR(HZ$4="",$B7=""),0,SUMIF('DADOS BRUTOS'!$A$3:$A$500,$B7,'DADOS BRUTOS'!EZ$3:EZ$500)+IF($C7="",0,SUMIF('DADOS BRUTOS'!$A$3:$A$500,$C7,'DADOS BRUTOS'!EZ$3:EZ$500)))</f>
        <v/>
      </c>
      <c r="IA7" s="125">
        <f>IF(OR(IA$4="",$B7=""),0,SUMIF('DADOS BRUTOS'!$A$3:$A$500,$B7,'DADOS BRUTOS'!FA$3:FA$500)+IF($C7="",0,SUMIF('DADOS BRUTOS'!$A$3:$A$500,$C7,'DADOS BRUTOS'!FA$3:FA$500)))</f>
        <v/>
      </c>
      <c r="IB7" s="125">
        <f>IF(OR(IB$4="",$B7=""),0,SUMIF('DADOS BRUTOS'!$A$3:$A$500,$B7,'DADOS BRUTOS'!FB$3:FB$500)+IF($C7="",0,SUMIF('DADOS BRUTOS'!$A$3:$A$500,$C7,'DADOS BRUTOS'!FB$3:FB$500)))</f>
        <v/>
      </c>
      <c r="IC7" s="125">
        <f>IF(OR(IC$4="",$B7=""),0,SUMIF('DADOS BRUTOS'!$A$3:$A$500,$B7,'DADOS BRUTOS'!FC$3:FC$500)+IF($C7="",0,SUMIF('DADOS BRUTOS'!$A$3:$A$500,$C7,'DADOS BRUTOS'!FC$3:FC$500)))</f>
        <v/>
      </c>
      <c r="ID7" s="125">
        <f>IF(OR(ID$4="",$B7=""),0,SUMIF('DADOS BRUTOS'!$A$3:$A$500,$B7,'DADOS BRUTOS'!FD$3:FD$500)+IF($C7="",0,SUMIF('DADOS BRUTOS'!$A$3:$A$500,$C7,'DADOS BRUTOS'!FD$3:FD$500)))</f>
        <v/>
      </c>
      <c r="IE7" s="125">
        <f>IF(OR(IE$4="",$B7=""),0,SUMIF('DADOS BRUTOS'!$A$3:$A$500,$B7,'DADOS BRUTOS'!FE$3:FE$500)+IF($C7="",0,SUMIF('DADOS BRUTOS'!$A$3:$A$500,$C7,'DADOS BRUTOS'!FE$3:FE$500)))</f>
        <v/>
      </c>
      <c r="IF7" s="125">
        <f>IF(OR(IF$4="",$B7=""),0,SUMIF('DADOS BRUTOS'!$A$3:$A$500,$B7,'DADOS BRUTOS'!FF$3:FF$500)+IF($C7="",0,SUMIF('DADOS BRUTOS'!$A$3:$A$500,$C7,'DADOS BRUTOS'!FF$3:FF$500)))</f>
        <v/>
      </c>
      <c r="IG7" s="125">
        <f>IF(OR(IG$4="",$B7=""),0,SUMIF('DADOS BRUTOS'!$A$3:$A$500,$B7,'DADOS BRUTOS'!FG$3:FG$500)+IF($C7="",0,SUMIF('DADOS BRUTOS'!$A$3:$A$500,$C7,'DADOS BRUTOS'!FG$3:FG$500)))</f>
        <v/>
      </c>
      <c r="IH7" s="125">
        <f>IF(OR(IH$4="",$B7=""),0,SUMIF('DADOS BRUTOS'!$A$3:$A$500,$B7,'DADOS BRUTOS'!FH$3:FH$500)+IF($C7="",0,SUMIF('DADOS BRUTOS'!$A$3:$A$500,$C7,'DADOS BRUTOS'!FH$3:FH$500)))</f>
        <v/>
      </c>
      <c r="II7" s="125">
        <f>IF(OR(II$4="",$B7=""),0,SUMIF('DADOS BRUTOS'!$A$3:$A$500,$B7,'DADOS BRUTOS'!FI$3:FI$500)+IF($C7="",0,SUMIF('DADOS BRUTOS'!$A$3:$A$500,$C7,'DADOS BRUTOS'!FI$3:FI$500)))</f>
        <v/>
      </c>
      <c r="IJ7" s="125">
        <f>IF(OR(IJ$4="",$B7=""),0,SUMIF('DADOS BRUTOS'!$A$3:$A$500,$B7,'DADOS BRUTOS'!FJ$3:FJ$500)+IF($C7="",0,SUMIF('DADOS BRUTOS'!$A$3:$A$500,$C7,'DADOS BRUTOS'!FJ$3:FJ$500)))</f>
        <v/>
      </c>
      <c r="IK7" s="125">
        <f>IF(OR(IK$4="",$B7=""),0,SUMIF('DADOS BRUTOS'!$A$3:$A$500,$B7,'DADOS BRUTOS'!FK$3:FK$500)+IF($C7="",0,SUMIF('DADOS BRUTOS'!$A$3:$A$500,$C7,'DADOS BRUTOS'!FK$3:FK$500)))</f>
        <v/>
      </c>
      <c r="IL7" s="125">
        <f>IF(OR(IL$4="",$B7=""),0,SUMIF('DADOS BRUTOS'!$A$3:$A$500,$B7,'DADOS BRUTOS'!FL$3:FL$500)+IF($C7="",0,SUMIF('DADOS BRUTOS'!$A$3:$A$500,$C7,'DADOS BRUTOS'!FL$3:FL$500)))</f>
        <v/>
      </c>
      <c r="IM7" s="125">
        <f>IF(OR(IM$4="",$B7=""),0,SUMIF('DADOS BRUTOS'!$A$3:$A$500,$B7,'DADOS BRUTOS'!FM$3:FM$500)+IF($C7="",0,SUMIF('DADOS BRUTOS'!$A$3:$A$500,$C7,'DADOS BRUTOS'!FM$3:FM$500)))</f>
        <v/>
      </c>
      <c r="IN7" s="125">
        <f>IF(OR(IN$4="",$B7=""),0,SUMIF('DADOS BRUTOS'!$A$3:$A$500,$B7,'DADOS BRUTOS'!FN$3:FN$500)+IF($C7="",0,SUMIF('DADOS BRUTOS'!$A$3:$A$500,$C7,'DADOS BRUTOS'!FN$3:FN$500)))</f>
        <v/>
      </c>
      <c r="IO7" s="125">
        <f>IF(OR(IO$4="",$B7=""),0,SUMIF('DADOS BRUTOS'!$A$3:$A$500,$B7,'DADOS BRUTOS'!FO$3:FO$500)+IF($C7="",0,SUMIF('DADOS BRUTOS'!$A$3:$A$500,$C7,'DADOS BRUTOS'!FO$3:FO$500)))</f>
        <v/>
      </c>
      <c r="IP7" s="125">
        <f>IF(OR(IP$4="",$B7=""),0,SUMIF('DADOS BRUTOS'!$A$3:$A$500,$B7,'DADOS BRUTOS'!FP$3:FP$500)+IF($C7="",0,SUMIF('DADOS BRUTOS'!$A$3:$A$500,$C7,'DADOS BRUTOS'!FP$3:FP$500)))</f>
        <v/>
      </c>
      <c r="IQ7" s="125">
        <f>IF(OR(IQ$4="",$B7=""),0,SUMIF('DADOS BRUTOS'!$A$3:$A$500,$B7,'DADOS BRUTOS'!FQ$3:FQ$500)+IF($C7="",0,SUMIF('DADOS BRUTOS'!$A$3:$A$500,$C7,'DADOS BRUTOS'!FQ$3:FQ$500)))</f>
        <v/>
      </c>
      <c r="IR7" s="125">
        <f>IF(OR(IR$4="",$B7=""),0,SUMIF('DADOS BRUTOS'!$A$3:$A$500,$B7,'DADOS BRUTOS'!FR$3:FR$500)+IF($C7="",0,SUMIF('DADOS BRUTOS'!$A$3:$A$500,$C7,'DADOS BRUTOS'!FR$3:FR$500)))</f>
        <v/>
      </c>
      <c r="IS7" s="125">
        <f>IF(OR(IS$4="",$B7=""),0,SUMIF('DADOS BRUTOS'!$A$3:$A$500,$B7,'DADOS BRUTOS'!FS$3:FS$500)+IF($C7="",0,SUMIF('DADOS BRUTOS'!$A$3:$A$500,$C7,'DADOS BRUTOS'!FS$3:FS$500)))</f>
        <v/>
      </c>
      <c r="IT7" s="125">
        <f>IF(OR(IT$4="",$B7=""),0,SUMIF('DADOS BRUTOS'!$A$3:$A$500,$B7,'DADOS BRUTOS'!FT$3:FT$500)+IF($C7="",0,SUMIF('DADOS BRUTOS'!$A$3:$A$500,$C7,'DADOS BRUTOS'!FT$3:FT$500)))</f>
        <v/>
      </c>
      <c r="IU7" s="125">
        <f>IF(OR(IU$4="",$B7=""),0,SUMIF('DADOS BRUTOS'!$A$3:$A$500,$B7,'DADOS BRUTOS'!FU$3:FU$500)+IF($C7="",0,SUMIF('DADOS BRUTOS'!$A$3:$A$500,$C7,'DADOS BRUTOS'!FU$3:FU$500)))</f>
        <v/>
      </c>
      <c r="IV7" s="125">
        <f>IF(OR(IV$4="",$B7=""),0,SUMIF('DADOS BRUTOS'!$A$3:$A$500,$B7,'DADOS BRUTOS'!FV$3:FV$500)+IF($C7="",0,SUMIF('DADOS BRUTOS'!$A$3:$A$500,$C7,'DADOS BRUTOS'!FV$3:FV$500)))</f>
        <v/>
      </c>
      <c r="IW7" s="125">
        <f>IF(OR(IW$4="",$B7=""),0,SUMIF('DADOS BRUTOS'!$A$3:$A$500,$B7,'DADOS BRUTOS'!FW$3:FW$500)+IF($C7="",0,SUMIF('DADOS BRUTOS'!$A$3:$A$500,$C7,'DADOS BRUTOS'!FW$3:FW$500)))</f>
        <v/>
      </c>
      <c r="IX7" s="125">
        <f>IF(OR(IX$4="",$B7=""),0,SUMIF('DADOS BRUTOS'!$A$3:$A$500,$B7,'DADOS BRUTOS'!FX$3:FX$500)+IF($C7="",0,SUMIF('DADOS BRUTOS'!$A$3:$A$500,$C7,'DADOS BRUTOS'!FX$3:FX$500)))</f>
        <v/>
      </c>
      <c r="IY7" s="125">
        <f>IF(OR(IY$4="",$B7=""),0,SUMIF('DADOS BRUTOS'!$A$3:$A$500,$B7,'DADOS BRUTOS'!FY$3:FY$500)+IF($C7="",0,SUMIF('DADOS BRUTOS'!$A$3:$A$500,$C7,'DADOS BRUTOS'!FY$3:FY$500)))</f>
        <v/>
      </c>
      <c r="IZ7" s="125">
        <f>IF(OR(IZ$4="",$B7=""),0,SUMIF('DADOS BRUTOS'!$A$3:$A$500,$B7,'DADOS BRUTOS'!FZ$3:FZ$500)+IF($C7="",0,SUMIF('DADOS BRUTOS'!$A$3:$A$500,$C7,'DADOS BRUTOS'!FZ$3:FZ$500)))</f>
        <v/>
      </c>
      <c r="JA7" s="125">
        <f>IF(OR(JA$4="",$B7=""),0,SUMIF('DADOS BRUTOS'!$A$3:$A$500,$B7,'DADOS BRUTOS'!GA$3:GA$500)+IF($C7="",0,SUMIF('DADOS BRUTOS'!$A$3:$A$500,$C7,'DADOS BRUTOS'!GA$3:GA$500)))</f>
        <v/>
      </c>
      <c r="JB7" s="125">
        <f>IF(OR(JB$4="",$B7=""),0,SUMIF('DADOS BRUTOS'!$A$3:$A$500,$B7,'DADOS BRUTOS'!GB$3:GB$500)+IF($C7="",0,SUMIF('DADOS BRUTOS'!$A$3:$A$500,$C7,'DADOS BRUTOS'!GB$3:GB$500)))</f>
        <v/>
      </c>
      <c r="JC7" s="125">
        <f>IF(OR(JC$4="",$B7=""),0,SUMIF('DADOS BRUTOS'!$A$3:$A$500,$B7,'DADOS BRUTOS'!GC$3:GC$500)+IF($C7="",0,SUMIF('DADOS BRUTOS'!$A$3:$A$500,$C7,'DADOS BRUTOS'!GC$3:GC$500)))</f>
        <v/>
      </c>
      <c r="JD7" s="125">
        <f>IF(OR(JD$4="",$B7=""),0,SUMIF('DADOS BRUTOS'!$A$3:$A$500,$B7,'DADOS BRUTOS'!GD$3:GD$500)+IF($C7="",0,SUMIF('DADOS BRUTOS'!$A$3:$A$500,$C7,'DADOS BRUTOS'!GD$3:GD$500)))</f>
        <v/>
      </c>
      <c r="JE7" s="125">
        <f>IF(OR(JE$4="",$B7=""),0,SUMIF('DADOS BRUTOS'!$A$3:$A$500,$B7,'DADOS BRUTOS'!GE$3:GE$500)+IF($C7="",0,SUMIF('DADOS BRUTOS'!$A$3:$A$500,$C7,'DADOS BRUTOS'!GE$3:GE$500)))</f>
        <v/>
      </c>
      <c r="JF7" s="125">
        <f>IF(OR(JF$4="",$B7=""),0,SUMIF('DADOS BRUTOS'!$A$3:$A$500,$B7,'DADOS BRUTOS'!GF$3:GF$500)+IF($C7="",0,SUMIF('DADOS BRUTOS'!$A$3:$A$500,$C7,'DADOS BRUTOS'!GF$3:GF$500)))</f>
        <v/>
      </c>
      <c r="JG7" s="125">
        <f>IF(OR(JG$4="",$B7=""),0,SUMIF('DADOS BRUTOS'!$A$3:$A$500,$B7,'DADOS BRUTOS'!GG$3:GG$500)+IF($C7="",0,SUMIF('DADOS BRUTOS'!$A$3:$A$500,$C7,'DADOS BRUTOS'!GG$3:GG$500)))</f>
        <v/>
      </c>
      <c r="JH7" s="125">
        <f>IF(OR(JH$4="",$B7=""),0,SUMIF('DADOS BRUTOS'!$A$3:$A$500,$B7,'DADOS BRUTOS'!GH$3:GH$500)+IF($C7="",0,SUMIF('DADOS BRUTOS'!$A$3:$A$500,$C7,'DADOS BRUTOS'!GH$3:GH$500)))</f>
        <v/>
      </c>
      <c r="JI7" s="125">
        <f>IF(OR(JI$4="",$B7=""),0,SUMIF('DADOS BRUTOS'!$A$3:$A$500,$B7,'DADOS BRUTOS'!GI$3:GI$500)+IF($C7="",0,SUMIF('DADOS BRUTOS'!$A$3:$A$500,$C7,'DADOS BRUTOS'!GI$3:GI$500)))</f>
        <v/>
      </c>
      <c r="JJ7" s="125">
        <f>IF(OR(JJ$4="",$B7=""),0,SUMIF('DADOS BRUTOS'!$A$3:$A$500,$B7,'DADOS BRUTOS'!GJ$3:GJ$500)+IF($C7="",0,SUMIF('DADOS BRUTOS'!$A$3:$A$500,$C7,'DADOS BRUTOS'!GJ$3:GJ$500)))</f>
        <v/>
      </c>
      <c r="JK7" s="125">
        <f>IF(OR(JK$4="",$B7=""),0,SUMIF('DADOS BRUTOS'!$A$3:$A$500,$B7,'DADOS BRUTOS'!GK$3:GK$500)+IF($C7="",0,SUMIF('DADOS BRUTOS'!$A$3:$A$500,$C7,'DADOS BRUTOS'!GK$3:GK$500)))</f>
        <v/>
      </c>
      <c r="JL7" s="125">
        <f>IF(OR(JL$4="",$B7=""),0,SUMIF('DADOS BRUTOS'!$A$3:$A$500,$B7,'DADOS BRUTOS'!GL$3:GL$500)+IF($C7="",0,SUMIF('DADOS BRUTOS'!$A$3:$A$500,$C7,'DADOS BRUTOS'!GL$3:GL$500)))</f>
        <v/>
      </c>
      <c r="JM7" s="125">
        <f>IF(OR(JM$4="",$B7=""),0,SUMIF('DADOS BRUTOS'!$A$3:$A$500,$B7,'DADOS BRUTOS'!GM$3:GM$500)+IF($C7="",0,SUMIF('DADOS BRUTOS'!$A$3:$A$500,$C7,'DADOS BRUTOS'!GM$3:GM$500)))</f>
        <v/>
      </c>
      <c r="JN7" s="125">
        <f>IF(OR(JN$4="",$B7=""),0,SUMIF('DADOS BRUTOS'!$A$3:$A$500,$B7,'DADOS BRUTOS'!GN$3:GN$500)+IF($C7="",0,SUMIF('DADOS BRUTOS'!$A$3:$A$500,$C7,'DADOS BRUTOS'!GN$3:GN$500)))</f>
        <v/>
      </c>
      <c r="JO7" s="125">
        <f>IF(OR(JO$4="",$B7=""),0,SUMIF('DADOS BRUTOS'!$A$3:$A$500,$B7,'DADOS BRUTOS'!GO$3:GO$500)+IF($C7="",0,SUMIF('DADOS BRUTOS'!$A$3:$A$500,$C7,'DADOS BRUTOS'!GO$3:GO$500)))</f>
        <v/>
      </c>
      <c r="JP7" s="125">
        <f>IF(OR(JP$4="",$B7=""),0,SUMIF('DADOS BRUTOS'!$A$3:$A$500,$B7,'DADOS BRUTOS'!GP$3:GP$500)+IF($C7="",0,SUMIF('DADOS BRUTOS'!$A$3:$A$500,$C7,'DADOS BRUTOS'!GP$3:GP$500)))</f>
        <v/>
      </c>
      <c r="JQ7" s="125">
        <f>IF(OR(JQ$4="",$B7=""),0,SUMIF('DADOS BRUTOS'!$A$3:$A$500,$B7,'DADOS BRUTOS'!GQ$3:GQ$500)+IF($C7="",0,SUMIF('DADOS BRUTOS'!$A$3:$A$500,$C7,'DADOS BRUTOS'!GQ$3:GQ$500)))</f>
        <v/>
      </c>
      <c r="JR7" s="125">
        <f>IF(OR(JR$4="",$B7=""),0,SUMIF('DADOS BRUTOS'!$A$3:$A$500,$B7,'DADOS BRUTOS'!GR$3:GR$500)+IF($C7="",0,SUMIF('DADOS BRUTOS'!$A$3:$A$500,$C7,'DADOS BRUTOS'!GR$3:GR$500)))</f>
        <v/>
      </c>
      <c r="JS7" s="125">
        <f>IF(OR(JS$4="",$B7=""),0,SUMIF('DADOS BRUTOS'!$A$3:$A$500,$B7,'DADOS BRUTOS'!GS$3:GS$500)+IF($C7="",0,SUMIF('DADOS BRUTOS'!$A$3:$A$500,$C7,'DADOS BRUTOS'!GS$3:GS$500)))</f>
        <v/>
      </c>
    </row>
    <row r="8">
      <c r="A8" s="61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BZ8" s="49">
        <f>SUMPRODUCT(($CB$4:$JS$4&lt;&gt;"")*($CB$4:$JS$4&lt;=$D$4),$CB8:$JS8,$CB$1:$JS$1)</f>
        <v/>
      </c>
      <c r="CB8" s="125">
        <f>IF(OR(CB$4="",$B8=""),0,SUMIF('DADOS BRUTOS'!$A$3:$A$500,$B8,'DADOS BRUTOS'!B$3:B$500)+IF($C8="",0,SUMIF('DADOS BRUTOS'!$A$3:$A$500,$C8,'DADOS BRUTOS'!B$3:B$500)))</f>
        <v/>
      </c>
      <c r="CC8" s="125">
        <f>IF(OR(CC$4="",$B8=""),0,SUMIF('DADOS BRUTOS'!$A$3:$A$500,$B8,'DADOS BRUTOS'!C$3:C$500)+IF($C8="",0,SUMIF('DADOS BRUTOS'!$A$3:$A$500,$C8,'DADOS BRUTOS'!C$3:C$500)))</f>
        <v/>
      </c>
      <c r="CD8" s="125">
        <f>IF(OR(CD$4="",$B8=""),0,SUMIF('DADOS BRUTOS'!$A$3:$A$500,$B8,'DADOS BRUTOS'!D$3:D$500)+IF($C8="",0,SUMIF('DADOS BRUTOS'!$A$3:$A$500,$C8,'DADOS BRUTOS'!D$3:D$500)))</f>
        <v/>
      </c>
      <c r="CE8" s="125">
        <f>IF(OR(CE$4="",$B8=""),0,SUMIF('DADOS BRUTOS'!$A$3:$A$500,$B8,'DADOS BRUTOS'!E$3:E$500)+IF($C8="",0,SUMIF('DADOS BRUTOS'!$A$3:$A$500,$C8,'DADOS BRUTOS'!E$3:E$500)))</f>
        <v/>
      </c>
      <c r="CF8" s="125">
        <f>IF(OR(CF$4="",$B8=""),0,SUMIF('DADOS BRUTOS'!$A$3:$A$500,$B8,'DADOS BRUTOS'!F$3:F$500)+IF($C8="",0,SUMIF('DADOS BRUTOS'!$A$3:$A$500,$C8,'DADOS BRUTOS'!F$3:F$500)))</f>
        <v/>
      </c>
      <c r="CG8" s="125">
        <f>IF(OR(CG$4="",$B8=""),0,SUMIF('DADOS BRUTOS'!$A$3:$A$500,$B8,'DADOS BRUTOS'!G$3:G$500)+IF($C8="",0,SUMIF('DADOS BRUTOS'!$A$3:$A$500,$C8,'DADOS BRUTOS'!G$3:G$500)))</f>
        <v/>
      </c>
      <c r="CH8" s="125">
        <f>IF(OR(CH$4="",$B8=""),0,SUMIF('DADOS BRUTOS'!$A$3:$A$500,$B8,'DADOS BRUTOS'!H$3:H$500)+IF($C8="",0,SUMIF('DADOS BRUTOS'!$A$3:$A$500,$C8,'DADOS BRUTOS'!H$3:H$500)))</f>
        <v/>
      </c>
      <c r="CI8" s="125">
        <f>IF(OR(CI$4="",$B8=""),0,SUMIF('DADOS BRUTOS'!$A$3:$A$500,$B8,'DADOS BRUTOS'!I$3:I$500)+IF($C8="",0,SUMIF('DADOS BRUTOS'!$A$3:$A$500,$C8,'DADOS BRUTOS'!I$3:I$500)))</f>
        <v/>
      </c>
      <c r="CJ8" s="125">
        <f>IF(OR(CJ$4="",$B8=""),0,SUMIF('DADOS BRUTOS'!$A$3:$A$500,$B8,'DADOS BRUTOS'!J$3:J$500)+IF($C8="",0,SUMIF('DADOS BRUTOS'!$A$3:$A$500,$C8,'DADOS BRUTOS'!J$3:J$500)))</f>
        <v/>
      </c>
      <c r="CK8" s="125">
        <f>IF(OR(CK$4="",$B8=""),0,SUMIF('DADOS BRUTOS'!$A$3:$A$500,$B8,'DADOS BRUTOS'!K$3:K$500)+IF($C8="",0,SUMIF('DADOS BRUTOS'!$A$3:$A$500,$C8,'DADOS BRUTOS'!K$3:K$500)))</f>
        <v/>
      </c>
      <c r="CL8" s="125">
        <f>IF(OR(CL$4="",$B8=""),0,SUMIF('DADOS BRUTOS'!$A$3:$A$500,$B8,'DADOS BRUTOS'!L$3:L$500)+IF($C8="",0,SUMIF('DADOS BRUTOS'!$A$3:$A$500,$C8,'DADOS BRUTOS'!L$3:L$500)))</f>
        <v/>
      </c>
      <c r="CM8" s="125">
        <f>IF(OR(CM$4="",$B8=""),0,SUMIF('DADOS BRUTOS'!$A$3:$A$500,$B8,'DADOS BRUTOS'!M$3:M$500)+IF($C8="",0,SUMIF('DADOS BRUTOS'!$A$3:$A$500,$C8,'DADOS BRUTOS'!M$3:M$500)))</f>
        <v/>
      </c>
      <c r="CN8" s="125">
        <f>IF(OR(CN$4="",$B8=""),0,SUMIF('DADOS BRUTOS'!$A$3:$A$500,$B8,'DADOS BRUTOS'!N$3:N$500)+IF($C8="",0,SUMIF('DADOS BRUTOS'!$A$3:$A$500,$C8,'DADOS BRUTOS'!N$3:N$500)))</f>
        <v/>
      </c>
      <c r="CO8" s="125">
        <f>IF(OR(CO$4="",$B8=""),0,SUMIF('DADOS BRUTOS'!$A$3:$A$500,$B8,'DADOS BRUTOS'!O$3:O$500)+IF($C8="",0,SUMIF('DADOS BRUTOS'!$A$3:$A$500,$C8,'DADOS BRUTOS'!O$3:O$500)))</f>
        <v/>
      </c>
      <c r="CP8" s="125">
        <f>IF(OR(CP$4="",$B8=""),0,SUMIF('DADOS BRUTOS'!$A$3:$A$500,$B8,'DADOS BRUTOS'!P$3:P$500)+IF($C8="",0,SUMIF('DADOS BRUTOS'!$A$3:$A$500,$C8,'DADOS BRUTOS'!P$3:P$500)))</f>
        <v/>
      </c>
      <c r="CQ8" s="125">
        <f>IF(OR(CQ$4="",$B8=""),0,SUMIF('DADOS BRUTOS'!$A$3:$A$500,$B8,'DADOS BRUTOS'!Q$3:Q$500)+IF($C8="",0,SUMIF('DADOS BRUTOS'!$A$3:$A$500,$C8,'DADOS BRUTOS'!Q$3:Q$500)))</f>
        <v/>
      </c>
      <c r="CR8" s="125">
        <f>IF(OR(CR$4="",$B8=""),0,SUMIF('DADOS BRUTOS'!$A$3:$A$500,$B8,'DADOS BRUTOS'!R$3:R$500)+IF($C8="",0,SUMIF('DADOS BRUTOS'!$A$3:$A$500,$C8,'DADOS BRUTOS'!R$3:R$500)))</f>
        <v/>
      </c>
      <c r="CS8" s="125">
        <f>IF(OR(CS$4="",$B8=""),0,SUMIF('DADOS BRUTOS'!$A$3:$A$500,$B8,'DADOS BRUTOS'!S$3:S$500)+IF($C8="",0,SUMIF('DADOS BRUTOS'!$A$3:$A$500,$C8,'DADOS BRUTOS'!S$3:S$500)))</f>
        <v/>
      </c>
      <c r="CT8" s="125">
        <f>IF(OR(CT$4="",$B8=""),0,SUMIF('DADOS BRUTOS'!$A$3:$A$500,$B8,'DADOS BRUTOS'!T$3:T$500)+IF($C8="",0,SUMIF('DADOS BRUTOS'!$A$3:$A$500,$C8,'DADOS BRUTOS'!T$3:T$500)))</f>
        <v/>
      </c>
      <c r="CU8" s="125">
        <f>IF(OR(CU$4="",$B8=""),0,SUMIF('DADOS BRUTOS'!$A$3:$A$500,$B8,'DADOS BRUTOS'!U$3:U$500)+IF($C8="",0,SUMIF('DADOS BRUTOS'!$A$3:$A$500,$C8,'DADOS BRUTOS'!U$3:U$500)))</f>
        <v/>
      </c>
      <c r="CV8" s="125">
        <f>IF(OR(CV$4="",$B8=""),0,SUMIF('DADOS BRUTOS'!$A$3:$A$500,$B8,'DADOS BRUTOS'!V$3:V$500)+IF($C8="",0,SUMIF('DADOS BRUTOS'!$A$3:$A$500,$C8,'DADOS BRUTOS'!V$3:V$500)))</f>
        <v/>
      </c>
      <c r="CW8" s="125">
        <f>IF(OR(CW$4="",$B8=""),0,SUMIF('DADOS BRUTOS'!$A$3:$A$500,$B8,'DADOS BRUTOS'!W$3:W$500)+IF($C8="",0,SUMIF('DADOS BRUTOS'!$A$3:$A$500,$C8,'DADOS BRUTOS'!W$3:W$500)))</f>
        <v/>
      </c>
      <c r="CX8" s="125">
        <f>IF(OR(CX$4="",$B8=""),0,SUMIF('DADOS BRUTOS'!$A$3:$A$500,$B8,'DADOS BRUTOS'!X$3:X$500)+IF($C8="",0,SUMIF('DADOS BRUTOS'!$A$3:$A$500,$C8,'DADOS BRUTOS'!X$3:X$500)))</f>
        <v/>
      </c>
      <c r="CY8" s="125">
        <f>IF(OR(CY$4="",$B8=""),0,SUMIF('DADOS BRUTOS'!$A$3:$A$500,$B8,'DADOS BRUTOS'!Y$3:Y$500)+IF($C8="",0,SUMIF('DADOS BRUTOS'!$A$3:$A$500,$C8,'DADOS BRUTOS'!Y$3:Y$500)))</f>
        <v/>
      </c>
      <c r="CZ8" s="125">
        <f>IF(OR(CZ$4="",$B8=""),0,SUMIF('DADOS BRUTOS'!$A$3:$A$500,$B8,'DADOS BRUTOS'!Z$3:Z$500)+IF($C8="",0,SUMIF('DADOS BRUTOS'!$A$3:$A$500,$C8,'DADOS BRUTOS'!Z$3:Z$500)))</f>
        <v/>
      </c>
      <c r="DA8" s="125">
        <f>IF(OR(DA$4="",$B8=""),0,SUMIF('DADOS BRUTOS'!$A$3:$A$500,$B8,'DADOS BRUTOS'!AA$3:AA$500)+IF($C8="",0,SUMIF('DADOS BRUTOS'!$A$3:$A$500,$C8,'DADOS BRUTOS'!AA$3:AA$500)))</f>
        <v/>
      </c>
      <c r="DB8" s="125">
        <f>IF(OR(DB$4="",$B8=""),0,SUMIF('DADOS BRUTOS'!$A$3:$A$500,$B8,'DADOS BRUTOS'!AB$3:AB$500)+IF($C8="",0,SUMIF('DADOS BRUTOS'!$A$3:$A$500,$C8,'DADOS BRUTOS'!AB$3:AB$500)))</f>
        <v/>
      </c>
      <c r="DC8" s="125">
        <f>IF(OR(DC$4="",$B8=""),0,SUMIF('DADOS BRUTOS'!$A$3:$A$500,$B8,'DADOS BRUTOS'!AC$3:AC$500)+IF($C8="",0,SUMIF('DADOS BRUTOS'!$A$3:$A$500,$C8,'DADOS BRUTOS'!AC$3:AC$500)))</f>
        <v/>
      </c>
      <c r="DD8" s="125">
        <f>IF(OR(DD$4="",$B8=""),0,SUMIF('DADOS BRUTOS'!$A$3:$A$500,$B8,'DADOS BRUTOS'!AD$3:AD$500)+IF($C8="",0,SUMIF('DADOS BRUTOS'!$A$3:$A$500,$C8,'DADOS BRUTOS'!AD$3:AD$500)))</f>
        <v/>
      </c>
      <c r="DE8" s="125">
        <f>IF(OR(DE$4="",$B8=""),0,SUMIF('DADOS BRUTOS'!$A$3:$A$500,$B8,'DADOS BRUTOS'!AE$3:AE$500)+IF($C8="",0,SUMIF('DADOS BRUTOS'!$A$3:$A$500,$C8,'DADOS BRUTOS'!AE$3:AE$500)))</f>
        <v/>
      </c>
      <c r="DF8" s="125">
        <f>IF(OR(DF$4="",$B8=""),0,SUMIF('DADOS BRUTOS'!$A$3:$A$500,$B8,'DADOS BRUTOS'!AF$3:AF$500)+IF($C8="",0,SUMIF('DADOS BRUTOS'!$A$3:$A$500,$C8,'DADOS BRUTOS'!AF$3:AF$500)))</f>
        <v/>
      </c>
      <c r="DG8" s="125">
        <f>IF(OR(DG$4="",$B8=""),0,SUMIF('DADOS BRUTOS'!$A$3:$A$500,$B8,'DADOS BRUTOS'!AG$3:AG$500)+IF($C8="",0,SUMIF('DADOS BRUTOS'!$A$3:$A$500,$C8,'DADOS BRUTOS'!AG$3:AG$500)))</f>
        <v/>
      </c>
      <c r="DH8" s="125">
        <f>IF(OR(DH$4="",$B8=""),0,SUMIF('DADOS BRUTOS'!$A$3:$A$500,$B8,'DADOS BRUTOS'!AH$3:AH$500)+IF($C8="",0,SUMIF('DADOS BRUTOS'!$A$3:$A$500,$C8,'DADOS BRUTOS'!AH$3:AH$500)))</f>
        <v/>
      </c>
      <c r="DI8" s="125">
        <f>IF(OR(DI$4="",$B8=""),0,SUMIF('DADOS BRUTOS'!$A$3:$A$500,$B8,'DADOS BRUTOS'!AI$3:AI$500)+IF($C8="",0,SUMIF('DADOS BRUTOS'!$A$3:$A$500,$C8,'DADOS BRUTOS'!AI$3:AI$500)))</f>
        <v/>
      </c>
      <c r="DJ8" s="125">
        <f>IF(OR(DJ$4="",$B8=""),0,SUMIF('DADOS BRUTOS'!$A$3:$A$500,$B8,'DADOS BRUTOS'!AJ$3:AJ$500)+IF($C8="",0,SUMIF('DADOS BRUTOS'!$A$3:$A$500,$C8,'DADOS BRUTOS'!AJ$3:AJ$500)))</f>
        <v/>
      </c>
      <c r="DK8" s="125">
        <f>IF(OR(DK$4="",$B8=""),0,SUMIF('DADOS BRUTOS'!$A$3:$A$500,$B8,'DADOS BRUTOS'!AK$3:AK$500)+IF($C8="",0,SUMIF('DADOS BRUTOS'!$A$3:$A$500,$C8,'DADOS BRUTOS'!AK$3:AK$500)))</f>
        <v/>
      </c>
      <c r="DL8" s="125">
        <f>IF(OR(DL$4="",$B8=""),0,SUMIF('DADOS BRUTOS'!$A$3:$A$500,$B8,'DADOS BRUTOS'!AL$3:AL$500)+IF($C8="",0,SUMIF('DADOS BRUTOS'!$A$3:$A$500,$C8,'DADOS BRUTOS'!AL$3:AL$500)))</f>
        <v/>
      </c>
      <c r="DM8" s="125">
        <f>IF(OR(DM$4="",$B8=""),0,SUMIF('DADOS BRUTOS'!$A$3:$A$500,$B8,'DADOS BRUTOS'!AM$3:AM$500)+IF($C8="",0,SUMIF('DADOS BRUTOS'!$A$3:$A$500,$C8,'DADOS BRUTOS'!AM$3:AM$500)))</f>
        <v/>
      </c>
      <c r="DN8" s="125">
        <f>IF(OR(DN$4="",$B8=""),0,SUMIF('DADOS BRUTOS'!$A$3:$A$500,$B8,'DADOS BRUTOS'!AN$3:AN$500)+IF($C8="",0,SUMIF('DADOS BRUTOS'!$A$3:$A$500,$C8,'DADOS BRUTOS'!AN$3:AN$500)))</f>
        <v/>
      </c>
      <c r="DO8" s="125">
        <f>IF(OR(DO$4="",$B8=""),0,SUMIF('DADOS BRUTOS'!$A$3:$A$500,$B8,'DADOS BRUTOS'!AO$3:AO$500)+IF($C8="",0,SUMIF('DADOS BRUTOS'!$A$3:$A$500,$C8,'DADOS BRUTOS'!AO$3:AO$500)))</f>
        <v/>
      </c>
      <c r="DP8" s="125">
        <f>IF(OR(DP$4="",$B8=""),0,SUMIF('DADOS BRUTOS'!$A$3:$A$500,$B8,'DADOS BRUTOS'!AP$3:AP$500)+IF($C8="",0,SUMIF('DADOS BRUTOS'!$A$3:$A$500,$C8,'DADOS BRUTOS'!AP$3:AP$500)))</f>
        <v/>
      </c>
      <c r="DQ8" s="125">
        <f>IF(OR(DQ$4="",$B8=""),0,SUMIF('DADOS BRUTOS'!$A$3:$A$500,$B8,'DADOS BRUTOS'!AQ$3:AQ$500)+IF($C8="",0,SUMIF('DADOS BRUTOS'!$A$3:$A$500,$C8,'DADOS BRUTOS'!AQ$3:AQ$500)))</f>
        <v/>
      </c>
      <c r="DR8" s="125">
        <f>IF(OR(DR$4="",$B8=""),0,SUMIF('DADOS BRUTOS'!$A$3:$A$500,$B8,'DADOS BRUTOS'!AR$3:AR$500)+IF($C8="",0,SUMIF('DADOS BRUTOS'!$A$3:$A$500,$C8,'DADOS BRUTOS'!AR$3:AR$500)))</f>
        <v/>
      </c>
      <c r="DS8" s="125">
        <f>IF(OR(DS$4="",$B8=""),0,SUMIF('DADOS BRUTOS'!$A$3:$A$500,$B8,'DADOS BRUTOS'!AS$3:AS$500)+IF($C8="",0,SUMIF('DADOS BRUTOS'!$A$3:$A$500,$C8,'DADOS BRUTOS'!AS$3:AS$500)))</f>
        <v/>
      </c>
      <c r="DT8" s="125">
        <f>IF(OR(DT$4="",$B8=""),0,SUMIF('DADOS BRUTOS'!$A$3:$A$500,$B8,'DADOS BRUTOS'!AT$3:AT$500)+IF($C8="",0,SUMIF('DADOS BRUTOS'!$A$3:$A$500,$C8,'DADOS BRUTOS'!AT$3:AT$500)))</f>
        <v/>
      </c>
      <c r="DU8" s="125">
        <f>IF(OR(DU$4="",$B8=""),0,SUMIF('DADOS BRUTOS'!$A$3:$A$500,$B8,'DADOS BRUTOS'!AU$3:AU$500)+IF($C8="",0,SUMIF('DADOS BRUTOS'!$A$3:$A$500,$C8,'DADOS BRUTOS'!AU$3:AU$500)))</f>
        <v/>
      </c>
      <c r="DV8" s="125">
        <f>IF(OR(DV$4="",$B8=""),0,SUMIF('DADOS BRUTOS'!$A$3:$A$500,$B8,'DADOS BRUTOS'!AV$3:AV$500)+IF($C8="",0,SUMIF('DADOS BRUTOS'!$A$3:$A$500,$C8,'DADOS BRUTOS'!AV$3:AV$500)))</f>
        <v/>
      </c>
      <c r="DW8" s="125">
        <f>IF(OR(DW$4="",$B8=""),0,SUMIF('DADOS BRUTOS'!$A$3:$A$500,$B8,'DADOS BRUTOS'!AW$3:AW$500)+IF($C8="",0,SUMIF('DADOS BRUTOS'!$A$3:$A$500,$C8,'DADOS BRUTOS'!AW$3:AW$500)))</f>
        <v/>
      </c>
      <c r="DX8" s="125">
        <f>IF(OR(DX$4="",$B8=""),0,SUMIF('DADOS BRUTOS'!$A$3:$A$500,$B8,'DADOS BRUTOS'!AX$3:AX$500)+IF($C8="",0,SUMIF('DADOS BRUTOS'!$A$3:$A$500,$C8,'DADOS BRUTOS'!AX$3:AX$500)))</f>
        <v/>
      </c>
      <c r="DY8" s="125">
        <f>IF(OR(DY$4="",$B8=""),0,SUMIF('DADOS BRUTOS'!$A$3:$A$500,$B8,'DADOS BRUTOS'!AY$3:AY$500)+IF($C8="",0,SUMIF('DADOS BRUTOS'!$A$3:$A$500,$C8,'DADOS BRUTOS'!AY$3:AY$500)))</f>
        <v/>
      </c>
      <c r="DZ8" s="125">
        <f>IF(OR(DZ$4="",$B8=""),0,SUMIF('DADOS BRUTOS'!$A$3:$A$500,$B8,'DADOS BRUTOS'!AZ$3:AZ$500)+IF($C8="",0,SUMIF('DADOS BRUTOS'!$A$3:$A$500,$C8,'DADOS BRUTOS'!AZ$3:AZ$500)))</f>
        <v/>
      </c>
      <c r="EA8" s="125">
        <f>IF(OR(EA$4="",$B8=""),0,SUMIF('DADOS BRUTOS'!$A$3:$A$500,$B8,'DADOS BRUTOS'!BA$3:BA$500)+IF($C8="",0,SUMIF('DADOS BRUTOS'!$A$3:$A$500,$C8,'DADOS BRUTOS'!BA$3:BA$500)))</f>
        <v/>
      </c>
      <c r="EB8" s="125">
        <f>IF(OR(EB$4="",$B8=""),0,SUMIF('DADOS BRUTOS'!$A$3:$A$500,$B8,'DADOS BRUTOS'!BB$3:BB$500)+IF($C8="",0,SUMIF('DADOS BRUTOS'!$A$3:$A$500,$C8,'DADOS BRUTOS'!BB$3:BB$500)))</f>
        <v/>
      </c>
      <c r="EC8" s="125">
        <f>IF(OR(EC$4="",$B8=""),0,SUMIF('DADOS BRUTOS'!$A$3:$A$500,$B8,'DADOS BRUTOS'!BC$3:BC$500)+IF($C8="",0,SUMIF('DADOS BRUTOS'!$A$3:$A$500,$C8,'DADOS BRUTOS'!BC$3:BC$500)))</f>
        <v/>
      </c>
      <c r="ED8" s="125">
        <f>IF(OR(ED$4="",$B8=""),0,SUMIF('DADOS BRUTOS'!$A$3:$A$500,$B8,'DADOS BRUTOS'!BD$3:BD$500)+IF($C8="",0,SUMIF('DADOS BRUTOS'!$A$3:$A$500,$C8,'DADOS BRUTOS'!BD$3:BD$500)))</f>
        <v/>
      </c>
      <c r="EE8" s="125">
        <f>IF(OR(EE$4="",$B8=""),0,SUMIF('DADOS BRUTOS'!$A$3:$A$500,$B8,'DADOS BRUTOS'!BE$3:BE$500)+IF($C8="",0,SUMIF('DADOS BRUTOS'!$A$3:$A$500,$C8,'DADOS BRUTOS'!BE$3:BE$500)))</f>
        <v/>
      </c>
      <c r="EF8" s="125">
        <f>IF(OR(EF$4="",$B8=""),0,SUMIF('DADOS BRUTOS'!$A$3:$A$500,$B8,'DADOS BRUTOS'!BF$3:BF$500)+IF($C8="",0,SUMIF('DADOS BRUTOS'!$A$3:$A$500,$C8,'DADOS BRUTOS'!BF$3:BF$500)))</f>
        <v/>
      </c>
      <c r="EG8" s="125">
        <f>IF(OR(EG$4="",$B8=""),0,SUMIF('DADOS BRUTOS'!$A$3:$A$500,$B8,'DADOS BRUTOS'!BG$3:BG$500)+IF($C8="",0,SUMIF('DADOS BRUTOS'!$A$3:$A$500,$C8,'DADOS BRUTOS'!BG$3:BG$500)))</f>
        <v/>
      </c>
      <c r="EH8" s="125">
        <f>IF(OR(EH$4="",$B8=""),0,SUMIF('DADOS BRUTOS'!$A$3:$A$500,$B8,'DADOS BRUTOS'!BH$3:BH$500)+IF($C8="",0,SUMIF('DADOS BRUTOS'!$A$3:$A$500,$C8,'DADOS BRUTOS'!BH$3:BH$500)))</f>
        <v/>
      </c>
      <c r="EI8" s="125">
        <f>IF(OR(EI$4="",$B8=""),0,SUMIF('DADOS BRUTOS'!$A$3:$A$500,$B8,'DADOS BRUTOS'!BI$3:BI$500)+IF($C8="",0,SUMIF('DADOS BRUTOS'!$A$3:$A$500,$C8,'DADOS BRUTOS'!BI$3:BI$500)))</f>
        <v/>
      </c>
      <c r="EJ8" s="125">
        <f>IF(OR(EJ$4="",$B8=""),0,SUMIF('DADOS BRUTOS'!$A$3:$A$500,$B8,'DADOS BRUTOS'!BJ$3:BJ$500)+IF($C8="",0,SUMIF('DADOS BRUTOS'!$A$3:$A$500,$C8,'DADOS BRUTOS'!BJ$3:BJ$500)))</f>
        <v/>
      </c>
      <c r="EK8" s="125">
        <f>IF(OR(EK$4="",$B8=""),0,SUMIF('DADOS BRUTOS'!$A$3:$A$500,$B8,'DADOS BRUTOS'!BK$3:BK$500)+IF($C8="",0,SUMIF('DADOS BRUTOS'!$A$3:$A$500,$C8,'DADOS BRUTOS'!BK$3:BK$500)))</f>
        <v/>
      </c>
      <c r="EL8" s="125">
        <f>IF(OR(EL$4="",$B8=""),0,SUMIF('DADOS BRUTOS'!$A$3:$A$500,$B8,'DADOS BRUTOS'!BL$3:BL$500)+IF($C8="",0,SUMIF('DADOS BRUTOS'!$A$3:$A$500,$C8,'DADOS BRUTOS'!BL$3:BL$500)))</f>
        <v/>
      </c>
      <c r="EM8" s="125">
        <f>IF(OR(EM$4="",$B8=""),0,SUMIF('DADOS BRUTOS'!$A$3:$A$500,$B8,'DADOS BRUTOS'!BM$3:BM$500)+IF($C8="",0,SUMIF('DADOS BRUTOS'!$A$3:$A$500,$C8,'DADOS BRUTOS'!BM$3:BM$500)))</f>
        <v/>
      </c>
      <c r="EN8" s="125">
        <f>IF(OR(EN$4="",$B8=""),0,SUMIF('DADOS BRUTOS'!$A$3:$A$500,$B8,'DADOS BRUTOS'!BN$3:BN$500)+IF($C8="",0,SUMIF('DADOS BRUTOS'!$A$3:$A$500,$C8,'DADOS BRUTOS'!BN$3:BN$500)))</f>
        <v/>
      </c>
      <c r="EO8" s="125">
        <f>IF(OR(EO$4="",$B8=""),0,SUMIF('DADOS BRUTOS'!$A$3:$A$500,$B8,'DADOS BRUTOS'!BO$3:BO$500)+IF($C8="",0,SUMIF('DADOS BRUTOS'!$A$3:$A$500,$C8,'DADOS BRUTOS'!BO$3:BO$500)))</f>
        <v/>
      </c>
      <c r="EP8" s="125">
        <f>IF(OR(EP$4="",$B8=""),0,SUMIF('DADOS BRUTOS'!$A$3:$A$500,$B8,'DADOS BRUTOS'!BP$3:BP$500)+IF($C8="",0,SUMIF('DADOS BRUTOS'!$A$3:$A$500,$C8,'DADOS BRUTOS'!BP$3:BP$500)))</f>
        <v/>
      </c>
      <c r="EQ8" s="125">
        <f>IF(OR(EQ$4="",$B8=""),0,SUMIF('DADOS BRUTOS'!$A$3:$A$500,$B8,'DADOS BRUTOS'!BQ$3:BQ$500)+IF($C8="",0,SUMIF('DADOS BRUTOS'!$A$3:$A$500,$C8,'DADOS BRUTOS'!BQ$3:BQ$500)))</f>
        <v/>
      </c>
      <c r="ER8" s="125">
        <f>IF(OR(ER$4="",$B8=""),0,SUMIF('DADOS BRUTOS'!$A$3:$A$500,$B8,'DADOS BRUTOS'!BR$3:BR$500)+IF($C8="",0,SUMIF('DADOS BRUTOS'!$A$3:$A$500,$C8,'DADOS BRUTOS'!BR$3:BR$500)))</f>
        <v/>
      </c>
      <c r="ES8" s="125">
        <f>IF(OR(ES$4="",$B8=""),0,SUMIF('DADOS BRUTOS'!$A$3:$A$500,$B8,'DADOS BRUTOS'!BS$3:BS$500)+IF($C8="",0,SUMIF('DADOS BRUTOS'!$A$3:$A$500,$C8,'DADOS BRUTOS'!BS$3:BS$500)))</f>
        <v/>
      </c>
      <c r="ET8" s="125">
        <f>IF(OR(ET$4="",$B8=""),0,SUMIF('DADOS BRUTOS'!$A$3:$A$500,$B8,'DADOS BRUTOS'!BT$3:BT$500)+IF($C8="",0,SUMIF('DADOS BRUTOS'!$A$3:$A$500,$C8,'DADOS BRUTOS'!BT$3:BT$500)))</f>
        <v/>
      </c>
      <c r="EU8" s="125">
        <f>IF(OR(EU$4="",$B8=""),0,SUMIF('DADOS BRUTOS'!$A$3:$A$500,$B8,'DADOS BRUTOS'!BU$3:BU$500)+IF($C8="",0,SUMIF('DADOS BRUTOS'!$A$3:$A$500,$C8,'DADOS BRUTOS'!BU$3:BU$500)))</f>
        <v/>
      </c>
      <c r="EV8" s="125">
        <f>IF(OR(EV$4="",$B8=""),0,SUMIF('DADOS BRUTOS'!$A$3:$A$500,$B8,'DADOS BRUTOS'!BV$3:BV$500)+IF($C8="",0,SUMIF('DADOS BRUTOS'!$A$3:$A$500,$C8,'DADOS BRUTOS'!BV$3:BV$500)))</f>
        <v/>
      </c>
      <c r="EW8" s="125">
        <f>IF(OR(EW$4="",$B8=""),0,SUMIF('DADOS BRUTOS'!$A$3:$A$500,$B8,'DADOS BRUTOS'!BW$3:BW$500)+IF($C8="",0,SUMIF('DADOS BRUTOS'!$A$3:$A$500,$C8,'DADOS BRUTOS'!BW$3:BW$500)))</f>
        <v/>
      </c>
      <c r="EX8" s="125">
        <f>IF(OR(EX$4="",$B8=""),0,SUMIF('DADOS BRUTOS'!$A$3:$A$500,$B8,'DADOS BRUTOS'!BX$3:BX$500)+IF($C8="",0,SUMIF('DADOS BRUTOS'!$A$3:$A$500,$C8,'DADOS BRUTOS'!BX$3:BX$500)))</f>
        <v/>
      </c>
      <c r="EY8" s="125">
        <f>IF(OR(EY$4="",$B8=""),0,SUMIF('DADOS BRUTOS'!$A$3:$A$500,$B8,'DADOS BRUTOS'!BY$3:BY$500)+IF($C8="",0,SUMIF('DADOS BRUTOS'!$A$3:$A$500,$C8,'DADOS BRUTOS'!BY$3:BY$500)))</f>
        <v/>
      </c>
      <c r="EZ8" s="125">
        <f>IF(OR(EZ$4="",$B8=""),0,SUMIF('DADOS BRUTOS'!$A$3:$A$500,$B8,'DADOS BRUTOS'!BZ$3:BZ$500)+IF($C8="",0,SUMIF('DADOS BRUTOS'!$A$3:$A$500,$C8,'DADOS BRUTOS'!BZ$3:BZ$500)))</f>
        <v/>
      </c>
      <c r="FA8" s="125">
        <f>IF(OR(FA$4="",$B8=""),0,SUMIF('DADOS BRUTOS'!$A$3:$A$500,$B8,'DADOS BRUTOS'!CA$3:CA$500)+IF($C8="",0,SUMIF('DADOS BRUTOS'!$A$3:$A$500,$C8,'DADOS BRUTOS'!CA$3:CA$500)))</f>
        <v/>
      </c>
      <c r="FB8" s="125">
        <f>IF(OR(FB$4="",$B8=""),0,SUMIF('DADOS BRUTOS'!$A$3:$A$500,$B8,'DADOS BRUTOS'!CB$3:CB$500)+IF($C8="",0,SUMIF('DADOS BRUTOS'!$A$3:$A$500,$C8,'DADOS BRUTOS'!CB$3:CB$500)))</f>
        <v/>
      </c>
      <c r="FC8" s="125">
        <f>IF(OR(FC$4="",$B8=""),0,SUMIF('DADOS BRUTOS'!$A$3:$A$500,$B8,'DADOS BRUTOS'!CC$3:CC$500)+IF($C8="",0,SUMIF('DADOS BRUTOS'!$A$3:$A$500,$C8,'DADOS BRUTOS'!CC$3:CC$500)))</f>
        <v/>
      </c>
      <c r="FD8" s="125">
        <f>IF(OR(FD$4="",$B8=""),0,SUMIF('DADOS BRUTOS'!$A$3:$A$500,$B8,'DADOS BRUTOS'!CD$3:CD$500)+IF($C8="",0,SUMIF('DADOS BRUTOS'!$A$3:$A$500,$C8,'DADOS BRUTOS'!CD$3:CD$500)))</f>
        <v/>
      </c>
      <c r="FE8" s="125">
        <f>IF(OR(FE$4="",$B8=""),0,SUMIF('DADOS BRUTOS'!$A$3:$A$500,$B8,'DADOS BRUTOS'!CE$3:CE$500)+IF($C8="",0,SUMIF('DADOS BRUTOS'!$A$3:$A$500,$C8,'DADOS BRUTOS'!CE$3:CE$500)))</f>
        <v/>
      </c>
      <c r="FF8" s="125">
        <f>IF(OR(FF$4="",$B8=""),0,SUMIF('DADOS BRUTOS'!$A$3:$A$500,$B8,'DADOS BRUTOS'!CF$3:CF$500)+IF($C8="",0,SUMIF('DADOS BRUTOS'!$A$3:$A$500,$C8,'DADOS BRUTOS'!CF$3:CF$500)))</f>
        <v/>
      </c>
      <c r="FG8" s="125">
        <f>IF(OR(FG$4="",$B8=""),0,SUMIF('DADOS BRUTOS'!$A$3:$A$500,$B8,'DADOS BRUTOS'!CG$3:CG$500)+IF($C8="",0,SUMIF('DADOS BRUTOS'!$A$3:$A$500,$C8,'DADOS BRUTOS'!CG$3:CG$500)))</f>
        <v/>
      </c>
      <c r="FH8" s="125">
        <f>IF(OR(FH$4="",$B8=""),0,SUMIF('DADOS BRUTOS'!$A$3:$A$500,$B8,'DADOS BRUTOS'!CH$3:CH$500)+IF($C8="",0,SUMIF('DADOS BRUTOS'!$A$3:$A$500,$C8,'DADOS BRUTOS'!CH$3:CH$500)))</f>
        <v/>
      </c>
      <c r="FI8" s="125">
        <f>IF(OR(FI$4="",$B8=""),0,SUMIF('DADOS BRUTOS'!$A$3:$A$500,$B8,'DADOS BRUTOS'!CI$3:CI$500)+IF($C8="",0,SUMIF('DADOS BRUTOS'!$A$3:$A$500,$C8,'DADOS BRUTOS'!CI$3:CI$500)))</f>
        <v/>
      </c>
      <c r="FJ8" s="125">
        <f>IF(OR(FJ$4="",$B8=""),0,SUMIF('DADOS BRUTOS'!$A$3:$A$500,$B8,'DADOS BRUTOS'!CJ$3:CJ$500)+IF($C8="",0,SUMIF('DADOS BRUTOS'!$A$3:$A$500,$C8,'DADOS BRUTOS'!CJ$3:CJ$500)))</f>
        <v/>
      </c>
      <c r="FK8" s="125">
        <f>IF(OR(FK$4="",$B8=""),0,SUMIF('DADOS BRUTOS'!$A$3:$A$500,$B8,'DADOS BRUTOS'!CK$3:CK$500)+IF($C8="",0,SUMIF('DADOS BRUTOS'!$A$3:$A$500,$C8,'DADOS BRUTOS'!CK$3:CK$500)))</f>
        <v/>
      </c>
      <c r="FL8" s="125">
        <f>IF(OR(FL$4="",$B8=""),0,SUMIF('DADOS BRUTOS'!$A$3:$A$500,$B8,'DADOS BRUTOS'!CL$3:CL$500)+IF($C8="",0,SUMIF('DADOS BRUTOS'!$A$3:$A$500,$C8,'DADOS BRUTOS'!CL$3:CL$500)))</f>
        <v/>
      </c>
      <c r="FM8" s="125">
        <f>IF(OR(FM$4="",$B8=""),0,SUMIF('DADOS BRUTOS'!$A$3:$A$500,$B8,'DADOS BRUTOS'!CM$3:CM$500)+IF($C8="",0,SUMIF('DADOS BRUTOS'!$A$3:$A$500,$C8,'DADOS BRUTOS'!CM$3:CM$500)))</f>
        <v/>
      </c>
      <c r="FN8" s="125">
        <f>IF(OR(FN$4="",$B8=""),0,SUMIF('DADOS BRUTOS'!$A$3:$A$500,$B8,'DADOS BRUTOS'!CN$3:CN$500)+IF($C8="",0,SUMIF('DADOS BRUTOS'!$A$3:$A$500,$C8,'DADOS BRUTOS'!CN$3:CN$500)))</f>
        <v/>
      </c>
      <c r="FO8" s="125">
        <f>IF(OR(FO$4="",$B8=""),0,SUMIF('DADOS BRUTOS'!$A$3:$A$500,$B8,'DADOS BRUTOS'!CO$3:CO$500)+IF($C8="",0,SUMIF('DADOS BRUTOS'!$A$3:$A$500,$C8,'DADOS BRUTOS'!CO$3:CO$500)))</f>
        <v/>
      </c>
      <c r="FP8" s="125">
        <f>IF(OR(FP$4="",$B8=""),0,SUMIF('DADOS BRUTOS'!$A$3:$A$500,$B8,'DADOS BRUTOS'!CP$3:CP$500)+IF($C8="",0,SUMIF('DADOS BRUTOS'!$A$3:$A$500,$C8,'DADOS BRUTOS'!CP$3:CP$500)))</f>
        <v/>
      </c>
      <c r="FQ8" s="125">
        <f>IF(OR(FQ$4="",$B8=""),0,SUMIF('DADOS BRUTOS'!$A$3:$A$500,$B8,'DADOS BRUTOS'!CQ$3:CQ$500)+IF($C8="",0,SUMIF('DADOS BRUTOS'!$A$3:$A$500,$C8,'DADOS BRUTOS'!CQ$3:CQ$500)))</f>
        <v/>
      </c>
      <c r="FR8" s="125">
        <f>IF(OR(FR$4="",$B8=""),0,SUMIF('DADOS BRUTOS'!$A$3:$A$500,$B8,'DADOS BRUTOS'!CR$3:CR$500)+IF($C8="",0,SUMIF('DADOS BRUTOS'!$A$3:$A$500,$C8,'DADOS BRUTOS'!CR$3:CR$500)))</f>
        <v/>
      </c>
      <c r="FS8" s="125">
        <f>IF(OR(FS$4="",$B8=""),0,SUMIF('DADOS BRUTOS'!$A$3:$A$500,$B8,'DADOS BRUTOS'!CS$3:CS$500)+IF($C8="",0,SUMIF('DADOS BRUTOS'!$A$3:$A$500,$C8,'DADOS BRUTOS'!CS$3:CS$500)))</f>
        <v/>
      </c>
      <c r="FT8" s="125">
        <f>IF(OR(FT$4="",$B8=""),0,SUMIF('DADOS BRUTOS'!$A$3:$A$500,$B8,'DADOS BRUTOS'!CT$3:CT$500)+IF($C8="",0,SUMIF('DADOS BRUTOS'!$A$3:$A$500,$C8,'DADOS BRUTOS'!CT$3:CT$500)))</f>
        <v/>
      </c>
      <c r="FU8" s="125">
        <f>IF(OR(FU$4="",$B8=""),0,SUMIF('DADOS BRUTOS'!$A$3:$A$500,$B8,'DADOS BRUTOS'!CU$3:CU$500)+IF($C8="",0,SUMIF('DADOS BRUTOS'!$A$3:$A$500,$C8,'DADOS BRUTOS'!CU$3:CU$500)))</f>
        <v/>
      </c>
      <c r="FV8" s="125">
        <f>IF(OR(FV$4="",$B8=""),0,SUMIF('DADOS BRUTOS'!$A$3:$A$500,$B8,'DADOS BRUTOS'!CV$3:CV$500)+IF($C8="",0,SUMIF('DADOS BRUTOS'!$A$3:$A$500,$C8,'DADOS BRUTOS'!CV$3:CV$500)))</f>
        <v/>
      </c>
      <c r="FW8" s="125">
        <f>IF(OR(FW$4="",$B8=""),0,SUMIF('DADOS BRUTOS'!$A$3:$A$500,$B8,'DADOS BRUTOS'!CW$3:CW$500)+IF($C8="",0,SUMIF('DADOS BRUTOS'!$A$3:$A$500,$C8,'DADOS BRUTOS'!CW$3:CW$500)))</f>
        <v/>
      </c>
      <c r="FX8" s="125">
        <f>IF(OR(FX$4="",$B8=""),0,SUMIF('DADOS BRUTOS'!$A$3:$A$500,$B8,'DADOS BRUTOS'!CX$3:CX$500)+IF($C8="",0,SUMIF('DADOS BRUTOS'!$A$3:$A$500,$C8,'DADOS BRUTOS'!CX$3:CX$500)))</f>
        <v/>
      </c>
      <c r="FY8" s="125">
        <f>IF(OR(FY$4="",$B8=""),0,SUMIF('DADOS BRUTOS'!$A$3:$A$500,$B8,'DADOS BRUTOS'!CY$3:CY$500)+IF($C8="",0,SUMIF('DADOS BRUTOS'!$A$3:$A$500,$C8,'DADOS BRUTOS'!CY$3:CY$500)))</f>
        <v/>
      </c>
      <c r="FZ8" s="125">
        <f>IF(OR(FZ$4="",$B8=""),0,SUMIF('DADOS BRUTOS'!$A$3:$A$500,$B8,'DADOS BRUTOS'!CZ$3:CZ$500)+IF($C8="",0,SUMIF('DADOS BRUTOS'!$A$3:$A$500,$C8,'DADOS BRUTOS'!CZ$3:CZ$500)))</f>
        <v/>
      </c>
      <c r="GA8" s="125">
        <f>IF(OR(GA$4="",$B8=""),0,SUMIF('DADOS BRUTOS'!$A$3:$A$500,$B8,'DADOS BRUTOS'!DA$3:DA$500)+IF($C8="",0,SUMIF('DADOS BRUTOS'!$A$3:$A$500,$C8,'DADOS BRUTOS'!DA$3:DA$500)))</f>
        <v/>
      </c>
      <c r="GB8" s="125">
        <f>IF(OR(GB$4="",$B8=""),0,SUMIF('DADOS BRUTOS'!$A$3:$A$500,$B8,'DADOS BRUTOS'!DB$3:DB$500)+IF($C8="",0,SUMIF('DADOS BRUTOS'!$A$3:$A$500,$C8,'DADOS BRUTOS'!DB$3:DB$500)))</f>
        <v/>
      </c>
      <c r="GC8" s="125">
        <f>IF(OR(GC$4="",$B8=""),0,SUMIF('DADOS BRUTOS'!$A$3:$A$500,$B8,'DADOS BRUTOS'!DC$3:DC$500)+IF($C8="",0,SUMIF('DADOS BRUTOS'!$A$3:$A$500,$C8,'DADOS BRUTOS'!DC$3:DC$500)))</f>
        <v/>
      </c>
      <c r="GD8" s="125">
        <f>IF(OR(GD$4="",$B8=""),0,SUMIF('DADOS BRUTOS'!$A$3:$A$500,$B8,'DADOS BRUTOS'!DD$3:DD$500)+IF($C8="",0,SUMIF('DADOS BRUTOS'!$A$3:$A$500,$C8,'DADOS BRUTOS'!DD$3:DD$500)))</f>
        <v/>
      </c>
      <c r="GE8" s="125">
        <f>IF(OR(GE$4="",$B8=""),0,SUMIF('DADOS BRUTOS'!$A$3:$A$500,$B8,'DADOS BRUTOS'!DE$3:DE$500)+IF($C8="",0,SUMIF('DADOS BRUTOS'!$A$3:$A$500,$C8,'DADOS BRUTOS'!DE$3:DE$500)))</f>
        <v/>
      </c>
      <c r="GF8" s="125">
        <f>IF(OR(GF$4="",$B8=""),0,SUMIF('DADOS BRUTOS'!$A$3:$A$500,$B8,'DADOS BRUTOS'!DF$3:DF$500)+IF($C8="",0,SUMIF('DADOS BRUTOS'!$A$3:$A$500,$C8,'DADOS BRUTOS'!DF$3:DF$500)))</f>
        <v/>
      </c>
      <c r="GG8" s="125">
        <f>IF(OR(GG$4="",$B8=""),0,SUMIF('DADOS BRUTOS'!$A$3:$A$500,$B8,'DADOS BRUTOS'!DG$3:DG$500)+IF($C8="",0,SUMIF('DADOS BRUTOS'!$A$3:$A$500,$C8,'DADOS BRUTOS'!DG$3:DG$500)))</f>
        <v/>
      </c>
      <c r="GH8" s="125">
        <f>IF(OR(GH$4="",$B8=""),0,SUMIF('DADOS BRUTOS'!$A$3:$A$500,$B8,'DADOS BRUTOS'!DH$3:DH$500)+IF($C8="",0,SUMIF('DADOS BRUTOS'!$A$3:$A$500,$C8,'DADOS BRUTOS'!DH$3:DH$500)))</f>
        <v/>
      </c>
      <c r="GI8" s="125">
        <f>IF(OR(GI$4="",$B8=""),0,SUMIF('DADOS BRUTOS'!$A$3:$A$500,$B8,'DADOS BRUTOS'!DI$3:DI$500)+IF($C8="",0,SUMIF('DADOS BRUTOS'!$A$3:$A$500,$C8,'DADOS BRUTOS'!DI$3:DI$500)))</f>
        <v/>
      </c>
      <c r="GJ8" s="125">
        <f>IF(OR(GJ$4="",$B8=""),0,SUMIF('DADOS BRUTOS'!$A$3:$A$500,$B8,'DADOS BRUTOS'!DJ$3:DJ$500)+IF($C8="",0,SUMIF('DADOS BRUTOS'!$A$3:$A$500,$C8,'DADOS BRUTOS'!DJ$3:DJ$500)))</f>
        <v/>
      </c>
      <c r="GK8" s="125">
        <f>IF(OR(GK$4="",$B8=""),0,SUMIF('DADOS BRUTOS'!$A$3:$A$500,$B8,'DADOS BRUTOS'!DK$3:DK$500)+IF($C8="",0,SUMIF('DADOS BRUTOS'!$A$3:$A$500,$C8,'DADOS BRUTOS'!DK$3:DK$500)))</f>
        <v/>
      </c>
      <c r="GL8" s="125">
        <f>IF(OR(GL$4="",$B8=""),0,SUMIF('DADOS BRUTOS'!$A$3:$A$500,$B8,'DADOS BRUTOS'!DL$3:DL$500)+IF($C8="",0,SUMIF('DADOS BRUTOS'!$A$3:$A$500,$C8,'DADOS BRUTOS'!DL$3:DL$500)))</f>
        <v/>
      </c>
      <c r="GM8" s="125">
        <f>IF(OR(GM$4="",$B8=""),0,SUMIF('DADOS BRUTOS'!$A$3:$A$500,$B8,'DADOS BRUTOS'!DM$3:DM$500)+IF($C8="",0,SUMIF('DADOS BRUTOS'!$A$3:$A$500,$C8,'DADOS BRUTOS'!DM$3:DM$500)))</f>
        <v/>
      </c>
      <c r="GN8" s="125">
        <f>IF(OR(GN$4="",$B8=""),0,SUMIF('DADOS BRUTOS'!$A$3:$A$500,$B8,'DADOS BRUTOS'!DN$3:DN$500)+IF($C8="",0,SUMIF('DADOS BRUTOS'!$A$3:$A$500,$C8,'DADOS BRUTOS'!DN$3:DN$500)))</f>
        <v/>
      </c>
      <c r="GO8" s="125">
        <f>IF(OR(GO$4="",$B8=""),0,SUMIF('DADOS BRUTOS'!$A$3:$A$500,$B8,'DADOS BRUTOS'!DO$3:DO$500)+IF($C8="",0,SUMIF('DADOS BRUTOS'!$A$3:$A$500,$C8,'DADOS BRUTOS'!DO$3:DO$500)))</f>
        <v/>
      </c>
      <c r="GP8" s="125">
        <f>IF(OR(GP$4="",$B8=""),0,SUMIF('DADOS BRUTOS'!$A$3:$A$500,$B8,'DADOS BRUTOS'!DP$3:DP$500)+IF($C8="",0,SUMIF('DADOS BRUTOS'!$A$3:$A$500,$C8,'DADOS BRUTOS'!DP$3:DP$500)))</f>
        <v/>
      </c>
      <c r="GQ8" s="125">
        <f>IF(OR(GQ$4="",$B8=""),0,SUMIF('DADOS BRUTOS'!$A$3:$A$500,$B8,'DADOS BRUTOS'!DQ$3:DQ$500)+IF($C8="",0,SUMIF('DADOS BRUTOS'!$A$3:$A$500,$C8,'DADOS BRUTOS'!DQ$3:DQ$500)))</f>
        <v/>
      </c>
      <c r="GR8" s="125">
        <f>IF(OR(GR$4="",$B8=""),0,SUMIF('DADOS BRUTOS'!$A$3:$A$500,$B8,'DADOS BRUTOS'!DR$3:DR$500)+IF($C8="",0,SUMIF('DADOS BRUTOS'!$A$3:$A$500,$C8,'DADOS BRUTOS'!DR$3:DR$500)))</f>
        <v/>
      </c>
      <c r="GS8" s="125">
        <f>IF(OR(GS$4="",$B8=""),0,SUMIF('DADOS BRUTOS'!$A$3:$A$500,$B8,'DADOS BRUTOS'!DS$3:DS$500)+IF($C8="",0,SUMIF('DADOS BRUTOS'!$A$3:$A$500,$C8,'DADOS BRUTOS'!DS$3:DS$500)))</f>
        <v/>
      </c>
      <c r="GT8" s="125">
        <f>IF(OR(GT$4="",$B8=""),0,SUMIF('DADOS BRUTOS'!$A$3:$A$500,$B8,'DADOS BRUTOS'!DT$3:DT$500)+IF($C8="",0,SUMIF('DADOS BRUTOS'!$A$3:$A$500,$C8,'DADOS BRUTOS'!DT$3:DT$500)))</f>
        <v/>
      </c>
      <c r="GU8" s="125">
        <f>IF(OR(GU$4="",$B8=""),0,SUMIF('DADOS BRUTOS'!$A$3:$A$500,$B8,'DADOS BRUTOS'!DU$3:DU$500)+IF($C8="",0,SUMIF('DADOS BRUTOS'!$A$3:$A$500,$C8,'DADOS BRUTOS'!DU$3:DU$500)))</f>
        <v/>
      </c>
      <c r="GV8" s="125">
        <f>IF(OR(GV$4="",$B8=""),0,SUMIF('DADOS BRUTOS'!$A$3:$A$500,$B8,'DADOS BRUTOS'!DV$3:DV$500)+IF($C8="",0,SUMIF('DADOS BRUTOS'!$A$3:$A$500,$C8,'DADOS BRUTOS'!DV$3:DV$500)))</f>
        <v/>
      </c>
      <c r="GW8" s="125">
        <f>IF(OR(GW$4="",$B8=""),0,SUMIF('DADOS BRUTOS'!$A$3:$A$500,$B8,'DADOS BRUTOS'!DW$3:DW$500)+IF($C8="",0,SUMIF('DADOS BRUTOS'!$A$3:$A$500,$C8,'DADOS BRUTOS'!DW$3:DW$500)))</f>
        <v/>
      </c>
      <c r="GX8" s="125">
        <f>IF(OR(GX$4="",$B8=""),0,SUMIF('DADOS BRUTOS'!$A$3:$A$500,$B8,'DADOS BRUTOS'!DX$3:DX$500)+IF($C8="",0,SUMIF('DADOS BRUTOS'!$A$3:$A$500,$C8,'DADOS BRUTOS'!DX$3:DX$500)))</f>
        <v/>
      </c>
      <c r="GY8" s="125">
        <f>IF(OR(GY$4="",$B8=""),0,SUMIF('DADOS BRUTOS'!$A$3:$A$500,$B8,'DADOS BRUTOS'!DY$3:DY$500)+IF($C8="",0,SUMIF('DADOS BRUTOS'!$A$3:$A$500,$C8,'DADOS BRUTOS'!DY$3:DY$500)))</f>
        <v/>
      </c>
      <c r="GZ8" s="125">
        <f>IF(OR(GZ$4="",$B8=""),0,SUMIF('DADOS BRUTOS'!$A$3:$A$500,$B8,'DADOS BRUTOS'!DZ$3:DZ$500)+IF($C8="",0,SUMIF('DADOS BRUTOS'!$A$3:$A$500,$C8,'DADOS BRUTOS'!DZ$3:DZ$500)))</f>
        <v/>
      </c>
      <c r="HA8" s="125">
        <f>IF(OR(HA$4="",$B8=""),0,SUMIF('DADOS BRUTOS'!$A$3:$A$500,$B8,'DADOS BRUTOS'!EA$3:EA$500)+IF($C8="",0,SUMIF('DADOS BRUTOS'!$A$3:$A$500,$C8,'DADOS BRUTOS'!EA$3:EA$500)))</f>
        <v/>
      </c>
      <c r="HB8" s="125">
        <f>IF(OR(HB$4="",$B8=""),0,SUMIF('DADOS BRUTOS'!$A$3:$A$500,$B8,'DADOS BRUTOS'!EB$3:EB$500)+IF($C8="",0,SUMIF('DADOS BRUTOS'!$A$3:$A$500,$C8,'DADOS BRUTOS'!EB$3:EB$500)))</f>
        <v/>
      </c>
      <c r="HC8" s="125">
        <f>IF(OR(HC$4="",$B8=""),0,SUMIF('DADOS BRUTOS'!$A$3:$A$500,$B8,'DADOS BRUTOS'!EC$3:EC$500)+IF($C8="",0,SUMIF('DADOS BRUTOS'!$A$3:$A$500,$C8,'DADOS BRUTOS'!EC$3:EC$500)))</f>
        <v/>
      </c>
      <c r="HD8" s="125">
        <f>IF(OR(HD$4="",$B8=""),0,SUMIF('DADOS BRUTOS'!$A$3:$A$500,$B8,'DADOS BRUTOS'!ED$3:ED$500)+IF($C8="",0,SUMIF('DADOS BRUTOS'!$A$3:$A$500,$C8,'DADOS BRUTOS'!ED$3:ED$500)))</f>
        <v/>
      </c>
      <c r="HE8" s="125">
        <f>IF(OR(HE$4="",$B8=""),0,SUMIF('DADOS BRUTOS'!$A$3:$A$500,$B8,'DADOS BRUTOS'!EE$3:EE$500)+IF($C8="",0,SUMIF('DADOS BRUTOS'!$A$3:$A$500,$C8,'DADOS BRUTOS'!EE$3:EE$500)))</f>
        <v/>
      </c>
      <c r="HF8" s="125">
        <f>IF(OR(HF$4="",$B8=""),0,SUMIF('DADOS BRUTOS'!$A$3:$A$500,$B8,'DADOS BRUTOS'!EF$3:EF$500)+IF($C8="",0,SUMIF('DADOS BRUTOS'!$A$3:$A$500,$C8,'DADOS BRUTOS'!EF$3:EF$500)))</f>
        <v/>
      </c>
      <c r="HG8" s="125">
        <f>IF(OR(HG$4="",$B8=""),0,SUMIF('DADOS BRUTOS'!$A$3:$A$500,$B8,'DADOS BRUTOS'!EG$3:EG$500)+IF($C8="",0,SUMIF('DADOS BRUTOS'!$A$3:$A$500,$C8,'DADOS BRUTOS'!EG$3:EG$500)))</f>
        <v/>
      </c>
      <c r="HH8" s="125">
        <f>IF(OR(HH$4="",$B8=""),0,SUMIF('DADOS BRUTOS'!$A$3:$A$500,$B8,'DADOS BRUTOS'!EH$3:EH$500)+IF($C8="",0,SUMIF('DADOS BRUTOS'!$A$3:$A$500,$C8,'DADOS BRUTOS'!EH$3:EH$500)))</f>
        <v/>
      </c>
      <c r="HI8" s="125">
        <f>IF(OR(HI$4="",$B8=""),0,SUMIF('DADOS BRUTOS'!$A$3:$A$500,$B8,'DADOS BRUTOS'!EI$3:EI$500)+IF($C8="",0,SUMIF('DADOS BRUTOS'!$A$3:$A$500,$C8,'DADOS BRUTOS'!EI$3:EI$500)))</f>
        <v/>
      </c>
      <c r="HJ8" s="125">
        <f>IF(OR(HJ$4="",$B8=""),0,SUMIF('DADOS BRUTOS'!$A$3:$A$500,$B8,'DADOS BRUTOS'!EJ$3:EJ$500)+IF($C8="",0,SUMIF('DADOS BRUTOS'!$A$3:$A$500,$C8,'DADOS BRUTOS'!EJ$3:EJ$500)))</f>
        <v/>
      </c>
      <c r="HK8" s="125">
        <f>IF(OR(HK$4="",$B8=""),0,SUMIF('DADOS BRUTOS'!$A$3:$A$500,$B8,'DADOS BRUTOS'!EK$3:EK$500)+IF($C8="",0,SUMIF('DADOS BRUTOS'!$A$3:$A$500,$C8,'DADOS BRUTOS'!EK$3:EK$500)))</f>
        <v/>
      </c>
      <c r="HL8" s="125">
        <f>IF(OR(HL$4="",$B8=""),0,SUMIF('DADOS BRUTOS'!$A$3:$A$500,$B8,'DADOS BRUTOS'!EL$3:EL$500)+IF($C8="",0,SUMIF('DADOS BRUTOS'!$A$3:$A$500,$C8,'DADOS BRUTOS'!EL$3:EL$500)))</f>
        <v/>
      </c>
      <c r="HM8" s="125">
        <f>IF(OR(HM$4="",$B8=""),0,SUMIF('DADOS BRUTOS'!$A$3:$A$500,$B8,'DADOS BRUTOS'!EM$3:EM$500)+IF($C8="",0,SUMIF('DADOS BRUTOS'!$A$3:$A$500,$C8,'DADOS BRUTOS'!EM$3:EM$500)))</f>
        <v/>
      </c>
      <c r="HN8" s="125">
        <f>IF(OR(HN$4="",$B8=""),0,SUMIF('DADOS BRUTOS'!$A$3:$A$500,$B8,'DADOS BRUTOS'!EN$3:EN$500)+IF($C8="",0,SUMIF('DADOS BRUTOS'!$A$3:$A$500,$C8,'DADOS BRUTOS'!EN$3:EN$500)))</f>
        <v/>
      </c>
      <c r="HO8" s="125">
        <f>IF(OR(HO$4="",$B8=""),0,SUMIF('DADOS BRUTOS'!$A$3:$A$500,$B8,'DADOS BRUTOS'!EO$3:EO$500)+IF($C8="",0,SUMIF('DADOS BRUTOS'!$A$3:$A$500,$C8,'DADOS BRUTOS'!EO$3:EO$500)))</f>
        <v/>
      </c>
      <c r="HP8" s="125">
        <f>IF(OR(HP$4="",$B8=""),0,SUMIF('DADOS BRUTOS'!$A$3:$A$500,$B8,'DADOS BRUTOS'!EP$3:EP$500)+IF($C8="",0,SUMIF('DADOS BRUTOS'!$A$3:$A$500,$C8,'DADOS BRUTOS'!EP$3:EP$500)))</f>
        <v/>
      </c>
      <c r="HQ8" s="125">
        <f>IF(OR(HQ$4="",$B8=""),0,SUMIF('DADOS BRUTOS'!$A$3:$A$500,$B8,'DADOS BRUTOS'!EQ$3:EQ$500)+IF($C8="",0,SUMIF('DADOS BRUTOS'!$A$3:$A$500,$C8,'DADOS BRUTOS'!EQ$3:EQ$500)))</f>
        <v/>
      </c>
      <c r="HR8" s="125">
        <f>IF(OR(HR$4="",$B8=""),0,SUMIF('DADOS BRUTOS'!$A$3:$A$500,$B8,'DADOS BRUTOS'!ER$3:ER$500)+IF($C8="",0,SUMIF('DADOS BRUTOS'!$A$3:$A$500,$C8,'DADOS BRUTOS'!ER$3:ER$500)))</f>
        <v/>
      </c>
      <c r="HS8" s="125">
        <f>IF(OR(HS$4="",$B8=""),0,SUMIF('DADOS BRUTOS'!$A$3:$A$500,$B8,'DADOS BRUTOS'!ES$3:ES$500)+IF($C8="",0,SUMIF('DADOS BRUTOS'!$A$3:$A$500,$C8,'DADOS BRUTOS'!ES$3:ES$500)))</f>
        <v/>
      </c>
      <c r="HT8" s="125">
        <f>IF(OR(HT$4="",$B8=""),0,SUMIF('DADOS BRUTOS'!$A$3:$A$500,$B8,'DADOS BRUTOS'!ET$3:ET$500)+IF($C8="",0,SUMIF('DADOS BRUTOS'!$A$3:$A$500,$C8,'DADOS BRUTOS'!ET$3:ET$500)))</f>
        <v/>
      </c>
      <c r="HU8" s="125">
        <f>IF(OR(HU$4="",$B8=""),0,SUMIF('DADOS BRUTOS'!$A$3:$A$500,$B8,'DADOS BRUTOS'!EU$3:EU$500)+IF($C8="",0,SUMIF('DADOS BRUTOS'!$A$3:$A$500,$C8,'DADOS BRUTOS'!EU$3:EU$500)))</f>
        <v/>
      </c>
      <c r="HV8" s="125">
        <f>IF(OR(HV$4="",$B8=""),0,SUMIF('DADOS BRUTOS'!$A$3:$A$500,$B8,'DADOS BRUTOS'!EV$3:EV$500)+IF($C8="",0,SUMIF('DADOS BRUTOS'!$A$3:$A$500,$C8,'DADOS BRUTOS'!EV$3:EV$500)))</f>
        <v/>
      </c>
      <c r="HW8" s="125">
        <f>IF(OR(HW$4="",$B8=""),0,SUMIF('DADOS BRUTOS'!$A$3:$A$500,$B8,'DADOS BRUTOS'!EW$3:EW$500)+IF($C8="",0,SUMIF('DADOS BRUTOS'!$A$3:$A$500,$C8,'DADOS BRUTOS'!EW$3:EW$500)))</f>
        <v/>
      </c>
      <c r="HX8" s="125">
        <f>IF(OR(HX$4="",$B8=""),0,SUMIF('DADOS BRUTOS'!$A$3:$A$500,$B8,'DADOS BRUTOS'!EX$3:EX$500)+IF($C8="",0,SUMIF('DADOS BRUTOS'!$A$3:$A$500,$C8,'DADOS BRUTOS'!EX$3:EX$500)))</f>
        <v/>
      </c>
      <c r="HY8" s="125">
        <f>IF(OR(HY$4="",$B8=""),0,SUMIF('DADOS BRUTOS'!$A$3:$A$500,$B8,'DADOS BRUTOS'!EY$3:EY$500)+IF($C8="",0,SUMIF('DADOS BRUTOS'!$A$3:$A$500,$C8,'DADOS BRUTOS'!EY$3:EY$500)))</f>
        <v/>
      </c>
      <c r="HZ8" s="125">
        <f>IF(OR(HZ$4="",$B8=""),0,SUMIF('DADOS BRUTOS'!$A$3:$A$500,$B8,'DADOS BRUTOS'!EZ$3:EZ$500)+IF($C8="",0,SUMIF('DADOS BRUTOS'!$A$3:$A$500,$C8,'DADOS BRUTOS'!EZ$3:EZ$500)))</f>
        <v/>
      </c>
      <c r="IA8" s="125">
        <f>IF(OR(IA$4="",$B8=""),0,SUMIF('DADOS BRUTOS'!$A$3:$A$500,$B8,'DADOS BRUTOS'!FA$3:FA$500)+IF($C8="",0,SUMIF('DADOS BRUTOS'!$A$3:$A$500,$C8,'DADOS BRUTOS'!FA$3:FA$500)))</f>
        <v/>
      </c>
      <c r="IB8" s="125">
        <f>IF(OR(IB$4="",$B8=""),0,SUMIF('DADOS BRUTOS'!$A$3:$A$500,$B8,'DADOS BRUTOS'!FB$3:FB$500)+IF($C8="",0,SUMIF('DADOS BRUTOS'!$A$3:$A$500,$C8,'DADOS BRUTOS'!FB$3:FB$500)))</f>
        <v/>
      </c>
      <c r="IC8" s="125">
        <f>IF(OR(IC$4="",$B8=""),0,SUMIF('DADOS BRUTOS'!$A$3:$A$500,$B8,'DADOS BRUTOS'!FC$3:FC$500)+IF($C8="",0,SUMIF('DADOS BRUTOS'!$A$3:$A$500,$C8,'DADOS BRUTOS'!FC$3:FC$500)))</f>
        <v/>
      </c>
      <c r="ID8" s="125">
        <f>IF(OR(ID$4="",$B8=""),0,SUMIF('DADOS BRUTOS'!$A$3:$A$500,$B8,'DADOS BRUTOS'!FD$3:FD$500)+IF($C8="",0,SUMIF('DADOS BRUTOS'!$A$3:$A$500,$C8,'DADOS BRUTOS'!FD$3:FD$500)))</f>
        <v/>
      </c>
      <c r="IE8" s="125">
        <f>IF(OR(IE$4="",$B8=""),0,SUMIF('DADOS BRUTOS'!$A$3:$A$500,$B8,'DADOS BRUTOS'!FE$3:FE$500)+IF($C8="",0,SUMIF('DADOS BRUTOS'!$A$3:$A$500,$C8,'DADOS BRUTOS'!FE$3:FE$500)))</f>
        <v/>
      </c>
      <c r="IF8" s="125">
        <f>IF(OR(IF$4="",$B8=""),0,SUMIF('DADOS BRUTOS'!$A$3:$A$500,$B8,'DADOS BRUTOS'!FF$3:FF$500)+IF($C8="",0,SUMIF('DADOS BRUTOS'!$A$3:$A$500,$C8,'DADOS BRUTOS'!FF$3:FF$500)))</f>
        <v/>
      </c>
      <c r="IG8" s="125">
        <f>IF(OR(IG$4="",$B8=""),0,SUMIF('DADOS BRUTOS'!$A$3:$A$500,$B8,'DADOS BRUTOS'!FG$3:FG$500)+IF($C8="",0,SUMIF('DADOS BRUTOS'!$A$3:$A$500,$C8,'DADOS BRUTOS'!FG$3:FG$500)))</f>
        <v/>
      </c>
      <c r="IH8" s="125">
        <f>IF(OR(IH$4="",$B8=""),0,SUMIF('DADOS BRUTOS'!$A$3:$A$500,$B8,'DADOS BRUTOS'!FH$3:FH$500)+IF($C8="",0,SUMIF('DADOS BRUTOS'!$A$3:$A$500,$C8,'DADOS BRUTOS'!FH$3:FH$500)))</f>
        <v/>
      </c>
      <c r="II8" s="125">
        <f>IF(OR(II$4="",$B8=""),0,SUMIF('DADOS BRUTOS'!$A$3:$A$500,$B8,'DADOS BRUTOS'!FI$3:FI$500)+IF($C8="",0,SUMIF('DADOS BRUTOS'!$A$3:$A$500,$C8,'DADOS BRUTOS'!FI$3:FI$500)))</f>
        <v/>
      </c>
      <c r="IJ8" s="125">
        <f>IF(OR(IJ$4="",$B8=""),0,SUMIF('DADOS BRUTOS'!$A$3:$A$500,$B8,'DADOS BRUTOS'!FJ$3:FJ$500)+IF($C8="",0,SUMIF('DADOS BRUTOS'!$A$3:$A$500,$C8,'DADOS BRUTOS'!FJ$3:FJ$500)))</f>
        <v/>
      </c>
      <c r="IK8" s="125">
        <f>IF(OR(IK$4="",$B8=""),0,SUMIF('DADOS BRUTOS'!$A$3:$A$500,$B8,'DADOS BRUTOS'!FK$3:FK$500)+IF($C8="",0,SUMIF('DADOS BRUTOS'!$A$3:$A$500,$C8,'DADOS BRUTOS'!FK$3:FK$500)))</f>
        <v/>
      </c>
      <c r="IL8" s="125">
        <f>IF(OR(IL$4="",$B8=""),0,SUMIF('DADOS BRUTOS'!$A$3:$A$500,$B8,'DADOS BRUTOS'!FL$3:FL$500)+IF($C8="",0,SUMIF('DADOS BRUTOS'!$A$3:$A$500,$C8,'DADOS BRUTOS'!FL$3:FL$500)))</f>
        <v/>
      </c>
      <c r="IM8" s="125">
        <f>IF(OR(IM$4="",$B8=""),0,SUMIF('DADOS BRUTOS'!$A$3:$A$500,$B8,'DADOS BRUTOS'!FM$3:FM$500)+IF($C8="",0,SUMIF('DADOS BRUTOS'!$A$3:$A$500,$C8,'DADOS BRUTOS'!FM$3:FM$500)))</f>
        <v/>
      </c>
      <c r="IN8" s="125">
        <f>IF(OR(IN$4="",$B8=""),0,SUMIF('DADOS BRUTOS'!$A$3:$A$500,$B8,'DADOS BRUTOS'!FN$3:FN$500)+IF($C8="",0,SUMIF('DADOS BRUTOS'!$A$3:$A$500,$C8,'DADOS BRUTOS'!FN$3:FN$500)))</f>
        <v/>
      </c>
      <c r="IO8" s="125">
        <f>IF(OR(IO$4="",$B8=""),0,SUMIF('DADOS BRUTOS'!$A$3:$A$500,$B8,'DADOS BRUTOS'!FO$3:FO$500)+IF($C8="",0,SUMIF('DADOS BRUTOS'!$A$3:$A$500,$C8,'DADOS BRUTOS'!FO$3:FO$500)))</f>
        <v/>
      </c>
      <c r="IP8" s="125">
        <f>IF(OR(IP$4="",$B8=""),0,SUMIF('DADOS BRUTOS'!$A$3:$A$500,$B8,'DADOS BRUTOS'!FP$3:FP$500)+IF($C8="",0,SUMIF('DADOS BRUTOS'!$A$3:$A$500,$C8,'DADOS BRUTOS'!FP$3:FP$500)))</f>
        <v/>
      </c>
      <c r="IQ8" s="125">
        <f>IF(OR(IQ$4="",$B8=""),0,SUMIF('DADOS BRUTOS'!$A$3:$A$500,$B8,'DADOS BRUTOS'!FQ$3:FQ$500)+IF($C8="",0,SUMIF('DADOS BRUTOS'!$A$3:$A$500,$C8,'DADOS BRUTOS'!FQ$3:FQ$500)))</f>
        <v/>
      </c>
      <c r="IR8" s="125">
        <f>IF(OR(IR$4="",$B8=""),0,SUMIF('DADOS BRUTOS'!$A$3:$A$500,$B8,'DADOS BRUTOS'!FR$3:FR$500)+IF($C8="",0,SUMIF('DADOS BRUTOS'!$A$3:$A$500,$C8,'DADOS BRUTOS'!FR$3:FR$500)))</f>
        <v/>
      </c>
      <c r="IS8" s="125">
        <f>IF(OR(IS$4="",$B8=""),0,SUMIF('DADOS BRUTOS'!$A$3:$A$500,$B8,'DADOS BRUTOS'!FS$3:FS$500)+IF($C8="",0,SUMIF('DADOS BRUTOS'!$A$3:$A$500,$C8,'DADOS BRUTOS'!FS$3:FS$500)))</f>
        <v/>
      </c>
      <c r="IT8" s="125">
        <f>IF(OR(IT$4="",$B8=""),0,SUMIF('DADOS BRUTOS'!$A$3:$A$500,$B8,'DADOS BRUTOS'!FT$3:FT$500)+IF($C8="",0,SUMIF('DADOS BRUTOS'!$A$3:$A$500,$C8,'DADOS BRUTOS'!FT$3:FT$500)))</f>
        <v/>
      </c>
      <c r="IU8" s="125">
        <f>IF(OR(IU$4="",$B8=""),0,SUMIF('DADOS BRUTOS'!$A$3:$A$500,$B8,'DADOS BRUTOS'!FU$3:FU$500)+IF($C8="",0,SUMIF('DADOS BRUTOS'!$A$3:$A$500,$C8,'DADOS BRUTOS'!FU$3:FU$500)))</f>
        <v/>
      </c>
      <c r="IV8" s="125">
        <f>IF(OR(IV$4="",$B8=""),0,SUMIF('DADOS BRUTOS'!$A$3:$A$500,$B8,'DADOS BRUTOS'!FV$3:FV$500)+IF($C8="",0,SUMIF('DADOS BRUTOS'!$A$3:$A$500,$C8,'DADOS BRUTOS'!FV$3:FV$500)))</f>
        <v/>
      </c>
      <c r="IW8" s="125">
        <f>IF(OR(IW$4="",$B8=""),0,SUMIF('DADOS BRUTOS'!$A$3:$A$500,$B8,'DADOS BRUTOS'!FW$3:FW$500)+IF($C8="",0,SUMIF('DADOS BRUTOS'!$A$3:$A$500,$C8,'DADOS BRUTOS'!FW$3:FW$500)))</f>
        <v/>
      </c>
      <c r="IX8" s="125">
        <f>IF(OR(IX$4="",$B8=""),0,SUMIF('DADOS BRUTOS'!$A$3:$A$500,$B8,'DADOS BRUTOS'!FX$3:FX$500)+IF($C8="",0,SUMIF('DADOS BRUTOS'!$A$3:$A$500,$C8,'DADOS BRUTOS'!FX$3:FX$500)))</f>
        <v/>
      </c>
      <c r="IY8" s="125">
        <f>IF(OR(IY$4="",$B8=""),0,SUMIF('DADOS BRUTOS'!$A$3:$A$500,$B8,'DADOS BRUTOS'!FY$3:FY$500)+IF($C8="",0,SUMIF('DADOS BRUTOS'!$A$3:$A$500,$C8,'DADOS BRUTOS'!FY$3:FY$500)))</f>
        <v/>
      </c>
      <c r="IZ8" s="125">
        <f>IF(OR(IZ$4="",$B8=""),0,SUMIF('DADOS BRUTOS'!$A$3:$A$500,$B8,'DADOS BRUTOS'!FZ$3:FZ$500)+IF($C8="",0,SUMIF('DADOS BRUTOS'!$A$3:$A$500,$C8,'DADOS BRUTOS'!FZ$3:FZ$500)))</f>
        <v/>
      </c>
      <c r="JA8" s="125">
        <f>IF(OR(JA$4="",$B8=""),0,SUMIF('DADOS BRUTOS'!$A$3:$A$500,$B8,'DADOS BRUTOS'!GA$3:GA$500)+IF($C8="",0,SUMIF('DADOS BRUTOS'!$A$3:$A$500,$C8,'DADOS BRUTOS'!GA$3:GA$500)))</f>
        <v/>
      </c>
      <c r="JB8" s="125">
        <f>IF(OR(JB$4="",$B8=""),0,SUMIF('DADOS BRUTOS'!$A$3:$A$500,$B8,'DADOS BRUTOS'!GB$3:GB$500)+IF($C8="",0,SUMIF('DADOS BRUTOS'!$A$3:$A$500,$C8,'DADOS BRUTOS'!GB$3:GB$500)))</f>
        <v/>
      </c>
      <c r="JC8" s="125">
        <f>IF(OR(JC$4="",$B8=""),0,SUMIF('DADOS BRUTOS'!$A$3:$A$500,$B8,'DADOS BRUTOS'!GC$3:GC$500)+IF($C8="",0,SUMIF('DADOS BRUTOS'!$A$3:$A$500,$C8,'DADOS BRUTOS'!GC$3:GC$500)))</f>
        <v/>
      </c>
      <c r="JD8" s="125">
        <f>IF(OR(JD$4="",$B8=""),0,SUMIF('DADOS BRUTOS'!$A$3:$A$500,$B8,'DADOS BRUTOS'!GD$3:GD$500)+IF($C8="",0,SUMIF('DADOS BRUTOS'!$A$3:$A$500,$C8,'DADOS BRUTOS'!GD$3:GD$500)))</f>
        <v/>
      </c>
      <c r="JE8" s="125">
        <f>IF(OR(JE$4="",$B8=""),0,SUMIF('DADOS BRUTOS'!$A$3:$A$500,$B8,'DADOS BRUTOS'!GE$3:GE$500)+IF($C8="",0,SUMIF('DADOS BRUTOS'!$A$3:$A$500,$C8,'DADOS BRUTOS'!GE$3:GE$500)))</f>
        <v/>
      </c>
      <c r="JF8" s="125">
        <f>IF(OR(JF$4="",$B8=""),0,SUMIF('DADOS BRUTOS'!$A$3:$A$500,$B8,'DADOS BRUTOS'!GF$3:GF$500)+IF($C8="",0,SUMIF('DADOS BRUTOS'!$A$3:$A$500,$C8,'DADOS BRUTOS'!GF$3:GF$500)))</f>
        <v/>
      </c>
      <c r="JG8" s="125">
        <f>IF(OR(JG$4="",$B8=""),0,SUMIF('DADOS BRUTOS'!$A$3:$A$500,$B8,'DADOS BRUTOS'!GG$3:GG$500)+IF($C8="",0,SUMIF('DADOS BRUTOS'!$A$3:$A$500,$C8,'DADOS BRUTOS'!GG$3:GG$500)))</f>
        <v/>
      </c>
      <c r="JH8" s="125">
        <f>IF(OR(JH$4="",$B8=""),0,SUMIF('DADOS BRUTOS'!$A$3:$A$500,$B8,'DADOS BRUTOS'!GH$3:GH$500)+IF($C8="",0,SUMIF('DADOS BRUTOS'!$A$3:$A$500,$C8,'DADOS BRUTOS'!GH$3:GH$500)))</f>
        <v/>
      </c>
      <c r="JI8" s="125">
        <f>IF(OR(JI$4="",$B8=""),0,SUMIF('DADOS BRUTOS'!$A$3:$A$500,$B8,'DADOS BRUTOS'!GI$3:GI$500)+IF($C8="",0,SUMIF('DADOS BRUTOS'!$A$3:$A$500,$C8,'DADOS BRUTOS'!GI$3:GI$500)))</f>
        <v/>
      </c>
      <c r="JJ8" s="125">
        <f>IF(OR(JJ$4="",$B8=""),0,SUMIF('DADOS BRUTOS'!$A$3:$A$500,$B8,'DADOS BRUTOS'!GJ$3:GJ$500)+IF($C8="",0,SUMIF('DADOS BRUTOS'!$A$3:$A$500,$C8,'DADOS BRUTOS'!GJ$3:GJ$500)))</f>
        <v/>
      </c>
      <c r="JK8" s="125">
        <f>IF(OR(JK$4="",$B8=""),0,SUMIF('DADOS BRUTOS'!$A$3:$A$500,$B8,'DADOS BRUTOS'!GK$3:GK$500)+IF($C8="",0,SUMIF('DADOS BRUTOS'!$A$3:$A$500,$C8,'DADOS BRUTOS'!GK$3:GK$500)))</f>
        <v/>
      </c>
      <c r="JL8" s="125">
        <f>IF(OR(JL$4="",$B8=""),0,SUMIF('DADOS BRUTOS'!$A$3:$A$500,$B8,'DADOS BRUTOS'!GL$3:GL$500)+IF($C8="",0,SUMIF('DADOS BRUTOS'!$A$3:$A$500,$C8,'DADOS BRUTOS'!GL$3:GL$500)))</f>
        <v/>
      </c>
      <c r="JM8" s="125">
        <f>IF(OR(JM$4="",$B8=""),0,SUMIF('DADOS BRUTOS'!$A$3:$A$500,$B8,'DADOS BRUTOS'!GM$3:GM$500)+IF($C8="",0,SUMIF('DADOS BRUTOS'!$A$3:$A$500,$C8,'DADOS BRUTOS'!GM$3:GM$500)))</f>
        <v/>
      </c>
      <c r="JN8" s="125">
        <f>IF(OR(JN$4="",$B8=""),0,SUMIF('DADOS BRUTOS'!$A$3:$A$500,$B8,'DADOS BRUTOS'!GN$3:GN$500)+IF($C8="",0,SUMIF('DADOS BRUTOS'!$A$3:$A$500,$C8,'DADOS BRUTOS'!GN$3:GN$500)))</f>
        <v/>
      </c>
      <c r="JO8" s="125">
        <f>IF(OR(JO$4="",$B8=""),0,SUMIF('DADOS BRUTOS'!$A$3:$A$500,$B8,'DADOS BRUTOS'!GO$3:GO$500)+IF($C8="",0,SUMIF('DADOS BRUTOS'!$A$3:$A$500,$C8,'DADOS BRUTOS'!GO$3:GO$500)))</f>
        <v/>
      </c>
      <c r="JP8" s="125">
        <f>IF(OR(JP$4="",$B8=""),0,SUMIF('DADOS BRUTOS'!$A$3:$A$500,$B8,'DADOS BRUTOS'!GP$3:GP$500)+IF($C8="",0,SUMIF('DADOS BRUTOS'!$A$3:$A$500,$C8,'DADOS BRUTOS'!GP$3:GP$500)))</f>
        <v/>
      </c>
      <c r="JQ8" s="125">
        <f>IF(OR(JQ$4="",$B8=""),0,SUMIF('DADOS BRUTOS'!$A$3:$A$500,$B8,'DADOS BRUTOS'!GQ$3:GQ$500)+IF($C8="",0,SUMIF('DADOS BRUTOS'!$A$3:$A$500,$C8,'DADOS BRUTOS'!GQ$3:GQ$500)))</f>
        <v/>
      </c>
      <c r="JR8" s="125">
        <f>IF(OR(JR$4="",$B8=""),0,SUMIF('DADOS BRUTOS'!$A$3:$A$500,$B8,'DADOS BRUTOS'!GR$3:GR$500)+IF($C8="",0,SUMIF('DADOS BRUTOS'!$A$3:$A$500,$C8,'DADOS BRUTOS'!GR$3:GR$500)))</f>
        <v/>
      </c>
      <c r="JS8" s="125">
        <f>IF(OR(JS$4="",$B8=""),0,SUMIF('DADOS BRUTOS'!$A$3:$A$500,$B8,'DADOS BRUTOS'!GS$3:GS$500)+IF($C8="",0,SUMIF('DADOS BRUTOS'!$A$3:$A$500,$C8,'DADOS BRUTOS'!GS$3:GS$500)))</f>
        <v/>
      </c>
    </row>
    <row r="9">
      <c r="A9" s="61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BZ9" s="49">
        <f>SUMPRODUCT(($CB$4:$JS$4&lt;&gt;"")*($CB$4:$JS$4&lt;=$D$4),$CB9:$JS9,$CB$1:$JS$1)</f>
        <v/>
      </c>
      <c r="CB9" s="125">
        <f>IF(OR(CB$4="",$B9=""),0,SUMIF('DADOS BRUTOS'!$A$3:$A$500,$B9,'DADOS BRUTOS'!B$3:B$500)+IF($C9="",0,SUMIF('DADOS BRUTOS'!$A$3:$A$500,$C9,'DADOS BRUTOS'!B$3:B$500)))</f>
        <v/>
      </c>
      <c r="CC9" s="125">
        <f>IF(OR(CC$4="",$B9=""),0,SUMIF('DADOS BRUTOS'!$A$3:$A$500,$B9,'DADOS BRUTOS'!C$3:C$500)+IF($C9="",0,SUMIF('DADOS BRUTOS'!$A$3:$A$500,$C9,'DADOS BRUTOS'!C$3:C$500)))</f>
        <v/>
      </c>
      <c r="CD9" s="125">
        <f>IF(OR(CD$4="",$B9=""),0,SUMIF('DADOS BRUTOS'!$A$3:$A$500,$B9,'DADOS BRUTOS'!D$3:D$500)+IF($C9="",0,SUMIF('DADOS BRUTOS'!$A$3:$A$500,$C9,'DADOS BRUTOS'!D$3:D$500)))</f>
        <v/>
      </c>
      <c r="CE9" s="125">
        <f>IF(OR(CE$4="",$B9=""),0,SUMIF('DADOS BRUTOS'!$A$3:$A$500,$B9,'DADOS BRUTOS'!E$3:E$500)+IF($C9="",0,SUMIF('DADOS BRUTOS'!$A$3:$A$500,$C9,'DADOS BRUTOS'!E$3:E$500)))</f>
        <v/>
      </c>
      <c r="CF9" s="125">
        <f>IF(OR(CF$4="",$B9=""),0,SUMIF('DADOS BRUTOS'!$A$3:$A$500,$B9,'DADOS BRUTOS'!F$3:F$500)+IF($C9="",0,SUMIF('DADOS BRUTOS'!$A$3:$A$500,$C9,'DADOS BRUTOS'!F$3:F$500)))</f>
        <v/>
      </c>
      <c r="CG9" s="125">
        <f>IF(OR(CG$4="",$B9=""),0,SUMIF('DADOS BRUTOS'!$A$3:$A$500,$B9,'DADOS BRUTOS'!G$3:G$500)+IF($C9="",0,SUMIF('DADOS BRUTOS'!$A$3:$A$500,$C9,'DADOS BRUTOS'!G$3:G$500)))</f>
        <v/>
      </c>
      <c r="CH9" s="125">
        <f>IF(OR(CH$4="",$B9=""),0,SUMIF('DADOS BRUTOS'!$A$3:$A$500,$B9,'DADOS BRUTOS'!H$3:H$500)+IF($C9="",0,SUMIF('DADOS BRUTOS'!$A$3:$A$500,$C9,'DADOS BRUTOS'!H$3:H$500)))</f>
        <v/>
      </c>
      <c r="CI9" s="125">
        <f>IF(OR(CI$4="",$B9=""),0,SUMIF('DADOS BRUTOS'!$A$3:$A$500,$B9,'DADOS BRUTOS'!I$3:I$500)+IF($C9="",0,SUMIF('DADOS BRUTOS'!$A$3:$A$500,$C9,'DADOS BRUTOS'!I$3:I$500)))</f>
        <v/>
      </c>
      <c r="CJ9" s="125">
        <f>IF(OR(CJ$4="",$B9=""),0,SUMIF('DADOS BRUTOS'!$A$3:$A$500,$B9,'DADOS BRUTOS'!J$3:J$500)+IF($C9="",0,SUMIF('DADOS BRUTOS'!$A$3:$A$500,$C9,'DADOS BRUTOS'!J$3:J$500)))</f>
        <v/>
      </c>
      <c r="CK9" s="125">
        <f>IF(OR(CK$4="",$B9=""),0,SUMIF('DADOS BRUTOS'!$A$3:$A$500,$B9,'DADOS BRUTOS'!K$3:K$500)+IF($C9="",0,SUMIF('DADOS BRUTOS'!$A$3:$A$500,$C9,'DADOS BRUTOS'!K$3:K$500)))</f>
        <v/>
      </c>
      <c r="CL9" s="125">
        <f>IF(OR(CL$4="",$B9=""),0,SUMIF('DADOS BRUTOS'!$A$3:$A$500,$B9,'DADOS BRUTOS'!L$3:L$500)+IF($C9="",0,SUMIF('DADOS BRUTOS'!$A$3:$A$500,$C9,'DADOS BRUTOS'!L$3:L$500)))</f>
        <v/>
      </c>
      <c r="CM9" s="125">
        <f>IF(OR(CM$4="",$B9=""),0,SUMIF('DADOS BRUTOS'!$A$3:$A$500,$B9,'DADOS BRUTOS'!M$3:M$500)+IF($C9="",0,SUMIF('DADOS BRUTOS'!$A$3:$A$500,$C9,'DADOS BRUTOS'!M$3:M$500)))</f>
        <v/>
      </c>
      <c r="CN9" s="125">
        <f>IF(OR(CN$4="",$B9=""),0,SUMIF('DADOS BRUTOS'!$A$3:$A$500,$B9,'DADOS BRUTOS'!N$3:N$500)+IF($C9="",0,SUMIF('DADOS BRUTOS'!$A$3:$A$500,$C9,'DADOS BRUTOS'!N$3:N$500)))</f>
        <v/>
      </c>
      <c r="CO9" s="125">
        <f>IF(OR(CO$4="",$B9=""),0,SUMIF('DADOS BRUTOS'!$A$3:$A$500,$B9,'DADOS BRUTOS'!O$3:O$500)+IF($C9="",0,SUMIF('DADOS BRUTOS'!$A$3:$A$500,$C9,'DADOS BRUTOS'!O$3:O$500)))</f>
        <v/>
      </c>
      <c r="CP9" s="125">
        <f>IF(OR(CP$4="",$B9=""),0,SUMIF('DADOS BRUTOS'!$A$3:$A$500,$B9,'DADOS BRUTOS'!P$3:P$500)+IF($C9="",0,SUMIF('DADOS BRUTOS'!$A$3:$A$500,$C9,'DADOS BRUTOS'!P$3:P$500)))</f>
        <v/>
      </c>
      <c r="CQ9" s="125">
        <f>IF(OR(CQ$4="",$B9=""),0,SUMIF('DADOS BRUTOS'!$A$3:$A$500,$B9,'DADOS BRUTOS'!Q$3:Q$500)+IF($C9="",0,SUMIF('DADOS BRUTOS'!$A$3:$A$500,$C9,'DADOS BRUTOS'!Q$3:Q$500)))</f>
        <v/>
      </c>
      <c r="CR9" s="125">
        <f>IF(OR(CR$4="",$B9=""),0,SUMIF('DADOS BRUTOS'!$A$3:$A$500,$B9,'DADOS BRUTOS'!R$3:R$500)+IF($C9="",0,SUMIF('DADOS BRUTOS'!$A$3:$A$500,$C9,'DADOS BRUTOS'!R$3:R$500)))</f>
        <v/>
      </c>
      <c r="CS9" s="125">
        <f>IF(OR(CS$4="",$B9=""),0,SUMIF('DADOS BRUTOS'!$A$3:$A$500,$B9,'DADOS BRUTOS'!S$3:S$500)+IF($C9="",0,SUMIF('DADOS BRUTOS'!$A$3:$A$500,$C9,'DADOS BRUTOS'!S$3:S$500)))</f>
        <v/>
      </c>
      <c r="CT9" s="125">
        <f>IF(OR(CT$4="",$B9=""),0,SUMIF('DADOS BRUTOS'!$A$3:$A$500,$B9,'DADOS BRUTOS'!T$3:T$500)+IF($C9="",0,SUMIF('DADOS BRUTOS'!$A$3:$A$500,$C9,'DADOS BRUTOS'!T$3:T$500)))</f>
        <v/>
      </c>
      <c r="CU9" s="125">
        <f>IF(OR(CU$4="",$B9=""),0,SUMIF('DADOS BRUTOS'!$A$3:$A$500,$B9,'DADOS BRUTOS'!U$3:U$500)+IF($C9="",0,SUMIF('DADOS BRUTOS'!$A$3:$A$500,$C9,'DADOS BRUTOS'!U$3:U$500)))</f>
        <v/>
      </c>
      <c r="CV9" s="125">
        <f>IF(OR(CV$4="",$B9=""),0,SUMIF('DADOS BRUTOS'!$A$3:$A$500,$B9,'DADOS BRUTOS'!V$3:V$500)+IF($C9="",0,SUMIF('DADOS BRUTOS'!$A$3:$A$500,$C9,'DADOS BRUTOS'!V$3:V$500)))</f>
        <v/>
      </c>
      <c r="CW9" s="125">
        <f>IF(OR(CW$4="",$B9=""),0,SUMIF('DADOS BRUTOS'!$A$3:$A$500,$B9,'DADOS BRUTOS'!W$3:W$500)+IF($C9="",0,SUMIF('DADOS BRUTOS'!$A$3:$A$500,$C9,'DADOS BRUTOS'!W$3:W$500)))</f>
        <v/>
      </c>
      <c r="CX9" s="125">
        <f>IF(OR(CX$4="",$B9=""),0,SUMIF('DADOS BRUTOS'!$A$3:$A$500,$B9,'DADOS BRUTOS'!X$3:X$500)+IF($C9="",0,SUMIF('DADOS BRUTOS'!$A$3:$A$500,$C9,'DADOS BRUTOS'!X$3:X$500)))</f>
        <v/>
      </c>
      <c r="CY9" s="125">
        <f>IF(OR(CY$4="",$B9=""),0,SUMIF('DADOS BRUTOS'!$A$3:$A$500,$B9,'DADOS BRUTOS'!Y$3:Y$500)+IF($C9="",0,SUMIF('DADOS BRUTOS'!$A$3:$A$500,$C9,'DADOS BRUTOS'!Y$3:Y$500)))</f>
        <v/>
      </c>
      <c r="CZ9" s="125">
        <f>IF(OR(CZ$4="",$B9=""),0,SUMIF('DADOS BRUTOS'!$A$3:$A$500,$B9,'DADOS BRUTOS'!Z$3:Z$500)+IF($C9="",0,SUMIF('DADOS BRUTOS'!$A$3:$A$500,$C9,'DADOS BRUTOS'!Z$3:Z$500)))</f>
        <v/>
      </c>
      <c r="DA9" s="125">
        <f>IF(OR(DA$4="",$B9=""),0,SUMIF('DADOS BRUTOS'!$A$3:$A$500,$B9,'DADOS BRUTOS'!AA$3:AA$500)+IF($C9="",0,SUMIF('DADOS BRUTOS'!$A$3:$A$500,$C9,'DADOS BRUTOS'!AA$3:AA$500)))</f>
        <v/>
      </c>
      <c r="DB9" s="125">
        <f>IF(OR(DB$4="",$B9=""),0,SUMIF('DADOS BRUTOS'!$A$3:$A$500,$B9,'DADOS BRUTOS'!AB$3:AB$500)+IF($C9="",0,SUMIF('DADOS BRUTOS'!$A$3:$A$500,$C9,'DADOS BRUTOS'!AB$3:AB$500)))</f>
        <v/>
      </c>
      <c r="DC9" s="125">
        <f>IF(OR(DC$4="",$B9=""),0,SUMIF('DADOS BRUTOS'!$A$3:$A$500,$B9,'DADOS BRUTOS'!AC$3:AC$500)+IF($C9="",0,SUMIF('DADOS BRUTOS'!$A$3:$A$500,$C9,'DADOS BRUTOS'!AC$3:AC$500)))</f>
        <v/>
      </c>
      <c r="DD9" s="125">
        <f>IF(OR(DD$4="",$B9=""),0,SUMIF('DADOS BRUTOS'!$A$3:$A$500,$B9,'DADOS BRUTOS'!AD$3:AD$500)+IF($C9="",0,SUMIF('DADOS BRUTOS'!$A$3:$A$500,$C9,'DADOS BRUTOS'!AD$3:AD$500)))</f>
        <v/>
      </c>
      <c r="DE9" s="125">
        <f>IF(OR(DE$4="",$B9=""),0,SUMIF('DADOS BRUTOS'!$A$3:$A$500,$B9,'DADOS BRUTOS'!AE$3:AE$500)+IF($C9="",0,SUMIF('DADOS BRUTOS'!$A$3:$A$500,$C9,'DADOS BRUTOS'!AE$3:AE$500)))</f>
        <v/>
      </c>
      <c r="DF9" s="125">
        <f>IF(OR(DF$4="",$B9=""),0,SUMIF('DADOS BRUTOS'!$A$3:$A$500,$B9,'DADOS BRUTOS'!AF$3:AF$500)+IF($C9="",0,SUMIF('DADOS BRUTOS'!$A$3:$A$500,$C9,'DADOS BRUTOS'!AF$3:AF$500)))</f>
        <v/>
      </c>
      <c r="DG9" s="125">
        <f>IF(OR(DG$4="",$B9=""),0,SUMIF('DADOS BRUTOS'!$A$3:$A$500,$B9,'DADOS BRUTOS'!AG$3:AG$500)+IF($C9="",0,SUMIF('DADOS BRUTOS'!$A$3:$A$500,$C9,'DADOS BRUTOS'!AG$3:AG$500)))</f>
        <v/>
      </c>
      <c r="DH9" s="125">
        <f>IF(OR(DH$4="",$B9=""),0,SUMIF('DADOS BRUTOS'!$A$3:$A$500,$B9,'DADOS BRUTOS'!AH$3:AH$500)+IF($C9="",0,SUMIF('DADOS BRUTOS'!$A$3:$A$500,$C9,'DADOS BRUTOS'!AH$3:AH$500)))</f>
        <v/>
      </c>
      <c r="DI9" s="125">
        <f>IF(OR(DI$4="",$B9=""),0,SUMIF('DADOS BRUTOS'!$A$3:$A$500,$B9,'DADOS BRUTOS'!AI$3:AI$500)+IF($C9="",0,SUMIF('DADOS BRUTOS'!$A$3:$A$500,$C9,'DADOS BRUTOS'!AI$3:AI$500)))</f>
        <v/>
      </c>
      <c r="DJ9" s="125">
        <f>IF(OR(DJ$4="",$B9=""),0,SUMIF('DADOS BRUTOS'!$A$3:$A$500,$B9,'DADOS BRUTOS'!AJ$3:AJ$500)+IF($C9="",0,SUMIF('DADOS BRUTOS'!$A$3:$A$500,$C9,'DADOS BRUTOS'!AJ$3:AJ$500)))</f>
        <v/>
      </c>
      <c r="DK9" s="125">
        <f>IF(OR(DK$4="",$B9=""),0,SUMIF('DADOS BRUTOS'!$A$3:$A$500,$B9,'DADOS BRUTOS'!AK$3:AK$500)+IF($C9="",0,SUMIF('DADOS BRUTOS'!$A$3:$A$500,$C9,'DADOS BRUTOS'!AK$3:AK$500)))</f>
        <v/>
      </c>
      <c r="DL9" s="125">
        <f>IF(OR(DL$4="",$B9=""),0,SUMIF('DADOS BRUTOS'!$A$3:$A$500,$B9,'DADOS BRUTOS'!AL$3:AL$500)+IF($C9="",0,SUMIF('DADOS BRUTOS'!$A$3:$A$500,$C9,'DADOS BRUTOS'!AL$3:AL$500)))</f>
        <v/>
      </c>
      <c r="DM9" s="125">
        <f>IF(OR(DM$4="",$B9=""),0,SUMIF('DADOS BRUTOS'!$A$3:$A$500,$B9,'DADOS BRUTOS'!AM$3:AM$500)+IF($C9="",0,SUMIF('DADOS BRUTOS'!$A$3:$A$500,$C9,'DADOS BRUTOS'!AM$3:AM$500)))</f>
        <v/>
      </c>
      <c r="DN9" s="125">
        <f>IF(OR(DN$4="",$B9=""),0,SUMIF('DADOS BRUTOS'!$A$3:$A$500,$B9,'DADOS BRUTOS'!AN$3:AN$500)+IF($C9="",0,SUMIF('DADOS BRUTOS'!$A$3:$A$500,$C9,'DADOS BRUTOS'!AN$3:AN$500)))</f>
        <v/>
      </c>
      <c r="DO9" s="125">
        <f>IF(OR(DO$4="",$B9=""),0,SUMIF('DADOS BRUTOS'!$A$3:$A$500,$B9,'DADOS BRUTOS'!AO$3:AO$500)+IF($C9="",0,SUMIF('DADOS BRUTOS'!$A$3:$A$500,$C9,'DADOS BRUTOS'!AO$3:AO$500)))</f>
        <v/>
      </c>
      <c r="DP9" s="125">
        <f>IF(OR(DP$4="",$B9=""),0,SUMIF('DADOS BRUTOS'!$A$3:$A$500,$B9,'DADOS BRUTOS'!AP$3:AP$500)+IF($C9="",0,SUMIF('DADOS BRUTOS'!$A$3:$A$500,$C9,'DADOS BRUTOS'!AP$3:AP$500)))</f>
        <v/>
      </c>
      <c r="DQ9" s="125">
        <f>IF(OR(DQ$4="",$B9=""),0,SUMIF('DADOS BRUTOS'!$A$3:$A$500,$B9,'DADOS BRUTOS'!AQ$3:AQ$500)+IF($C9="",0,SUMIF('DADOS BRUTOS'!$A$3:$A$500,$C9,'DADOS BRUTOS'!AQ$3:AQ$500)))</f>
        <v/>
      </c>
      <c r="DR9" s="125">
        <f>IF(OR(DR$4="",$B9=""),0,SUMIF('DADOS BRUTOS'!$A$3:$A$500,$B9,'DADOS BRUTOS'!AR$3:AR$500)+IF($C9="",0,SUMIF('DADOS BRUTOS'!$A$3:$A$500,$C9,'DADOS BRUTOS'!AR$3:AR$500)))</f>
        <v/>
      </c>
      <c r="DS9" s="125">
        <f>IF(OR(DS$4="",$B9=""),0,SUMIF('DADOS BRUTOS'!$A$3:$A$500,$B9,'DADOS BRUTOS'!AS$3:AS$500)+IF($C9="",0,SUMIF('DADOS BRUTOS'!$A$3:$A$500,$C9,'DADOS BRUTOS'!AS$3:AS$500)))</f>
        <v/>
      </c>
      <c r="DT9" s="125">
        <f>IF(OR(DT$4="",$B9=""),0,SUMIF('DADOS BRUTOS'!$A$3:$A$500,$B9,'DADOS BRUTOS'!AT$3:AT$500)+IF($C9="",0,SUMIF('DADOS BRUTOS'!$A$3:$A$500,$C9,'DADOS BRUTOS'!AT$3:AT$500)))</f>
        <v/>
      </c>
      <c r="DU9" s="125">
        <f>IF(OR(DU$4="",$B9=""),0,SUMIF('DADOS BRUTOS'!$A$3:$A$500,$B9,'DADOS BRUTOS'!AU$3:AU$500)+IF($C9="",0,SUMIF('DADOS BRUTOS'!$A$3:$A$500,$C9,'DADOS BRUTOS'!AU$3:AU$500)))</f>
        <v/>
      </c>
      <c r="DV9" s="125">
        <f>IF(OR(DV$4="",$B9=""),0,SUMIF('DADOS BRUTOS'!$A$3:$A$500,$B9,'DADOS BRUTOS'!AV$3:AV$500)+IF($C9="",0,SUMIF('DADOS BRUTOS'!$A$3:$A$500,$C9,'DADOS BRUTOS'!AV$3:AV$500)))</f>
        <v/>
      </c>
      <c r="DW9" s="125">
        <f>IF(OR(DW$4="",$B9=""),0,SUMIF('DADOS BRUTOS'!$A$3:$A$500,$B9,'DADOS BRUTOS'!AW$3:AW$500)+IF($C9="",0,SUMIF('DADOS BRUTOS'!$A$3:$A$500,$C9,'DADOS BRUTOS'!AW$3:AW$500)))</f>
        <v/>
      </c>
      <c r="DX9" s="125">
        <f>IF(OR(DX$4="",$B9=""),0,SUMIF('DADOS BRUTOS'!$A$3:$A$500,$B9,'DADOS BRUTOS'!AX$3:AX$500)+IF($C9="",0,SUMIF('DADOS BRUTOS'!$A$3:$A$500,$C9,'DADOS BRUTOS'!AX$3:AX$500)))</f>
        <v/>
      </c>
      <c r="DY9" s="125">
        <f>IF(OR(DY$4="",$B9=""),0,SUMIF('DADOS BRUTOS'!$A$3:$A$500,$B9,'DADOS BRUTOS'!AY$3:AY$500)+IF($C9="",0,SUMIF('DADOS BRUTOS'!$A$3:$A$500,$C9,'DADOS BRUTOS'!AY$3:AY$500)))</f>
        <v/>
      </c>
      <c r="DZ9" s="125">
        <f>IF(OR(DZ$4="",$B9=""),0,SUMIF('DADOS BRUTOS'!$A$3:$A$500,$B9,'DADOS BRUTOS'!AZ$3:AZ$500)+IF($C9="",0,SUMIF('DADOS BRUTOS'!$A$3:$A$500,$C9,'DADOS BRUTOS'!AZ$3:AZ$500)))</f>
        <v/>
      </c>
      <c r="EA9" s="125">
        <f>IF(OR(EA$4="",$B9=""),0,SUMIF('DADOS BRUTOS'!$A$3:$A$500,$B9,'DADOS BRUTOS'!BA$3:BA$500)+IF($C9="",0,SUMIF('DADOS BRUTOS'!$A$3:$A$500,$C9,'DADOS BRUTOS'!BA$3:BA$500)))</f>
        <v/>
      </c>
      <c r="EB9" s="125">
        <f>IF(OR(EB$4="",$B9=""),0,SUMIF('DADOS BRUTOS'!$A$3:$A$500,$B9,'DADOS BRUTOS'!BB$3:BB$500)+IF($C9="",0,SUMIF('DADOS BRUTOS'!$A$3:$A$500,$C9,'DADOS BRUTOS'!BB$3:BB$500)))</f>
        <v/>
      </c>
      <c r="EC9" s="125">
        <f>IF(OR(EC$4="",$B9=""),0,SUMIF('DADOS BRUTOS'!$A$3:$A$500,$B9,'DADOS BRUTOS'!BC$3:BC$500)+IF($C9="",0,SUMIF('DADOS BRUTOS'!$A$3:$A$500,$C9,'DADOS BRUTOS'!BC$3:BC$500)))</f>
        <v/>
      </c>
      <c r="ED9" s="125">
        <f>IF(OR(ED$4="",$B9=""),0,SUMIF('DADOS BRUTOS'!$A$3:$A$500,$B9,'DADOS BRUTOS'!BD$3:BD$500)+IF($C9="",0,SUMIF('DADOS BRUTOS'!$A$3:$A$500,$C9,'DADOS BRUTOS'!BD$3:BD$500)))</f>
        <v/>
      </c>
      <c r="EE9" s="125">
        <f>IF(OR(EE$4="",$B9=""),0,SUMIF('DADOS BRUTOS'!$A$3:$A$500,$B9,'DADOS BRUTOS'!BE$3:BE$500)+IF($C9="",0,SUMIF('DADOS BRUTOS'!$A$3:$A$500,$C9,'DADOS BRUTOS'!BE$3:BE$500)))</f>
        <v/>
      </c>
      <c r="EF9" s="125">
        <f>IF(OR(EF$4="",$B9=""),0,SUMIF('DADOS BRUTOS'!$A$3:$A$500,$B9,'DADOS BRUTOS'!BF$3:BF$500)+IF($C9="",0,SUMIF('DADOS BRUTOS'!$A$3:$A$500,$C9,'DADOS BRUTOS'!BF$3:BF$500)))</f>
        <v/>
      </c>
      <c r="EG9" s="125">
        <f>IF(OR(EG$4="",$B9=""),0,SUMIF('DADOS BRUTOS'!$A$3:$A$500,$B9,'DADOS BRUTOS'!BG$3:BG$500)+IF($C9="",0,SUMIF('DADOS BRUTOS'!$A$3:$A$500,$C9,'DADOS BRUTOS'!BG$3:BG$500)))</f>
        <v/>
      </c>
      <c r="EH9" s="125">
        <f>IF(OR(EH$4="",$B9=""),0,SUMIF('DADOS BRUTOS'!$A$3:$A$500,$B9,'DADOS BRUTOS'!BH$3:BH$500)+IF($C9="",0,SUMIF('DADOS BRUTOS'!$A$3:$A$500,$C9,'DADOS BRUTOS'!BH$3:BH$500)))</f>
        <v/>
      </c>
      <c r="EI9" s="125">
        <f>IF(OR(EI$4="",$B9=""),0,SUMIF('DADOS BRUTOS'!$A$3:$A$500,$B9,'DADOS BRUTOS'!BI$3:BI$500)+IF($C9="",0,SUMIF('DADOS BRUTOS'!$A$3:$A$500,$C9,'DADOS BRUTOS'!BI$3:BI$500)))</f>
        <v/>
      </c>
      <c r="EJ9" s="125">
        <f>IF(OR(EJ$4="",$B9=""),0,SUMIF('DADOS BRUTOS'!$A$3:$A$500,$B9,'DADOS BRUTOS'!BJ$3:BJ$500)+IF($C9="",0,SUMIF('DADOS BRUTOS'!$A$3:$A$500,$C9,'DADOS BRUTOS'!BJ$3:BJ$500)))</f>
        <v/>
      </c>
      <c r="EK9" s="125">
        <f>IF(OR(EK$4="",$B9=""),0,SUMIF('DADOS BRUTOS'!$A$3:$A$500,$B9,'DADOS BRUTOS'!BK$3:BK$500)+IF($C9="",0,SUMIF('DADOS BRUTOS'!$A$3:$A$500,$C9,'DADOS BRUTOS'!BK$3:BK$500)))</f>
        <v/>
      </c>
      <c r="EL9" s="125">
        <f>IF(OR(EL$4="",$B9=""),0,SUMIF('DADOS BRUTOS'!$A$3:$A$500,$B9,'DADOS BRUTOS'!BL$3:BL$500)+IF($C9="",0,SUMIF('DADOS BRUTOS'!$A$3:$A$500,$C9,'DADOS BRUTOS'!BL$3:BL$500)))</f>
        <v/>
      </c>
      <c r="EM9" s="125">
        <f>IF(OR(EM$4="",$B9=""),0,SUMIF('DADOS BRUTOS'!$A$3:$A$500,$B9,'DADOS BRUTOS'!BM$3:BM$500)+IF($C9="",0,SUMIF('DADOS BRUTOS'!$A$3:$A$500,$C9,'DADOS BRUTOS'!BM$3:BM$500)))</f>
        <v/>
      </c>
      <c r="EN9" s="125">
        <f>IF(OR(EN$4="",$B9=""),0,SUMIF('DADOS BRUTOS'!$A$3:$A$500,$B9,'DADOS BRUTOS'!BN$3:BN$500)+IF($C9="",0,SUMIF('DADOS BRUTOS'!$A$3:$A$500,$C9,'DADOS BRUTOS'!BN$3:BN$500)))</f>
        <v/>
      </c>
      <c r="EO9" s="125">
        <f>IF(OR(EO$4="",$B9=""),0,SUMIF('DADOS BRUTOS'!$A$3:$A$500,$B9,'DADOS BRUTOS'!BO$3:BO$500)+IF($C9="",0,SUMIF('DADOS BRUTOS'!$A$3:$A$500,$C9,'DADOS BRUTOS'!BO$3:BO$500)))</f>
        <v/>
      </c>
      <c r="EP9" s="125">
        <f>IF(OR(EP$4="",$B9=""),0,SUMIF('DADOS BRUTOS'!$A$3:$A$500,$B9,'DADOS BRUTOS'!BP$3:BP$500)+IF($C9="",0,SUMIF('DADOS BRUTOS'!$A$3:$A$500,$C9,'DADOS BRUTOS'!BP$3:BP$500)))</f>
        <v/>
      </c>
      <c r="EQ9" s="125">
        <f>IF(OR(EQ$4="",$B9=""),0,SUMIF('DADOS BRUTOS'!$A$3:$A$500,$B9,'DADOS BRUTOS'!BQ$3:BQ$500)+IF($C9="",0,SUMIF('DADOS BRUTOS'!$A$3:$A$500,$C9,'DADOS BRUTOS'!BQ$3:BQ$500)))</f>
        <v/>
      </c>
      <c r="ER9" s="125">
        <f>IF(OR(ER$4="",$B9=""),0,SUMIF('DADOS BRUTOS'!$A$3:$A$500,$B9,'DADOS BRUTOS'!BR$3:BR$500)+IF($C9="",0,SUMIF('DADOS BRUTOS'!$A$3:$A$500,$C9,'DADOS BRUTOS'!BR$3:BR$500)))</f>
        <v/>
      </c>
      <c r="ES9" s="125">
        <f>IF(OR(ES$4="",$B9=""),0,SUMIF('DADOS BRUTOS'!$A$3:$A$500,$B9,'DADOS BRUTOS'!BS$3:BS$500)+IF($C9="",0,SUMIF('DADOS BRUTOS'!$A$3:$A$500,$C9,'DADOS BRUTOS'!BS$3:BS$500)))</f>
        <v/>
      </c>
      <c r="ET9" s="125">
        <f>IF(OR(ET$4="",$B9=""),0,SUMIF('DADOS BRUTOS'!$A$3:$A$500,$B9,'DADOS BRUTOS'!BT$3:BT$500)+IF($C9="",0,SUMIF('DADOS BRUTOS'!$A$3:$A$500,$C9,'DADOS BRUTOS'!BT$3:BT$500)))</f>
        <v/>
      </c>
      <c r="EU9" s="125">
        <f>IF(OR(EU$4="",$B9=""),0,SUMIF('DADOS BRUTOS'!$A$3:$A$500,$B9,'DADOS BRUTOS'!BU$3:BU$500)+IF($C9="",0,SUMIF('DADOS BRUTOS'!$A$3:$A$500,$C9,'DADOS BRUTOS'!BU$3:BU$500)))</f>
        <v/>
      </c>
      <c r="EV9" s="125">
        <f>IF(OR(EV$4="",$B9=""),0,SUMIF('DADOS BRUTOS'!$A$3:$A$500,$B9,'DADOS BRUTOS'!BV$3:BV$500)+IF($C9="",0,SUMIF('DADOS BRUTOS'!$A$3:$A$500,$C9,'DADOS BRUTOS'!BV$3:BV$500)))</f>
        <v/>
      </c>
      <c r="EW9" s="125">
        <f>IF(OR(EW$4="",$B9=""),0,SUMIF('DADOS BRUTOS'!$A$3:$A$500,$B9,'DADOS BRUTOS'!BW$3:BW$500)+IF($C9="",0,SUMIF('DADOS BRUTOS'!$A$3:$A$500,$C9,'DADOS BRUTOS'!BW$3:BW$500)))</f>
        <v/>
      </c>
      <c r="EX9" s="125">
        <f>IF(OR(EX$4="",$B9=""),0,SUMIF('DADOS BRUTOS'!$A$3:$A$500,$B9,'DADOS BRUTOS'!BX$3:BX$500)+IF($C9="",0,SUMIF('DADOS BRUTOS'!$A$3:$A$500,$C9,'DADOS BRUTOS'!BX$3:BX$500)))</f>
        <v/>
      </c>
      <c r="EY9" s="125">
        <f>IF(OR(EY$4="",$B9=""),0,SUMIF('DADOS BRUTOS'!$A$3:$A$500,$B9,'DADOS BRUTOS'!BY$3:BY$500)+IF($C9="",0,SUMIF('DADOS BRUTOS'!$A$3:$A$500,$C9,'DADOS BRUTOS'!BY$3:BY$500)))</f>
        <v/>
      </c>
      <c r="EZ9" s="125">
        <f>IF(OR(EZ$4="",$B9=""),0,SUMIF('DADOS BRUTOS'!$A$3:$A$500,$B9,'DADOS BRUTOS'!BZ$3:BZ$500)+IF($C9="",0,SUMIF('DADOS BRUTOS'!$A$3:$A$500,$C9,'DADOS BRUTOS'!BZ$3:BZ$500)))</f>
        <v/>
      </c>
      <c r="FA9" s="125">
        <f>IF(OR(FA$4="",$B9=""),0,SUMIF('DADOS BRUTOS'!$A$3:$A$500,$B9,'DADOS BRUTOS'!CA$3:CA$500)+IF($C9="",0,SUMIF('DADOS BRUTOS'!$A$3:$A$500,$C9,'DADOS BRUTOS'!CA$3:CA$500)))</f>
        <v/>
      </c>
      <c r="FB9" s="125">
        <f>IF(OR(FB$4="",$B9=""),0,SUMIF('DADOS BRUTOS'!$A$3:$A$500,$B9,'DADOS BRUTOS'!CB$3:CB$500)+IF($C9="",0,SUMIF('DADOS BRUTOS'!$A$3:$A$500,$C9,'DADOS BRUTOS'!CB$3:CB$500)))</f>
        <v/>
      </c>
      <c r="FC9" s="125">
        <f>IF(OR(FC$4="",$B9=""),0,SUMIF('DADOS BRUTOS'!$A$3:$A$500,$B9,'DADOS BRUTOS'!CC$3:CC$500)+IF($C9="",0,SUMIF('DADOS BRUTOS'!$A$3:$A$500,$C9,'DADOS BRUTOS'!CC$3:CC$500)))</f>
        <v/>
      </c>
      <c r="FD9" s="125">
        <f>IF(OR(FD$4="",$B9=""),0,SUMIF('DADOS BRUTOS'!$A$3:$A$500,$B9,'DADOS BRUTOS'!CD$3:CD$500)+IF($C9="",0,SUMIF('DADOS BRUTOS'!$A$3:$A$500,$C9,'DADOS BRUTOS'!CD$3:CD$500)))</f>
        <v/>
      </c>
      <c r="FE9" s="125">
        <f>IF(OR(FE$4="",$B9=""),0,SUMIF('DADOS BRUTOS'!$A$3:$A$500,$B9,'DADOS BRUTOS'!CE$3:CE$500)+IF($C9="",0,SUMIF('DADOS BRUTOS'!$A$3:$A$500,$C9,'DADOS BRUTOS'!CE$3:CE$500)))</f>
        <v/>
      </c>
      <c r="FF9" s="125">
        <f>IF(OR(FF$4="",$B9=""),0,SUMIF('DADOS BRUTOS'!$A$3:$A$500,$B9,'DADOS BRUTOS'!CF$3:CF$500)+IF($C9="",0,SUMIF('DADOS BRUTOS'!$A$3:$A$500,$C9,'DADOS BRUTOS'!CF$3:CF$500)))</f>
        <v/>
      </c>
      <c r="FG9" s="125">
        <f>IF(OR(FG$4="",$B9=""),0,SUMIF('DADOS BRUTOS'!$A$3:$A$500,$B9,'DADOS BRUTOS'!CG$3:CG$500)+IF($C9="",0,SUMIF('DADOS BRUTOS'!$A$3:$A$500,$C9,'DADOS BRUTOS'!CG$3:CG$500)))</f>
        <v/>
      </c>
      <c r="FH9" s="125">
        <f>IF(OR(FH$4="",$B9=""),0,SUMIF('DADOS BRUTOS'!$A$3:$A$500,$B9,'DADOS BRUTOS'!CH$3:CH$500)+IF($C9="",0,SUMIF('DADOS BRUTOS'!$A$3:$A$500,$C9,'DADOS BRUTOS'!CH$3:CH$500)))</f>
        <v/>
      </c>
      <c r="FI9" s="125">
        <f>IF(OR(FI$4="",$B9=""),0,SUMIF('DADOS BRUTOS'!$A$3:$A$500,$B9,'DADOS BRUTOS'!CI$3:CI$500)+IF($C9="",0,SUMIF('DADOS BRUTOS'!$A$3:$A$500,$C9,'DADOS BRUTOS'!CI$3:CI$500)))</f>
        <v/>
      </c>
      <c r="FJ9" s="125">
        <f>IF(OR(FJ$4="",$B9=""),0,SUMIF('DADOS BRUTOS'!$A$3:$A$500,$B9,'DADOS BRUTOS'!CJ$3:CJ$500)+IF($C9="",0,SUMIF('DADOS BRUTOS'!$A$3:$A$500,$C9,'DADOS BRUTOS'!CJ$3:CJ$500)))</f>
        <v/>
      </c>
      <c r="FK9" s="125">
        <f>IF(OR(FK$4="",$B9=""),0,SUMIF('DADOS BRUTOS'!$A$3:$A$500,$B9,'DADOS BRUTOS'!CK$3:CK$500)+IF($C9="",0,SUMIF('DADOS BRUTOS'!$A$3:$A$500,$C9,'DADOS BRUTOS'!CK$3:CK$500)))</f>
        <v/>
      </c>
      <c r="FL9" s="125">
        <f>IF(OR(FL$4="",$B9=""),0,SUMIF('DADOS BRUTOS'!$A$3:$A$500,$B9,'DADOS BRUTOS'!CL$3:CL$500)+IF($C9="",0,SUMIF('DADOS BRUTOS'!$A$3:$A$500,$C9,'DADOS BRUTOS'!CL$3:CL$500)))</f>
        <v/>
      </c>
      <c r="FM9" s="125">
        <f>IF(OR(FM$4="",$B9=""),0,SUMIF('DADOS BRUTOS'!$A$3:$A$500,$B9,'DADOS BRUTOS'!CM$3:CM$500)+IF($C9="",0,SUMIF('DADOS BRUTOS'!$A$3:$A$500,$C9,'DADOS BRUTOS'!CM$3:CM$500)))</f>
        <v/>
      </c>
      <c r="FN9" s="125">
        <f>IF(OR(FN$4="",$B9=""),0,SUMIF('DADOS BRUTOS'!$A$3:$A$500,$B9,'DADOS BRUTOS'!CN$3:CN$500)+IF($C9="",0,SUMIF('DADOS BRUTOS'!$A$3:$A$500,$C9,'DADOS BRUTOS'!CN$3:CN$500)))</f>
        <v/>
      </c>
      <c r="FO9" s="125">
        <f>IF(OR(FO$4="",$B9=""),0,SUMIF('DADOS BRUTOS'!$A$3:$A$500,$B9,'DADOS BRUTOS'!CO$3:CO$500)+IF($C9="",0,SUMIF('DADOS BRUTOS'!$A$3:$A$500,$C9,'DADOS BRUTOS'!CO$3:CO$500)))</f>
        <v/>
      </c>
      <c r="FP9" s="125">
        <f>IF(OR(FP$4="",$B9=""),0,SUMIF('DADOS BRUTOS'!$A$3:$A$500,$B9,'DADOS BRUTOS'!CP$3:CP$500)+IF($C9="",0,SUMIF('DADOS BRUTOS'!$A$3:$A$500,$C9,'DADOS BRUTOS'!CP$3:CP$500)))</f>
        <v/>
      </c>
      <c r="FQ9" s="125">
        <f>IF(OR(FQ$4="",$B9=""),0,SUMIF('DADOS BRUTOS'!$A$3:$A$500,$B9,'DADOS BRUTOS'!CQ$3:CQ$500)+IF($C9="",0,SUMIF('DADOS BRUTOS'!$A$3:$A$500,$C9,'DADOS BRUTOS'!CQ$3:CQ$500)))</f>
        <v/>
      </c>
      <c r="FR9" s="125">
        <f>IF(OR(FR$4="",$B9=""),0,SUMIF('DADOS BRUTOS'!$A$3:$A$500,$B9,'DADOS BRUTOS'!CR$3:CR$500)+IF($C9="",0,SUMIF('DADOS BRUTOS'!$A$3:$A$500,$C9,'DADOS BRUTOS'!CR$3:CR$500)))</f>
        <v/>
      </c>
      <c r="FS9" s="125">
        <f>IF(OR(FS$4="",$B9=""),0,SUMIF('DADOS BRUTOS'!$A$3:$A$500,$B9,'DADOS BRUTOS'!CS$3:CS$500)+IF($C9="",0,SUMIF('DADOS BRUTOS'!$A$3:$A$500,$C9,'DADOS BRUTOS'!CS$3:CS$500)))</f>
        <v/>
      </c>
      <c r="FT9" s="125">
        <f>IF(OR(FT$4="",$B9=""),0,SUMIF('DADOS BRUTOS'!$A$3:$A$500,$B9,'DADOS BRUTOS'!CT$3:CT$500)+IF($C9="",0,SUMIF('DADOS BRUTOS'!$A$3:$A$500,$C9,'DADOS BRUTOS'!CT$3:CT$500)))</f>
        <v/>
      </c>
      <c r="FU9" s="125">
        <f>IF(OR(FU$4="",$B9=""),0,SUMIF('DADOS BRUTOS'!$A$3:$A$500,$B9,'DADOS BRUTOS'!CU$3:CU$500)+IF($C9="",0,SUMIF('DADOS BRUTOS'!$A$3:$A$500,$C9,'DADOS BRUTOS'!CU$3:CU$500)))</f>
        <v/>
      </c>
      <c r="FV9" s="125">
        <f>IF(OR(FV$4="",$B9=""),0,SUMIF('DADOS BRUTOS'!$A$3:$A$500,$B9,'DADOS BRUTOS'!CV$3:CV$500)+IF($C9="",0,SUMIF('DADOS BRUTOS'!$A$3:$A$500,$C9,'DADOS BRUTOS'!CV$3:CV$500)))</f>
        <v/>
      </c>
      <c r="FW9" s="125">
        <f>IF(OR(FW$4="",$B9=""),0,SUMIF('DADOS BRUTOS'!$A$3:$A$500,$B9,'DADOS BRUTOS'!CW$3:CW$500)+IF($C9="",0,SUMIF('DADOS BRUTOS'!$A$3:$A$500,$C9,'DADOS BRUTOS'!CW$3:CW$500)))</f>
        <v/>
      </c>
      <c r="FX9" s="125">
        <f>IF(OR(FX$4="",$B9=""),0,SUMIF('DADOS BRUTOS'!$A$3:$A$500,$B9,'DADOS BRUTOS'!CX$3:CX$500)+IF($C9="",0,SUMIF('DADOS BRUTOS'!$A$3:$A$500,$C9,'DADOS BRUTOS'!CX$3:CX$500)))</f>
        <v/>
      </c>
      <c r="FY9" s="125">
        <f>IF(OR(FY$4="",$B9=""),0,SUMIF('DADOS BRUTOS'!$A$3:$A$500,$B9,'DADOS BRUTOS'!CY$3:CY$500)+IF($C9="",0,SUMIF('DADOS BRUTOS'!$A$3:$A$500,$C9,'DADOS BRUTOS'!CY$3:CY$500)))</f>
        <v/>
      </c>
      <c r="FZ9" s="125">
        <f>IF(OR(FZ$4="",$B9=""),0,SUMIF('DADOS BRUTOS'!$A$3:$A$500,$B9,'DADOS BRUTOS'!CZ$3:CZ$500)+IF($C9="",0,SUMIF('DADOS BRUTOS'!$A$3:$A$500,$C9,'DADOS BRUTOS'!CZ$3:CZ$500)))</f>
        <v/>
      </c>
      <c r="GA9" s="125">
        <f>IF(OR(GA$4="",$B9=""),0,SUMIF('DADOS BRUTOS'!$A$3:$A$500,$B9,'DADOS BRUTOS'!DA$3:DA$500)+IF($C9="",0,SUMIF('DADOS BRUTOS'!$A$3:$A$500,$C9,'DADOS BRUTOS'!DA$3:DA$500)))</f>
        <v/>
      </c>
      <c r="GB9" s="125">
        <f>IF(OR(GB$4="",$B9=""),0,SUMIF('DADOS BRUTOS'!$A$3:$A$500,$B9,'DADOS BRUTOS'!DB$3:DB$500)+IF($C9="",0,SUMIF('DADOS BRUTOS'!$A$3:$A$500,$C9,'DADOS BRUTOS'!DB$3:DB$500)))</f>
        <v/>
      </c>
      <c r="GC9" s="125">
        <f>IF(OR(GC$4="",$B9=""),0,SUMIF('DADOS BRUTOS'!$A$3:$A$500,$B9,'DADOS BRUTOS'!DC$3:DC$500)+IF($C9="",0,SUMIF('DADOS BRUTOS'!$A$3:$A$500,$C9,'DADOS BRUTOS'!DC$3:DC$500)))</f>
        <v/>
      </c>
      <c r="GD9" s="125">
        <f>IF(OR(GD$4="",$B9=""),0,SUMIF('DADOS BRUTOS'!$A$3:$A$500,$B9,'DADOS BRUTOS'!DD$3:DD$500)+IF($C9="",0,SUMIF('DADOS BRUTOS'!$A$3:$A$500,$C9,'DADOS BRUTOS'!DD$3:DD$500)))</f>
        <v/>
      </c>
      <c r="GE9" s="125">
        <f>IF(OR(GE$4="",$B9=""),0,SUMIF('DADOS BRUTOS'!$A$3:$A$500,$B9,'DADOS BRUTOS'!DE$3:DE$500)+IF($C9="",0,SUMIF('DADOS BRUTOS'!$A$3:$A$500,$C9,'DADOS BRUTOS'!DE$3:DE$500)))</f>
        <v/>
      </c>
      <c r="GF9" s="125">
        <f>IF(OR(GF$4="",$B9=""),0,SUMIF('DADOS BRUTOS'!$A$3:$A$500,$B9,'DADOS BRUTOS'!DF$3:DF$500)+IF($C9="",0,SUMIF('DADOS BRUTOS'!$A$3:$A$500,$C9,'DADOS BRUTOS'!DF$3:DF$500)))</f>
        <v/>
      </c>
      <c r="GG9" s="125">
        <f>IF(OR(GG$4="",$B9=""),0,SUMIF('DADOS BRUTOS'!$A$3:$A$500,$B9,'DADOS BRUTOS'!DG$3:DG$500)+IF($C9="",0,SUMIF('DADOS BRUTOS'!$A$3:$A$500,$C9,'DADOS BRUTOS'!DG$3:DG$500)))</f>
        <v/>
      </c>
      <c r="GH9" s="125">
        <f>IF(OR(GH$4="",$B9=""),0,SUMIF('DADOS BRUTOS'!$A$3:$A$500,$B9,'DADOS BRUTOS'!DH$3:DH$500)+IF($C9="",0,SUMIF('DADOS BRUTOS'!$A$3:$A$500,$C9,'DADOS BRUTOS'!DH$3:DH$500)))</f>
        <v/>
      </c>
      <c r="GI9" s="125">
        <f>IF(OR(GI$4="",$B9=""),0,SUMIF('DADOS BRUTOS'!$A$3:$A$500,$B9,'DADOS BRUTOS'!DI$3:DI$500)+IF($C9="",0,SUMIF('DADOS BRUTOS'!$A$3:$A$500,$C9,'DADOS BRUTOS'!DI$3:DI$500)))</f>
        <v/>
      </c>
      <c r="GJ9" s="125">
        <f>IF(OR(GJ$4="",$B9=""),0,SUMIF('DADOS BRUTOS'!$A$3:$A$500,$B9,'DADOS BRUTOS'!DJ$3:DJ$500)+IF($C9="",0,SUMIF('DADOS BRUTOS'!$A$3:$A$500,$C9,'DADOS BRUTOS'!DJ$3:DJ$500)))</f>
        <v/>
      </c>
      <c r="GK9" s="125">
        <f>IF(OR(GK$4="",$B9=""),0,SUMIF('DADOS BRUTOS'!$A$3:$A$500,$B9,'DADOS BRUTOS'!DK$3:DK$500)+IF($C9="",0,SUMIF('DADOS BRUTOS'!$A$3:$A$500,$C9,'DADOS BRUTOS'!DK$3:DK$500)))</f>
        <v/>
      </c>
      <c r="GL9" s="125">
        <f>IF(OR(GL$4="",$B9=""),0,SUMIF('DADOS BRUTOS'!$A$3:$A$500,$B9,'DADOS BRUTOS'!DL$3:DL$500)+IF($C9="",0,SUMIF('DADOS BRUTOS'!$A$3:$A$500,$C9,'DADOS BRUTOS'!DL$3:DL$500)))</f>
        <v/>
      </c>
      <c r="GM9" s="125">
        <f>IF(OR(GM$4="",$B9=""),0,SUMIF('DADOS BRUTOS'!$A$3:$A$500,$B9,'DADOS BRUTOS'!DM$3:DM$500)+IF($C9="",0,SUMIF('DADOS BRUTOS'!$A$3:$A$500,$C9,'DADOS BRUTOS'!DM$3:DM$500)))</f>
        <v/>
      </c>
      <c r="GN9" s="125">
        <f>IF(OR(GN$4="",$B9=""),0,SUMIF('DADOS BRUTOS'!$A$3:$A$500,$B9,'DADOS BRUTOS'!DN$3:DN$500)+IF($C9="",0,SUMIF('DADOS BRUTOS'!$A$3:$A$500,$C9,'DADOS BRUTOS'!DN$3:DN$500)))</f>
        <v/>
      </c>
      <c r="GO9" s="125">
        <f>IF(OR(GO$4="",$B9=""),0,SUMIF('DADOS BRUTOS'!$A$3:$A$500,$B9,'DADOS BRUTOS'!DO$3:DO$500)+IF($C9="",0,SUMIF('DADOS BRUTOS'!$A$3:$A$500,$C9,'DADOS BRUTOS'!DO$3:DO$500)))</f>
        <v/>
      </c>
      <c r="GP9" s="125">
        <f>IF(OR(GP$4="",$B9=""),0,SUMIF('DADOS BRUTOS'!$A$3:$A$500,$B9,'DADOS BRUTOS'!DP$3:DP$500)+IF($C9="",0,SUMIF('DADOS BRUTOS'!$A$3:$A$500,$C9,'DADOS BRUTOS'!DP$3:DP$500)))</f>
        <v/>
      </c>
      <c r="GQ9" s="125">
        <f>IF(OR(GQ$4="",$B9=""),0,SUMIF('DADOS BRUTOS'!$A$3:$A$500,$B9,'DADOS BRUTOS'!DQ$3:DQ$500)+IF($C9="",0,SUMIF('DADOS BRUTOS'!$A$3:$A$500,$C9,'DADOS BRUTOS'!DQ$3:DQ$500)))</f>
        <v/>
      </c>
      <c r="GR9" s="125">
        <f>IF(OR(GR$4="",$B9=""),0,SUMIF('DADOS BRUTOS'!$A$3:$A$500,$B9,'DADOS BRUTOS'!DR$3:DR$500)+IF($C9="",0,SUMIF('DADOS BRUTOS'!$A$3:$A$500,$C9,'DADOS BRUTOS'!DR$3:DR$500)))</f>
        <v/>
      </c>
      <c r="GS9" s="125">
        <f>IF(OR(GS$4="",$B9=""),0,SUMIF('DADOS BRUTOS'!$A$3:$A$500,$B9,'DADOS BRUTOS'!DS$3:DS$500)+IF($C9="",0,SUMIF('DADOS BRUTOS'!$A$3:$A$500,$C9,'DADOS BRUTOS'!DS$3:DS$500)))</f>
        <v/>
      </c>
      <c r="GT9" s="125">
        <f>IF(OR(GT$4="",$B9=""),0,SUMIF('DADOS BRUTOS'!$A$3:$A$500,$B9,'DADOS BRUTOS'!DT$3:DT$500)+IF($C9="",0,SUMIF('DADOS BRUTOS'!$A$3:$A$500,$C9,'DADOS BRUTOS'!DT$3:DT$500)))</f>
        <v/>
      </c>
      <c r="GU9" s="125">
        <f>IF(OR(GU$4="",$B9=""),0,SUMIF('DADOS BRUTOS'!$A$3:$A$500,$B9,'DADOS BRUTOS'!DU$3:DU$500)+IF($C9="",0,SUMIF('DADOS BRUTOS'!$A$3:$A$500,$C9,'DADOS BRUTOS'!DU$3:DU$500)))</f>
        <v/>
      </c>
      <c r="GV9" s="125">
        <f>IF(OR(GV$4="",$B9=""),0,SUMIF('DADOS BRUTOS'!$A$3:$A$500,$B9,'DADOS BRUTOS'!DV$3:DV$500)+IF($C9="",0,SUMIF('DADOS BRUTOS'!$A$3:$A$500,$C9,'DADOS BRUTOS'!DV$3:DV$500)))</f>
        <v/>
      </c>
      <c r="GW9" s="125">
        <f>IF(OR(GW$4="",$B9=""),0,SUMIF('DADOS BRUTOS'!$A$3:$A$500,$B9,'DADOS BRUTOS'!DW$3:DW$500)+IF($C9="",0,SUMIF('DADOS BRUTOS'!$A$3:$A$500,$C9,'DADOS BRUTOS'!DW$3:DW$500)))</f>
        <v/>
      </c>
      <c r="GX9" s="125">
        <f>IF(OR(GX$4="",$B9=""),0,SUMIF('DADOS BRUTOS'!$A$3:$A$500,$B9,'DADOS BRUTOS'!DX$3:DX$500)+IF($C9="",0,SUMIF('DADOS BRUTOS'!$A$3:$A$500,$C9,'DADOS BRUTOS'!DX$3:DX$500)))</f>
        <v/>
      </c>
      <c r="GY9" s="125">
        <f>IF(OR(GY$4="",$B9=""),0,SUMIF('DADOS BRUTOS'!$A$3:$A$500,$B9,'DADOS BRUTOS'!DY$3:DY$500)+IF($C9="",0,SUMIF('DADOS BRUTOS'!$A$3:$A$500,$C9,'DADOS BRUTOS'!DY$3:DY$500)))</f>
        <v/>
      </c>
      <c r="GZ9" s="125">
        <f>IF(OR(GZ$4="",$B9=""),0,SUMIF('DADOS BRUTOS'!$A$3:$A$500,$B9,'DADOS BRUTOS'!DZ$3:DZ$500)+IF($C9="",0,SUMIF('DADOS BRUTOS'!$A$3:$A$500,$C9,'DADOS BRUTOS'!DZ$3:DZ$500)))</f>
        <v/>
      </c>
      <c r="HA9" s="125">
        <f>IF(OR(HA$4="",$B9=""),0,SUMIF('DADOS BRUTOS'!$A$3:$A$500,$B9,'DADOS BRUTOS'!EA$3:EA$500)+IF($C9="",0,SUMIF('DADOS BRUTOS'!$A$3:$A$500,$C9,'DADOS BRUTOS'!EA$3:EA$500)))</f>
        <v/>
      </c>
      <c r="HB9" s="125">
        <f>IF(OR(HB$4="",$B9=""),0,SUMIF('DADOS BRUTOS'!$A$3:$A$500,$B9,'DADOS BRUTOS'!EB$3:EB$500)+IF($C9="",0,SUMIF('DADOS BRUTOS'!$A$3:$A$500,$C9,'DADOS BRUTOS'!EB$3:EB$500)))</f>
        <v/>
      </c>
      <c r="HC9" s="125">
        <f>IF(OR(HC$4="",$B9=""),0,SUMIF('DADOS BRUTOS'!$A$3:$A$500,$B9,'DADOS BRUTOS'!EC$3:EC$500)+IF($C9="",0,SUMIF('DADOS BRUTOS'!$A$3:$A$500,$C9,'DADOS BRUTOS'!EC$3:EC$500)))</f>
        <v/>
      </c>
      <c r="HD9" s="125">
        <f>IF(OR(HD$4="",$B9=""),0,SUMIF('DADOS BRUTOS'!$A$3:$A$500,$B9,'DADOS BRUTOS'!ED$3:ED$500)+IF($C9="",0,SUMIF('DADOS BRUTOS'!$A$3:$A$500,$C9,'DADOS BRUTOS'!ED$3:ED$500)))</f>
        <v/>
      </c>
      <c r="HE9" s="125">
        <f>IF(OR(HE$4="",$B9=""),0,SUMIF('DADOS BRUTOS'!$A$3:$A$500,$B9,'DADOS BRUTOS'!EE$3:EE$500)+IF($C9="",0,SUMIF('DADOS BRUTOS'!$A$3:$A$500,$C9,'DADOS BRUTOS'!EE$3:EE$500)))</f>
        <v/>
      </c>
      <c r="HF9" s="125">
        <f>IF(OR(HF$4="",$B9=""),0,SUMIF('DADOS BRUTOS'!$A$3:$A$500,$B9,'DADOS BRUTOS'!EF$3:EF$500)+IF($C9="",0,SUMIF('DADOS BRUTOS'!$A$3:$A$500,$C9,'DADOS BRUTOS'!EF$3:EF$500)))</f>
        <v/>
      </c>
      <c r="HG9" s="125">
        <f>IF(OR(HG$4="",$B9=""),0,SUMIF('DADOS BRUTOS'!$A$3:$A$500,$B9,'DADOS BRUTOS'!EG$3:EG$500)+IF($C9="",0,SUMIF('DADOS BRUTOS'!$A$3:$A$500,$C9,'DADOS BRUTOS'!EG$3:EG$500)))</f>
        <v/>
      </c>
      <c r="HH9" s="125">
        <f>IF(OR(HH$4="",$B9=""),0,SUMIF('DADOS BRUTOS'!$A$3:$A$500,$B9,'DADOS BRUTOS'!EH$3:EH$500)+IF($C9="",0,SUMIF('DADOS BRUTOS'!$A$3:$A$500,$C9,'DADOS BRUTOS'!EH$3:EH$500)))</f>
        <v/>
      </c>
      <c r="HI9" s="125">
        <f>IF(OR(HI$4="",$B9=""),0,SUMIF('DADOS BRUTOS'!$A$3:$A$500,$B9,'DADOS BRUTOS'!EI$3:EI$500)+IF($C9="",0,SUMIF('DADOS BRUTOS'!$A$3:$A$500,$C9,'DADOS BRUTOS'!EI$3:EI$500)))</f>
        <v/>
      </c>
      <c r="HJ9" s="125">
        <f>IF(OR(HJ$4="",$B9=""),0,SUMIF('DADOS BRUTOS'!$A$3:$A$500,$B9,'DADOS BRUTOS'!EJ$3:EJ$500)+IF($C9="",0,SUMIF('DADOS BRUTOS'!$A$3:$A$500,$C9,'DADOS BRUTOS'!EJ$3:EJ$500)))</f>
        <v/>
      </c>
      <c r="HK9" s="125">
        <f>IF(OR(HK$4="",$B9=""),0,SUMIF('DADOS BRUTOS'!$A$3:$A$500,$B9,'DADOS BRUTOS'!EK$3:EK$500)+IF($C9="",0,SUMIF('DADOS BRUTOS'!$A$3:$A$500,$C9,'DADOS BRUTOS'!EK$3:EK$500)))</f>
        <v/>
      </c>
      <c r="HL9" s="125">
        <f>IF(OR(HL$4="",$B9=""),0,SUMIF('DADOS BRUTOS'!$A$3:$A$500,$B9,'DADOS BRUTOS'!EL$3:EL$500)+IF($C9="",0,SUMIF('DADOS BRUTOS'!$A$3:$A$500,$C9,'DADOS BRUTOS'!EL$3:EL$500)))</f>
        <v/>
      </c>
      <c r="HM9" s="125">
        <f>IF(OR(HM$4="",$B9=""),0,SUMIF('DADOS BRUTOS'!$A$3:$A$500,$B9,'DADOS BRUTOS'!EM$3:EM$500)+IF($C9="",0,SUMIF('DADOS BRUTOS'!$A$3:$A$500,$C9,'DADOS BRUTOS'!EM$3:EM$500)))</f>
        <v/>
      </c>
      <c r="HN9" s="125">
        <f>IF(OR(HN$4="",$B9=""),0,SUMIF('DADOS BRUTOS'!$A$3:$A$500,$B9,'DADOS BRUTOS'!EN$3:EN$500)+IF($C9="",0,SUMIF('DADOS BRUTOS'!$A$3:$A$500,$C9,'DADOS BRUTOS'!EN$3:EN$500)))</f>
        <v/>
      </c>
      <c r="HO9" s="125">
        <f>IF(OR(HO$4="",$B9=""),0,SUMIF('DADOS BRUTOS'!$A$3:$A$500,$B9,'DADOS BRUTOS'!EO$3:EO$500)+IF($C9="",0,SUMIF('DADOS BRUTOS'!$A$3:$A$500,$C9,'DADOS BRUTOS'!EO$3:EO$500)))</f>
        <v/>
      </c>
      <c r="HP9" s="125">
        <f>IF(OR(HP$4="",$B9=""),0,SUMIF('DADOS BRUTOS'!$A$3:$A$500,$B9,'DADOS BRUTOS'!EP$3:EP$500)+IF($C9="",0,SUMIF('DADOS BRUTOS'!$A$3:$A$500,$C9,'DADOS BRUTOS'!EP$3:EP$500)))</f>
        <v/>
      </c>
      <c r="HQ9" s="125">
        <f>IF(OR(HQ$4="",$B9=""),0,SUMIF('DADOS BRUTOS'!$A$3:$A$500,$B9,'DADOS BRUTOS'!EQ$3:EQ$500)+IF($C9="",0,SUMIF('DADOS BRUTOS'!$A$3:$A$500,$C9,'DADOS BRUTOS'!EQ$3:EQ$500)))</f>
        <v/>
      </c>
      <c r="HR9" s="125">
        <f>IF(OR(HR$4="",$B9=""),0,SUMIF('DADOS BRUTOS'!$A$3:$A$500,$B9,'DADOS BRUTOS'!ER$3:ER$500)+IF($C9="",0,SUMIF('DADOS BRUTOS'!$A$3:$A$500,$C9,'DADOS BRUTOS'!ER$3:ER$500)))</f>
        <v/>
      </c>
      <c r="HS9" s="125">
        <f>IF(OR(HS$4="",$B9=""),0,SUMIF('DADOS BRUTOS'!$A$3:$A$500,$B9,'DADOS BRUTOS'!ES$3:ES$500)+IF($C9="",0,SUMIF('DADOS BRUTOS'!$A$3:$A$500,$C9,'DADOS BRUTOS'!ES$3:ES$500)))</f>
        <v/>
      </c>
      <c r="HT9" s="125">
        <f>IF(OR(HT$4="",$B9=""),0,SUMIF('DADOS BRUTOS'!$A$3:$A$500,$B9,'DADOS BRUTOS'!ET$3:ET$500)+IF($C9="",0,SUMIF('DADOS BRUTOS'!$A$3:$A$500,$C9,'DADOS BRUTOS'!ET$3:ET$500)))</f>
        <v/>
      </c>
      <c r="HU9" s="125">
        <f>IF(OR(HU$4="",$B9=""),0,SUMIF('DADOS BRUTOS'!$A$3:$A$500,$B9,'DADOS BRUTOS'!EU$3:EU$500)+IF($C9="",0,SUMIF('DADOS BRUTOS'!$A$3:$A$500,$C9,'DADOS BRUTOS'!EU$3:EU$500)))</f>
        <v/>
      </c>
      <c r="HV9" s="125">
        <f>IF(OR(HV$4="",$B9=""),0,SUMIF('DADOS BRUTOS'!$A$3:$A$500,$B9,'DADOS BRUTOS'!EV$3:EV$500)+IF($C9="",0,SUMIF('DADOS BRUTOS'!$A$3:$A$500,$C9,'DADOS BRUTOS'!EV$3:EV$500)))</f>
        <v/>
      </c>
      <c r="HW9" s="125">
        <f>IF(OR(HW$4="",$B9=""),0,SUMIF('DADOS BRUTOS'!$A$3:$A$500,$B9,'DADOS BRUTOS'!EW$3:EW$500)+IF($C9="",0,SUMIF('DADOS BRUTOS'!$A$3:$A$500,$C9,'DADOS BRUTOS'!EW$3:EW$500)))</f>
        <v/>
      </c>
      <c r="HX9" s="125">
        <f>IF(OR(HX$4="",$B9=""),0,SUMIF('DADOS BRUTOS'!$A$3:$A$500,$B9,'DADOS BRUTOS'!EX$3:EX$500)+IF($C9="",0,SUMIF('DADOS BRUTOS'!$A$3:$A$500,$C9,'DADOS BRUTOS'!EX$3:EX$500)))</f>
        <v/>
      </c>
      <c r="HY9" s="125">
        <f>IF(OR(HY$4="",$B9=""),0,SUMIF('DADOS BRUTOS'!$A$3:$A$500,$B9,'DADOS BRUTOS'!EY$3:EY$500)+IF($C9="",0,SUMIF('DADOS BRUTOS'!$A$3:$A$500,$C9,'DADOS BRUTOS'!EY$3:EY$500)))</f>
        <v/>
      </c>
      <c r="HZ9" s="125">
        <f>IF(OR(HZ$4="",$B9=""),0,SUMIF('DADOS BRUTOS'!$A$3:$A$500,$B9,'DADOS BRUTOS'!EZ$3:EZ$500)+IF($C9="",0,SUMIF('DADOS BRUTOS'!$A$3:$A$500,$C9,'DADOS BRUTOS'!EZ$3:EZ$500)))</f>
        <v/>
      </c>
      <c r="IA9" s="125">
        <f>IF(OR(IA$4="",$B9=""),0,SUMIF('DADOS BRUTOS'!$A$3:$A$500,$B9,'DADOS BRUTOS'!FA$3:FA$500)+IF($C9="",0,SUMIF('DADOS BRUTOS'!$A$3:$A$500,$C9,'DADOS BRUTOS'!FA$3:FA$500)))</f>
        <v/>
      </c>
      <c r="IB9" s="125">
        <f>IF(OR(IB$4="",$B9=""),0,SUMIF('DADOS BRUTOS'!$A$3:$A$500,$B9,'DADOS BRUTOS'!FB$3:FB$500)+IF($C9="",0,SUMIF('DADOS BRUTOS'!$A$3:$A$500,$C9,'DADOS BRUTOS'!FB$3:FB$500)))</f>
        <v/>
      </c>
      <c r="IC9" s="125">
        <f>IF(OR(IC$4="",$B9=""),0,SUMIF('DADOS BRUTOS'!$A$3:$A$500,$B9,'DADOS BRUTOS'!FC$3:FC$500)+IF($C9="",0,SUMIF('DADOS BRUTOS'!$A$3:$A$500,$C9,'DADOS BRUTOS'!FC$3:FC$500)))</f>
        <v/>
      </c>
      <c r="ID9" s="125">
        <f>IF(OR(ID$4="",$B9=""),0,SUMIF('DADOS BRUTOS'!$A$3:$A$500,$B9,'DADOS BRUTOS'!FD$3:FD$500)+IF($C9="",0,SUMIF('DADOS BRUTOS'!$A$3:$A$500,$C9,'DADOS BRUTOS'!FD$3:FD$500)))</f>
        <v/>
      </c>
      <c r="IE9" s="125">
        <f>IF(OR(IE$4="",$B9=""),0,SUMIF('DADOS BRUTOS'!$A$3:$A$500,$B9,'DADOS BRUTOS'!FE$3:FE$500)+IF($C9="",0,SUMIF('DADOS BRUTOS'!$A$3:$A$500,$C9,'DADOS BRUTOS'!FE$3:FE$500)))</f>
        <v/>
      </c>
      <c r="IF9" s="125">
        <f>IF(OR(IF$4="",$B9=""),0,SUMIF('DADOS BRUTOS'!$A$3:$A$500,$B9,'DADOS BRUTOS'!FF$3:FF$500)+IF($C9="",0,SUMIF('DADOS BRUTOS'!$A$3:$A$500,$C9,'DADOS BRUTOS'!FF$3:FF$500)))</f>
        <v/>
      </c>
      <c r="IG9" s="125">
        <f>IF(OR(IG$4="",$B9=""),0,SUMIF('DADOS BRUTOS'!$A$3:$A$500,$B9,'DADOS BRUTOS'!FG$3:FG$500)+IF($C9="",0,SUMIF('DADOS BRUTOS'!$A$3:$A$500,$C9,'DADOS BRUTOS'!FG$3:FG$500)))</f>
        <v/>
      </c>
      <c r="IH9" s="125">
        <f>IF(OR(IH$4="",$B9=""),0,SUMIF('DADOS BRUTOS'!$A$3:$A$500,$B9,'DADOS BRUTOS'!FH$3:FH$500)+IF($C9="",0,SUMIF('DADOS BRUTOS'!$A$3:$A$500,$C9,'DADOS BRUTOS'!FH$3:FH$500)))</f>
        <v/>
      </c>
      <c r="II9" s="125">
        <f>IF(OR(II$4="",$B9=""),0,SUMIF('DADOS BRUTOS'!$A$3:$A$500,$B9,'DADOS BRUTOS'!FI$3:FI$500)+IF($C9="",0,SUMIF('DADOS BRUTOS'!$A$3:$A$500,$C9,'DADOS BRUTOS'!FI$3:FI$500)))</f>
        <v/>
      </c>
      <c r="IJ9" s="125">
        <f>IF(OR(IJ$4="",$B9=""),0,SUMIF('DADOS BRUTOS'!$A$3:$A$500,$B9,'DADOS BRUTOS'!FJ$3:FJ$500)+IF($C9="",0,SUMIF('DADOS BRUTOS'!$A$3:$A$500,$C9,'DADOS BRUTOS'!FJ$3:FJ$500)))</f>
        <v/>
      </c>
      <c r="IK9" s="125">
        <f>IF(OR(IK$4="",$B9=""),0,SUMIF('DADOS BRUTOS'!$A$3:$A$500,$B9,'DADOS BRUTOS'!FK$3:FK$500)+IF($C9="",0,SUMIF('DADOS BRUTOS'!$A$3:$A$500,$C9,'DADOS BRUTOS'!FK$3:FK$500)))</f>
        <v/>
      </c>
      <c r="IL9" s="125">
        <f>IF(OR(IL$4="",$B9=""),0,SUMIF('DADOS BRUTOS'!$A$3:$A$500,$B9,'DADOS BRUTOS'!FL$3:FL$500)+IF($C9="",0,SUMIF('DADOS BRUTOS'!$A$3:$A$500,$C9,'DADOS BRUTOS'!FL$3:FL$500)))</f>
        <v/>
      </c>
      <c r="IM9" s="125">
        <f>IF(OR(IM$4="",$B9=""),0,SUMIF('DADOS BRUTOS'!$A$3:$A$500,$B9,'DADOS BRUTOS'!FM$3:FM$500)+IF($C9="",0,SUMIF('DADOS BRUTOS'!$A$3:$A$500,$C9,'DADOS BRUTOS'!FM$3:FM$500)))</f>
        <v/>
      </c>
      <c r="IN9" s="125">
        <f>IF(OR(IN$4="",$B9=""),0,SUMIF('DADOS BRUTOS'!$A$3:$A$500,$B9,'DADOS BRUTOS'!FN$3:FN$500)+IF($C9="",0,SUMIF('DADOS BRUTOS'!$A$3:$A$500,$C9,'DADOS BRUTOS'!FN$3:FN$500)))</f>
        <v/>
      </c>
      <c r="IO9" s="125">
        <f>IF(OR(IO$4="",$B9=""),0,SUMIF('DADOS BRUTOS'!$A$3:$A$500,$B9,'DADOS BRUTOS'!FO$3:FO$500)+IF($C9="",0,SUMIF('DADOS BRUTOS'!$A$3:$A$500,$C9,'DADOS BRUTOS'!FO$3:FO$500)))</f>
        <v/>
      </c>
      <c r="IP9" s="125">
        <f>IF(OR(IP$4="",$B9=""),0,SUMIF('DADOS BRUTOS'!$A$3:$A$500,$B9,'DADOS BRUTOS'!FP$3:FP$500)+IF($C9="",0,SUMIF('DADOS BRUTOS'!$A$3:$A$500,$C9,'DADOS BRUTOS'!FP$3:FP$500)))</f>
        <v/>
      </c>
      <c r="IQ9" s="125">
        <f>IF(OR(IQ$4="",$B9=""),0,SUMIF('DADOS BRUTOS'!$A$3:$A$500,$B9,'DADOS BRUTOS'!FQ$3:FQ$500)+IF($C9="",0,SUMIF('DADOS BRUTOS'!$A$3:$A$500,$C9,'DADOS BRUTOS'!FQ$3:FQ$500)))</f>
        <v/>
      </c>
      <c r="IR9" s="125">
        <f>IF(OR(IR$4="",$B9=""),0,SUMIF('DADOS BRUTOS'!$A$3:$A$500,$B9,'DADOS BRUTOS'!FR$3:FR$500)+IF($C9="",0,SUMIF('DADOS BRUTOS'!$A$3:$A$500,$C9,'DADOS BRUTOS'!FR$3:FR$500)))</f>
        <v/>
      </c>
      <c r="IS9" s="125">
        <f>IF(OR(IS$4="",$B9=""),0,SUMIF('DADOS BRUTOS'!$A$3:$A$500,$B9,'DADOS BRUTOS'!FS$3:FS$500)+IF($C9="",0,SUMIF('DADOS BRUTOS'!$A$3:$A$500,$C9,'DADOS BRUTOS'!FS$3:FS$500)))</f>
        <v/>
      </c>
      <c r="IT9" s="125">
        <f>IF(OR(IT$4="",$B9=""),0,SUMIF('DADOS BRUTOS'!$A$3:$A$500,$B9,'DADOS BRUTOS'!FT$3:FT$500)+IF($C9="",0,SUMIF('DADOS BRUTOS'!$A$3:$A$500,$C9,'DADOS BRUTOS'!FT$3:FT$500)))</f>
        <v/>
      </c>
      <c r="IU9" s="125">
        <f>IF(OR(IU$4="",$B9=""),0,SUMIF('DADOS BRUTOS'!$A$3:$A$500,$B9,'DADOS BRUTOS'!FU$3:FU$500)+IF($C9="",0,SUMIF('DADOS BRUTOS'!$A$3:$A$500,$C9,'DADOS BRUTOS'!FU$3:FU$500)))</f>
        <v/>
      </c>
      <c r="IV9" s="125">
        <f>IF(OR(IV$4="",$B9=""),0,SUMIF('DADOS BRUTOS'!$A$3:$A$500,$B9,'DADOS BRUTOS'!FV$3:FV$500)+IF($C9="",0,SUMIF('DADOS BRUTOS'!$A$3:$A$500,$C9,'DADOS BRUTOS'!FV$3:FV$500)))</f>
        <v/>
      </c>
      <c r="IW9" s="125">
        <f>IF(OR(IW$4="",$B9=""),0,SUMIF('DADOS BRUTOS'!$A$3:$A$500,$B9,'DADOS BRUTOS'!FW$3:FW$500)+IF($C9="",0,SUMIF('DADOS BRUTOS'!$A$3:$A$500,$C9,'DADOS BRUTOS'!FW$3:FW$500)))</f>
        <v/>
      </c>
      <c r="IX9" s="125">
        <f>IF(OR(IX$4="",$B9=""),0,SUMIF('DADOS BRUTOS'!$A$3:$A$500,$B9,'DADOS BRUTOS'!FX$3:FX$500)+IF($C9="",0,SUMIF('DADOS BRUTOS'!$A$3:$A$500,$C9,'DADOS BRUTOS'!FX$3:FX$500)))</f>
        <v/>
      </c>
      <c r="IY9" s="125">
        <f>IF(OR(IY$4="",$B9=""),0,SUMIF('DADOS BRUTOS'!$A$3:$A$500,$B9,'DADOS BRUTOS'!FY$3:FY$500)+IF($C9="",0,SUMIF('DADOS BRUTOS'!$A$3:$A$500,$C9,'DADOS BRUTOS'!FY$3:FY$500)))</f>
        <v/>
      </c>
      <c r="IZ9" s="125">
        <f>IF(OR(IZ$4="",$B9=""),0,SUMIF('DADOS BRUTOS'!$A$3:$A$500,$B9,'DADOS BRUTOS'!FZ$3:FZ$500)+IF($C9="",0,SUMIF('DADOS BRUTOS'!$A$3:$A$500,$C9,'DADOS BRUTOS'!FZ$3:FZ$500)))</f>
        <v/>
      </c>
      <c r="JA9" s="125">
        <f>IF(OR(JA$4="",$B9=""),0,SUMIF('DADOS BRUTOS'!$A$3:$A$500,$B9,'DADOS BRUTOS'!GA$3:GA$500)+IF($C9="",0,SUMIF('DADOS BRUTOS'!$A$3:$A$500,$C9,'DADOS BRUTOS'!GA$3:GA$500)))</f>
        <v/>
      </c>
      <c r="JB9" s="125">
        <f>IF(OR(JB$4="",$B9=""),0,SUMIF('DADOS BRUTOS'!$A$3:$A$500,$B9,'DADOS BRUTOS'!GB$3:GB$500)+IF($C9="",0,SUMIF('DADOS BRUTOS'!$A$3:$A$500,$C9,'DADOS BRUTOS'!GB$3:GB$500)))</f>
        <v/>
      </c>
      <c r="JC9" s="125">
        <f>IF(OR(JC$4="",$B9=""),0,SUMIF('DADOS BRUTOS'!$A$3:$A$500,$B9,'DADOS BRUTOS'!GC$3:GC$500)+IF($C9="",0,SUMIF('DADOS BRUTOS'!$A$3:$A$500,$C9,'DADOS BRUTOS'!GC$3:GC$500)))</f>
        <v/>
      </c>
      <c r="JD9" s="125">
        <f>IF(OR(JD$4="",$B9=""),0,SUMIF('DADOS BRUTOS'!$A$3:$A$500,$B9,'DADOS BRUTOS'!GD$3:GD$500)+IF($C9="",0,SUMIF('DADOS BRUTOS'!$A$3:$A$500,$C9,'DADOS BRUTOS'!GD$3:GD$500)))</f>
        <v/>
      </c>
      <c r="JE9" s="125">
        <f>IF(OR(JE$4="",$B9=""),0,SUMIF('DADOS BRUTOS'!$A$3:$A$500,$B9,'DADOS BRUTOS'!GE$3:GE$500)+IF($C9="",0,SUMIF('DADOS BRUTOS'!$A$3:$A$500,$C9,'DADOS BRUTOS'!GE$3:GE$500)))</f>
        <v/>
      </c>
      <c r="JF9" s="125">
        <f>IF(OR(JF$4="",$B9=""),0,SUMIF('DADOS BRUTOS'!$A$3:$A$500,$B9,'DADOS BRUTOS'!GF$3:GF$500)+IF($C9="",0,SUMIF('DADOS BRUTOS'!$A$3:$A$500,$C9,'DADOS BRUTOS'!GF$3:GF$500)))</f>
        <v/>
      </c>
      <c r="JG9" s="125">
        <f>IF(OR(JG$4="",$B9=""),0,SUMIF('DADOS BRUTOS'!$A$3:$A$500,$B9,'DADOS BRUTOS'!GG$3:GG$500)+IF($C9="",0,SUMIF('DADOS BRUTOS'!$A$3:$A$500,$C9,'DADOS BRUTOS'!GG$3:GG$500)))</f>
        <v/>
      </c>
      <c r="JH9" s="125">
        <f>IF(OR(JH$4="",$B9=""),0,SUMIF('DADOS BRUTOS'!$A$3:$A$500,$B9,'DADOS BRUTOS'!GH$3:GH$500)+IF($C9="",0,SUMIF('DADOS BRUTOS'!$A$3:$A$500,$C9,'DADOS BRUTOS'!GH$3:GH$500)))</f>
        <v/>
      </c>
      <c r="JI9" s="125">
        <f>IF(OR(JI$4="",$B9=""),0,SUMIF('DADOS BRUTOS'!$A$3:$A$500,$B9,'DADOS BRUTOS'!GI$3:GI$500)+IF($C9="",0,SUMIF('DADOS BRUTOS'!$A$3:$A$500,$C9,'DADOS BRUTOS'!GI$3:GI$500)))</f>
        <v/>
      </c>
      <c r="JJ9" s="125">
        <f>IF(OR(JJ$4="",$B9=""),0,SUMIF('DADOS BRUTOS'!$A$3:$A$500,$B9,'DADOS BRUTOS'!GJ$3:GJ$500)+IF($C9="",0,SUMIF('DADOS BRUTOS'!$A$3:$A$500,$C9,'DADOS BRUTOS'!GJ$3:GJ$500)))</f>
        <v/>
      </c>
      <c r="JK9" s="125">
        <f>IF(OR(JK$4="",$B9=""),0,SUMIF('DADOS BRUTOS'!$A$3:$A$500,$B9,'DADOS BRUTOS'!GK$3:GK$500)+IF($C9="",0,SUMIF('DADOS BRUTOS'!$A$3:$A$500,$C9,'DADOS BRUTOS'!GK$3:GK$500)))</f>
        <v/>
      </c>
      <c r="JL9" s="125">
        <f>IF(OR(JL$4="",$B9=""),0,SUMIF('DADOS BRUTOS'!$A$3:$A$500,$B9,'DADOS BRUTOS'!GL$3:GL$500)+IF($C9="",0,SUMIF('DADOS BRUTOS'!$A$3:$A$500,$C9,'DADOS BRUTOS'!GL$3:GL$500)))</f>
        <v/>
      </c>
      <c r="JM9" s="125">
        <f>IF(OR(JM$4="",$B9=""),0,SUMIF('DADOS BRUTOS'!$A$3:$A$500,$B9,'DADOS BRUTOS'!GM$3:GM$500)+IF($C9="",0,SUMIF('DADOS BRUTOS'!$A$3:$A$500,$C9,'DADOS BRUTOS'!GM$3:GM$500)))</f>
        <v/>
      </c>
      <c r="JN9" s="125">
        <f>IF(OR(JN$4="",$B9=""),0,SUMIF('DADOS BRUTOS'!$A$3:$A$500,$B9,'DADOS BRUTOS'!GN$3:GN$500)+IF($C9="",0,SUMIF('DADOS BRUTOS'!$A$3:$A$500,$C9,'DADOS BRUTOS'!GN$3:GN$500)))</f>
        <v/>
      </c>
      <c r="JO9" s="125">
        <f>IF(OR(JO$4="",$B9=""),0,SUMIF('DADOS BRUTOS'!$A$3:$A$500,$B9,'DADOS BRUTOS'!GO$3:GO$500)+IF($C9="",0,SUMIF('DADOS BRUTOS'!$A$3:$A$500,$C9,'DADOS BRUTOS'!GO$3:GO$500)))</f>
        <v/>
      </c>
      <c r="JP9" s="125">
        <f>IF(OR(JP$4="",$B9=""),0,SUMIF('DADOS BRUTOS'!$A$3:$A$500,$B9,'DADOS BRUTOS'!GP$3:GP$500)+IF($C9="",0,SUMIF('DADOS BRUTOS'!$A$3:$A$500,$C9,'DADOS BRUTOS'!GP$3:GP$500)))</f>
        <v/>
      </c>
      <c r="JQ9" s="125">
        <f>IF(OR(JQ$4="",$B9=""),0,SUMIF('DADOS BRUTOS'!$A$3:$A$500,$B9,'DADOS BRUTOS'!GQ$3:GQ$500)+IF($C9="",0,SUMIF('DADOS BRUTOS'!$A$3:$A$500,$C9,'DADOS BRUTOS'!GQ$3:GQ$500)))</f>
        <v/>
      </c>
      <c r="JR9" s="125">
        <f>IF(OR(JR$4="",$B9=""),0,SUMIF('DADOS BRUTOS'!$A$3:$A$500,$B9,'DADOS BRUTOS'!GR$3:GR$500)+IF($C9="",0,SUMIF('DADOS BRUTOS'!$A$3:$A$500,$C9,'DADOS BRUTOS'!GR$3:GR$500)))</f>
        <v/>
      </c>
      <c r="JS9" s="125">
        <f>IF(OR(JS$4="",$B9=""),0,SUMIF('DADOS BRUTOS'!$A$3:$A$500,$B9,'DADOS BRUTOS'!GS$3:GS$500)+IF($C9="",0,SUMIF('DADOS BRUTOS'!$A$3:$A$500,$C9,'DADOS BRUTOS'!GS$3:GS$500)))</f>
        <v/>
      </c>
    </row>
    <row r="10">
      <c r="A10" s="61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BZ10" s="49">
        <f>SUMPRODUCT(($CB$4:$JS$4&lt;&gt;"")*($CB$4:$JS$4&lt;=$D$4),$CB10:$JS10,$CB$1:$JS$1)</f>
        <v/>
      </c>
      <c r="CB10" s="125">
        <f>IF(OR(CB$4="",$B10=""),0,SUMIF('DADOS BRUTOS'!$A$3:$A$500,$B10,'DADOS BRUTOS'!B$3:B$500)+IF($C10="",0,SUMIF('DADOS BRUTOS'!$A$3:$A$500,$C10,'DADOS BRUTOS'!B$3:B$500)))</f>
        <v/>
      </c>
      <c r="CC10" s="125">
        <f>IF(OR(CC$4="",$B10=""),0,SUMIF('DADOS BRUTOS'!$A$3:$A$500,$B10,'DADOS BRUTOS'!C$3:C$500)+IF($C10="",0,SUMIF('DADOS BRUTOS'!$A$3:$A$500,$C10,'DADOS BRUTOS'!C$3:C$500)))</f>
        <v/>
      </c>
      <c r="CD10" s="125">
        <f>IF(OR(CD$4="",$B10=""),0,SUMIF('DADOS BRUTOS'!$A$3:$A$500,$B10,'DADOS BRUTOS'!D$3:D$500)+IF($C10="",0,SUMIF('DADOS BRUTOS'!$A$3:$A$500,$C10,'DADOS BRUTOS'!D$3:D$500)))</f>
        <v/>
      </c>
      <c r="CE10" s="125">
        <f>IF(OR(CE$4="",$B10=""),0,SUMIF('DADOS BRUTOS'!$A$3:$A$500,$B10,'DADOS BRUTOS'!E$3:E$500)+IF($C10="",0,SUMIF('DADOS BRUTOS'!$A$3:$A$500,$C10,'DADOS BRUTOS'!E$3:E$500)))</f>
        <v/>
      </c>
      <c r="CF10" s="125">
        <f>IF(OR(CF$4="",$B10=""),0,SUMIF('DADOS BRUTOS'!$A$3:$A$500,$B10,'DADOS BRUTOS'!F$3:F$500)+IF($C10="",0,SUMIF('DADOS BRUTOS'!$A$3:$A$500,$C10,'DADOS BRUTOS'!F$3:F$500)))</f>
        <v/>
      </c>
      <c r="CG10" s="125">
        <f>IF(OR(CG$4="",$B10=""),0,SUMIF('DADOS BRUTOS'!$A$3:$A$500,$B10,'DADOS BRUTOS'!G$3:G$500)+IF($C10="",0,SUMIF('DADOS BRUTOS'!$A$3:$A$500,$C10,'DADOS BRUTOS'!G$3:G$500)))</f>
        <v/>
      </c>
      <c r="CH10" s="125">
        <f>IF(OR(CH$4="",$B10=""),0,SUMIF('DADOS BRUTOS'!$A$3:$A$500,$B10,'DADOS BRUTOS'!H$3:H$500)+IF($C10="",0,SUMIF('DADOS BRUTOS'!$A$3:$A$500,$C10,'DADOS BRUTOS'!H$3:H$500)))</f>
        <v/>
      </c>
      <c r="CI10" s="125">
        <f>IF(OR(CI$4="",$B10=""),0,SUMIF('DADOS BRUTOS'!$A$3:$A$500,$B10,'DADOS BRUTOS'!I$3:I$500)+IF($C10="",0,SUMIF('DADOS BRUTOS'!$A$3:$A$500,$C10,'DADOS BRUTOS'!I$3:I$500)))</f>
        <v/>
      </c>
      <c r="CJ10" s="125">
        <f>IF(OR(CJ$4="",$B10=""),0,SUMIF('DADOS BRUTOS'!$A$3:$A$500,$B10,'DADOS BRUTOS'!J$3:J$500)+IF($C10="",0,SUMIF('DADOS BRUTOS'!$A$3:$A$500,$C10,'DADOS BRUTOS'!J$3:J$500)))</f>
        <v/>
      </c>
      <c r="CK10" s="125">
        <f>IF(OR(CK$4="",$B10=""),0,SUMIF('DADOS BRUTOS'!$A$3:$A$500,$B10,'DADOS BRUTOS'!K$3:K$500)+IF($C10="",0,SUMIF('DADOS BRUTOS'!$A$3:$A$500,$C10,'DADOS BRUTOS'!K$3:K$500)))</f>
        <v/>
      </c>
      <c r="CL10" s="125">
        <f>IF(OR(CL$4="",$B10=""),0,SUMIF('DADOS BRUTOS'!$A$3:$A$500,$B10,'DADOS BRUTOS'!L$3:L$500)+IF($C10="",0,SUMIF('DADOS BRUTOS'!$A$3:$A$500,$C10,'DADOS BRUTOS'!L$3:L$500)))</f>
        <v/>
      </c>
      <c r="CM10" s="125">
        <f>IF(OR(CM$4="",$B10=""),0,SUMIF('DADOS BRUTOS'!$A$3:$A$500,$B10,'DADOS BRUTOS'!M$3:M$500)+IF($C10="",0,SUMIF('DADOS BRUTOS'!$A$3:$A$500,$C10,'DADOS BRUTOS'!M$3:M$500)))</f>
        <v/>
      </c>
      <c r="CN10" s="125">
        <f>IF(OR(CN$4="",$B10=""),0,SUMIF('DADOS BRUTOS'!$A$3:$A$500,$B10,'DADOS BRUTOS'!N$3:N$500)+IF($C10="",0,SUMIF('DADOS BRUTOS'!$A$3:$A$500,$C10,'DADOS BRUTOS'!N$3:N$500)))</f>
        <v/>
      </c>
      <c r="CO10" s="125">
        <f>IF(OR(CO$4="",$B10=""),0,SUMIF('DADOS BRUTOS'!$A$3:$A$500,$B10,'DADOS BRUTOS'!O$3:O$500)+IF($C10="",0,SUMIF('DADOS BRUTOS'!$A$3:$A$500,$C10,'DADOS BRUTOS'!O$3:O$500)))</f>
        <v/>
      </c>
      <c r="CP10" s="125">
        <f>IF(OR(CP$4="",$B10=""),0,SUMIF('DADOS BRUTOS'!$A$3:$A$500,$B10,'DADOS BRUTOS'!P$3:P$500)+IF($C10="",0,SUMIF('DADOS BRUTOS'!$A$3:$A$500,$C10,'DADOS BRUTOS'!P$3:P$500)))</f>
        <v/>
      </c>
      <c r="CQ10" s="125">
        <f>IF(OR(CQ$4="",$B10=""),0,SUMIF('DADOS BRUTOS'!$A$3:$A$500,$B10,'DADOS BRUTOS'!Q$3:Q$500)+IF($C10="",0,SUMIF('DADOS BRUTOS'!$A$3:$A$500,$C10,'DADOS BRUTOS'!Q$3:Q$500)))</f>
        <v/>
      </c>
      <c r="CR10" s="125">
        <f>IF(OR(CR$4="",$B10=""),0,SUMIF('DADOS BRUTOS'!$A$3:$A$500,$B10,'DADOS BRUTOS'!R$3:R$500)+IF($C10="",0,SUMIF('DADOS BRUTOS'!$A$3:$A$500,$C10,'DADOS BRUTOS'!R$3:R$500)))</f>
        <v/>
      </c>
      <c r="CS10" s="125">
        <f>IF(OR(CS$4="",$B10=""),0,SUMIF('DADOS BRUTOS'!$A$3:$A$500,$B10,'DADOS BRUTOS'!S$3:S$500)+IF($C10="",0,SUMIF('DADOS BRUTOS'!$A$3:$A$500,$C10,'DADOS BRUTOS'!S$3:S$500)))</f>
        <v/>
      </c>
      <c r="CT10" s="125">
        <f>IF(OR(CT$4="",$B10=""),0,SUMIF('DADOS BRUTOS'!$A$3:$A$500,$B10,'DADOS BRUTOS'!T$3:T$500)+IF($C10="",0,SUMIF('DADOS BRUTOS'!$A$3:$A$500,$C10,'DADOS BRUTOS'!T$3:T$500)))</f>
        <v/>
      </c>
      <c r="CU10" s="125">
        <f>IF(OR(CU$4="",$B10=""),0,SUMIF('DADOS BRUTOS'!$A$3:$A$500,$B10,'DADOS BRUTOS'!U$3:U$500)+IF($C10="",0,SUMIF('DADOS BRUTOS'!$A$3:$A$500,$C10,'DADOS BRUTOS'!U$3:U$500)))</f>
        <v/>
      </c>
      <c r="CV10" s="125">
        <f>IF(OR(CV$4="",$B10=""),0,SUMIF('DADOS BRUTOS'!$A$3:$A$500,$B10,'DADOS BRUTOS'!V$3:V$500)+IF($C10="",0,SUMIF('DADOS BRUTOS'!$A$3:$A$500,$C10,'DADOS BRUTOS'!V$3:V$500)))</f>
        <v/>
      </c>
      <c r="CW10" s="125">
        <f>IF(OR(CW$4="",$B10=""),0,SUMIF('DADOS BRUTOS'!$A$3:$A$500,$B10,'DADOS BRUTOS'!W$3:W$500)+IF($C10="",0,SUMIF('DADOS BRUTOS'!$A$3:$A$500,$C10,'DADOS BRUTOS'!W$3:W$500)))</f>
        <v/>
      </c>
      <c r="CX10" s="125">
        <f>IF(OR(CX$4="",$B10=""),0,SUMIF('DADOS BRUTOS'!$A$3:$A$500,$B10,'DADOS BRUTOS'!X$3:X$500)+IF($C10="",0,SUMIF('DADOS BRUTOS'!$A$3:$A$500,$C10,'DADOS BRUTOS'!X$3:X$500)))</f>
        <v/>
      </c>
      <c r="CY10" s="125">
        <f>IF(OR(CY$4="",$B10=""),0,SUMIF('DADOS BRUTOS'!$A$3:$A$500,$B10,'DADOS BRUTOS'!Y$3:Y$500)+IF($C10="",0,SUMIF('DADOS BRUTOS'!$A$3:$A$500,$C10,'DADOS BRUTOS'!Y$3:Y$500)))</f>
        <v/>
      </c>
      <c r="CZ10" s="125">
        <f>IF(OR(CZ$4="",$B10=""),0,SUMIF('DADOS BRUTOS'!$A$3:$A$500,$B10,'DADOS BRUTOS'!Z$3:Z$500)+IF($C10="",0,SUMIF('DADOS BRUTOS'!$A$3:$A$500,$C10,'DADOS BRUTOS'!Z$3:Z$500)))</f>
        <v/>
      </c>
      <c r="DA10" s="125">
        <f>IF(OR(DA$4="",$B10=""),0,SUMIF('DADOS BRUTOS'!$A$3:$A$500,$B10,'DADOS BRUTOS'!AA$3:AA$500)+IF($C10="",0,SUMIF('DADOS BRUTOS'!$A$3:$A$500,$C10,'DADOS BRUTOS'!AA$3:AA$500)))</f>
        <v/>
      </c>
      <c r="DB10" s="125">
        <f>IF(OR(DB$4="",$B10=""),0,SUMIF('DADOS BRUTOS'!$A$3:$A$500,$B10,'DADOS BRUTOS'!AB$3:AB$500)+IF($C10="",0,SUMIF('DADOS BRUTOS'!$A$3:$A$500,$C10,'DADOS BRUTOS'!AB$3:AB$500)))</f>
        <v/>
      </c>
      <c r="DC10" s="125">
        <f>IF(OR(DC$4="",$B10=""),0,SUMIF('DADOS BRUTOS'!$A$3:$A$500,$B10,'DADOS BRUTOS'!AC$3:AC$500)+IF($C10="",0,SUMIF('DADOS BRUTOS'!$A$3:$A$500,$C10,'DADOS BRUTOS'!AC$3:AC$500)))</f>
        <v/>
      </c>
      <c r="DD10" s="125">
        <f>IF(OR(DD$4="",$B10=""),0,SUMIF('DADOS BRUTOS'!$A$3:$A$500,$B10,'DADOS BRUTOS'!AD$3:AD$500)+IF($C10="",0,SUMIF('DADOS BRUTOS'!$A$3:$A$500,$C10,'DADOS BRUTOS'!AD$3:AD$500)))</f>
        <v/>
      </c>
      <c r="DE10" s="125">
        <f>IF(OR(DE$4="",$B10=""),0,SUMIF('DADOS BRUTOS'!$A$3:$A$500,$B10,'DADOS BRUTOS'!AE$3:AE$500)+IF($C10="",0,SUMIF('DADOS BRUTOS'!$A$3:$A$500,$C10,'DADOS BRUTOS'!AE$3:AE$500)))</f>
        <v/>
      </c>
      <c r="DF10" s="125">
        <f>IF(OR(DF$4="",$B10=""),0,SUMIF('DADOS BRUTOS'!$A$3:$A$500,$B10,'DADOS BRUTOS'!AF$3:AF$500)+IF($C10="",0,SUMIF('DADOS BRUTOS'!$A$3:$A$500,$C10,'DADOS BRUTOS'!AF$3:AF$500)))</f>
        <v/>
      </c>
      <c r="DG10" s="125">
        <f>IF(OR(DG$4="",$B10=""),0,SUMIF('DADOS BRUTOS'!$A$3:$A$500,$B10,'DADOS BRUTOS'!AG$3:AG$500)+IF($C10="",0,SUMIF('DADOS BRUTOS'!$A$3:$A$500,$C10,'DADOS BRUTOS'!AG$3:AG$500)))</f>
        <v/>
      </c>
      <c r="DH10" s="125">
        <f>IF(OR(DH$4="",$B10=""),0,SUMIF('DADOS BRUTOS'!$A$3:$A$500,$B10,'DADOS BRUTOS'!AH$3:AH$500)+IF($C10="",0,SUMIF('DADOS BRUTOS'!$A$3:$A$500,$C10,'DADOS BRUTOS'!AH$3:AH$500)))</f>
        <v/>
      </c>
      <c r="DI10" s="125">
        <f>IF(OR(DI$4="",$B10=""),0,SUMIF('DADOS BRUTOS'!$A$3:$A$500,$B10,'DADOS BRUTOS'!AI$3:AI$500)+IF($C10="",0,SUMIF('DADOS BRUTOS'!$A$3:$A$500,$C10,'DADOS BRUTOS'!AI$3:AI$500)))</f>
        <v/>
      </c>
      <c r="DJ10" s="125">
        <f>IF(OR(DJ$4="",$B10=""),0,SUMIF('DADOS BRUTOS'!$A$3:$A$500,$B10,'DADOS BRUTOS'!AJ$3:AJ$500)+IF($C10="",0,SUMIF('DADOS BRUTOS'!$A$3:$A$500,$C10,'DADOS BRUTOS'!AJ$3:AJ$500)))</f>
        <v/>
      </c>
      <c r="DK10" s="125">
        <f>IF(OR(DK$4="",$B10=""),0,SUMIF('DADOS BRUTOS'!$A$3:$A$500,$B10,'DADOS BRUTOS'!AK$3:AK$500)+IF($C10="",0,SUMIF('DADOS BRUTOS'!$A$3:$A$500,$C10,'DADOS BRUTOS'!AK$3:AK$500)))</f>
        <v/>
      </c>
      <c r="DL10" s="125">
        <f>IF(OR(DL$4="",$B10=""),0,SUMIF('DADOS BRUTOS'!$A$3:$A$500,$B10,'DADOS BRUTOS'!AL$3:AL$500)+IF($C10="",0,SUMIF('DADOS BRUTOS'!$A$3:$A$500,$C10,'DADOS BRUTOS'!AL$3:AL$500)))</f>
        <v/>
      </c>
      <c r="DM10" s="125">
        <f>IF(OR(DM$4="",$B10=""),0,SUMIF('DADOS BRUTOS'!$A$3:$A$500,$B10,'DADOS BRUTOS'!AM$3:AM$500)+IF($C10="",0,SUMIF('DADOS BRUTOS'!$A$3:$A$500,$C10,'DADOS BRUTOS'!AM$3:AM$500)))</f>
        <v/>
      </c>
      <c r="DN10" s="125">
        <f>IF(OR(DN$4="",$B10=""),0,SUMIF('DADOS BRUTOS'!$A$3:$A$500,$B10,'DADOS BRUTOS'!AN$3:AN$500)+IF($C10="",0,SUMIF('DADOS BRUTOS'!$A$3:$A$500,$C10,'DADOS BRUTOS'!AN$3:AN$500)))</f>
        <v/>
      </c>
      <c r="DO10" s="125">
        <f>IF(OR(DO$4="",$B10=""),0,SUMIF('DADOS BRUTOS'!$A$3:$A$500,$B10,'DADOS BRUTOS'!AO$3:AO$500)+IF($C10="",0,SUMIF('DADOS BRUTOS'!$A$3:$A$500,$C10,'DADOS BRUTOS'!AO$3:AO$500)))</f>
        <v/>
      </c>
      <c r="DP10" s="125">
        <f>IF(OR(DP$4="",$B10=""),0,SUMIF('DADOS BRUTOS'!$A$3:$A$500,$B10,'DADOS BRUTOS'!AP$3:AP$500)+IF($C10="",0,SUMIF('DADOS BRUTOS'!$A$3:$A$500,$C10,'DADOS BRUTOS'!AP$3:AP$500)))</f>
        <v/>
      </c>
      <c r="DQ10" s="125">
        <f>IF(OR(DQ$4="",$B10=""),0,SUMIF('DADOS BRUTOS'!$A$3:$A$500,$B10,'DADOS BRUTOS'!AQ$3:AQ$500)+IF($C10="",0,SUMIF('DADOS BRUTOS'!$A$3:$A$500,$C10,'DADOS BRUTOS'!AQ$3:AQ$500)))</f>
        <v/>
      </c>
      <c r="DR10" s="125">
        <f>IF(OR(DR$4="",$B10=""),0,SUMIF('DADOS BRUTOS'!$A$3:$A$500,$B10,'DADOS BRUTOS'!AR$3:AR$500)+IF($C10="",0,SUMIF('DADOS BRUTOS'!$A$3:$A$500,$C10,'DADOS BRUTOS'!AR$3:AR$500)))</f>
        <v/>
      </c>
      <c r="DS10" s="125">
        <f>IF(OR(DS$4="",$B10=""),0,SUMIF('DADOS BRUTOS'!$A$3:$A$500,$B10,'DADOS BRUTOS'!AS$3:AS$500)+IF($C10="",0,SUMIF('DADOS BRUTOS'!$A$3:$A$500,$C10,'DADOS BRUTOS'!AS$3:AS$500)))</f>
        <v/>
      </c>
      <c r="DT10" s="125">
        <f>IF(OR(DT$4="",$B10=""),0,SUMIF('DADOS BRUTOS'!$A$3:$A$500,$B10,'DADOS BRUTOS'!AT$3:AT$500)+IF($C10="",0,SUMIF('DADOS BRUTOS'!$A$3:$A$500,$C10,'DADOS BRUTOS'!AT$3:AT$500)))</f>
        <v/>
      </c>
      <c r="DU10" s="125">
        <f>IF(OR(DU$4="",$B10=""),0,SUMIF('DADOS BRUTOS'!$A$3:$A$500,$B10,'DADOS BRUTOS'!AU$3:AU$500)+IF($C10="",0,SUMIF('DADOS BRUTOS'!$A$3:$A$500,$C10,'DADOS BRUTOS'!AU$3:AU$500)))</f>
        <v/>
      </c>
      <c r="DV10" s="125">
        <f>IF(OR(DV$4="",$B10=""),0,SUMIF('DADOS BRUTOS'!$A$3:$A$500,$B10,'DADOS BRUTOS'!AV$3:AV$500)+IF($C10="",0,SUMIF('DADOS BRUTOS'!$A$3:$A$500,$C10,'DADOS BRUTOS'!AV$3:AV$500)))</f>
        <v/>
      </c>
      <c r="DW10" s="125">
        <f>IF(OR(DW$4="",$B10=""),0,SUMIF('DADOS BRUTOS'!$A$3:$A$500,$B10,'DADOS BRUTOS'!AW$3:AW$500)+IF($C10="",0,SUMIF('DADOS BRUTOS'!$A$3:$A$500,$C10,'DADOS BRUTOS'!AW$3:AW$500)))</f>
        <v/>
      </c>
      <c r="DX10" s="125">
        <f>IF(OR(DX$4="",$B10=""),0,SUMIF('DADOS BRUTOS'!$A$3:$A$500,$B10,'DADOS BRUTOS'!AX$3:AX$500)+IF($C10="",0,SUMIF('DADOS BRUTOS'!$A$3:$A$500,$C10,'DADOS BRUTOS'!AX$3:AX$500)))</f>
        <v/>
      </c>
      <c r="DY10" s="125">
        <f>IF(OR(DY$4="",$B10=""),0,SUMIF('DADOS BRUTOS'!$A$3:$A$500,$B10,'DADOS BRUTOS'!AY$3:AY$500)+IF($C10="",0,SUMIF('DADOS BRUTOS'!$A$3:$A$500,$C10,'DADOS BRUTOS'!AY$3:AY$500)))</f>
        <v/>
      </c>
      <c r="DZ10" s="125">
        <f>IF(OR(DZ$4="",$B10=""),0,SUMIF('DADOS BRUTOS'!$A$3:$A$500,$B10,'DADOS BRUTOS'!AZ$3:AZ$500)+IF($C10="",0,SUMIF('DADOS BRUTOS'!$A$3:$A$500,$C10,'DADOS BRUTOS'!AZ$3:AZ$500)))</f>
        <v/>
      </c>
      <c r="EA10" s="125">
        <f>IF(OR(EA$4="",$B10=""),0,SUMIF('DADOS BRUTOS'!$A$3:$A$500,$B10,'DADOS BRUTOS'!BA$3:BA$500)+IF($C10="",0,SUMIF('DADOS BRUTOS'!$A$3:$A$500,$C10,'DADOS BRUTOS'!BA$3:BA$500)))</f>
        <v/>
      </c>
      <c r="EB10" s="125">
        <f>IF(OR(EB$4="",$B10=""),0,SUMIF('DADOS BRUTOS'!$A$3:$A$500,$B10,'DADOS BRUTOS'!BB$3:BB$500)+IF($C10="",0,SUMIF('DADOS BRUTOS'!$A$3:$A$500,$C10,'DADOS BRUTOS'!BB$3:BB$500)))</f>
        <v/>
      </c>
      <c r="EC10" s="125">
        <f>IF(OR(EC$4="",$B10=""),0,SUMIF('DADOS BRUTOS'!$A$3:$A$500,$B10,'DADOS BRUTOS'!BC$3:BC$500)+IF($C10="",0,SUMIF('DADOS BRUTOS'!$A$3:$A$500,$C10,'DADOS BRUTOS'!BC$3:BC$500)))</f>
        <v/>
      </c>
      <c r="ED10" s="125">
        <f>IF(OR(ED$4="",$B10=""),0,SUMIF('DADOS BRUTOS'!$A$3:$A$500,$B10,'DADOS BRUTOS'!BD$3:BD$500)+IF($C10="",0,SUMIF('DADOS BRUTOS'!$A$3:$A$500,$C10,'DADOS BRUTOS'!BD$3:BD$500)))</f>
        <v/>
      </c>
      <c r="EE10" s="125">
        <f>IF(OR(EE$4="",$B10=""),0,SUMIF('DADOS BRUTOS'!$A$3:$A$500,$B10,'DADOS BRUTOS'!BE$3:BE$500)+IF($C10="",0,SUMIF('DADOS BRUTOS'!$A$3:$A$500,$C10,'DADOS BRUTOS'!BE$3:BE$500)))</f>
        <v/>
      </c>
      <c r="EF10" s="125">
        <f>IF(OR(EF$4="",$B10=""),0,SUMIF('DADOS BRUTOS'!$A$3:$A$500,$B10,'DADOS BRUTOS'!BF$3:BF$500)+IF($C10="",0,SUMIF('DADOS BRUTOS'!$A$3:$A$500,$C10,'DADOS BRUTOS'!BF$3:BF$500)))</f>
        <v/>
      </c>
      <c r="EG10" s="125">
        <f>IF(OR(EG$4="",$B10=""),0,SUMIF('DADOS BRUTOS'!$A$3:$A$500,$B10,'DADOS BRUTOS'!BG$3:BG$500)+IF($C10="",0,SUMIF('DADOS BRUTOS'!$A$3:$A$500,$C10,'DADOS BRUTOS'!BG$3:BG$500)))</f>
        <v/>
      </c>
      <c r="EH10" s="125">
        <f>IF(OR(EH$4="",$B10=""),0,SUMIF('DADOS BRUTOS'!$A$3:$A$500,$B10,'DADOS BRUTOS'!BH$3:BH$500)+IF($C10="",0,SUMIF('DADOS BRUTOS'!$A$3:$A$500,$C10,'DADOS BRUTOS'!BH$3:BH$500)))</f>
        <v/>
      </c>
      <c r="EI10" s="125">
        <f>IF(OR(EI$4="",$B10=""),0,SUMIF('DADOS BRUTOS'!$A$3:$A$500,$B10,'DADOS BRUTOS'!BI$3:BI$500)+IF($C10="",0,SUMIF('DADOS BRUTOS'!$A$3:$A$500,$C10,'DADOS BRUTOS'!BI$3:BI$500)))</f>
        <v/>
      </c>
      <c r="EJ10" s="125">
        <f>IF(OR(EJ$4="",$B10=""),0,SUMIF('DADOS BRUTOS'!$A$3:$A$500,$B10,'DADOS BRUTOS'!BJ$3:BJ$500)+IF($C10="",0,SUMIF('DADOS BRUTOS'!$A$3:$A$500,$C10,'DADOS BRUTOS'!BJ$3:BJ$500)))</f>
        <v/>
      </c>
      <c r="EK10" s="125">
        <f>IF(OR(EK$4="",$B10=""),0,SUMIF('DADOS BRUTOS'!$A$3:$A$500,$B10,'DADOS BRUTOS'!BK$3:BK$500)+IF($C10="",0,SUMIF('DADOS BRUTOS'!$A$3:$A$500,$C10,'DADOS BRUTOS'!BK$3:BK$500)))</f>
        <v/>
      </c>
      <c r="EL10" s="125">
        <f>IF(OR(EL$4="",$B10=""),0,SUMIF('DADOS BRUTOS'!$A$3:$A$500,$B10,'DADOS BRUTOS'!BL$3:BL$500)+IF($C10="",0,SUMIF('DADOS BRUTOS'!$A$3:$A$500,$C10,'DADOS BRUTOS'!BL$3:BL$500)))</f>
        <v/>
      </c>
      <c r="EM10" s="125">
        <f>IF(OR(EM$4="",$B10=""),0,SUMIF('DADOS BRUTOS'!$A$3:$A$500,$B10,'DADOS BRUTOS'!BM$3:BM$500)+IF($C10="",0,SUMIF('DADOS BRUTOS'!$A$3:$A$500,$C10,'DADOS BRUTOS'!BM$3:BM$500)))</f>
        <v/>
      </c>
      <c r="EN10" s="125">
        <f>IF(OR(EN$4="",$B10=""),0,SUMIF('DADOS BRUTOS'!$A$3:$A$500,$B10,'DADOS BRUTOS'!BN$3:BN$500)+IF($C10="",0,SUMIF('DADOS BRUTOS'!$A$3:$A$500,$C10,'DADOS BRUTOS'!BN$3:BN$500)))</f>
        <v/>
      </c>
      <c r="EO10" s="125">
        <f>IF(OR(EO$4="",$B10=""),0,SUMIF('DADOS BRUTOS'!$A$3:$A$500,$B10,'DADOS BRUTOS'!BO$3:BO$500)+IF($C10="",0,SUMIF('DADOS BRUTOS'!$A$3:$A$500,$C10,'DADOS BRUTOS'!BO$3:BO$500)))</f>
        <v/>
      </c>
      <c r="EP10" s="125">
        <f>IF(OR(EP$4="",$B10=""),0,SUMIF('DADOS BRUTOS'!$A$3:$A$500,$B10,'DADOS BRUTOS'!BP$3:BP$500)+IF($C10="",0,SUMIF('DADOS BRUTOS'!$A$3:$A$500,$C10,'DADOS BRUTOS'!BP$3:BP$500)))</f>
        <v/>
      </c>
      <c r="EQ10" s="125">
        <f>IF(OR(EQ$4="",$B10=""),0,SUMIF('DADOS BRUTOS'!$A$3:$A$500,$B10,'DADOS BRUTOS'!BQ$3:BQ$500)+IF($C10="",0,SUMIF('DADOS BRUTOS'!$A$3:$A$500,$C10,'DADOS BRUTOS'!BQ$3:BQ$500)))</f>
        <v/>
      </c>
      <c r="ER10" s="125">
        <f>IF(OR(ER$4="",$B10=""),0,SUMIF('DADOS BRUTOS'!$A$3:$A$500,$B10,'DADOS BRUTOS'!BR$3:BR$500)+IF($C10="",0,SUMIF('DADOS BRUTOS'!$A$3:$A$500,$C10,'DADOS BRUTOS'!BR$3:BR$500)))</f>
        <v/>
      </c>
      <c r="ES10" s="125">
        <f>IF(OR(ES$4="",$B10=""),0,SUMIF('DADOS BRUTOS'!$A$3:$A$500,$B10,'DADOS BRUTOS'!BS$3:BS$500)+IF($C10="",0,SUMIF('DADOS BRUTOS'!$A$3:$A$500,$C10,'DADOS BRUTOS'!BS$3:BS$500)))</f>
        <v/>
      </c>
      <c r="ET10" s="125">
        <f>IF(OR(ET$4="",$B10=""),0,SUMIF('DADOS BRUTOS'!$A$3:$A$500,$B10,'DADOS BRUTOS'!BT$3:BT$500)+IF($C10="",0,SUMIF('DADOS BRUTOS'!$A$3:$A$500,$C10,'DADOS BRUTOS'!BT$3:BT$500)))</f>
        <v/>
      </c>
      <c r="EU10" s="125">
        <f>IF(OR(EU$4="",$B10=""),0,SUMIF('DADOS BRUTOS'!$A$3:$A$500,$B10,'DADOS BRUTOS'!BU$3:BU$500)+IF($C10="",0,SUMIF('DADOS BRUTOS'!$A$3:$A$500,$C10,'DADOS BRUTOS'!BU$3:BU$500)))</f>
        <v/>
      </c>
      <c r="EV10" s="125">
        <f>IF(OR(EV$4="",$B10=""),0,SUMIF('DADOS BRUTOS'!$A$3:$A$500,$B10,'DADOS BRUTOS'!BV$3:BV$500)+IF($C10="",0,SUMIF('DADOS BRUTOS'!$A$3:$A$500,$C10,'DADOS BRUTOS'!BV$3:BV$500)))</f>
        <v/>
      </c>
      <c r="EW10" s="125">
        <f>IF(OR(EW$4="",$B10=""),0,SUMIF('DADOS BRUTOS'!$A$3:$A$500,$B10,'DADOS BRUTOS'!BW$3:BW$500)+IF($C10="",0,SUMIF('DADOS BRUTOS'!$A$3:$A$500,$C10,'DADOS BRUTOS'!BW$3:BW$500)))</f>
        <v/>
      </c>
      <c r="EX10" s="125">
        <f>IF(OR(EX$4="",$B10=""),0,SUMIF('DADOS BRUTOS'!$A$3:$A$500,$B10,'DADOS BRUTOS'!BX$3:BX$500)+IF($C10="",0,SUMIF('DADOS BRUTOS'!$A$3:$A$500,$C10,'DADOS BRUTOS'!BX$3:BX$500)))</f>
        <v/>
      </c>
      <c r="EY10" s="125">
        <f>IF(OR(EY$4="",$B10=""),0,SUMIF('DADOS BRUTOS'!$A$3:$A$500,$B10,'DADOS BRUTOS'!BY$3:BY$500)+IF($C10="",0,SUMIF('DADOS BRUTOS'!$A$3:$A$500,$C10,'DADOS BRUTOS'!BY$3:BY$500)))</f>
        <v/>
      </c>
      <c r="EZ10" s="125">
        <f>IF(OR(EZ$4="",$B10=""),0,SUMIF('DADOS BRUTOS'!$A$3:$A$500,$B10,'DADOS BRUTOS'!BZ$3:BZ$500)+IF($C10="",0,SUMIF('DADOS BRUTOS'!$A$3:$A$500,$C10,'DADOS BRUTOS'!BZ$3:BZ$500)))</f>
        <v/>
      </c>
      <c r="FA10" s="125">
        <f>IF(OR(FA$4="",$B10=""),0,SUMIF('DADOS BRUTOS'!$A$3:$A$500,$B10,'DADOS BRUTOS'!CA$3:CA$500)+IF($C10="",0,SUMIF('DADOS BRUTOS'!$A$3:$A$500,$C10,'DADOS BRUTOS'!CA$3:CA$500)))</f>
        <v/>
      </c>
      <c r="FB10" s="125">
        <f>IF(OR(FB$4="",$B10=""),0,SUMIF('DADOS BRUTOS'!$A$3:$A$500,$B10,'DADOS BRUTOS'!CB$3:CB$500)+IF($C10="",0,SUMIF('DADOS BRUTOS'!$A$3:$A$500,$C10,'DADOS BRUTOS'!CB$3:CB$500)))</f>
        <v/>
      </c>
      <c r="FC10" s="125">
        <f>IF(OR(FC$4="",$B10=""),0,SUMIF('DADOS BRUTOS'!$A$3:$A$500,$B10,'DADOS BRUTOS'!CC$3:CC$500)+IF($C10="",0,SUMIF('DADOS BRUTOS'!$A$3:$A$500,$C10,'DADOS BRUTOS'!CC$3:CC$500)))</f>
        <v/>
      </c>
      <c r="FD10" s="125">
        <f>IF(OR(FD$4="",$B10=""),0,SUMIF('DADOS BRUTOS'!$A$3:$A$500,$B10,'DADOS BRUTOS'!CD$3:CD$500)+IF($C10="",0,SUMIF('DADOS BRUTOS'!$A$3:$A$500,$C10,'DADOS BRUTOS'!CD$3:CD$500)))</f>
        <v/>
      </c>
      <c r="FE10" s="125">
        <f>IF(OR(FE$4="",$B10=""),0,SUMIF('DADOS BRUTOS'!$A$3:$A$500,$B10,'DADOS BRUTOS'!CE$3:CE$500)+IF($C10="",0,SUMIF('DADOS BRUTOS'!$A$3:$A$500,$C10,'DADOS BRUTOS'!CE$3:CE$500)))</f>
        <v/>
      </c>
      <c r="FF10" s="125">
        <f>IF(OR(FF$4="",$B10=""),0,SUMIF('DADOS BRUTOS'!$A$3:$A$500,$B10,'DADOS BRUTOS'!CF$3:CF$500)+IF($C10="",0,SUMIF('DADOS BRUTOS'!$A$3:$A$500,$C10,'DADOS BRUTOS'!CF$3:CF$500)))</f>
        <v/>
      </c>
      <c r="FG10" s="125">
        <f>IF(OR(FG$4="",$B10=""),0,SUMIF('DADOS BRUTOS'!$A$3:$A$500,$B10,'DADOS BRUTOS'!CG$3:CG$500)+IF($C10="",0,SUMIF('DADOS BRUTOS'!$A$3:$A$500,$C10,'DADOS BRUTOS'!CG$3:CG$500)))</f>
        <v/>
      </c>
      <c r="FH10" s="125">
        <f>IF(OR(FH$4="",$B10=""),0,SUMIF('DADOS BRUTOS'!$A$3:$A$500,$B10,'DADOS BRUTOS'!CH$3:CH$500)+IF($C10="",0,SUMIF('DADOS BRUTOS'!$A$3:$A$500,$C10,'DADOS BRUTOS'!CH$3:CH$500)))</f>
        <v/>
      </c>
      <c r="FI10" s="125">
        <f>IF(OR(FI$4="",$B10=""),0,SUMIF('DADOS BRUTOS'!$A$3:$A$500,$B10,'DADOS BRUTOS'!CI$3:CI$500)+IF($C10="",0,SUMIF('DADOS BRUTOS'!$A$3:$A$500,$C10,'DADOS BRUTOS'!CI$3:CI$500)))</f>
        <v/>
      </c>
      <c r="FJ10" s="125">
        <f>IF(OR(FJ$4="",$B10=""),0,SUMIF('DADOS BRUTOS'!$A$3:$A$500,$B10,'DADOS BRUTOS'!CJ$3:CJ$500)+IF($C10="",0,SUMIF('DADOS BRUTOS'!$A$3:$A$500,$C10,'DADOS BRUTOS'!CJ$3:CJ$500)))</f>
        <v/>
      </c>
      <c r="FK10" s="125">
        <f>IF(OR(FK$4="",$B10=""),0,SUMIF('DADOS BRUTOS'!$A$3:$A$500,$B10,'DADOS BRUTOS'!CK$3:CK$500)+IF($C10="",0,SUMIF('DADOS BRUTOS'!$A$3:$A$500,$C10,'DADOS BRUTOS'!CK$3:CK$500)))</f>
        <v/>
      </c>
      <c r="FL10" s="125">
        <f>IF(OR(FL$4="",$B10=""),0,SUMIF('DADOS BRUTOS'!$A$3:$A$500,$B10,'DADOS BRUTOS'!CL$3:CL$500)+IF($C10="",0,SUMIF('DADOS BRUTOS'!$A$3:$A$500,$C10,'DADOS BRUTOS'!CL$3:CL$500)))</f>
        <v/>
      </c>
      <c r="FM10" s="125">
        <f>IF(OR(FM$4="",$B10=""),0,SUMIF('DADOS BRUTOS'!$A$3:$A$500,$B10,'DADOS BRUTOS'!CM$3:CM$500)+IF($C10="",0,SUMIF('DADOS BRUTOS'!$A$3:$A$500,$C10,'DADOS BRUTOS'!CM$3:CM$500)))</f>
        <v/>
      </c>
      <c r="FN10" s="125">
        <f>IF(OR(FN$4="",$B10=""),0,SUMIF('DADOS BRUTOS'!$A$3:$A$500,$B10,'DADOS BRUTOS'!CN$3:CN$500)+IF($C10="",0,SUMIF('DADOS BRUTOS'!$A$3:$A$500,$C10,'DADOS BRUTOS'!CN$3:CN$500)))</f>
        <v/>
      </c>
      <c r="FO10" s="125">
        <f>IF(OR(FO$4="",$B10=""),0,SUMIF('DADOS BRUTOS'!$A$3:$A$500,$B10,'DADOS BRUTOS'!CO$3:CO$500)+IF($C10="",0,SUMIF('DADOS BRUTOS'!$A$3:$A$500,$C10,'DADOS BRUTOS'!CO$3:CO$500)))</f>
        <v/>
      </c>
      <c r="FP10" s="125">
        <f>IF(OR(FP$4="",$B10=""),0,SUMIF('DADOS BRUTOS'!$A$3:$A$500,$B10,'DADOS BRUTOS'!CP$3:CP$500)+IF($C10="",0,SUMIF('DADOS BRUTOS'!$A$3:$A$500,$C10,'DADOS BRUTOS'!CP$3:CP$500)))</f>
        <v/>
      </c>
      <c r="FQ10" s="125">
        <f>IF(OR(FQ$4="",$B10=""),0,SUMIF('DADOS BRUTOS'!$A$3:$A$500,$B10,'DADOS BRUTOS'!CQ$3:CQ$500)+IF($C10="",0,SUMIF('DADOS BRUTOS'!$A$3:$A$500,$C10,'DADOS BRUTOS'!CQ$3:CQ$500)))</f>
        <v/>
      </c>
      <c r="FR10" s="125">
        <f>IF(OR(FR$4="",$B10=""),0,SUMIF('DADOS BRUTOS'!$A$3:$A$500,$B10,'DADOS BRUTOS'!CR$3:CR$500)+IF($C10="",0,SUMIF('DADOS BRUTOS'!$A$3:$A$500,$C10,'DADOS BRUTOS'!CR$3:CR$500)))</f>
        <v/>
      </c>
      <c r="FS10" s="125">
        <f>IF(OR(FS$4="",$B10=""),0,SUMIF('DADOS BRUTOS'!$A$3:$A$500,$B10,'DADOS BRUTOS'!CS$3:CS$500)+IF($C10="",0,SUMIF('DADOS BRUTOS'!$A$3:$A$500,$C10,'DADOS BRUTOS'!CS$3:CS$500)))</f>
        <v/>
      </c>
      <c r="FT10" s="125">
        <f>IF(OR(FT$4="",$B10=""),0,SUMIF('DADOS BRUTOS'!$A$3:$A$500,$B10,'DADOS BRUTOS'!CT$3:CT$500)+IF($C10="",0,SUMIF('DADOS BRUTOS'!$A$3:$A$500,$C10,'DADOS BRUTOS'!CT$3:CT$500)))</f>
        <v/>
      </c>
      <c r="FU10" s="125">
        <f>IF(OR(FU$4="",$B10=""),0,SUMIF('DADOS BRUTOS'!$A$3:$A$500,$B10,'DADOS BRUTOS'!CU$3:CU$500)+IF($C10="",0,SUMIF('DADOS BRUTOS'!$A$3:$A$500,$C10,'DADOS BRUTOS'!CU$3:CU$500)))</f>
        <v/>
      </c>
      <c r="FV10" s="125">
        <f>IF(OR(FV$4="",$B10=""),0,SUMIF('DADOS BRUTOS'!$A$3:$A$500,$B10,'DADOS BRUTOS'!CV$3:CV$500)+IF($C10="",0,SUMIF('DADOS BRUTOS'!$A$3:$A$500,$C10,'DADOS BRUTOS'!CV$3:CV$500)))</f>
        <v/>
      </c>
      <c r="FW10" s="125">
        <f>IF(OR(FW$4="",$B10=""),0,SUMIF('DADOS BRUTOS'!$A$3:$A$500,$B10,'DADOS BRUTOS'!CW$3:CW$500)+IF($C10="",0,SUMIF('DADOS BRUTOS'!$A$3:$A$500,$C10,'DADOS BRUTOS'!CW$3:CW$500)))</f>
        <v/>
      </c>
      <c r="FX10" s="125">
        <f>IF(OR(FX$4="",$B10=""),0,SUMIF('DADOS BRUTOS'!$A$3:$A$500,$B10,'DADOS BRUTOS'!CX$3:CX$500)+IF($C10="",0,SUMIF('DADOS BRUTOS'!$A$3:$A$500,$C10,'DADOS BRUTOS'!CX$3:CX$500)))</f>
        <v/>
      </c>
      <c r="FY10" s="125">
        <f>IF(OR(FY$4="",$B10=""),0,SUMIF('DADOS BRUTOS'!$A$3:$A$500,$B10,'DADOS BRUTOS'!CY$3:CY$500)+IF($C10="",0,SUMIF('DADOS BRUTOS'!$A$3:$A$500,$C10,'DADOS BRUTOS'!CY$3:CY$500)))</f>
        <v/>
      </c>
      <c r="FZ10" s="125">
        <f>IF(OR(FZ$4="",$B10=""),0,SUMIF('DADOS BRUTOS'!$A$3:$A$500,$B10,'DADOS BRUTOS'!CZ$3:CZ$500)+IF($C10="",0,SUMIF('DADOS BRUTOS'!$A$3:$A$500,$C10,'DADOS BRUTOS'!CZ$3:CZ$500)))</f>
        <v/>
      </c>
      <c r="GA10" s="125">
        <f>IF(OR(GA$4="",$B10=""),0,SUMIF('DADOS BRUTOS'!$A$3:$A$500,$B10,'DADOS BRUTOS'!DA$3:DA$500)+IF($C10="",0,SUMIF('DADOS BRUTOS'!$A$3:$A$500,$C10,'DADOS BRUTOS'!DA$3:DA$500)))</f>
        <v/>
      </c>
      <c r="GB10" s="125">
        <f>IF(OR(GB$4="",$B10=""),0,SUMIF('DADOS BRUTOS'!$A$3:$A$500,$B10,'DADOS BRUTOS'!DB$3:DB$500)+IF($C10="",0,SUMIF('DADOS BRUTOS'!$A$3:$A$500,$C10,'DADOS BRUTOS'!DB$3:DB$500)))</f>
        <v/>
      </c>
      <c r="GC10" s="125">
        <f>IF(OR(GC$4="",$B10=""),0,SUMIF('DADOS BRUTOS'!$A$3:$A$500,$B10,'DADOS BRUTOS'!DC$3:DC$500)+IF($C10="",0,SUMIF('DADOS BRUTOS'!$A$3:$A$500,$C10,'DADOS BRUTOS'!DC$3:DC$500)))</f>
        <v/>
      </c>
      <c r="GD10" s="125">
        <f>IF(OR(GD$4="",$B10=""),0,SUMIF('DADOS BRUTOS'!$A$3:$A$500,$B10,'DADOS BRUTOS'!DD$3:DD$500)+IF($C10="",0,SUMIF('DADOS BRUTOS'!$A$3:$A$500,$C10,'DADOS BRUTOS'!DD$3:DD$500)))</f>
        <v/>
      </c>
      <c r="GE10" s="125">
        <f>IF(OR(GE$4="",$B10=""),0,SUMIF('DADOS BRUTOS'!$A$3:$A$500,$B10,'DADOS BRUTOS'!DE$3:DE$500)+IF($C10="",0,SUMIF('DADOS BRUTOS'!$A$3:$A$500,$C10,'DADOS BRUTOS'!DE$3:DE$500)))</f>
        <v/>
      </c>
      <c r="GF10" s="125">
        <f>IF(OR(GF$4="",$B10=""),0,SUMIF('DADOS BRUTOS'!$A$3:$A$500,$B10,'DADOS BRUTOS'!DF$3:DF$500)+IF($C10="",0,SUMIF('DADOS BRUTOS'!$A$3:$A$500,$C10,'DADOS BRUTOS'!DF$3:DF$500)))</f>
        <v/>
      </c>
      <c r="GG10" s="125">
        <f>IF(OR(GG$4="",$B10=""),0,SUMIF('DADOS BRUTOS'!$A$3:$A$500,$B10,'DADOS BRUTOS'!DG$3:DG$500)+IF($C10="",0,SUMIF('DADOS BRUTOS'!$A$3:$A$500,$C10,'DADOS BRUTOS'!DG$3:DG$500)))</f>
        <v/>
      </c>
      <c r="GH10" s="125">
        <f>IF(OR(GH$4="",$B10=""),0,SUMIF('DADOS BRUTOS'!$A$3:$A$500,$B10,'DADOS BRUTOS'!DH$3:DH$500)+IF($C10="",0,SUMIF('DADOS BRUTOS'!$A$3:$A$500,$C10,'DADOS BRUTOS'!DH$3:DH$500)))</f>
        <v/>
      </c>
      <c r="GI10" s="125">
        <f>IF(OR(GI$4="",$B10=""),0,SUMIF('DADOS BRUTOS'!$A$3:$A$500,$B10,'DADOS BRUTOS'!DI$3:DI$500)+IF($C10="",0,SUMIF('DADOS BRUTOS'!$A$3:$A$500,$C10,'DADOS BRUTOS'!DI$3:DI$500)))</f>
        <v/>
      </c>
      <c r="GJ10" s="125">
        <f>IF(OR(GJ$4="",$B10=""),0,SUMIF('DADOS BRUTOS'!$A$3:$A$500,$B10,'DADOS BRUTOS'!DJ$3:DJ$500)+IF($C10="",0,SUMIF('DADOS BRUTOS'!$A$3:$A$500,$C10,'DADOS BRUTOS'!DJ$3:DJ$500)))</f>
        <v/>
      </c>
      <c r="GK10" s="125">
        <f>IF(OR(GK$4="",$B10=""),0,SUMIF('DADOS BRUTOS'!$A$3:$A$500,$B10,'DADOS BRUTOS'!DK$3:DK$500)+IF($C10="",0,SUMIF('DADOS BRUTOS'!$A$3:$A$500,$C10,'DADOS BRUTOS'!DK$3:DK$500)))</f>
        <v/>
      </c>
      <c r="GL10" s="125">
        <f>IF(OR(GL$4="",$B10=""),0,SUMIF('DADOS BRUTOS'!$A$3:$A$500,$B10,'DADOS BRUTOS'!DL$3:DL$500)+IF($C10="",0,SUMIF('DADOS BRUTOS'!$A$3:$A$500,$C10,'DADOS BRUTOS'!DL$3:DL$500)))</f>
        <v/>
      </c>
      <c r="GM10" s="125">
        <f>IF(OR(GM$4="",$B10=""),0,SUMIF('DADOS BRUTOS'!$A$3:$A$500,$B10,'DADOS BRUTOS'!DM$3:DM$500)+IF($C10="",0,SUMIF('DADOS BRUTOS'!$A$3:$A$500,$C10,'DADOS BRUTOS'!DM$3:DM$500)))</f>
        <v/>
      </c>
      <c r="GN10" s="125">
        <f>IF(OR(GN$4="",$B10=""),0,SUMIF('DADOS BRUTOS'!$A$3:$A$500,$B10,'DADOS BRUTOS'!DN$3:DN$500)+IF($C10="",0,SUMIF('DADOS BRUTOS'!$A$3:$A$500,$C10,'DADOS BRUTOS'!DN$3:DN$500)))</f>
        <v/>
      </c>
      <c r="GO10" s="125">
        <f>IF(OR(GO$4="",$B10=""),0,SUMIF('DADOS BRUTOS'!$A$3:$A$500,$B10,'DADOS BRUTOS'!DO$3:DO$500)+IF($C10="",0,SUMIF('DADOS BRUTOS'!$A$3:$A$500,$C10,'DADOS BRUTOS'!DO$3:DO$500)))</f>
        <v/>
      </c>
      <c r="GP10" s="125">
        <f>IF(OR(GP$4="",$B10=""),0,SUMIF('DADOS BRUTOS'!$A$3:$A$500,$B10,'DADOS BRUTOS'!DP$3:DP$500)+IF($C10="",0,SUMIF('DADOS BRUTOS'!$A$3:$A$500,$C10,'DADOS BRUTOS'!DP$3:DP$500)))</f>
        <v/>
      </c>
      <c r="GQ10" s="125">
        <f>IF(OR(GQ$4="",$B10=""),0,SUMIF('DADOS BRUTOS'!$A$3:$A$500,$B10,'DADOS BRUTOS'!DQ$3:DQ$500)+IF($C10="",0,SUMIF('DADOS BRUTOS'!$A$3:$A$500,$C10,'DADOS BRUTOS'!DQ$3:DQ$500)))</f>
        <v/>
      </c>
      <c r="GR10" s="125">
        <f>IF(OR(GR$4="",$B10=""),0,SUMIF('DADOS BRUTOS'!$A$3:$A$500,$B10,'DADOS BRUTOS'!DR$3:DR$500)+IF($C10="",0,SUMIF('DADOS BRUTOS'!$A$3:$A$500,$C10,'DADOS BRUTOS'!DR$3:DR$500)))</f>
        <v/>
      </c>
      <c r="GS10" s="125">
        <f>IF(OR(GS$4="",$B10=""),0,SUMIF('DADOS BRUTOS'!$A$3:$A$500,$B10,'DADOS BRUTOS'!DS$3:DS$500)+IF($C10="",0,SUMIF('DADOS BRUTOS'!$A$3:$A$500,$C10,'DADOS BRUTOS'!DS$3:DS$500)))</f>
        <v/>
      </c>
      <c r="GT10" s="125">
        <f>IF(OR(GT$4="",$B10=""),0,SUMIF('DADOS BRUTOS'!$A$3:$A$500,$B10,'DADOS BRUTOS'!DT$3:DT$500)+IF($C10="",0,SUMIF('DADOS BRUTOS'!$A$3:$A$500,$C10,'DADOS BRUTOS'!DT$3:DT$500)))</f>
        <v/>
      </c>
      <c r="GU10" s="125">
        <f>IF(OR(GU$4="",$B10=""),0,SUMIF('DADOS BRUTOS'!$A$3:$A$500,$B10,'DADOS BRUTOS'!DU$3:DU$500)+IF($C10="",0,SUMIF('DADOS BRUTOS'!$A$3:$A$500,$C10,'DADOS BRUTOS'!DU$3:DU$500)))</f>
        <v/>
      </c>
      <c r="GV10" s="125">
        <f>IF(OR(GV$4="",$B10=""),0,SUMIF('DADOS BRUTOS'!$A$3:$A$500,$B10,'DADOS BRUTOS'!DV$3:DV$500)+IF($C10="",0,SUMIF('DADOS BRUTOS'!$A$3:$A$500,$C10,'DADOS BRUTOS'!DV$3:DV$500)))</f>
        <v/>
      </c>
      <c r="GW10" s="125">
        <f>IF(OR(GW$4="",$B10=""),0,SUMIF('DADOS BRUTOS'!$A$3:$A$500,$B10,'DADOS BRUTOS'!DW$3:DW$500)+IF($C10="",0,SUMIF('DADOS BRUTOS'!$A$3:$A$500,$C10,'DADOS BRUTOS'!DW$3:DW$500)))</f>
        <v/>
      </c>
      <c r="GX10" s="125">
        <f>IF(OR(GX$4="",$B10=""),0,SUMIF('DADOS BRUTOS'!$A$3:$A$500,$B10,'DADOS BRUTOS'!DX$3:DX$500)+IF($C10="",0,SUMIF('DADOS BRUTOS'!$A$3:$A$500,$C10,'DADOS BRUTOS'!DX$3:DX$500)))</f>
        <v/>
      </c>
      <c r="GY10" s="125">
        <f>IF(OR(GY$4="",$B10=""),0,SUMIF('DADOS BRUTOS'!$A$3:$A$500,$B10,'DADOS BRUTOS'!DY$3:DY$500)+IF($C10="",0,SUMIF('DADOS BRUTOS'!$A$3:$A$500,$C10,'DADOS BRUTOS'!DY$3:DY$500)))</f>
        <v/>
      </c>
      <c r="GZ10" s="125">
        <f>IF(OR(GZ$4="",$B10=""),0,SUMIF('DADOS BRUTOS'!$A$3:$A$500,$B10,'DADOS BRUTOS'!DZ$3:DZ$500)+IF($C10="",0,SUMIF('DADOS BRUTOS'!$A$3:$A$500,$C10,'DADOS BRUTOS'!DZ$3:DZ$500)))</f>
        <v/>
      </c>
      <c r="HA10" s="125">
        <f>IF(OR(HA$4="",$B10=""),0,SUMIF('DADOS BRUTOS'!$A$3:$A$500,$B10,'DADOS BRUTOS'!EA$3:EA$500)+IF($C10="",0,SUMIF('DADOS BRUTOS'!$A$3:$A$500,$C10,'DADOS BRUTOS'!EA$3:EA$500)))</f>
        <v/>
      </c>
      <c r="HB10" s="125">
        <f>IF(OR(HB$4="",$B10=""),0,SUMIF('DADOS BRUTOS'!$A$3:$A$500,$B10,'DADOS BRUTOS'!EB$3:EB$500)+IF($C10="",0,SUMIF('DADOS BRUTOS'!$A$3:$A$500,$C10,'DADOS BRUTOS'!EB$3:EB$500)))</f>
        <v/>
      </c>
      <c r="HC10" s="125">
        <f>IF(OR(HC$4="",$B10=""),0,SUMIF('DADOS BRUTOS'!$A$3:$A$500,$B10,'DADOS BRUTOS'!EC$3:EC$500)+IF($C10="",0,SUMIF('DADOS BRUTOS'!$A$3:$A$500,$C10,'DADOS BRUTOS'!EC$3:EC$500)))</f>
        <v/>
      </c>
      <c r="HD10" s="125">
        <f>IF(OR(HD$4="",$B10=""),0,SUMIF('DADOS BRUTOS'!$A$3:$A$500,$B10,'DADOS BRUTOS'!ED$3:ED$500)+IF($C10="",0,SUMIF('DADOS BRUTOS'!$A$3:$A$500,$C10,'DADOS BRUTOS'!ED$3:ED$500)))</f>
        <v/>
      </c>
      <c r="HE10" s="125">
        <f>IF(OR(HE$4="",$B10=""),0,SUMIF('DADOS BRUTOS'!$A$3:$A$500,$B10,'DADOS BRUTOS'!EE$3:EE$500)+IF($C10="",0,SUMIF('DADOS BRUTOS'!$A$3:$A$500,$C10,'DADOS BRUTOS'!EE$3:EE$500)))</f>
        <v/>
      </c>
      <c r="HF10" s="125">
        <f>IF(OR(HF$4="",$B10=""),0,SUMIF('DADOS BRUTOS'!$A$3:$A$500,$B10,'DADOS BRUTOS'!EF$3:EF$500)+IF($C10="",0,SUMIF('DADOS BRUTOS'!$A$3:$A$500,$C10,'DADOS BRUTOS'!EF$3:EF$500)))</f>
        <v/>
      </c>
      <c r="HG10" s="125">
        <f>IF(OR(HG$4="",$B10=""),0,SUMIF('DADOS BRUTOS'!$A$3:$A$500,$B10,'DADOS BRUTOS'!EG$3:EG$500)+IF($C10="",0,SUMIF('DADOS BRUTOS'!$A$3:$A$500,$C10,'DADOS BRUTOS'!EG$3:EG$500)))</f>
        <v/>
      </c>
      <c r="HH10" s="125">
        <f>IF(OR(HH$4="",$B10=""),0,SUMIF('DADOS BRUTOS'!$A$3:$A$500,$B10,'DADOS BRUTOS'!EH$3:EH$500)+IF($C10="",0,SUMIF('DADOS BRUTOS'!$A$3:$A$500,$C10,'DADOS BRUTOS'!EH$3:EH$500)))</f>
        <v/>
      </c>
      <c r="HI10" s="125">
        <f>IF(OR(HI$4="",$B10=""),0,SUMIF('DADOS BRUTOS'!$A$3:$A$500,$B10,'DADOS BRUTOS'!EI$3:EI$500)+IF($C10="",0,SUMIF('DADOS BRUTOS'!$A$3:$A$500,$C10,'DADOS BRUTOS'!EI$3:EI$500)))</f>
        <v/>
      </c>
      <c r="HJ10" s="125">
        <f>IF(OR(HJ$4="",$B10=""),0,SUMIF('DADOS BRUTOS'!$A$3:$A$500,$B10,'DADOS BRUTOS'!EJ$3:EJ$500)+IF($C10="",0,SUMIF('DADOS BRUTOS'!$A$3:$A$500,$C10,'DADOS BRUTOS'!EJ$3:EJ$500)))</f>
        <v/>
      </c>
      <c r="HK10" s="125">
        <f>IF(OR(HK$4="",$B10=""),0,SUMIF('DADOS BRUTOS'!$A$3:$A$500,$B10,'DADOS BRUTOS'!EK$3:EK$500)+IF($C10="",0,SUMIF('DADOS BRUTOS'!$A$3:$A$500,$C10,'DADOS BRUTOS'!EK$3:EK$500)))</f>
        <v/>
      </c>
      <c r="HL10" s="125">
        <f>IF(OR(HL$4="",$B10=""),0,SUMIF('DADOS BRUTOS'!$A$3:$A$500,$B10,'DADOS BRUTOS'!EL$3:EL$500)+IF($C10="",0,SUMIF('DADOS BRUTOS'!$A$3:$A$500,$C10,'DADOS BRUTOS'!EL$3:EL$500)))</f>
        <v/>
      </c>
      <c r="HM10" s="125">
        <f>IF(OR(HM$4="",$B10=""),0,SUMIF('DADOS BRUTOS'!$A$3:$A$500,$B10,'DADOS BRUTOS'!EM$3:EM$500)+IF($C10="",0,SUMIF('DADOS BRUTOS'!$A$3:$A$500,$C10,'DADOS BRUTOS'!EM$3:EM$500)))</f>
        <v/>
      </c>
      <c r="HN10" s="125">
        <f>IF(OR(HN$4="",$B10=""),0,SUMIF('DADOS BRUTOS'!$A$3:$A$500,$B10,'DADOS BRUTOS'!EN$3:EN$500)+IF($C10="",0,SUMIF('DADOS BRUTOS'!$A$3:$A$500,$C10,'DADOS BRUTOS'!EN$3:EN$500)))</f>
        <v/>
      </c>
      <c r="HO10" s="125">
        <f>IF(OR(HO$4="",$B10=""),0,SUMIF('DADOS BRUTOS'!$A$3:$A$500,$B10,'DADOS BRUTOS'!EO$3:EO$500)+IF($C10="",0,SUMIF('DADOS BRUTOS'!$A$3:$A$500,$C10,'DADOS BRUTOS'!EO$3:EO$500)))</f>
        <v/>
      </c>
      <c r="HP10" s="125">
        <f>IF(OR(HP$4="",$B10=""),0,SUMIF('DADOS BRUTOS'!$A$3:$A$500,$B10,'DADOS BRUTOS'!EP$3:EP$500)+IF($C10="",0,SUMIF('DADOS BRUTOS'!$A$3:$A$500,$C10,'DADOS BRUTOS'!EP$3:EP$500)))</f>
        <v/>
      </c>
      <c r="HQ10" s="125">
        <f>IF(OR(HQ$4="",$B10=""),0,SUMIF('DADOS BRUTOS'!$A$3:$A$500,$B10,'DADOS BRUTOS'!EQ$3:EQ$500)+IF($C10="",0,SUMIF('DADOS BRUTOS'!$A$3:$A$500,$C10,'DADOS BRUTOS'!EQ$3:EQ$500)))</f>
        <v/>
      </c>
      <c r="HR10" s="125">
        <f>IF(OR(HR$4="",$B10=""),0,SUMIF('DADOS BRUTOS'!$A$3:$A$500,$B10,'DADOS BRUTOS'!ER$3:ER$500)+IF($C10="",0,SUMIF('DADOS BRUTOS'!$A$3:$A$500,$C10,'DADOS BRUTOS'!ER$3:ER$500)))</f>
        <v/>
      </c>
      <c r="HS10" s="125">
        <f>IF(OR(HS$4="",$B10=""),0,SUMIF('DADOS BRUTOS'!$A$3:$A$500,$B10,'DADOS BRUTOS'!ES$3:ES$500)+IF($C10="",0,SUMIF('DADOS BRUTOS'!$A$3:$A$500,$C10,'DADOS BRUTOS'!ES$3:ES$500)))</f>
        <v/>
      </c>
      <c r="HT10" s="125">
        <f>IF(OR(HT$4="",$B10=""),0,SUMIF('DADOS BRUTOS'!$A$3:$A$500,$B10,'DADOS BRUTOS'!ET$3:ET$500)+IF($C10="",0,SUMIF('DADOS BRUTOS'!$A$3:$A$500,$C10,'DADOS BRUTOS'!ET$3:ET$500)))</f>
        <v/>
      </c>
      <c r="HU10" s="125">
        <f>IF(OR(HU$4="",$B10=""),0,SUMIF('DADOS BRUTOS'!$A$3:$A$500,$B10,'DADOS BRUTOS'!EU$3:EU$500)+IF($C10="",0,SUMIF('DADOS BRUTOS'!$A$3:$A$500,$C10,'DADOS BRUTOS'!EU$3:EU$500)))</f>
        <v/>
      </c>
      <c r="HV10" s="125">
        <f>IF(OR(HV$4="",$B10=""),0,SUMIF('DADOS BRUTOS'!$A$3:$A$500,$B10,'DADOS BRUTOS'!EV$3:EV$500)+IF($C10="",0,SUMIF('DADOS BRUTOS'!$A$3:$A$500,$C10,'DADOS BRUTOS'!EV$3:EV$500)))</f>
        <v/>
      </c>
      <c r="HW10" s="125">
        <f>IF(OR(HW$4="",$B10=""),0,SUMIF('DADOS BRUTOS'!$A$3:$A$500,$B10,'DADOS BRUTOS'!EW$3:EW$500)+IF($C10="",0,SUMIF('DADOS BRUTOS'!$A$3:$A$500,$C10,'DADOS BRUTOS'!EW$3:EW$500)))</f>
        <v/>
      </c>
      <c r="HX10" s="125">
        <f>IF(OR(HX$4="",$B10=""),0,SUMIF('DADOS BRUTOS'!$A$3:$A$500,$B10,'DADOS BRUTOS'!EX$3:EX$500)+IF($C10="",0,SUMIF('DADOS BRUTOS'!$A$3:$A$500,$C10,'DADOS BRUTOS'!EX$3:EX$500)))</f>
        <v/>
      </c>
      <c r="HY10" s="125">
        <f>IF(OR(HY$4="",$B10=""),0,SUMIF('DADOS BRUTOS'!$A$3:$A$500,$B10,'DADOS BRUTOS'!EY$3:EY$500)+IF($C10="",0,SUMIF('DADOS BRUTOS'!$A$3:$A$500,$C10,'DADOS BRUTOS'!EY$3:EY$500)))</f>
        <v/>
      </c>
      <c r="HZ10" s="125">
        <f>IF(OR(HZ$4="",$B10=""),0,SUMIF('DADOS BRUTOS'!$A$3:$A$500,$B10,'DADOS BRUTOS'!EZ$3:EZ$500)+IF($C10="",0,SUMIF('DADOS BRUTOS'!$A$3:$A$500,$C10,'DADOS BRUTOS'!EZ$3:EZ$500)))</f>
        <v/>
      </c>
      <c r="IA10" s="125">
        <f>IF(OR(IA$4="",$B10=""),0,SUMIF('DADOS BRUTOS'!$A$3:$A$500,$B10,'DADOS BRUTOS'!FA$3:FA$500)+IF($C10="",0,SUMIF('DADOS BRUTOS'!$A$3:$A$500,$C10,'DADOS BRUTOS'!FA$3:FA$500)))</f>
        <v/>
      </c>
      <c r="IB10" s="125">
        <f>IF(OR(IB$4="",$B10=""),0,SUMIF('DADOS BRUTOS'!$A$3:$A$500,$B10,'DADOS BRUTOS'!FB$3:FB$500)+IF($C10="",0,SUMIF('DADOS BRUTOS'!$A$3:$A$500,$C10,'DADOS BRUTOS'!FB$3:FB$500)))</f>
        <v/>
      </c>
      <c r="IC10" s="125">
        <f>IF(OR(IC$4="",$B10=""),0,SUMIF('DADOS BRUTOS'!$A$3:$A$500,$B10,'DADOS BRUTOS'!FC$3:FC$500)+IF($C10="",0,SUMIF('DADOS BRUTOS'!$A$3:$A$500,$C10,'DADOS BRUTOS'!FC$3:FC$500)))</f>
        <v/>
      </c>
      <c r="ID10" s="125">
        <f>IF(OR(ID$4="",$B10=""),0,SUMIF('DADOS BRUTOS'!$A$3:$A$500,$B10,'DADOS BRUTOS'!FD$3:FD$500)+IF($C10="",0,SUMIF('DADOS BRUTOS'!$A$3:$A$500,$C10,'DADOS BRUTOS'!FD$3:FD$500)))</f>
        <v/>
      </c>
      <c r="IE10" s="125">
        <f>IF(OR(IE$4="",$B10=""),0,SUMIF('DADOS BRUTOS'!$A$3:$A$500,$B10,'DADOS BRUTOS'!FE$3:FE$500)+IF($C10="",0,SUMIF('DADOS BRUTOS'!$A$3:$A$500,$C10,'DADOS BRUTOS'!FE$3:FE$500)))</f>
        <v/>
      </c>
      <c r="IF10" s="125">
        <f>IF(OR(IF$4="",$B10=""),0,SUMIF('DADOS BRUTOS'!$A$3:$A$500,$B10,'DADOS BRUTOS'!FF$3:FF$500)+IF($C10="",0,SUMIF('DADOS BRUTOS'!$A$3:$A$500,$C10,'DADOS BRUTOS'!FF$3:FF$500)))</f>
        <v/>
      </c>
      <c r="IG10" s="125">
        <f>IF(OR(IG$4="",$B10=""),0,SUMIF('DADOS BRUTOS'!$A$3:$A$500,$B10,'DADOS BRUTOS'!FG$3:FG$500)+IF($C10="",0,SUMIF('DADOS BRUTOS'!$A$3:$A$500,$C10,'DADOS BRUTOS'!FG$3:FG$500)))</f>
        <v/>
      </c>
      <c r="IH10" s="125">
        <f>IF(OR(IH$4="",$B10=""),0,SUMIF('DADOS BRUTOS'!$A$3:$A$500,$B10,'DADOS BRUTOS'!FH$3:FH$500)+IF($C10="",0,SUMIF('DADOS BRUTOS'!$A$3:$A$500,$C10,'DADOS BRUTOS'!FH$3:FH$500)))</f>
        <v/>
      </c>
      <c r="II10" s="125">
        <f>IF(OR(II$4="",$B10=""),0,SUMIF('DADOS BRUTOS'!$A$3:$A$500,$B10,'DADOS BRUTOS'!FI$3:FI$500)+IF($C10="",0,SUMIF('DADOS BRUTOS'!$A$3:$A$500,$C10,'DADOS BRUTOS'!FI$3:FI$500)))</f>
        <v/>
      </c>
      <c r="IJ10" s="125">
        <f>IF(OR(IJ$4="",$B10=""),0,SUMIF('DADOS BRUTOS'!$A$3:$A$500,$B10,'DADOS BRUTOS'!FJ$3:FJ$500)+IF($C10="",0,SUMIF('DADOS BRUTOS'!$A$3:$A$500,$C10,'DADOS BRUTOS'!FJ$3:FJ$500)))</f>
        <v/>
      </c>
      <c r="IK10" s="125">
        <f>IF(OR(IK$4="",$B10=""),0,SUMIF('DADOS BRUTOS'!$A$3:$A$500,$B10,'DADOS BRUTOS'!FK$3:FK$500)+IF($C10="",0,SUMIF('DADOS BRUTOS'!$A$3:$A$500,$C10,'DADOS BRUTOS'!FK$3:FK$500)))</f>
        <v/>
      </c>
      <c r="IL10" s="125">
        <f>IF(OR(IL$4="",$B10=""),0,SUMIF('DADOS BRUTOS'!$A$3:$A$500,$B10,'DADOS BRUTOS'!FL$3:FL$500)+IF($C10="",0,SUMIF('DADOS BRUTOS'!$A$3:$A$500,$C10,'DADOS BRUTOS'!FL$3:FL$500)))</f>
        <v/>
      </c>
      <c r="IM10" s="125">
        <f>IF(OR(IM$4="",$B10=""),0,SUMIF('DADOS BRUTOS'!$A$3:$A$500,$B10,'DADOS BRUTOS'!FM$3:FM$500)+IF($C10="",0,SUMIF('DADOS BRUTOS'!$A$3:$A$500,$C10,'DADOS BRUTOS'!FM$3:FM$500)))</f>
        <v/>
      </c>
      <c r="IN10" s="125">
        <f>IF(OR(IN$4="",$B10=""),0,SUMIF('DADOS BRUTOS'!$A$3:$A$500,$B10,'DADOS BRUTOS'!FN$3:FN$500)+IF($C10="",0,SUMIF('DADOS BRUTOS'!$A$3:$A$500,$C10,'DADOS BRUTOS'!FN$3:FN$500)))</f>
        <v/>
      </c>
      <c r="IO10" s="125">
        <f>IF(OR(IO$4="",$B10=""),0,SUMIF('DADOS BRUTOS'!$A$3:$A$500,$B10,'DADOS BRUTOS'!FO$3:FO$500)+IF($C10="",0,SUMIF('DADOS BRUTOS'!$A$3:$A$500,$C10,'DADOS BRUTOS'!FO$3:FO$500)))</f>
        <v/>
      </c>
      <c r="IP10" s="125">
        <f>IF(OR(IP$4="",$B10=""),0,SUMIF('DADOS BRUTOS'!$A$3:$A$500,$B10,'DADOS BRUTOS'!FP$3:FP$500)+IF($C10="",0,SUMIF('DADOS BRUTOS'!$A$3:$A$500,$C10,'DADOS BRUTOS'!FP$3:FP$500)))</f>
        <v/>
      </c>
      <c r="IQ10" s="125">
        <f>IF(OR(IQ$4="",$B10=""),0,SUMIF('DADOS BRUTOS'!$A$3:$A$500,$B10,'DADOS BRUTOS'!FQ$3:FQ$500)+IF($C10="",0,SUMIF('DADOS BRUTOS'!$A$3:$A$500,$C10,'DADOS BRUTOS'!FQ$3:FQ$500)))</f>
        <v/>
      </c>
      <c r="IR10" s="125">
        <f>IF(OR(IR$4="",$B10=""),0,SUMIF('DADOS BRUTOS'!$A$3:$A$500,$B10,'DADOS BRUTOS'!FR$3:FR$500)+IF($C10="",0,SUMIF('DADOS BRUTOS'!$A$3:$A$500,$C10,'DADOS BRUTOS'!FR$3:FR$500)))</f>
        <v/>
      </c>
      <c r="IS10" s="125">
        <f>IF(OR(IS$4="",$B10=""),0,SUMIF('DADOS BRUTOS'!$A$3:$A$500,$B10,'DADOS BRUTOS'!FS$3:FS$500)+IF($C10="",0,SUMIF('DADOS BRUTOS'!$A$3:$A$500,$C10,'DADOS BRUTOS'!FS$3:FS$500)))</f>
        <v/>
      </c>
      <c r="IT10" s="125">
        <f>IF(OR(IT$4="",$B10=""),0,SUMIF('DADOS BRUTOS'!$A$3:$A$500,$B10,'DADOS BRUTOS'!FT$3:FT$500)+IF($C10="",0,SUMIF('DADOS BRUTOS'!$A$3:$A$500,$C10,'DADOS BRUTOS'!FT$3:FT$500)))</f>
        <v/>
      </c>
      <c r="IU10" s="125">
        <f>IF(OR(IU$4="",$B10=""),0,SUMIF('DADOS BRUTOS'!$A$3:$A$500,$B10,'DADOS BRUTOS'!FU$3:FU$500)+IF($C10="",0,SUMIF('DADOS BRUTOS'!$A$3:$A$500,$C10,'DADOS BRUTOS'!FU$3:FU$500)))</f>
        <v/>
      </c>
      <c r="IV10" s="125">
        <f>IF(OR(IV$4="",$B10=""),0,SUMIF('DADOS BRUTOS'!$A$3:$A$500,$B10,'DADOS BRUTOS'!FV$3:FV$500)+IF($C10="",0,SUMIF('DADOS BRUTOS'!$A$3:$A$500,$C10,'DADOS BRUTOS'!FV$3:FV$500)))</f>
        <v/>
      </c>
      <c r="IW10" s="125">
        <f>IF(OR(IW$4="",$B10=""),0,SUMIF('DADOS BRUTOS'!$A$3:$A$500,$B10,'DADOS BRUTOS'!FW$3:FW$500)+IF($C10="",0,SUMIF('DADOS BRUTOS'!$A$3:$A$500,$C10,'DADOS BRUTOS'!FW$3:FW$500)))</f>
        <v/>
      </c>
      <c r="IX10" s="125">
        <f>IF(OR(IX$4="",$B10=""),0,SUMIF('DADOS BRUTOS'!$A$3:$A$500,$B10,'DADOS BRUTOS'!FX$3:FX$500)+IF($C10="",0,SUMIF('DADOS BRUTOS'!$A$3:$A$500,$C10,'DADOS BRUTOS'!FX$3:FX$500)))</f>
        <v/>
      </c>
      <c r="IY10" s="125">
        <f>IF(OR(IY$4="",$B10=""),0,SUMIF('DADOS BRUTOS'!$A$3:$A$500,$B10,'DADOS BRUTOS'!FY$3:FY$500)+IF($C10="",0,SUMIF('DADOS BRUTOS'!$A$3:$A$500,$C10,'DADOS BRUTOS'!FY$3:FY$500)))</f>
        <v/>
      </c>
      <c r="IZ10" s="125">
        <f>IF(OR(IZ$4="",$B10=""),0,SUMIF('DADOS BRUTOS'!$A$3:$A$500,$B10,'DADOS BRUTOS'!FZ$3:FZ$500)+IF($C10="",0,SUMIF('DADOS BRUTOS'!$A$3:$A$500,$C10,'DADOS BRUTOS'!FZ$3:FZ$500)))</f>
        <v/>
      </c>
      <c r="JA10" s="125">
        <f>IF(OR(JA$4="",$B10=""),0,SUMIF('DADOS BRUTOS'!$A$3:$A$500,$B10,'DADOS BRUTOS'!GA$3:GA$500)+IF($C10="",0,SUMIF('DADOS BRUTOS'!$A$3:$A$500,$C10,'DADOS BRUTOS'!GA$3:GA$500)))</f>
        <v/>
      </c>
      <c r="JB10" s="125">
        <f>IF(OR(JB$4="",$B10=""),0,SUMIF('DADOS BRUTOS'!$A$3:$A$500,$B10,'DADOS BRUTOS'!GB$3:GB$500)+IF($C10="",0,SUMIF('DADOS BRUTOS'!$A$3:$A$500,$C10,'DADOS BRUTOS'!GB$3:GB$500)))</f>
        <v/>
      </c>
      <c r="JC10" s="125">
        <f>IF(OR(JC$4="",$B10=""),0,SUMIF('DADOS BRUTOS'!$A$3:$A$500,$B10,'DADOS BRUTOS'!GC$3:GC$500)+IF($C10="",0,SUMIF('DADOS BRUTOS'!$A$3:$A$500,$C10,'DADOS BRUTOS'!GC$3:GC$500)))</f>
        <v/>
      </c>
      <c r="JD10" s="125">
        <f>IF(OR(JD$4="",$B10=""),0,SUMIF('DADOS BRUTOS'!$A$3:$A$500,$B10,'DADOS BRUTOS'!GD$3:GD$500)+IF($C10="",0,SUMIF('DADOS BRUTOS'!$A$3:$A$500,$C10,'DADOS BRUTOS'!GD$3:GD$500)))</f>
        <v/>
      </c>
      <c r="JE10" s="125">
        <f>IF(OR(JE$4="",$B10=""),0,SUMIF('DADOS BRUTOS'!$A$3:$A$500,$B10,'DADOS BRUTOS'!GE$3:GE$500)+IF($C10="",0,SUMIF('DADOS BRUTOS'!$A$3:$A$500,$C10,'DADOS BRUTOS'!GE$3:GE$500)))</f>
        <v/>
      </c>
      <c r="JF10" s="125">
        <f>IF(OR(JF$4="",$B10=""),0,SUMIF('DADOS BRUTOS'!$A$3:$A$500,$B10,'DADOS BRUTOS'!GF$3:GF$500)+IF($C10="",0,SUMIF('DADOS BRUTOS'!$A$3:$A$500,$C10,'DADOS BRUTOS'!GF$3:GF$500)))</f>
        <v/>
      </c>
      <c r="JG10" s="125">
        <f>IF(OR(JG$4="",$B10=""),0,SUMIF('DADOS BRUTOS'!$A$3:$A$500,$B10,'DADOS BRUTOS'!GG$3:GG$500)+IF($C10="",0,SUMIF('DADOS BRUTOS'!$A$3:$A$500,$C10,'DADOS BRUTOS'!GG$3:GG$500)))</f>
        <v/>
      </c>
      <c r="JH10" s="125">
        <f>IF(OR(JH$4="",$B10=""),0,SUMIF('DADOS BRUTOS'!$A$3:$A$500,$B10,'DADOS BRUTOS'!GH$3:GH$500)+IF($C10="",0,SUMIF('DADOS BRUTOS'!$A$3:$A$500,$C10,'DADOS BRUTOS'!GH$3:GH$500)))</f>
        <v/>
      </c>
      <c r="JI10" s="125">
        <f>IF(OR(JI$4="",$B10=""),0,SUMIF('DADOS BRUTOS'!$A$3:$A$500,$B10,'DADOS BRUTOS'!GI$3:GI$500)+IF($C10="",0,SUMIF('DADOS BRUTOS'!$A$3:$A$500,$C10,'DADOS BRUTOS'!GI$3:GI$500)))</f>
        <v/>
      </c>
      <c r="JJ10" s="125">
        <f>IF(OR(JJ$4="",$B10=""),0,SUMIF('DADOS BRUTOS'!$A$3:$A$500,$B10,'DADOS BRUTOS'!GJ$3:GJ$500)+IF($C10="",0,SUMIF('DADOS BRUTOS'!$A$3:$A$500,$C10,'DADOS BRUTOS'!GJ$3:GJ$500)))</f>
        <v/>
      </c>
      <c r="JK10" s="125">
        <f>IF(OR(JK$4="",$B10=""),0,SUMIF('DADOS BRUTOS'!$A$3:$A$500,$B10,'DADOS BRUTOS'!GK$3:GK$500)+IF($C10="",0,SUMIF('DADOS BRUTOS'!$A$3:$A$500,$C10,'DADOS BRUTOS'!GK$3:GK$500)))</f>
        <v/>
      </c>
      <c r="JL10" s="125">
        <f>IF(OR(JL$4="",$B10=""),0,SUMIF('DADOS BRUTOS'!$A$3:$A$500,$B10,'DADOS BRUTOS'!GL$3:GL$500)+IF($C10="",0,SUMIF('DADOS BRUTOS'!$A$3:$A$500,$C10,'DADOS BRUTOS'!GL$3:GL$500)))</f>
        <v/>
      </c>
      <c r="JM10" s="125">
        <f>IF(OR(JM$4="",$B10=""),0,SUMIF('DADOS BRUTOS'!$A$3:$A$500,$B10,'DADOS BRUTOS'!GM$3:GM$500)+IF($C10="",0,SUMIF('DADOS BRUTOS'!$A$3:$A$500,$C10,'DADOS BRUTOS'!GM$3:GM$500)))</f>
        <v/>
      </c>
      <c r="JN10" s="125">
        <f>IF(OR(JN$4="",$B10=""),0,SUMIF('DADOS BRUTOS'!$A$3:$A$500,$B10,'DADOS BRUTOS'!GN$3:GN$500)+IF($C10="",0,SUMIF('DADOS BRUTOS'!$A$3:$A$500,$C10,'DADOS BRUTOS'!GN$3:GN$500)))</f>
        <v/>
      </c>
      <c r="JO10" s="125">
        <f>IF(OR(JO$4="",$B10=""),0,SUMIF('DADOS BRUTOS'!$A$3:$A$500,$B10,'DADOS BRUTOS'!GO$3:GO$500)+IF($C10="",0,SUMIF('DADOS BRUTOS'!$A$3:$A$500,$C10,'DADOS BRUTOS'!GO$3:GO$500)))</f>
        <v/>
      </c>
      <c r="JP10" s="125">
        <f>IF(OR(JP$4="",$B10=""),0,SUMIF('DADOS BRUTOS'!$A$3:$A$500,$B10,'DADOS BRUTOS'!GP$3:GP$500)+IF($C10="",0,SUMIF('DADOS BRUTOS'!$A$3:$A$500,$C10,'DADOS BRUTOS'!GP$3:GP$500)))</f>
        <v/>
      </c>
      <c r="JQ10" s="125">
        <f>IF(OR(JQ$4="",$B10=""),0,SUMIF('DADOS BRUTOS'!$A$3:$A$500,$B10,'DADOS BRUTOS'!GQ$3:GQ$500)+IF($C10="",0,SUMIF('DADOS BRUTOS'!$A$3:$A$500,$C10,'DADOS BRUTOS'!GQ$3:GQ$500)))</f>
        <v/>
      </c>
      <c r="JR10" s="125">
        <f>IF(OR(JR$4="",$B10=""),0,SUMIF('DADOS BRUTOS'!$A$3:$A$500,$B10,'DADOS BRUTOS'!GR$3:GR$500)+IF($C10="",0,SUMIF('DADOS BRUTOS'!$A$3:$A$500,$C10,'DADOS BRUTOS'!GR$3:GR$500)))</f>
        <v/>
      </c>
      <c r="JS10" s="125">
        <f>IF(OR(JS$4="",$B10=""),0,SUMIF('DADOS BRUTOS'!$A$3:$A$500,$B10,'DADOS BRUTOS'!GS$3:GS$500)+IF($C10="",0,SUMIF('DADOS BRUTOS'!$A$3:$A$500,$C10,'DADOS BRUTOS'!GS$3:GS$500)))</f>
        <v/>
      </c>
    </row>
    <row r="11">
      <c r="A11" s="61">
        <f>'VALOR POR PL'!D17</f>
        <v/>
      </c>
      <c r="B11" s="59" t="inlineStr">
        <is>
          <t>DIVERSOS</t>
        </is>
      </c>
      <c r="C11" s="59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BZ11" s="49">
        <f>SUMPRODUCT(($CB$4:$JS$4&lt;&gt;"")*($CB$4:$JS$4&lt;=$D$4),$CB11:$JS11,$CB$1:$JS$1)</f>
        <v/>
      </c>
      <c r="CB11" s="125">
        <f>IF(OR(CB$4="",$B11=""),0,SUMIF('DADOS BRUTOS'!$A$3:$A$500,$B11,'DADOS BRUTOS'!B$3:B$500)+IF($C11="",0,SUMIF('DADOS BRUTOS'!$A$3:$A$500,$C11,'DADOS BRUTOS'!B$3:B$500)))</f>
        <v/>
      </c>
      <c r="CC11" s="125">
        <f>IF(OR(CC$4="",$B11=""),0,SUMIF('DADOS BRUTOS'!$A$3:$A$500,$B11,'DADOS BRUTOS'!C$3:C$500)+IF($C11="",0,SUMIF('DADOS BRUTOS'!$A$3:$A$500,$C11,'DADOS BRUTOS'!C$3:C$500)))</f>
        <v/>
      </c>
      <c r="CD11" s="125">
        <f>IF(OR(CD$4="",$B11=""),0,SUMIF('DADOS BRUTOS'!$A$3:$A$500,$B11,'DADOS BRUTOS'!D$3:D$500)+IF($C11="",0,SUMIF('DADOS BRUTOS'!$A$3:$A$500,$C11,'DADOS BRUTOS'!D$3:D$500)))</f>
        <v/>
      </c>
      <c r="CE11" s="125">
        <f>IF(OR(CE$4="",$B11=""),0,SUMIF('DADOS BRUTOS'!$A$3:$A$500,$B11,'DADOS BRUTOS'!E$3:E$500)+IF($C11="",0,SUMIF('DADOS BRUTOS'!$A$3:$A$500,$C11,'DADOS BRUTOS'!E$3:E$500)))</f>
        <v/>
      </c>
      <c r="CF11" s="125">
        <f>IF(OR(CF$4="",$B11=""),0,SUMIF('DADOS BRUTOS'!$A$3:$A$500,$B11,'DADOS BRUTOS'!F$3:F$500)+IF($C11="",0,SUMIF('DADOS BRUTOS'!$A$3:$A$500,$C11,'DADOS BRUTOS'!F$3:F$500)))</f>
        <v/>
      </c>
      <c r="CG11" s="125">
        <f>IF(OR(CG$4="",$B11=""),0,SUMIF('DADOS BRUTOS'!$A$3:$A$500,$B11,'DADOS BRUTOS'!G$3:G$500)+IF($C11="",0,SUMIF('DADOS BRUTOS'!$A$3:$A$500,$C11,'DADOS BRUTOS'!G$3:G$500)))</f>
        <v/>
      </c>
      <c r="CH11" s="125">
        <f>IF(OR(CH$4="",$B11=""),0,SUMIF('DADOS BRUTOS'!$A$3:$A$500,$B11,'DADOS BRUTOS'!H$3:H$500)+IF($C11="",0,SUMIF('DADOS BRUTOS'!$A$3:$A$500,$C11,'DADOS BRUTOS'!H$3:H$500)))</f>
        <v/>
      </c>
      <c r="CI11" s="125">
        <f>IF(OR(CI$4="",$B11=""),0,SUMIF('DADOS BRUTOS'!$A$3:$A$500,$B11,'DADOS BRUTOS'!I$3:I$500)+IF($C11="",0,SUMIF('DADOS BRUTOS'!$A$3:$A$500,$C11,'DADOS BRUTOS'!I$3:I$500)))</f>
        <v/>
      </c>
      <c r="CJ11" s="125">
        <f>IF(OR(CJ$4="",$B11=""),0,SUMIF('DADOS BRUTOS'!$A$3:$A$500,$B11,'DADOS BRUTOS'!J$3:J$500)+IF($C11="",0,SUMIF('DADOS BRUTOS'!$A$3:$A$500,$C11,'DADOS BRUTOS'!J$3:J$500)))</f>
        <v/>
      </c>
      <c r="CK11" s="125">
        <f>IF(OR(CK$4="",$B11=""),0,SUMIF('DADOS BRUTOS'!$A$3:$A$500,$B11,'DADOS BRUTOS'!K$3:K$500)+IF($C11="",0,SUMIF('DADOS BRUTOS'!$A$3:$A$500,$C11,'DADOS BRUTOS'!K$3:K$500)))</f>
        <v/>
      </c>
      <c r="CL11" s="125">
        <f>IF(OR(CL$4="",$B11=""),0,SUMIF('DADOS BRUTOS'!$A$3:$A$500,$B11,'DADOS BRUTOS'!L$3:L$500)+IF($C11="",0,SUMIF('DADOS BRUTOS'!$A$3:$A$500,$C11,'DADOS BRUTOS'!L$3:L$500)))</f>
        <v/>
      </c>
      <c r="CM11" s="125">
        <f>IF(OR(CM$4="",$B11=""),0,SUMIF('DADOS BRUTOS'!$A$3:$A$500,$B11,'DADOS BRUTOS'!M$3:M$500)+IF($C11="",0,SUMIF('DADOS BRUTOS'!$A$3:$A$500,$C11,'DADOS BRUTOS'!M$3:M$500)))</f>
        <v/>
      </c>
      <c r="CN11" s="125">
        <f>IF(OR(CN$4="",$B11=""),0,SUMIF('DADOS BRUTOS'!$A$3:$A$500,$B11,'DADOS BRUTOS'!N$3:N$500)+IF($C11="",0,SUMIF('DADOS BRUTOS'!$A$3:$A$500,$C11,'DADOS BRUTOS'!N$3:N$500)))</f>
        <v/>
      </c>
      <c r="CO11" s="125">
        <f>IF(OR(CO$4="",$B11=""),0,SUMIF('DADOS BRUTOS'!$A$3:$A$500,$B11,'DADOS BRUTOS'!O$3:O$500)+IF($C11="",0,SUMIF('DADOS BRUTOS'!$A$3:$A$500,$C11,'DADOS BRUTOS'!O$3:O$500)))</f>
        <v/>
      </c>
      <c r="CP11" s="125">
        <f>IF(OR(CP$4="",$B11=""),0,SUMIF('DADOS BRUTOS'!$A$3:$A$500,$B11,'DADOS BRUTOS'!P$3:P$500)+IF($C11="",0,SUMIF('DADOS BRUTOS'!$A$3:$A$500,$C11,'DADOS BRUTOS'!P$3:P$500)))</f>
        <v/>
      </c>
      <c r="CQ11" s="125">
        <f>IF(OR(CQ$4="",$B11=""),0,SUMIF('DADOS BRUTOS'!$A$3:$A$500,$B11,'DADOS BRUTOS'!Q$3:Q$500)+IF($C11="",0,SUMIF('DADOS BRUTOS'!$A$3:$A$500,$C11,'DADOS BRUTOS'!Q$3:Q$500)))</f>
        <v/>
      </c>
      <c r="CR11" s="125">
        <f>IF(OR(CR$4="",$B11=""),0,SUMIF('DADOS BRUTOS'!$A$3:$A$500,$B11,'DADOS BRUTOS'!R$3:R$500)+IF($C11="",0,SUMIF('DADOS BRUTOS'!$A$3:$A$500,$C11,'DADOS BRUTOS'!R$3:R$500)))</f>
        <v/>
      </c>
      <c r="CS11" s="125">
        <f>IF(OR(CS$4="",$B11=""),0,SUMIF('DADOS BRUTOS'!$A$3:$A$500,$B11,'DADOS BRUTOS'!S$3:S$500)+IF($C11="",0,SUMIF('DADOS BRUTOS'!$A$3:$A$500,$C11,'DADOS BRUTOS'!S$3:S$500)))</f>
        <v/>
      </c>
      <c r="CT11" s="125">
        <f>IF(OR(CT$4="",$B11=""),0,SUMIF('DADOS BRUTOS'!$A$3:$A$500,$B11,'DADOS BRUTOS'!T$3:T$500)+IF($C11="",0,SUMIF('DADOS BRUTOS'!$A$3:$A$500,$C11,'DADOS BRUTOS'!T$3:T$500)))</f>
        <v/>
      </c>
      <c r="CU11" s="125">
        <f>IF(OR(CU$4="",$B11=""),0,SUMIF('DADOS BRUTOS'!$A$3:$A$500,$B11,'DADOS BRUTOS'!U$3:U$500)+IF($C11="",0,SUMIF('DADOS BRUTOS'!$A$3:$A$500,$C11,'DADOS BRUTOS'!U$3:U$500)))</f>
        <v/>
      </c>
      <c r="CV11" s="125">
        <f>IF(OR(CV$4="",$B11=""),0,SUMIF('DADOS BRUTOS'!$A$3:$A$500,$B11,'DADOS BRUTOS'!V$3:V$500)+IF($C11="",0,SUMIF('DADOS BRUTOS'!$A$3:$A$500,$C11,'DADOS BRUTOS'!V$3:V$500)))</f>
        <v/>
      </c>
      <c r="CW11" s="125">
        <f>IF(OR(CW$4="",$B11=""),0,SUMIF('DADOS BRUTOS'!$A$3:$A$500,$B11,'DADOS BRUTOS'!W$3:W$500)+IF($C11="",0,SUMIF('DADOS BRUTOS'!$A$3:$A$500,$C11,'DADOS BRUTOS'!W$3:W$500)))</f>
        <v/>
      </c>
      <c r="CX11" s="125">
        <f>IF(OR(CX$4="",$B11=""),0,SUMIF('DADOS BRUTOS'!$A$3:$A$500,$B11,'DADOS BRUTOS'!X$3:X$500)+IF($C11="",0,SUMIF('DADOS BRUTOS'!$A$3:$A$500,$C11,'DADOS BRUTOS'!X$3:X$500)))</f>
        <v/>
      </c>
      <c r="CY11" s="125">
        <f>IF(OR(CY$4="",$B11=""),0,SUMIF('DADOS BRUTOS'!$A$3:$A$500,$B11,'DADOS BRUTOS'!Y$3:Y$500)+IF($C11="",0,SUMIF('DADOS BRUTOS'!$A$3:$A$500,$C11,'DADOS BRUTOS'!Y$3:Y$500)))</f>
        <v/>
      </c>
      <c r="CZ11" s="125">
        <f>IF(OR(CZ$4="",$B11=""),0,SUMIF('DADOS BRUTOS'!$A$3:$A$500,$B11,'DADOS BRUTOS'!Z$3:Z$500)+IF($C11="",0,SUMIF('DADOS BRUTOS'!$A$3:$A$500,$C11,'DADOS BRUTOS'!Z$3:Z$500)))</f>
        <v/>
      </c>
      <c r="DA11" s="125">
        <f>IF(OR(DA$4="",$B11=""),0,SUMIF('DADOS BRUTOS'!$A$3:$A$500,$B11,'DADOS BRUTOS'!AA$3:AA$500)+IF($C11="",0,SUMIF('DADOS BRUTOS'!$A$3:$A$500,$C11,'DADOS BRUTOS'!AA$3:AA$500)))</f>
        <v/>
      </c>
      <c r="DB11" s="125">
        <f>IF(OR(DB$4="",$B11=""),0,SUMIF('DADOS BRUTOS'!$A$3:$A$500,$B11,'DADOS BRUTOS'!AB$3:AB$500)+IF($C11="",0,SUMIF('DADOS BRUTOS'!$A$3:$A$500,$C11,'DADOS BRUTOS'!AB$3:AB$500)))</f>
        <v/>
      </c>
      <c r="DC11" s="125">
        <f>IF(OR(DC$4="",$B11=""),0,SUMIF('DADOS BRUTOS'!$A$3:$A$500,$B11,'DADOS BRUTOS'!AC$3:AC$500)+IF($C11="",0,SUMIF('DADOS BRUTOS'!$A$3:$A$500,$C11,'DADOS BRUTOS'!AC$3:AC$500)))</f>
        <v/>
      </c>
      <c r="DD11" s="125">
        <f>IF(OR(DD$4="",$B11=""),0,SUMIF('DADOS BRUTOS'!$A$3:$A$500,$B11,'DADOS BRUTOS'!AD$3:AD$500)+IF($C11="",0,SUMIF('DADOS BRUTOS'!$A$3:$A$500,$C11,'DADOS BRUTOS'!AD$3:AD$500)))</f>
        <v/>
      </c>
      <c r="DE11" s="125">
        <f>IF(OR(DE$4="",$B11=""),0,SUMIF('DADOS BRUTOS'!$A$3:$A$500,$B11,'DADOS BRUTOS'!AE$3:AE$500)+IF($C11="",0,SUMIF('DADOS BRUTOS'!$A$3:$A$500,$C11,'DADOS BRUTOS'!AE$3:AE$500)))</f>
        <v/>
      </c>
      <c r="DF11" s="125">
        <f>IF(OR(DF$4="",$B11=""),0,SUMIF('DADOS BRUTOS'!$A$3:$A$500,$B11,'DADOS BRUTOS'!AF$3:AF$500)+IF($C11="",0,SUMIF('DADOS BRUTOS'!$A$3:$A$500,$C11,'DADOS BRUTOS'!AF$3:AF$500)))</f>
        <v/>
      </c>
      <c r="DG11" s="125">
        <f>IF(OR(DG$4="",$B11=""),0,SUMIF('DADOS BRUTOS'!$A$3:$A$500,$B11,'DADOS BRUTOS'!AG$3:AG$500)+IF($C11="",0,SUMIF('DADOS BRUTOS'!$A$3:$A$500,$C11,'DADOS BRUTOS'!AG$3:AG$500)))</f>
        <v/>
      </c>
      <c r="DH11" s="125">
        <f>IF(OR(DH$4="",$B11=""),0,SUMIF('DADOS BRUTOS'!$A$3:$A$500,$B11,'DADOS BRUTOS'!AH$3:AH$500)+IF($C11="",0,SUMIF('DADOS BRUTOS'!$A$3:$A$500,$C11,'DADOS BRUTOS'!AH$3:AH$500)))</f>
        <v/>
      </c>
      <c r="DI11" s="125">
        <f>IF(OR(DI$4="",$B11=""),0,SUMIF('DADOS BRUTOS'!$A$3:$A$500,$B11,'DADOS BRUTOS'!AI$3:AI$500)+IF($C11="",0,SUMIF('DADOS BRUTOS'!$A$3:$A$500,$C11,'DADOS BRUTOS'!AI$3:AI$500)))</f>
        <v/>
      </c>
      <c r="DJ11" s="125">
        <f>IF(OR(DJ$4="",$B11=""),0,SUMIF('DADOS BRUTOS'!$A$3:$A$500,$B11,'DADOS BRUTOS'!AJ$3:AJ$500)+IF($C11="",0,SUMIF('DADOS BRUTOS'!$A$3:$A$500,$C11,'DADOS BRUTOS'!AJ$3:AJ$500)))</f>
        <v/>
      </c>
      <c r="DK11" s="125">
        <f>IF(OR(DK$4="",$B11=""),0,SUMIF('DADOS BRUTOS'!$A$3:$A$500,$B11,'DADOS BRUTOS'!AK$3:AK$500)+IF($C11="",0,SUMIF('DADOS BRUTOS'!$A$3:$A$500,$C11,'DADOS BRUTOS'!AK$3:AK$500)))</f>
        <v/>
      </c>
      <c r="DL11" s="125">
        <f>IF(OR(DL$4="",$B11=""),0,SUMIF('DADOS BRUTOS'!$A$3:$A$500,$B11,'DADOS BRUTOS'!AL$3:AL$500)+IF($C11="",0,SUMIF('DADOS BRUTOS'!$A$3:$A$500,$C11,'DADOS BRUTOS'!AL$3:AL$500)))</f>
        <v/>
      </c>
      <c r="DM11" s="125">
        <f>IF(OR(DM$4="",$B11=""),0,SUMIF('DADOS BRUTOS'!$A$3:$A$500,$B11,'DADOS BRUTOS'!AM$3:AM$500)+IF($C11="",0,SUMIF('DADOS BRUTOS'!$A$3:$A$500,$C11,'DADOS BRUTOS'!AM$3:AM$500)))</f>
        <v/>
      </c>
      <c r="DN11" s="125">
        <f>IF(OR(DN$4="",$B11=""),0,SUMIF('DADOS BRUTOS'!$A$3:$A$500,$B11,'DADOS BRUTOS'!AN$3:AN$500)+IF($C11="",0,SUMIF('DADOS BRUTOS'!$A$3:$A$500,$C11,'DADOS BRUTOS'!AN$3:AN$500)))</f>
        <v/>
      </c>
      <c r="DO11" s="125">
        <f>IF(OR(DO$4="",$B11=""),0,SUMIF('DADOS BRUTOS'!$A$3:$A$500,$B11,'DADOS BRUTOS'!AO$3:AO$500)+IF($C11="",0,SUMIF('DADOS BRUTOS'!$A$3:$A$500,$C11,'DADOS BRUTOS'!AO$3:AO$500)))</f>
        <v/>
      </c>
      <c r="DP11" s="125">
        <f>IF(OR(DP$4="",$B11=""),0,SUMIF('DADOS BRUTOS'!$A$3:$A$500,$B11,'DADOS BRUTOS'!AP$3:AP$500)+IF($C11="",0,SUMIF('DADOS BRUTOS'!$A$3:$A$500,$C11,'DADOS BRUTOS'!AP$3:AP$500)))</f>
        <v/>
      </c>
      <c r="DQ11" s="125">
        <f>IF(OR(DQ$4="",$B11=""),0,SUMIF('DADOS BRUTOS'!$A$3:$A$500,$B11,'DADOS BRUTOS'!AQ$3:AQ$500)+IF($C11="",0,SUMIF('DADOS BRUTOS'!$A$3:$A$500,$C11,'DADOS BRUTOS'!AQ$3:AQ$500)))</f>
        <v/>
      </c>
      <c r="DR11" s="125">
        <f>IF(OR(DR$4="",$B11=""),0,SUMIF('DADOS BRUTOS'!$A$3:$A$500,$B11,'DADOS BRUTOS'!AR$3:AR$500)+IF($C11="",0,SUMIF('DADOS BRUTOS'!$A$3:$A$500,$C11,'DADOS BRUTOS'!AR$3:AR$500)))</f>
        <v/>
      </c>
      <c r="DS11" s="125">
        <f>IF(OR(DS$4="",$B11=""),0,SUMIF('DADOS BRUTOS'!$A$3:$A$500,$B11,'DADOS BRUTOS'!AS$3:AS$500)+IF($C11="",0,SUMIF('DADOS BRUTOS'!$A$3:$A$500,$C11,'DADOS BRUTOS'!AS$3:AS$500)))</f>
        <v/>
      </c>
      <c r="DT11" s="125">
        <f>IF(OR(DT$4="",$B11=""),0,SUMIF('DADOS BRUTOS'!$A$3:$A$500,$B11,'DADOS BRUTOS'!AT$3:AT$500)+IF($C11="",0,SUMIF('DADOS BRUTOS'!$A$3:$A$500,$C11,'DADOS BRUTOS'!AT$3:AT$500)))</f>
        <v/>
      </c>
      <c r="DU11" s="125">
        <f>IF(OR(DU$4="",$B11=""),0,SUMIF('DADOS BRUTOS'!$A$3:$A$500,$B11,'DADOS BRUTOS'!AU$3:AU$500)+IF($C11="",0,SUMIF('DADOS BRUTOS'!$A$3:$A$500,$C11,'DADOS BRUTOS'!AU$3:AU$500)))</f>
        <v/>
      </c>
      <c r="DV11" s="125">
        <f>IF(OR(DV$4="",$B11=""),0,SUMIF('DADOS BRUTOS'!$A$3:$A$500,$B11,'DADOS BRUTOS'!AV$3:AV$500)+IF($C11="",0,SUMIF('DADOS BRUTOS'!$A$3:$A$500,$C11,'DADOS BRUTOS'!AV$3:AV$500)))</f>
        <v/>
      </c>
      <c r="DW11" s="125">
        <f>IF(OR(DW$4="",$B11=""),0,SUMIF('DADOS BRUTOS'!$A$3:$A$500,$B11,'DADOS BRUTOS'!AW$3:AW$500)+IF($C11="",0,SUMIF('DADOS BRUTOS'!$A$3:$A$500,$C11,'DADOS BRUTOS'!AW$3:AW$500)))</f>
        <v/>
      </c>
      <c r="DX11" s="125">
        <f>IF(OR(DX$4="",$B11=""),0,SUMIF('DADOS BRUTOS'!$A$3:$A$500,$B11,'DADOS BRUTOS'!AX$3:AX$500)+IF($C11="",0,SUMIF('DADOS BRUTOS'!$A$3:$A$500,$C11,'DADOS BRUTOS'!AX$3:AX$500)))</f>
        <v/>
      </c>
      <c r="DY11" s="125">
        <f>IF(OR(DY$4="",$B11=""),0,SUMIF('DADOS BRUTOS'!$A$3:$A$500,$B11,'DADOS BRUTOS'!AY$3:AY$500)+IF($C11="",0,SUMIF('DADOS BRUTOS'!$A$3:$A$500,$C11,'DADOS BRUTOS'!AY$3:AY$500)))</f>
        <v/>
      </c>
      <c r="DZ11" s="125">
        <f>IF(OR(DZ$4="",$B11=""),0,SUMIF('DADOS BRUTOS'!$A$3:$A$500,$B11,'DADOS BRUTOS'!AZ$3:AZ$500)+IF($C11="",0,SUMIF('DADOS BRUTOS'!$A$3:$A$500,$C11,'DADOS BRUTOS'!AZ$3:AZ$500)))</f>
        <v/>
      </c>
      <c r="EA11" s="125">
        <f>IF(OR(EA$4="",$B11=""),0,SUMIF('DADOS BRUTOS'!$A$3:$A$500,$B11,'DADOS BRUTOS'!BA$3:BA$500)+IF($C11="",0,SUMIF('DADOS BRUTOS'!$A$3:$A$500,$C11,'DADOS BRUTOS'!BA$3:BA$500)))</f>
        <v/>
      </c>
      <c r="EB11" s="125">
        <f>IF(OR(EB$4="",$B11=""),0,SUMIF('DADOS BRUTOS'!$A$3:$A$500,$B11,'DADOS BRUTOS'!BB$3:BB$500)+IF($C11="",0,SUMIF('DADOS BRUTOS'!$A$3:$A$500,$C11,'DADOS BRUTOS'!BB$3:BB$500)))</f>
        <v/>
      </c>
      <c r="EC11" s="125">
        <f>IF(OR(EC$4="",$B11=""),0,SUMIF('DADOS BRUTOS'!$A$3:$A$500,$B11,'DADOS BRUTOS'!BC$3:BC$500)+IF($C11="",0,SUMIF('DADOS BRUTOS'!$A$3:$A$500,$C11,'DADOS BRUTOS'!BC$3:BC$500)))</f>
        <v/>
      </c>
      <c r="ED11" s="125">
        <f>IF(OR(ED$4="",$B11=""),0,SUMIF('DADOS BRUTOS'!$A$3:$A$500,$B11,'DADOS BRUTOS'!BD$3:BD$500)+IF($C11="",0,SUMIF('DADOS BRUTOS'!$A$3:$A$500,$C11,'DADOS BRUTOS'!BD$3:BD$500)))</f>
        <v/>
      </c>
      <c r="EE11" s="125">
        <f>IF(OR(EE$4="",$B11=""),0,SUMIF('DADOS BRUTOS'!$A$3:$A$500,$B11,'DADOS BRUTOS'!BE$3:BE$500)+IF($C11="",0,SUMIF('DADOS BRUTOS'!$A$3:$A$500,$C11,'DADOS BRUTOS'!BE$3:BE$500)))</f>
        <v/>
      </c>
      <c r="EF11" s="125">
        <f>IF(OR(EF$4="",$B11=""),0,SUMIF('DADOS BRUTOS'!$A$3:$A$500,$B11,'DADOS BRUTOS'!BF$3:BF$500)+IF($C11="",0,SUMIF('DADOS BRUTOS'!$A$3:$A$500,$C11,'DADOS BRUTOS'!BF$3:BF$500)))</f>
        <v/>
      </c>
      <c r="EG11" s="125">
        <f>IF(OR(EG$4="",$B11=""),0,SUMIF('DADOS BRUTOS'!$A$3:$A$500,$B11,'DADOS BRUTOS'!BG$3:BG$500)+IF($C11="",0,SUMIF('DADOS BRUTOS'!$A$3:$A$500,$C11,'DADOS BRUTOS'!BG$3:BG$500)))</f>
        <v/>
      </c>
      <c r="EH11" s="125">
        <f>IF(OR(EH$4="",$B11=""),0,SUMIF('DADOS BRUTOS'!$A$3:$A$500,$B11,'DADOS BRUTOS'!BH$3:BH$500)+IF($C11="",0,SUMIF('DADOS BRUTOS'!$A$3:$A$500,$C11,'DADOS BRUTOS'!BH$3:BH$500)))</f>
        <v/>
      </c>
      <c r="EI11" s="125">
        <f>IF(OR(EI$4="",$B11=""),0,SUMIF('DADOS BRUTOS'!$A$3:$A$500,$B11,'DADOS BRUTOS'!BI$3:BI$500)+IF($C11="",0,SUMIF('DADOS BRUTOS'!$A$3:$A$500,$C11,'DADOS BRUTOS'!BI$3:BI$500)))</f>
        <v/>
      </c>
      <c r="EJ11" s="125">
        <f>IF(OR(EJ$4="",$B11=""),0,SUMIF('DADOS BRUTOS'!$A$3:$A$500,$B11,'DADOS BRUTOS'!BJ$3:BJ$500)+IF($C11="",0,SUMIF('DADOS BRUTOS'!$A$3:$A$500,$C11,'DADOS BRUTOS'!BJ$3:BJ$500)))</f>
        <v/>
      </c>
      <c r="EK11" s="125">
        <f>IF(OR(EK$4="",$B11=""),0,SUMIF('DADOS BRUTOS'!$A$3:$A$500,$B11,'DADOS BRUTOS'!BK$3:BK$500)+IF($C11="",0,SUMIF('DADOS BRUTOS'!$A$3:$A$500,$C11,'DADOS BRUTOS'!BK$3:BK$500)))</f>
        <v/>
      </c>
      <c r="EL11" s="125">
        <f>IF(OR(EL$4="",$B11=""),0,SUMIF('DADOS BRUTOS'!$A$3:$A$500,$B11,'DADOS BRUTOS'!BL$3:BL$500)+IF($C11="",0,SUMIF('DADOS BRUTOS'!$A$3:$A$500,$C11,'DADOS BRUTOS'!BL$3:BL$500)))</f>
        <v/>
      </c>
      <c r="EM11" s="125">
        <f>IF(OR(EM$4="",$B11=""),0,SUMIF('DADOS BRUTOS'!$A$3:$A$500,$B11,'DADOS BRUTOS'!BM$3:BM$500)+IF($C11="",0,SUMIF('DADOS BRUTOS'!$A$3:$A$500,$C11,'DADOS BRUTOS'!BM$3:BM$500)))</f>
        <v/>
      </c>
      <c r="EN11" s="125">
        <f>IF(OR(EN$4="",$B11=""),0,SUMIF('DADOS BRUTOS'!$A$3:$A$500,$B11,'DADOS BRUTOS'!BN$3:BN$500)+IF($C11="",0,SUMIF('DADOS BRUTOS'!$A$3:$A$500,$C11,'DADOS BRUTOS'!BN$3:BN$500)))</f>
        <v/>
      </c>
      <c r="EO11" s="125">
        <f>IF(OR(EO$4="",$B11=""),0,SUMIF('DADOS BRUTOS'!$A$3:$A$500,$B11,'DADOS BRUTOS'!BO$3:BO$500)+IF($C11="",0,SUMIF('DADOS BRUTOS'!$A$3:$A$500,$C11,'DADOS BRUTOS'!BO$3:BO$500)))</f>
        <v/>
      </c>
      <c r="EP11" s="125">
        <f>IF(OR(EP$4="",$B11=""),0,SUMIF('DADOS BRUTOS'!$A$3:$A$500,$B11,'DADOS BRUTOS'!BP$3:BP$500)+IF($C11="",0,SUMIF('DADOS BRUTOS'!$A$3:$A$500,$C11,'DADOS BRUTOS'!BP$3:BP$500)))</f>
        <v/>
      </c>
      <c r="EQ11" s="125">
        <f>IF(OR(EQ$4="",$B11=""),0,SUMIF('DADOS BRUTOS'!$A$3:$A$500,$B11,'DADOS BRUTOS'!BQ$3:BQ$500)+IF($C11="",0,SUMIF('DADOS BRUTOS'!$A$3:$A$500,$C11,'DADOS BRUTOS'!BQ$3:BQ$500)))</f>
        <v/>
      </c>
      <c r="ER11" s="125">
        <f>IF(OR(ER$4="",$B11=""),0,SUMIF('DADOS BRUTOS'!$A$3:$A$500,$B11,'DADOS BRUTOS'!BR$3:BR$500)+IF($C11="",0,SUMIF('DADOS BRUTOS'!$A$3:$A$500,$C11,'DADOS BRUTOS'!BR$3:BR$500)))</f>
        <v/>
      </c>
      <c r="ES11" s="125">
        <f>IF(OR(ES$4="",$B11=""),0,SUMIF('DADOS BRUTOS'!$A$3:$A$500,$B11,'DADOS BRUTOS'!BS$3:BS$500)+IF($C11="",0,SUMIF('DADOS BRUTOS'!$A$3:$A$500,$C11,'DADOS BRUTOS'!BS$3:BS$500)))</f>
        <v/>
      </c>
      <c r="ET11" s="125">
        <f>IF(OR(ET$4="",$B11=""),0,SUMIF('DADOS BRUTOS'!$A$3:$A$500,$B11,'DADOS BRUTOS'!BT$3:BT$500)+IF($C11="",0,SUMIF('DADOS BRUTOS'!$A$3:$A$500,$C11,'DADOS BRUTOS'!BT$3:BT$500)))</f>
        <v/>
      </c>
      <c r="EU11" s="125">
        <f>IF(OR(EU$4="",$B11=""),0,SUMIF('DADOS BRUTOS'!$A$3:$A$500,$B11,'DADOS BRUTOS'!BU$3:BU$500)+IF($C11="",0,SUMIF('DADOS BRUTOS'!$A$3:$A$500,$C11,'DADOS BRUTOS'!BU$3:BU$500)))</f>
        <v/>
      </c>
      <c r="EV11" s="125">
        <f>IF(OR(EV$4="",$B11=""),0,SUMIF('DADOS BRUTOS'!$A$3:$A$500,$B11,'DADOS BRUTOS'!BV$3:BV$500)+IF($C11="",0,SUMIF('DADOS BRUTOS'!$A$3:$A$500,$C11,'DADOS BRUTOS'!BV$3:BV$500)))</f>
        <v/>
      </c>
      <c r="EW11" s="125">
        <f>IF(OR(EW$4="",$B11=""),0,SUMIF('DADOS BRUTOS'!$A$3:$A$500,$B11,'DADOS BRUTOS'!BW$3:BW$500)+IF($C11="",0,SUMIF('DADOS BRUTOS'!$A$3:$A$500,$C11,'DADOS BRUTOS'!BW$3:BW$500)))</f>
        <v/>
      </c>
      <c r="EX11" s="125">
        <f>IF(OR(EX$4="",$B11=""),0,SUMIF('DADOS BRUTOS'!$A$3:$A$500,$B11,'DADOS BRUTOS'!BX$3:BX$500)+IF($C11="",0,SUMIF('DADOS BRUTOS'!$A$3:$A$500,$C11,'DADOS BRUTOS'!BX$3:BX$500)))</f>
        <v/>
      </c>
      <c r="EY11" s="125">
        <f>IF(OR(EY$4="",$B11=""),0,SUMIF('DADOS BRUTOS'!$A$3:$A$500,$B11,'DADOS BRUTOS'!BY$3:BY$500)+IF($C11="",0,SUMIF('DADOS BRUTOS'!$A$3:$A$500,$C11,'DADOS BRUTOS'!BY$3:BY$500)))</f>
        <v/>
      </c>
      <c r="EZ11" s="125">
        <f>IF(OR(EZ$4="",$B11=""),0,SUMIF('DADOS BRUTOS'!$A$3:$A$500,$B11,'DADOS BRUTOS'!BZ$3:BZ$500)+IF($C11="",0,SUMIF('DADOS BRUTOS'!$A$3:$A$500,$C11,'DADOS BRUTOS'!BZ$3:BZ$500)))</f>
        <v/>
      </c>
      <c r="FA11" s="125">
        <f>IF(OR(FA$4="",$B11=""),0,SUMIF('DADOS BRUTOS'!$A$3:$A$500,$B11,'DADOS BRUTOS'!CA$3:CA$500)+IF($C11="",0,SUMIF('DADOS BRUTOS'!$A$3:$A$500,$C11,'DADOS BRUTOS'!CA$3:CA$500)))</f>
        <v/>
      </c>
      <c r="FB11" s="125">
        <f>IF(OR(FB$4="",$B11=""),0,SUMIF('DADOS BRUTOS'!$A$3:$A$500,$B11,'DADOS BRUTOS'!CB$3:CB$500)+IF($C11="",0,SUMIF('DADOS BRUTOS'!$A$3:$A$500,$C11,'DADOS BRUTOS'!CB$3:CB$500)))</f>
        <v/>
      </c>
      <c r="FC11" s="125">
        <f>IF(OR(FC$4="",$B11=""),0,SUMIF('DADOS BRUTOS'!$A$3:$A$500,$B11,'DADOS BRUTOS'!CC$3:CC$500)+IF($C11="",0,SUMIF('DADOS BRUTOS'!$A$3:$A$500,$C11,'DADOS BRUTOS'!CC$3:CC$500)))</f>
        <v/>
      </c>
      <c r="FD11" s="125">
        <f>IF(OR(FD$4="",$B11=""),0,SUMIF('DADOS BRUTOS'!$A$3:$A$500,$B11,'DADOS BRUTOS'!CD$3:CD$500)+IF($C11="",0,SUMIF('DADOS BRUTOS'!$A$3:$A$500,$C11,'DADOS BRUTOS'!CD$3:CD$500)))</f>
        <v/>
      </c>
      <c r="FE11" s="125">
        <f>IF(OR(FE$4="",$B11=""),0,SUMIF('DADOS BRUTOS'!$A$3:$A$500,$B11,'DADOS BRUTOS'!CE$3:CE$500)+IF($C11="",0,SUMIF('DADOS BRUTOS'!$A$3:$A$500,$C11,'DADOS BRUTOS'!CE$3:CE$500)))</f>
        <v/>
      </c>
      <c r="FF11" s="125">
        <f>IF(OR(FF$4="",$B11=""),0,SUMIF('DADOS BRUTOS'!$A$3:$A$500,$B11,'DADOS BRUTOS'!CF$3:CF$500)+IF($C11="",0,SUMIF('DADOS BRUTOS'!$A$3:$A$500,$C11,'DADOS BRUTOS'!CF$3:CF$500)))</f>
        <v/>
      </c>
      <c r="FG11" s="125">
        <f>IF(OR(FG$4="",$B11=""),0,SUMIF('DADOS BRUTOS'!$A$3:$A$500,$B11,'DADOS BRUTOS'!CG$3:CG$500)+IF($C11="",0,SUMIF('DADOS BRUTOS'!$A$3:$A$500,$C11,'DADOS BRUTOS'!CG$3:CG$500)))</f>
        <v/>
      </c>
      <c r="FH11" s="125">
        <f>IF(OR(FH$4="",$B11=""),0,SUMIF('DADOS BRUTOS'!$A$3:$A$500,$B11,'DADOS BRUTOS'!CH$3:CH$500)+IF($C11="",0,SUMIF('DADOS BRUTOS'!$A$3:$A$500,$C11,'DADOS BRUTOS'!CH$3:CH$500)))</f>
        <v/>
      </c>
      <c r="FI11" s="125">
        <f>IF(OR(FI$4="",$B11=""),0,SUMIF('DADOS BRUTOS'!$A$3:$A$500,$B11,'DADOS BRUTOS'!CI$3:CI$500)+IF($C11="",0,SUMIF('DADOS BRUTOS'!$A$3:$A$500,$C11,'DADOS BRUTOS'!CI$3:CI$500)))</f>
        <v/>
      </c>
      <c r="FJ11" s="125">
        <f>IF(OR(FJ$4="",$B11=""),0,SUMIF('DADOS BRUTOS'!$A$3:$A$500,$B11,'DADOS BRUTOS'!CJ$3:CJ$500)+IF($C11="",0,SUMIF('DADOS BRUTOS'!$A$3:$A$500,$C11,'DADOS BRUTOS'!CJ$3:CJ$500)))</f>
        <v/>
      </c>
      <c r="FK11" s="125">
        <f>IF(OR(FK$4="",$B11=""),0,SUMIF('DADOS BRUTOS'!$A$3:$A$500,$B11,'DADOS BRUTOS'!CK$3:CK$500)+IF($C11="",0,SUMIF('DADOS BRUTOS'!$A$3:$A$500,$C11,'DADOS BRUTOS'!CK$3:CK$500)))</f>
        <v/>
      </c>
      <c r="FL11" s="125">
        <f>IF(OR(FL$4="",$B11=""),0,SUMIF('DADOS BRUTOS'!$A$3:$A$500,$B11,'DADOS BRUTOS'!CL$3:CL$500)+IF($C11="",0,SUMIF('DADOS BRUTOS'!$A$3:$A$500,$C11,'DADOS BRUTOS'!CL$3:CL$500)))</f>
        <v/>
      </c>
      <c r="FM11" s="125">
        <f>IF(OR(FM$4="",$B11=""),0,SUMIF('DADOS BRUTOS'!$A$3:$A$500,$B11,'DADOS BRUTOS'!CM$3:CM$500)+IF($C11="",0,SUMIF('DADOS BRUTOS'!$A$3:$A$500,$C11,'DADOS BRUTOS'!CM$3:CM$500)))</f>
        <v/>
      </c>
      <c r="FN11" s="125">
        <f>IF(OR(FN$4="",$B11=""),0,SUMIF('DADOS BRUTOS'!$A$3:$A$500,$B11,'DADOS BRUTOS'!CN$3:CN$500)+IF($C11="",0,SUMIF('DADOS BRUTOS'!$A$3:$A$500,$C11,'DADOS BRUTOS'!CN$3:CN$500)))</f>
        <v/>
      </c>
      <c r="FO11" s="125">
        <f>IF(OR(FO$4="",$B11=""),0,SUMIF('DADOS BRUTOS'!$A$3:$A$500,$B11,'DADOS BRUTOS'!CO$3:CO$500)+IF($C11="",0,SUMIF('DADOS BRUTOS'!$A$3:$A$500,$C11,'DADOS BRUTOS'!CO$3:CO$500)))</f>
        <v/>
      </c>
      <c r="FP11" s="125">
        <f>IF(OR(FP$4="",$B11=""),0,SUMIF('DADOS BRUTOS'!$A$3:$A$500,$B11,'DADOS BRUTOS'!CP$3:CP$500)+IF($C11="",0,SUMIF('DADOS BRUTOS'!$A$3:$A$500,$C11,'DADOS BRUTOS'!CP$3:CP$500)))</f>
        <v/>
      </c>
      <c r="FQ11" s="125">
        <f>IF(OR(FQ$4="",$B11=""),0,SUMIF('DADOS BRUTOS'!$A$3:$A$500,$B11,'DADOS BRUTOS'!CQ$3:CQ$500)+IF($C11="",0,SUMIF('DADOS BRUTOS'!$A$3:$A$500,$C11,'DADOS BRUTOS'!CQ$3:CQ$500)))</f>
        <v/>
      </c>
      <c r="FR11" s="125">
        <f>IF(OR(FR$4="",$B11=""),0,SUMIF('DADOS BRUTOS'!$A$3:$A$500,$B11,'DADOS BRUTOS'!CR$3:CR$500)+IF($C11="",0,SUMIF('DADOS BRUTOS'!$A$3:$A$500,$C11,'DADOS BRUTOS'!CR$3:CR$500)))</f>
        <v/>
      </c>
      <c r="FS11" s="125">
        <f>IF(OR(FS$4="",$B11=""),0,SUMIF('DADOS BRUTOS'!$A$3:$A$500,$B11,'DADOS BRUTOS'!CS$3:CS$500)+IF($C11="",0,SUMIF('DADOS BRUTOS'!$A$3:$A$500,$C11,'DADOS BRUTOS'!CS$3:CS$500)))</f>
        <v/>
      </c>
      <c r="FT11" s="125">
        <f>IF(OR(FT$4="",$B11=""),0,SUMIF('DADOS BRUTOS'!$A$3:$A$500,$B11,'DADOS BRUTOS'!CT$3:CT$500)+IF($C11="",0,SUMIF('DADOS BRUTOS'!$A$3:$A$500,$C11,'DADOS BRUTOS'!CT$3:CT$500)))</f>
        <v/>
      </c>
      <c r="FU11" s="125">
        <f>IF(OR(FU$4="",$B11=""),0,SUMIF('DADOS BRUTOS'!$A$3:$A$500,$B11,'DADOS BRUTOS'!CU$3:CU$500)+IF($C11="",0,SUMIF('DADOS BRUTOS'!$A$3:$A$500,$C11,'DADOS BRUTOS'!CU$3:CU$500)))</f>
        <v/>
      </c>
      <c r="FV11" s="125">
        <f>IF(OR(FV$4="",$B11=""),0,SUMIF('DADOS BRUTOS'!$A$3:$A$500,$B11,'DADOS BRUTOS'!CV$3:CV$500)+IF($C11="",0,SUMIF('DADOS BRUTOS'!$A$3:$A$500,$C11,'DADOS BRUTOS'!CV$3:CV$500)))</f>
        <v/>
      </c>
      <c r="FW11" s="125">
        <f>IF(OR(FW$4="",$B11=""),0,SUMIF('DADOS BRUTOS'!$A$3:$A$500,$B11,'DADOS BRUTOS'!CW$3:CW$500)+IF($C11="",0,SUMIF('DADOS BRUTOS'!$A$3:$A$500,$C11,'DADOS BRUTOS'!CW$3:CW$500)))</f>
        <v/>
      </c>
      <c r="FX11" s="125">
        <f>IF(OR(FX$4="",$B11=""),0,SUMIF('DADOS BRUTOS'!$A$3:$A$500,$B11,'DADOS BRUTOS'!CX$3:CX$500)+IF($C11="",0,SUMIF('DADOS BRUTOS'!$A$3:$A$500,$C11,'DADOS BRUTOS'!CX$3:CX$500)))</f>
        <v/>
      </c>
      <c r="FY11" s="125">
        <f>IF(OR(FY$4="",$B11=""),0,SUMIF('DADOS BRUTOS'!$A$3:$A$500,$B11,'DADOS BRUTOS'!CY$3:CY$500)+IF($C11="",0,SUMIF('DADOS BRUTOS'!$A$3:$A$500,$C11,'DADOS BRUTOS'!CY$3:CY$500)))</f>
        <v/>
      </c>
      <c r="FZ11" s="125">
        <f>IF(OR(FZ$4="",$B11=""),0,SUMIF('DADOS BRUTOS'!$A$3:$A$500,$B11,'DADOS BRUTOS'!CZ$3:CZ$500)+IF($C11="",0,SUMIF('DADOS BRUTOS'!$A$3:$A$500,$C11,'DADOS BRUTOS'!CZ$3:CZ$500)))</f>
        <v/>
      </c>
      <c r="GA11" s="125">
        <f>IF(OR(GA$4="",$B11=""),0,SUMIF('DADOS BRUTOS'!$A$3:$A$500,$B11,'DADOS BRUTOS'!DA$3:DA$500)+IF($C11="",0,SUMIF('DADOS BRUTOS'!$A$3:$A$500,$C11,'DADOS BRUTOS'!DA$3:DA$500)))</f>
        <v/>
      </c>
      <c r="GB11" s="125">
        <f>IF(OR(GB$4="",$B11=""),0,SUMIF('DADOS BRUTOS'!$A$3:$A$500,$B11,'DADOS BRUTOS'!DB$3:DB$500)+IF($C11="",0,SUMIF('DADOS BRUTOS'!$A$3:$A$500,$C11,'DADOS BRUTOS'!DB$3:DB$500)))</f>
        <v/>
      </c>
      <c r="GC11" s="125">
        <f>IF(OR(GC$4="",$B11=""),0,SUMIF('DADOS BRUTOS'!$A$3:$A$500,$B11,'DADOS BRUTOS'!DC$3:DC$500)+IF($C11="",0,SUMIF('DADOS BRUTOS'!$A$3:$A$500,$C11,'DADOS BRUTOS'!DC$3:DC$500)))</f>
        <v/>
      </c>
      <c r="GD11" s="125">
        <f>IF(OR(GD$4="",$B11=""),0,SUMIF('DADOS BRUTOS'!$A$3:$A$500,$B11,'DADOS BRUTOS'!DD$3:DD$500)+IF($C11="",0,SUMIF('DADOS BRUTOS'!$A$3:$A$500,$C11,'DADOS BRUTOS'!DD$3:DD$500)))</f>
        <v/>
      </c>
      <c r="GE11" s="125">
        <f>IF(OR(GE$4="",$B11=""),0,SUMIF('DADOS BRUTOS'!$A$3:$A$500,$B11,'DADOS BRUTOS'!DE$3:DE$500)+IF($C11="",0,SUMIF('DADOS BRUTOS'!$A$3:$A$500,$C11,'DADOS BRUTOS'!DE$3:DE$500)))</f>
        <v/>
      </c>
      <c r="GF11" s="125">
        <f>IF(OR(GF$4="",$B11=""),0,SUMIF('DADOS BRUTOS'!$A$3:$A$500,$B11,'DADOS BRUTOS'!DF$3:DF$500)+IF($C11="",0,SUMIF('DADOS BRUTOS'!$A$3:$A$500,$C11,'DADOS BRUTOS'!DF$3:DF$500)))</f>
        <v/>
      </c>
      <c r="GG11" s="125">
        <f>IF(OR(GG$4="",$B11=""),0,SUMIF('DADOS BRUTOS'!$A$3:$A$500,$B11,'DADOS BRUTOS'!DG$3:DG$500)+IF($C11="",0,SUMIF('DADOS BRUTOS'!$A$3:$A$500,$C11,'DADOS BRUTOS'!DG$3:DG$500)))</f>
        <v/>
      </c>
      <c r="GH11" s="125">
        <f>IF(OR(GH$4="",$B11=""),0,SUMIF('DADOS BRUTOS'!$A$3:$A$500,$B11,'DADOS BRUTOS'!DH$3:DH$500)+IF($C11="",0,SUMIF('DADOS BRUTOS'!$A$3:$A$500,$C11,'DADOS BRUTOS'!DH$3:DH$500)))</f>
        <v/>
      </c>
      <c r="GI11" s="125">
        <f>IF(OR(GI$4="",$B11=""),0,SUMIF('DADOS BRUTOS'!$A$3:$A$500,$B11,'DADOS BRUTOS'!DI$3:DI$500)+IF($C11="",0,SUMIF('DADOS BRUTOS'!$A$3:$A$500,$C11,'DADOS BRUTOS'!DI$3:DI$500)))</f>
        <v/>
      </c>
      <c r="GJ11" s="125">
        <f>IF(OR(GJ$4="",$B11=""),0,SUMIF('DADOS BRUTOS'!$A$3:$A$500,$B11,'DADOS BRUTOS'!DJ$3:DJ$500)+IF($C11="",0,SUMIF('DADOS BRUTOS'!$A$3:$A$500,$C11,'DADOS BRUTOS'!DJ$3:DJ$500)))</f>
        <v/>
      </c>
      <c r="GK11" s="125">
        <f>IF(OR(GK$4="",$B11=""),0,SUMIF('DADOS BRUTOS'!$A$3:$A$500,$B11,'DADOS BRUTOS'!DK$3:DK$500)+IF($C11="",0,SUMIF('DADOS BRUTOS'!$A$3:$A$500,$C11,'DADOS BRUTOS'!DK$3:DK$500)))</f>
        <v/>
      </c>
      <c r="GL11" s="125">
        <f>IF(OR(GL$4="",$B11=""),0,SUMIF('DADOS BRUTOS'!$A$3:$A$500,$B11,'DADOS BRUTOS'!DL$3:DL$500)+IF($C11="",0,SUMIF('DADOS BRUTOS'!$A$3:$A$500,$C11,'DADOS BRUTOS'!DL$3:DL$500)))</f>
        <v/>
      </c>
      <c r="GM11" s="125">
        <f>IF(OR(GM$4="",$B11=""),0,SUMIF('DADOS BRUTOS'!$A$3:$A$500,$B11,'DADOS BRUTOS'!DM$3:DM$500)+IF($C11="",0,SUMIF('DADOS BRUTOS'!$A$3:$A$500,$C11,'DADOS BRUTOS'!DM$3:DM$500)))</f>
        <v/>
      </c>
      <c r="GN11" s="125">
        <f>IF(OR(GN$4="",$B11=""),0,SUMIF('DADOS BRUTOS'!$A$3:$A$500,$B11,'DADOS BRUTOS'!DN$3:DN$500)+IF($C11="",0,SUMIF('DADOS BRUTOS'!$A$3:$A$500,$C11,'DADOS BRUTOS'!DN$3:DN$500)))</f>
        <v/>
      </c>
      <c r="GO11" s="125">
        <f>IF(OR(GO$4="",$B11=""),0,SUMIF('DADOS BRUTOS'!$A$3:$A$500,$B11,'DADOS BRUTOS'!DO$3:DO$500)+IF($C11="",0,SUMIF('DADOS BRUTOS'!$A$3:$A$500,$C11,'DADOS BRUTOS'!DO$3:DO$500)))</f>
        <v/>
      </c>
      <c r="GP11" s="125">
        <f>IF(OR(GP$4="",$B11=""),0,SUMIF('DADOS BRUTOS'!$A$3:$A$500,$B11,'DADOS BRUTOS'!DP$3:DP$500)+IF($C11="",0,SUMIF('DADOS BRUTOS'!$A$3:$A$500,$C11,'DADOS BRUTOS'!DP$3:DP$500)))</f>
        <v/>
      </c>
      <c r="GQ11" s="125">
        <f>IF(OR(GQ$4="",$B11=""),0,SUMIF('DADOS BRUTOS'!$A$3:$A$500,$B11,'DADOS BRUTOS'!DQ$3:DQ$500)+IF($C11="",0,SUMIF('DADOS BRUTOS'!$A$3:$A$500,$C11,'DADOS BRUTOS'!DQ$3:DQ$500)))</f>
        <v/>
      </c>
      <c r="GR11" s="125">
        <f>IF(OR(GR$4="",$B11=""),0,SUMIF('DADOS BRUTOS'!$A$3:$A$500,$B11,'DADOS BRUTOS'!DR$3:DR$500)+IF($C11="",0,SUMIF('DADOS BRUTOS'!$A$3:$A$500,$C11,'DADOS BRUTOS'!DR$3:DR$500)))</f>
        <v/>
      </c>
      <c r="GS11" s="125">
        <f>IF(OR(GS$4="",$B11=""),0,SUMIF('DADOS BRUTOS'!$A$3:$A$500,$B11,'DADOS BRUTOS'!DS$3:DS$500)+IF($C11="",0,SUMIF('DADOS BRUTOS'!$A$3:$A$500,$C11,'DADOS BRUTOS'!DS$3:DS$500)))</f>
        <v/>
      </c>
      <c r="GT11" s="125">
        <f>IF(OR(GT$4="",$B11=""),0,SUMIF('DADOS BRUTOS'!$A$3:$A$500,$B11,'DADOS BRUTOS'!DT$3:DT$500)+IF($C11="",0,SUMIF('DADOS BRUTOS'!$A$3:$A$500,$C11,'DADOS BRUTOS'!DT$3:DT$500)))</f>
        <v/>
      </c>
      <c r="GU11" s="125">
        <f>IF(OR(GU$4="",$B11=""),0,SUMIF('DADOS BRUTOS'!$A$3:$A$500,$B11,'DADOS BRUTOS'!DU$3:DU$500)+IF($C11="",0,SUMIF('DADOS BRUTOS'!$A$3:$A$500,$C11,'DADOS BRUTOS'!DU$3:DU$500)))</f>
        <v/>
      </c>
      <c r="GV11" s="125">
        <f>IF(OR(GV$4="",$B11=""),0,SUMIF('DADOS BRUTOS'!$A$3:$A$500,$B11,'DADOS BRUTOS'!DV$3:DV$500)+IF($C11="",0,SUMIF('DADOS BRUTOS'!$A$3:$A$500,$C11,'DADOS BRUTOS'!DV$3:DV$500)))</f>
        <v/>
      </c>
      <c r="GW11" s="125">
        <f>IF(OR(GW$4="",$B11=""),0,SUMIF('DADOS BRUTOS'!$A$3:$A$500,$B11,'DADOS BRUTOS'!DW$3:DW$500)+IF($C11="",0,SUMIF('DADOS BRUTOS'!$A$3:$A$500,$C11,'DADOS BRUTOS'!DW$3:DW$500)))</f>
        <v/>
      </c>
      <c r="GX11" s="125">
        <f>IF(OR(GX$4="",$B11=""),0,SUMIF('DADOS BRUTOS'!$A$3:$A$500,$B11,'DADOS BRUTOS'!DX$3:DX$500)+IF($C11="",0,SUMIF('DADOS BRUTOS'!$A$3:$A$500,$C11,'DADOS BRUTOS'!DX$3:DX$500)))</f>
        <v/>
      </c>
      <c r="GY11" s="125">
        <f>IF(OR(GY$4="",$B11=""),0,SUMIF('DADOS BRUTOS'!$A$3:$A$500,$B11,'DADOS BRUTOS'!DY$3:DY$500)+IF($C11="",0,SUMIF('DADOS BRUTOS'!$A$3:$A$500,$C11,'DADOS BRUTOS'!DY$3:DY$500)))</f>
        <v/>
      </c>
      <c r="GZ11" s="125">
        <f>IF(OR(GZ$4="",$B11=""),0,SUMIF('DADOS BRUTOS'!$A$3:$A$500,$B11,'DADOS BRUTOS'!DZ$3:DZ$500)+IF($C11="",0,SUMIF('DADOS BRUTOS'!$A$3:$A$500,$C11,'DADOS BRUTOS'!DZ$3:DZ$500)))</f>
        <v/>
      </c>
      <c r="HA11" s="125">
        <f>IF(OR(HA$4="",$B11=""),0,SUMIF('DADOS BRUTOS'!$A$3:$A$500,$B11,'DADOS BRUTOS'!EA$3:EA$500)+IF($C11="",0,SUMIF('DADOS BRUTOS'!$A$3:$A$500,$C11,'DADOS BRUTOS'!EA$3:EA$500)))</f>
        <v/>
      </c>
      <c r="HB11" s="125">
        <f>IF(OR(HB$4="",$B11=""),0,SUMIF('DADOS BRUTOS'!$A$3:$A$500,$B11,'DADOS BRUTOS'!EB$3:EB$500)+IF($C11="",0,SUMIF('DADOS BRUTOS'!$A$3:$A$500,$C11,'DADOS BRUTOS'!EB$3:EB$500)))</f>
        <v/>
      </c>
      <c r="HC11" s="125">
        <f>IF(OR(HC$4="",$B11=""),0,SUMIF('DADOS BRUTOS'!$A$3:$A$500,$B11,'DADOS BRUTOS'!EC$3:EC$500)+IF($C11="",0,SUMIF('DADOS BRUTOS'!$A$3:$A$500,$C11,'DADOS BRUTOS'!EC$3:EC$500)))</f>
        <v/>
      </c>
      <c r="HD11" s="125">
        <f>IF(OR(HD$4="",$B11=""),0,SUMIF('DADOS BRUTOS'!$A$3:$A$500,$B11,'DADOS BRUTOS'!ED$3:ED$500)+IF($C11="",0,SUMIF('DADOS BRUTOS'!$A$3:$A$500,$C11,'DADOS BRUTOS'!ED$3:ED$500)))</f>
        <v/>
      </c>
      <c r="HE11" s="125">
        <f>IF(OR(HE$4="",$B11=""),0,SUMIF('DADOS BRUTOS'!$A$3:$A$500,$B11,'DADOS BRUTOS'!EE$3:EE$500)+IF($C11="",0,SUMIF('DADOS BRUTOS'!$A$3:$A$500,$C11,'DADOS BRUTOS'!EE$3:EE$500)))</f>
        <v/>
      </c>
      <c r="HF11" s="125">
        <f>IF(OR(HF$4="",$B11=""),0,SUMIF('DADOS BRUTOS'!$A$3:$A$500,$B11,'DADOS BRUTOS'!EF$3:EF$500)+IF($C11="",0,SUMIF('DADOS BRUTOS'!$A$3:$A$500,$C11,'DADOS BRUTOS'!EF$3:EF$500)))</f>
        <v/>
      </c>
      <c r="HG11" s="125">
        <f>IF(OR(HG$4="",$B11=""),0,SUMIF('DADOS BRUTOS'!$A$3:$A$500,$B11,'DADOS BRUTOS'!EG$3:EG$500)+IF($C11="",0,SUMIF('DADOS BRUTOS'!$A$3:$A$500,$C11,'DADOS BRUTOS'!EG$3:EG$500)))</f>
        <v/>
      </c>
      <c r="HH11" s="125">
        <f>IF(OR(HH$4="",$B11=""),0,SUMIF('DADOS BRUTOS'!$A$3:$A$500,$B11,'DADOS BRUTOS'!EH$3:EH$500)+IF($C11="",0,SUMIF('DADOS BRUTOS'!$A$3:$A$500,$C11,'DADOS BRUTOS'!EH$3:EH$500)))</f>
        <v/>
      </c>
      <c r="HI11" s="125">
        <f>IF(OR(HI$4="",$B11=""),0,SUMIF('DADOS BRUTOS'!$A$3:$A$500,$B11,'DADOS BRUTOS'!EI$3:EI$500)+IF($C11="",0,SUMIF('DADOS BRUTOS'!$A$3:$A$500,$C11,'DADOS BRUTOS'!EI$3:EI$500)))</f>
        <v/>
      </c>
      <c r="HJ11" s="125">
        <f>IF(OR(HJ$4="",$B11=""),0,SUMIF('DADOS BRUTOS'!$A$3:$A$500,$B11,'DADOS BRUTOS'!EJ$3:EJ$500)+IF($C11="",0,SUMIF('DADOS BRUTOS'!$A$3:$A$500,$C11,'DADOS BRUTOS'!EJ$3:EJ$500)))</f>
        <v/>
      </c>
      <c r="HK11" s="125">
        <f>IF(OR(HK$4="",$B11=""),0,SUMIF('DADOS BRUTOS'!$A$3:$A$500,$B11,'DADOS BRUTOS'!EK$3:EK$500)+IF($C11="",0,SUMIF('DADOS BRUTOS'!$A$3:$A$500,$C11,'DADOS BRUTOS'!EK$3:EK$500)))</f>
        <v/>
      </c>
      <c r="HL11" s="125">
        <f>IF(OR(HL$4="",$B11=""),0,SUMIF('DADOS BRUTOS'!$A$3:$A$500,$B11,'DADOS BRUTOS'!EL$3:EL$500)+IF($C11="",0,SUMIF('DADOS BRUTOS'!$A$3:$A$500,$C11,'DADOS BRUTOS'!EL$3:EL$500)))</f>
        <v/>
      </c>
      <c r="HM11" s="125">
        <f>IF(OR(HM$4="",$B11=""),0,SUMIF('DADOS BRUTOS'!$A$3:$A$500,$B11,'DADOS BRUTOS'!EM$3:EM$500)+IF($C11="",0,SUMIF('DADOS BRUTOS'!$A$3:$A$500,$C11,'DADOS BRUTOS'!EM$3:EM$500)))</f>
        <v/>
      </c>
      <c r="HN11" s="125">
        <f>IF(OR(HN$4="",$B11=""),0,SUMIF('DADOS BRUTOS'!$A$3:$A$500,$B11,'DADOS BRUTOS'!EN$3:EN$500)+IF($C11="",0,SUMIF('DADOS BRUTOS'!$A$3:$A$500,$C11,'DADOS BRUTOS'!EN$3:EN$500)))</f>
        <v/>
      </c>
      <c r="HO11" s="125">
        <f>IF(OR(HO$4="",$B11=""),0,SUMIF('DADOS BRUTOS'!$A$3:$A$500,$B11,'DADOS BRUTOS'!EO$3:EO$500)+IF($C11="",0,SUMIF('DADOS BRUTOS'!$A$3:$A$500,$C11,'DADOS BRUTOS'!EO$3:EO$500)))</f>
        <v/>
      </c>
      <c r="HP11" s="125">
        <f>IF(OR(HP$4="",$B11=""),0,SUMIF('DADOS BRUTOS'!$A$3:$A$500,$B11,'DADOS BRUTOS'!EP$3:EP$500)+IF($C11="",0,SUMIF('DADOS BRUTOS'!$A$3:$A$500,$C11,'DADOS BRUTOS'!EP$3:EP$500)))</f>
        <v/>
      </c>
      <c r="HQ11" s="125">
        <f>IF(OR(HQ$4="",$B11=""),0,SUMIF('DADOS BRUTOS'!$A$3:$A$500,$B11,'DADOS BRUTOS'!EQ$3:EQ$500)+IF($C11="",0,SUMIF('DADOS BRUTOS'!$A$3:$A$500,$C11,'DADOS BRUTOS'!EQ$3:EQ$500)))</f>
        <v/>
      </c>
      <c r="HR11" s="125">
        <f>IF(OR(HR$4="",$B11=""),0,SUMIF('DADOS BRUTOS'!$A$3:$A$500,$B11,'DADOS BRUTOS'!ER$3:ER$500)+IF($C11="",0,SUMIF('DADOS BRUTOS'!$A$3:$A$500,$C11,'DADOS BRUTOS'!ER$3:ER$500)))</f>
        <v/>
      </c>
      <c r="HS11" s="125">
        <f>IF(OR(HS$4="",$B11=""),0,SUMIF('DADOS BRUTOS'!$A$3:$A$500,$B11,'DADOS BRUTOS'!ES$3:ES$500)+IF($C11="",0,SUMIF('DADOS BRUTOS'!$A$3:$A$500,$C11,'DADOS BRUTOS'!ES$3:ES$500)))</f>
        <v/>
      </c>
      <c r="HT11" s="125">
        <f>IF(OR(HT$4="",$B11=""),0,SUMIF('DADOS BRUTOS'!$A$3:$A$500,$B11,'DADOS BRUTOS'!ET$3:ET$500)+IF($C11="",0,SUMIF('DADOS BRUTOS'!$A$3:$A$500,$C11,'DADOS BRUTOS'!ET$3:ET$500)))</f>
        <v/>
      </c>
      <c r="HU11" s="125">
        <f>IF(OR(HU$4="",$B11=""),0,SUMIF('DADOS BRUTOS'!$A$3:$A$500,$B11,'DADOS BRUTOS'!EU$3:EU$500)+IF($C11="",0,SUMIF('DADOS BRUTOS'!$A$3:$A$500,$C11,'DADOS BRUTOS'!EU$3:EU$500)))</f>
        <v/>
      </c>
      <c r="HV11" s="125">
        <f>IF(OR(HV$4="",$B11=""),0,SUMIF('DADOS BRUTOS'!$A$3:$A$500,$B11,'DADOS BRUTOS'!EV$3:EV$500)+IF($C11="",0,SUMIF('DADOS BRUTOS'!$A$3:$A$500,$C11,'DADOS BRUTOS'!EV$3:EV$500)))</f>
        <v/>
      </c>
      <c r="HW11" s="125">
        <f>IF(OR(HW$4="",$B11=""),0,SUMIF('DADOS BRUTOS'!$A$3:$A$500,$B11,'DADOS BRUTOS'!EW$3:EW$500)+IF($C11="",0,SUMIF('DADOS BRUTOS'!$A$3:$A$500,$C11,'DADOS BRUTOS'!EW$3:EW$500)))</f>
        <v/>
      </c>
      <c r="HX11" s="125">
        <f>IF(OR(HX$4="",$B11=""),0,SUMIF('DADOS BRUTOS'!$A$3:$A$500,$B11,'DADOS BRUTOS'!EX$3:EX$500)+IF($C11="",0,SUMIF('DADOS BRUTOS'!$A$3:$A$500,$C11,'DADOS BRUTOS'!EX$3:EX$500)))</f>
        <v/>
      </c>
      <c r="HY11" s="125">
        <f>IF(OR(HY$4="",$B11=""),0,SUMIF('DADOS BRUTOS'!$A$3:$A$500,$B11,'DADOS BRUTOS'!EY$3:EY$500)+IF($C11="",0,SUMIF('DADOS BRUTOS'!$A$3:$A$500,$C11,'DADOS BRUTOS'!EY$3:EY$500)))</f>
        <v/>
      </c>
      <c r="HZ11" s="125">
        <f>IF(OR(HZ$4="",$B11=""),0,SUMIF('DADOS BRUTOS'!$A$3:$A$500,$B11,'DADOS BRUTOS'!EZ$3:EZ$500)+IF($C11="",0,SUMIF('DADOS BRUTOS'!$A$3:$A$500,$C11,'DADOS BRUTOS'!EZ$3:EZ$500)))</f>
        <v/>
      </c>
      <c r="IA11" s="125">
        <f>IF(OR(IA$4="",$B11=""),0,SUMIF('DADOS BRUTOS'!$A$3:$A$500,$B11,'DADOS BRUTOS'!FA$3:FA$500)+IF($C11="",0,SUMIF('DADOS BRUTOS'!$A$3:$A$500,$C11,'DADOS BRUTOS'!FA$3:FA$500)))</f>
        <v/>
      </c>
      <c r="IB11" s="125">
        <f>IF(OR(IB$4="",$B11=""),0,SUMIF('DADOS BRUTOS'!$A$3:$A$500,$B11,'DADOS BRUTOS'!FB$3:FB$500)+IF($C11="",0,SUMIF('DADOS BRUTOS'!$A$3:$A$500,$C11,'DADOS BRUTOS'!FB$3:FB$500)))</f>
        <v/>
      </c>
      <c r="IC11" s="125">
        <f>IF(OR(IC$4="",$B11=""),0,SUMIF('DADOS BRUTOS'!$A$3:$A$500,$B11,'DADOS BRUTOS'!FC$3:FC$500)+IF($C11="",0,SUMIF('DADOS BRUTOS'!$A$3:$A$500,$C11,'DADOS BRUTOS'!FC$3:FC$500)))</f>
        <v/>
      </c>
      <c r="ID11" s="125">
        <f>IF(OR(ID$4="",$B11=""),0,SUMIF('DADOS BRUTOS'!$A$3:$A$500,$B11,'DADOS BRUTOS'!FD$3:FD$500)+IF($C11="",0,SUMIF('DADOS BRUTOS'!$A$3:$A$500,$C11,'DADOS BRUTOS'!FD$3:FD$500)))</f>
        <v/>
      </c>
      <c r="IE11" s="125">
        <f>IF(OR(IE$4="",$B11=""),0,SUMIF('DADOS BRUTOS'!$A$3:$A$500,$B11,'DADOS BRUTOS'!FE$3:FE$500)+IF($C11="",0,SUMIF('DADOS BRUTOS'!$A$3:$A$500,$C11,'DADOS BRUTOS'!FE$3:FE$500)))</f>
        <v/>
      </c>
      <c r="IF11" s="125">
        <f>IF(OR(IF$4="",$B11=""),0,SUMIF('DADOS BRUTOS'!$A$3:$A$500,$B11,'DADOS BRUTOS'!FF$3:FF$500)+IF($C11="",0,SUMIF('DADOS BRUTOS'!$A$3:$A$500,$C11,'DADOS BRUTOS'!FF$3:FF$500)))</f>
        <v/>
      </c>
      <c r="IG11" s="125">
        <f>IF(OR(IG$4="",$B11=""),0,SUMIF('DADOS BRUTOS'!$A$3:$A$500,$B11,'DADOS BRUTOS'!FG$3:FG$500)+IF($C11="",0,SUMIF('DADOS BRUTOS'!$A$3:$A$500,$C11,'DADOS BRUTOS'!FG$3:FG$500)))</f>
        <v/>
      </c>
      <c r="IH11" s="125">
        <f>IF(OR(IH$4="",$B11=""),0,SUMIF('DADOS BRUTOS'!$A$3:$A$500,$B11,'DADOS BRUTOS'!FH$3:FH$500)+IF($C11="",0,SUMIF('DADOS BRUTOS'!$A$3:$A$500,$C11,'DADOS BRUTOS'!FH$3:FH$500)))</f>
        <v/>
      </c>
      <c r="II11" s="125">
        <f>IF(OR(II$4="",$B11=""),0,SUMIF('DADOS BRUTOS'!$A$3:$A$500,$B11,'DADOS BRUTOS'!FI$3:FI$500)+IF($C11="",0,SUMIF('DADOS BRUTOS'!$A$3:$A$500,$C11,'DADOS BRUTOS'!FI$3:FI$500)))</f>
        <v/>
      </c>
      <c r="IJ11" s="125">
        <f>IF(OR(IJ$4="",$B11=""),0,SUMIF('DADOS BRUTOS'!$A$3:$A$500,$B11,'DADOS BRUTOS'!FJ$3:FJ$500)+IF($C11="",0,SUMIF('DADOS BRUTOS'!$A$3:$A$500,$C11,'DADOS BRUTOS'!FJ$3:FJ$500)))</f>
        <v/>
      </c>
      <c r="IK11" s="125">
        <f>IF(OR(IK$4="",$B11=""),0,SUMIF('DADOS BRUTOS'!$A$3:$A$500,$B11,'DADOS BRUTOS'!FK$3:FK$500)+IF($C11="",0,SUMIF('DADOS BRUTOS'!$A$3:$A$500,$C11,'DADOS BRUTOS'!FK$3:FK$500)))</f>
        <v/>
      </c>
      <c r="IL11" s="125">
        <f>IF(OR(IL$4="",$B11=""),0,SUMIF('DADOS BRUTOS'!$A$3:$A$500,$B11,'DADOS BRUTOS'!FL$3:FL$500)+IF($C11="",0,SUMIF('DADOS BRUTOS'!$A$3:$A$500,$C11,'DADOS BRUTOS'!FL$3:FL$500)))</f>
        <v/>
      </c>
      <c r="IM11" s="125">
        <f>IF(OR(IM$4="",$B11=""),0,SUMIF('DADOS BRUTOS'!$A$3:$A$500,$B11,'DADOS BRUTOS'!FM$3:FM$500)+IF($C11="",0,SUMIF('DADOS BRUTOS'!$A$3:$A$500,$C11,'DADOS BRUTOS'!FM$3:FM$500)))</f>
        <v/>
      </c>
      <c r="IN11" s="125">
        <f>IF(OR(IN$4="",$B11=""),0,SUMIF('DADOS BRUTOS'!$A$3:$A$500,$B11,'DADOS BRUTOS'!FN$3:FN$500)+IF($C11="",0,SUMIF('DADOS BRUTOS'!$A$3:$A$500,$C11,'DADOS BRUTOS'!FN$3:FN$500)))</f>
        <v/>
      </c>
      <c r="IO11" s="125">
        <f>IF(OR(IO$4="",$B11=""),0,SUMIF('DADOS BRUTOS'!$A$3:$A$500,$B11,'DADOS BRUTOS'!FO$3:FO$500)+IF($C11="",0,SUMIF('DADOS BRUTOS'!$A$3:$A$500,$C11,'DADOS BRUTOS'!FO$3:FO$500)))</f>
        <v/>
      </c>
      <c r="IP11" s="125">
        <f>IF(OR(IP$4="",$B11=""),0,SUMIF('DADOS BRUTOS'!$A$3:$A$500,$B11,'DADOS BRUTOS'!FP$3:FP$500)+IF($C11="",0,SUMIF('DADOS BRUTOS'!$A$3:$A$500,$C11,'DADOS BRUTOS'!FP$3:FP$500)))</f>
        <v/>
      </c>
      <c r="IQ11" s="125">
        <f>IF(OR(IQ$4="",$B11=""),0,SUMIF('DADOS BRUTOS'!$A$3:$A$500,$B11,'DADOS BRUTOS'!FQ$3:FQ$500)+IF($C11="",0,SUMIF('DADOS BRUTOS'!$A$3:$A$500,$C11,'DADOS BRUTOS'!FQ$3:FQ$500)))</f>
        <v/>
      </c>
      <c r="IR11" s="125">
        <f>IF(OR(IR$4="",$B11=""),0,SUMIF('DADOS BRUTOS'!$A$3:$A$500,$B11,'DADOS BRUTOS'!FR$3:FR$500)+IF($C11="",0,SUMIF('DADOS BRUTOS'!$A$3:$A$500,$C11,'DADOS BRUTOS'!FR$3:FR$500)))</f>
        <v/>
      </c>
      <c r="IS11" s="125">
        <f>IF(OR(IS$4="",$B11=""),0,SUMIF('DADOS BRUTOS'!$A$3:$A$500,$B11,'DADOS BRUTOS'!FS$3:FS$500)+IF($C11="",0,SUMIF('DADOS BRUTOS'!$A$3:$A$500,$C11,'DADOS BRUTOS'!FS$3:FS$500)))</f>
        <v/>
      </c>
      <c r="IT11" s="125">
        <f>IF(OR(IT$4="",$B11=""),0,SUMIF('DADOS BRUTOS'!$A$3:$A$500,$B11,'DADOS BRUTOS'!FT$3:FT$500)+IF($C11="",0,SUMIF('DADOS BRUTOS'!$A$3:$A$500,$C11,'DADOS BRUTOS'!FT$3:FT$500)))</f>
        <v/>
      </c>
      <c r="IU11" s="125">
        <f>IF(OR(IU$4="",$B11=""),0,SUMIF('DADOS BRUTOS'!$A$3:$A$500,$B11,'DADOS BRUTOS'!FU$3:FU$500)+IF($C11="",0,SUMIF('DADOS BRUTOS'!$A$3:$A$500,$C11,'DADOS BRUTOS'!FU$3:FU$500)))</f>
        <v/>
      </c>
      <c r="IV11" s="125">
        <f>IF(OR(IV$4="",$B11=""),0,SUMIF('DADOS BRUTOS'!$A$3:$A$500,$B11,'DADOS BRUTOS'!FV$3:FV$500)+IF($C11="",0,SUMIF('DADOS BRUTOS'!$A$3:$A$500,$C11,'DADOS BRUTOS'!FV$3:FV$500)))</f>
        <v/>
      </c>
      <c r="IW11" s="125">
        <f>IF(OR(IW$4="",$B11=""),0,SUMIF('DADOS BRUTOS'!$A$3:$A$500,$B11,'DADOS BRUTOS'!FW$3:FW$500)+IF($C11="",0,SUMIF('DADOS BRUTOS'!$A$3:$A$500,$C11,'DADOS BRUTOS'!FW$3:FW$500)))</f>
        <v/>
      </c>
      <c r="IX11" s="125">
        <f>IF(OR(IX$4="",$B11=""),0,SUMIF('DADOS BRUTOS'!$A$3:$A$500,$B11,'DADOS BRUTOS'!FX$3:FX$500)+IF($C11="",0,SUMIF('DADOS BRUTOS'!$A$3:$A$500,$C11,'DADOS BRUTOS'!FX$3:FX$500)))</f>
        <v/>
      </c>
      <c r="IY11" s="125">
        <f>IF(OR(IY$4="",$B11=""),0,SUMIF('DADOS BRUTOS'!$A$3:$A$500,$B11,'DADOS BRUTOS'!FY$3:FY$500)+IF($C11="",0,SUMIF('DADOS BRUTOS'!$A$3:$A$500,$C11,'DADOS BRUTOS'!FY$3:FY$500)))</f>
        <v/>
      </c>
      <c r="IZ11" s="125">
        <f>IF(OR(IZ$4="",$B11=""),0,SUMIF('DADOS BRUTOS'!$A$3:$A$500,$B11,'DADOS BRUTOS'!FZ$3:FZ$500)+IF($C11="",0,SUMIF('DADOS BRUTOS'!$A$3:$A$500,$C11,'DADOS BRUTOS'!FZ$3:FZ$500)))</f>
        <v/>
      </c>
      <c r="JA11" s="125">
        <f>IF(OR(JA$4="",$B11=""),0,SUMIF('DADOS BRUTOS'!$A$3:$A$500,$B11,'DADOS BRUTOS'!GA$3:GA$500)+IF($C11="",0,SUMIF('DADOS BRUTOS'!$A$3:$A$500,$C11,'DADOS BRUTOS'!GA$3:GA$500)))</f>
        <v/>
      </c>
      <c r="JB11" s="125">
        <f>IF(OR(JB$4="",$B11=""),0,SUMIF('DADOS BRUTOS'!$A$3:$A$500,$B11,'DADOS BRUTOS'!GB$3:GB$500)+IF($C11="",0,SUMIF('DADOS BRUTOS'!$A$3:$A$500,$C11,'DADOS BRUTOS'!GB$3:GB$500)))</f>
        <v/>
      </c>
      <c r="JC11" s="125">
        <f>IF(OR(JC$4="",$B11=""),0,SUMIF('DADOS BRUTOS'!$A$3:$A$500,$B11,'DADOS BRUTOS'!GC$3:GC$500)+IF($C11="",0,SUMIF('DADOS BRUTOS'!$A$3:$A$500,$C11,'DADOS BRUTOS'!GC$3:GC$500)))</f>
        <v/>
      </c>
      <c r="JD11" s="125">
        <f>IF(OR(JD$4="",$B11=""),0,SUMIF('DADOS BRUTOS'!$A$3:$A$500,$B11,'DADOS BRUTOS'!GD$3:GD$500)+IF($C11="",0,SUMIF('DADOS BRUTOS'!$A$3:$A$500,$C11,'DADOS BRUTOS'!GD$3:GD$500)))</f>
        <v/>
      </c>
      <c r="JE11" s="125">
        <f>IF(OR(JE$4="",$B11=""),0,SUMIF('DADOS BRUTOS'!$A$3:$A$500,$B11,'DADOS BRUTOS'!GE$3:GE$500)+IF($C11="",0,SUMIF('DADOS BRUTOS'!$A$3:$A$500,$C11,'DADOS BRUTOS'!GE$3:GE$500)))</f>
        <v/>
      </c>
      <c r="JF11" s="125">
        <f>IF(OR(JF$4="",$B11=""),0,SUMIF('DADOS BRUTOS'!$A$3:$A$500,$B11,'DADOS BRUTOS'!GF$3:GF$500)+IF($C11="",0,SUMIF('DADOS BRUTOS'!$A$3:$A$500,$C11,'DADOS BRUTOS'!GF$3:GF$500)))</f>
        <v/>
      </c>
      <c r="JG11" s="125">
        <f>IF(OR(JG$4="",$B11=""),0,SUMIF('DADOS BRUTOS'!$A$3:$A$500,$B11,'DADOS BRUTOS'!GG$3:GG$500)+IF($C11="",0,SUMIF('DADOS BRUTOS'!$A$3:$A$500,$C11,'DADOS BRUTOS'!GG$3:GG$500)))</f>
        <v/>
      </c>
      <c r="JH11" s="125">
        <f>IF(OR(JH$4="",$B11=""),0,SUMIF('DADOS BRUTOS'!$A$3:$A$500,$B11,'DADOS BRUTOS'!GH$3:GH$500)+IF($C11="",0,SUMIF('DADOS BRUTOS'!$A$3:$A$500,$C11,'DADOS BRUTOS'!GH$3:GH$500)))</f>
        <v/>
      </c>
      <c r="JI11" s="125">
        <f>IF(OR(JI$4="",$B11=""),0,SUMIF('DADOS BRUTOS'!$A$3:$A$500,$B11,'DADOS BRUTOS'!GI$3:GI$500)+IF($C11="",0,SUMIF('DADOS BRUTOS'!$A$3:$A$500,$C11,'DADOS BRUTOS'!GI$3:GI$500)))</f>
        <v/>
      </c>
      <c r="JJ11" s="125">
        <f>IF(OR(JJ$4="",$B11=""),0,SUMIF('DADOS BRUTOS'!$A$3:$A$500,$B11,'DADOS BRUTOS'!GJ$3:GJ$500)+IF($C11="",0,SUMIF('DADOS BRUTOS'!$A$3:$A$500,$C11,'DADOS BRUTOS'!GJ$3:GJ$500)))</f>
        <v/>
      </c>
      <c r="JK11" s="125">
        <f>IF(OR(JK$4="",$B11=""),0,SUMIF('DADOS BRUTOS'!$A$3:$A$500,$B11,'DADOS BRUTOS'!GK$3:GK$500)+IF($C11="",0,SUMIF('DADOS BRUTOS'!$A$3:$A$500,$C11,'DADOS BRUTOS'!GK$3:GK$500)))</f>
        <v/>
      </c>
      <c r="JL11" s="125">
        <f>IF(OR(JL$4="",$B11=""),0,SUMIF('DADOS BRUTOS'!$A$3:$A$500,$B11,'DADOS BRUTOS'!GL$3:GL$500)+IF($C11="",0,SUMIF('DADOS BRUTOS'!$A$3:$A$500,$C11,'DADOS BRUTOS'!GL$3:GL$500)))</f>
        <v/>
      </c>
      <c r="JM11" s="125">
        <f>IF(OR(JM$4="",$B11=""),0,SUMIF('DADOS BRUTOS'!$A$3:$A$500,$B11,'DADOS BRUTOS'!GM$3:GM$500)+IF($C11="",0,SUMIF('DADOS BRUTOS'!$A$3:$A$500,$C11,'DADOS BRUTOS'!GM$3:GM$500)))</f>
        <v/>
      </c>
      <c r="JN11" s="125">
        <f>IF(OR(JN$4="",$B11=""),0,SUMIF('DADOS BRUTOS'!$A$3:$A$500,$B11,'DADOS BRUTOS'!GN$3:GN$500)+IF($C11="",0,SUMIF('DADOS BRUTOS'!$A$3:$A$500,$C11,'DADOS BRUTOS'!GN$3:GN$500)))</f>
        <v/>
      </c>
      <c r="JO11" s="125">
        <f>IF(OR(JO$4="",$B11=""),0,SUMIF('DADOS BRUTOS'!$A$3:$A$500,$B11,'DADOS BRUTOS'!GO$3:GO$500)+IF($C11="",0,SUMIF('DADOS BRUTOS'!$A$3:$A$500,$C11,'DADOS BRUTOS'!GO$3:GO$500)))</f>
        <v/>
      </c>
      <c r="JP11" s="125">
        <f>IF(OR(JP$4="",$B11=""),0,SUMIF('DADOS BRUTOS'!$A$3:$A$500,$B11,'DADOS BRUTOS'!GP$3:GP$500)+IF($C11="",0,SUMIF('DADOS BRUTOS'!$A$3:$A$500,$C11,'DADOS BRUTOS'!GP$3:GP$500)))</f>
        <v/>
      </c>
      <c r="JQ11" s="125">
        <f>IF(OR(JQ$4="",$B11=""),0,SUMIF('DADOS BRUTOS'!$A$3:$A$500,$B11,'DADOS BRUTOS'!GQ$3:GQ$500)+IF($C11="",0,SUMIF('DADOS BRUTOS'!$A$3:$A$500,$C11,'DADOS BRUTOS'!GQ$3:GQ$500)))</f>
        <v/>
      </c>
      <c r="JR11" s="125">
        <f>IF(OR(JR$4="",$B11=""),0,SUMIF('DADOS BRUTOS'!$A$3:$A$500,$B11,'DADOS BRUTOS'!GR$3:GR$500)+IF($C11="",0,SUMIF('DADOS BRUTOS'!$A$3:$A$500,$C11,'DADOS BRUTOS'!GR$3:GR$500)))</f>
        <v/>
      </c>
      <c r="JS11" s="125">
        <f>IF(OR(JS$4="",$B11=""),0,SUMIF('DADOS BRUTOS'!$A$3:$A$500,$B11,'DADOS BRUTOS'!GS$3:GS$500)+IF($C11="",0,SUMIF('DADOS BRUTOS'!$A$3:$A$500,$C11,'DADOS BRUTOS'!GS$3:GS$500)))</f>
        <v/>
      </c>
    </row>
    <row r="12">
      <c r="A12" s="61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BZ12" s="49">
        <f>SUMPRODUCT(($CB$4:$JS$4&lt;&gt;"")*($CB$4:$JS$4&lt;=$D$4),$CB12:$JS12,$CB$1:$JS$1)</f>
        <v/>
      </c>
      <c r="CB12" s="125">
        <f>IF(OR(CB$4="",$B12=""),0,SUMIF('DADOS BRUTOS'!$A$3:$A$500,$B12,'DADOS BRUTOS'!B$3:B$500)+IF($C12="",0,SUMIF('DADOS BRUTOS'!$A$3:$A$500,$C12,'DADOS BRUTOS'!B$3:B$500)))</f>
        <v/>
      </c>
      <c r="CC12" s="125">
        <f>IF(OR(CC$4="",$B12=""),0,SUMIF('DADOS BRUTOS'!$A$3:$A$500,$B12,'DADOS BRUTOS'!C$3:C$500)+IF($C12="",0,SUMIF('DADOS BRUTOS'!$A$3:$A$500,$C12,'DADOS BRUTOS'!C$3:C$500)))</f>
        <v/>
      </c>
      <c r="CD12" s="125">
        <f>IF(OR(CD$4="",$B12=""),0,SUMIF('DADOS BRUTOS'!$A$3:$A$500,$B12,'DADOS BRUTOS'!D$3:D$500)+IF($C12="",0,SUMIF('DADOS BRUTOS'!$A$3:$A$500,$C12,'DADOS BRUTOS'!D$3:D$500)))</f>
        <v/>
      </c>
      <c r="CE12" s="125">
        <f>IF(OR(CE$4="",$B12=""),0,SUMIF('DADOS BRUTOS'!$A$3:$A$500,$B12,'DADOS BRUTOS'!E$3:E$500)+IF($C12="",0,SUMIF('DADOS BRUTOS'!$A$3:$A$500,$C12,'DADOS BRUTOS'!E$3:E$500)))</f>
        <v/>
      </c>
      <c r="CF12" s="125">
        <f>IF(OR(CF$4="",$B12=""),0,SUMIF('DADOS BRUTOS'!$A$3:$A$500,$B12,'DADOS BRUTOS'!F$3:F$500)+IF($C12="",0,SUMIF('DADOS BRUTOS'!$A$3:$A$500,$C12,'DADOS BRUTOS'!F$3:F$500)))</f>
        <v/>
      </c>
      <c r="CG12" s="125">
        <f>IF(OR(CG$4="",$B12=""),0,SUMIF('DADOS BRUTOS'!$A$3:$A$500,$B12,'DADOS BRUTOS'!G$3:G$500)+IF($C12="",0,SUMIF('DADOS BRUTOS'!$A$3:$A$500,$C12,'DADOS BRUTOS'!G$3:G$500)))</f>
        <v/>
      </c>
      <c r="CH12" s="125">
        <f>IF(OR(CH$4="",$B12=""),0,SUMIF('DADOS BRUTOS'!$A$3:$A$500,$B12,'DADOS BRUTOS'!H$3:H$500)+IF($C12="",0,SUMIF('DADOS BRUTOS'!$A$3:$A$500,$C12,'DADOS BRUTOS'!H$3:H$500)))</f>
        <v/>
      </c>
      <c r="CI12" s="125">
        <f>IF(OR(CI$4="",$B12=""),0,SUMIF('DADOS BRUTOS'!$A$3:$A$500,$B12,'DADOS BRUTOS'!I$3:I$500)+IF($C12="",0,SUMIF('DADOS BRUTOS'!$A$3:$A$500,$C12,'DADOS BRUTOS'!I$3:I$500)))</f>
        <v/>
      </c>
      <c r="CJ12" s="125">
        <f>IF(OR(CJ$4="",$B12=""),0,SUMIF('DADOS BRUTOS'!$A$3:$A$500,$B12,'DADOS BRUTOS'!J$3:J$500)+IF($C12="",0,SUMIF('DADOS BRUTOS'!$A$3:$A$500,$C12,'DADOS BRUTOS'!J$3:J$500)))</f>
        <v/>
      </c>
      <c r="CK12" s="125">
        <f>IF(OR(CK$4="",$B12=""),0,SUMIF('DADOS BRUTOS'!$A$3:$A$500,$B12,'DADOS BRUTOS'!K$3:K$500)+IF($C12="",0,SUMIF('DADOS BRUTOS'!$A$3:$A$500,$C12,'DADOS BRUTOS'!K$3:K$500)))</f>
        <v/>
      </c>
      <c r="CL12" s="125">
        <f>IF(OR(CL$4="",$B12=""),0,SUMIF('DADOS BRUTOS'!$A$3:$A$500,$B12,'DADOS BRUTOS'!L$3:L$500)+IF($C12="",0,SUMIF('DADOS BRUTOS'!$A$3:$A$500,$C12,'DADOS BRUTOS'!L$3:L$500)))</f>
        <v/>
      </c>
      <c r="CM12" s="125">
        <f>IF(OR(CM$4="",$B12=""),0,SUMIF('DADOS BRUTOS'!$A$3:$A$500,$B12,'DADOS BRUTOS'!M$3:M$500)+IF($C12="",0,SUMIF('DADOS BRUTOS'!$A$3:$A$500,$C12,'DADOS BRUTOS'!M$3:M$500)))</f>
        <v/>
      </c>
      <c r="CN12" s="125">
        <f>IF(OR(CN$4="",$B12=""),0,SUMIF('DADOS BRUTOS'!$A$3:$A$500,$B12,'DADOS BRUTOS'!N$3:N$500)+IF($C12="",0,SUMIF('DADOS BRUTOS'!$A$3:$A$500,$C12,'DADOS BRUTOS'!N$3:N$500)))</f>
        <v/>
      </c>
      <c r="CO12" s="125">
        <f>IF(OR(CO$4="",$B12=""),0,SUMIF('DADOS BRUTOS'!$A$3:$A$500,$B12,'DADOS BRUTOS'!O$3:O$500)+IF($C12="",0,SUMIF('DADOS BRUTOS'!$A$3:$A$500,$C12,'DADOS BRUTOS'!O$3:O$500)))</f>
        <v/>
      </c>
      <c r="CP12" s="125">
        <f>IF(OR(CP$4="",$B12=""),0,SUMIF('DADOS BRUTOS'!$A$3:$A$500,$B12,'DADOS BRUTOS'!P$3:P$500)+IF($C12="",0,SUMIF('DADOS BRUTOS'!$A$3:$A$500,$C12,'DADOS BRUTOS'!P$3:P$500)))</f>
        <v/>
      </c>
      <c r="CQ12" s="125">
        <f>IF(OR(CQ$4="",$B12=""),0,SUMIF('DADOS BRUTOS'!$A$3:$A$500,$B12,'DADOS BRUTOS'!Q$3:Q$500)+IF($C12="",0,SUMIF('DADOS BRUTOS'!$A$3:$A$500,$C12,'DADOS BRUTOS'!Q$3:Q$500)))</f>
        <v/>
      </c>
      <c r="CR12" s="125">
        <f>IF(OR(CR$4="",$B12=""),0,SUMIF('DADOS BRUTOS'!$A$3:$A$500,$B12,'DADOS BRUTOS'!R$3:R$500)+IF($C12="",0,SUMIF('DADOS BRUTOS'!$A$3:$A$500,$C12,'DADOS BRUTOS'!R$3:R$500)))</f>
        <v/>
      </c>
      <c r="CS12" s="125">
        <f>IF(OR(CS$4="",$B12=""),0,SUMIF('DADOS BRUTOS'!$A$3:$A$500,$B12,'DADOS BRUTOS'!S$3:S$500)+IF($C12="",0,SUMIF('DADOS BRUTOS'!$A$3:$A$500,$C12,'DADOS BRUTOS'!S$3:S$500)))</f>
        <v/>
      </c>
      <c r="CT12" s="125">
        <f>IF(OR(CT$4="",$B12=""),0,SUMIF('DADOS BRUTOS'!$A$3:$A$500,$B12,'DADOS BRUTOS'!T$3:T$500)+IF($C12="",0,SUMIF('DADOS BRUTOS'!$A$3:$A$500,$C12,'DADOS BRUTOS'!T$3:T$500)))</f>
        <v/>
      </c>
      <c r="CU12" s="125">
        <f>IF(OR(CU$4="",$B12=""),0,SUMIF('DADOS BRUTOS'!$A$3:$A$500,$B12,'DADOS BRUTOS'!U$3:U$500)+IF($C12="",0,SUMIF('DADOS BRUTOS'!$A$3:$A$500,$C12,'DADOS BRUTOS'!U$3:U$500)))</f>
        <v/>
      </c>
      <c r="CV12" s="125">
        <f>IF(OR(CV$4="",$B12=""),0,SUMIF('DADOS BRUTOS'!$A$3:$A$500,$B12,'DADOS BRUTOS'!V$3:V$500)+IF($C12="",0,SUMIF('DADOS BRUTOS'!$A$3:$A$500,$C12,'DADOS BRUTOS'!V$3:V$500)))</f>
        <v/>
      </c>
      <c r="CW12" s="125">
        <f>IF(OR(CW$4="",$B12=""),0,SUMIF('DADOS BRUTOS'!$A$3:$A$500,$B12,'DADOS BRUTOS'!W$3:W$500)+IF($C12="",0,SUMIF('DADOS BRUTOS'!$A$3:$A$500,$C12,'DADOS BRUTOS'!W$3:W$500)))</f>
        <v/>
      </c>
      <c r="CX12" s="125">
        <f>IF(OR(CX$4="",$B12=""),0,SUMIF('DADOS BRUTOS'!$A$3:$A$500,$B12,'DADOS BRUTOS'!X$3:X$500)+IF($C12="",0,SUMIF('DADOS BRUTOS'!$A$3:$A$500,$C12,'DADOS BRUTOS'!X$3:X$500)))</f>
        <v/>
      </c>
      <c r="CY12" s="125">
        <f>IF(OR(CY$4="",$B12=""),0,SUMIF('DADOS BRUTOS'!$A$3:$A$500,$B12,'DADOS BRUTOS'!Y$3:Y$500)+IF($C12="",0,SUMIF('DADOS BRUTOS'!$A$3:$A$500,$C12,'DADOS BRUTOS'!Y$3:Y$500)))</f>
        <v/>
      </c>
      <c r="CZ12" s="125">
        <f>IF(OR(CZ$4="",$B12=""),0,SUMIF('DADOS BRUTOS'!$A$3:$A$500,$B12,'DADOS BRUTOS'!Z$3:Z$500)+IF($C12="",0,SUMIF('DADOS BRUTOS'!$A$3:$A$500,$C12,'DADOS BRUTOS'!Z$3:Z$500)))</f>
        <v/>
      </c>
      <c r="DA12" s="125">
        <f>IF(OR(DA$4="",$B12=""),0,SUMIF('DADOS BRUTOS'!$A$3:$A$500,$B12,'DADOS BRUTOS'!AA$3:AA$500)+IF($C12="",0,SUMIF('DADOS BRUTOS'!$A$3:$A$500,$C12,'DADOS BRUTOS'!AA$3:AA$500)))</f>
        <v/>
      </c>
      <c r="DB12" s="125">
        <f>IF(OR(DB$4="",$B12=""),0,SUMIF('DADOS BRUTOS'!$A$3:$A$500,$B12,'DADOS BRUTOS'!AB$3:AB$500)+IF($C12="",0,SUMIF('DADOS BRUTOS'!$A$3:$A$500,$C12,'DADOS BRUTOS'!AB$3:AB$500)))</f>
        <v/>
      </c>
      <c r="DC12" s="125">
        <f>IF(OR(DC$4="",$B12=""),0,SUMIF('DADOS BRUTOS'!$A$3:$A$500,$B12,'DADOS BRUTOS'!AC$3:AC$500)+IF($C12="",0,SUMIF('DADOS BRUTOS'!$A$3:$A$500,$C12,'DADOS BRUTOS'!AC$3:AC$500)))</f>
        <v/>
      </c>
      <c r="DD12" s="125">
        <f>IF(OR(DD$4="",$B12=""),0,SUMIF('DADOS BRUTOS'!$A$3:$A$500,$B12,'DADOS BRUTOS'!AD$3:AD$500)+IF($C12="",0,SUMIF('DADOS BRUTOS'!$A$3:$A$500,$C12,'DADOS BRUTOS'!AD$3:AD$500)))</f>
        <v/>
      </c>
      <c r="DE12" s="125">
        <f>IF(OR(DE$4="",$B12=""),0,SUMIF('DADOS BRUTOS'!$A$3:$A$500,$B12,'DADOS BRUTOS'!AE$3:AE$500)+IF($C12="",0,SUMIF('DADOS BRUTOS'!$A$3:$A$500,$C12,'DADOS BRUTOS'!AE$3:AE$500)))</f>
        <v/>
      </c>
      <c r="DF12" s="125">
        <f>IF(OR(DF$4="",$B12=""),0,SUMIF('DADOS BRUTOS'!$A$3:$A$500,$B12,'DADOS BRUTOS'!AF$3:AF$500)+IF($C12="",0,SUMIF('DADOS BRUTOS'!$A$3:$A$500,$C12,'DADOS BRUTOS'!AF$3:AF$500)))</f>
        <v/>
      </c>
      <c r="DG12" s="125">
        <f>IF(OR(DG$4="",$B12=""),0,SUMIF('DADOS BRUTOS'!$A$3:$A$500,$B12,'DADOS BRUTOS'!AG$3:AG$500)+IF($C12="",0,SUMIF('DADOS BRUTOS'!$A$3:$A$500,$C12,'DADOS BRUTOS'!AG$3:AG$500)))</f>
        <v/>
      </c>
      <c r="DH12" s="125">
        <f>IF(OR(DH$4="",$B12=""),0,SUMIF('DADOS BRUTOS'!$A$3:$A$500,$B12,'DADOS BRUTOS'!AH$3:AH$500)+IF($C12="",0,SUMIF('DADOS BRUTOS'!$A$3:$A$500,$C12,'DADOS BRUTOS'!AH$3:AH$500)))</f>
        <v/>
      </c>
      <c r="DI12" s="125">
        <f>IF(OR(DI$4="",$B12=""),0,SUMIF('DADOS BRUTOS'!$A$3:$A$500,$B12,'DADOS BRUTOS'!AI$3:AI$500)+IF($C12="",0,SUMIF('DADOS BRUTOS'!$A$3:$A$500,$C12,'DADOS BRUTOS'!AI$3:AI$500)))</f>
        <v/>
      </c>
      <c r="DJ12" s="125">
        <f>IF(OR(DJ$4="",$B12=""),0,SUMIF('DADOS BRUTOS'!$A$3:$A$500,$B12,'DADOS BRUTOS'!AJ$3:AJ$500)+IF($C12="",0,SUMIF('DADOS BRUTOS'!$A$3:$A$500,$C12,'DADOS BRUTOS'!AJ$3:AJ$500)))</f>
        <v/>
      </c>
      <c r="DK12" s="125">
        <f>IF(OR(DK$4="",$B12=""),0,SUMIF('DADOS BRUTOS'!$A$3:$A$500,$B12,'DADOS BRUTOS'!AK$3:AK$500)+IF($C12="",0,SUMIF('DADOS BRUTOS'!$A$3:$A$500,$C12,'DADOS BRUTOS'!AK$3:AK$500)))</f>
        <v/>
      </c>
      <c r="DL12" s="125">
        <f>IF(OR(DL$4="",$B12=""),0,SUMIF('DADOS BRUTOS'!$A$3:$A$500,$B12,'DADOS BRUTOS'!AL$3:AL$500)+IF($C12="",0,SUMIF('DADOS BRUTOS'!$A$3:$A$500,$C12,'DADOS BRUTOS'!AL$3:AL$500)))</f>
        <v/>
      </c>
      <c r="DM12" s="125">
        <f>IF(OR(DM$4="",$B12=""),0,SUMIF('DADOS BRUTOS'!$A$3:$A$500,$B12,'DADOS BRUTOS'!AM$3:AM$500)+IF($C12="",0,SUMIF('DADOS BRUTOS'!$A$3:$A$500,$C12,'DADOS BRUTOS'!AM$3:AM$500)))</f>
        <v/>
      </c>
      <c r="DN12" s="125">
        <f>IF(OR(DN$4="",$B12=""),0,SUMIF('DADOS BRUTOS'!$A$3:$A$500,$B12,'DADOS BRUTOS'!AN$3:AN$500)+IF($C12="",0,SUMIF('DADOS BRUTOS'!$A$3:$A$500,$C12,'DADOS BRUTOS'!AN$3:AN$500)))</f>
        <v/>
      </c>
      <c r="DO12" s="125">
        <f>IF(OR(DO$4="",$B12=""),0,SUMIF('DADOS BRUTOS'!$A$3:$A$500,$B12,'DADOS BRUTOS'!AO$3:AO$500)+IF($C12="",0,SUMIF('DADOS BRUTOS'!$A$3:$A$500,$C12,'DADOS BRUTOS'!AO$3:AO$500)))</f>
        <v/>
      </c>
      <c r="DP12" s="125">
        <f>IF(OR(DP$4="",$B12=""),0,SUMIF('DADOS BRUTOS'!$A$3:$A$500,$B12,'DADOS BRUTOS'!AP$3:AP$500)+IF($C12="",0,SUMIF('DADOS BRUTOS'!$A$3:$A$500,$C12,'DADOS BRUTOS'!AP$3:AP$500)))</f>
        <v/>
      </c>
      <c r="DQ12" s="125">
        <f>IF(OR(DQ$4="",$B12=""),0,SUMIF('DADOS BRUTOS'!$A$3:$A$500,$B12,'DADOS BRUTOS'!AQ$3:AQ$500)+IF($C12="",0,SUMIF('DADOS BRUTOS'!$A$3:$A$500,$C12,'DADOS BRUTOS'!AQ$3:AQ$500)))</f>
        <v/>
      </c>
      <c r="DR12" s="125">
        <f>IF(OR(DR$4="",$B12=""),0,SUMIF('DADOS BRUTOS'!$A$3:$A$500,$B12,'DADOS BRUTOS'!AR$3:AR$500)+IF($C12="",0,SUMIF('DADOS BRUTOS'!$A$3:$A$500,$C12,'DADOS BRUTOS'!AR$3:AR$500)))</f>
        <v/>
      </c>
      <c r="DS12" s="125">
        <f>IF(OR(DS$4="",$B12=""),0,SUMIF('DADOS BRUTOS'!$A$3:$A$500,$B12,'DADOS BRUTOS'!AS$3:AS$500)+IF($C12="",0,SUMIF('DADOS BRUTOS'!$A$3:$A$500,$C12,'DADOS BRUTOS'!AS$3:AS$500)))</f>
        <v/>
      </c>
      <c r="DT12" s="125">
        <f>IF(OR(DT$4="",$B12=""),0,SUMIF('DADOS BRUTOS'!$A$3:$A$500,$B12,'DADOS BRUTOS'!AT$3:AT$500)+IF($C12="",0,SUMIF('DADOS BRUTOS'!$A$3:$A$500,$C12,'DADOS BRUTOS'!AT$3:AT$500)))</f>
        <v/>
      </c>
      <c r="DU12" s="125">
        <f>IF(OR(DU$4="",$B12=""),0,SUMIF('DADOS BRUTOS'!$A$3:$A$500,$B12,'DADOS BRUTOS'!AU$3:AU$500)+IF($C12="",0,SUMIF('DADOS BRUTOS'!$A$3:$A$500,$C12,'DADOS BRUTOS'!AU$3:AU$500)))</f>
        <v/>
      </c>
      <c r="DV12" s="125">
        <f>IF(OR(DV$4="",$B12=""),0,SUMIF('DADOS BRUTOS'!$A$3:$A$500,$B12,'DADOS BRUTOS'!AV$3:AV$500)+IF($C12="",0,SUMIF('DADOS BRUTOS'!$A$3:$A$500,$C12,'DADOS BRUTOS'!AV$3:AV$500)))</f>
        <v/>
      </c>
      <c r="DW12" s="125">
        <f>IF(OR(DW$4="",$B12=""),0,SUMIF('DADOS BRUTOS'!$A$3:$A$500,$B12,'DADOS BRUTOS'!AW$3:AW$500)+IF($C12="",0,SUMIF('DADOS BRUTOS'!$A$3:$A$500,$C12,'DADOS BRUTOS'!AW$3:AW$500)))</f>
        <v/>
      </c>
      <c r="DX12" s="125">
        <f>IF(OR(DX$4="",$B12=""),0,SUMIF('DADOS BRUTOS'!$A$3:$A$500,$B12,'DADOS BRUTOS'!AX$3:AX$500)+IF($C12="",0,SUMIF('DADOS BRUTOS'!$A$3:$A$500,$C12,'DADOS BRUTOS'!AX$3:AX$500)))</f>
        <v/>
      </c>
      <c r="DY12" s="125">
        <f>IF(OR(DY$4="",$B12=""),0,SUMIF('DADOS BRUTOS'!$A$3:$A$500,$B12,'DADOS BRUTOS'!AY$3:AY$500)+IF($C12="",0,SUMIF('DADOS BRUTOS'!$A$3:$A$500,$C12,'DADOS BRUTOS'!AY$3:AY$500)))</f>
        <v/>
      </c>
      <c r="DZ12" s="125">
        <f>IF(OR(DZ$4="",$B12=""),0,SUMIF('DADOS BRUTOS'!$A$3:$A$500,$B12,'DADOS BRUTOS'!AZ$3:AZ$500)+IF($C12="",0,SUMIF('DADOS BRUTOS'!$A$3:$A$500,$C12,'DADOS BRUTOS'!AZ$3:AZ$500)))</f>
        <v/>
      </c>
      <c r="EA12" s="125">
        <f>IF(OR(EA$4="",$B12=""),0,SUMIF('DADOS BRUTOS'!$A$3:$A$500,$B12,'DADOS BRUTOS'!BA$3:BA$500)+IF($C12="",0,SUMIF('DADOS BRUTOS'!$A$3:$A$500,$C12,'DADOS BRUTOS'!BA$3:BA$500)))</f>
        <v/>
      </c>
      <c r="EB12" s="125">
        <f>IF(OR(EB$4="",$B12=""),0,SUMIF('DADOS BRUTOS'!$A$3:$A$500,$B12,'DADOS BRUTOS'!BB$3:BB$500)+IF($C12="",0,SUMIF('DADOS BRUTOS'!$A$3:$A$500,$C12,'DADOS BRUTOS'!BB$3:BB$500)))</f>
        <v/>
      </c>
      <c r="EC12" s="125">
        <f>IF(OR(EC$4="",$B12=""),0,SUMIF('DADOS BRUTOS'!$A$3:$A$500,$B12,'DADOS BRUTOS'!BC$3:BC$500)+IF($C12="",0,SUMIF('DADOS BRUTOS'!$A$3:$A$500,$C12,'DADOS BRUTOS'!BC$3:BC$500)))</f>
        <v/>
      </c>
      <c r="ED12" s="125">
        <f>IF(OR(ED$4="",$B12=""),0,SUMIF('DADOS BRUTOS'!$A$3:$A$500,$B12,'DADOS BRUTOS'!BD$3:BD$500)+IF($C12="",0,SUMIF('DADOS BRUTOS'!$A$3:$A$500,$C12,'DADOS BRUTOS'!BD$3:BD$500)))</f>
        <v/>
      </c>
      <c r="EE12" s="125">
        <f>IF(OR(EE$4="",$B12=""),0,SUMIF('DADOS BRUTOS'!$A$3:$A$500,$B12,'DADOS BRUTOS'!BE$3:BE$500)+IF($C12="",0,SUMIF('DADOS BRUTOS'!$A$3:$A$500,$C12,'DADOS BRUTOS'!BE$3:BE$500)))</f>
        <v/>
      </c>
      <c r="EF12" s="125">
        <f>IF(OR(EF$4="",$B12=""),0,SUMIF('DADOS BRUTOS'!$A$3:$A$500,$B12,'DADOS BRUTOS'!BF$3:BF$500)+IF($C12="",0,SUMIF('DADOS BRUTOS'!$A$3:$A$500,$C12,'DADOS BRUTOS'!BF$3:BF$500)))</f>
        <v/>
      </c>
      <c r="EG12" s="125">
        <f>IF(OR(EG$4="",$B12=""),0,SUMIF('DADOS BRUTOS'!$A$3:$A$500,$B12,'DADOS BRUTOS'!BG$3:BG$500)+IF($C12="",0,SUMIF('DADOS BRUTOS'!$A$3:$A$500,$C12,'DADOS BRUTOS'!BG$3:BG$500)))</f>
        <v/>
      </c>
      <c r="EH12" s="125">
        <f>IF(OR(EH$4="",$B12=""),0,SUMIF('DADOS BRUTOS'!$A$3:$A$500,$B12,'DADOS BRUTOS'!BH$3:BH$500)+IF($C12="",0,SUMIF('DADOS BRUTOS'!$A$3:$A$500,$C12,'DADOS BRUTOS'!BH$3:BH$500)))</f>
        <v/>
      </c>
      <c r="EI12" s="125">
        <f>IF(OR(EI$4="",$B12=""),0,SUMIF('DADOS BRUTOS'!$A$3:$A$500,$B12,'DADOS BRUTOS'!BI$3:BI$500)+IF($C12="",0,SUMIF('DADOS BRUTOS'!$A$3:$A$500,$C12,'DADOS BRUTOS'!BI$3:BI$500)))</f>
        <v/>
      </c>
      <c r="EJ12" s="125">
        <f>IF(OR(EJ$4="",$B12=""),0,SUMIF('DADOS BRUTOS'!$A$3:$A$500,$B12,'DADOS BRUTOS'!BJ$3:BJ$500)+IF($C12="",0,SUMIF('DADOS BRUTOS'!$A$3:$A$500,$C12,'DADOS BRUTOS'!BJ$3:BJ$500)))</f>
        <v/>
      </c>
      <c r="EK12" s="125">
        <f>IF(OR(EK$4="",$B12=""),0,SUMIF('DADOS BRUTOS'!$A$3:$A$500,$B12,'DADOS BRUTOS'!BK$3:BK$500)+IF($C12="",0,SUMIF('DADOS BRUTOS'!$A$3:$A$500,$C12,'DADOS BRUTOS'!BK$3:BK$500)))</f>
        <v/>
      </c>
      <c r="EL12" s="125">
        <f>IF(OR(EL$4="",$B12=""),0,SUMIF('DADOS BRUTOS'!$A$3:$A$500,$B12,'DADOS BRUTOS'!BL$3:BL$500)+IF($C12="",0,SUMIF('DADOS BRUTOS'!$A$3:$A$500,$C12,'DADOS BRUTOS'!BL$3:BL$500)))</f>
        <v/>
      </c>
      <c r="EM12" s="125">
        <f>IF(OR(EM$4="",$B12=""),0,SUMIF('DADOS BRUTOS'!$A$3:$A$500,$B12,'DADOS BRUTOS'!BM$3:BM$500)+IF($C12="",0,SUMIF('DADOS BRUTOS'!$A$3:$A$500,$C12,'DADOS BRUTOS'!BM$3:BM$500)))</f>
        <v/>
      </c>
      <c r="EN12" s="125">
        <f>IF(OR(EN$4="",$B12=""),0,SUMIF('DADOS BRUTOS'!$A$3:$A$500,$B12,'DADOS BRUTOS'!BN$3:BN$500)+IF($C12="",0,SUMIF('DADOS BRUTOS'!$A$3:$A$500,$C12,'DADOS BRUTOS'!BN$3:BN$500)))</f>
        <v/>
      </c>
      <c r="EO12" s="125">
        <f>IF(OR(EO$4="",$B12=""),0,SUMIF('DADOS BRUTOS'!$A$3:$A$500,$B12,'DADOS BRUTOS'!BO$3:BO$500)+IF($C12="",0,SUMIF('DADOS BRUTOS'!$A$3:$A$500,$C12,'DADOS BRUTOS'!BO$3:BO$500)))</f>
        <v/>
      </c>
      <c r="EP12" s="125">
        <f>IF(OR(EP$4="",$B12=""),0,SUMIF('DADOS BRUTOS'!$A$3:$A$500,$B12,'DADOS BRUTOS'!BP$3:BP$500)+IF($C12="",0,SUMIF('DADOS BRUTOS'!$A$3:$A$500,$C12,'DADOS BRUTOS'!BP$3:BP$500)))</f>
        <v/>
      </c>
      <c r="EQ12" s="125">
        <f>IF(OR(EQ$4="",$B12=""),0,SUMIF('DADOS BRUTOS'!$A$3:$A$500,$B12,'DADOS BRUTOS'!BQ$3:BQ$500)+IF($C12="",0,SUMIF('DADOS BRUTOS'!$A$3:$A$500,$C12,'DADOS BRUTOS'!BQ$3:BQ$500)))</f>
        <v/>
      </c>
      <c r="ER12" s="125">
        <f>IF(OR(ER$4="",$B12=""),0,SUMIF('DADOS BRUTOS'!$A$3:$A$500,$B12,'DADOS BRUTOS'!BR$3:BR$500)+IF($C12="",0,SUMIF('DADOS BRUTOS'!$A$3:$A$500,$C12,'DADOS BRUTOS'!BR$3:BR$500)))</f>
        <v/>
      </c>
      <c r="ES12" s="125">
        <f>IF(OR(ES$4="",$B12=""),0,SUMIF('DADOS BRUTOS'!$A$3:$A$500,$B12,'DADOS BRUTOS'!BS$3:BS$500)+IF($C12="",0,SUMIF('DADOS BRUTOS'!$A$3:$A$500,$C12,'DADOS BRUTOS'!BS$3:BS$500)))</f>
        <v/>
      </c>
      <c r="ET12" s="125">
        <f>IF(OR(ET$4="",$B12=""),0,SUMIF('DADOS BRUTOS'!$A$3:$A$500,$B12,'DADOS BRUTOS'!BT$3:BT$500)+IF($C12="",0,SUMIF('DADOS BRUTOS'!$A$3:$A$500,$C12,'DADOS BRUTOS'!BT$3:BT$500)))</f>
        <v/>
      </c>
      <c r="EU12" s="125">
        <f>IF(OR(EU$4="",$B12=""),0,SUMIF('DADOS BRUTOS'!$A$3:$A$500,$B12,'DADOS BRUTOS'!BU$3:BU$500)+IF($C12="",0,SUMIF('DADOS BRUTOS'!$A$3:$A$500,$C12,'DADOS BRUTOS'!BU$3:BU$500)))</f>
        <v/>
      </c>
      <c r="EV12" s="125">
        <f>IF(OR(EV$4="",$B12=""),0,SUMIF('DADOS BRUTOS'!$A$3:$A$500,$B12,'DADOS BRUTOS'!BV$3:BV$500)+IF($C12="",0,SUMIF('DADOS BRUTOS'!$A$3:$A$500,$C12,'DADOS BRUTOS'!BV$3:BV$500)))</f>
        <v/>
      </c>
      <c r="EW12" s="125">
        <f>IF(OR(EW$4="",$B12=""),0,SUMIF('DADOS BRUTOS'!$A$3:$A$500,$B12,'DADOS BRUTOS'!BW$3:BW$500)+IF($C12="",0,SUMIF('DADOS BRUTOS'!$A$3:$A$500,$C12,'DADOS BRUTOS'!BW$3:BW$500)))</f>
        <v/>
      </c>
      <c r="EX12" s="125">
        <f>IF(OR(EX$4="",$B12=""),0,SUMIF('DADOS BRUTOS'!$A$3:$A$500,$B12,'DADOS BRUTOS'!BX$3:BX$500)+IF($C12="",0,SUMIF('DADOS BRUTOS'!$A$3:$A$500,$C12,'DADOS BRUTOS'!BX$3:BX$500)))</f>
        <v/>
      </c>
      <c r="EY12" s="125">
        <f>IF(OR(EY$4="",$B12=""),0,SUMIF('DADOS BRUTOS'!$A$3:$A$500,$B12,'DADOS BRUTOS'!BY$3:BY$500)+IF($C12="",0,SUMIF('DADOS BRUTOS'!$A$3:$A$500,$C12,'DADOS BRUTOS'!BY$3:BY$500)))</f>
        <v/>
      </c>
      <c r="EZ12" s="125">
        <f>IF(OR(EZ$4="",$B12=""),0,SUMIF('DADOS BRUTOS'!$A$3:$A$500,$B12,'DADOS BRUTOS'!BZ$3:BZ$500)+IF($C12="",0,SUMIF('DADOS BRUTOS'!$A$3:$A$500,$C12,'DADOS BRUTOS'!BZ$3:BZ$500)))</f>
        <v/>
      </c>
      <c r="FA12" s="125">
        <f>IF(OR(FA$4="",$B12=""),0,SUMIF('DADOS BRUTOS'!$A$3:$A$500,$B12,'DADOS BRUTOS'!CA$3:CA$500)+IF($C12="",0,SUMIF('DADOS BRUTOS'!$A$3:$A$500,$C12,'DADOS BRUTOS'!CA$3:CA$500)))</f>
        <v/>
      </c>
      <c r="FB12" s="125">
        <f>IF(OR(FB$4="",$B12=""),0,SUMIF('DADOS BRUTOS'!$A$3:$A$500,$B12,'DADOS BRUTOS'!CB$3:CB$500)+IF($C12="",0,SUMIF('DADOS BRUTOS'!$A$3:$A$500,$C12,'DADOS BRUTOS'!CB$3:CB$500)))</f>
        <v/>
      </c>
      <c r="FC12" s="125">
        <f>IF(OR(FC$4="",$B12=""),0,SUMIF('DADOS BRUTOS'!$A$3:$A$500,$B12,'DADOS BRUTOS'!CC$3:CC$500)+IF($C12="",0,SUMIF('DADOS BRUTOS'!$A$3:$A$500,$C12,'DADOS BRUTOS'!CC$3:CC$500)))</f>
        <v/>
      </c>
      <c r="FD12" s="125">
        <f>IF(OR(FD$4="",$B12=""),0,SUMIF('DADOS BRUTOS'!$A$3:$A$500,$B12,'DADOS BRUTOS'!CD$3:CD$500)+IF($C12="",0,SUMIF('DADOS BRUTOS'!$A$3:$A$500,$C12,'DADOS BRUTOS'!CD$3:CD$500)))</f>
        <v/>
      </c>
      <c r="FE12" s="125">
        <f>IF(OR(FE$4="",$B12=""),0,SUMIF('DADOS BRUTOS'!$A$3:$A$500,$B12,'DADOS BRUTOS'!CE$3:CE$500)+IF($C12="",0,SUMIF('DADOS BRUTOS'!$A$3:$A$500,$C12,'DADOS BRUTOS'!CE$3:CE$500)))</f>
        <v/>
      </c>
      <c r="FF12" s="125">
        <f>IF(OR(FF$4="",$B12=""),0,SUMIF('DADOS BRUTOS'!$A$3:$A$500,$B12,'DADOS BRUTOS'!CF$3:CF$500)+IF($C12="",0,SUMIF('DADOS BRUTOS'!$A$3:$A$500,$C12,'DADOS BRUTOS'!CF$3:CF$500)))</f>
        <v/>
      </c>
      <c r="FG12" s="125">
        <f>IF(OR(FG$4="",$B12=""),0,SUMIF('DADOS BRUTOS'!$A$3:$A$500,$B12,'DADOS BRUTOS'!CG$3:CG$500)+IF($C12="",0,SUMIF('DADOS BRUTOS'!$A$3:$A$500,$C12,'DADOS BRUTOS'!CG$3:CG$500)))</f>
        <v/>
      </c>
      <c r="FH12" s="125">
        <f>IF(OR(FH$4="",$B12=""),0,SUMIF('DADOS BRUTOS'!$A$3:$A$500,$B12,'DADOS BRUTOS'!CH$3:CH$500)+IF($C12="",0,SUMIF('DADOS BRUTOS'!$A$3:$A$500,$C12,'DADOS BRUTOS'!CH$3:CH$500)))</f>
        <v/>
      </c>
      <c r="FI12" s="125">
        <f>IF(OR(FI$4="",$B12=""),0,SUMIF('DADOS BRUTOS'!$A$3:$A$500,$B12,'DADOS BRUTOS'!CI$3:CI$500)+IF($C12="",0,SUMIF('DADOS BRUTOS'!$A$3:$A$500,$C12,'DADOS BRUTOS'!CI$3:CI$500)))</f>
        <v/>
      </c>
      <c r="FJ12" s="125">
        <f>IF(OR(FJ$4="",$B12=""),0,SUMIF('DADOS BRUTOS'!$A$3:$A$500,$B12,'DADOS BRUTOS'!CJ$3:CJ$500)+IF($C12="",0,SUMIF('DADOS BRUTOS'!$A$3:$A$500,$C12,'DADOS BRUTOS'!CJ$3:CJ$500)))</f>
        <v/>
      </c>
      <c r="FK12" s="125">
        <f>IF(OR(FK$4="",$B12=""),0,SUMIF('DADOS BRUTOS'!$A$3:$A$500,$B12,'DADOS BRUTOS'!CK$3:CK$500)+IF($C12="",0,SUMIF('DADOS BRUTOS'!$A$3:$A$500,$C12,'DADOS BRUTOS'!CK$3:CK$500)))</f>
        <v/>
      </c>
      <c r="FL12" s="125">
        <f>IF(OR(FL$4="",$B12=""),0,SUMIF('DADOS BRUTOS'!$A$3:$A$500,$B12,'DADOS BRUTOS'!CL$3:CL$500)+IF($C12="",0,SUMIF('DADOS BRUTOS'!$A$3:$A$500,$C12,'DADOS BRUTOS'!CL$3:CL$500)))</f>
        <v/>
      </c>
      <c r="FM12" s="125">
        <f>IF(OR(FM$4="",$B12=""),0,SUMIF('DADOS BRUTOS'!$A$3:$A$500,$B12,'DADOS BRUTOS'!CM$3:CM$500)+IF($C12="",0,SUMIF('DADOS BRUTOS'!$A$3:$A$500,$C12,'DADOS BRUTOS'!CM$3:CM$500)))</f>
        <v/>
      </c>
      <c r="FN12" s="125">
        <f>IF(OR(FN$4="",$B12=""),0,SUMIF('DADOS BRUTOS'!$A$3:$A$500,$B12,'DADOS BRUTOS'!CN$3:CN$500)+IF($C12="",0,SUMIF('DADOS BRUTOS'!$A$3:$A$500,$C12,'DADOS BRUTOS'!CN$3:CN$500)))</f>
        <v/>
      </c>
      <c r="FO12" s="125">
        <f>IF(OR(FO$4="",$B12=""),0,SUMIF('DADOS BRUTOS'!$A$3:$A$500,$B12,'DADOS BRUTOS'!CO$3:CO$500)+IF($C12="",0,SUMIF('DADOS BRUTOS'!$A$3:$A$500,$C12,'DADOS BRUTOS'!CO$3:CO$500)))</f>
        <v/>
      </c>
      <c r="FP12" s="125">
        <f>IF(OR(FP$4="",$B12=""),0,SUMIF('DADOS BRUTOS'!$A$3:$A$500,$B12,'DADOS BRUTOS'!CP$3:CP$500)+IF($C12="",0,SUMIF('DADOS BRUTOS'!$A$3:$A$500,$C12,'DADOS BRUTOS'!CP$3:CP$500)))</f>
        <v/>
      </c>
      <c r="FQ12" s="125">
        <f>IF(OR(FQ$4="",$B12=""),0,SUMIF('DADOS BRUTOS'!$A$3:$A$500,$B12,'DADOS BRUTOS'!CQ$3:CQ$500)+IF($C12="",0,SUMIF('DADOS BRUTOS'!$A$3:$A$500,$C12,'DADOS BRUTOS'!CQ$3:CQ$500)))</f>
        <v/>
      </c>
      <c r="FR12" s="125">
        <f>IF(OR(FR$4="",$B12=""),0,SUMIF('DADOS BRUTOS'!$A$3:$A$500,$B12,'DADOS BRUTOS'!CR$3:CR$500)+IF($C12="",0,SUMIF('DADOS BRUTOS'!$A$3:$A$500,$C12,'DADOS BRUTOS'!CR$3:CR$500)))</f>
        <v/>
      </c>
      <c r="FS12" s="125">
        <f>IF(OR(FS$4="",$B12=""),0,SUMIF('DADOS BRUTOS'!$A$3:$A$500,$B12,'DADOS BRUTOS'!CS$3:CS$500)+IF($C12="",0,SUMIF('DADOS BRUTOS'!$A$3:$A$500,$C12,'DADOS BRUTOS'!CS$3:CS$500)))</f>
        <v/>
      </c>
      <c r="FT12" s="125">
        <f>IF(OR(FT$4="",$B12=""),0,SUMIF('DADOS BRUTOS'!$A$3:$A$500,$B12,'DADOS BRUTOS'!CT$3:CT$500)+IF($C12="",0,SUMIF('DADOS BRUTOS'!$A$3:$A$500,$C12,'DADOS BRUTOS'!CT$3:CT$500)))</f>
        <v/>
      </c>
      <c r="FU12" s="125">
        <f>IF(OR(FU$4="",$B12=""),0,SUMIF('DADOS BRUTOS'!$A$3:$A$500,$B12,'DADOS BRUTOS'!CU$3:CU$500)+IF($C12="",0,SUMIF('DADOS BRUTOS'!$A$3:$A$500,$C12,'DADOS BRUTOS'!CU$3:CU$500)))</f>
        <v/>
      </c>
      <c r="FV12" s="125">
        <f>IF(OR(FV$4="",$B12=""),0,SUMIF('DADOS BRUTOS'!$A$3:$A$500,$B12,'DADOS BRUTOS'!CV$3:CV$500)+IF($C12="",0,SUMIF('DADOS BRUTOS'!$A$3:$A$500,$C12,'DADOS BRUTOS'!CV$3:CV$500)))</f>
        <v/>
      </c>
      <c r="FW12" s="125">
        <f>IF(OR(FW$4="",$B12=""),0,SUMIF('DADOS BRUTOS'!$A$3:$A$500,$B12,'DADOS BRUTOS'!CW$3:CW$500)+IF($C12="",0,SUMIF('DADOS BRUTOS'!$A$3:$A$500,$C12,'DADOS BRUTOS'!CW$3:CW$500)))</f>
        <v/>
      </c>
      <c r="FX12" s="125">
        <f>IF(OR(FX$4="",$B12=""),0,SUMIF('DADOS BRUTOS'!$A$3:$A$500,$B12,'DADOS BRUTOS'!CX$3:CX$500)+IF($C12="",0,SUMIF('DADOS BRUTOS'!$A$3:$A$500,$C12,'DADOS BRUTOS'!CX$3:CX$500)))</f>
        <v/>
      </c>
      <c r="FY12" s="125">
        <f>IF(OR(FY$4="",$B12=""),0,SUMIF('DADOS BRUTOS'!$A$3:$A$500,$B12,'DADOS BRUTOS'!CY$3:CY$500)+IF($C12="",0,SUMIF('DADOS BRUTOS'!$A$3:$A$500,$C12,'DADOS BRUTOS'!CY$3:CY$500)))</f>
        <v/>
      </c>
      <c r="FZ12" s="125">
        <f>IF(OR(FZ$4="",$B12=""),0,SUMIF('DADOS BRUTOS'!$A$3:$A$500,$B12,'DADOS BRUTOS'!CZ$3:CZ$500)+IF($C12="",0,SUMIF('DADOS BRUTOS'!$A$3:$A$500,$C12,'DADOS BRUTOS'!CZ$3:CZ$500)))</f>
        <v/>
      </c>
      <c r="GA12" s="125">
        <f>IF(OR(GA$4="",$B12=""),0,SUMIF('DADOS BRUTOS'!$A$3:$A$500,$B12,'DADOS BRUTOS'!DA$3:DA$500)+IF($C12="",0,SUMIF('DADOS BRUTOS'!$A$3:$A$500,$C12,'DADOS BRUTOS'!DA$3:DA$500)))</f>
        <v/>
      </c>
      <c r="GB12" s="125">
        <f>IF(OR(GB$4="",$B12=""),0,SUMIF('DADOS BRUTOS'!$A$3:$A$500,$B12,'DADOS BRUTOS'!DB$3:DB$500)+IF($C12="",0,SUMIF('DADOS BRUTOS'!$A$3:$A$500,$C12,'DADOS BRUTOS'!DB$3:DB$500)))</f>
        <v/>
      </c>
      <c r="GC12" s="125">
        <f>IF(OR(GC$4="",$B12=""),0,SUMIF('DADOS BRUTOS'!$A$3:$A$500,$B12,'DADOS BRUTOS'!DC$3:DC$500)+IF($C12="",0,SUMIF('DADOS BRUTOS'!$A$3:$A$500,$C12,'DADOS BRUTOS'!DC$3:DC$500)))</f>
        <v/>
      </c>
      <c r="GD12" s="125">
        <f>IF(OR(GD$4="",$B12=""),0,SUMIF('DADOS BRUTOS'!$A$3:$A$500,$B12,'DADOS BRUTOS'!DD$3:DD$500)+IF($C12="",0,SUMIF('DADOS BRUTOS'!$A$3:$A$500,$C12,'DADOS BRUTOS'!DD$3:DD$500)))</f>
        <v/>
      </c>
      <c r="GE12" s="125">
        <f>IF(OR(GE$4="",$B12=""),0,SUMIF('DADOS BRUTOS'!$A$3:$A$500,$B12,'DADOS BRUTOS'!DE$3:DE$500)+IF($C12="",0,SUMIF('DADOS BRUTOS'!$A$3:$A$500,$C12,'DADOS BRUTOS'!DE$3:DE$500)))</f>
        <v/>
      </c>
      <c r="GF12" s="125">
        <f>IF(OR(GF$4="",$B12=""),0,SUMIF('DADOS BRUTOS'!$A$3:$A$500,$B12,'DADOS BRUTOS'!DF$3:DF$500)+IF($C12="",0,SUMIF('DADOS BRUTOS'!$A$3:$A$500,$C12,'DADOS BRUTOS'!DF$3:DF$500)))</f>
        <v/>
      </c>
      <c r="GG12" s="125">
        <f>IF(OR(GG$4="",$B12=""),0,SUMIF('DADOS BRUTOS'!$A$3:$A$500,$B12,'DADOS BRUTOS'!DG$3:DG$500)+IF($C12="",0,SUMIF('DADOS BRUTOS'!$A$3:$A$500,$C12,'DADOS BRUTOS'!DG$3:DG$500)))</f>
        <v/>
      </c>
      <c r="GH12" s="125">
        <f>IF(OR(GH$4="",$B12=""),0,SUMIF('DADOS BRUTOS'!$A$3:$A$500,$B12,'DADOS BRUTOS'!DH$3:DH$500)+IF($C12="",0,SUMIF('DADOS BRUTOS'!$A$3:$A$500,$C12,'DADOS BRUTOS'!DH$3:DH$500)))</f>
        <v/>
      </c>
      <c r="GI12" s="125">
        <f>IF(OR(GI$4="",$B12=""),0,SUMIF('DADOS BRUTOS'!$A$3:$A$500,$B12,'DADOS BRUTOS'!DI$3:DI$500)+IF($C12="",0,SUMIF('DADOS BRUTOS'!$A$3:$A$500,$C12,'DADOS BRUTOS'!DI$3:DI$500)))</f>
        <v/>
      </c>
      <c r="GJ12" s="125">
        <f>IF(OR(GJ$4="",$B12=""),0,SUMIF('DADOS BRUTOS'!$A$3:$A$500,$B12,'DADOS BRUTOS'!DJ$3:DJ$500)+IF($C12="",0,SUMIF('DADOS BRUTOS'!$A$3:$A$500,$C12,'DADOS BRUTOS'!DJ$3:DJ$500)))</f>
        <v/>
      </c>
      <c r="GK12" s="125">
        <f>IF(OR(GK$4="",$B12=""),0,SUMIF('DADOS BRUTOS'!$A$3:$A$500,$B12,'DADOS BRUTOS'!DK$3:DK$500)+IF($C12="",0,SUMIF('DADOS BRUTOS'!$A$3:$A$500,$C12,'DADOS BRUTOS'!DK$3:DK$500)))</f>
        <v/>
      </c>
      <c r="GL12" s="125">
        <f>IF(OR(GL$4="",$B12=""),0,SUMIF('DADOS BRUTOS'!$A$3:$A$500,$B12,'DADOS BRUTOS'!DL$3:DL$500)+IF($C12="",0,SUMIF('DADOS BRUTOS'!$A$3:$A$500,$C12,'DADOS BRUTOS'!DL$3:DL$500)))</f>
        <v/>
      </c>
      <c r="GM12" s="125">
        <f>IF(OR(GM$4="",$B12=""),0,SUMIF('DADOS BRUTOS'!$A$3:$A$500,$B12,'DADOS BRUTOS'!DM$3:DM$500)+IF($C12="",0,SUMIF('DADOS BRUTOS'!$A$3:$A$500,$C12,'DADOS BRUTOS'!DM$3:DM$500)))</f>
        <v/>
      </c>
      <c r="GN12" s="125">
        <f>IF(OR(GN$4="",$B12=""),0,SUMIF('DADOS BRUTOS'!$A$3:$A$500,$B12,'DADOS BRUTOS'!DN$3:DN$500)+IF($C12="",0,SUMIF('DADOS BRUTOS'!$A$3:$A$500,$C12,'DADOS BRUTOS'!DN$3:DN$500)))</f>
        <v/>
      </c>
      <c r="GO12" s="125">
        <f>IF(OR(GO$4="",$B12=""),0,SUMIF('DADOS BRUTOS'!$A$3:$A$500,$B12,'DADOS BRUTOS'!DO$3:DO$500)+IF($C12="",0,SUMIF('DADOS BRUTOS'!$A$3:$A$500,$C12,'DADOS BRUTOS'!DO$3:DO$500)))</f>
        <v/>
      </c>
      <c r="GP12" s="125">
        <f>IF(OR(GP$4="",$B12=""),0,SUMIF('DADOS BRUTOS'!$A$3:$A$500,$B12,'DADOS BRUTOS'!DP$3:DP$500)+IF($C12="",0,SUMIF('DADOS BRUTOS'!$A$3:$A$500,$C12,'DADOS BRUTOS'!DP$3:DP$500)))</f>
        <v/>
      </c>
      <c r="GQ12" s="125">
        <f>IF(OR(GQ$4="",$B12=""),0,SUMIF('DADOS BRUTOS'!$A$3:$A$500,$B12,'DADOS BRUTOS'!DQ$3:DQ$500)+IF($C12="",0,SUMIF('DADOS BRUTOS'!$A$3:$A$500,$C12,'DADOS BRUTOS'!DQ$3:DQ$500)))</f>
        <v/>
      </c>
      <c r="GR12" s="125">
        <f>IF(OR(GR$4="",$B12=""),0,SUMIF('DADOS BRUTOS'!$A$3:$A$500,$B12,'DADOS BRUTOS'!DR$3:DR$500)+IF($C12="",0,SUMIF('DADOS BRUTOS'!$A$3:$A$500,$C12,'DADOS BRUTOS'!DR$3:DR$500)))</f>
        <v/>
      </c>
      <c r="GS12" s="125">
        <f>IF(OR(GS$4="",$B12=""),0,SUMIF('DADOS BRUTOS'!$A$3:$A$500,$B12,'DADOS BRUTOS'!DS$3:DS$500)+IF($C12="",0,SUMIF('DADOS BRUTOS'!$A$3:$A$500,$C12,'DADOS BRUTOS'!DS$3:DS$500)))</f>
        <v/>
      </c>
      <c r="GT12" s="125">
        <f>IF(OR(GT$4="",$B12=""),0,SUMIF('DADOS BRUTOS'!$A$3:$A$500,$B12,'DADOS BRUTOS'!DT$3:DT$500)+IF($C12="",0,SUMIF('DADOS BRUTOS'!$A$3:$A$500,$C12,'DADOS BRUTOS'!DT$3:DT$500)))</f>
        <v/>
      </c>
      <c r="GU12" s="125">
        <f>IF(OR(GU$4="",$B12=""),0,SUMIF('DADOS BRUTOS'!$A$3:$A$500,$B12,'DADOS BRUTOS'!DU$3:DU$500)+IF($C12="",0,SUMIF('DADOS BRUTOS'!$A$3:$A$500,$C12,'DADOS BRUTOS'!DU$3:DU$500)))</f>
        <v/>
      </c>
      <c r="GV12" s="125">
        <f>IF(OR(GV$4="",$B12=""),0,SUMIF('DADOS BRUTOS'!$A$3:$A$500,$B12,'DADOS BRUTOS'!DV$3:DV$500)+IF($C12="",0,SUMIF('DADOS BRUTOS'!$A$3:$A$500,$C12,'DADOS BRUTOS'!DV$3:DV$500)))</f>
        <v/>
      </c>
      <c r="GW12" s="125">
        <f>IF(OR(GW$4="",$B12=""),0,SUMIF('DADOS BRUTOS'!$A$3:$A$500,$B12,'DADOS BRUTOS'!DW$3:DW$500)+IF($C12="",0,SUMIF('DADOS BRUTOS'!$A$3:$A$500,$C12,'DADOS BRUTOS'!DW$3:DW$500)))</f>
        <v/>
      </c>
      <c r="GX12" s="125">
        <f>IF(OR(GX$4="",$B12=""),0,SUMIF('DADOS BRUTOS'!$A$3:$A$500,$B12,'DADOS BRUTOS'!DX$3:DX$500)+IF($C12="",0,SUMIF('DADOS BRUTOS'!$A$3:$A$500,$C12,'DADOS BRUTOS'!DX$3:DX$500)))</f>
        <v/>
      </c>
      <c r="GY12" s="125">
        <f>IF(OR(GY$4="",$B12=""),0,SUMIF('DADOS BRUTOS'!$A$3:$A$500,$B12,'DADOS BRUTOS'!DY$3:DY$500)+IF($C12="",0,SUMIF('DADOS BRUTOS'!$A$3:$A$500,$C12,'DADOS BRUTOS'!DY$3:DY$500)))</f>
        <v/>
      </c>
      <c r="GZ12" s="125">
        <f>IF(OR(GZ$4="",$B12=""),0,SUMIF('DADOS BRUTOS'!$A$3:$A$500,$B12,'DADOS BRUTOS'!DZ$3:DZ$500)+IF($C12="",0,SUMIF('DADOS BRUTOS'!$A$3:$A$500,$C12,'DADOS BRUTOS'!DZ$3:DZ$500)))</f>
        <v/>
      </c>
      <c r="HA12" s="125">
        <f>IF(OR(HA$4="",$B12=""),0,SUMIF('DADOS BRUTOS'!$A$3:$A$500,$B12,'DADOS BRUTOS'!EA$3:EA$500)+IF($C12="",0,SUMIF('DADOS BRUTOS'!$A$3:$A$500,$C12,'DADOS BRUTOS'!EA$3:EA$500)))</f>
        <v/>
      </c>
      <c r="HB12" s="125">
        <f>IF(OR(HB$4="",$B12=""),0,SUMIF('DADOS BRUTOS'!$A$3:$A$500,$B12,'DADOS BRUTOS'!EB$3:EB$500)+IF($C12="",0,SUMIF('DADOS BRUTOS'!$A$3:$A$500,$C12,'DADOS BRUTOS'!EB$3:EB$500)))</f>
        <v/>
      </c>
      <c r="HC12" s="125">
        <f>IF(OR(HC$4="",$B12=""),0,SUMIF('DADOS BRUTOS'!$A$3:$A$500,$B12,'DADOS BRUTOS'!EC$3:EC$500)+IF($C12="",0,SUMIF('DADOS BRUTOS'!$A$3:$A$500,$C12,'DADOS BRUTOS'!EC$3:EC$500)))</f>
        <v/>
      </c>
      <c r="HD12" s="125">
        <f>IF(OR(HD$4="",$B12=""),0,SUMIF('DADOS BRUTOS'!$A$3:$A$500,$B12,'DADOS BRUTOS'!ED$3:ED$500)+IF($C12="",0,SUMIF('DADOS BRUTOS'!$A$3:$A$500,$C12,'DADOS BRUTOS'!ED$3:ED$500)))</f>
        <v/>
      </c>
      <c r="HE12" s="125">
        <f>IF(OR(HE$4="",$B12=""),0,SUMIF('DADOS BRUTOS'!$A$3:$A$500,$B12,'DADOS BRUTOS'!EE$3:EE$500)+IF($C12="",0,SUMIF('DADOS BRUTOS'!$A$3:$A$500,$C12,'DADOS BRUTOS'!EE$3:EE$500)))</f>
        <v/>
      </c>
      <c r="HF12" s="125">
        <f>IF(OR(HF$4="",$B12=""),0,SUMIF('DADOS BRUTOS'!$A$3:$A$500,$B12,'DADOS BRUTOS'!EF$3:EF$500)+IF($C12="",0,SUMIF('DADOS BRUTOS'!$A$3:$A$500,$C12,'DADOS BRUTOS'!EF$3:EF$500)))</f>
        <v/>
      </c>
      <c r="HG12" s="125">
        <f>IF(OR(HG$4="",$B12=""),0,SUMIF('DADOS BRUTOS'!$A$3:$A$500,$B12,'DADOS BRUTOS'!EG$3:EG$500)+IF($C12="",0,SUMIF('DADOS BRUTOS'!$A$3:$A$500,$C12,'DADOS BRUTOS'!EG$3:EG$500)))</f>
        <v/>
      </c>
      <c r="HH12" s="125">
        <f>IF(OR(HH$4="",$B12=""),0,SUMIF('DADOS BRUTOS'!$A$3:$A$500,$B12,'DADOS BRUTOS'!EH$3:EH$500)+IF($C12="",0,SUMIF('DADOS BRUTOS'!$A$3:$A$500,$C12,'DADOS BRUTOS'!EH$3:EH$500)))</f>
        <v/>
      </c>
      <c r="HI12" s="125">
        <f>IF(OR(HI$4="",$B12=""),0,SUMIF('DADOS BRUTOS'!$A$3:$A$500,$B12,'DADOS BRUTOS'!EI$3:EI$500)+IF($C12="",0,SUMIF('DADOS BRUTOS'!$A$3:$A$500,$C12,'DADOS BRUTOS'!EI$3:EI$500)))</f>
        <v/>
      </c>
      <c r="HJ12" s="125">
        <f>IF(OR(HJ$4="",$B12=""),0,SUMIF('DADOS BRUTOS'!$A$3:$A$500,$B12,'DADOS BRUTOS'!EJ$3:EJ$500)+IF($C12="",0,SUMIF('DADOS BRUTOS'!$A$3:$A$500,$C12,'DADOS BRUTOS'!EJ$3:EJ$500)))</f>
        <v/>
      </c>
      <c r="HK12" s="125">
        <f>IF(OR(HK$4="",$B12=""),0,SUMIF('DADOS BRUTOS'!$A$3:$A$500,$B12,'DADOS BRUTOS'!EK$3:EK$500)+IF($C12="",0,SUMIF('DADOS BRUTOS'!$A$3:$A$500,$C12,'DADOS BRUTOS'!EK$3:EK$500)))</f>
        <v/>
      </c>
      <c r="HL12" s="125">
        <f>IF(OR(HL$4="",$B12=""),0,SUMIF('DADOS BRUTOS'!$A$3:$A$500,$B12,'DADOS BRUTOS'!EL$3:EL$500)+IF($C12="",0,SUMIF('DADOS BRUTOS'!$A$3:$A$500,$C12,'DADOS BRUTOS'!EL$3:EL$500)))</f>
        <v/>
      </c>
      <c r="HM12" s="125">
        <f>IF(OR(HM$4="",$B12=""),0,SUMIF('DADOS BRUTOS'!$A$3:$A$500,$B12,'DADOS BRUTOS'!EM$3:EM$500)+IF($C12="",0,SUMIF('DADOS BRUTOS'!$A$3:$A$500,$C12,'DADOS BRUTOS'!EM$3:EM$500)))</f>
        <v/>
      </c>
      <c r="HN12" s="125">
        <f>IF(OR(HN$4="",$B12=""),0,SUMIF('DADOS BRUTOS'!$A$3:$A$500,$B12,'DADOS BRUTOS'!EN$3:EN$500)+IF($C12="",0,SUMIF('DADOS BRUTOS'!$A$3:$A$500,$C12,'DADOS BRUTOS'!EN$3:EN$500)))</f>
        <v/>
      </c>
      <c r="HO12" s="125">
        <f>IF(OR(HO$4="",$B12=""),0,SUMIF('DADOS BRUTOS'!$A$3:$A$500,$B12,'DADOS BRUTOS'!EO$3:EO$500)+IF($C12="",0,SUMIF('DADOS BRUTOS'!$A$3:$A$500,$C12,'DADOS BRUTOS'!EO$3:EO$500)))</f>
        <v/>
      </c>
      <c r="HP12" s="125">
        <f>IF(OR(HP$4="",$B12=""),0,SUMIF('DADOS BRUTOS'!$A$3:$A$500,$B12,'DADOS BRUTOS'!EP$3:EP$500)+IF($C12="",0,SUMIF('DADOS BRUTOS'!$A$3:$A$500,$C12,'DADOS BRUTOS'!EP$3:EP$500)))</f>
        <v/>
      </c>
      <c r="HQ12" s="125">
        <f>IF(OR(HQ$4="",$B12=""),0,SUMIF('DADOS BRUTOS'!$A$3:$A$500,$B12,'DADOS BRUTOS'!EQ$3:EQ$500)+IF($C12="",0,SUMIF('DADOS BRUTOS'!$A$3:$A$500,$C12,'DADOS BRUTOS'!EQ$3:EQ$500)))</f>
        <v/>
      </c>
      <c r="HR12" s="125">
        <f>IF(OR(HR$4="",$B12=""),0,SUMIF('DADOS BRUTOS'!$A$3:$A$500,$B12,'DADOS BRUTOS'!ER$3:ER$500)+IF($C12="",0,SUMIF('DADOS BRUTOS'!$A$3:$A$500,$C12,'DADOS BRUTOS'!ER$3:ER$500)))</f>
        <v/>
      </c>
      <c r="HS12" s="125">
        <f>IF(OR(HS$4="",$B12=""),0,SUMIF('DADOS BRUTOS'!$A$3:$A$500,$B12,'DADOS BRUTOS'!ES$3:ES$500)+IF($C12="",0,SUMIF('DADOS BRUTOS'!$A$3:$A$500,$C12,'DADOS BRUTOS'!ES$3:ES$500)))</f>
        <v/>
      </c>
      <c r="HT12" s="125">
        <f>IF(OR(HT$4="",$B12=""),0,SUMIF('DADOS BRUTOS'!$A$3:$A$500,$B12,'DADOS BRUTOS'!ET$3:ET$500)+IF($C12="",0,SUMIF('DADOS BRUTOS'!$A$3:$A$500,$C12,'DADOS BRUTOS'!ET$3:ET$500)))</f>
        <v/>
      </c>
      <c r="HU12" s="125">
        <f>IF(OR(HU$4="",$B12=""),0,SUMIF('DADOS BRUTOS'!$A$3:$A$500,$B12,'DADOS BRUTOS'!EU$3:EU$500)+IF($C12="",0,SUMIF('DADOS BRUTOS'!$A$3:$A$500,$C12,'DADOS BRUTOS'!EU$3:EU$500)))</f>
        <v/>
      </c>
      <c r="HV12" s="125">
        <f>IF(OR(HV$4="",$B12=""),0,SUMIF('DADOS BRUTOS'!$A$3:$A$500,$B12,'DADOS BRUTOS'!EV$3:EV$500)+IF($C12="",0,SUMIF('DADOS BRUTOS'!$A$3:$A$500,$C12,'DADOS BRUTOS'!EV$3:EV$500)))</f>
        <v/>
      </c>
      <c r="HW12" s="125">
        <f>IF(OR(HW$4="",$B12=""),0,SUMIF('DADOS BRUTOS'!$A$3:$A$500,$B12,'DADOS BRUTOS'!EW$3:EW$500)+IF($C12="",0,SUMIF('DADOS BRUTOS'!$A$3:$A$500,$C12,'DADOS BRUTOS'!EW$3:EW$500)))</f>
        <v/>
      </c>
      <c r="HX12" s="125">
        <f>IF(OR(HX$4="",$B12=""),0,SUMIF('DADOS BRUTOS'!$A$3:$A$500,$B12,'DADOS BRUTOS'!EX$3:EX$500)+IF($C12="",0,SUMIF('DADOS BRUTOS'!$A$3:$A$500,$C12,'DADOS BRUTOS'!EX$3:EX$500)))</f>
        <v/>
      </c>
      <c r="HY12" s="125">
        <f>IF(OR(HY$4="",$B12=""),0,SUMIF('DADOS BRUTOS'!$A$3:$A$500,$B12,'DADOS BRUTOS'!EY$3:EY$500)+IF($C12="",0,SUMIF('DADOS BRUTOS'!$A$3:$A$500,$C12,'DADOS BRUTOS'!EY$3:EY$500)))</f>
        <v/>
      </c>
      <c r="HZ12" s="125">
        <f>IF(OR(HZ$4="",$B12=""),0,SUMIF('DADOS BRUTOS'!$A$3:$A$500,$B12,'DADOS BRUTOS'!EZ$3:EZ$500)+IF($C12="",0,SUMIF('DADOS BRUTOS'!$A$3:$A$500,$C12,'DADOS BRUTOS'!EZ$3:EZ$500)))</f>
        <v/>
      </c>
      <c r="IA12" s="125">
        <f>IF(OR(IA$4="",$B12=""),0,SUMIF('DADOS BRUTOS'!$A$3:$A$500,$B12,'DADOS BRUTOS'!FA$3:FA$500)+IF($C12="",0,SUMIF('DADOS BRUTOS'!$A$3:$A$500,$C12,'DADOS BRUTOS'!FA$3:FA$500)))</f>
        <v/>
      </c>
      <c r="IB12" s="125">
        <f>IF(OR(IB$4="",$B12=""),0,SUMIF('DADOS BRUTOS'!$A$3:$A$500,$B12,'DADOS BRUTOS'!FB$3:FB$500)+IF($C12="",0,SUMIF('DADOS BRUTOS'!$A$3:$A$500,$C12,'DADOS BRUTOS'!FB$3:FB$500)))</f>
        <v/>
      </c>
      <c r="IC12" s="125">
        <f>IF(OR(IC$4="",$B12=""),0,SUMIF('DADOS BRUTOS'!$A$3:$A$500,$B12,'DADOS BRUTOS'!FC$3:FC$500)+IF($C12="",0,SUMIF('DADOS BRUTOS'!$A$3:$A$500,$C12,'DADOS BRUTOS'!FC$3:FC$500)))</f>
        <v/>
      </c>
      <c r="ID12" s="125">
        <f>IF(OR(ID$4="",$B12=""),0,SUMIF('DADOS BRUTOS'!$A$3:$A$500,$B12,'DADOS BRUTOS'!FD$3:FD$500)+IF($C12="",0,SUMIF('DADOS BRUTOS'!$A$3:$A$500,$C12,'DADOS BRUTOS'!FD$3:FD$500)))</f>
        <v/>
      </c>
      <c r="IE12" s="125">
        <f>IF(OR(IE$4="",$B12=""),0,SUMIF('DADOS BRUTOS'!$A$3:$A$500,$B12,'DADOS BRUTOS'!FE$3:FE$500)+IF($C12="",0,SUMIF('DADOS BRUTOS'!$A$3:$A$500,$C12,'DADOS BRUTOS'!FE$3:FE$500)))</f>
        <v/>
      </c>
      <c r="IF12" s="125">
        <f>IF(OR(IF$4="",$B12=""),0,SUMIF('DADOS BRUTOS'!$A$3:$A$500,$B12,'DADOS BRUTOS'!FF$3:FF$500)+IF($C12="",0,SUMIF('DADOS BRUTOS'!$A$3:$A$500,$C12,'DADOS BRUTOS'!FF$3:FF$500)))</f>
        <v/>
      </c>
      <c r="IG12" s="125">
        <f>IF(OR(IG$4="",$B12=""),0,SUMIF('DADOS BRUTOS'!$A$3:$A$500,$B12,'DADOS BRUTOS'!FG$3:FG$500)+IF($C12="",0,SUMIF('DADOS BRUTOS'!$A$3:$A$500,$C12,'DADOS BRUTOS'!FG$3:FG$500)))</f>
        <v/>
      </c>
      <c r="IH12" s="125">
        <f>IF(OR(IH$4="",$B12=""),0,SUMIF('DADOS BRUTOS'!$A$3:$A$500,$B12,'DADOS BRUTOS'!FH$3:FH$500)+IF($C12="",0,SUMIF('DADOS BRUTOS'!$A$3:$A$500,$C12,'DADOS BRUTOS'!FH$3:FH$500)))</f>
        <v/>
      </c>
      <c r="II12" s="125">
        <f>IF(OR(II$4="",$B12=""),0,SUMIF('DADOS BRUTOS'!$A$3:$A$500,$B12,'DADOS BRUTOS'!FI$3:FI$500)+IF($C12="",0,SUMIF('DADOS BRUTOS'!$A$3:$A$500,$C12,'DADOS BRUTOS'!FI$3:FI$500)))</f>
        <v/>
      </c>
      <c r="IJ12" s="125">
        <f>IF(OR(IJ$4="",$B12=""),0,SUMIF('DADOS BRUTOS'!$A$3:$A$500,$B12,'DADOS BRUTOS'!FJ$3:FJ$500)+IF($C12="",0,SUMIF('DADOS BRUTOS'!$A$3:$A$500,$C12,'DADOS BRUTOS'!FJ$3:FJ$500)))</f>
        <v/>
      </c>
      <c r="IK12" s="125">
        <f>IF(OR(IK$4="",$B12=""),0,SUMIF('DADOS BRUTOS'!$A$3:$A$500,$B12,'DADOS BRUTOS'!FK$3:FK$500)+IF($C12="",0,SUMIF('DADOS BRUTOS'!$A$3:$A$500,$C12,'DADOS BRUTOS'!FK$3:FK$500)))</f>
        <v/>
      </c>
      <c r="IL12" s="125">
        <f>IF(OR(IL$4="",$B12=""),0,SUMIF('DADOS BRUTOS'!$A$3:$A$500,$B12,'DADOS BRUTOS'!FL$3:FL$500)+IF($C12="",0,SUMIF('DADOS BRUTOS'!$A$3:$A$500,$C12,'DADOS BRUTOS'!FL$3:FL$500)))</f>
        <v/>
      </c>
      <c r="IM12" s="125">
        <f>IF(OR(IM$4="",$B12=""),0,SUMIF('DADOS BRUTOS'!$A$3:$A$500,$B12,'DADOS BRUTOS'!FM$3:FM$500)+IF($C12="",0,SUMIF('DADOS BRUTOS'!$A$3:$A$500,$C12,'DADOS BRUTOS'!FM$3:FM$500)))</f>
        <v/>
      </c>
      <c r="IN12" s="125">
        <f>IF(OR(IN$4="",$B12=""),0,SUMIF('DADOS BRUTOS'!$A$3:$A$500,$B12,'DADOS BRUTOS'!FN$3:FN$500)+IF($C12="",0,SUMIF('DADOS BRUTOS'!$A$3:$A$500,$C12,'DADOS BRUTOS'!FN$3:FN$500)))</f>
        <v/>
      </c>
      <c r="IO12" s="125">
        <f>IF(OR(IO$4="",$B12=""),0,SUMIF('DADOS BRUTOS'!$A$3:$A$500,$B12,'DADOS BRUTOS'!FO$3:FO$500)+IF($C12="",0,SUMIF('DADOS BRUTOS'!$A$3:$A$500,$C12,'DADOS BRUTOS'!FO$3:FO$500)))</f>
        <v/>
      </c>
      <c r="IP12" s="125">
        <f>IF(OR(IP$4="",$B12=""),0,SUMIF('DADOS BRUTOS'!$A$3:$A$500,$B12,'DADOS BRUTOS'!FP$3:FP$500)+IF($C12="",0,SUMIF('DADOS BRUTOS'!$A$3:$A$500,$C12,'DADOS BRUTOS'!FP$3:FP$500)))</f>
        <v/>
      </c>
      <c r="IQ12" s="125">
        <f>IF(OR(IQ$4="",$B12=""),0,SUMIF('DADOS BRUTOS'!$A$3:$A$500,$B12,'DADOS BRUTOS'!FQ$3:FQ$500)+IF($C12="",0,SUMIF('DADOS BRUTOS'!$A$3:$A$500,$C12,'DADOS BRUTOS'!FQ$3:FQ$500)))</f>
        <v/>
      </c>
      <c r="IR12" s="125">
        <f>IF(OR(IR$4="",$B12=""),0,SUMIF('DADOS BRUTOS'!$A$3:$A$500,$B12,'DADOS BRUTOS'!FR$3:FR$500)+IF($C12="",0,SUMIF('DADOS BRUTOS'!$A$3:$A$500,$C12,'DADOS BRUTOS'!FR$3:FR$500)))</f>
        <v/>
      </c>
      <c r="IS12" s="125">
        <f>IF(OR(IS$4="",$B12=""),0,SUMIF('DADOS BRUTOS'!$A$3:$A$500,$B12,'DADOS BRUTOS'!FS$3:FS$500)+IF($C12="",0,SUMIF('DADOS BRUTOS'!$A$3:$A$500,$C12,'DADOS BRUTOS'!FS$3:FS$500)))</f>
        <v/>
      </c>
      <c r="IT12" s="125">
        <f>IF(OR(IT$4="",$B12=""),0,SUMIF('DADOS BRUTOS'!$A$3:$A$500,$B12,'DADOS BRUTOS'!FT$3:FT$500)+IF($C12="",0,SUMIF('DADOS BRUTOS'!$A$3:$A$500,$C12,'DADOS BRUTOS'!FT$3:FT$500)))</f>
        <v/>
      </c>
      <c r="IU12" s="125">
        <f>IF(OR(IU$4="",$B12=""),0,SUMIF('DADOS BRUTOS'!$A$3:$A$500,$B12,'DADOS BRUTOS'!FU$3:FU$500)+IF($C12="",0,SUMIF('DADOS BRUTOS'!$A$3:$A$500,$C12,'DADOS BRUTOS'!FU$3:FU$500)))</f>
        <v/>
      </c>
      <c r="IV12" s="125">
        <f>IF(OR(IV$4="",$B12=""),0,SUMIF('DADOS BRUTOS'!$A$3:$A$500,$B12,'DADOS BRUTOS'!FV$3:FV$500)+IF($C12="",0,SUMIF('DADOS BRUTOS'!$A$3:$A$500,$C12,'DADOS BRUTOS'!FV$3:FV$500)))</f>
        <v/>
      </c>
      <c r="IW12" s="125">
        <f>IF(OR(IW$4="",$B12=""),0,SUMIF('DADOS BRUTOS'!$A$3:$A$500,$B12,'DADOS BRUTOS'!FW$3:FW$500)+IF($C12="",0,SUMIF('DADOS BRUTOS'!$A$3:$A$500,$C12,'DADOS BRUTOS'!FW$3:FW$500)))</f>
        <v/>
      </c>
      <c r="IX12" s="125">
        <f>IF(OR(IX$4="",$B12=""),0,SUMIF('DADOS BRUTOS'!$A$3:$A$500,$B12,'DADOS BRUTOS'!FX$3:FX$500)+IF($C12="",0,SUMIF('DADOS BRUTOS'!$A$3:$A$500,$C12,'DADOS BRUTOS'!FX$3:FX$500)))</f>
        <v/>
      </c>
      <c r="IY12" s="125">
        <f>IF(OR(IY$4="",$B12=""),0,SUMIF('DADOS BRUTOS'!$A$3:$A$500,$B12,'DADOS BRUTOS'!FY$3:FY$500)+IF($C12="",0,SUMIF('DADOS BRUTOS'!$A$3:$A$500,$C12,'DADOS BRUTOS'!FY$3:FY$500)))</f>
        <v/>
      </c>
      <c r="IZ12" s="125">
        <f>IF(OR(IZ$4="",$B12=""),0,SUMIF('DADOS BRUTOS'!$A$3:$A$500,$B12,'DADOS BRUTOS'!FZ$3:FZ$500)+IF($C12="",0,SUMIF('DADOS BRUTOS'!$A$3:$A$500,$C12,'DADOS BRUTOS'!FZ$3:FZ$500)))</f>
        <v/>
      </c>
      <c r="JA12" s="125">
        <f>IF(OR(JA$4="",$B12=""),0,SUMIF('DADOS BRUTOS'!$A$3:$A$500,$B12,'DADOS BRUTOS'!GA$3:GA$500)+IF($C12="",0,SUMIF('DADOS BRUTOS'!$A$3:$A$500,$C12,'DADOS BRUTOS'!GA$3:GA$500)))</f>
        <v/>
      </c>
      <c r="JB12" s="125">
        <f>IF(OR(JB$4="",$B12=""),0,SUMIF('DADOS BRUTOS'!$A$3:$A$500,$B12,'DADOS BRUTOS'!GB$3:GB$500)+IF($C12="",0,SUMIF('DADOS BRUTOS'!$A$3:$A$500,$C12,'DADOS BRUTOS'!GB$3:GB$500)))</f>
        <v/>
      </c>
      <c r="JC12" s="125">
        <f>IF(OR(JC$4="",$B12=""),0,SUMIF('DADOS BRUTOS'!$A$3:$A$500,$B12,'DADOS BRUTOS'!GC$3:GC$500)+IF($C12="",0,SUMIF('DADOS BRUTOS'!$A$3:$A$500,$C12,'DADOS BRUTOS'!GC$3:GC$500)))</f>
        <v/>
      </c>
      <c r="JD12" s="125">
        <f>IF(OR(JD$4="",$B12=""),0,SUMIF('DADOS BRUTOS'!$A$3:$A$500,$B12,'DADOS BRUTOS'!GD$3:GD$500)+IF($C12="",0,SUMIF('DADOS BRUTOS'!$A$3:$A$500,$C12,'DADOS BRUTOS'!GD$3:GD$500)))</f>
        <v/>
      </c>
      <c r="JE12" s="125">
        <f>IF(OR(JE$4="",$B12=""),0,SUMIF('DADOS BRUTOS'!$A$3:$A$500,$B12,'DADOS BRUTOS'!GE$3:GE$500)+IF($C12="",0,SUMIF('DADOS BRUTOS'!$A$3:$A$500,$C12,'DADOS BRUTOS'!GE$3:GE$500)))</f>
        <v/>
      </c>
      <c r="JF12" s="125">
        <f>IF(OR(JF$4="",$B12=""),0,SUMIF('DADOS BRUTOS'!$A$3:$A$500,$B12,'DADOS BRUTOS'!GF$3:GF$500)+IF($C12="",0,SUMIF('DADOS BRUTOS'!$A$3:$A$500,$C12,'DADOS BRUTOS'!GF$3:GF$500)))</f>
        <v/>
      </c>
      <c r="JG12" s="125">
        <f>IF(OR(JG$4="",$B12=""),0,SUMIF('DADOS BRUTOS'!$A$3:$A$500,$B12,'DADOS BRUTOS'!GG$3:GG$500)+IF($C12="",0,SUMIF('DADOS BRUTOS'!$A$3:$A$500,$C12,'DADOS BRUTOS'!GG$3:GG$500)))</f>
        <v/>
      </c>
      <c r="JH12" s="125">
        <f>IF(OR(JH$4="",$B12=""),0,SUMIF('DADOS BRUTOS'!$A$3:$A$500,$B12,'DADOS BRUTOS'!GH$3:GH$500)+IF($C12="",0,SUMIF('DADOS BRUTOS'!$A$3:$A$500,$C12,'DADOS BRUTOS'!GH$3:GH$500)))</f>
        <v/>
      </c>
      <c r="JI12" s="125">
        <f>IF(OR(JI$4="",$B12=""),0,SUMIF('DADOS BRUTOS'!$A$3:$A$500,$B12,'DADOS BRUTOS'!GI$3:GI$500)+IF($C12="",0,SUMIF('DADOS BRUTOS'!$A$3:$A$500,$C12,'DADOS BRUTOS'!GI$3:GI$500)))</f>
        <v/>
      </c>
      <c r="JJ12" s="125">
        <f>IF(OR(JJ$4="",$B12=""),0,SUMIF('DADOS BRUTOS'!$A$3:$A$500,$B12,'DADOS BRUTOS'!GJ$3:GJ$500)+IF($C12="",0,SUMIF('DADOS BRUTOS'!$A$3:$A$500,$C12,'DADOS BRUTOS'!GJ$3:GJ$500)))</f>
        <v/>
      </c>
      <c r="JK12" s="125">
        <f>IF(OR(JK$4="",$B12=""),0,SUMIF('DADOS BRUTOS'!$A$3:$A$500,$B12,'DADOS BRUTOS'!GK$3:GK$500)+IF($C12="",0,SUMIF('DADOS BRUTOS'!$A$3:$A$500,$C12,'DADOS BRUTOS'!GK$3:GK$500)))</f>
        <v/>
      </c>
      <c r="JL12" s="125">
        <f>IF(OR(JL$4="",$B12=""),0,SUMIF('DADOS BRUTOS'!$A$3:$A$500,$B12,'DADOS BRUTOS'!GL$3:GL$500)+IF($C12="",0,SUMIF('DADOS BRUTOS'!$A$3:$A$500,$C12,'DADOS BRUTOS'!GL$3:GL$500)))</f>
        <v/>
      </c>
      <c r="JM12" s="125">
        <f>IF(OR(JM$4="",$B12=""),0,SUMIF('DADOS BRUTOS'!$A$3:$A$500,$B12,'DADOS BRUTOS'!GM$3:GM$500)+IF($C12="",0,SUMIF('DADOS BRUTOS'!$A$3:$A$500,$C12,'DADOS BRUTOS'!GM$3:GM$500)))</f>
        <v/>
      </c>
      <c r="JN12" s="125">
        <f>IF(OR(JN$4="",$B12=""),0,SUMIF('DADOS BRUTOS'!$A$3:$A$500,$B12,'DADOS BRUTOS'!GN$3:GN$500)+IF($C12="",0,SUMIF('DADOS BRUTOS'!$A$3:$A$500,$C12,'DADOS BRUTOS'!GN$3:GN$500)))</f>
        <v/>
      </c>
      <c r="JO12" s="125">
        <f>IF(OR(JO$4="",$B12=""),0,SUMIF('DADOS BRUTOS'!$A$3:$A$500,$B12,'DADOS BRUTOS'!GO$3:GO$500)+IF($C12="",0,SUMIF('DADOS BRUTOS'!$A$3:$A$500,$C12,'DADOS BRUTOS'!GO$3:GO$500)))</f>
        <v/>
      </c>
      <c r="JP12" s="125">
        <f>IF(OR(JP$4="",$B12=""),0,SUMIF('DADOS BRUTOS'!$A$3:$A$500,$B12,'DADOS BRUTOS'!GP$3:GP$500)+IF($C12="",0,SUMIF('DADOS BRUTOS'!$A$3:$A$500,$C12,'DADOS BRUTOS'!GP$3:GP$500)))</f>
        <v/>
      </c>
      <c r="JQ12" s="125">
        <f>IF(OR(JQ$4="",$B12=""),0,SUMIF('DADOS BRUTOS'!$A$3:$A$500,$B12,'DADOS BRUTOS'!GQ$3:GQ$500)+IF($C12="",0,SUMIF('DADOS BRUTOS'!$A$3:$A$500,$C12,'DADOS BRUTOS'!GQ$3:GQ$500)))</f>
        <v/>
      </c>
      <c r="JR12" s="125">
        <f>IF(OR(JR$4="",$B12=""),0,SUMIF('DADOS BRUTOS'!$A$3:$A$500,$B12,'DADOS BRUTOS'!GR$3:GR$500)+IF($C12="",0,SUMIF('DADOS BRUTOS'!$A$3:$A$500,$C12,'DADOS BRUTOS'!GR$3:GR$500)))</f>
        <v/>
      </c>
      <c r="JS12" s="125">
        <f>IF(OR(JS$4="",$B12=""),0,SUMIF('DADOS BRUTOS'!$A$3:$A$500,$B12,'DADOS BRUTOS'!GS$3:GS$500)+IF($C12="",0,SUMIF('DADOS BRUTOS'!$A$3:$A$500,$C12,'DADOS BRUTOS'!GS$3:GS$500)))</f>
        <v/>
      </c>
    </row>
    <row r="13">
      <c r="A13" s="61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BZ13" s="49">
        <f>SUMPRODUCT(($CB$4:$JS$4&lt;&gt;"")*($CB$4:$JS$4&lt;=$D$4),$CB13:$JS13,$CB$1:$JS$1)</f>
        <v/>
      </c>
      <c r="CB13" s="125">
        <f>IF(OR(CB$4="",$B13=""),0,SUMIF('DADOS BRUTOS'!$A$3:$A$500,$B13,'DADOS BRUTOS'!B$3:B$500)+IF($C13="",0,SUMIF('DADOS BRUTOS'!$A$3:$A$500,$C13,'DADOS BRUTOS'!B$3:B$500)))</f>
        <v/>
      </c>
      <c r="CC13" s="125">
        <f>IF(OR(CC$4="",$B13=""),0,SUMIF('DADOS BRUTOS'!$A$3:$A$500,$B13,'DADOS BRUTOS'!C$3:C$500)+IF($C13="",0,SUMIF('DADOS BRUTOS'!$A$3:$A$500,$C13,'DADOS BRUTOS'!C$3:C$500)))</f>
        <v/>
      </c>
      <c r="CD13" s="125">
        <f>IF(OR(CD$4="",$B13=""),0,SUMIF('DADOS BRUTOS'!$A$3:$A$500,$B13,'DADOS BRUTOS'!D$3:D$500)+IF($C13="",0,SUMIF('DADOS BRUTOS'!$A$3:$A$500,$C13,'DADOS BRUTOS'!D$3:D$500)))</f>
        <v/>
      </c>
      <c r="CE13" s="125">
        <f>IF(OR(CE$4="",$B13=""),0,SUMIF('DADOS BRUTOS'!$A$3:$A$500,$B13,'DADOS BRUTOS'!E$3:E$500)+IF($C13="",0,SUMIF('DADOS BRUTOS'!$A$3:$A$500,$C13,'DADOS BRUTOS'!E$3:E$500)))</f>
        <v/>
      </c>
      <c r="CF13" s="125">
        <f>IF(OR(CF$4="",$B13=""),0,SUMIF('DADOS BRUTOS'!$A$3:$A$500,$B13,'DADOS BRUTOS'!F$3:F$500)+IF($C13="",0,SUMIF('DADOS BRUTOS'!$A$3:$A$500,$C13,'DADOS BRUTOS'!F$3:F$500)))</f>
        <v/>
      </c>
      <c r="CG13" s="125">
        <f>IF(OR(CG$4="",$B13=""),0,SUMIF('DADOS BRUTOS'!$A$3:$A$500,$B13,'DADOS BRUTOS'!G$3:G$500)+IF($C13="",0,SUMIF('DADOS BRUTOS'!$A$3:$A$500,$C13,'DADOS BRUTOS'!G$3:G$500)))</f>
        <v/>
      </c>
      <c r="CH13" s="125">
        <f>IF(OR(CH$4="",$B13=""),0,SUMIF('DADOS BRUTOS'!$A$3:$A$500,$B13,'DADOS BRUTOS'!H$3:H$500)+IF($C13="",0,SUMIF('DADOS BRUTOS'!$A$3:$A$500,$C13,'DADOS BRUTOS'!H$3:H$500)))</f>
        <v/>
      </c>
      <c r="CI13" s="125">
        <f>IF(OR(CI$4="",$B13=""),0,SUMIF('DADOS BRUTOS'!$A$3:$A$500,$B13,'DADOS BRUTOS'!I$3:I$500)+IF($C13="",0,SUMIF('DADOS BRUTOS'!$A$3:$A$500,$C13,'DADOS BRUTOS'!I$3:I$500)))</f>
        <v/>
      </c>
      <c r="CJ13" s="125">
        <f>IF(OR(CJ$4="",$B13=""),0,SUMIF('DADOS BRUTOS'!$A$3:$A$500,$B13,'DADOS BRUTOS'!J$3:J$500)+IF($C13="",0,SUMIF('DADOS BRUTOS'!$A$3:$A$500,$C13,'DADOS BRUTOS'!J$3:J$500)))</f>
        <v/>
      </c>
      <c r="CK13" s="125">
        <f>IF(OR(CK$4="",$B13=""),0,SUMIF('DADOS BRUTOS'!$A$3:$A$500,$B13,'DADOS BRUTOS'!K$3:K$500)+IF($C13="",0,SUMIF('DADOS BRUTOS'!$A$3:$A$500,$C13,'DADOS BRUTOS'!K$3:K$500)))</f>
        <v/>
      </c>
      <c r="CL13" s="125">
        <f>IF(OR(CL$4="",$B13=""),0,SUMIF('DADOS BRUTOS'!$A$3:$A$500,$B13,'DADOS BRUTOS'!L$3:L$500)+IF($C13="",0,SUMIF('DADOS BRUTOS'!$A$3:$A$500,$C13,'DADOS BRUTOS'!L$3:L$500)))</f>
        <v/>
      </c>
      <c r="CM13" s="125">
        <f>IF(OR(CM$4="",$B13=""),0,SUMIF('DADOS BRUTOS'!$A$3:$A$500,$B13,'DADOS BRUTOS'!M$3:M$500)+IF($C13="",0,SUMIF('DADOS BRUTOS'!$A$3:$A$500,$C13,'DADOS BRUTOS'!M$3:M$500)))</f>
        <v/>
      </c>
      <c r="CN13" s="125">
        <f>IF(OR(CN$4="",$B13=""),0,SUMIF('DADOS BRUTOS'!$A$3:$A$500,$B13,'DADOS BRUTOS'!N$3:N$500)+IF($C13="",0,SUMIF('DADOS BRUTOS'!$A$3:$A$500,$C13,'DADOS BRUTOS'!N$3:N$500)))</f>
        <v/>
      </c>
      <c r="CO13" s="125">
        <f>IF(OR(CO$4="",$B13=""),0,SUMIF('DADOS BRUTOS'!$A$3:$A$500,$B13,'DADOS BRUTOS'!O$3:O$500)+IF($C13="",0,SUMIF('DADOS BRUTOS'!$A$3:$A$500,$C13,'DADOS BRUTOS'!O$3:O$500)))</f>
        <v/>
      </c>
      <c r="CP13" s="125">
        <f>IF(OR(CP$4="",$B13=""),0,SUMIF('DADOS BRUTOS'!$A$3:$A$500,$B13,'DADOS BRUTOS'!P$3:P$500)+IF($C13="",0,SUMIF('DADOS BRUTOS'!$A$3:$A$500,$C13,'DADOS BRUTOS'!P$3:P$500)))</f>
        <v/>
      </c>
      <c r="CQ13" s="125">
        <f>IF(OR(CQ$4="",$B13=""),0,SUMIF('DADOS BRUTOS'!$A$3:$A$500,$B13,'DADOS BRUTOS'!Q$3:Q$500)+IF($C13="",0,SUMIF('DADOS BRUTOS'!$A$3:$A$500,$C13,'DADOS BRUTOS'!Q$3:Q$500)))</f>
        <v/>
      </c>
      <c r="CR13" s="125">
        <f>IF(OR(CR$4="",$B13=""),0,SUMIF('DADOS BRUTOS'!$A$3:$A$500,$B13,'DADOS BRUTOS'!R$3:R$500)+IF($C13="",0,SUMIF('DADOS BRUTOS'!$A$3:$A$500,$C13,'DADOS BRUTOS'!R$3:R$500)))</f>
        <v/>
      </c>
      <c r="CS13" s="125">
        <f>IF(OR(CS$4="",$B13=""),0,SUMIF('DADOS BRUTOS'!$A$3:$A$500,$B13,'DADOS BRUTOS'!S$3:S$500)+IF($C13="",0,SUMIF('DADOS BRUTOS'!$A$3:$A$500,$C13,'DADOS BRUTOS'!S$3:S$500)))</f>
        <v/>
      </c>
      <c r="CT13" s="125">
        <f>IF(OR(CT$4="",$B13=""),0,SUMIF('DADOS BRUTOS'!$A$3:$A$500,$B13,'DADOS BRUTOS'!T$3:T$500)+IF($C13="",0,SUMIF('DADOS BRUTOS'!$A$3:$A$500,$C13,'DADOS BRUTOS'!T$3:T$500)))</f>
        <v/>
      </c>
      <c r="CU13" s="125">
        <f>IF(OR(CU$4="",$B13=""),0,SUMIF('DADOS BRUTOS'!$A$3:$A$500,$B13,'DADOS BRUTOS'!U$3:U$500)+IF($C13="",0,SUMIF('DADOS BRUTOS'!$A$3:$A$500,$C13,'DADOS BRUTOS'!U$3:U$500)))</f>
        <v/>
      </c>
      <c r="CV13" s="125">
        <f>IF(OR(CV$4="",$B13=""),0,SUMIF('DADOS BRUTOS'!$A$3:$A$500,$B13,'DADOS BRUTOS'!V$3:V$500)+IF($C13="",0,SUMIF('DADOS BRUTOS'!$A$3:$A$500,$C13,'DADOS BRUTOS'!V$3:V$500)))</f>
        <v/>
      </c>
      <c r="CW13" s="125">
        <f>IF(OR(CW$4="",$B13=""),0,SUMIF('DADOS BRUTOS'!$A$3:$A$500,$B13,'DADOS BRUTOS'!W$3:W$500)+IF($C13="",0,SUMIF('DADOS BRUTOS'!$A$3:$A$500,$C13,'DADOS BRUTOS'!W$3:W$500)))</f>
        <v/>
      </c>
      <c r="CX13" s="125">
        <f>IF(OR(CX$4="",$B13=""),0,SUMIF('DADOS BRUTOS'!$A$3:$A$500,$B13,'DADOS BRUTOS'!X$3:X$500)+IF($C13="",0,SUMIF('DADOS BRUTOS'!$A$3:$A$500,$C13,'DADOS BRUTOS'!X$3:X$500)))</f>
        <v/>
      </c>
      <c r="CY13" s="125">
        <f>IF(OR(CY$4="",$B13=""),0,SUMIF('DADOS BRUTOS'!$A$3:$A$500,$B13,'DADOS BRUTOS'!Y$3:Y$500)+IF($C13="",0,SUMIF('DADOS BRUTOS'!$A$3:$A$500,$C13,'DADOS BRUTOS'!Y$3:Y$500)))</f>
        <v/>
      </c>
      <c r="CZ13" s="125">
        <f>IF(OR(CZ$4="",$B13=""),0,SUMIF('DADOS BRUTOS'!$A$3:$A$500,$B13,'DADOS BRUTOS'!Z$3:Z$500)+IF($C13="",0,SUMIF('DADOS BRUTOS'!$A$3:$A$500,$C13,'DADOS BRUTOS'!Z$3:Z$500)))</f>
        <v/>
      </c>
      <c r="DA13" s="125">
        <f>IF(OR(DA$4="",$B13=""),0,SUMIF('DADOS BRUTOS'!$A$3:$A$500,$B13,'DADOS BRUTOS'!AA$3:AA$500)+IF($C13="",0,SUMIF('DADOS BRUTOS'!$A$3:$A$500,$C13,'DADOS BRUTOS'!AA$3:AA$500)))</f>
        <v/>
      </c>
      <c r="DB13" s="125">
        <f>IF(OR(DB$4="",$B13=""),0,SUMIF('DADOS BRUTOS'!$A$3:$A$500,$B13,'DADOS BRUTOS'!AB$3:AB$500)+IF($C13="",0,SUMIF('DADOS BRUTOS'!$A$3:$A$500,$C13,'DADOS BRUTOS'!AB$3:AB$500)))</f>
        <v/>
      </c>
      <c r="DC13" s="125">
        <f>IF(OR(DC$4="",$B13=""),0,SUMIF('DADOS BRUTOS'!$A$3:$A$500,$B13,'DADOS BRUTOS'!AC$3:AC$500)+IF($C13="",0,SUMIF('DADOS BRUTOS'!$A$3:$A$500,$C13,'DADOS BRUTOS'!AC$3:AC$500)))</f>
        <v/>
      </c>
      <c r="DD13" s="125">
        <f>IF(OR(DD$4="",$B13=""),0,SUMIF('DADOS BRUTOS'!$A$3:$A$500,$B13,'DADOS BRUTOS'!AD$3:AD$500)+IF($C13="",0,SUMIF('DADOS BRUTOS'!$A$3:$A$500,$C13,'DADOS BRUTOS'!AD$3:AD$500)))</f>
        <v/>
      </c>
      <c r="DE13" s="125">
        <f>IF(OR(DE$4="",$B13=""),0,SUMIF('DADOS BRUTOS'!$A$3:$A$500,$B13,'DADOS BRUTOS'!AE$3:AE$500)+IF($C13="",0,SUMIF('DADOS BRUTOS'!$A$3:$A$500,$C13,'DADOS BRUTOS'!AE$3:AE$500)))</f>
        <v/>
      </c>
      <c r="DF13" s="125">
        <f>IF(OR(DF$4="",$B13=""),0,SUMIF('DADOS BRUTOS'!$A$3:$A$500,$B13,'DADOS BRUTOS'!AF$3:AF$500)+IF($C13="",0,SUMIF('DADOS BRUTOS'!$A$3:$A$500,$C13,'DADOS BRUTOS'!AF$3:AF$500)))</f>
        <v/>
      </c>
      <c r="DG13" s="125">
        <f>IF(OR(DG$4="",$B13=""),0,SUMIF('DADOS BRUTOS'!$A$3:$A$500,$B13,'DADOS BRUTOS'!AG$3:AG$500)+IF($C13="",0,SUMIF('DADOS BRUTOS'!$A$3:$A$500,$C13,'DADOS BRUTOS'!AG$3:AG$500)))</f>
        <v/>
      </c>
      <c r="DH13" s="125">
        <f>IF(OR(DH$4="",$B13=""),0,SUMIF('DADOS BRUTOS'!$A$3:$A$500,$B13,'DADOS BRUTOS'!AH$3:AH$500)+IF($C13="",0,SUMIF('DADOS BRUTOS'!$A$3:$A$500,$C13,'DADOS BRUTOS'!AH$3:AH$500)))</f>
        <v/>
      </c>
      <c r="DI13" s="125">
        <f>IF(OR(DI$4="",$B13=""),0,SUMIF('DADOS BRUTOS'!$A$3:$A$500,$B13,'DADOS BRUTOS'!AI$3:AI$500)+IF($C13="",0,SUMIF('DADOS BRUTOS'!$A$3:$A$500,$C13,'DADOS BRUTOS'!AI$3:AI$500)))</f>
        <v/>
      </c>
      <c r="DJ13" s="125">
        <f>IF(OR(DJ$4="",$B13=""),0,SUMIF('DADOS BRUTOS'!$A$3:$A$500,$B13,'DADOS BRUTOS'!AJ$3:AJ$500)+IF($C13="",0,SUMIF('DADOS BRUTOS'!$A$3:$A$500,$C13,'DADOS BRUTOS'!AJ$3:AJ$500)))</f>
        <v/>
      </c>
      <c r="DK13" s="125">
        <f>IF(OR(DK$4="",$B13=""),0,SUMIF('DADOS BRUTOS'!$A$3:$A$500,$B13,'DADOS BRUTOS'!AK$3:AK$500)+IF($C13="",0,SUMIF('DADOS BRUTOS'!$A$3:$A$500,$C13,'DADOS BRUTOS'!AK$3:AK$500)))</f>
        <v/>
      </c>
      <c r="DL13" s="125">
        <f>IF(OR(DL$4="",$B13=""),0,SUMIF('DADOS BRUTOS'!$A$3:$A$500,$B13,'DADOS BRUTOS'!AL$3:AL$500)+IF($C13="",0,SUMIF('DADOS BRUTOS'!$A$3:$A$500,$C13,'DADOS BRUTOS'!AL$3:AL$500)))</f>
        <v/>
      </c>
      <c r="DM13" s="125">
        <f>IF(OR(DM$4="",$B13=""),0,SUMIF('DADOS BRUTOS'!$A$3:$A$500,$B13,'DADOS BRUTOS'!AM$3:AM$500)+IF($C13="",0,SUMIF('DADOS BRUTOS'!$A$3:$A$500,$C13,'DADOS BRUTOS'!AM$3:AM$500)))</f>
        <v/>
      </c>
      <c r="DN13" s="125">
        <f>IF(OR(DN$4="",$B13=""),0,SUMIF('DADOS BRUTOS'!$A$3:$A$500,$B13,'DADOS BRUTOS'!AN$3:AN$500)+IF($C13="",0,SUMIF('DADOS BRUTOS'!$A$3:$A$500,$C13,'DADOS BRUTOS'!AN$3:AN$500)))</f>
        <v/>
      </c>
      <c r="DO13" s="125">
        <f>IF(OR(DO$4="",$B13=""),0,SUMIF('DADOS BRUTOS'!$A$3:$A$500,$B13,'DADOS BRUTOS'!AO$3:AO$500)+IF($C13="",0,SUMIF('DADOS BRUTOS'!$A$3:$A$500,$C13,'DADOS BRUTOS'!AO$3:AO$500)))</f>
        <v/>
      </c>
      <c r="DP13" s="125">
        <f>IF(OR(DP$4="",$B13=""),0,SUMIF('DADOS BRUTOS'!$A$3:$A$500,$B13,'DADOS BRUTOS'!AP$3:AP$500)+IF($C13="",0,SUMIF('DADOS BRUTOS'!$A$3:$A$500,$C13,'DADOS BRUTOS'!AP$3:AP$500)))</f>
        <v/>
      </c>
      <c r="DQ13" s="125">
        <f>IF(OR(DQ$4="",$B13=""),0,SUMIF('DADOS BRUTOS'!$A$3:$A$500,$B13,'DADOS BRUTOS'!AQ$3:AQ$500)+IF($C13="",0,SUMIF('DADOS BRUTOS'!$A$3:$A$500,$C13,'DADOS BRUTOS'!AQ$3:AQ$500)))</f>
        <v/>
      </c>
      <c r="DR13" s="125">
        <f>IF(OR(DR$4="",$B13=""),0,SUMIF('DADOS BRUTOS'!$A$3:$A$500,$B13,'DADOS BRUTOS'!AR$3:AR$500)+IF($C13="",0,SUMIF('DADOS BRUTOS'!$A$3:$A$500,$C13,'DADOS BRUTOS'!AR$3:AR$500)))</f>
        <v/>
      </c>
      <c r="DS13" s="125">
        <f>IF(OR(DS$4="",$B13=""),0,SUMIF('DADOS BRUTOS'!$A$3:$A$500,$B13,'DADOS BRUTOS'!AS$3:AS$500)+IF($C13="",0,SUMIF('DADOS BRUTOS'!$A$3:$A$500,$C13,'DADOS BRUTOS'!AS$3:AS$500)))</f>
        <v/>
      </c>
      <c r="DT13" s="125">
        <f>IF(OR(DT$4="",$B13=""),0,SUMIF('DADOS BRUTOS'!$A$3:$A$500,$B13,'DADOS BRUTOS'!AT$3:AT$500)+IF($C13="",0,SUMIF('DADOS BRUTOS'!$A$3:$A$500,$C13,'DADOS BRUTOS'!AT$3:AT$500)))</f>
        <v/>
      </c>
      <c r="DU13" s="125">
        <f>IF(OR(DU$4="",$B13=""),0,SUMIF('DADOS BRUTOS'!$A$3:$A$500,$B13,'DADOS BRUTOS'!AU$3:AU$500)+IF($C13="",0,SUMIF('DADOS BRUTOS'!$A$3:$A$500,$C13,'DADOS BRUTOS'!AU$3:AU$500)))</f>
        <v/>
      </c>
      <c r="DV13" s="125">
        <f>IF(OR(DV$4="",$B13=""),0,SUMIF('DADOS BRUTOS'!$A$3:$A$500,$B13,'DADOS BRUTOS'!AV$3:AV$500)+IF($C13="",0,SUMIF('DADOS BRUTOS'!$A$3:$A$500,$C13,'DADOS BRUTOS'!AV$3:AV$500)))</f>
        <v/>
      </c>
      <c r="DW13" s="125">
        <f>IF(OR(DW$4="",$B13=""),0,SUMIF('DADOS BRUTOS'!$A$3:$A$500,$B13,'DADOS BRUTOS'!AW$3:AW$500)+IF($C13="",0,SUMIF('DADOS BRUTOS'!$A$3:$A$500,$C13,'DADOS BRUTOS'!AW$3:AW$500)))</f>
        <v/>
      </c>
      <c r="DX13" s="125">
        <f>IF(OR(DX$4="",$B13=""),0,SUMIF('DADOS BRUTOS'!$A$3:$A$500,$B13,'DADOS BRUTOS'!AX$3:AX$500)+IF($C13="",0,SUMIF('DADOS BRUTOS'!$A$3:$A$500,$C13,'DADOS BRUTOS'!AX$3:AX$500)))</f>
        <v/>
      </c>
      <c r="DY13" s="125">
        <f>IF(OR(DY$4="",$B13=""),0,SUMIF('DADOS BRUTOS'!$A$3:$A$500,$B13,'DADOS BRUTOS'!AY$3:AY$500)+IF($C13="",0,SUMIF('DADOS BRUTOS'!$A$3:$A$500,$C13,'DADOS BRUTOS'!AY$3:AY$500)))</f>
        <v/>
      </c>
      <c r="DZ13" s="125">
        <f>IF(OR(DZ$4="",$B13=""),0,SUMIF('DADOS BRUTOS'!$A$3:$A$500,$B13,'DADOS BRUTOS'!AZ$3:AZ$500)+IF($C13="",0,SUMIF('DADOS BRUTOS'!$A$3:$A$500,$C13,'DADOS BRUTOS'!AZ$3:AZ$500)))</f>
        <v/>
      </c>
      <c r="EA13" s="125">
        <f>IF(OR(EA$4="",$B13=""),0,SUMIF('DADOS BRUTOS'!$A$3:$A$500,$B13,'DADOS BRUTOS'!BA$3:BA$500)+IF($C13="",0,SUMIF('DADOS BRUTOS'!$A$3:$A$500,$C13,'DADOS BRUTOS'!BA$3:BA$500)))</f>
        <v/>
      </c>
      <c r="EB13" s="125">
        <f>IF(OR(EB$4="",$B13=""),0,SUMIF('DADOS BRUTOS'!$A$3:$A$500,$B13,'DADOS BRUTOS'!BB$3:BB$500)+IF($C13="",0,SUMIF('DADOS BRUTOS'!$A$3:$A$500,$C13,'DADOS BRUTOS'!BB$3:BB$500)))</f>
        <v/>
      </c>
      <c r="EC13" s="125">
        <f>IF(OR(EC$4="",$B13=""),0,SUMIF('DADOS BRUTOS'!$A$3:$A$500,$B13,'DADOS BRUTOS'!BC$3:BC$500)+IF($C13="",0,SUMIF('DADOS BRUTOS'!$A$3:$A$500,$C13,'DADOS BRUTOS'!BC$3:BC$500)))</f>
        <v/>
      </c>
      <c r="ED13" s="125">
        <f>IF(OR(ED$4="",$B13=""),0,SUMIF('DADOS BRUTOS'!$A$3:$A$500,$B13,'DADOS BRUTOS'!BD$3:BD$500)+IF($C13="",0,SUMIF('DADOS BRUTOS'!$A$3:$A$500,$C13,'DADOS BRUTOS'!BD$3:BD$500)))</f>
        <v/>
      </c>
      <c r="EE13" s="125">
        <f>IF(OR(EE$4="",$B13=""),0,SUMIF('DADOS BRUTOS'!$A$3:$A$500,$B13,'DADOS BRUTOS'!BE$3:BE$500)+IF($C13="",0,SUMIF('DADOS BRUTOS'!$A$3:$A$500,$C13,'DADOS BRUTOS'!BE$3:BE$500)))</f>
        <v/>
      </c>
      <c r="EF13" s="125">
        <f>IF(OR(EF$4="",$B13=""),0,SUMIF('DADOS BRUTOS'!$A$3:$A$500,$B13,'DADOS BRUTOS'!BF$3:BF$500)+IF($C13="",0,SUMIF('DADOS BRUTOS'!$A$3:$A$500,$C13,'DADOS BRUTOS'!BF$3:BF$500)))</f>
        <v/>
      </c>
      <c r="EG13" s="125">
        <f>IF(OR(EG$4="",$B13=""),0,SUMIF('DADOS BRUTOS'!$A$3:$A$500,$B13,'DADOS BRUTOS'!BG$3:BG$500)+IF($C13="",0,SUMIF('DADOS BRUTOS'!$A$3:$A$500,$C13,'DADOS BRUTOS'!BG$3:BG$500)))</f>
        <v/>
      </c>
      <c r="EH13" s="125">
        <f>IF(OR(EH$4="",$B13=""),0,SUMIF('DADOS BRUTOS'!$A$3:$A$500,$B13,'DADOS BRUTOS'!BH$3:BH$500)+IF($C13="",0,SUMIF('DADOS BRUTOS'!$A$3:$A$500,$C13,'DADOS BRUTOS'!BH$3:BH$500)))</f>
        <v/>
      </c>
      <c r="EI13" s="125">
        <f>IF(OR(EI$4="",$B13=""),0,SUMIF('DADOS BRUTOS'!$A$3:$A$500,$B13,'DADOS BRUTOS'!BI$3:BI$500)+IF($C13="",0,SUMIF('DADOS BRUTOS'!$A$3:$A$500,$C13,'DADOS BRUTOS'!BI$3:BI$500)))</f>
        <v/>
      </c>
      <c r="EJ13" s="125">
        <f>IF(OR(EJ$4="",$B13=""),0,SUMIF('DADOS BRUTOS'!$A$3:$A$500,$B13,'DADOS BRUTOS'!BJ$3:BJ$500)+IF($C13="",0,SUMIF('DADOS BRUTOS'!$A$3:$A$500,$C13,'DADOS BRUTOS'!BJ$3:BJ$500)))</f>
        <v/>
      </c>
      <c r="EK13" s="125">
        <f>IF(OR(EK$4="",$B13=""),0,SUMIF('DADOS BRUTOS'!$A$3:$A$500,$B13,'DADOS BRUTOS'!BK$3:BK$500)+IF($C13="",0,SUMIF('DADOS BRUTOS'!$A$3:$A$500,$C13,'DADOS BRUTOS'!BK$3:BK$500)))</f>
        <v/>
      </c>
      <c r="EL13" s="125">
        <f>IF(OR(EL$4="",$B13=""),0,SUMIF('DADOS BRUTOS'!$A$3:$A$500,$B13,'DADOS BRUTOS'!BL$3:BL$500)+IF($C13="",0,SUMIF('DADOS BRUTOS'!$A$3:$A$500,$C13,'DADOS BRUTOS'!BL$3:BL$500)))</f>
        <v/>
      </c>
      <c r="EM13" s="125">
        <f>IF(OR(EM$4="",$B13=""),0,SUMIF('DADOS BRUTOS'!$A$3:$A$500,$B13,'DADOS BRUTOS'!BM$3:BM$500)+IF($C13="",0,SUMIF('DADOS BRUTOS'!$A$3:$A$500,$C13,'DADOS BRUTOS'!BM$3:BM$500)))</f>
        <v/>
      </c>
      <c r="EN13" s="125">
        <f>IF(OR(EN$4="",$B13=""),0,SUMIF('DADOS BRUTOS'!$A$3:$A$500,$B13,'DADOS BRUTOS'!BN$3:BN$500)+IF($C13="",0,SUMIF('DADOS BRUTOS'!$A$3:$A$500,$C13,'DADOS BRUTOS'!BN$3:BN$500)))</f>
        <v/>
      </c>
      <c r="EO13" s="125">
        <f>IF(OR(EO$4="",$B13=""),0,SUMIF('DADOS BRUTOS'!$A$3:$A$500,$B13,'DADOS BRUTOS'!BO$3:BO$500)+IF($C13="",0,SUMIF('DADOS BRUTOS'!$A$3:$A$500,$C13,'DADOS BRUTOS'!BO$3:BO$500)))</f>
        <v/>
      </c>
      <c r="EP13" s="125">
        <f>IF(OR(EP$4="",$B13=""),0,SUMIF('DADOS BRUTOS'!$A$3:$A$500,$B13,'DADOS BRUTOS'!BP$3:BP$500)+IF($C13="",0,SUMIF('DADOS BRUTOS'!$A$3:$A$500,$C13,'DADOS BRUTOS'!BP$3:BP$500)))</f>
        <v/>
      </c>
      <c r="EQ13" s="125">
        <f>IF(OR(EQ$4="",$B13=""),0,SUMIF('DADOS BRUTOS'!$A$3:$A$500,$B13,'DADOS BRUTOS'!BQ$3:BQ$500)+IF($C13="",0,SUMIF('DADOS BRUTOS'!$A$3:$A$500,$C13,'DADOS BRUTOS'!BQ$3:BQ$500)))</f>
        <v/>
      </c>
      <c r="ER13" s="125">
        <f>IF(OR(ER$4="",$B13=""),0,SUMIF('DADOS BRUTOS'!$A$3:$A$500,$B13,'DADOS BRUTOS'!BR$3:BR$500)+IF($C13="",0,SUMIF('DADOS BRUTOS'!$A$3:$A$500,$C13,'DADOS BRUTOS'!BR$3:BR$500)))</f>
        <v/>
      </c>
      <c r="ES13" s="125">
        <f>IF(OR(ES$4="",$B13=""),0,SUMIF('DADOS BRUTOS'!$A$3:$A$500,$B13,'DADOS BRUTOS'!BS$3:BS$500)+IF($C13="",0,SUMIF('DADOS BRUTOS'!$A$3:$A$500,$C13,'DADOS BRUTOS'!BS$3:BS$500)))</f>
        <v/>
      </c>
      <c r="ET13" s="125">
        <f>IF(OR(ET$4="",$B13=""),0,SUMIF('DADOS BRUTOS'!$A$3:$A$500,$B13,'DADOS BRUTOS'!BT$3:BT$500)+IF($C13="",0,SUMIF('DADOS BRUTOS'!$A$3:$A$500,$C13,'DADOS BRUTOS'!BT$3:BT$500)))</f>
        <v/>
      </c>
      <c r="EU13" s="125">
        <f>IF(OR(EU$4="",$B13=""),0,SUMIF('DADOS BRUTOS'!$A$3:$A$500,$B13,'DADOS BRUTOS'!BU$3:BU$500)+IF($C13="",0,SUMIF('DADOS BRUTOS'!$A$3:$A$500,$C13,'DADOS BRUTOS'!BU$3:BU$500)))</f>
        <v/>
      </c>
      <c r="EV13" s="125">
        <f>IF(OR(EV$4="",$B13=""),0,SUMIF('DADOS BRUTOS'!$A$3:$A$500,$B13,'DADOS BRUTOS'!BV$3:BV$500)+IF($C13="",0,SUMIF('DADOS BRUTOS'!$A$3:$A$500,$C13,'DADOS BRUTOS'!BV$3:BV$500)))</f>
        <v/>
      </c>
      <c r="EW13" s="125">
        <f>IF(OR(EW$4="",$B13=""),0,SUMIF('DADOS BRUTOS'!$A$3:$A$500,$B13,'DADOS BRUTOS'!BW$3:BW$500)+IF($C13="",0,SUMIF('DADOS BRUTOS'!$A$3:$A$500,$C13,'DADOS BRUTOS'!BW$3:BW$500)))</f>
        <v/>
      </c>
      <c r="EX13" s="125">
        <f>IF(OR(EX$4="",$B13=""),0,SUMIF('DADOS BRUTOS'!$A$3:$A$500,$B13,'DADOS BRUTOS'!BX$3:BX$500)+IF($C13="",0,SUMIF('DADOS BRUTOS'!$A$3:$A$500,$C13,'DADOS BRUTOS'!BX$3:BX$500)))</f>
        <v/>
      </c>
      <c r="EY13" s="125">
        <f>IF(OR(EY$4="",$B13=""),0,SUMIF('DADOS BRUTOS'!$A$3:$A$500,$B13,'DADOS BRUTOS'!BY$3:BY$500)+IF($C13="",0,SUMIF('DADOS BRUTOS'!$A$3:$A$500,$C13,'DADOS BRUTOS'!BY$3:BY$500)))</f>
        <v/>
      </c>
      <c r="EZ13" s="125">
        <f>IF(OR(EZ$4="",$B13=""),0,SUMIF('DADOS BRUTOS'!$A$3:$A$500,$B13,'DADOS BRUTOS'!BZ$3:BZ$500)+IF($C13="",0,SUMIF('DADOS BRUTOS'!$A$3:$A$500,$C13,'DADOS BRUTOS'!BZ$3:BZ$500)))</f>
        <v/>
      </c>
      <c r="FA13" s="125">
        <f>IF(OR(FA$4="",$B13=""),0,SUMIF('DADOS BRUTOS'!$A$3:$A$500,$B13,'DADOS BRUTOS'!CA$3:CA$500)+IF($C13="",0,SUMIF('DADOS BRUTOS'!$A$3:$A$500,$C13,'DADOS BRUTOS'!CA$3:CA$500)))</f>
        <v/>
      </c>
      <c r="FB13" s="125">
        <f>IF(OR(FB$4="",$B13=""),0,SUMIF('DADOS BRUTOS'!$A$3:$A$500,$B13,'DADOS BRUTOS'!CB$3:CB$500)+IF($C13="",0,SUMIF('DADOS BRUTOS'!$A$3:$A$500,$C13,'DADOS BRUTOS'!CB$3:CB$500)))</f>
        <v/>
      </c>
      <c r="FC13" s="125">
        <f>IF(OR(FC$4="",$B13=""),0,SUMIF('DADOS BRUTOS'!$A$3:$A$500,$B13,'DADOS BRUTOS'!CC$3:CC$500)+IF($C13="",0,SUMIF('DADOS BRUTOS'!$A$3:$A$500,$C13,'DADOS BRUTOS'!CC$3:CC$500)))</f>
        <v/>
      </c>
      <c r="FD13" s="125">
        <f>IF(OR(FD$4="",$B13=""),0,SUMIF('DADOS BRUTOS'!$A$3:$A$500,$B13,'DADOS BRUTOS'!CD$3:CD$500)+IF($C13="",0,SUMIF('DADOS BRUTOS'!$A$3:$A$500,$C13,'DADOS BRUTOS'!CD$3:CD$500)))</f>
        <v/>
      </c>
      <c r="FE13" s="125">
        <f>IF(OR(FE$4="",$B13=""),0,SUMIF('DADOS BRUTOS'!$A$3:$A$500,$B13,'DADOS BRUTOS'!CE$3:CE$500)+IF($C13="",0,SUMIF('DADOS BRUTOS'!$A$3:$A$500,$C13,'DADOS BRUTOS'!CE$3:CE$500)))</f>
        <v/>
      </c>
      <c r="FF13" s="125">
        <f>IF(OR(FF$4="",$B13=""),0,SUMIF('DADOS BRUTOS'!$A$3:$A$500,$B13,'DADOS BRUTOS'!CF$3:CF$500)+IF($C13="",0,SUMIF('DADOS BRUTOS'!$A$3:$A$500,$C13,'DADOS BRUTOS'!CF$3:CF$500)))</f>
        <v/>
      </c>
      <c r="FG13" s="125">
        <f>IF(OR(FG$4="",$B13=""),0,SUMIF('DADOS BRUTOS'!$A$3:$A$500,$B13,'DADOS BRUTOS'!CG$3:CG$500)+IF($C13="",0,SUMIF('DADOS BRUTOS'!$A$3:$A$500,$C13,'DADOS BRUTOS'!CG$3:CG$500)))</f>
        <v/>
      </c>
      <c r="FH13" s="125">
        <f>IF(OR(FH$4="",$B13=""),0,SUMIF('DADOS BRUTOS'!$A$3:$A$500,$B13,'DADOS BRUTOS'!CH$3:CH$500)+IF($C13="",0,SUMIF('DADOS BRUTOS'!$A$3:$A$500,$C13,'DADOS BRUTOS'!CH$3:CH$500)))</f>
        <v/>
      </c>
      <c r="FI13" s="125">
        <f>IF(OR(FI$4="",$B13=""),0,SUMIF('DADOS BRUTOS'!$A$3:$A$500,$B13,'DADOS BRUTOS'!CI$3:CI$500)+IF($C13="",0,SUMIF('DADOS BRUTOS'!$A$3:$A$500,$C13,'DADOS BRUTOS'!CI$3:CI$500)))</f>
        <v/>
      </c>
      <c r="FJ13" s="125">
        <f>IF(OR(FJ$4="",$B13=""),0,SUMIF('DADOS BRUTOS'!$A$3:$A$500,$B13,'DADOS BRUTOS'!CJ$3:CJ$500)+IF($C13="",0,SUMIF('DADOS BRUTOS'!$A$3:$A$500,$C13,'DADOS BRUTOS'!CJ$3:CJ$500)))</f>
        <v/>
      </c>
      <c r="FK13" s="125">
        <f>IF(OR(FK$4="",$B13=""),0,SUMIF('DADOS BRUTOS'!$A$3:$A$500,$B13,'DADOS BRUTOS'!CK$3:CK$500)+IF($C13="",0,SUMIF('DADOS BRUTOS'!$A$3:$A$500,$C13,'DADOS BRUTOS'!CK$3:CK$500)))</f>
        <v/>
      </c>
      <c r="FL13" s="125">
        <f>IF(OR(FL$4="",$B13=""),0,SUMIF('DADOS BRUTOS'!$A$3:$A$500,$B13,'DADOS BRUTOS'!CL$3:CL$500)+IF($C13="",0,SUMIF('DADOS BRUTOS'!$A$3:$A$500,$C13,'DADOS BRUTOS'!CL$3:CL$500)))</f>
        <v/>
      </c>
      <c r="FM13" s="125">
        <f>IF(OR(FM$4="",$B13=""),0,SUMIF('DADOS BRUTOS'!$A$3:$A$500,$B13,'DADOS BRUTOS'!CM$3:CM$500)+IF($C13="",0,SUMIF('DADOS BRUTOS'!$A$3:$A$500,$C13,'DADOS BRUTOS'!CM$3:CM$500)))</f>
        <v/>
      </c>
      <c r="FN13" s="125">
        <f>IF(OR(FN$4="",$B13=""),0,SUMIF('DADOS BRUTOS'!$A$3:$A$500,$B13,'DADOS BRUTOS'!CN$3:CN$500)+IF($C13="",0,SUMIF('DADOS BRUTOS'!$A$3:$A$500,$C13,'DADOS BRUTOS'!CN$3:CN$500)))</f>
        <v/>
      </c>
      <c r="FO13" s="125">
        <f>IF(OR(FO$4="",$B13=""),0,SUMIF('DADOS BRUTOS'!$A$3:$A$500,$B13,'DADOS BRUTOS'!CO$3:CO$500)+IF($C13="",0,SUMIF('DADOS BRUTOS'!$A$3:$A$500,$C13,'DADOS BRUTOS'!CO$3:CO$500)))</f>
        <v/>
      </c>
      <c r="FP13" s="125">
        <f>IF(OR(FP$4="",$B13=""),0,SUMIF('DADOS BRUTOS'!$A$3:$A$500,$B13,'DADOS BRUTOS'!CP$3:CP$500)+IF($C13="",0,SUMIF('DADOS BRUTOS'!$A$3:$A$500,$C13,'DADOS BRUTOS'!CP$3:CP$500)))</f>
        <v/>
      </c>
      <c r="FQ13" s="125">
        <f>IF(OR(FQ$4="",$B13=""),0,SUMIF('DADOS BRUTOS'!$A$3:$A$500,$B13,'DADOS BRUTOS'!CQ$3:CQ$500)+IF($C13="",0,SUMIF('DADOS BRUTOS'!$A$3:$A$500,$C13,'DADOS BRUTOS'!CQ$3:CQ$500)))</f>
        <v/>
      </c>
      <c r="FR13" s="125">
        <f>IF(OR(FR$4="",$B13=""),0,SUMIF('DADOS BRUTOS'!$A$3:$A$500,$B13,'DADOS BRUTOS'!CR$3:CR$500)+IF($C13="",0,SUMIF('DADOS BRUTOS'!$A$3:$A$500,$C13,'DADOS BRUTOS'!CR$3:CR$500)))</f>
        <v/>
      </c>
      <c r="FS13" s="125">
        <f>IF(OR(FS$4="",$B13=""),0,SUMIF('DADOS BRUTOS'!$A$3:$A$500,$B13,'DADOS BRUTOS'!CS$3:CS$500)+IF($C13="",0,SUMIF('DADOS BRUTOS'!$A$3:$A$500,$C13,'DADOS BRUTOS'!CS$3:CS$500)))</f>
        <v/>
      </c>
      <c r="FT13" s="125">
        <f>IF(OR(FT$4="",$B13=""),0,SUMIF('DADOS BRUTOS'!$A$3:$A$500,$B13,'DADOS BRUTOS'!CT$3:CT$500)+IF($C13="",0,SUMIF('DADOS BRUTOS'!$A$3:$A$500,$C13,'DADOS BRUTOS'!CT$3:CT$500)))</f>
        <v/>
      </c>
      <c r="FU13" s="125">
        <f>IF(OR(FU$4="",$B13=""),0,SUMIF('DADOS BRUTOS'!$A$3:$A$500,$B13,'DADOS BRUTOS'!CU$3:CU$500)+IF($C13="",0,SUMIF('DADOS BRUTOS'!$A$3:$A$500,$C13,'DADOS BRUTOS'!CU$3:CU$500)))</f>
        <v/>
      </c>
      <c r="FV13" s="125">
        <f>IF(OR(FV$4="",$B13=""),0,SUMIF('DADOS BRUTOS'!$A$3:$A$500,$B13,'DADOS BRUTOS'!CV$3:CV$500)+IF($C13="",0,SUMIF('DADOS BRUTOS'!$A$3:$A$500,$C13,'DADOS BRUTOS'!CV$3:CV$500)))</f>
        <v/>
      </c>
      <c r="FW13" s="125">
        <f>IF(OR(FW$4="",$B13=""),0,SUMIF('DADOS BRUTOS'!$A$3:$A$500,$B13,'DADOS BRUTOS'!CW$3:CW$500)+IF($C13="",0,SUMIF('DADOS BRUTOS'!$A$3:$A$500,$C13,'DADOS BRUTOS'!CW$3:CW$500)))</f>
        <v/>
      </c>
      <c r="FX13" s="125">
        <f>IF(OR(FX$4="",$B13=""),0,SUMIF('DADOS BRUTOS'!$A$3:$A$500,$B13,'DADOS BRUTOS'!CX$3:CX$500)+IF($C13="",0,SUMIF('DADOS BRUTOS'!$A$3:$A$500,$C13,'DADOS BRUTOS'!CX$3:CX$500)))</f>
        <v/>
      </c>
      <c r="FY13" s="125">
        <f>IF(OR(FY$4="",$B13=""),0,SUMIF('DADOS BRUTOS'!$A$3:$A$500,$B13,'DADOS BRUTOS'!CY$3:CY$500)+IF($C13="",0,SUMIF('DADOS BRUTOS'!$A$3:$A$500,$C13,'DADOS BRUTOS'!CY$3:CY$500)))</f>
        <v/>
      </c>
      <c r="FZ13" s="125">
        <f>IF(OR(FZ$4="",$B13=""),0,SUMIF('DADOS BRUTOS'!$A$3:$A$500,$B13,'DADOS BRUTOS'!CZ$3:CZ$500)+IF($C13="",0,SUMIF('DADOS BRUTOS'!$A$3:$A$500,$C13,'DADOS BRUTOS'!CZ$3:CZ$500)))</f>
        <v/>
      </c>
      <c r="GA13" s="125">
        <f>IF(OR(GA$4="",$B13=""),0,SUMIF('DADOS BRUTOS'!$A$3:$A$500,$B13,'DADOS BRUTOS'!DA$3:DA$500)+IF($C13="",0,SUMIF('DADOS BRUTOS'!$A$3:$A$500,$C13,'DADOS BRUTOS'!DA$3:DA$500)))</f>
        <v/>
      </c>
      <c r="GB13" s="125">
        <f>IF(OR(GB$4="",$B13=""),0,SUMIF('DADOS BRUTOS'!$A$3:$A$500,$B13,'DADOS BRUTOS'!DB$3:DB$500)+IF($C13="",0,SUMIF('DADOS BRUTOS'!$A$3:$A$500,$C13,'DADOS BRUTOS'!DB$3:DB$500)))</f>
        <v/>
      </c>
      <c r="GC13" s="125">
        <f>IF(OR(GC$4="",$B13=""),0,SUMIF('DADOS BRUTOS'!$A$3:$A$500,$B13,'DADOS BRUTOS'!DC$3:DC$500)+IF($C13="",0,SUMIF('DADOS BRUTOS'!$A$3:$A$500,$C13,'DADOS BRUTOS'!DC$3:DC$500)))</f>
        <v/>
      </c>
      <c r="GD13" s="125">
        <f>IF(OR(GD$4="",$B13=""),0,SUMIF('DADOS BRUTOS'!$A$3:$A$500,$B13,'DADOS BRUTOS'!DD$3:DD$500)+IF($C13="",0,SUMIF('DADOS BRUTOS'!$A$3:$A$500,$C13,'DADOS BRUTOS'!DD$3:DD$500)))</f>
        <v/>
      </c>
      <c r="GE13" s="125">
        <f>IF(OR(GE$4="",$B13=""),0,SUMIF('DADOS BRUTOS'!$A$3:$A$500,$B13,'DADOS BRUTOS'!DE$3:DE$500)+IF($C13="",0,SUMIF('DADOS BRUTOS'!$A$3:$A$500,$C13,'DADOS BRUTOS'!DE$3:DE$500)))</f>
        <v/>
      </c>
      <c r="GF13" s="125">
        <f>IF(OR(GF$4="",$B13=""),0,SUMIF('DADOS BRUTOS'!$A$3:$A$500,$B13,'DADOS BRUTOS'!DF$3:DF$500)+IF($C13="",0,SUMIF('DADOS BRUTOS'!$A$3:$A$500,$C13,'DADOS BRUTOS'!DF$3:DF$500)))</f>
        <v/>
      </c>
      <c r="GG13" s="125">
        <f>IF(OR(GG$4="",$B13=""),0,SUMIF('DADOS BRUTOS'!$A$3:$A$500,$B13,'DADOS BRUTOS'!DG$3:DG$500)+IF($C13="",0,SUMIF('DADOS BRUTOS'!$A$3:$A$500,$C13,'DADOS BRUTOS'!DG$3:DG$500)))</f>
        <v/>
      </c>
      <c r="GH13" s="125">
        <f>IF(OR(GH$4="",$B13=""),0,SUMIF('DADOS BRUTOS'!$A$3:$A$500,$B13,'DADOS BRUTOS'!DH$3:DH$500)+IF($C13="",0,SUMIF('DADOS BRUTOS'!$A$3:$A$500,$C13,'DADOS BRUTOS'!DH$3:DH$500)))</f>
        <v/>
      </c>
      <c r="GI13" s="125">
        <f>IF(OR(GI$4="",$B13=""),0,SUMIF('DADOS BRUTOS'!$A$3:$A$500,$B13,'DADOS BRUTOS'!DI$3:DI$500)+IF($C13="",0,SUMIF('DADOS BRUTOS'!$A$3:$A$500,$C13,'DADOS BRUTOS'!DI$3:DI$500)))</f>
        <v/>
      </c>
      <c r="GJ13" s="125">
        <f>IF(OR(GJ$4="",$B13=""),0,SUMIF('DADOS BRUTOS'!$A$3:$A$500,$B13,'DADOS BRUTOS'!DJ$3:DJ$500)+IF($C13="",0,SUMIF('DADOS BRUTOS'!$A$3:$A$500,$C13,'DADOS BRUTOS'!DJ$3:DJ$500)))</f>
        <v/>
      </c>
      <c r="GK13" s="125">
        <f>IF(OR(GK$4="",$B13=""),0,SUMIF('DADOS BRUTOS'!$A$3:$A$500,$B13,'DADOS BRUTOS'!DK$3:DK$500)+IF($C13="",0,SUMIF('DADOS BRUTOS'!$A$3:$A$500,$C13,'DADOS BRUTOS'!DK$3:DK$500)))</f>
        <v/>
      </c>
      <c r="GL13" s="125">
        <f>IF(OR(GL$4="",$B13=""),0,SUMIF('DADOS BRUTOS'!$A$3:$A$500,$B13,'DADOS BRUTOS'!DL$3:DL$500)+IF($C13="",0,SUMIF('DADOS BRUTOS'!$A$3:$A$500,$C13,'DADOS BRUTOS'!DL$3:DL$500)))</f>
        <v/>
      </c>
      <c r="GM13" s="125">
        <f>IF(OR(GM$4="",$B13=""),0,SUMIF('DADOS BRUTOS'!$A$3:$A$500,$B13,'DADOS BRUTOS'!DM$3:DM$500)+IF($C13="",0,SUMIF('DADOS BRUTOS'!$A$3:$A$500,$C13,'DADOS BRUTOS'!DM$3:DM$500)))</f>
        <v/>
      </c>
      <c r="GN13" s="125">
        <f>IF(OR(GN$4="",$B13=""),0,SUMIF('DADOS BRUTOS'!$A$3:$A$500,$B13,'DADOS BRUTOS'!DN$3:DN$500)+IF($C13="",0,SUMIF('DADOS BRUTOS'!$A$3:$A$500,$C13,'DADOS BRUTOS'!DN$3:DN$500)))</f>
        <v/>
      </c>
      <c r="GO13" s="125">
        <f>IF(OR(GO$4="",$B13=""),0,SUMIF('DADOS BRUTOS'!$A$3:$A$500,$B13,'DADOS BRUTOS'!DO$3:DO$500)+IF($C13="",0,SUMIF('DADOS BRUTOS'!$A$3:$A$500,$C13,'DADOS BRUTOS'!DO$3:DO$500)))</f>
        <v/>
      </c>
      <c r="GP13" s="125">
        <f>IF(OR(GP$4="",$B13=""),0,SUMIF('DADOS BRUTOS'!$A$3:$A$500,$B13,'DADOS BRUTOS'!DP$3:DP$500)+IF($C13="",0,SUMIF('DADOS BRUTOS'!$A$3:$A$500,$C13,'DADOS BRUTOS'!DP$3:DP$500)))</f>
        <v/>
      </c>
      <c r="GQ13" s="125">
        <f>IF(OR(GQ$4="",$B13=""),0,SUMIF('DADOS BRUTOS'!$A$3:$A$500,$B13,'DADOS BRUTOS'!DQ$3:DQ$500)+IF($C13="",0,SUMIF('DADOS BRUTOS'!$A$3:$A$500,$C13,'DADOS BRUTOS'!DQ$3:DQ$500)))</f>
        <v/>
      </c>
      <c r="GR13" s="125">
        <f>IF(OR(GR$4="",$B13=""),0,SUMIF('DADOS BRUTOS'!$A$3:$A$500,$B13,'DADOS BRUTOS'!DR$3:DR$500)+IF($C13="",0,SUMIF('DADOS BRUTOS'!$A$3:$A$500,$C13,'DADOS BRUTOS'!DR$3:DR$500)))</f>
        <v/>
      </c>
      <c r="GS13" s="125">
        <f>IF(OR(GS$4="",$B13=""),0,SUMIF('DADOS BRUTOS'!$A$3:$A$500,$B13,'DADOS BRUTOS'!DS$3:DS$500)+IF($C13="",0,SUMIF('DADOS BRUTOS'!$A$3:$A$500,$C13,'DADOS BRUTOS'!DS$3:DS$500)))</f>
        <v/>
      </c>
      <c r="GT13" s="125">
        <f>IF(OR(GT$4="",$B13=""),0,SUMIF('DADOS BRUTOS'!$A$3:$A$500,$B13,'DADOS BRUTOS'!DT$3:DT$500)+IF($C13="",0,SUMIF('DADOS BRUTOS'!$A$3:$A$500,$C13,'DADOS BRUTOS'!DT$3:DT$500)))</f>
        <v/>
      </c>
      <c r="GU13" s="125">
        <f>IF(OR(GU$4="",$B13=""),0,SUMIF('DADOS BRUTOS'!$A$3:$A$500,$B13,'DADOS BRUTOS'!DU$3:DU$500)+IF($C13="",0,SUMIF('DADOS BRUTOS'!$A$3:$A$500,$C13,'DADOS BRUTOS'!DU$3:DU$500)))</f>
        <v/>
      </c>
      <c r="GV13" s="125">
        <f>IF(OR(GV$4="",$B13=""),0,SUMIF('DADOS BRUTOS'!$A$3:$A$500,$B13,'DADOS BRUTOS'!DV$3:DV$500)+IF($C13="",0,SUMIF('DADOS BRUTOS'!$A$3:$A$500,$C13,'DADOS BRUTOS'!DV$3:DV$500)))</f>
        <v/>
      </c>
      <c r="GW13" s="125">
        <f>IF(OR(GW$4="",$B13=""),0,SUMIF('DADOS BRUTOS'!$A$3:$A$500,$B13,'DADOS BRUTOS'!DW$3:DW$500)+IF($C13="",0,SUMIF('DADOS BRUTOS'!$A$3:$A$500,$C13,'DADOS BRUTOS'!DW$3:DW$500)))</f>
        <v/>
      </c>
      <c r="GX13" s="125">
        <f>IF(OR(GX$4="",$B13=""),0,SUMIF('DADOS BRUTOS'!$A$3:$A$500,$B13,'DADOS BRUTOS'!DX$3:DX$500)+IF($C13="",0,SUMIF('DADOS BRUTOS'!$A$3:$A$500,$C13,'DADOS BRUTOS'!DX$3:DX$500)))</f>
        <v/>
      </c>
      <c r="GY13" s="125">
        <f>IF(OR(GY$4="",$B13=""),0,SUMIF('DADOS BRUTOS'!$A$3:$A$500,$B13,'DADOS BRUTOS'!DY$3:DY$500)+IF($C13="",0,SUMIF('DADOS BRUTOS'!$A$3:$A$500,$C13,'DADOS BRUTOS'!DY$3:DY$500)))</f>
        <v/>
      </c>
      <c r="GZ13" s="125">
        <f>IF(OR(GZ$4="",$B13=""),0,SUMIF('DADOS BRUTOS'!$A$3:$A$500,$B13,'DADOS BRUTOS'!DZ$3:DZ$500)+IF($C13="",0,SUMIF('DADOS BRUTOS'!$A$3:$A$500,$C13,'DADOS BRUTOS'!DZ$3:DZ$500)))</f>
        <v/>
      </c>
      <c r="HA13" s="125">
        <f>IF(OR(HA$4="",$B13=""),0,SUMIF('DADOS BRUTOS'!$A$3:$A$500,$B13,'DADOS BRUTOS'!EA$3:EA$500)+IF($C13="",0,SUMIF('DADOS BRUTOS'!$A$3:$A$500,$C13,'DADOS BRUTOS'!EA$3:EA$500)))</f>
        <v/>
      </c>
      <c r="HB13" s="125">
        <f>IF(OR(HB$4="",$B13=""),0,SUMIF('DADOS BRUTOS'!$A$3:$A$500,$B13,'DADOS BRUTOS'!EB$3:EB$500)+IF($C13="",0,SUMIF('DADOS BRUTOS'!$A$3:$A$500,$C13,'DADOS BRUTOS'!EB$3:EB$500)))</f>
        <v/>
      </c>
      <c r="HC13" s="125">
        <f>IF(OR(HC$4="",$B13=""),0,SUMIF('DADOS BRUTOS'!$A$3:$A$500,$B13,'DADOS BRUTOS'!EC$3:EC$500)+IF($C13="",0,SUMIF('DADOS BRUTOS'!$A$3:$A$500,$C13,'DADOS BRUTOS'!EC$3:EC$500)))</f>
        <v/>
      </c>
      <c r="HD13" s="125">
        <f>IF(OR(HD$4="",$B13=""),0,SUMIF('DADOS BRUTOS'!$A$3:$A$500,$B13,'DADOS BRUTOS'!ED$3:ED$500)+IF($C13="",0,SUMIF('DADOS BRUTOS'!$A$3:$A$500,$C13,'DADOS BRUTOS'!ED$3:ED$500)))</f>
        <v/>
      </c>
      <c r="HE13" s="125">
        <f>IF(OR(HE$4="",$B13=""),0,SUMIF('DADOS BRUTOS'!$A$3:$A$500,$B13,'DADOS BRUTOS'!EE$3:EE$500)+IF($C13="",0,SUMIF('DADOS BRUTOS'!$A$3:$A$500,$C13,'DADOS BRUTOS'!EE$3:EE$500)))</f>
        <v/>
      </c>
      <c r="HF13" s="125">
        <f>IF(OR(HF$4="",$B13=""),0,SUMIF('DADOS BRUTOS'!$A$3:$A$500,$B13,'DADOS BRUTOS'!EF$3:EF$500)+IF($C13="",0,SUMIF('DADOS BRUTOS'!$A$3:$A$500,$C13,'DADOS BRUTOS'!EF$3:EF$500)))</f>
        <v/>
      </c>
      <c r="HG13" s="125">
        <f>IF(OR(HG$4="",$B13=""),0,SUMIF('DADOS BRUTOS'!$A$3:$A$500,$B13,'DADOS BRUTOS'!EG$3:EG$500)+IF($C13="",0,SUMIF('DADOS BRUTOS'!$A$3:$A$500,$C13,'DADOS BRUTOS'!EG$3:EG$500)))</f>
        <v/>
      </c>
      <c r="HH13" s="125">
        <f>IF(OR(HH$4="",$B13=""),0,SUMIF('DADOS BRUTOS'!$A$3:$A$500,$B13,'DADOS BRUTOS'!EH$3:EH$500)+IF($C13="",0,SUMIF('DADOS BRUTOS'!$A$3:$A$500,$C13,'DADOS BRUTOS'!EH$3:EH$500)))</f>
        <v/>
      </c>
      <c r="HI13" s="125">
        <f>IF(OR(HI$4="",$B13=""),0,SUMIF('DADOS BRUTOS'!$A$3:$A$500,$B13,'DADOS BRUTOS'!EI$3:EI$500)+IF($C13="",0,SUMIF('DADOS BRUTOS'!$A$3:$A$500,$C13,'DADOS BRUTOS'!EI$3:EI$500)))</f>
        <v/>
      </c>
      <c r="HJ13" s="125">
        <f>IF(OR(HJ$4="",$B13=""),0,SUMIF('DADOS BRUTOS'!$A$3:$A$500,$B13,'DADOS BRUTOS'!EJ$3:EJ$500)+IF($C13="",0,SUMIF('DADOS BRUTOS'!$A$3:$A$500,$C13,'DADOS BRUTOS'!EJ$3:EJ$500)))</f>
        <v/>
      </c>
      <c r="HK13" s="125">
        <f>IF(OR(HK$4="",$B13=""),0,SUMIF('DADOS BRUTOS'!$A$3:$A$500,$B13,'DADOS BRUTOS'!EK$3:EK$500)+IF($C13="",0,SUMIF('DADOS BRUTOS'!$A$3:$A$500,$C13,'DADOS BRUTOS'!EK$3:EK$500)))</f>
        <v/>
      </c>
      <c r="HL13" s="125">
        <f>IF(OR(HL$4="",$B13=""),0,SUMIF('DADOS BRUTOS'!$A$3:$A$500,$B13,'DADOS BRUTOS'!EL$3:EL$500)+IF($C13="",0,SUMIF('DADOS BRUTOS'!$A$3:$A$500,$C13,'DADOS BRUTOS'!EL$3:EL$500)))</f>
        <v/>
      </c>
      <c r="HM13" s="125">
        <f>IF(OR(HM$4="",$B13=""),0,SUMIF('DADOS BRUTOS'!$A$3:$A$500,$B13,'DADOS BRUTOS'!EM$3:EM$500)+IF($C13="",0,SUMIF('DADOS BRUTOS'!$A$3:$A$500,$C13,'DADOS BRUTOS'!EM$3:EM$500)))</f>
        <v/>
      </c>
      <c r="HN13" s="125">
        <f>IF(OR(HN$4="",$B13=""),0,SUMIF('DADOS BRUTOS'!$A$3:$A$500,$B13,'DADOS BRUTOS'!EN$3:EN$500)+IF($C13="",0,SUMIF('DADOS BRUTOS'!$A$3:$A$500,$C13,'DADOS BRUTOS'!EN$3:EN$500)))</f>
        <v/>
      </c>
      <c r="HO13" s="125">
        <f>IF(OR(HO$4="",$B13=""),0,SUMIF('DADOS BRUTOS'!$A$3:$A$500,$B13,'DADOS BRUTOS'!EO$3:EO$500)+IF($C13="",0,SUMIF('DADOS BRUTOS'!$A$3:$A$500,$C13,'DADOS BRUTOS'!EO$3:EO$500)))</f>
        <v/>
      </c>
      <c r="HP13" s="125">
        <f>IF(OR(HP$4="",$B13=""),0,SUMIF('DADOS BRUTOS'!$A$3:$A$500,$B13,'DADOS BRUTOS'!EP$3:EP$500)+IF($C13="",0,SUMIF('DADOS BRUTOS'!$A$3:$A$500,$C13,'DADOS BRUTOS'!EP$3:EP$500)))</f>
        <v/>
      </c>
      <c r="HQ13" s="125">
        <f>IF(OR(HQ$4="",$B13=""),0,SUMIF('DADOS BRUTOS'!$A$3:$A$500,$B13,'DADOS BRUTOS'!EQ$3:EQ$500)+IF($C13="",0,SUMIF('DADOS BRUTOS'!$A$3:$A$500,$C13,'DADOS BRUTOS'!EQ$3:EQ$500)))</f>
        <v/>
      </c>
      <c r="HR13" s="125">
        <f>IF(OR(HR$4="",$B13=""),0,SUMIF('DADOS BRUTOS'!$A$3:$A$500,$B13,'DADOS BRUTOS'!ER$3:ER$500)+IF($C13="",0,SUMIF('DADOS BRUTOS'!$A$3:$A$500,$C13,'DADOS BRUTOS'!ER$3:ER$500)))</f>
        <v/>
      </c>
      <c r="HS13" s="125">
        <f>IF(OR(HS$4="",$B13=""),0,SUMIF('DADOS BRUTOS'!$A$3:$A$500,$B13,'DADOS BRUTOS'!ES$3:ES$500)+IF($C13="",0,SUMIF('DADOS BRUTOS'!$A$3:$A$500,$C13,'DADOS BRUTOS'!ES$3:ES$500)))</f>
        <v/>
      </c>
      <c r="HT13" s="125">
        <f>IF(OR(HT$4="",$B13=""),0,SUMIF('DADOS BRUTOS'!$A$3:$A$500,$B13,'DADOS BRUTOS'!ET$3:ET$500)+IF($C13="",0,SUMIF('DADOS BRUTOS'!$A$3:$A$500,$C13,'DADOS BRUTOS'!ET$3:ET$500)))</f>
        <v/>
      </c>
      <c r="HU13" s="125">
        <f>IF(OR(HU$4="",$B13=""),0,SUMIF('DADOS BRUTOS'!$A$3:$A$500,$B13,'DADOS BRUTOS'!EU$3:EU$500)+IF($C13="",0,SUMIF('DADOS BRUTOS'!$A$3:$A$500,$C13,'DADOS BRUTOS'!EU$3:EU$500)))</f>
        <v/>
      </c>
      <c r="HV13" s="125">
        <f>IF(OR(HV$4="",$B13=""),0,SUMIF('DADOS BRUTOS'!$A$3:$A$500,$B13,'DADOS BRUTOS'!EV$3:EV$500)+IF($C13="",0,SUMIF('DADOS BRUTOS'!$A$3:$A$500,$C13,'DADOS BRUTOS'!EV$3:EV$500)))</f>
        <v/>
      </c>
      <c r="HW13" s="125">
        <f>IF(OR(HW$4="",$B13=""),0,SUMIF('DADOS BRUTOS'!$A$3:$A$500,$B13,'DADOS BRUTOS'!EW$3:EW$500)+IF($C13="",0,SUMIF('DADOS BRUTOS'!$A$3:$A$500,$C13,'DADOS BRUTOS'!EW$3:EW$500)))</f>
        <v/>
      </c>
      <c r="HX13" s="125">
        <f>IF(OR(HX$4="",$B13=""),0,SUMIF('DADOS BRUTOS'!$A$3:$A$500,$B13,'DADOS BRUTOS'!EX$3:EX$500)+IF($C13="",0,SUMIF('DADOS BRUTOS'!$A$3:$A$500,$C13,'DADOS BRUTOS'!EX$3:EX$500)))</f>
        <v/>
      </c>
      <c r="HY13" s="125">
        <f>IF(OR(HY$4="",$B13=""),0,SUMIF('DADOS BRUTOS'!$A$3:$A$500,$B13,'DADOS BRUTOS'!EY$3:EY$500)+IF($C13="",0,SUMIF('DADOS BRUTOS'!$A$3:$A$500,$C13,'DADOS BRUTOS'!EY$3:EY$500)))</f>
        <v/>
      </c>
      <c r="HZ13" s="125">
        <f>IF(OR(HZ$4="",$B13=""),0,SUMIF('DADOS BRUTOS'!$A$3:$A$500,$B13,'DADOS BRUTOS'!EZ$3:EZ$500)+IF($C13="",0,SUMIF('DADOS BRUTOS'!$A$3:$A$500,$C13,'DADOS BRUTOS'!EZ$3:EZ$500)))</f>
        <v/>
      </c>
      <c r="IA13" s="125">
        <f>IF(OR(IA$4="",$B13=""),0,SUMIF('DADOS BRUTOS'!$A$3:$A$500,$B13,'DADOS BRUTOS'!FA$3:FA$500)+IF($C13="",0,SUMIF('DADOS BRUTOS'!$A$3:$A$500,$C13,'DADOS BRUTOS'!FA$3:FA$500)))</f>
        <v/>
      </c>
      <c r="IB13" s="125">
        <f>IF(OR(IB$4="",$B13=""),0,SUMIF('DADOS BRUTOS'!$A$3:$A$500,$B13,'DADOS BRUTOS'!FB$3:FB$500)+IF($C13="",0,SUMIF('DADOS BRUTOS'!$A$3:$A$500,$C13,'DADOS BRUTOS'!FB$3:FB$500)))</f>
        <v/>
      </c>
      <c r="IC13" s="125">
        <f>IF(OR(IC$4="",$B13=""),0,SUMIF('DADOS BRUTOS'!$A$3:$A$500,$B13,'DADOS BRUTOS'!FC$3:FC$500)+IF($C13="",0,SUMIF('DADOS BRUTOS'!$A$3:$A$500,$C13,'DADOS BRUTOS'!FC$3:FC$500)))</f>
        <v/>
      </c>
      <c r="ID13" s="125">
        <f>IF(OR(ID$4="",$B13=""),0,SUMIF('DADOS BRUTOS'!$A$3:$A$500,$B13,'DADOS BRUTOS'!FD$3:FD$500)+IF($C13="",0,SUMIF('DADOS BRUTOS'!$A$3:$A$500,$C13,'DADOS BRUTOS'!FD$3:FD$500)))</f>
        <v/>
      </c>
      <c r="IE13" s="125">
        <f>IF(OR(IE$4="",$B13=""),0,SUMIF('DADOS BRUTOS'!$A$3:$A$500,$B13,'DADOS BRUTOS'!FE$3:FE$500)+IF($C13="",0,SUMIF('DADOS BRUTOS'!$A$3:$A$500,$C13,'DADOS BRUTOS'!FE$3:FE$500)))</f>
        <v/>
      </c>
      <c r="IF13" s="125">
        <f>IF(OR(IF$4="",$B13=""),0,SUMIF('DADOS BRUTOS'!$A$3:$A$500,$B13,'DADOS BRUTOS'!FF$3:FF$500)+IF($C13="",0,SUMIF('DADOS BRUTOS'!$A$3:$A$500,$C13,'DADOS BRUTOS'!FF$3:FF$500)))</f>
        <v/>
      </c>
      <c r="IG13" s="125">
        <f>IF(OR(IG$4="",$B13=""),0,SUMIF('DADOS BRUTOS'!$A$3:$A$500,$B13,'DADOS BRUTOS'!FG$3:FG$500)+IF($C13="",0,SUMIF('DADOS BRUTOS'!$A$3:$A$500,$C13,'DADOS BRUTOS'!FG$3:FG$500)))</f>
        <v/>
      </c>
      <c r="IH13" s="125">
        <f>IF(OR(IH$4="",$B13=""),0,SUMIF('DADOS BRUTOS'!$A$3:$A$500,$B13,'DADOS BRUTOS'!FH$3:FH$500)+IF($C13="",0,SUMIF('DADOS BRUTOS'!$A$3:$A$500,$C13,'DADOS BRUTOS'!FH$3:FH$500)))</f>
        <v/>
      </c>
      <c r="II13" s="125">
        <f>IF(OR(II$4="",$B13=""),0,SUMIF('DADOS BRUTOS'!$A$3:$A$500,$B13,'DADOS BRUTOS'!FI$3:FI$500)+IF($C13="",0,SUMIF('DADOS BRUTOS'!$A$3:$A$500,$C13,'DADOS BRUTOS'!FI$3:FI$500)))</f>
        <v/>
      </c>
      <c r="IJ13" s="125">
        <f>IF(OR(IJ$4="",$B13=""),0,SUMIF('DADOS BRUTOS'!$A$3:$A$500,$B13,'DADOS BRUTOS'!FJ$3:FJ$500)+IF($C13="",0,SUMIF('DADOS BRUTOS'!$A$3:$A$500,$C13,'DADOS BRUTOS'!FJ$3:FJ$500)))</f>
        <v/>
      </c>
      <c r="IK13" s="125">
        <f>IF(OR(IK$4="",$B13=""),0,SUMIF('DADOS BRUTOS'!$A$3:$A$500,$B13,'DADOS BRUTOS'!FK$3:FK$500)+IF($C13="",0,SUMIF('DADOS BRUTOS'!$A$3:$A$500,$C13,'DADOS BRUTOS'!FK$3:FK$500)))</f>
        <v/>
      </c>
      <c r="IL13" s="125">
        <f>IF(OR(IL$4="",$B13=""),0,SUMIF('DADOS BRUTOS'!$A$3:$A$500,$B13,'DADOS BRUTOS'!FL$3:FL$500)+IF($C13="",0,SUMIF('DADOS BRUTOS'!$A$3:$A$500,$C13,'DADOS BRUTOS'!FL$3:FL$500)))</f>
        <v/>
      </c>
      <c r="IM13" s="125">
        <f>IF(OR(IM$4="",$B13=""),0,SUMIF('DADOS BRUTOS'!$A$3:$A$500,$B13,'DADOS BRUTOS'!FM$3:FM$500)+IF($C13="",0,SUMIF('DADOS BRUTOS'!$A$3:$A$500,$C13,'DADOS BRUTOS'!FM$3:FM$500)))</f>
        <v/>
      </c>
      <c r="IN13" s="125">
        <f>IF(OR(IN$4="",$B13=""),0,SUMIF('DADOS BRUTOS'!$A$3:$A$500,$B13,'DADOS BRUTOS'!FN$3:FN$500)+IF($C13="",0,SUMIF('DADOS BRUTOS'!$A$3:$A$500,$C13,'DADOS BRUTOS'!FN$3:FN$500)))</f>
        <v/>
      </c>
      <c r="IO13" s="125">
        <f>IF(OR(IO$4="",$B13=""),0,SUMIF('DADOS BRUTOS'!$A$3:$A$500,$B13,'DADOS BRUTOS'!FO$3:FO$500)+IF($C13="",0,SUMIF('DADOS BRUTOS'!$A$3:$A$500,$C13,'DADOS BRUTOS'!FO$3:FO$500)))</f>
        <v/>
      </c>
      <c r="IP13" s="125">
        <f>IF(OR(IP$4="",$B13=""),0,SUMIF('DADOS BRUTOS'!$A$3:$A$500,$B13,'DADOS BRUTOS'!FP$3:FP$500)+IF($C13="",0,SUMIF('DADOS BRUTOS'!$A$3:$A$500,$C13,'DADOS BRUTOS'!FP$3:FP$500)))</f>
        <v/>
      </c>
      <c r="IQ13" s="125">
        <f>IF(OR(IQ$4="",$B13=""),0,SUMIF('DADOS BRUTOS'!$A$3:$A$500,$B13,'DADOS BRUTOS'!FQ$3:FQ$500)+IF($C13="",0,SUMIF('DADOS BRUTOS'!$A$3:$A$500,$C13,'DADOS BRUTOS'!FQ$3:FQ$500)))</f>
        <v/>
      </c>
      <c r="IR13" s="125">
        <f>IF(OR(IR$4="",$B13=""),0,SUMIF('DADOS BRUTOS'!$A$3:$A$500,$B13,'DADOS BRUTOS'!FR$3:FR$500)+IF($C13="",0,SUMIF('DADOS BRUTOS'!$A$3:$A$500,$C13,'DADOS BRUTOS'!FR$3:FR$500)))</f>
        <v/>
      </c>
      <c r="IS13" s="125">
        <f>IF(OR(IS$4="",$B13=""),0,SUMIF('DADOS BRUTOS'!$A$3:$A$500,$B13,'DADOS BRUTOS'!FS$3:FS$500)+IF($C13="",0,SUMIF('DADOS BRUTOS'!$A$3:$A$500,$C13,'DADOS BRUTOS'!FS$3:FS$500)))</f>
        <v/>
      </c>
      <c r="IT13" s="125">
        <f>IF(OR(IT$4="",$B13=""),0,SUMIF('DADOS BRUTOS'!$A$3:$A$500,$B13,'DADOS BRUTOS'!FT$3:FT$500)+IF($C13="",0,SUMIF('DADOS BRUTOS'!$A$3:$A$500,$C13,'DADOS BRUTOS'!FT$3:FT$500)))</f>
        <v/>
      </c>
      <c r="IU13" s="125">
        <f>IF(OR(IU$4="",$B13=""),0,SUMIF('DADOS BRUTOS'!$A$3:$A$500,$B13,'DADOS BRUTOS'!FU$3:FU$500)+IF($C13="",0,SUMIF('DADOS BRUTOS'!$A$3:$A$500,$C13,'DADOS BRUTOS'!FU$3:FU$500)))</f>
        <v/>
      </c>
      <c r="IV13" s="125">
        <f>IF(OR(IV$4="",$B13=""),0,SUMIF('DADOS BRUTOS'!$A$3:$A$500,$B13,'DADOS BRUTOS'!FV$3:FV$500)+IF($C13="",0,SUMIF('DADOS BRUTOS'!$A$3:$A$500,$C13,'DADOS BRUTOS'!FV$3:FV$500)))</f>
        <v/>
      </c>
      <c r="IW13" s="125">
        <f>IF(OR(IW$4="",$B13=""),0,SUMIF('DADOS BRUTOS'!$A$3:$A$500,$B13,'DADOS BRUTOS'!FW$3:FW$500)+IF($C13="",0,SUMIF('DADOS BRUTOS'!$A$3:$A$500,$C13,'DADOS BRUTOS'!FW$3:FW$500)))</f>
        <v/>
      </c>
      <c r="IX13" s="125">
        <f>IF(OR(IX$4="",$B13=""),0,SUMIF('DADOS BRUTOS'!$A$3:$A$500,$B13,'DADOS BRUTOS'!FX$3:FX$500)+IF($C13="",0,SUMIF('DADOS BRUTOS'!$A$3:$A$500,$C13,'DADOS BRUTOS'!FX$3:FX$500)))</f>
        <v/>
      </c>
      <c r="IY13" s="125">
        <f>IF(OR(IY$4="",$B13=""),0,SUMIF('DADOS BRUTOS'!$A$3:$A$500,$B13,'DADOS BRUTOS'!FY$3:FY$500)+IF($C13="",0,SUMIF('DADOS BRUTOS'!$A$3:$A$500,$C13,'DADOS BRUTOS'!FY$3:FY$500)))</f>
        <v/>
      </c>
      <c r="IZ13" s="125">
        <f>IF(OR(IZ$4="",$B13=""),0,SUMIF('DADOS BRUTOS'!$A$3:$A$500,$B13,'DADOS BRUTOS'!FZ$3:FZ$500)+IF($C13="",0,SUMIF('DADOS BRUTOS'!$A$3:$A$500,$C13,'DADOS BRUTOS'!FZ$3:FZ$500)))</f>
        <v/>
      </c>
      <c r="JA13" s="125">
        <f>IF(OR(JA$4="",$B13=""),0,SUMIF('DADOS BRUTOS'!$A$3:$A$500,$B13,'DADOS BRUTOS'!GA$3:GA$500)+IF($C13="",0,SUMIF('DADOS BRUTOS'!$A$3:$A$500,$C13,'DADOS BRUTOS'!GA$3:GA$500)))</f>
        <v/>
      </c>
      <c r="JB13" s="125">
        <f>IF(OR(JB$4="",$B13=""),0,SUMIF('DADOS BRUTOS'!$A$3:$A$500,$B13,'DADOS BRUTOS'!GB$3:GB$500)+IF($C13="",0,SUMIF('DADOS BRUTOS'!$A$3:$A$500,$C13,'DADOS BRUTOS'!GB$3:GB$500)))</f>
        <v/>
      </c>
      <c r="JC13" s="125">
        <f>IF(OR(JC$4="",$B13=""),0,SUMIF('DADOS BRUTOS'!$A$3:$A$500,$B13,'DADOS BRUTOS'!GC$3:GC$500)+IF($C13="",0,SUMIF('DADOS BRUTOS'!$A$3:$A$500,$C13,'DADOS BRUTOS'!GC$3:GC$500)))</f>
        <v/>
      </c>
      <c r="JD13" s="125">
        <f>IF(OR(JD$4="",$B13=""),0,SUMIF('DADOS BRUTOS'!$A$3:$A$500,$B13,'DADOS BRUTOS'!GD$3:GD$500)+IF($C13="",0,SUMIF('DADOS BRUTOS'!$A$3:$A$500,$C13,'DADOS BRUTOS'!GD$3:GD$500)))</f>
        <v/>
      </c>
      <c r="JE13" s="125">
        <f>IF(OR(JE$4="",$B13=""),0,SUMIF('DADOS BRUTOS'!$A$3:$A$500,$B13,'DADOS BRUTOS'!GE$3:GE$500)+IF($C13="",0,SUMIF('DADOS BRUTOS'!$A$3:$A$500,$C13,'DADOS BRUTOS'!GE$3:GE$500)))</f>
        <v/>
      </c>
      <c r="JF13" s="125">
        <f>IF(OR(JF$4="",$B13=""),0,SUMIF('DADOS BRUTOS'!$A$3:$A$500,$B13,'DADOS BRUTOS'!GF$3:GF$500)+IF($C13="",0,SUMIF('DADOS BRUTOS'!$A$3:$A$500,$C13,'DADOS BRUTOS'!GF$3:GF$500)))</f>
        <v/>
      </c>
      <c r="JG13" s="125">
        <f>IF(OR(JG$4="",$B13=""),0,SUMIF('DADOS BRUTOS'!$A$3:$A$500,$B13,'DADOS BRUTOS'!GG$3:GG$500)+IF($C13="",0,SUMIF('DADOS BRUTOS'!$A$3:$A$500,$C13,'DADOS BRUTOS'!GG$3:GG$500)))</f>
        <v/>
      </c>
      <c r="JH13" s="125">
        <f>IF(OR(JH$4="",$B13=""),0,SUMIF('DADOS BRUTOS'!$A$3:$A$500,$B13,'DADOS BRUTOS'!GH$3:GH$500)+IF($C13="",0,SUMIF('DADOS BRUTOS'!$A$3:$A$500,$C13,'DADOS BRUTOS'!GH$3:GH$500)))</f>
        <v/>
      </c>
      <c r="JI13" s="125">
        <f>IF(OR(JI$4="",$B13=""),0,SUMIF('DADOS BRUTOS'!$A$3:$A$500,$B13,'DADOS BRUTOS'!GI$3:GI$500)+IF($C13="",0,SUMIF('DADOS BRUTOS'!$A$3:$A$500,$C13,'DADOS BRUTOS'!GI$3:GI$500)))</f>
        <v/>
      </c>
      <c r="JJ13" s="125">
        <f>IF(OR(JJ$4="",$B13=""),0,SUMIF('DADOS BRUTOS'!$A$3:$A$500,$B13,'DADOS BRUTOS'!GJ$3:GJ$500)+IF($C13="",0,SUMIF('DADOS BRUTOS'!$A$3:$A$500,$C13,'DADOS BRUTOS'!GJ$3:GJ$500)))</f>
        <v/>
      </c>
      <c r="JK13" s="125">
        <f>IF(OR(JK$4="",$B13=""),0,SUMIF('DADOS BRUTOS'!$A$3:$A$500,$B13,'DADOS BRUTOS'!GK$3:GK$500)+IF($C13="",0,SUMIF('DADOS BRUTOS'!$A$3:$A$500,$C13,'DADOS BRUTOS'!GK$3:GK$500)))</f>
        <v/>
      </c>
      <c r="JL13" s="125">
        <f>IF(OR(JL$4="",$B13=""),0,SUMIF('DADOS BRUTOS'!$A$3:$A$500,$B13,'DADOS BRUTOS'!GL$3:GL$500)+IF($C13="",0,SUMIF('DADOS BRUTOS'!$A$3:$A$500,$C13,'DADOS BRUTOS'!GL$3:GL$500)))</f>
        <v/>
      </c>
      <c r="JM13" s="125">
        <f>IF(OR(JM$4="",$B13=""),0,SUMIF('DADOS BRUTOS'!$A$3:$A$500,$B13,'DADOS BRUTOS'!GM$3:GM$500)+IF($C13="",0,SUMIF('DADOS BRUTOS'!$A$3:$A$500,$C13,'DADOS BRUTOS'!GM$3:GM$500)))</f>
        <v/>
      </c>
      <c r="JN13" s="125">
        <f>IF(OR(JN$4="",$B13=""),0,SUMIF('DADOS BRUTOS'!$A$3:$A$500,$B13,'DADOS BRUTOS'!GN$3:GN$500)+IF($C13="",0,SUMIF('DADOS BRUTOS'!$A$3:$A$500,$C13,'DADOS BRUTOS'!GN$3:GN$500)))</f>
        <v/>
      </c>
      <c r="JO13" s="125">
        <f>IF(OR(JO$4="",$B13=""),0,SUMIF('DADOS BRUTOS'!$A$3:$A$500,$B13,'DADOS BRUTOS'!GO$3:GO$500)+IF($C13="",0,SUMIF('DADOS BRUTOS'!$A$3:$A$500,$C13,'DADOS BRUTOS'!GO$3:GO$500)))</f>
        <v/>
      </c>
      <c r="JP13" s="125">
        <f>IF(OR(JP$4="",$B13=""),0,SUMIF('DADOS BRUTOS'!$A$3:$A$500,$B13,'DADOS BRUTOS'!GP$3:GP$500)+IF($C13="",0,SUMIF('DADOS BRUTOS'!$A$3:$A$500,$C13,'DADOS BRUTOS'!GP$3:GP$500)))</f>
        <v/>
      </c>
      <c r="JQ13" s="125">
        <f>IF(OR(JQ$4="",$B13=""),0,SUMIF('DADOS BRUTOS'!$A$3:$A$500,$B13,'DADOS BRUTOS'!GQ$3:GQ$500)+IF($C13="",0,SUMIF('DADOS BRUTOS'!$A$3:$A$500,$C13,'DADOS BRUTOS'!GQ$3:GQ$500)))</f>
        <v/>
      </c>
      <c r="JR13" s="125">
        <f>IF(OR(JR$4="",$B13=""),0,SUMIF('DADOS BRUTOS'!$A$3:$A$500,$B13,'DADOS BRUTOS'!GR$3:GR$500)+IF($C13="",0,SUMIF('DADOS BRUTOS'!$A$3:$A$500,$C13,'DADOS BRUTOS'!GR$3:GR$500)))</f>
        <v/>
      </c>
      <c r="JS13" s="125">
        <f>IF(OR(JS$4="",$B13=""),0,SUMIF('DADOS BRUTOS'!$A$3:$A$500,$B13,'DADOS BRUTOS'!GS$3:GS$500)+IF($C13="",0,SUMIF('DADOS BRUTOS'!$A$3:$A$500,$C13,'DADOS BRUTOS'!GS$3:GS$500)))</f>
        <v/>
      </c>
    </row>
    <row r="14">
      <c r="A14" s="61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BZ14" s="49">
        <f>SUMPRODUCT(($CB$4:$JS$4&lt;&gt;"")*($CB$4:$JS$4&lt;=$D$4),$CB14:$JS14,$CB$1:$JS$1)</f>
        <v/>
      </c>
      <c r="CB14" s="125">
        <f>IF(OR(CB$4="",$B14=""),0,SUMIF('DADOS BRUTOS'!$A$3:$A$500,$B14,'DADOS BRUTOS'!B$3:B$500)+IF($C14="",0,SUMIF('DADOS BRUTOS'!$A$3:$A$500,$C14,'DADOS BRUTOS'!B$3:B$500)))</f>
        <v/>
      </c>
      <c r="CC14" s="125">
        <f>IF(OR(CC$4="",$B14=""),0,SUMIF('DADOS BRUTOS'!$A$3:$A$500,$B14,'DADOS BRUTOS'!C$3:C$500)+IF($C14="",0,SUMIF('DADOS BRUTOS'!$A$3:$A$500,$C14,'DADOS BRUTOS'!C$3:C$500)))</f>
        <v/>
      </c>
      <c r="CD14" s="125">
        <f>IF(OR(CD$4="",$B14=""),0,SUMIF('DADOS BRUTOS'!$A$3:$A$500,$B14,'DADOS BRUTOS'!D$3:D$500)+IF($C14="",0,SUMIF('DADOS BRUTOS'!$A$3:$A$500,$C14,'DADOS BRUTOS'!D$3:D$500)))</f>
        <v/>
      </c>
      <c r="CE14" s="125">
        <f>IF(OR(CE$4="",$B14=""),0,SUMIF('DADOS BRUTOS'!$A$3:$A$500,$B14,'DADOS BRUTOS'!E$3:E$500)+IF($C14="",0,SUMIF('DADOS BRUTOS'!$A$3:$A$500,$C14,'DADOS BRUTOS'!E$3:E$500)))</f>
        <v/>
      </c>
      <c r="CF14" s="125">
        <f>IF(OR(CF$4="",$B14=""),0,SUMIF('DADOS BRUTOS'!$A$3:$A$500,$B14,'DADOS BRUTOS'!F$3:F$500)+IF($C14="",0,SUMIF('DADOS BRUTOS'!$A$3:$A$500,$C14,'DADOS BRUTOS'!F$3:F$500)))</f>
        <v/>
      </c>
      <c r="CG14" s="125">
        <f>IF(OR(CG$4="",$B14=""),0,SUMIF('DADOS BRUTOS'!$A$3:$A$500,$B14,'DADOS BRUTOS'!G$3:G$500)+IF($C14="",0,SUMIF('DADOS BRUTOS'!$A$3:$A$500,$C14,'DADOS BRUTOS'!G$3:G$500)))</f>
        <v/>
      </c>
      <c r="CH14" s="125">
        <f>IF(OR(CH$4="",$B14=""),0,SUMIF('DADOS BRUTOS'!$A$3:$A$500,$B14,'DADOS BRUTOS'!H$3:H$500)+IF($C14="",0,SUMIF('DADOS BRUTOS'!$A$3:$A$500,$C14,'DADOS BRUTOS'!H$3:H$500)))</f>
        <v/>
      </c>
      <c r="CI14" s="125">
        <f>IF(OR(CI$4="",$B14=""),0,SUMIF('DADOS BRUTOS'!$A$3:$A$500,$B14,'DADOS BRUTOS'!I$3:I$500)+IF($C14="",0,SUMIF('DADOS BRUTOS'!$A$3:$A$500,$C14,'DADOS BRUTOS'!I$3:I$500)))</f>
        <v/>
      </c>
      <c r="CJ14" s="125">
        <f>IF(OR(CJ$4="",$B14=""),0,SUMIF('DADOS BRUTOS'!$A$3:$A$500,$B14,'DADOS BRUTOS'!J$3:J$500)+IF($C14="",0,SUMIF('DADOS BRUTOS'!$A$3:$A$500,$C14,'DADOS BRUTOS'!J$3:J$500)))</f>
        <v/>
      </c>
      <c r="CK14" s="125">
        <f>IF(OR(CK$4="",$B14=""),0,SUMIF('DADOS BRUTOS'!$A$3:$A$500,$B14,'DADOS BRUTOS'!K$3:K$500)+IF($C14="",0,SUMIF('DADOS BRUTOS'!$A$3:$A$500,$C14,'DADOS BRUTOS'!K$3:K$500)))</f>
        <v/>
      </c>
      <c r="CL14" s="125">
        <f>IF(OR(CL$4="",$B14=""),0,SUMIF('DADOS BRUTOS'!$A$3:$A$500,$B14,'DADOS BRUTOS'!L$3:L$500)+IF($C14="",0,SUMIF('DADOS BRUTOS'!$A$3:$A$500,$C14,'DADOS BRUTOS'!L$3:L$500)))</f>
        <v/>
      </c>
      <c r="CM14" s="125">
        <f>IF(OR(CM$4="",$B14=""),0,SUMIF('DADOS BRUTOS'!$A$3:$A$500,$B14,'DADOS BRUTOS'!M$3:M$500)+IF($C14="",0,SUMIF('DADOS BRUTOS'!$A$3:$A$500,$C14,'DADOS BRUTOS'!M$3:M$500)))</f>
        <v/>
      </c>
      <c r="CN14" s="125">
        <f>IF(OR(CN$4="",$B14=""),0,SUMIF('DADOS BRUTOS'!$A$3:$A$500,$B14,'DADOS BRUTOS'!N$3:N$500)+IF($C14="",0,SUMIF('DADOS BRUTOS'!$A$3:$A$500,$C14,'DADOS BRUTOS'!N$3:N$500)))</f>
        <v/>
      </c>
      <c r="CO14" s="125">
        <f>IF(OR(CO$4="",$B14=""),0,SUMIF('DADOS BRUTOS'!$A$3:$A$500,$B14,'DADOS BRUTOS'!O$3:O$500)+IF($C14="",0,SUMIF('DADOS BRUTOS'!$A$3:$A$500,$C14,'DADOS BRUTOS'!O$3:O$500)))</f>
        <v/>
      </c>
      <c r="CP14" s="125">
        <f>IF(OR(CP$4="",$B14=""),0,SUMIF('DADOS BRUTOS'!$A$3:$A$500,$B14,'DADOS BRUTOS'!P$3:P$500)+IF($C14="",0,SUMIF('DADOS BRUTOS'!$A$3:$A$500,$C14,'DADOS BRUTOS'!P$3:P$500)))</f>
        <v/>
      </c>
      <c r="CQ14" s="125">
        <f>IF(OR(CQ$4="",$B14=""),0,SUMIF('DADOS BRUTOS'!$A$3:$A$500,$B14,'DADOS BRUTOS'!Q$3:Q$500)+IF($C14="",0,SUMIF('DADOS BRUTOS'!$A$3:$A$500,$C14,'DADOS BRUTOS'!Q$3:Q$500)))</f>
        <v/>
      </c>
      <c r="CR14" s="125">
        <f>IF(OR(CR$4="",$B14=""),0,SUMIF('DADOS BRUTOS'!$A$3:$A$500,$B14,'DADOS BRUTOS'!R$3:R$500)+IF($C14="",0,SUMIF('DADOS BRUTOS'!$A$3:$A$500,$C14,'DADOS BRUTOS'!R$3:R$500)))</f>
        <v/>
      </c>
      <c r="CS14" s="125">
        <f>IF(OR(CS$4="",$B14=""),0,SUMIF('DADOS BRUTOS'!$A$3:$A$500,$B14,'DADOS BRUTOS'!S$3:S$500)+IF($C14="",0,SUMIF('DADOS BRUTOS'!$A$3:$A$500,$C14,'DADOS BRUTOS'!S$3:S$500)))</f>
        <v/>
      </c>
      <c r="CT14" s="125">
        <f>IF(OR(CT$4="",$B14=""),0,SUMIF('DADOS BRUTOS'!$A$3:$A$500,$B14,'DADOS BRUTOS'!T$3:T$500)+IF($C14="",0,SUMIF('DADOS BRUTOS'!$A$3:$A$500,$C14,'DADOS BRUTOS'!T$3:T$500)))</f>
        <v/>
      </c>
      <c r="CU14" s="125">
        <f>IF(OR(CU$4="",$B14=""),0,SUMIF('DADOS BRUTOS'!$A$3:$A$500,$B14,'DADOS BRUTOS'!U$3:U$500)+IF($C14="",0,SUMIF('DADOS BRUTOS'!$A$3:$A$500,$C14,'DADOS BRUTOS'!U$3:U$500)))</f>
        <v/>
      </c>
      <c r="CV14" s="125">
        <f>IF(OR(CV$4="",$B14=""),0,SUMIF('DADOS BRUTOS'!$A$3:$A$500,$B14,'DADOS BRUTOS'!V$3:V$500)+IF($C14="",0,SUMIF('DADOS BRUTOS'!$A$3:$A$500,$C14,'DADOS BRUTOS'!V$3:V$500)))</f>
        <v/>
      </c>
      <c r="CW14" s="125">
        <f>IF(OR(CW$4="",$B14=""),0,SUMIF('DADOS BRUTOS'!$A$3:$A$500,$B14,'DADOS BRUTOS'!W$3:W$500)+IF($C14="",0,SUMIF('DADOS BRUTOS'!$A$3:$A$500,$C14,'DADOS BRUTOS'!W$3:W$500)))</f>
        <v/>
      </c>
      <c r="CX14" s="125">
        <f>IF(OR(CX$4="",$B14=""),0,SUMIF('DADOS BRUTOS'!$A$3:$A$500,$B14,'DADOS BRUTOS'!X$3:X$500)+IF($C14="",0,SUMIF('DADOS BRUTOS'!$A$3:$A$500,$C14,'DADOS BRUTOS'!X$3:X$500)))</f>
        <v/>
      </c>
      <c r="CY14" s="125">
        <f>IF(OR(CY$4="",$B14=""),0,SUMIF('DADOS BRUTOS'!$A$3:$A$500,$B14,'DADOS BRUTOS'!Y$3:Y$500)+IF($C14="",0,SUMIF('DADOS BRUTOS'!$A$3:$A$500,$C14,'DADOS BRUTOS'!Y$3:Y$500)))</f>
        <v/>
      </c>
      <c r="CZ14" s="125">
        <f>IF(OR(CZ$4="",$B14=""),0,SUMIF('DADOS BRUTOS'!$A$3:$A$500,$B14,'DADOS BRUTOS'!Z$3:Z$500)+IF($C14="",0,SUMIF('DADOS BRUTOS'!$A$3:$A$500,$C14,'DADOS BRUTOS'!Z$3:Z$500)))</f>
        <v/>
      </c>
      <c r="DA14" s="125">
        <f>IF(OR(DA$4="",$B14=""),0,SUMIF('DADOS BRUTOS'!$A$3:$A$500,$B14,'DADOS BRUTOS'!AA$3:AA$500)+IF($C14="",0,SUMIF('DADOS BRUTOS'!$A$3:$A$500,$C14,'DADOS BRUTOS'!AA$3:AA$500)))</f>
        <v/>
      </c>
      <c r="DB14" s="125">
        <f>IF(OR(DB$4="",$B14=""),0,SUMIF('DADOS BRUTOS'!$A$3:$A$500,$B14,'DADOS BRUTOS'!AB$3:AB$500)+IF($C14="",0,SUMIF('DADOS BRUTOS'!$A$3:$A$500,$C14,'DADOS BRUTOS'!AB$3:AB$500)))</f>
        <v/>
      </c>
      <c r="DC14" s="125">
        <f>IF(OR(DC$4="",$B14=""),0,SUMIF('DADOS BRUTOS'!$A$3:$A$500,$B14,'DADOS BRUTOS'!AC$3:AC$500)+IF($C14="",0,SUMIF('DADOS BRUTOS'!$A$3:$A$500,$C14,'DADOS BRUTOS'!AC$3:AC$500)))</f>
        <v/>
      </c>
      <c r="DD14" s="125">
        <f>IF(OR(DD$4="",$B14=""),0,SUMIF('DADOS BRUTOS'!$A$3:$A$500,$B14,'DADOS BRUTOS'!AD$3:AD$500)+IF($C14="",0,SUMIF('DADOS BRUTOS'!$A$3:$A$500,$C14,'DADOS BRUTOS'!AD$3:AD$500)))</f>
        <v/>
      </c>
      <c r="DE14" s="125">
        <f>IF(OR(DE$4="",$B14=""),0,SUMIF('DADOS BRUTOS'!$A$3:$A$500,$B14,'DADOS BRUTOS'!AE$3:AE$500)+IF($C14="",0,SUMIF('DADOS BRUTOS'!$A$3:$A$500,$C14,'DADOS BRUTOS'!AE$3:AE$500)))</f>
        <v/>
      </c>
      <c r="DF14" s="125">
        <f>IF(OR(DF$4="",$B14=""),0,SUMIF('DADOS BRUTOS'!$A$3:$A$500,$B14,'DADOS BRUTOS'!AF$3:AF$500)+IF($C14="",0,SUMIF('DADOS BRUTOS'!$A$3:$A$500,$C14,'DADOS BRUTOS'!AF$3:AF$500)))</f>
        <v/>
      </c>
      <c r="DG14" s="125">
        <f>IF(OR(DG$4="",$B14=""),0,SUMIF('DADOS BRUTOS'!$A$3:$A$500,$B14,'DADOS BRUTOS'!AG$3:AG$500)+IF($C14="",0,SUMIF('DADOS BRUTOS'!$A$3:$A$500,$C14,'DADOS BRUTOS'!AG$3:AG$500)))</f>
        <v/>
      </c>
      <c r="DH14" s="125">
        <f>IF(OR(DH$4="",$B14=""),0,SUMIF('DADOS BRUTOS'!$A$3:$A$500,$B14,'DADOS BRUTOS'!AH$3:AH$500)+IF($C14="",0,SUMIF('DADOS BRUTOS'!$A$3:$A$500,$C14,'DADOS BRUTOS'!AH$3:AH$500)))</f>
        <v/>
      </c>
      <c r="DI14" s="125">
        <f>IF(OR(DI$4="",$B14=""),0,SUMIF('DADOS BRUTOS'!$A$3:$A$500,$B14,'DADOS BRUTOS'!AI$3:AI$500)+IF($C14="",0,SUMIF('DADOS BRUTOS'!$A$3:$A$500,$C14,'DADOS BRUTOS'!AI$3:AI$500)))</f>
        <v/>
      </c>
      <c r="DJ14" s="125">
        <f>IF(OR(DJ$4="",$B14=""),0,SUMIF('DADOS BRUTOS'!$A$3:$A$500,$B14,'DADOS BRUTOS'!AJ$3:AJ$500)+IF($C14="",0,SUMIF('DADOS BRUTOS'!$A$3:$A$500,$C14,'DADOS BRUTOS'!AJ$3:AJ$500)))</f>
        <v/>
      </c>
      <c r="DK14" s="125">
        <f>IF(OR(DK$4="",$B14=""),0,SUMIF('DADOS BRUTOS'!$A$3:$A$500,$B14,'DADOS BRUTOS'!AK$3:AK$500)+IF($C14="",0,SUMIF('DADOS BRUTOS'!$A$3:$A$500,$C14,'DADOS BRUTOS'!AK$3:AK$500)))</f>
        <v/>
      </c>
      <c r="DL14" s="125">
        <f>IF(OR(DL$4="",$B14=""),0,SUMIF('DADOS BRUTOS'!$A$3:$A$500,$B14,'DADOS BRUTOS'!AL$3:AL$500)+IF($C14="",0,SUMIF('DADOS BRUTOS'!$A$3:$A$500,$C14,'DADOS BRUTOS'!AL$3:AL$500)))</f>
        <v/>
      </c>
      <c r="DM14" s="125">
        <f>IF(OR(DM$4="",$B14=""),0,SUMIF('DADOS BRUTOS'!$A$3:$A$500,$B14,'DADOS BRUTOS'!AM$3:AM$500)+IF($C14="",0,SUMIF('DADOS BRUTOS'!$A$3:$A$500,$C14,'DADOS BRUTOS'!AM$3:AM$500)))</f>
        <v/>
      </c>
      <c r="DN14" s="125">
        <f>IF(OR(DN$4="",$B14=""),0,SUMIF('DADOS BRUTOS'!$A$3:$A$500,$B14,'DADOS BRUTOS'!AN$3:AN$500)+IF($C14="",0,SUMIF('DADOS BRUTOS'!$A$3:$A$500,$C14,'DADOS BRUTOS'!AN$3:AN$500)))</f>
        <v/>
      </c>
      <c r="DO14" s="125">
        <f>IF(OR(DO$4="",$B14=""),0,SUMIF('DADOS BRUTOS'!$A$3:$A$500,$B14,'DADOS BRUTOS'!AO$3:AO$500)+IF($C14="",0,SUMIF('DADOS BRUTOS'!$A$3:$A$500,$C14,'DADOS BRUTOS'!AO$3:AO$500)))</f>
        <v/>
      </c>
      <c r="DP14" s="125">
        <f>IF(OR(DP$4="",$B14=""),0,SUMIF('DADOS BRUTOS'!$A$3:$A$500,$B14,'DADOS BRUTOS'!AP$3:AP$500)+IF($C14="",0,SUMIF('DADOS BRUTOS'!$A$3:$A$500,$C14,'DADOS BRUTOS'!AP$3:AP$500)))</f>
        <v/>
      </c>
      <c r="DQ14" s="125">
        <f>IF(OR(DQ$4="",$B14=""),0,SUMIF('DADOS BRUTOS'!$A$3:$A$500,$B14,'DADOS BRUTOS'!AQ$3:AQ$500)+IF($C14="",0,SUMIF('DADOS BRUTOS'!$A$3:$A$500,$C14,'DADOS BRUTOS'!AQ$3:AQ$500)))</f>
        <v/>
      </c>
      <c r="DR14" s="125">
        <f>IF(OR(DR$4="",$B14=""),0,SUMIF('DADOS BRUTOS'!$A$3:$A$500,$B14,'DADOS BRUTOS'!AR$3:AR$500)+IF($C14="",0,SUMIF('DADOS BRUTOS'!$A$3:$A$500,$C14,'DADOS BRUTOS'!AR$3:AR$500)))</f>
        <v/>
      </c>
      <c r="DS14" s="125">
        <f>IF(OR(DS$4="",$B14=""),0,SUMIF('DADOS BRUTOS'!$A$3:$A$500,$B14,'DADOS BRUTOS'!AS$3:AS$500)+IF($C14="",0,SUMIF('DADOS BRUTOS'!$A$3:$A$500,$C14,'DADOS BRUTOS'!AS$3:AS$500)))</f>
        <v/>
      </c>
      <c r="DT14" s="125">
        <f>IF(OR(DT$4="",$B14=""),0,SUMIF('DADOS BRUTOS'!$A$3:$A$500,$B14,'DADOS BRUTOS'!AT$3:AT$500)+IF($C14="",0,SUMIF('DADOS BRUTOS'!$A$3:$A$500,$C14,'DADOS BRUTOS'!AT$3:AT$500)))</f>
        <v/>
      </c>
      <c r="DU14" s="125">
        <f>IF(OR(DU$4="",$B14=""),0,SUMIF('DADOS BRUTOS'!$A$3:$A$500,$B14,'DADOS BRUTOS'!AU$3:AU$500)+IF($C14="",0,SUMIF('DADOS BRUTOS'!$A$3:$A$500,$C14,'DADOS BRUTOS'!AU$3:AU$500)))</f>
        <v/>
      </c>
      <c r="DV14" s="125">
        <f>IF(OR(DV$4="",$B14=""),0,SUMIF('DADOS BRUTOS'!$A$3:$A$500,$B14,'DADOS BRUTOS'!AV$3:AV$500)+IF($C14="",0,SUMIF('DADOS BRUTOS'!$A$3:$A$500,$C14,'DADOS BRUTOS'!AV$3:AV$500)))</f>
        <v/>
      </c>
      <c r="DW14" s="125">
        <f>IF(OR(DW$4="",$B14=""),0,SUMIF('DADOS BRUTOS'!$A$3:$A$500,$B14,'DADOS BRUTOS'!AW$3:AW$500)+IF($C14="",0,SUMIF('DADOS BRUTOS'!$A$3:$A$500,$C14,'DADOS BRUTOS'!AW$3:AW$500)))</f>
        <v/>
      </c>
      <c r="DX14" s="125">
        <f>IF(OR(DX$4="",$B14=""),0,SUMIF('DADOS BRUTOS'!$A$3:$A$500,$B14,'DADOS BRUTOS'!AX$3:AX$500)+IF($C14="",0,SUMIF('DADOS BRUTOS'!$A$3:$A$500,$C14,'DADOS BRUTOS'!AX$3:AX$500)))</f>
        <v/>
      </c>
      <c r="DY14" s="125">
        <f>IF(OR(DY$4="",$B14=""),0,SUMIF('DADOS BRUTOS'!$A$3:$A$500,$B14,'DADOS BRUTOS'!AY$3:AY$500)+IF($C14="",0,SUMIF('DADOS BRUTOS'!$A$3:$A$500,$C14,'DADOS BRUTOS'!AY$3:AY$500)))</f>
        <v/>
      </c>
      <c r="DZ14" s="125">
        <f>IF(OR(DZ$4="",$B14=""),0,SUMIF('DADOS BRUTOS'!$A$3:$A$500,$B14,'DADOS BRUTOS'!AZ$3:AZ$500)+IF($C14="",0,SUMIF('DADOS BRUTOS'!$A$3:$A$500,$C14,'DADOS BRUTOS'!AZ$3:AZ$500)))</f>
        <v/>
      </c>
      <c r="EA14" s="125">
        <f>IF(OR(EA$4="",$B14=""),0,SUMIF('DADOS BRUTOS'!$A$3:$A$500,$B14,'DADOS BRUTOS'!BA$3:BA$500)+IF($C14="",0,SUMIF('DADOS BRUTOS'!$A$3:$A$500,$C14,'DADOS BRUTOS'!BA$3:BA$500)))</f>
        <v/>
      </c>
      <c r="EB14" s="125">
        <f>IF(OR(EB$4="",$B14=""),0,SUMIF('DADOS BRUTOS'!$A$3:$A$500,$B14,'DADOS BRUTOS'!BB$3:BB$500)+IF($C14="",0,SUMIF('DADOS BRUTOS'!$A$3:$A$500,$C14,'DADOS BRUTOS'!BB$3:BB$500)))</f>
        <v/>
      </c>
      <c r="EC14" s="125">
        <f>IF(OR(EC$4="",$B14=""),0,SUMIF('DADOS BRUTOS'!$A$3:$A$500,$B14,'DADOS BRUTOS'!BC$3:BC$500)+IF($C14="",0,SUMIF('DADOS BRUTOS'!$A$3:$A$500,$C14,'DADOS BRUTOS'!BC$3:BC$500)))</f>
        <v/>
      </c>
      <c r="ED14" s="125">
        <f>IF(OR(ED$4="",$B14=""),0,SUMIF('DADOS BRUTOS'!$A$3:$A$500,$B14,'DADOS BRUTOS'!BD$3:BD$500)+IF($C14="",0,SUMIF('DADOS BRUTOS'!$A$3:$A$500,$C14,'DADOS BRUTOS'!BD$3:BD$500)))</f>
        <v/>
      </c>
      <c r="EE14" s="125">
        <f>IF(OR(EE$4="",$B14=""),0,SUMIF('DADOS BRUTOS'!$A$3:$A$500,$B14,'DADOS BRUTOS'!BE$3:BE$500)+IF($C14="",0,SUMIF('DADOS BRUTOS'!$A$3:$A$500,$C14,'DADOS BRUTOS'!BE$3:BE$500)))</f>
        <v/>
      </c>
      <c r="EF14" s="125">
        <f>IF(OR(EF$4="",$B14=""),0,SUMIF('DADOS BRUTOS'!$A$3:$A$500,$B14,'DADOS BRUTOS'!BF$3:BF$500)+IF($C14="",0,SUMIF('DADOS BRUTOS'!$A$3:$A$500,$C14,'DADOS BRUTOS'!BF$3:BF$500)))</f>
        <v/>
      </c>
      <c r="EG14" s="125">
        <f>IF(OR(EG$4="",$B14=""),0,SUMIF('DADOS BRUTOS'!$A$3:$A$500,$B14,'DADOS BRUTOS'!BG$3:BG$500)+IF($C14="",0,SUMIF('DADOS BRUTOS'!$A$3:$A$500,$C14,'DADOS BRUTOS'!BG$3:BG$500)))</f>
        <v/>
      </c>
      <c r="EH14" s="125">
        <f>IF(OR(EH$4="",$B14=""),0,SUMIF('DADOS BRUTOS'!$A$3:$A$500,$B14,'DADOS BRUTOS'!BH$3:BH$500)+IF($C14="",0,SUMIF('DADOS BRUTOS'!$A$3:$A$500,$C14,'DADOS BRUTOS'!BH$3:BH$500)))</f>
        <v/>
      </c>
      <c r="EI14" s="125">
        <f>IF(OR(EI$4="",$B14=""),0,SUMIF('DADOS BRUTOS'!$A$3:$A$500,$B14,'DADOS BRUTOS'!BI$3:BI$500)+IF($C14="",0,SUMIF('DADOS BRUTOS'!$A$3:$A$500,$C14,'DADOS BRUTOS'!BI$3:BI$500)))</f>
        <v/>
      </c>
      <c r="EJ14" s="125">
        <f>IF(OR(EJ$4="",$B14=""),0,SUMIF('DADOS BRUTOS'!$A$3:$A$500,$B14,'DADOS BRUTOS'!BJ$3:BJ$500)+IF($C14="",0,SUMIF('DADOS BRUTOS'!$A$3:$A$500,$C14,'DADOS BRUTOS'!BJ$3:BJ$500)))</f>
        <v/>
      </c>
      <c r="EK14" s="125">
        <f>IF(OR(EK$4="",$B14=""),0,SUMIF('DADOS BRUTOS'!$A$3:$A$500,$B14,'DADOS BRUTOS'!BK$3:BK$500)+IF($C14="",0,SUMIF('DADOS BRUTOS'!$A$3:$A$500,$C14,'DADOS BRUTOS'!BK$3:BK$500)))</f>
        <v/>
      </c>
      <c r="EL14" s="125">
        <f>IF(OR(EL$4="",$B14=""),0,SUMIF('DADOS BRUTOS'!$A$3:$A$500,$B14,'DADOS BRUTOS'!BL$3:BL$500)+IF($C14="",0,SUMIF('DADOS BRUTOS'!$A$3:$A$500,$C14,'DADOS BRUTOS'!BL$3:BL$500)))</f>
        <v/>
      </c>
      <c r="EM14" s="125">
        <f>IF(OR(EM$4="",$B14=""),0,SUMIF('DADOS BRUTOS'!$A$3:$A$500,$B14,'DADOS BRUTOS'!BM$3:BM$500)+IF($C14="",0,SUMIF('DADOS BRUTOS'!$A$3:$A$500,$C14,'DADOS BRUTOS'!BM$3:BM$500)))</f>
        <v/>
      </c>
      <c r="EN14" s="125">
        <f>IF(OR(EN$4="",$B14=""),0,SUMIF('DADOS BRUTOS'!$A$3:$A$500,$B14,'DADOS BRUTOS'!BN$3:BN$500)+IF($C14="",0,SUMIF('DADOS BRUTOS'!$A$3:$A$500,$C14,'DADOS BRUTOS'!BN$3:BN$500)))</f>
        <v/>
      </c>
      <c r="EO14" s="125">
        <f>IF(OR(EO$4="",$B14=""),0,SUMIF('DADOS BRUTOS'!$A$3:$A$500,$B14,'DADOS BRUTOS'!BO$3:BO$500)+IF($C14="",0,SUMIF('DADOS BRUTOS'!$A$3:$A$500,$C14,'DADOS BRUTOS'!BO$3:BO$500)))</f>
        <v/>
      </c>
      <c r="EP14" s="125">
        <f>IF(OR(EP$4="",$B14=""),0,SUMIF('DADOS BRUTOS'!$A$3:$A$500,$B14,'DADOS BRUTOS'!BP$3:BP$500)+IF($C14="",0,SUMIF('DADOS BRUTOS'!$A$3:$A$500,$C14,'DADOS BRUTOS'!BP$3:BP$500)))</f>
        <v/>
      </c>
      <c r="EQ14" s="125">
        <f>IF(OR(EQ$4="",$B14=""),0,SUMIF('DADOS BRUTOS'!$A$3:$A$500,$B14,'DADOS BRUTOS'!BQ$3:BQ$500)+IF($C14="",0,SUMIF('DADOS BRUTOS'!$A$3:$A$500,$C14,'DADOS BRUTOS'!BQ$3:BQ$500)))</f>
        <v/>
      </c>
      <c r="ER14" s="125">
        <f>IF(OR(ER$4="",$B14=""),0,SUMIF('DADOS BRUTOS'!$A$3:$A$500,$B14,'DADOS BRUTOS'!BR$3:BR$500)+IF($C14="",0,SUMIF('DADOS BRUTOS'!$A$3:$A$500,$C14,'DADOS BRUTOS'!BR$3:BR$500)))</f>
        <v/>
      </c>
      <c r="ES14" s="125">
        <f>IF(OR(ES$4="",$B14=""),0,SUMIF('DADOS BRUTOS'!$A$3:$A$500,$B14,'DADOS BRUTOS'!BS$3:BS$500)+IF($C14="",0,SUMIF('DADOS BRUTOS'!$A$3:$A$500,$C14,'DADOS BRUTOS'!BS$3:BS$500)))</f>
        <v/>
      </c>
      <c r="ET14" s="125">
        <f>IF(OR(ET$4="",$B14=""),0,SUMIF('DADOS BRUTOS'!$A$3:$A$500,$B14,'DADOS BRUTOS'!BT$3:BT$500)+IF($C14="",0,SUMIF('DADOS BRUTOS'!$A$3:$A$500,$C14,'DADOS BRUTOS'!BT$3:BT$500)))</f>
        <v/>
      </c>
      <c r="EU14" s="125">
        <f>IF(OR(EU$4="",$B14=""),0,SUMIF('DADOS BRUTOS'!$A$3:$A$500,$B14,'DADOS BRUTOS'!BU$3:BU$500)+IF($C14="",0,SUMIF('DADOS BRUTOS'!$A$3:$A$500,$C14,'DADOS BRUTOS'!BU$3:BU$500)))</f>
        <v/>
      </c>
      <c r="EV14" s="125">
        <f>IF(OR(EV$4="",$B14=""),0,SUMIF('DADOS BRUTOS'!$A$3:$A$500,$B14,'DADOS BRUTOS'!BV$3:BV$500)+IF($C14="",0,SUMIF('DADOS BRUTOS'!$A$3:$A$500,$C14,'DADOS BRUTOS'!BV$3:BV$500)))</f>
        <v/>
      </c>
      <c r="EW14" s="125">
        <f>IF(OR(EW$4="",$B14=""),0,SUMIF('DADOS BRUTOS'!$A$3:$A$500,$B14,'DADOS BRUTOS'!BW$3:BW$500)+IF($C14="",0,SUMIF('DADOS BRUTOS'!$A$3:$A$500,$C14,'DADOS BRUTOS'!BW$3:BW$500)))</f>
        <v/>
      </c>
      <c r="EX14" s="125">
        <f>IF(OR(EX$4="",$B14=""),0,SUMIF('DADOS BRUTOS'!$A$3:$A$500,$B14,'DADOS BRUTOS'!BX$3:BX$500)+IF($C14="",0,SUMIF('DADOS BRUTOS'!$A$3:$A$500,$C14,'DADOS BRUTOS'!BX$3:BX$500)))</f>
        <v/>
      </c>
      <c r="EY14" s="125">
        <f>IF(OR(EY$4="",$B14=""),0,SUMIF('DADOS BRUTOS'!$A$3:$A$500,$B14,'DADOS BRUTOS'!BY$3:BY$500)+IF($C14="",0,SUMIF('DADOS BRUTOS'!$A$3:$A$500,$C14,'DADOS BRUTOS'!BY$3:BY$500)))</f>
        <v/>
      </c>
      <c r="EZ14" s="125">
        <f>IF(OR(EZ$4="",$B14=""),0,SUMIF('DADOS BRUTOS'!$A$3:$A$500,$B14,'DADOS BRUTOS'!BZ$3:BZ$500)+IF($C14="",0,SUMIF('DADOS BRUTOS'!$A$3:$A$500,$C14,'DADOS BRUTOS'!BZ$3:BZ$500)))</f>
        <v/>
      </c>
      <c r="FA14" s="125">
        <f>IF(OR(FA$4="",$B14=""),0,SUMIF('DADOS BRUTOS'!$A$3:$A$500,$B14,'DADOS BRUTOS'!CA$3:CA$500)+IF($C14="",0,SUMIF('DADOS BRUTOS'!$A$3:$A$500,$C14,'DADOS BRUTOS'!CA$3:CA$500)))</f>
        <v/>
      </c>
      <c r="FB14" s="125">
        <f>IF(OR(FB$4="",$B14=""),0,SUMIF('DADOS BRUTOS'!$A$3:$A$500,$B14,'DADOS BRUTOS'!CB$3:CB$500)+IF($C14="",0,SUMIF('DADOS BRUTOS'!$A$3:$A$500,$C14,'DADOS BRUTOS'!CB$3:CB$500)))</f>
        <v/>
      </c>
      <c r="FC14" s="125">
        <f>IF(OR(FC$4="",$B14=""),0,SUMIF('DADOS BRUTOS'!$A$3:$A$500,$B14,'DADOS BRUTOS'!CC$3:CC$500)+IF($C14="",0,SUMIF('DADOS BRUTOS'!$A$3:$A$500,$C14,'DADOS BRUTOS'!CC$3:CC$500)))</f>
        <v/>
      </c>
      <c r="FD14" s="125">
        <f>IF(OR(FD$4="",$B14=""),0,SUMIF('DADOS BRUTOS'!$A$3:$A$500,$B14,'DADOS BRUTOS'!CD$3:CD$500)+IF($C14="",0,SUMIF('DADOS BRUTOS'!$A$3:$A$500,$C14,'DADOS BRUTOS'!CD$3:CD$500)))</f>
        <v/>
      </c>
      <c r="FE14" s="125">
        <f>IF(OR(FE$4="",$B14=""),0,SUMIF('DADOS BRUTOS'!$A$3:$A$500,$B14,'DADOS BRUTOS'!CE$3:CE$500)+IF($C14="",0,SUMIF('DADOS BRUTOS'!$A$3:$A$500,$C14,'DADOS BRUTOS'!CE$3:CE$500)))</f>
        <v/>
      </c>
      <c r="FF14" s="125">
        <f>IF(OR(FF$4="",$B14=""),0,SUMIF('DADOS BRUTOS'!$A$3:$A$500,$B14,'DADOS BRUTOS'!CF$3:CF$500)+IF($C14="",0,SUMIF('DADOS BRUTOS'!$A$3:$A$500,$C14,'DADOS BRUTOS'!CF$3:CF$500)))</f>
        <v/>
      </c>
      <c r="FG14" s="125">
        <f>IF(OR(FG$4="",$B14=""),0,SUMIF('DADOS BRUTOS'!$A$3:$A$500,$B14,'DADOS BRUTOS'!CG$3:CG$500)+IF($C14="",0,SUMIF('DADOS BRUTOS'!$A$3:$A$500,$C14,'DADOS BRUTOS'!CG$3:CG$500)))</f>
        <v/>
      </c>
      <c r="FH14" s="125">
        <f>IF(OR(FH$4="",$B14=""),0,SUMIF('DADOS BRUTOS'!$A$3:$A$500,$B14,'DADOS BRUTOS'!CH$3:CH$500)+IF($C14="",0,SUMIF('DADOS BRUTOS'!$A$3:$A$500,$C14,'DADOS BRUTOS'!CH$3:CH$500)))</f>
        <v/>
      </c>
      <c r="FI14" s="125">
        <f>IF(OR(FI$4="",$B14=""),0,SUMIF('DADOS BRUTOS'!$A$3:$A$500,$B14,'DADOS BRUTOS'!CI$3:CI$500)+IF($C14="",0,SUMIF('DADOS BRUTOS'!$A$3:$A$500,$C14,'DADOS BRUTOS'!CI$3:CI$500)))</f>
        <v/>
      </c>
      <c r="FJ14" s="125">
        <f>IF(OR(FJ$4="",$B14=""),0,SUMIF('DADOS BRUTOS'!$A$3:$A$500,$B14,'DADOS BRUTOS'!CJ$3:CJ$500)+IF($C14="",0,SUMIF('DADOS BRUTOS'!$A$3:$A$500,$C14,'DADOS BRUTOS'!CJ$3:CJ$500)))</f>
        <v/>
      </c>
      <c r="FK14" s="125">
        <f>IF(OR(FK$4="",$B14=""),0,SUMIF('DADOS BRUTOS'!$A$3:$A$500,$B14,'DADOS BRUTOS'!CK$3:CK$500)+IF($C14="",0,SUMIF('DADOS BRUTOS'!$A$3:$A$500,$C14,'DADOS BRUTOS'!CK$3:CK$500)))</f>
        <v/>
      </c>
      <c r="FL14" s="125">
        <f>IF(OR(FL$4="",$B14=""),0,SUMIF('DADOS BRUTOS'!$A$3:$A$500,$B14,'DADOS BRUTOS'!CL$3:CL$500)+IF($C14="",0,SUMIF('DADOS BRUTOS'!$A$3:$A$500,$C14,'DADOS BRUTOS'!CL$3:CL$500)))</f>
        <v/>
      </c>
      <c r="FM14" s="125">
        <f>IF(OR(FM$4="",$B14=""),0,SUMIF('DADOS BRUTOS'!$A$3:$A$500,$B14,'DADOS BRUTOS'!CM$3:CM$500)+IF($C14="",0,SUMIF('DADOS BRUTOS'!$A$3:$A$500,$C14,'DADOS BRUTOS'!CM$3:CM$500)))</f>
        <v/>
      </c>
      <c r="FN14" s="125">
        <f>IF(OR(FN$4="",$B14=""),0,SUMIF('DADOS BRUTOS'!$A$3:$A$500,$B14,'DADOS BRUTOS'!CN$3:CN$500)+IF($C14="",0,SUMIF('DADOS BRUTOS'!$A$3:$A$500,$C14,'DADOS BRUTOS'!CN$3:CN$500)))</f>
        <v/>
      </c>
      <c r="FO14" s="125">
        <f>IF(OR(FO$4="",$B14=""),0,SUMIF('DADOS BRUTOS'!$A$3:$A$500,$B14,'DADOS BRUTOS'!CO$3:CO$500)+IF($C14="",0,SUMIF('DADOS BRUTOS'!$A$3:$A$500,$C14,'DADOS BRUTOS'!CO$3:CO$500)))</f>
        <v/>
      </c>
      <c r="FP14" s="125">
        <f>IF(OR(FP$4="",$B14=""),0,SUMIF('DADOS BRUTOS'!$A$3:$A$500,$B14,'DADOS BRUTOS'!CP$3:CP$500)+IF($C14="",0,SUMIF('DADOS BRUTOS'!$A$3:$A$500,$C14,'DADOS BRUTOS'!CP$3:CP$500)))</f>
        <v/>
      </c>
      <c r="FQ14" s="125">
        <f>IF(OR(FQ$4="",$B14=""),0,SUMIF('DADOS BRUTOS'!$A$3:$A$500,$B14,'DADOS BRUTOS'!CQ$3:CQ$500)+IF($C14="",0,SUMIF('DADOS BRUTOS'!$A$3:$A$500,$C14,'DADOS BRUTOS'!CQ$3:CQ$500)))</f>
        <v/>
      </c>
      <c r="FR14" s="125">
        <f>IF(OR(FR$4="",$B14=""),0,SUMIF('DADOS BRUTOS'!$A$3:$A$500,$B14,'DADOS BRUTOS'!CR$3:CR$500)+IF($C14="",0,SUMIF('DADOS BRUTOS'!$A$3:$A$500,$C14,'DADOS BRUTOS'!CR$3:CR$500)))</f>
        <v/>
      </c>
      <c r="FS14" s="125">
        <f>IF(OR(FS$4="",$B14=""),0,SUMIF('DADOS BRUTOS'!$A$3:$A$500,$B14,'DADOS BRUTOS'!CS$3:CS$500)+IF($C14="",0,SUMIF('DADOS BRUTOS'!$A$3:$A$500,$C14,'DADOS BRUTOS'!CS$3:CS$500)))</f>
        <v/>
      </c>
      <c r="FT14" s="125">
        <f>IF(OR(FT$4="",$B14=""),0,SUMIF('DADOS BRUTOS'!$A$3:$A$500,$B14,'DADOS BRUTOS'!CT$3:CT$500)+IF($C14="",0,SUMIF('DADOS BRUTOS'!$A$3:$A$500,$C14,'DADOS BRUTOS'!CT$3:CT$500)))</f>
        <v/>
      </c>
      <c r="FU14" s="125">
        <f>IF(OR(FU$4="",$B14=""),0,SUMIF('DADOS BRUTOS'!$A$3:$A$500,$B14,'DADOS BRUTOS'!CU$3:CU$500)+IF($C14="",0,SUMIF('DADOS BRUTOS'!$A$3:$A$500,$C14,'DADOS BRUTOS'!CU$3:CU$500)))</f>
        <v/>
      </c>
      <c r="FV14" s="125">
        <f>IF(OR(FV$4="",$B14=""),0,SUMIF('DADOS BRUTOS'!$A$3:$A$500,$B14,'DADOS BRUTOS'!CV$3:CV$500)+IF($C14="",0,SUMIF('DADOS BRUTOS'!$A$3:$A$500,$C14,'DADOS BRUTOS'!CV$3:CV$500)))</f>
        <v/>
      </c>
      <c r="FW14" s="125">
        <f>IF(OR(FW$4="",$B14=""),0,SUMIF('DADOS BRUTOS'!$A$3:$A$500,$B14,'DADOS BRUTOS'!CW$3:CW$500)+IF($C14="",0,SUMIF('DADOS BRUTOS'!$A$3:$A$500,$C14,'DADOS BRUTOS'!CW$3:CW$500)))</f>
        <v/>
      </c>
      <c r="FX14" s="125">
        <f>IF(OR(FX$4="",$B14=""),0,SUMIF('DADOS BRUTOS'!$A$3:$A$500,$B14,'DADOS BRUTOS'!CX$3:CX$500)+IF($C14="",0,SUMIF('DADOS BRUTOS'!$A$3:$A$500,$C14,'DADOS BRUTOS'!CX$3:CX$500)))</f>
        <v/>
      </c>
      <c r="FY14" s="125">
        <f>IF(OR(FY$4="",$B14=""),0,SUMIF('DADOS BRUTOS'!$A$3:$A$500,$B14,'DADOS BRUTOS'!CY$3:CY$500)+IF($C14="",0,SUMIF('DADOS BRUTOS'!$A$3:$A$500,$C14,'DADOS BRUTOS'!CY$3:CY$500)))</f>
        <v/>
      </c>
      <c r="FZ14" s="125">
        <f>IF(OR(FZ$4="",$B14=""),0,SUMIF('DADOS BRUTOS'!$A$3:$A$500,$B14,'DADOS BRUTOS'!CZ$3:CZ$500)+IF($C14="",0,SUMIF('DADOS BRUTOS'!$A$3:$A$500,$C14,'DADOS BRUTOS'!CZ$3:CZ$500)))</f>
        <v/>
      </c>
      <c r="GA14" s="125">
        <f>IF(OR(GA$4="",$B14=""),0,SUMIF('DADOS BRUTOS'!$A$3:$A$500,$B14,'DADOS BRUTOS'!DA$3:DA$500)+IF($C14="",0,SUMIF('DADOS BRUTOS'!$A$3:$A$500,$C14,'DADOS BRUTOS'!DA$3:DA$500)))</f>
        <v/>
      </c>
      <c r="GB14" s="125">
        <f>IF(OR(GB$4="",$B14=""),0,SUMIF('DADOS BRUTOS'!$A$3:$A$500,$B14,'DADOS BRUTOS'!DB$3:DB$500)+IF($C14="",0,SUMIF('DADOS BRUTOS'!$A$3:$A$500,$C14,'DADOS BRUTOS'!DB$3:DB$500)))</f>
        <v/>
      </c>
      <c r="GC14" s="125">
        <f>IF(OR(GC$4="",$B14=""),0,SUMIF('DADOS BRUTOS'!$A$3:$A$500,$B14,'DADOS BRUTOS'!DC$3:DC$500)+IF($C14="",0,SUMIF('DADOS BRUTOS'!$A$3:$A$500,$C14,'DADOS BRUTOS'!DC$3:DC$500)))</f>
        <v/>
      </c>
      <c r="GD14" s="125">
        <f>IF(OR(GD$4="",$B14=""),0,SUMIF('DADOS BRUTOS'!$A$3:$A$500,$B14,'DADOS BRUTOS'!DD$3:DD$500)+IF($C14="",0,SUMIF('DADOS BRUTOS'!$A$3:$A$500,$C14,'DADOS BRUTOS'!DD$3:DD$500)))</f>
        <v/>
      </c>
      <c r="GE14" s="125">
        <f>IF(OR(GE$4="",$B14=""),0,SUMIF('DADOS BRUTOS'!$A$3:$A$500,$B14,'DADOS BRUTOS'!DE$3:DE$500)+IF($C14="",0,SUMIF('DADOS BRUTOS'!$A$3:$A$500,$C14,'DADOS BRUTOS'!DE$3:DE$500)))</f>
        <v/>
      </c>
      <c r="GF14" s="125">
        <f>IF(OR(GF$4="",$B14=""),0,SUMIF('DADOS BRUTOS'!$A$3:$A$500,$B14,'DADOS BRUTOS'!DF$3:DF$500)+IF($C14="",0,SUMIF('DADOS BRUTOS'!$A$3:$A$500,$C14,'DADOS BRUTOS'!DF$3:DF$500)))</f>
        <v/>
      </c>
      <c r="GG14" s="125">
        <f>IF(OR(GG$4="",$B14=""),0,SUMIF('DADOS BRUTOS'!$A$3:$A$500,$B14,'DADOS BRUTOS'!DG$3:DG$500)+IF($C14="",0,SUMIF('DADOS BRUTOS'!$A$3:$A$500,$C14,'DADOS BRUTOS'!DG$3:DG$500)))</f>
        <v/>
      </c>
      <c r="GH14" s="125">
        <f>IF(OR(GH$4="",$B14=""),0,SUMIF('DADOS BRUTOS'!$A$3:$A$500,$B14,'DADOS BRUTOS'!DH$3:DH$500)+IF($C14="",0,SUMIF('DADOS BRUTOS'!$A$3:$A$500,$C14,'DADOS BRUTOS'!DH$3:DH$500)))</f>
        <v/>
      </c>
      <c r="GI14" s="125">
        <f>IF(OR(GI$4="",$B14=""),0,SUMIF('DADOS BRUTOS'!$A$3:$A$500,$B14,'DADOS BRUTOS'!DI$3:DI$500)+IF($C14="",0,SUMIF('DADOS BRUTOS'!$A$3:$A$500,$C14,'DADOS BRUTOS'!DI$3:DI$500)))</f>
        <v/>
      </c>
      <c r="GJ14" s="125">
        <f>IF(OR(GJ$4="",$B14=""),0,SUMIF('DADOS BRUTOS'!$A$3:$A$500,$B14,'DADOS BRUTOS'!DJ$3:DJ$500)+IF($C14="",0,SUMIF('DADOS BRUTOS'!$A$3:$A$500,$C14,'DADOS BRUTOS'!DJ$3:DJ$500)))</f>
        <v/>
      </c>
      <c r="GK14" s="125">
        <f>IF(OR(GK$4="",$B14=""),0,SUMIF('DADOS BRUTOS'!$A$3:$A$500,$B14,'DADOS BRUTOS'!DK$3:DK$500)+IF($C14="",0,SUMIF('DADOS BRUTOS'!$A$3:$A$500,$C14,'DADOS BRUTOS'!DK$3:DK$500)))</f>
        <v/>
      </c>
      <c r="GL14" s="125">
        <f>IF(OR(GL$4="",$B14=""),0,SUMIF('DADOS BRUTOS'!$A$3:$A$500,$B14,'DADOS BRUTOS'!DL$3:DL$500)+IF($C14="",0,SUMIF('DADOS BRUTOS'!$A$3:$A$500,$C14,'DADOS BRUTOS'!DL$3:DL$500)))</f>
        <v/>
      </c>
      <c r="GM14" s="125">
        <f>IF(OR(GM$4="",$B14=""),0,SUMIF('DADOS BRUTOS'!$A$3:$A$500,$B14,'DADOS BRUTOS'!DM$3:DM$500)+IF($C14="",0,SUMIF('DADOS BRUTOS'!$A$3:$A$500,$C14,'DADOS BRUTOS'!DM$3:DM$500)))</f>
        <v/>
      </c>
      <c r="GN14" s="125">
        <f>IF(OR(GN$4="",$B14=""),0,SUMIF('DADOS BRUTOS'!$A$3:$A$500,$B14,'DADOS BRUTOS'!DN$3:DN$500)+IF($C14="",0,SUMIF('DADOS BRUTOS'!$A$3:$A$500,$C14,'DADOS BRUTOS'!DN$3:DN$500)))</f>
        <v/>
      </c>
      <c r="GO14" s="125">
        <f>IF(OR(GO$4="",$B14=""),0,SUMIF('DADOS BRUTOS'!$A$3:$A$500,$B14,'DADOS BRUTOS'!DO$3:DO$500)+IF($C14="",0,SUMIF('DADOS BRUTOS'!$A$3:$A$500,$C14,'DADOS BRUTOS'!DO$3:DO$500)))</f>
        <v/>
      </c>
      <c r="GP14" s="125">
        <f>IF(OR(GP$4="",$B14=""),0,SUMIF('DADOS BRUTOS'!$A$3:$A$500,$B14,'DADOS BRUTOS'!DP$3:DP$500)+IF($C14="",0,SUMIF('DADOS BRUTOS'!$A$3:$A$500,$C14,'DADOS BRUTOS'!DP$3:DP$500)))</f>
        <v/>
      </c>
      <c r="GQ14" s="125">
        <f>IF(OR(GQ$4="",$B14=""),0,SUMIF('DADOS BRUTOS'!$A$3:$A$500,$B14,'DADOS BRUTOS'!DQ$3:DQ$500)+IF($C14="",0,SUMIF('DADOS BRUTOS'!$A$3:$A$500,$C14,'DADOS BRUTOS'!DQ$3:DQ$500)))</f>
        <v/>
      </c>
      <c r="GR14" s="125">
        <f>IF(OR(GR$4="",$B14=""),0,SUMIF('DADOS BRUTOS'!$A$3:$A$500,$B14,'DADOS BRUTOS'!DR$3:DR$500)+IF($C14="",0,SUMIF('DADOS BRUTOS'!$A$3:$A$500,$C14,'DADOS BRUTOS'!DR$3:DR$500)))</f>
        <v/>
      </c>
      <c r="GS14" s="125">
        <f>IF(OR(GS$4="",$B14=""),0,SUMIF('DADOS BRUTOS'!$A$3:$A$500,$B14,'DADOS BRUTOS'!DS$3:DS$500)+IF($C14="",0,SUMIF('DADOS BRUTOS'!$A$3:$A$500,$C14,'DADOS BRUTOS'!DS$3:DS$500)))</f>
        <v/>
      </c>
      <c r="GT14" s="125">
        <f>IF(OR(GT$4="",$B14=""),0,SUMIF('DADOS BRUTOS'!$A$3:$A$500,$B14,'DADOS BRUTOS'!DT$3:DT$500)+IF($C14="",0,SUMIF('DADOS BRUTOS'!$A$3:$A$500,$C14,'DADOS BRUTOS'!DT$3:DT$500)))</f>
        <v/>
      </c>
      <c r="GU14" s="125">
        <f>IF(OR(GU$4="",$B14=""),0,SUMIF('DADOS BRUTOS'!$A$3:$A$500,$B14,'DADOS BRUTOS'!DU$3:DU$500)+IF($C14="",0,SUMIF('DADOS BRUTOS'!$A$3:$A$500,$C14,'DADOS BRUTOS'!DU$3:DU$500)))</f>
        <v/>
      </c>
      <c r="GV14" s="125">
        <f>IF(OR(GV$4="",$B14=""),0,SUMIF('DADOS BRUTOS'!$A$3:$A$500,$B14,'DADOS BRUTOS'!DV$3:DV$500)+IF($C14="",0,SUMIF('DADOS BRUTOS'!$A$3:$A$500,$C14,'DADOS BRUTOS'!DV$3:DV$500)))</f>
        <v/>
      </c>
      <c r="GW14" s="125">
        <f>IF(OR(GW$4="",$B14=""),0,SUMIF('DADOS BRUTOS'!$A$3:$A$500,$B14,'DADOS BRUTOS'!DW$3:DW$500)+IF($C14="",0,SUMIF('DADOS BRUTOS'!$A$3:$A$500,$C14,'DADOS BRUTOS'!DW$3:DW$500)))</f>
        <v/>
      </c>
      <c r="GX14" s="125">
        <f>IF(OR(GX$4="",$B14=""),0,SUMIF('DADOS BRUTOS'!$A$3:$A$500,$B14,'DADOS BRUTOS'!DX$3:DX$500)+IF($C14="",0,SUMIF('DADOS BRUTOS'!$A$3:$A$500,$C14,'DADOS BRUTOS'!DX$3:DX$500)))</f>
        <v/>
      </c>
      <c r="GY14" s="125">
        <f>IF(OR(GY$4="",$B14=""),0,SUMIF('DADOS BRUTOS'!$A$3:$A$500,$B14,'DADOS BRUTOS'!DY$3:DY$500)+IF($C14="",0,SUMIF('DADOS BRUTOS'!$A$3:$A$500,$C14,'DADOS BRUTOS'!DY$3:DY$500)))</f>
        <v/>
      </c>
      <c r="GZ14" s="125">
        <f>IF(OR(GZ$4="",$B14=""),0,SUMIF('DADOS BRUTOS'!$A$3:$A$500,$B14,'DADOS BRUTOS'!DZ$3:DZ$500)+IF($C14="",0,SUMIF('DADOS BRUTOS'!$A$3:$A$500,$C14,'DADOS BRUTOS'!DZ$3:DZ$500)))</f>
        <v/>
      </c>
      <c r="HA14" s="125">
        <f>IF(OR(HA$4="",$B14=""),0,SUMIF('DADOS BRUTOS'!$A$3:$A$500,$B14,'DADOS BRUTOS'!EA$3:EA$500)+IF($C14="",0,SUMIF('DADOS BRUTOS'!$A$3:$A$500,$C14,'DADOS BRUTOS'!EA$3:EA$500)))</f>
        <v/>
      </c>
      <c r="HB14" s="125">
        <f>IF(OR(HB$4="",$B14=""),0,SUMIF('DADOS BRUTOS'!$A$3:$A$500,$B14,'DADOS BRUTOS'!EB$3:EB$500)+IF($C14="",0,SUMIF('DADOS BRUTOS'!$A$3:$A$500,$C14,'DADOS BRUTOS'!EB$3:EB$500)))</f>
        <v/>
      </c>
      <c r="HC14" s="125">
        <f>IF(OR(HC$4="",$B14=""),0,SUMIF('DADOS BRUTOS'!$A$3:$A$500,$B14,'DADOS BRUTOS'!EC$3:EC$500)+IF($C14="",0,SUMIF('DADOS BRUTOS'!$A$3:$A$500,$C14,'DADOS BRUTOS'!EC$3:EC$500)))</f>
        <v/>
      </c>
      <c r="HD14" s="125">
        <f>IF(OR(HD$4="",$B14=""),0,SUMIF('DADOS BRUTOS'!$A$3:$A$500,$B14,'DADOS BRUTOS'!ED$3:ED$500)+IF($C14="",0,SUMIF('DADOS BRUTOS'!$A$3:$A$500,$C14,'DADOS BRUTOS'!ED$3:ED$500)))</f>
        <v/>
      </c>
      <c r="HE14" s="125">
        <f>IF(OR(HE$4="",$B14=""),0,SUMIF('DADOS BRUTOS'!$A$3:$A$500,$B14,'DADOS BRUTOS'!EE$3:EE$500)+IF($C14="",0,SUMIF('DADOS BRUTOS'!$A$3:$A$500,$C14,'DADOS BRUTOS'!EE$3:EE$500)))</f>
        <v/>
      </c>
      <c r="HF14" s="125">
        <f>IF(OR(HF$4="",$B14=""),0,SUMIF('DADOS BRUTOS'!$A$3:$A$500,$B14,'DADOS BRUTOS'!EF$3:EF$500)+IF($C14="",0,SUMIF('DADOS BRUTOS'!$A$3:$A$500,$C14,'DADOS BRUTOS'!EF$3:EF$500)))</f>
        <v/>
      </c>
      <c r="HG14" s="125">
        <f>IF(OR(HG$4="",$B14=""),0,SUMIF('DADOS BRUTOS'!$A$3:$A$500,$B14,'DADOS BRUTOS'!EG$3:EG$500)+IF($C14="",0,SUMIF('DADOS BRUTOS'!$A$3:$A$500,$C14,'DADOS BRUTOS'!EG$3:EG$500)))</f>
        <v/>
      </c>
      <c r="HH14" s="125">
        <f>IF(OR(HH$4="",$B14=""),0,SUMIF('DADOS BRUTOS'!$A$3:$A$500,$B14,'DADOS BRUTOS'!EH$3:EH$500)+IF($C14="",0,SUMIF('DADOS BRUTOS'!$A$3:$A$500,$C14,'DADOS BRUTOS'!EH$3:EH$500)))</f>
        <v/>
      </c>
      <c r="HI14" s="125">
        <f>IF(OR(HI$4="",$B14=""),0,SUMIF('DADOS BRUTOS'!$A$3:$A$500,$B14,'DADOS BRUTOS'!EI$3:EI$500)+IF($C14="",0,SUMIF('DADOS BRUTOS'!$A$3:$A$500,$C14,'DADOS BRUTOS'!EI$3:EI$500)))</f>
        <v/>
      </c>
      <c r="HJ14" s="125">
        <f>IF(OR(HJ$4="",$B14=""),0,SUMIF('DADOS BRUTOS'!$A$3:$A$500,$B14,'DADOS BRUTOS'!EJ$3:EJ$500)+IF($C14="",0,SUMIF('DADOS BRUTOS'!$A$3:$A$500,$C14,'DADOS BRUTOS'!EJ$3:EJ$500)))</f>
        <v/>
      </c>
      <c r="HK14" s="125">
        <f>IF(OR(HK$4="",$B14=""),0,SUMIF('DADOS BRUTOS'!$A$3:$A$500,$B14,'DADOS BRUTOS'!EK$3:EK$500)+IF($C14="",0,SUMIF('DADOS BRUTOS'!$A$3:$A$500,$C14,'DADOS BRUTOS'!EK$3:EK$500)))</f>
        <v/>
      </c>
      <c r="HL14" s="125">
        <f>IF(OR(HL$4="",$B14=""),0,SUMIF('DADOS BRUTOS'!$A$3:$A$500,$B14,'DADOS BRUTOS'!EL$3:EL$500)+IF($C14="",0,SUMIF('DADOS BRUTOS'!$A$3:$A$500,$C14,'DADOS BRUTOS'!EL$3:EL$500)))</f>
        <v/>
      </c>
      <c r="HM14" s="125">
        <f>IF(OR(HM$4="",$B14=""),0,SUMIF('DADOS BRUTOS'!$A$3:$A$500,$B14,'DADOS BRUTOS'!EM$3:EM$500)+IF($C14="",0,SUMIF('DADOS BRUTOS'!$A$3:$A$500,$C14,'DADOS BRUTOS'!EM$3:EM$500)))</f>
        <v/>
      </c>
      <c r="HN14" s="125">
        <f>IF(OR(HN$4="",$B14=""),0,SUMIF('DADOS BRUTOS'!$A$3:$A$500,$B14,'DADOS BRUTOS'!EN$3:EN$500)+IF($C14="",0,SUMIF('DADOS BRUTOS'!$A$3:$A$500,$C14,'DADOS BRUTOS'!EN$3:EN$500)))</f>
        <v/>
      </c>
      <c r="HO14" s="125">
        <f>IF(OR(HO$4="",$B14=""),0,SUMIF('DADOS BRUTOS'!$A$3:$A$500,$B14,'DADOS BRUTOS'!EO$3:EO$500)+IF($C14="",0,SUMIF('DADOS BRUTOS'!$A$3:$A$500,$C14,'DADOS BRUTOS'!EO$3:EO$500)))</f>
        <v/>
      </c>
      <c r="HP14" s="125">
        <f>IF(OR(HP$4="",$B14=""),0,SUMIF('DADOS BRUTOS'!$A$3:$A$500,$B14,'DADOS BRUTOS'!EP$3:EP$500)+IF($C14="",0,SUMIF('DADOS BRUTOS'!$A$3:$A$500,$C14,'DADOS BRUTOS'!EP$3:EP$500)))</f>
        <v/>
      </c>
      <c r="HQ14" s="125">
        <f>IF(OR(HQ$4="",$B14=""),0,SUMIF('DADOS BRUTOS'!$A$3:$A$500,$B14,'DADOS BRUTOS'!EQ$3:EQ$500)+IF($C14="",0,SUMIF('DADOS BRUTOS'!$A$3:$A$500,$C14,'DADOS BRUTOS'!EQ$3:EQ$500)))</f>
        <v/>
      </c>
      <c r="HR14" s="125">
        <f>IF(OR(HR$4="",$B14=""),0,SUMIF('DADOS BRUTOS'!$A$3:$A$500,$B14,'DADOS BRUTOS'!ER$3:ER$500)+IF($C14="",0,SUMIF('DADOS BRUTOS'!$A$3:$A$500,$C14,'DADOS BRUTOS'!ER$3:ER$500)))</f>
        <v/>
      </c>
      <c r="HS14" s="125">
        <f>IF(OR(HS$4="",$B14=""),0,SUMIF('DADOS BRUTOS'!$A$3:$A$500,$B14,'DADOS BRUTOS'!ES$3:ES$500)+IF($C14="",0,SUMIF('DADOS BRUTOS'!$A$3:$A$500,$C14,'DADOS BRUTOS'!ES$3:ES$500)))</f>
        <v/>
      </c>
      <c r="HT14" s="125">
        <f>IF(OR(HT$4="",$B14=""),0,SUMIF('DADOS BRUTOS'!$A$3:$A$500,$B14,'DADOS BRUTOS'!ET$3:ET$500)+IF($C14="",0,SUMIF('DADOS BRUTOS'!$A$3:$A$500,$C14,'DADOS BRUTOS'!ET$3:ET$500)))</f>
        <v/>
      </c>
      <c r="HU14" s="125">
        <f>IF(OR(HU$4="",$B14=""),0,SUMIF('DADOS BRUTOS'!$A$3:$A$500,$B14,'DADOS BRUTOS'!EU$3:EU$500)+IF($C14="",0,SUMIF('DADOS BRUTOS'!$A$3:$A$500,$C14,'DADOS BRUTOS'!EU$3:EU$500)))</f>
        <v/>
      </c>
      <c r="HV14" s="125">
        <f>IF(OR(HV$4="",$B14=""),0,SUMIF('DADOS BRUTOS'!$A$3:$A$500,$B14,'DADOS BRUTOS'!EV$3:EV$500)+IF($C14="",0,SUMIF('DADOS BRUTOS'!$A$3:$A$500,$C14,'DADOS BRUTOS'!EV$3:EV$500)))</f>
        <v/>
      </c>
      <c r="HW14" s="125">
        <f>IF(OR(HW$4="",$B14=""),0,SUMIF('DADOS BRUTOS'!$A$3:$A$500,$B14,'DADOS BRUTOS'!EW$3:EW$500)+IF($C14="",0,SUMIF('DADOS BRUTOS'!$A$3:$A$500,$C14,'DADOS BRUTOS'!EW$3:EW$500)))</f>
        <v/>
      </c>
      <c r="HX14" s="125">
        <f>IF(OR(HX$4="",$B14=""),0,SUMIF('DADOS BRUTOS'!$A$3:$A$500,$B14,'DADOS BRUTOS'!EX$3:EX$500)+IF($C14="",0,SUMIF('DADOS BRUTOS'!$A$3:$A$500,$C14,'DADOS BRUTOS'!EX$3:EX$500)))</f>
        <v/>
      </c>
      <c r="HY14" s="125">
        <f>IF(OR(HY$4="",$B14=""),0,SUMIF('DADOS BRUTOS'!$A$3:$A$500,$B14,'DADOS BRUTOS'!EY$3:EY$500)+IF($C14="",0,SUMIF('DADOS BRUTOS'!$A$3:$A$500,$C14,'DADOS BRUTOS'!EY$3:EY$500)))</f>
        <v/>
      </c>
      <c r="HZ14" s="125">
        <f>IF(OR(HZ$4="",$B14=""),0,SUMIF('DADOS BRUTOS'!$A$3:$A$500,$B14,'DADOS BRUTOS'!EZ$3:EZ$500)+IF($C14="",0,SUMIF('DADOS BRUTOS'!$A$3:$A$500,$C14,'DADOS BRUTOS'!EZ$3:EZ$500)))</f>
        <v/>
      </c>
      <c r="IA14" s="125">
        <f>IF(OR(IA$4="",$B14=""),0,SUMIF('DADOS BRUTOS'!$A$3:$A$500,$B14,'DADOS BRUTOS'!FA$3:FA$500)+IF($C14="",0,SUMIF('DADOS BRUTOS'!$A$3:$A$500,$C14,'DADOS BRUTOS'!FA$3:FA$500)))</f>
        <v/>
      </c>
      <c r="IB14" s="125">
        <f>IF(OR(IB$4="",$B14=""),0,SUMIF('DADOS BRUTOS'!$A$3:$A$500,$B14,'DADOS BRUTOS'!FB$3:FB$500)+IF($C14="",0,SUMIF('DADOS BRUTOS'!$A$3:$A$500,$C14,'DADOS BRUTOS'!FB$3:FB$500)))</f>
        <v/>
      </c>
      <c r="IC14" s="125">
        <f>IF(OR(IC$4="",$B14=""),0,SUMIF('DADOS BRUTOS'!$A$3:$A$500,$B14,'DADOS BRUTOS'!FC$3:FC$500)+IF($C14="",0,SUMIF('DADOS BRUTOS'!$A$3:$A$500,$C14,'DADOS BRUTOS'!FC$3:FC$500)))</f>
        <v/>
      </c>
      <c r="ID14" s="125">
        <f>IF(OR(ID$4="",$B14=""),0,SUMIF('DADOS BRUTOS'!$A$3:$A$500,$B14,'DADOS BRUTOS'!FD$3:FD$500)+IF($C14="",0,SUMIF('DADOS BRUTOS'!$A$3:$A$500,$C14,'DADOS BRUTOS'!FD$3:FD$500)))</f>
        <v/>
      </c>
      <c r="IE14" s="125">
        <f>IF(OR(IE$4="",$B14=""),0,SUMIF('DADOS BRUTOS'!$A$3:$A$500,$B14,'DADOS BRUTOS'!FE$3:FE$500)+IF($C14="",0,SUMIF('DADOS BRUTOS'!$A$3:$A$500,$C14,'DADOS BRUTOS'!FE$3:FE$500)))</f>
        <v/>
      </c>
      <c r="IF14" s="125">
        <f>IF(OR(IF$4="",$B14=""),0,SUMIF('DADOS BRUTOS'!$A$3:$A$500,$B14,'DADOS BRUTOS'!FF$3:FF$500)+IF($C14="",0,SUMIF('DADOS BRUTOS'!$A$3:$A$500,$C14,'DADOS BRUTOS'!FF$3:FF$500)))</f>
        <v/>
      </c>
      <c r="IG14" s="125">
        <f>IF(OR(IG$4="",$B14=""),0,SUMIF('DADOS BRUTOS'!$A$3:$A$500,$B14,'DADOS BRUTOS'!FG$3:FG$500)+IF($C14="",0,SUMIF('DADOS BRUTOS'!$A$3:$A$500,$C14,'DADOS BRUTOS'!FG$3:FG$500)))</f>
        <v/>
      </c>
      <c r="IH14" s="125">
        <f>IF(OR(IH$4="",$B14=""),0,SUMIF('DADOS BRUTOS'!$A$3:$A$500,$B14,'DADOS BRUTOS'!FH$3:FH$500)+IF($C14="",0,SUMIF('DADOS BRUTOS'!$A$3:$A$500,$C14,'DADOS BRUTOS'!FH$3:FH$500)))</f>
        <v/>
      </c>
      <c r="II14" s="125">
        <f>IF(OR(II$4="",$B14=""),0,SUMIF('DADOS BRUTOS'!$A$3:$A$500,$B14,'DADOS BRUTOS'!FI$3:FI$500)+IF($C14="",0,SUMIF('DADOS BRUTOS'!$A$3:$A$500,$C14,'DADOS BRUTOS'!FI$3:FI$500)))</f>
        <v/>
      </c>
      <c r="IJ14" s="125">
        <f>IF(OR(IJ$4="",$B14=""),0,SUMIF('DADOS BRUTOS'!$A$3:$A$500,$B14,'DADOS BRUTOS'!FJ$3:FJ$500)+IF($C14="",0,SUMIF('DADOS BRUTOS'!$A$3:$A$500,$C14,'DADOS BRUTOS'!FJ$3:FJ$500)))</f>
        <v/>
      </c>
      <c r="IK14" s="125">
        <f>IF(OR(IK$4="",$B14=""),0,SUMIF('DADOS BRUTOS'!$A$3:$A$500,$B14,'DADOS BRUTOS'!FK$3:FK$500)+IF($C14="",0,SUMIF('DADOS BRUTOS'!$A$3:$A$500,$C14,'DADOS BRUTOS'!FK$3:FK$500)))</f>
        <v/>
      </c>
      <c r="IL14" s="125">
        <f>IF(OR(IL$4="",$B14=""),0,SUMIF('DADOS BRUTOS'!$A$3:$A$500,$B14,'DADOS BRUTOS'!FL$3:FL$500)+IF($C14="",0,SUMIF('DADOS BRUTOS'!$A$3:$A$500,$C14,'DADOS BRUTOS'!FL$3:FL$500)))</f>
        <v/>
      </c>
      <c r="IM14" s="125">
        <f>IF(OR(IM$4="",$B14=""),0,SUMIF('DADOS BRUTOS'!$A$3:$A$500,$B14,'DADOS BRUTOS'!FM$3:FM$500)+IF($C14="",0,SUMIF('DADOS BRUTOS'!$A$3:$A$500,$C14,'DADOS BRUTOS'!FM$3:FM$500)))</f>
        <v/>
      </c>
      <c r="IN14" s="125">
        <f>IF(OR(IN$4="",$B14=""),0,SUMIF('DADOS BRUTOS'!$A$3:$A$500,$B14,'DADOS BRUTOS'!FN$3:FN$500)+IF($C14="",0,SUMIF('DADOS BRUTOS'!$A$3:$A$500,$C14,'DADOS BRUTOS'!FN$3:FN$500)))</f>
        <v/>
      </c>
      <c r="IO14" s="125">
        <f>IF(OR(IO$4="",$B14=""),0,SUMIF('DADOS BRUTOS'!$A$3:$A$500,$B14,'DADOS BRUTOS'!FO$3:FO$500)+IF($C14="",0,SUMIF('DADOS BRUTOS'!$A$3:$A$500,$C14,'DADOS BRUTOS'!FO$3:FO$500)))</f>
        <v/>
      </c>
      <c r="IP14" s="125">
        <f>IF(OR(IP$4="",$B14=""),0,SUMIF('DADOS BRUTOS'!$A$3:$A$500,$B14,'DADOS BRUTOS'!FP$3:FP$500)+IF($C14="",0,SUMIF('DADOS BRUTOS'!$A$3:$A$500,$C14,'DADOS BRUTOS'!FP$3:FP$500)))</f>
        <v/>
      </c>
      <c r="IQ14" s="125">
        <f>IF(OR(IQ$4="",$B14=""),0,SUMIF('DADOS BRUTOS'!$A$3:$A$500,$B14,'DADOS BRUTOS'!FQ$3:FQ$500)+IF($C14="",0,SUMIF('DADOS BRUTOS'!$A$3:$A$500,$C14,'DADOS BRUTOS'!FQ$3:FQ$500)))</f>
        <v/>
      </c>
      <c r="IR14" s="125">
        <f>IF(OR(IR$4="",$B14=""),0,SUMIF('DADOS BRUTOS'!$A$3:$A$500,$B14,'DADOS BRUTOS'!FR$3:FR$500)+IF($C14="",0,SUMIF('DADOS BRUTOS'!$A$3:$A$500,$C14,'DADOS BRUTOS'!FR$3:FR$500)))</f>
        <v/>
      </c>
      <c r="IS14" s="125">
        <f>IF(OR(IS$4="",$B14=""),0,SUMIF('DADOS BRUTOS'!$A$3:$A$500,$B14,'DADOS BRUTOS'!FS$3:FS$500)+IF($C14="",0,SUMIF('DADOS BRUTOS'!$A$3:$A$500,$C14,'DADOS BRUTOS'!FS$3:FS$500)))</f>
        <v/>
      </c>
      <c r="IT14" s="125">
        <f>IF(OR(IT$4="",$B14=""),0,SUMIF('DADOS BRUTOS'!$A$3:$A$500,$B14,'DADOS BRUTOS'!FT$3:FT$500)+IF($C14="",0,SUMIF('DADOS BRUTOS'!$A$3:$A$500,$C14,'DADOS BRUTOS'!FT$3:FT$500)))</f>
        <v/>
      </c>
      <c r="IU14" s="125">
        <f>IF(OR(IU$4="",$B14=""),0,SUMIF('DADOS BRUTOS'!$A$3:$A$500,$B14,'DADOS BRUTOS'!FU$3:FU$500)+IF($C14="",0,SUMIF('DADOS BRUTOS'!$A$3:$A$500,$C14,'DADOS BRUTOS'!FU$3:FU$500)))</f>
        <v/>
      </c>
      <c r="IV14" s="125">
        <f>IF(OR(IV$4="",$B14=""),0,SUMIF('DADOS BRUTOS'!$A$3:$A$500,$B14,'DADOS BRUTOS'!FV$3:FV$500)+IF($C14="",0,SUMIF('DADOS BRUTOS'!$A$3:$A$500,$C14,'DADOS BRUTOS'!FV$3:FV$500)))</f>
        <v/>
      </c>
      <c r="IW14" s="125">
        <f>IF(OR(IW$4="",$B14=""),0,SUMIF('DADOS BRUTOS'!$A$3:$A$500,$B14,'DADOS BRUTOS'!FW$3:FW$500)+IF($C14="",0,SUMIF('DADOS BRUTOS'!$A$3:$A$500,$C14,'DADOS BRUTOS'!FW$3:FW$500)))</f>
        <v/>
      </c>
      <c r="IX14" s="125">
        <f>IF(OR(IX$4="",$B14=""),0,SUMIF('DADOS BRUTOS'!$A$3:$A$500,$B14,'DADOS BRUTOS'!FX$3:FX$500)+IF($C14="",0,SUMIF('DADOS BRUTOS'!$A$3:$A$500,$C14,'DADOS BRUTOS'!FX$3:FX$500)))</f>
        <v/>
      </c>
      <c r="IY14" s="125">
        <f>IF(OR(IY$4="",$B14=""),0,SUMIF('DADOS BRUTOS'!$A$3:$A$500,$B14,'DADOS BRUTOS'!FY$3:FY$500)+IF($C14="",0,SUMIF('DADOS BRUTOS'!$A$3:$A$500,$C14,'DADOS BRUTOS'!FY$3:FY$500)))</f>
        <v/>
      </c>
      <c r="IZ14" s="125">
        <f>IF(OR(IZ$4="",$B14=""),0,SUMIF('DADOS BRUTOS'!$A$3:$A$500,$B14,'DADOS BRUTOS'!FZ$3:FZ$500)+IF($C14="",0,SUMIF('DADOS BRUTOS'!$A$3:$A$500,$C14,'DADOS BRUTOS'!FZ$3:FZ$500)))</f>
        <v/>
      </c>
      <c r="JA14" s="125">
        <f>IF(OR(JA$4="",$B14=""),0,SUMIF('DADOS BRUTOS'!$A$3:$A$500,$B14,'DADOS BRUTOS'!GA$3:GA$500)+IF($C14="",0,SUMIF('DADOS BRUTOS'!$A$3:$A$500,$C14,'DADOS BRUTOS'!GA$3:GA$500)))</f>
        <v/>
      </c>
      <c r="JB14" s="125">
        <f>IF(OR(JB$4="",$B14=""),0,SUMIF('DADOS BRUTOS'!$A$3:$A$500,$B14,'DADOS BRUTOS'!GB$3:GB$500)+IF($C14="",0,SUMIF('DADOS BRUTOS'!$A$3:$A$500,$C14,'DADOS BRUTOS'!GB$3:GB$500)))</f>
        <v/>
      </c>
      <c r="JC14" s="125">
        <f>IF(OR(JC$4="",$B14=""),0,SUMIF('DADOS BRUTOS'!$A$3:$A$500,$B14,'DADOS BRUTOS'!GC$3:GC$500)+IF($C14="",0,SUMIF('DADOS BRUTOS'!$A$3:$A$500,$C14,'DADOS BRUTOS'!GC$3:GC$500)))</f>
        <v/>
      </c>
      <c r="JD14" s="125">
        <f>IF(OR(JD$4="",$B14=""),0,SUMIF('DADOS BRUTOS'!$A$3:$A$500,$B14,'DADOS BRUTOS'!GD$3:GD$500)+IF($C14="",0,SUMIF('DADOS BRUTOS'!$A$3:$A$500,$C14,'DADOS BRUTOS'!GD$3:GD$500)))</f>
        <v/>
      </c>
      <c r="JE14" s="125">
        <f>IF(OR(JE$4="",$B14=""),0,SUMIF('DADOS BRUTOS'!$A$3:$A$500,$B14,'DADOS BRUTOS'!GE$3:GE$500)+IF($C14="",0,SUMIF('DADOS BRUTOS'!$A$3:$A$500,$C14,'DADOS BRUTOS'!GE$3:GE$500)))</f>
        <v/>
      </c>
      <c r="JF14" s="125">
        <f>IF(OR(JF$4="",$B14=""),0,SUMIF('DADOS BRUTOS'!$A$3:$A$500,$B14,'DADOS BRUTOS'!GF$3:GF$500)+IF($C14="",0,SUMIF('DADOS BRUTOS'!$A$3:$A$500,$C14,'DADOS BRUTOS'!GF$3:GF$500)))</f>
        <v/>
      </c>
      <c r="JG14" s="125">
        <f>IF(OR(JG$4="",$B14=""),0,SUMIF('DADOS BRUTOS'!$A$3:$A$500,$B14,'DADOS BRUTOS'!GG$3:GG$500)+IF($C14="",0,SUMIF('DADOS BRUTOS'!$A$3:$A$500,$C14,'DADOS BRUTOS'!GG$3:GG$500)))</f>
        <v/>
      </c>
      <c r="JH14" s="125">
        <f>IF(OR(JH$4="",$B14=""),0,SUMIF('DADOS BRUTOS'!$A$3:$A$500,$B14,'DADOS BRUTOS'!GH$3:GH$500)+IF($C14="",0,SUMIF('DADOS BRUTOS'!$A$3:$A$500,$C14,'DADOS BRUTOS'!GH$3:GH$500)))</f>
        <v/>
      </c>
      <c r="JI14" s="125">
        <f>IF(OR(JI$4="",$B14=""),0,SUMIF('DADOS BRUTOS'!$A$3:$A$500,$B14,'DADOS BRUTOS'!GI$3:GI$500)+IF($C14="",0,SUMIF('DADOS BRUTOS'!$A$3:$A$500,$C14,'DADOS BRUTOS'!GI$3:GI$500)))</f>
        <v/>
      </c>
      <c r="JJ14" s="125">
        <f>IF(OR(JJ$4="",$B14=""),0,SUMIF('DADOS BRUTOS'!$A$3:$A$500,$B14,'DADOS BRUTOS'!GJ$3:GJ$500)+IF($C14="",0,SUMIF('DADOS BRUTOS'!$A$3:$A$500,$C14,'DADOS BRUTOS'!GJ$3:GJ$500)))</f>
        <v/>
      </c>
      <c r="JK14" s="125">
        <f>IF(OR(JK$4="",$B14=""),0,SUMIF('DADOS BRUTOS'!$A$3:$A$500,$B14,'DADOS BRUTOS'!GK$3:GK$500)+IF($C14="",0,SUMIF('DADOS BRUTOS'!$A$3:$A$500,$C14,'DADOS BRUTOS'!GK$3:GK$500)))</f>
        <v/>
      </c>
      <c r="JL14" s="125">
        <f>IF(OR(JL$4="",$B14=""),0,SUMIF('DADOS BRUTOS'!$A$3:$A$500,$B14,'DADOS BRUTOS'!GL$3:GL$500)+IF($C14="",0,SUMIF('DADOS BRUTOS'!$A$3:$A$500,$C14,'DADOS BRUTOS'!GL$3:GL$500)))</f>
        <v/>
      </c>
      <c r="JM14" s="125">
        <f>IF(OR(JM$4="",$B14=""),0,SUMIF('DADOS BRUTOS'!$A$3:$A$500,$B14,'DADOS BRUTOS'!GM$3:GM$500)+IF($C14="",0,SUMIF('DADOS BRUTOS'!$A$3:$A$500,$C14,'DADOS BRUTOS'!GM$3:GM$500)))</f>
        <v/>
      </c>
      <c r="JN14" s="125">
        <f>IF(OR(JN$4="",$B14=""),0,SUMIF('DADOS BRUTOS'!$A$3:$A$500,$B14,'DADOS BRUTOS'!GN$3:GN$500)+IF($C14="",0,SUMIF('DADOS BRUTOS'!$A$3:$A$500,$C14,'DADOS BRUTOS'!GN$3:GN$500)))</f>
        <v/>
      </c>
      <c r="JO14" s="125">
        <f>IF(OR(JO$4="",$B14=""),0,SUMIF('DADOS BRUTOS'!$A$3:$A$500,$B14,'DADOS BRUTOS'!GO$3:GO$500)+IF($C14="",0,SUMIF('DADOS BRUTOS'!$A$3:$A$500,$C14,'DADOS BRUTOS'!GO$3:GO$500)))</f>
        <v/>
      </c>
      <c r="JP14" s="125">
        <f>IF(OR(JP$4="",$B14=""),0,SUMIF('DADOS BRUTOS'!$A$3:$A$500,$B14,'DADOS BRUTOS'!GP$3:GP$500)+IF($C14="",0,SUMIF('DADOS BRUTOS'!$A$3:$A$500,$C14,'DADOS BRUTOS'!GP$3:GP$500)))</f>
        <v/>
      </c>
      <c r="JQ14" s="125">
        <f>IF(OR(JQ$4="",$B14=""),0,SUMIF('DADOS BRUTOS'!$A$3:$A$500,$B14,'DADOS BRUTOS'!GQ$3:GQ$500)+IF($C14="",0,SUMIF('DADOS BRUTOS'!$A$3:$A$500,$C14,'DADOS BRUTOS'!GQ$3:GQ$500)))</f>
        <v/>
      </c>
      <c r="JR14" s="125">
        <f>IF(OR(JR$4="",$B14=""),0,SUMIF('DADOS BRUTOS'!$A$3:$A$500,$B14,'DADOS BRUTOS'!GR$3:GR$500)+IF($C14="",0,SUMIF('DADOS BRUTOS'!$A$3:$A$500,$C14,'DADOS BRUTOS'!GR$3:GR$500)))</f>
        <v/>
      </c>
      <c r="JS14" s="125">
        <f>IF(OR(JS$4="",$B14=""),0,SUMIF('DADOS BRUTOS'!$A$3:$A$500,$B14,'DADOS BRUTOS'!GS$3:GS$500)+IF($C14="",0,SUMIF('DADOS BRUTOS'!$A$3:$A$500,$C14,'DADOS BRUTOS'!GS$3:GS$500)))</f>
        <v/>
      </c>
    </row>
    <row r="15">
      <c r="A15" s="61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BZ15" s="49">
        <f>SUMPRODUCT(($CB$4:$JS$4&lt;&gt;"")*($CB$4:$JS$4&lt;=$D$4),$CB15:$JS15,$CB$1:$JS$1)</f>
        <v/>
      </c>
      <c r="CB15" s="125">
        <f>IF(OR(CB$4="",$B15=""),0,SUMIF('DADOS BRUTOS'!$A$3:$A$500,$B15,'DADOS BRUTOS'!B$3:B$500)+IF($C15="",0,SUMIF('DADOS BRUTOS'!$A$3:$A$500,$C15,'DADOS BRUTOS'!B$3:B$500)))</f>
        <v/>
      </c>
      <c r="CC15" s="125">
        <f>IF(OR(CC$4="",$B15=""),0,SUMIF('DADOS BRUTOS'!$A$3:$A$500,$B15,'DADOS BRUTOS'!C$3:C$500)+IF($C15="",0,SUMIF('DADOS BRUTOS'!$A$3:$A$500,$C15,'DADOS BRUTOS'!C$3:C$500)))</f>
        <v/>
      </c>
      <c r="CD15" s="125">
        <f>IF(OR(CD$4="",$B15=""),0,SUMIF('DADOS BRUTOS'!$A$3:$A$500,$B15,'DADOS BRUTOS'!D$3:D$500)+IF($C15="",0,SUMIF('DADOS BRUTOS'!$A$3:$A$500,$C15,'DADOS BRUTOS'!D$3:D$500)))</f>
        <v/>
      </c>
      <c r="CE15" s="125">
        <f>IF(OR(CE$4="",$B15=""),0,SUMIF('DADOS BRUTOS'!$A$3:$A$500,$B15,'DADOS BRUTOS'!E$3:E$500)+IF($C15="",0,SUMIF('DADOS BRUTOS'!$A$3:$A$500,$C15,'DADOS BRUTOS'!E$3:E$500)))</f>
        <v/>
      </c>
      <c r="CF15" s="125">
        <f>IF(OR(CF$4="",$B15=""),0,SUMIF('DADOS BRUTOS'!$A$3:$A$500,$B15,'DADOS BRUTOS'!F$3:F$500)+IF($C15="",0,SUMIF('DADOS BRUTOS'!$A$3:$A$500,$C15,'DADOS BRUTOS'!F$3:F$500)))</f>
        <v/>
      </c>
      <c r="CG15" s="125">
        <f>IF(OR(CG$4="",$B15=""),0,SUMIF('DADOS BRUTOS'!$A$3:$A$500,$B15,'DADOS BRUTOS'!G$3:G$500)+IF($C15="",0,SUMIF('DADOS BRUTOS'!$A$3:$A$500,$C15,'DADOS BRUTOS'!G$3:G$500)))</f>
        <v/>
      </c>
      <c r="CH15" s="125">
        <f>IF(OR(CH$4="",$B15=""),0,SUMIF('DADOS BRUTOS'!$A$3:$A$500,$B15,'DADOS BRUTOS'!H$3:H$500)+IF($C15="",0,SUMIF('DADOS BRUTOS'!$A$3:$A$500,$C15,'DADOS BRUTOS'!H$3:H$500)))</f>
        <v/>
      </c>
      <c r="CI15" s="125">
        <f>IF(OR(CI$4="",$B15=""),0,SUMIF('DADOS BRUTOS'!$A$3:$A$500,$B15,'DADOS BRUTOS'!I$3:I$500)+IF($C15="",0,SUMIF('DADOS BRUTOS'!$A$3:$A$500,$C15,'DADOS BRUTOS'!I$3:I$500)))</f>
        <v/>
      </c>
      <c r="CJ15" s="125">
        <f>IF(OR(CJ$4="",$B15=""),0,SUMIF('DADOS BRUTOS'!$A$3:$A$500,$B15,'DADOS BRUTOS'!J$3:J$500)+IF($C15="",0,SUMIF('DADOS BRUTOS'!$A$3:$A$500,$C15,'DADOS BRUTOS'!J$3:J$500)))</f>
        <v/>
      </c>
      <c r="CK15" s="125">
        <f>IF(OR(CK$4="",$B15=""),0,SUMIF('DADOS BRUTOS'!$A$3:$A$500,$B15,'DADOS BRUTOS'!K$3:K$500)+IF($C15="",0,SUMIF('DADOS BRUTOS'!$A$3:$A$500,$C15,'DADOS BRUTOS'!K$3:K$500)))</f>
        <v/>
      </c>
      <c r="CL15" s="125">
        <f>IF(OR(CL$4="",$B15=""),0,SUMIF('DADOS BRUTOS'!$A$3:$A$500,$B15,'DADOS BRUTOS'!L$3:L$500)+IF($C15="",0,SUMIF('DADOS BRUTOS'!$A$3:$A$500,$C15,'DADOS BRUTOS'!L$3:L$500)))</f>
        <v/>
      </c>
      <c r="CM15" s="125">
        <f>IF(OR(CM$4="",$B15=""),0,SUMIF('DADOS BRUTOS'!$A$3:$A$500,$B15,'DADOS BRUTOS'!M$3:M$500)+IF($C15="",0,SUMIF('DADOS BRUTOS'!$A$3:$A$500,$C15,'DADOS BRUTOS'!M$3:M$500)))</f>
        <v/>
      </c>
      <c r="CN15" s="125">
        <f>IF(OR(CN$4="",$B15=""),0,SUMIF('DADOS BRUTOS'!$A$3:$A$500,$B15,'DADOS BRUTOS'!N$3:N$500)+IF($C15="",0,SUMIF('DADOS BRUTOS'!$A$3:$A$500,$C15,'DADOS BRUTOS'!N$3:N$500)))</f>
        <v/>
      </c>
      <c r="CO15" s="125">
        <f>IF(OR(CO$4="",$B15=""),0,SUMIF('DADOS BRUTOS'!$A$3:$A$500,$B15,'DADOS BRUTOS'!O$3:O$500)+IF($C15="",0,SUMIF('DADOS BRUTOS'!$A$3:$A$500,$C15,'DADOS BRUTOS'!O$3:O$500)))</f>
        <v/>
      </c>
      <c r="CP15" s="125">
        <f>IF(OR(CP$4="",$B15=""),0,SUMIF('DADOS BRUTOS'!$A$3:$A$500,$B15,'DADOS BRUTOS'!P$3:P$500)+IF($C15="",0,SUMIF('DADOS BRUTOS'!$A$3:$A$500,$C15,'DADOS BRUTOS'!P$3:P$500)))</f>
        <v/>
      </c>
      <c r="CQ15" s="125">
        <f>IF(OR(CQ$4="",$B15=""),0,SUMIF('DADOS BRUTOS'!$A$3:$A$500,$B15,'DADOS BRUTOS'!Q$3:Q$500)+IF($C15="",0,SUMIF('DADOS BRUTOS'!$A$3:$A$500,$C15,'DADOS BRUTOS'!Q$3:Q$500)))</f>
        <v/>
      </c>
      <c r="CR15" s="125">
        <f>IF(OR(CR$4="",$B15=""),0,SUMIF('DADOS BRUTOS'!$A$3:$A$500,$B15,'DADOS BRUTOS'!R$3:R$500)+IF($C15="",0,SUMIF('DADOS BRUTOS'!$A$3:$A$500,$C15,'DADOS BRUTOS'!R$3:R$500)))</f>
        <v/>
      </c>
      <c r="CS15" s="125">
        <f>IF(OR(CS$4="",$B15=""),0,SUMIF('DADOS BRUTOS'!$A$3:$A$500,$B15,'DADOS BRUTOS'!S$3:S$500)+IF($C15="",0,SUMIF('DADOS BRUTOS'!$A$3:$A$500,$C15,'DADOS BRUTOS'!S$3:S$500)))</f>
        <v/>
      </c>
      <c r="CT15" s="125">
        <f>IF(OR(CT$4="",$B15=""),0,SUMIF('DADOS BRUTOS'!$A$3:$A$500,$B15,'DADOS BRUTOS'!T$3:T$500)+IF($C15="",0,SUMIF('DADOS BRUTOS'!$A$3:$A$500,$C15,'DADOS BRUTOS'!T$3:T$500)))</f>
        <v/>
      </c>
      <c r="CU15" s="125">
        <f>IF(OR(CU$4="",$B15=""),0,SUMIF('DADOS BRUTOS'!$A$3:$A$500,$B15,'DADOS BRUTOS'!U$3:U$500)+IF($C15="",0,SUMIF('DADOS BRUTOS'!$A$3:$A$500,$C15,'DADOS BRUTOS'!U$3:U$500)))</f>
        <v/>
      </c>
      <c r="CV15" s="125">
        <f>IF(OR(CV$4="",$B15=""),0,SUMIF('DADOS BRUTOS'!$A$3:$A$500,$B15,'DADOS BRUTOS'!V$3:V$500)+IF($C15="",0,SUMIF('DADOS BRUTOS'!$A$3:$A$500,$C15,'DADOS BRUTOS'!V$3:V$500)))</f>
        <v/>
      </c>
      <c r="CW15" s="125">
        <f>IF(OR(CW$4="",$B15=""),0,SUMIF('DADOS BRUTOS'!$A$3:$A$500,$B15,'DADOS BRUTOS'!W$3:W$500)+IF($C15="",0,SUMIF('DADOS BRUTOS'!$A$3:$A$500,$C15,'DADOS BRUTOS'!W$3:W$500)))</f>
        <v/>
      </c>
      <c r="CX15" s="125">
        <f>IF(OR(CX$4="",$B15=""),0,SUMIF('DADOS BRUTOS'!$A$3:$A$500,$B15,'DADOS BRUTOS'!X$3:X$500)+IF($C15="",0,SUMIF('DADOS BRUTOS'!$A$3:$A$500,$C15,'DADOS BRUTOS'!X$3:X$500)))</f>
        <v/>
      </c>
      <c r="CY15" s="125">
        <f>IF(OR(CY$4="",$B15=""),0,SUMIF('DADOS BRUTOS'!$A$3:$A$500,$B15,'DADOS BRUTOS'!Y$3:Y$500)+IF($C15="",0,SUMIF('DADOS BRUTOS'!$A$3:$A$500,$C15,'DADOS BRUTOS'!Y$3:Y$500)))</f>
        <v/>
      </c>
      <c r="CZ15" s="125">
        <f>IF(OR(CZ$4="",$B15=""),0,SUMIF('DADOS BRUTOS'!$A$3:$A$500,$B15,'DADOS BRUTOS'!Z$3:Z$500)+IF($C15="",0,SUMIF('DADOS BRUTOS'!$A$3:$A$500,$C15,'DADOS BRUTOS'!Z$3:Z$500)))</f>
        <v/>
      </c>
      <c r="DA15" s="125">
        <f>IF(OR(DA$4="",$B15=""),0,SUMIF('DADOS BRUTOS'!$A$3:$A$500,$B15,'DADOS BRUTOS'!AA$3:AA$500)+IF($C15="",0,SUMIF('DADOS BRUTOS'!$A$3:$A$500,$C15,'DADOS BRUTOS'!AA$3:AA$500)))</f>
        <v/>
      </c>
      <c r="DB15" s="125">
        <f>IF(OR(DB$4="",$B15=""),0,SUMIF('DADOS BRUTOS'!$A$3:$A$500,$B15,'DADOS BRUTOS'!AB$3:AB$500)+IF($C15="",0,SUMIF('DADOS BRUTOS'!$A$3:$A$500,$C15,'DADOS BRUTOS'!AB$3:AB$500)))</f>
        <v/>
      </c>
      <c r="DC15" s="125">
        <f>IF(OR(DC$4="",$B15=""),0,SUMIF('DADOS BRUTOS'!$A$3:$A$500,$B15,'DADOS BRUTOS'!AC$3:AC$500)+IF($C15="",0,SUMIF('DADOS BRUTOS'!$A$3:$A$500,$C15,'DADOS BRUTOS'!AC$3:AC$500)))</f>
        <v/>
      </c>
      <c r="DD15" s="125">
        <f>IF(OR(DD$4="",$B15=""),0,SUMIF('DADOS BRUTOS'!$A$3:$A$500,$B15,'DADOS BRUTOS'!AD$3:AD$500)+IF($C15="",0,SUMIF('DADOS BRUTOS'!$A$3:$A$500,$C15,'DADOS BRUTOS'!AD$3:AD$500)))</f>
        <v/>
      </c>
      <c r="DE15" s="125">
        <f>IF(OR(DE$4="",$B15=""),0,SUMIF('DADOS BRUTOS'!$A$3:$A$500,$B15,'DADOS BRUTOS'!AE$3:AE$500)+IF($C15="",0,SUMIF('DADOS BRUTOS'!$A$3:$A$500,$C15,'DADOS BRUTOS'!AE$3:AE$500)))</f>
        <v/>
      </c>
      <c r="DF15" s="125">
        <f>IF(OR(DF$4="",$B15=""),0,SUMIF('DADOS BRUTOS'!$A$3:$A$500,$B15,'DADOS BRUTOS'!AF$3:AF$500)+IF($C15="",0,SUMIF('DADOS BRUTOS'!$A$3:$A$500,$C15,'DADOS BRUTOS'!AF$3:AF$500)))</f>
        <v/>
      </c>
      <c r="DG15" s="125">
        <f>IF(OR(DG$4="",$B15=""),0,SUMIF('DADOS BRUTOS'!$A$3:$A$500,$B15,'DADOS BRUTOS'!AG$3:AG$500)+IF($C15="",0,SUMIF('DADOS BRUTOS'!$A$3:$A$500,$C15,'DADOS BRUTOS'!AG$3:AG$500)))</f>
        <v/>
      </c>
      <c r="DH15" s="125">
        <f>IF(OR(DH$4="",$B15=""),0,SUMIF('DADOS BRUTOS'!$A$3:$A$500,$B15,'DADOS BRUTOS'!AH$3:AH$500)+IF($C15="",0,SUMIF('DADOS BRUTOS'!$A$3:$A$500,$C15,'DADOS BRUTOS'!AH$3:AH$500)))</f>
        <v/>
      </c>
      <c r="DI15" s="125">
        <f>IF(OR(DI$4="",$B15=""),0,SUMIF('DADOS BRUTOS'!$A$3:$A$500,$B15,'DADOS BRUTOS'!AI$3:AI$500)+IF($C15="",0,SUMIF('DADOS BRUTOS'!$A$3:$A$500,$C15,'DADOS BRUTOS'!AI$3:AI$500)))</f>
        <v/>
      </c>
      <c r="DJ15" s="125">
        <f>IF(OR(DJ$4="",$B15=""),0,SUMIF('DADOS BRUTOS'!$A$3:$A$500,$B15,'DADOS BRUTOS'!AJ$3:AJ$500)+IF($C15="",0,SUMIF('DADOS BRUTOS'!$A$3:$A$500,$C15,'DADOS BRUTOS'!AJ$3:AJ$500)))</f>
        <v/>
      </c>
      <c r="DK15" s="125">
        <f>IF(OR(DK$4="",$B15=""),0,SUMIF('DADOS BRUTOS'!$A$3:$A$500,$B15,'DADOS BRUTOS'!AK$3:AK$500)+IF($C15="",0,SUMIF('DADOS BRUTOS'!$A$3:$A$500,$C15,'DADOS BRUTOS'!AK$3:AK$500)))</f>
        <v/>
      </c>
      <c r="DL15" s="125">
        <f>IF(OR(DL$4="",$B15=""),0,SUMIF('DADOS BRUTOS'!$A$3:$A$500,$B15,'DADOS BRUTOS'!AL$3:AL$500)+IF($C15="",0,SUMIF('DADOS BRUTOS'!$A$3:$A$500,$C15,'DADOS BRUTOS'!AL$3:AL$500)))</f>
        <v/>
      </c>
      <c r="DM15" s="125">
        <f>IF(OR(DM$4="",$B15=""),0,SUMIF('DADOS BRUTOS'!$A$3:$A$500,$B15,'DADOS BRUTOS'!AM$3:AM$500)+IF($C15="",0,SUMIF('DADOS BRUTOS'!$A$3:$A$500,$C15,'DADOS BRUTOS'!AM$3:AM$500)))</f>
        <v/>
      </c>
      <c r="DN15" s="125">
        <f>IF(OR(DN$4="",$B15=""),0,SUMIF('DADOS BRUTOS'!$A$3:$A$500,$B15,'DADOS BRUTOS'!AN$3:AN$500)+IF($C15="",0,SUMIF('DADOS BRUTOS'!$A$3:$A$500,$C15,'DADOS BRUTOS'!AN$3:AN$500)))</f>
        <v/>
      </c>
      <c r="DO15" s="125">
        <f>IF(OR(DO$4="",$B15=""),0,SUMIF('DADOS BRUTOS'!$A$3:$A$500,$B15,'DADOS BRUTOS'!AO$3:AO$500)+IF($C15="",0,SUMIF('DADOS BRUTOS'!$A$3:$A$500,$C15,'DADOS BRUTOS'!AO$3:AO$500)))</f>
        <v/>
      </c>
      <c r="DP15" s="125">
        <f>IF(OR(DP$4="",$B15=""),0,SUMIF('DADOS BRUTOS'!$A$3:$A$500,$B15,'DADOS BRUTOS'!AP$3:AP$500)+IF($C15="",0,SUMIF('DADOS BRUTOS'!$A$3:$A$500,$C15,'DADOS BRUTOS'!AP$3:AP$500)))</f>
        <v/>
      </c>
      <c r="DQ15" s="125">
        <f>IF(OR(DQ$4="",$B15=""),0,SUMIF('DADOS BRUTOS'!$A$3:$A$500,$B15,'DADOS BRUTOS'!AQ$3:AQ$500)+IF($C15="",0,SUMIF('DADOS BRUTOS'!$A$3:$A$500,$C15,'DADOS BRUTOS'!AQ$3:AQ$500)))</f>
        <v/>
      </c>
      <c r="DR15" s="125">
        <f>IF(OR(DR$4="",$B15=""),0,SUMIF('DADOS BRUTOS'!$A$3:$A$500,$B15,'DADOS BRUTOS'!AR$3:AR$500)+IF($C15="",0,SUMIF('DADOS BRUTOS'!$A$3:$A$500,$C15,'DADOS BRUTOS'!AR$3:AR$500)))</f>
        <v/>
      </c>
      <c r="DS15" s="125">
        <f>IF(OR(DS$4="",$B15=""),0,SUMIF('DADOS BRUTOS'!$A$3:$A$500,$B15,'DADOS BRUTOS'!AS$3:AS$500)+IF($C15="",0,SUMIF('DADOS BRUTOS'!$A$3:$A$500,$C15,'DADOS BRUTOS'!AS$3:AS$500)))</f>
        <v/>
      </c>
      <c r="DT15" s="125">
        <f>IF(OR(DT$4="",$B15=""),0,SUMIF('DADOS BRUTOS'!$A$3:$A$500,$B15,'DADOS BRUTOS'!AT$3:AT$500)+IF($C15="",0,SUMIF('DADOS BRUTOS'!$A$3:$A$500,$C15,'DADOS BRUTOS'!AT$3:AT$500)))</f>
        <v/>
      </c>
      <c r="DU15" s="125">
        <f>IF(OR(DU$4="",$B15=""),0,SUMIF('DADOS BRUTOS'!$A$3:$A$500,$B15,'DADOS BRUTOS'!AU$3:AU$500)+IF($C15="",0,SUMIF('DADOS BRUTOS'!$A$3:$A$500,$C15,'DADOS BRUTOS'!AU$3:AU$500)))</f>
        <v/>
      </c>
      <c r="DV15" s="125">
        <f>IF(OR(DV$4="",$B15=""),0,SUMIF('DADOS BRUTOS'!$A$3:$A$500,$B15,'DADOS BRUTOS'!AV$3:AV$500)+IF($C15="",0,SUMIF('DADOS BRUTOS'!$A$3:$A$500,$C15,'DADOS BRUTOS'!AV$3:AV$500)))</f>
        <v/>
      </c>
      <c r="DW15" s="125">
        <f>IF(OR(DW$4="",$B15=""),0,SUMIF('DADOS BRUTOS'!$A$3:$A$500,$B15,'DADOS BRUTOS'!AW$3:AW$500)+IF($C15="",0,SUMIF('DADOS BRUTOS'!$A$3:$A$500,$C15,'DADOS BRUTOS'!AW$3:AW$500)))</f>
        <v/>
      </c>
      <c r="DX15" s="125">
        <f>IF(OR(DX$4="",$B15=""),0,SUMIF('DADOS BRUTOS'!$A$3:$A$500,$B15,'DADOS BRUTOS'!AX$3:AX$500)+IF($C15="",0,SUMIF('DADOS BRUTOS'!$A$3:$A$500,$C15,'DADOS BRUTOS'!AX$3:AX$500)))</f>
        <v/>
      </c>
      <c r="DY15" s="125">
        <f>IF(OR(DY$4="",$B15=""),0,SUMIF('DADOS BRUTOS'!$A$3:$A$500,$B15,'DADOS BRUTOS'!AY$3:AY$500)+IF($C15="",0,SUMIF('DADOS BRUTOS'!$A$3:$A$500,$C15,'DADOS BRUTOS'!AY$3:AY$500)))</f>
        <v/>
      </c>
      <c r="DZ15" s="125">
        <f>IF(OR(DZ$4="",$B15=""),0,SUMIF('DADOS BRUTOS'!$A$3:$A$500,$B15,'DADOS BRUTOS'!AZ$3:AZ$500)+IF($C15="",0,SUMIF('DADOS BRUTOS'!$A$3:$A$500,$C15,'DADOS BRUTOS'!AZ$3:AZ$500)))</f>
        <v/>
      </c>
      <c r="EA15" s="125">
        <f>IF(OR(EA$4="",$B15=""),0,SUMIF('DADOS BRUTOS'!$A$3:$A$500,$B15,'DADOS BRUTOS'!BA$3:BA$500)+IF($C15="",0,SUMIF('DADOS BRUTOS'!$A$3:$A$500,$C15,'DADOS BRUTOS'!BA$3:BA$500)))</f>
        <v/>
      </c>
      <c r="EB15" s="125">
        <f>IF(OR(EB$4="",$B15=""),0,SUMIF('DADOS BRUTOS'!$A$3:$A$500,$B15,'DADOS BRUTOS'!BB$3:BB$500)+IF($C15="",0,SUMIF('DADOS BRUTOS'!$A$3:$A$500,$C15,'DADOS BRUTOS'!BB$3:BB$500)))</f>
        <v/>
      </c>
      <c r="EC15" s="125">
        <f>IF(OR(EC$4="",$B15=""),0,SUMIF('DADOS BRUTOS'!$A$3:$A$500,$B15,'DADOS BRUTOS'!BC$3:BC$500)+IF($C15="",0,SUMIF('DADOS BRUTOS'!$A$3:$A$500,$C15,'DADOS BRUTOS'!BC$3:BC$500)))</f>
        <v/>
      </c>
      <c r="ED15" s="125">
        <f>IF(OR(ED$4="",$B15=""),0,SUMIF('DADOS BRUTOS'!$A$3:$A$500,$B15,'DADOS BRUTOS'!BD$3:BD$500)+IF($C15="",0,SUMIF('DADOS BRUTOS'!$A$3:$A$500,$C15,'DADOS BRUTOS'!BD$3:BD$500)))</f>
        <v/>
      </c>
      <c r="EE15" s="125">
        <f>IF(OR(EE$4="",$B15=""),0,SUMIF('DADOS BRUTOS'!$A$3:$A$500,$B15,'DADOS BRUTOS'!BE$3:BE$500)+IF($C15="",0,SUMIF('DADOS BRUTOS'!$A$3:$A$500,$C15,'DADOS BRUTOS'!BE$3:BE$500)))</f>
        <v/>
      </c>
      <c r="EF15" s="125">
        <f>IF(OR(EF$4="",$B15=""),0,SUMIF('DADOS BRUTOS'!$A$3:$A$500,$B15,'DADOS BRUTOS'!BF$3:BF$500)+IF($C15="",0,SUMIF('DADOS BRUTOS'!$A$3:$A$500,$C15,'DADOS BRUTOS'!BF$3:BF$500)))</f>
        <v/>
      </c>
      <c r="EG15" s="125">
        <f>IF(OR(EG$4="",$B15=""),0,SUMIF('DADOS BRUTOS'!$A$3:$A$500,$B15,'DADOS BRUTOS'!BG$3:BG$500)+IF($C15="",0,SUMIF('DADOS BRUTOS'!$A$3:$A$500,$C15,'DADOS BRUTOS'!BG$3:BG$500)))</f>
        <v/>
      </c>
      <c r="EH15" s="125">
        <f>IF(OR(EH$4="",$B15=""),0,SUMIF('DADOS BRUTOS'!$A$3:$A$500,$B15,'DADOS BRUTOS'!BH$3:BH$500)+IF($C15="",0,SUMIF('DADOS BRUTOS'!$A$3:$A$500,$C15,'DADOS BRUTOS'!BH$3:BH$500)))</f>
        <v/>
      </c>
      <c r="EI15" s="125">
        <f>IF(OR(EI$4="",$B15=""),0,SUMIF('DADOS BRUTOS'!$A$3:$A$500,$B15,'DADOS BRUTOS'!BI$3:BI$500)+IF($C15="",0,SUMIF('DADOS BRUTOS'!$A$3:$A$500,$C15,'DADOS BRUTOS'!BI$3:BI$500)))</f>
        <v/>
      </c>
      <c r="EJ15" s="125">
        <f>IF(OR(EJ$4="",$B15=""),0,SUMIF('DADOS BRUTOS'!$A$3:$A$500,$B15,'DADOS BRUTOS'!BJ$3:BJ$500)+IF($C15="",0,SUMIF('DADOS BRUTOS'!$A$3:$A$500,$C15,'DADOS BRUTOS'!BJ$3:BJ$500)))</f>
        <v/>
      </c>
      <c r="EK15" s="125">
        <f>IF(OR(EK$4="",$B15=""),0,SUMIF('DADOS BRUTOS'!$A$3:$A$500,$B15,'DADOS BRUTOS'!BK$3:BK$500)+IF($C15="",0,SUMIF('DADOS BRUTOS'!$A$3:$A$500,$C15,'DADOS BRUTOS'!BK$3:BK$500)))</f>
        <v/>
      </c>
      <c r="EL15" s="125">
        <f>IF(OR(EL$4="",$B15=""),0,SUMIF('DADOS BRUTOS'!$A$3:$A$500,$B15,'DADOS BRUTOS'!BL$3:BL$500)+IF($C15="",0,SUMIF('DADOS BRUTOS'!$A$3:$A$500,$C15,'DADOS BRUTOS'!BL$3:BL$500)))</f>
        <v/>
      </c>
      <c r="EM15" s="125">
        <f>IF(OR(EM$4="",$B15=""),0,SUMIF('DADOS BRUTOS'!$A$3:$A$500,$B15,'DADOS BRUTOS'!BM$3:BM$500)+IF($C15="",0,SUMIF('DADOS BRUTOS'!$A$3:$A$500,$C15,'DADOS BRUTOS'!BM$3:BM$500)))</f>
        <v/>
      </c>
      <c r="EN15" s="125">
        <f>IF(OR(EN$4="",$B15=""),0,SUMIF('DADOS BRUTOS'!$A$3:$A$500,$B15,'DADOS BRUTOS'!BN$3:BN$500)+IF($C15="",0,SUMIF('DADOS BRUTOS'!$A$3:$A$500,$C15,'DADOS BRUTOS'!BN$3:BN$500)))</f>
        <v/>
      </c>
      <c r="EO15" s="125">
        <f>IF(OR(EO$4="",$B15=""),0,SUMIF('DADOS BRUTOS'!$A$3:$A$500,$B15,'DADOS BRUTOS'!BO$3:BO$500)+IF($C15="",0,SUMIF('DADOS BRUTOS'!$A$3:$A$500,$C15,'DADOS BRUTOS'!BO$3:BO$500)))</f>
        <v/>
      </c>
      <c r="EP15" s="125">
        <f>IF(OR(EP$4="",$B15=""),0,SUMIF('DADOS BRUTOS'!$A$3:$A$500,$B15,'DADOS BRUTOS'!BP$3:BP$500)+IF($C15="",0,SUMIF('DADOS BRUTOS'!$A$3:$A$500,$C15,'DADOS BRUTOS'!BP$3:BP$500)))</f>
        <v/>
      </c>
      <c r="EQ15" s="125">
        <f>IF(OR(EQ$4="",$B15=""),0,SUMIF('DADOS BRUTOS'!$A$3:$A$500,$B15,'DADOS BRUTOS'!BQ$3:BQ$500)+IF($C15="",0,SUMIF('DADOS BRUTOS'!$A$3:$A$500,$C15,'DADOS BRUTOS'!BQ$3:BQ$500)))</f>
        <v/>
      </c>
      <c r="ER15" s="125">
        <f>IF(OR(ER$4="",$B15=""),0,SUMIF('DADOS BRUTOS'!$A$3:$A$500,$B15,'DADOS BRUTOS'!BR$3:BR$500)+IF($C15="",0,SUMIF('DADOS BRUTOS'!$A$3:$A$500,$C15,'DADOS BRUTOS'!BR$3:BR$500)))</f>
        <v/>
      </c>
      <c r="ES15" s="125">
        <f>IF(OR(ES$4="",$B15=""),0,SUMIF('DADOS BRUTOS'!$A$3:$A$500,$B15,'DADOS BRUTOS'!BS$3:BS$500)+IF($C15="",0,SUMIF('DADOS BRUTOS'!$A$3:$A$500,$C15,'DADOS BRUTOS'!BS$3:BS$500)))</f>
        <v/>
      </c>
      <c r="ET15" s="125">
        <f>IF(OR(ET$4="",$B15=""),0,SUMIF('DADOS BRUTOS'!$A$3:$A$500,$B15,'DADOS BRUTOS'!BT$3:BT$500)+IF($C15="",0,SUMIF('DADOS BRUTOS'!$A$3:$A$500,$C15,'DADOS BRUTOS'!BT$3:BT$500)))</f>
        <v/>
      </c>
      <c r="EU15" s="125">
        <f>IF(OR(EU$4="",$B15=""),0,SUMIF('DADOS BRUTOS'!$A$3:$A$500,$B15,'DADOS BRUTOS'!BU$3:BU$500)+IF($C15="",0,SUMIF('DADOS BRUTOS'!$A$3:$A$500,$C15,'DADOS BRUTOS'!BU$3:BU$500)))</f>
        <v/>
      </c>
      <c r="EV15" s="125">
        <f>IF(OR(EV$4="",$B15=""),0,SUMIF('DADOS BRUTOS'!$A$3:$A$500,$B15,'DADOS BRUTOS'!BV$3:BV$500)+IF($C15="",0,SUMIF('DADOS BRUTOS'!$A$3:$A$500,$C15,'DADOS BRUTOS'!BV$3:BV$500)))</f>
        <v/>
      </c>
      <c r="EW15" s="125">
        <f>IF(OR(EW$4="",$B15=""),0,SUMIF('DADOS BRUTOS'!$A$3:$A$500,$B15,'DADOS BRUTOS'!BW$3:BW$500)+IF($C15="",0,SUMIF('DADOS BRUTOS'!$A$3:$A$500,$C15,'DADOS BRUTOS'!BW$3:BW$500)))</f>
        <v/>
      </c>
      <c r="EX15" s="125">
        <f>IF(OR(EX$4="",$B15=""),0,SUMIF('DADOS BRUTOS'!$A$3:$A$500,$B15,'DADOS BRUTOS'!BX$3:BX$500)+IF($C15="",0,SUMIF('DADOS BRUTOS'!$A$3:$A$500,$C15,'DADOS BRUTOS'!BX$3:BX$500)))</f>
        <v/>
      </c>
      <c r="EY15" s="125">
        <f>IF(OR(EY$4="",$B15=""),0,SUMIF('DADOS BRUTOS'!$A$3:$A$500,$B15,'DADOS BRUTOS'!BY$3:BY$500)+IF($C15="",0,SUMIF('DADOS BRUTOS'!$A$3:$A$500,$C15,'DADOS BRUTOS'!BY$3:BY$500)))</f>
        <v/>
      </c>
      <c r="EZ15" s="125">
        <f>IF(OR(EZ$4="",$B15=""),0,SUMIF('DADOS BRUTOS'!$A$3:$A$500,$B15,'DADOS BRUTOS'!BZ$3:BZ$500)+IF($C15="",0,SUMIF('DADOS BRUTOS'!$A$3:$A$500,$C15,'DADOS BRUTOS'!BZ$3:BZ$500)))</f>
        <v/>
      </c>
      <c r="FA15" s="125">
        <f>IF(OR(FA$4="",$B15=""),0,SUMIF('DADOS BRUTOS'!$A$3:$A$500,$B15,'DADOS BRUTOS'!CA$3:CA$500)+IF($C15="",0,SUMIF('DADOS BRUTOS'!$A$3:$A$500,$C15,'DADOS BRUTOS'!CA$3:CA$500)))</f>
        <v/>
      </c>
      <c r="FB15" s="125">
        <f>IF(OR(FB$4="",$B15=""),0,SUMIF('DADOS BRUTOS'!$A$3:$A$500,$B15,'DADOS BRUTOS'!CB$3:CB$500)+IF($C15="",0,SUMIF('DADOS BRUTOS'!$A$3:$A$500,$C15,'DADOS BRUTOS'!CB$3:CB$500)))</f>
        <v/>
      </c>
      <c r="FC15" s="125">
        <f>IF(OR(FC$4="",$B15=""),0,SUMIF('DADOS BRUTOS'!$A$3:$A$500,$B15,'DADOS BRUTOS'!CC$3:CC$500)+IF($C15="",0,SUMIF('DADOS BRUTOS'!$A$3:$A$500,$C15,'DADOS BRUTOS'!CC$3:CC$500)))</f>
        <v/>
      </c>
      <c r="FD15" s="125">
        <f>IF(OR(FD$4="",$B15=""),0,SUMIF('DADOS BRUTOS'!$A$3:$A$500,$B15,'DADOS BRUTOS'!CD$3:CD$500)+IF($C15="",0,SUMIF('DADOS BRUTOS'!$A$3:$A$500,$C15,'DADOS BRUTOS'!CD$3:CD$500)))</f>
        <v/>
      </c>
      <c r="FE15" s="125">
        <f>IF(OR(FE$4="",$B15=""),0,SUMIF('DADOS BRUTOS'!$A$3:$A$500,$B15,'DADOS BRUTOS'!CE$3:CE$500)+IF($C15="",0,SUMIF('DADOS BRUTOS'!$A$3:$A$500,$C15,'DADOS BRUTOS'!CE$3:CE$500)))</f>
        <v/>
      </c>
      <c r="FF15" s="125">
        <f>IF(OR(FF$4="",$B15=""),0,SUMIF('DADOS BRUTOS'!$A$3:$A$500,$B15,'DADOS BRUTOS'!CF$3:CF$500)+IF($C15="",0,SUMIF('DADOS BRUTOS'!$A$3:$A$500,$C15,'DADOS BRUTOS'!CF$3:CF$500)))</f>
        <v/>
      </c>
      <c r="FG15" s="125">
        <f>IF(OR(FG$4="",$B15=""),0,SUMIF('DADOS BRUTOS'!$A$3:$A$500,$B15,'DADOS BRUTOS'!CG$3:CG$500)+IF($C15="",0,SUMIF('DADOS BRUTOS'!$A$3:$A$500,$C15,'DADOS BRUTOS'!CG$3:CG$500)))</f>
        <v/>
      </c>
      <c r="FH15" s="125">
        <f>IF(OR(FH$4="",$B15=""),0,SUMIF('DADOS BRUTOS'!$A$3:$A$500,$B15,'DADOS BRUTOS'!CH$3:CH$500)+IF($C15="",0,SUMIF('DADOS BRUTOS'!$A$3:$A$500,$C15,'DADOS BRUTOS'!CH$3:CH$500)))</f>
        <v/>
      </c>
      <c r="FI15" s="125">
        <f>IF(OR(FI$4="",$B15=""),0,SUMIF('DADOS BRUTOS'!$A$3:$A$500,$B15,'DADOS BRUTOS'!CI$3:CI$500)+IF($C15="",0,SUMIF('DADOS BRUTOS'!$A$3:$A$500,$C15,'DADOS BRUTOS'!CI$3:CI$500)))</f>
        <v/>
      </c>
      <c r="FJ15" s="125">
        <f>IF(OR(FJ$4="",$B15=""),0,SUMIF('DADOS BRUTOS'!$A$3:$A$500,$B15,'DADOS BRUTOS'!CJ$3:CJ$500)+IF($C15="",0,SUMIF('DADOS BRUTOS'!$A$3:$A$500,$C15,'DADOS BRUTOS'!CJ$3:CJ$500)))</f>
        <v/>
      </c>
      <c r="FK15" s="125">
        <f>IF(OR(FK$4="",$B15=""),0,SUMIF('DADOS BRUTOS'!$A$3:$A$500,$B15,'DADOS BRUTOS'!CK$3:CK$500)+IF($C15="",0,SUMIF('DADOS BRUTOS'!$A$3:$A$500,$C15,'DADOS BRUTOS'!CK$3:CK$500)))</f>
        <v/>
      </c>
      <c r="FL15" s="125">
        <f>IF(OR(FL$4="",$B15=""),0,SUMIF('DADOS BRUTOS'!$A$3:$A$500,$B15,'DADOS BRUTOS'!CL$3:CL$500)+IF($C15="",0,SUMIF('DADOS BRUTOS'!$A$3:$A$500,$C15,'DADOS BRUTOS'!CL$3:CL$500)))</f>
        <v/>
      </c>
      <c r="FM15" s="125">
        <f>IF(OR(FM$4="",$B15=""),0,SUMIF('DADOS BRUTOS'!$A$3:$A$500,$B15,'DADOS BRUTOS'!CM$3:CM$500)+IF($C15="",0,SUMIF('DADOS BRUTOS'!$A$3:$A$500,$C15,'DADOS BRUTOS'!CM$3:CM$500)))</f>
        <v/>
      </c>
      <c r="FN15" s="125">
        <f>IF(OR(FN$4="",$B15=""),0,SUMIF('DADOS BRUTOS'!$A$3:$A$500,$B15,'DADOS BRUTOS'!CN$3:CN$500)+IF($C15="",0,SUMIF('DADOS BRUTOS'!$A$3:$A$500,$C15,'DADOS BRUTOS'!CN$3:CN$500)))</f>
        <v/>
      </c>
      <c r="FO15" s="125">
        <f>IF(OR(FO$4="",$B15=""),0,SUMIF('DADOS BRUTOS'!$A$3:$A$500,$B15,'DADOS BRUTOS'!CO$3:CO$500)+IF($C15="",0,SUMIF('DADOS BRUTOS'!$A$3:$A$500,$C15,'DADOS BRUTOS'!CO$3:CO$500)))</f>
        <v/>
      </c>
      <c r="FP15" s="125">
        <f>IF(OR(FP$4="",$B15=""),0,SUMIF('DADOS BRUTOS'!$A$3:$A$500,$B15,'DADOS BRUTOS'!CP$3:CP$500)+IF($C15="",0,SUMIF('DADOS BRUTOS'!$A$3:$A$500,$C15,'DADOS BRUTOS'!CP$3:CP$500)))</f>
        <v/>
      </c>
      <c r="FQ15" s="125">
        <f>IF(OR(FQ$4="",$B15=""),0,SUMIF('DADOS BRUTOS'!$A$3:$A$500,$B15,'DADOS BRUTOS'!CQ$3:CQ$500)+IF($C15="",0,SUMIF('DADOS BRUTOS'!$A$3:$A$500,$C15,'DADOS BRUTOS'!CQ$3:CQ$500)))</f>
        <v/>
      </c>
      <c r="FR15" s="125">
        <f>IF(OR(FR$4="",$B15=""),0,SUMIF('DADOS BRUTOS'!$A$3:$A$500,$B15,'DADOS BRUTOS'!CR$3:CR$500)+IF($C15="",0,SUMIF('DADOS BRUTOS'!$A$3:$A$500,$C15,'DADOS BRUTOS'!CR$3:CR$500)))</f>
        <v/>
      </c>
      <c r="FS15" s="125">
        <f>IF(OR(FS$4="",$B15=""),0,SUMIF('DADOS BRUTOS'!$A$3:$A$500,$B15,'DADOS BRUTOS'!CS$3:CS$500)+IF($C15="",0,SUMIF('DADOS BRUTOS'!$A$3:$A$500,$C15,'DADOS BRUTOS'!CS$3:CS$500)))</f>
        <v/>
      </c>
      <c r="FT15" s="125">
        <f>IF(OR(FT$4="",$B15=""),0,SUMIF('DADOS BRUTOS'!$A$3:$A$500,$B15,'DADOS BRUTOS'!CT$3:CT$500)+IF($C15="",0,SUMIF('DADOS BRUTOS'!$A$3:$A$500,$C15,'DADOS BRUTOS'!CT$3:CT$500)))</f>
        <v/>
      </c>
      <c r="FU15" s="125">
        <f>IF(OR(FU$4="",$B15=""),0,SUMIF('DADOS BRUTOS'!$A$3:$A$500,$B15,'DADOS BRUTOS'!CU$3:CU$500)+IF($C15="",0,SUMIF('DADOS BRUTOS'!$A$3:$A$500,$C15,'DADOS BRUTOS'!CU$3:CU$500)))</f>
        <v/>
      </c>
      <c r="FV15" s="125">
        <f>IF(OR(FV$4="",$B15=""),0,SUMIF('DADOS BRUTOS'!$A$3:$A$500,$B15,'DADOS BRUTOS'!CV$3:CV$500)+IF($C15="",0,SUMIF('DADOS BRUTOS'!$A$3:$A$500,$C15,'DADOS BRUTOS'!CV$3:CV$500)))</f>
        <v/>
      </c>
      <c r="FW15" s="125">
        <f>IF(OR(FW$4="",$B15=""),0,SUMIF('DADOS BRUTOS'!$A$3:$A$500,$B15,'DADOS BRUTOS'!CW$3:CW$500)+IF($C15="",0,SUMIF('DADOS BRUTOS'!$A$3:$A$500,$C15,'DADOS BRUTOS'!CW$3:CW$500)))</f>
        <v/>
      </c>
      <c r="FX15" s="125">
        <f>IF(OR(FX$4="",$B15=""),0,SUMIF('DADOS BRUTOS'!$A$3:$A$500,$B15,'DADOS BRUTOS'!CX$3:CX$500)+IF($C15="",0,SUMIF('DADOS BRUTOS'!$A$3:$A$500,$C15,'DADOS BRUTOS'!CX$3:CX$500)))</f>
        <v/>
      </c>
      <c r="FY15" s="125">
        <f>IF(OR(FY$4="",$B15=""),0,SUMIF('DADOS BRUTOS'!$A$3:$A$500,$B15,'DADOS BRUTOS'!CY$3:CY$500)+IF($C15="",0,SUMIF('DADOS BRUTOS'!$A$3:$A$500,$C15,'DADOS BRUTOS'!CY$3:CY$500)))</f>
        <v/>
      </c>
      <c r="FZ15" s="125">
        <f>IF(OR(FZ$4="",$B15=""),0,SUMIF('DADOS BRUTOS'!$A$3:$A$500,$B15,'DADOS BRUTOS'!CZ$3:CZ$500)+IF($C15="",0,SUMIF('DADOS BRUTOS'!$A$3:$A$500,$C15,'DADOS BRUTOS'!CZ$3:CZ$500)))</f>
        <v/>
      </c>
      <c r="GA15" s="125">
        <f>IF(OR(GA$4="",$B15=""),0,SUMIF('DADOS BRUTOS'!$A$3:$A$500,$B15,'DADOS BRUTOS'!DA$3:DA$500)+IF($C15="",0,SUMIF('DADOS BRUTOS'!$A$3:$A$500,$C15,'DADOS BRUTOS'!DA$3:DA$500)))</f>
        <v/>
      </c>
      <c r="GB15" s="125">
        <f>IF(OR(GB$4="",$B15=""),0,SUMIF('DADOS BRUTOS'!$A$3:$A$500,$B15,'DADOS BRUTOS'!DB$3:DB$500)+IF($C15="",0,SUMIF('DADOS BRUTOS'!$A$3:$A$500,$C15,'DADOS BRUTOS'!DB$3:DB$500)))</f>
        <v/>
      </c>
      <c r="GC15" s="125">
        <f>IF(OR(GC$4="",$B15=""),0,SUMIF('DADOS BRUTOS'!$A$3:$A$500,$B15,'DADOS BRUTOS'!DC$3:DC$500)+IF($C15="",0,SUMIF('DADOS BRUTOS'!$A$3:$A$500,$C15,'DADOS BRUTOS'!DC$3:DC$500)))</f>
        <v/>
      </c>
      <c r="GD15" s="125">
        <f>IF(OR(GD$4="",$B15=""),0,SUMIF('DADOS BRUTOS'!$A$3:$A$500,$B15,'DADOS BRUTOS'!DD$3:DD$500)+IF($C15="",0,SUMIF('DADOS BRUTOS'!$A$3:$A$500,$C15,'DADOS BRUTOS'!DD$3:DD$500)))</f>
        <v/>
      </c>
      <c r="GE15" s="125">
        <f>IF(OR(GE$4="",$B15=""),0,SUMIF('DADOS BRUTOS'!$A$3:$A$500,$B15,'DADOS BRUTOS'!DE$3:DE$500)+IF($C15="",0,SUMIF('DADOS BRUTOS'!$A$3:$A$500,$C15,'DADOS BRUTOS'!DE$3:DE$500)))</f>
        <v/>
      </c>
      <c r="GF15" s="125">
        <f>IF(OR(GF$4="",$B15=""),0,SUMIF('DADOS BRUTOS'!$A$3:$A$500,$B15,'DADOS BRUTOS'!DF$3:DF$500)+IF($C15="",0,SUMIF('DADOS BRUTOS'!$A$3:$A$500,$C15,'DADOS BRUTOS'!DF$3:DF$500)))</f>
        <v/>
      </c>
      <c r="GG15" s="125">
        <f>IF(OR(GG$4="",$B15=""),0,SUMIF('DADOS BRUTOS'!$A$3:$A$500,$B15,'DADOS BRUTOS'!DG$3:DG$500)+IF($C15="",0,SUMIF('DADOS BRUTOS'!$A$3:$A$500,$C15,'DADOS BRUTOS'!DG$3:DG$500)))</f>
        <v/>
      </c>
      <c r="GH15" s="125">
        <f>IF(OR(GH$4="",$B15=""),0,SUMIF('DADOS BRUTOS'!$A$3:$A$500,$B15,'DADOS BRUTOS'!DH$3:DH$500)+IF($C15="",0,SUMIF('DADOS BRUTOS'!$A$3:$A$500,$C15,'DADOS BRUTOS'!DH$3:DH$500)))</f>
        <v/>
      </c>
      <c r="GI15" s="125">
        <f>IF(OR(GI$4="",$B15=""),0,SUMIF('DADOS BRUTOS'!$A$3:$A$500,$B15,'DADOS BRUTOS'!DI$3:DI$500)+IF($C15="",0,SUMIF('DADOS BRUTOS'!$A$3:$A$500,$C15,'DADOS BRUTOS'!DI$3:DI$500)))</f>
        <v/>
      </c>
      <c r="GJ15" s="125">
        <f>IF(OR(GJ$4="",$B15=""),0,SUMIF('DADOS BRUTOS'!$A$3:$A$500,$B15,'DADOS BRUTOS'!DJ$3:DJ$500)+IF($C15="",0,SUMIF('DADOS BRUTOS'!$A$3:$A$500,$C15,'DADOS BRUTOS'!DJ$3:DJ$500)))</f>
        <v/>
      </c>
      <c r="GK15" s="125">
        <f>IF(OR(GK$4="",$B15=""),0,SUMIF('DADOS BRUTOS'!$A$3:$A$500,$B15,'DADOS BRUTOS'!DK$3:DK$500)+IF($C15="",0,SUMIF('DADOS BRUTOS'!$A$3:$A$500,$C15,'DADOS BRUTOS'!DK$3:DK$500)))</f>
        <v/>
      </c>
      <c r="GL15" s="125">
        <f>IF(OR(GL$4="",$B15=""),0,SUMIF('DADOS BRUTOS'!$A$3:$A$500,$B15,'DADOS BRUTOS'!DL$3:DL$500)+IF($C15="",0,SUMIF('DADOS BRUTOS'!$A$3:$A$500,$C15,'DADOS BRUTOS'!DL$3:DL$500)))</f>
        <v/>
      </c>
      <c r="GM15" s="125">
        <f>IF(OR(GM$4="",$B15=""),0,SUMIF('DADOS BRUTOS'!$A$3:$A$500,$B15,'DADOS BRUTOS'!DM$3:DM$500)+IF($C15="",0,SUMIF('DADOS BRUTOS'!$A$3:$A$500,$C15,'DADOS BRUTOS'!DM$3:DM$500)))</f>
        <v/>
      </c>
      <c r="GN15" s="125">
        <f>IF(OR(GN$4="",$B15=""),0,SUMIF('DADOS BRUTOS'!$A$3:$A$500,$B15,'DADOS BRUTOS'!DN$3:DN$500)+IF($C15="",0,SUMIF('DADOS BRUTOS'!$A$3:$A$500,$C15,'DADOS BRUTOS'!DN$3:DN$500)))</f>
        <v/>
      </c>
      <c r="GO15" s="125">
        <f>IF(OR(GO$4="",$B15=""),0,SUMIF('DADOS BRUTOS'!$A$3:$A$500,$B15,'DADOS BRUTOS'!DO$3:DO$500)+IF($C15="",0,SUMIF('DADOS BRUTOS'!$A$3:$A$500,$C15,'DADOS BRUTOS'!DO$3:DO$500)))</f>
        <v/>
      </c>
      <c r="GP15" s="125">
        <f>IF(OR(GP$4="",$B15=""),0,SUMIF('DADOS BRUTOS'!$A$3:$A$500,$B15,'DADOS BRUTOS'!DP$3:DP$500)+IF($C15="",0,SUMIF('DADOS BRUTOS'!$A$3:$A$500,$C15,'DADOS BRUTOS'!DP$3:DP$500)))</f>
        <v/>
      </c>
      <c r="GQ15" s="125">
        <f>IF(OR(GQ$4="",$B15=""),0,SUMIF('DADOS BRUTOS'!$A$3:$A$500,$B15,'DADOS BRUTOS'!DQ$3:DQ$500)+IF($C15="",0,SUMIF('DADOS BRUTOS'!$A$3:$A$500,$C15,'DADOS BRUTOS'!DQ$3:DQ$500)))</f>
        <v/>
      </c>
      <c r="GR15" s="125">
        <f>IF(OR(GR$4="",$B15=""),0,SUMIF('DADOS BRUTOS'!$A$3:$A$500,$B15,'DADOS BRUTOS'!DR$3:DR$500)+IF($C15="",0,SUMIF('DADOS BRUTOS'!$A$3:$A$500,$C15,'DADOS BRUTOS'!DR$3:DR$500)))</f>
        <v/>
      </c>
      <c r="GS15" s="125">
        <f>IF(OR(GS$4="",$B15=""),0,SUMIF('DADOS BRUTOS'!$A$3:$A$500,$B15,'DADOS BRUTOS'!DS$3:DS$500)+IF($C15="",0,SUMIF('DADOS BRUTOS'!$A$3:$A$500,$C15,'DADOS BRUTOS'!DS$3:DS$500)))</f>
        <v/>
      </c>
      <c r="GT15" s="125">
        <f>IF(OR(GT$4="",$B15=""),0,SUMIF('DADOS BRUTOS'!$A$3:$A$500,$B15,'DADOS BRUTOS'!DT$3:DT$500)+IF($C15="",0,SUMIF('DADOS BRUTOS'!$A$3:$A$500,$C15,'DADOS BRUTOS'!DT$3:DT$500)))</f>
        <v/>
      </c>
      <c r="GU15" s="125">
        <f>IF(OR(GU$4="",$B15=""),0,SUMIF('DADOS BRUTOS'!$A$3:$A$500,$B15,'DADOS BRUTOS'!DU$3:DU$500)+IF($C15="",0,SUMIF('DADOS BRUTOS'!$A$3:$A$500,$C15,'DADOS BRUTOS'!DU$3:DU$500)))</f>
        <v/>
      </c>
      <c r="GV15" s="125">
        <f>IF(OR(GV$4="",$B15=""),0,SUMIF('DADOS BRUTOS'!$A$3:$A$500,$B15,'DADOS BRUTOS'!DV$3:DV$500)+IF($C15="",0,SUMIF('DADOS BRUTOS'!$A$3:$A$500,$C15,'DADOS BRUTOS'!DV$3:DV$500)))</f>
        <v/>
      </c>
      <c r="GW15" s="125">
        <f>IF(OR(GW$4="",$B15=""),0,SUMIF('DADOS BRUTOS'!$A$3:$A$500,$B15,'DADOS BRUTOS'!DW$3:DW$500)+IF($C15="",0,SUMIF('DADOS BRUTOS'!$A$3:$A$500,$C15,'DADOS BRUTOS'!DW$3:DW$500)))</f>
        <v/>
      </c>
      <c r="GX15" s="125">
        <f>IF(OR(GX$4="",$B15=""),0,SUMIF('DADOS BRUTOS'!$A$3:$A$500,$B15,'DADOS BRUTOS'!DX$3:DX$500)+IF($C15="",0,SUMIF('DADOS BRUTOS'!$A$3:$A$500,$C15,'DADOS BRUTOS'!DX$3:DX$500)))</f>
        <v/>
      </c>
      <c r="GY15" s="125">
        <f>IF(OR(GY$4="",$B15=""),0,SUMIF('DADOS BRUTOS'!$A$3:$A$500,$B15,'DADOS BRUTOS'!DY$3:DY$500)+IF($C15="",0,SUMIF('DADOS BRUTOS'!$A$3:$A$500,$C15,'DADOS BRUTOS'!DY$3:DY$500)))</f>
        <v/>
      </c>
      <c r="GZ15" s="125">
        <f>IF(OR(GZ$4="",$B15=""),0,SUMIF('DADOS BRUTOS'!$A$3:$A$500,$B15,'DADOS BRUTOS'!DZ$3:DZ$500)+IF($C15="",0,SUMIF('DADOS BRUTOS'!$A$3:$A$500,$C15,'DADOS BRUTOS'!DZ$3:DZ$500)))</f>
        <v/>
      </c>
      <c r="HA15" s="125">
        <f>IF(OR(HA$4="",$B15=""),0,SUMIF('DADOS BRUTOS'!$A$3:$A$500,$B15,'DADOS BRUTOS'!EA$3:EA$500)+IF($C15="",0,SUMIF('DADOS BRUTOS'!$A$3:$A$500,$C15,'DADOS BRUTOS'!EA$3:EA$500)))</f>
        <v/>
      </c>
      <c r="HB15" s="125">
        <f>IF(OR(HB$4="",$B15=""),0,SUMIF('DADOS BRUTOS'!$A$3:$A$500,$B15,'DADOS BRUTOS'!EB$3:EB$500)+IF($C15="",0,SUMIF('DADOS BRUTOS'!$A$3:$A$500,$C15,'DADOS BRUTOS'!EB$3:EB$500)))</f>
        <v/>
      </c>
      <c r="HC15" s="125">
        <f>IF(OR(HC$4="",$B15=""),0,SUMIF('DADOS BRUTOS'!$A$3:$A$500,$B15,'DADOS BRUTOS'!EC$3:EC$500)+IF($C15="",0,SUMIF('DADOS BRUTOS'!$A$3:$A$500,$C15,'DADOS BRUTOS'!EC$3:EC$500)))</f>
        <v/>
      </c>
      <c r="HD15" s="125">
        <f>IF(OR(HD$4="",$B15=""),0,SUMIF('DADOS BRUTOS'!$A$3:$A$500,$B15,'DADOS BRUTOS'!ED$3:ED$500)+IF($C15="",0,SUMIF('DADOS BRUTOS'!$A$3:$A$500,$C15,'DADOS BRUTOS'!ED$3:ED$500)))</f>
        <v/>
      </c>
      <c r="HE15" s="125">
        <f>IF(OR(HE$4="",$B15=""),0,SUMIF('DADOS BRUTOS'!$A$3:$A$500,$B15,'DADOS BRUTOS'!EE$3:EE$500)+IF($C15="",0,SUMIF('DADOS BRUTOS'!$A$3:$A$500,$C15,'DADOS BRUTOS'!EE$3:EE$500)))</f>
        <v/>
      </c>
      <c r="HF15" s="125">
        <f>IF(OR(HF$4="",$B15=""),0,SUMIF('DADOS BRUTOS'!$A$3:$A$500,$B15,'DADOS BRUTOS'!EF$3:EF$500)+IF($C15="",0,SUMIF('DADOS BRUTOS'!$A$3:$A$500,$C15,'DADOS BRUTOS'!EF$3:EF$500)))</f>
        <v/>
      </c>
      <c r="HG15" s="125">
        <f>IF(OR(HG$4="",$B15=""),0,SUMIF('DADOS BRUTOS'!$A$3:$A$500,$B15,'DADOS BRUTOS'!EG$3:EG$500)+IF($C15="",0,SUMIF('DADOS BRUTOS'!$A$3:$A$500,$C15,'DADOS BRUTOS'!EG$3:EG$500)))</f>
        <v/>
      </c>
      <c r="HH15" s="125">
        <f>IF(OR(HH$4="",$B15=""),0,SUMIF('DADOS BRUTOS'!$A$3:$A$500,$B15,'DADOS BRUTOS'!EH$3:EH$500)+IF($C15="",0,SUMIF('DADOS BRUTOS'!$A$3:$A$500,$C15,'DADOS BRUTOS'!EH$3:EH$500)))</f>
        <v/>
      </c>
      <c r="HI15" s="125">
        <f>IF(OR(HI$4="",$B15=""),0,SUMIF('DADOS BRUTOS'!$A$3:$A$500,$B15,'DADOS BRUTOS'!EI$3:EI$500)+IF($C15="",0,SUMIF('DADOS BRUTOS'!$A$3:$A$500,$C15,'DADOS BRUTOS'!EI$3:EI$500)))</f>
        <v/>
      </c>
      <c r="HJ15" s="125">
        <f>IF(OR(HJ$4="",$B15=""),0,SUMIF('DADOS BRUTOS'!$A$3:$A$500,$B15,'DADOS BRUTOS'!EJ$3:EJ$500)+IF($C15="",0,SUMIF('DADOS BRUTOS'!$A$3:$A$500,$C15,'DADOS BRUTOS'!EJ$3:EJ$500)))</f>
        <v/>
      </c>
      <c r="HK15" s="125">
        <f>IF(OR(HK$4="",$B15=""),0,SUMIF('DADOS BRUTOS'!$A$3:$A$500,$B15,'DADOS BRUTOS'!EK$3:EK$500)+IF($C15="",0,SUMIF('DADOS BRUTOS'!$A$3:$A$500,$C15,'DADOS BRUTOS'!EK$3:EK$500)))</f>
        <v/>
      </c>
      <c r="HL15" s="125">
        <f>IF(OR(HL$4="",$B15=""),0,SUMIF('DADOS BRUTOS'!$A$3:$A$500,$B15,'DADOS BRUTOS'!EL$3:EL$500)+IF($C15="",0,SUMIF('DADOS BRUTOS'!$A$3:$A$500,$C15,'DADOS BRUTOS'!EL$3:EL$500)))</f>
        <v/>
      </c>
      <c r="HM15" s="125">
        <f>IF(OR(HM$4="",$B15=""),0,SUMIF('DADOS BRUTOS'!$A$3:$A$500,$B15,'DADOS BRUTOS'!EM$3:EM$500)+IF($C15="",0,SUMIF('DADOS BRUTOS'!$A$3:$A$500,$C15,'DADOS BRUTOS'!EM$3:EM$500)))</f>
        <v/>
      </c>
      <c r="HN15" s="125">
        <f>IF(OR(HN$4="",$B15=""),0,SUMIF('DADOS BRUTOS'!$A$3:$A$500,$B15,'DADOS BRUTOS'!EN$3:EN$500)+IF($C15="",0,SUMIF('DADOS BRUTOS'!$A$3:$A$500,$C15,'DADOS BRUTOS'!EN$3:EN$500)))</f>
        <v/>
      </c>
      <c r="HO15" s="125">
        <f>IF(OR(HO$4="",$B15=""),0,SUMIF('DADOS BRUTOS'!$A$3:$A$500,$B15,'DADOS BRUTOS'!EO$3:EO$500)+IF($C15="",0,SUMIF('DADOS BRUTOS'!$A$3:$A$500,$C15,'DADOS BRUTOS'!EO$3:EO$500)))</f>
        <v/>
      </c>
      <c r="HP15" s="125">
        <f>IF(OR(HP$4="",$B15=""),0,SUMIF('DADOS BRUTOS'!$A$3:$A$500,$B15,'DADOS BRUTOS'!EP$3:EP$500)+IF($C15="",0,SUMIF('DADOS BRUTOS'!$A$3:$A$500,$C15,'DADOS BRUTOS'!EP$3:EP$500)))</f>
        <v/>
      </c>
      <c r="HQ15" s="125">
        <f>IF(OR(HQ$4="",$B15=""),0,SUMIF('DADOS BRUTOS'!$A$3:$A$500,$B15,'DADOS BRUTOS'!EQ$3:EQ$500)+IF($C15="",0,SUMIF('DADOS BRUTOS'!$A$3:$A$500,$C15,'DADOS BRUTOS'!EQ$3:EQ$500)))</f>
        <v/>
      </c>
      <c r="HR15" s="125">
        <f>IF(OR(HR$4="",$B15=""),0,SUMIF('DADOS BRUTOS'!$A$3:$A$500,$B15,'DADOS BRUTOS'!ER$3:ER$500)+IF($C15="",0,SUMIF('DADOS BRUTOS'!$A$3:$A$500,$C15,'DADOS BRUTOS'!ER$3:ER$500)))</f>
        <v/>
      </c>
      <c r="HS15" s="125">
        <f>IF(OR(HS$4="",$B15=""),0,SUMIF('DADOS BRUTOS'!$A$3:$A$500,$B15,'DADOS BRUTOS'!ES$3:ES$500)+IF($C15="",0,SUMIF('DADOS BRUTOS'!$A$3:$A$500,$C15,'DADOS BRUTOS'!ES$3:ES$500)))</f>
        <v/>
      </c>
      <c r="HT15" s="125">
        <f>IF(OR(HT$4="",$B15=""),0,SUMIF('DADOS BRUTOS'!$A$3:$A$500,$B15,'DADOS BRUTOS'!ET$3:ET$500)+IF($C15="",0,SUMIF('DADOS BRUTOS'!$A$3:$A$500,$C15,'DADOS BRUTOS'!ET$3:ET$500)))</f>
        <v/>
      </c>
      <c r="HU15" s="125">
        <f>IF(OR(HU$4="",$B15=""),0,SUMIF('DADOS BRUTOS'!$A$3:$A$500,$B15,'DADOS BRUTOS'!EU$3:EU$500)+IF($C15="",0,SUMIF('DADOS BRUTOS'!$A$3:$A$500,$C15,'DADOS BRUTOS'!EU$3:EU$500)))</f>
        <v/>
      </c>
      <c r="HV15" s="125">
        <f>IF(OR(HV$4="",$B15=""),0,SUMIF('DADOS BRUTOS'!$A$3:$A$500,$B15,'DADOS BRUTOS'!EV$3:EV$500)+IF($C15="",0,SUMIF('DADOS BRUTOS'!$A$3:$A$500,$C15,'DADOS BRUTOS'!EV$3:EV$500)))</f>
        <v/>
      </c>
      <c r="HW15" s="125">
        <f>IF(OR(HW$4="",$B15=""),0,SUMIF('DADOS BRUTOS'!$A$3:$A$500,$B15,'DADOS BRUTOS'!EW$3:EW$500)+IF($C15="",0,SUMIF('DADOS BRUTOS'!$A$3:$A$500,$C15,'DADOS BRUTOS'!EW$3:EW$500)))</f>
        <v/>
      </c>
      <c r="HX15" s="125">
        <f>IF(OR(HX$4="",$B15=""),0,SUMIF('DADOS BRUTOS'!$A$3:$A$500,$B15,'DADOS BRUTOS'!EX$3:EX$500)+IF($C15="",0,SUMIF('DADOS BRUTOS'!$A$3:$A$500,$C15,'DADOS BRUTOS'!EX$3:EX$500)))</f>
        <v/>
      </c>
      <c r="HY15" s="125">
        <f>IF(OR(HY$4="",$B15=""),0,SUMIF('DADOS BRUTOS'!$A$3:$A$500,$B15,'DADOS BRUTOS'!EY$3:EY$500)+IF($C15="",0,SUMIF('DADOS BRUTOS'!$A$3:$A$500,$C15,'DADOS BRUTOS'!EY$3:EY$500)))</f>
        <v/>
      </c>
      <c r="HZ15" s="125">
        <f>IF(OR(HZ$4="",$B15=""),0,SUMIF('DADOS BRUTOS'!$A$3:$A$500,$B15,'DADOS BRUTOS'!EZ$3:EZ$500)+IF($C15="",0,SUMIF('DADOS BRUTOS'!$A$3:$A$500,$C15,'DADOS BRUTOS'!EZ$3:EZ$500)))</f>
        <v/>
      </c>
      <c r="IA15" s="125">
        <f>IF(OR(IA$4="",$B15=""),0,SUMIF('DADOS BRUTOS'!$A$3:$A$500,$B15,'DADOS BRUTOS'!FA$3:FA$500)+IF($C15="",0,SUMIF('DADOS BRUTOS'!$A$3:$A$500,$C15,'DADOS BRUTOS'!FA$3:FA$500)))</f>
        <v/>
      </c>
      <c r="IB15" s="125">
        <f>IF(OR(IB$4="",$B15=""),0,SUMIF('DADOS BRUTOS'!$A$3:$A$500,$B15,'DADOS BRUTOS'!FB$3:FB$500)+IF($C15="",0,SUMIF('DADOS BRUTOS'!$A$3:$A$500,$C15,'DADOS BRUTOS'!FB$3:FB$500)))</f>
        <v/>
      </c>
      <c r="IC15" s="125">
        <f>IF(OR(IC$4="",$B15=""),0,SUMIF('DADOS BRUTOS'!$A$3:$A$500,$B15,'DADOS BRUTOS'!FC$3:FC$500)+IF($C15="",0,SUMIF('DADOS BRUTOS'!$A$3:$A$500,$C15,'DADOS BRUTOS'!FC$3:FC$500)))</f>
        <v/>
      </c>
      <c r="ID15" s="125">
        <f>IF(OR(ID$4="",$B15=""),0,SUMIF('DADOS BRUTOS'!$A$3:$A$500,$B15,'DADOS BRUTOS'!FD$3:FD$500)+IF($C15="",0,SUMIF('DADOS BRUTOS'!$A$3:$A$500,$C15,'DADOS BRUTOS'!FD$3:FD$500)))</f>
        <v/>
      </c>
      <c r="IE15" s="125">
        <f>IF(OR(IE$4="",$B15=""),0,SUMIF('DADOS BRUTOS'!$A$3:$A$500,$B15,'DADOS BRUTOS'!FE$3:FE$500)+IF($C15="",0,SUMIF('DADOS BRUTOS'!$A$3:$A$500,$C15,'DADOS BRUTOS'!FE$3:FE$500)))</f>
        <v/>
      </c>
      <c r="IF15" s="125">
        <f>IF(OR(IF$4="",$B15=""),0,SUMIF('DADOS BRUTOS'!$A$3:$A$500,$B15,'DADOS BRUTOS'!FF$3:FF$500)+IF($C15="",0,SUMIF('DADOS BRUTOS'!$A$3:$A$500,$C15,'DADOS BRUTOS'!FF$3:FF$500)))</f>
        <v/>
      </c>
      <c r="IG15" s="125">
        <f>IF(OR(IG$4="",$B15=""),0,SUMIF('DADOS BRUTOS'!$A$3:$A$500,$B15,'DADOS BRUTOS'!FG$3:FG$500)+IF($C15="",0,SUMIF('DADOS BRUTOS'!$A$3:$A$500,$C15,'DADOS BRUTOS'!FG$3:FG$500)))</f>
        <v/>
      </c>
      <c r="IH15" s="125">
        <f>IF(OR(IH$4="",$B15=""),0,SUMIF('DADOS BRUTOS'!$A$3:$A$500,$B15,'DADOS BRUTOS'!FH$3:FH$500)+IF($C15="",0,SUMIF('DADOS BRUTOS'!$A$3:$A$500,$C15,'DADOS BRUTOS'!FH$3:FH$500)))</f>
        <v/>
      </c>
      <c r="II15" s="125">
        <f>IF(OR(II$4="",$B15=""),0,SUMIF('DADOS BRUTOS'!$A$3:$A$500,$B15,'DADOS BRUTOS'!FI$3:FI$500)+IF($C15="",0,SUMIF('DADOS BRUTOS'!$A$3:$A$500,$C15,'DADOS BRUTOS'!FI$3:FI$500)))</f>
        <v/>
      </c>
      <c r="IJ15" s="125">
        <f>IF(OR(IJ$4="",$B15=""),0,SUMIF('DADOS BRUTOS'!$A$3:$A$500,$B15,'DADOS BRUTOS'!FJ$3:FJ$500)+IF($C15="",0,SUMIF('DADOS BRUTOS'!$A$3:$A$500,$C15,'DADOS BRUTOS'!FJ$3:FJ$500)))</f>
        <v/>
      </c>
      <c r="IK15" s="125">
        <f>IF(OR(IK$4="",$B15=""),0,SUMIF('DADOS BRUTOS'!$A$3:$A$500,$B15,'DADOS BRUTOS'!FK$3:FK$500)+IF($C15="",0,SUMIF('DADOS BRUTOS'!$A$3:$A$500,$C15,'DADOS BRUTOS'!FK$3:FK$500)))</f>
        <v/>
      </c>
      <c r="IL15" s="125">
        <f>IF(OR(IL$4="",$B15=""),0,SUMIF('DADOS BRUTOS'!$A$3:$A$500,$B15,'DADOS BRUTOS'!FL$3:FL$500)+IF($C15="",0,SUMIF('DADOS BRUTOS'!$A$3:$A$500,$C15,'DADOS BRUTOS'!FL$3:FL$500)))</f>
        <v/>
      </c>
      <c r="IM15" s="125">
        <f>IF(OR(IM$4="",$B15=""),0,SUMIF('DADOS BRUTOS'!$A$3:$A$500,$B15,'DADOS BRUTOS'!FM$3:FM$500)+IF($C15="",0,SUMIF('DADOS BRUTOS'!$A$3:$A$500,$C15,'DADOS BRUTOS'!FM$3:FM$500)))</f>
        <v/>
      </c>
      <c r="IN15" s="125">
        <f>IF(OR(IN$4="",$B15=""),0,SUMIF('DADOS BRUTOS'!$A$3:$A$500,$B15,'DADOS BRUTOS'!FN$3:FN$500)+IF($C15="",0,SUMIF('DADOS BRUTOS'!$A$3:$A$500,$C15,'DADOS BRUTOS'!FN$3:FN$500)))</f>
        <v/>
      </c>
      <c r="IO15" s="125">
        <f>IF(OR(IO$4="",$B15=""),0,SUMIF('DADOS BRUTOS'!$A$3:$A$500,$B15,'DADOS BRUTOS'!FO$3:FO$500)+IF($C15="",0,SUMIF('DADOS BRUTOS'!$A$3:$A$500,$C15,'DADOS BRUTOS'!FO$3:FO$500)))</f>
        <v/>
      </c>
      <c r="IP15" s="125">
        <f>IF(OR(IP$4="",$B15=""),0,SUMIF('DADOS BRUTOS'!$A$3:$A$500,$B15,'DADOS BRUTOS'!FP$3:FP$500)+IF($C15="",0,SUMIF('DADOS BRUTOS'!$A$3:$A$500,$C15,'DADOS BRUTOS'!FP$3:FP$500)))</f>
        <v/>
      </c>
      <c r="IQ15" s="125">
        <f>IF(OR(IQ$4="",$B15=""),0,SUMIF('DADOS BRUTOS'!$A$3:$A$500,$B15,'DADOS BRUTOS'!FQ$3:FQ$500)+IF($C15="",0,SUMIF('DADOS BRUTOS'!$A$3:$A$500,$C15,'DADOS BRUTOS'!FQ$3:FQ$500)))</f>
        <v/>
      </c>
      <c r="IR15" s="125">
        <f>IF(OR(IR$4="",$B15=""),0,SUMIF('DADOS BRUTOS'!$A$3:$A$500,$B15,'DADOS BRUTOS'!FR$3:FR$500)+IF($C15="",0,SUMIF('DADOS BRUTOS'!$A$3:$A$500,$C15,'DADOS BRUTOS'!FR$3:FR$500)))</f>
        <v/>
      </c>
      <c r="IS15" s="125">
        <f>IF(OR(IS$4="",$B15=""),0,SUMIF('DADOS BRUTOS'!$A$3:$A$500,$B15,'DADOS BRUTOS'!FS$3:FS$500)+IF($C15="",0,SUMIF('DADOS BRUTOS'!$A$3:$A$500,$C15,'DADOS BRUTOS'!FS$3:FS$500)))</f>
        <v/>
      </c>
      <c r="IT15" s="125">
        <f>IF(OR(IT$4="",$B15=""),0,SUMIF('DADOS BRUTOS'!$A$3:$A$500,$B15,'DADOS BRUTOS'!FT$3:FT$500)+IF($C15="",0,SUMIF('DADOS BRUTOS'!$A$3:$A$500,$C15,'DADOS BRUTOS'!FT$3:FT$500)))</f>
        <v/>
      </c>
      <c r="IU15" s="125">
        <f>IF(OR(IU$4="",$B15=""),0,SUMIF('DADOS BRUTOS'!$A$3:$A$500,$B15,'DADOS BRUTOS'!FU$3:FU$500)+IF($C15="",0,SUMIF('DADOS BRUTOS'!$A$3:$A$500,$C15,'DADOS BRUTOS'!FU$3:FU$500)))</f>
        <v/>
      </c>
      <c r="IV15" s="125">
        <f>IF(OR(IV$4="",$B15=""),0,SUMIF('DADOS BRUTOS'!$A$3:$A$500,$B15,'DADOS BRUTOS'!FV$3:FV$500)+IF($C15="",0,SUMIF('DADOS BRUTOS'!$A$3:$A$500,$C15,'DADOS BRUTOS'!FV$3:FV$500)))</f>
        <v/>
      </c>
      <c r="IW15" s="125">
        <f>IF(OR(IW$4="",$B15=""),0,SUMIF('DADOS BRUTOS'!$A$3:$A$500,$B15,'DADOS BRUTOS'!FW$3:FW$500)+IF($C15="",0,SUMIF('DADOS BRUTOS'!$A$3:$A$500,$C15,'DADOS BRUTOS'!FW$3:FW$500)))</f>
        <v/>
      </c>
      <c r="IX15" s="125">
        <f>IF(OR(IX$4="",$B15=""),0,SUMIF('DADOS BRUTOS'!$A$3:$A$500,$B15,'DADOS BRUTOS'!FX$3:FX$500)+IF($C15="",0,SUMIF('DADOS BRUTOS'!$A$3:$A$500,$C15,'DADOS BRUTOS'!FX$3:FX$500)))</f>
        <v/>
      </c>
      <c r="IY15" s="125">
        <f>IF(OR(IY$4="",$B15=""),0,SUMIF('DADOS BRUTOS'!$A$3:$A$500,$B15,'DADOS BRUTOS'!FY$3:FY$500)+IF($C15="",0,SUMIF('DADOS BRUTOS'!$A$3:$A$500,$C15,'DADOS BRUTOS'!FY$3:FY$500)))</f>
        <v/>
      </c>
      <c r="IZ15" s="125">
        <f>IF(OR(IZ$4="",$B15=""),0,SUMIF('DADOS BRUTOS'!$A$3:$A$500,$B15,'DADOS BRUTOS'!FZ$3:FZ$500)+IF($C15="",0,SUMIF('DADOS BRUTOS'!$A$3:$A$500,$C15,'DADOS BRUTOS'!FZ$3:FZ$500)))</f>
        <v/>
      </c>
      <c r="JA15" s="125">
        <f>IF(OR(JA$4="",$B15=""),0,SUMIF('DADOS BRUTOS'!$A$3:$A$500,$B15,'DADOS BRUTOS'!GA$3:GA$500)+IF($C15="",0,SUMIF('DADOS BRUTOS'!$A$3:$A$500,$C15,'DADOS BRUTOS'!GA$3:GA$500)))</f>
        <v/>
      </c>
      <c r="JB15" s="125">
        <f>IF(OR(JB$4="",$B15=""),0,SUMIF('DADOS BRUTOS'!$A$3:$A$500,$B15,'DADOS BRUTOS'!GB$3:GB$500)+IF($C15="",0,SUMIF('DADOS BRUTOS'!$A$3:$A$500,$C15,'DADOS BRUTOS'!GB$3:GB$500)))</f>
        <v/>
      </c>
      <c r="JC15" s="125">
        <f>IF(OR(JC$4="",$B15=""),0,SUMIF('DADOS BRUTOS'!$A$3:$A$500,$B15,'DADOS BRUTOS'!GC$3:GC$500)+IF($C15="",0,SUMIF('DADOS BRUTOS'!$A$3:$A$500,$C15,'DADOS BRUTOS'!GC$3:GC$500)))</f>
        <v/>
      </c>
      <c r="JD15" s="125">
        <f>IF(OR(JD$4="",$B15=""),0,SUMIF('DADOS BRUTOS'!$A$3:$A$500,$B15,'DADOS BRUTOS'!GD$3:GD$500)+IF($C15="",0,SUMIF('DADOS BRUTOS'!$A$3:$A$500,$C15,'DADOS BRUTOS'!GD$3:GD$500)))</f>
        <v/>
      </c>
      <c r="JE15" s="125">
        <f>IF(OR(JE$4="",$B15=""),0,SUMIF('DADOS BRUTOS'!$A$3:$A$500,$B15,'DADOS BRUTOS'!GE$3:GE$500)+IF($C15="",0,SUMIF('DADOS BRUTOS'!$A$3:$A$500,$C15,'DADOS BRUTOS'!GE$3:GE$500)))</f>
        <v/>
      </c>
      <c r="JF15" s="125">
        <f>IF(OR(JF$4="",$B15=""),0,SUMIF('DADOS BRUTOS'!$A$3:$A$500,$B15,'DADOS BRUTOS'!GF$3:GF$500)+IF($C15="",0,SUMIF('DADOS BRUTOS'!$A$3:$A$500,$C15,'DADOS BRUTOS'!GF$3:GF$500)))</f>
        <v/>
      </c>
      <c r="JG15" s="125">
        <f>IF(OR(JG$4="",$B15=""),0,SUMIF('DADOS BRUTOS'!$A$3:$A$500,$B15,'DADOS BRUTOS'!GG$3:GG$500)+IF($C15="",0,SUMIF('DADOS BRUTOS'!$A$3:$A$500,$C15,'DADOS BRUTOS'!GG$3:GG$500)))</f>
        <v/>
      </c>
      <c r="JH15" s="125">
        <f>IF(OR(JH$4="",$B15=""),0,SUMIF('DADOS BRUTOS'!$A$3:$A$500,$B15,'DADOS BRUTOS'!GH$3:GH$500)+IF($C15="",0,SUMIF('DADOS BRUTOS'!$A$3:$A$500,$C15,'DADOS BRUTOS'!GH$3:GH$500)))</f>
        <v/>
      </c>
      <c r="JI15" s="125">
        <f>IF(OR(JI$4="",$B15=""),0,SUMIF('DADOS BRUTOS'!$A$3:$A$500,$B15,'DADOS BRUTOS'!GI$3:GI$500)+IF($C15="",0,SUMIF('DADOS BRUTOS'!$A$3:$A$500,$C15,'DADOS BRUTOS'!GI$3:GI$500)))</f>
        <v/>
      </c>
      <c r="JJ15" s="125">
        <f>IF(OR(JJ$4="",$B15=""),0,SUMIF('DADOS BRUTOS'!$A$3:$A$500,$B15,'DADOS BRUTOS'!GJ$3:GJ$500)+IF($C15="",0,SUMIF('DADOS BRUTOS'!$A$3:$A$500,$C15,'DADOS BRUTOS'!GJ$3:GJ$500)))</f>
        <v/>
      </c>
      <c r="JK15" s="125">
        <f>IF(OR(JK$4="",$B15=""),0,SUMIF('DADOS BRUTOS'!$A$3:$A$500,$B15,'DADOS BRUTOS'!GK$3:GK$500)+IF($C15="",0,SUMIF('DADOS BRUTOS'!$A$3:$A$500,$C15,'DADOS BRUTOS'!GK$3:GK$500)))</f>
        <v/>
      </c>
      <c r="JL15" s="125">
        <f>IF(OR(JL$4="",$B15=""),0,SUMIF('DADOS BRUTOS'!$A$3:$A$500,$B15,'DADOS BRUTOS'!GL$3:GL$500)+IF($C15="",0,SUMIF('DADOS BRUTOS'!$A$3:$A$500,$C15,'DADOS BRUTOS'!GL$3:GL$500)))</f>
        <v/>
      </c>
      <c r="JM15" s="125">
        <f>IF(OR(JM$4="",$B15=""),0,SUMIF('DADOS BRUTOS'!$A$3:$A$500,$B15,'DADOS BRUTOS'!GM$3:GM$500)+IF($C15="",0,SUMIF('DADOS BRUTOS'!$A$3:$A$500,$C15,'DADOS BRUTOS'!GM$3:GM$500)))</f>
        <v/>
      </c>
      <c r="JN15" s="125">
        <f>IF(OR(JN$4="",$B15=""),0,SUMIF('DADOS BRUTOS'!$A$3:$A$500,$B15,'DADOS BRUTOS'!GN$3:GN$500)+IF($C15="",0,SUMIF('DADOS BRUTOS'!$A$3:$A$500,$C15,'DADOS BRUTOS'!GN$3:GN$500)))</f>
        <v/>
      </c>
      <c r="JO15" s="125">
        <f>IF(OR(JO$4="",$B15=""),0,SUMIF('DADOS BRUTOS'!$A$3:$A$500,$B15,'DADOS BRUTOS'!GO$3:GO$500)+IF($C15="",0,SUMIF('DADOS BRUTOS'!$A$3:$A$500,$C15,'DADOS BRUTOS'!GO$3:GO$500)))</f>
        <v/>
      </c>
      <c r="JP15" s="125">
        <f>IF(OR(JP$4="",$B15=""),0,SUMIF('DADOS BRUTOS'!$A$3:$A$500,$B15,'DADOS BRUTOS'!GP$3:GP$500)+IF($C15="",0,SUMIF('DADOS BRUTOS'!$A$3:$A$500,$C15,'DADOS BRUTOS'!GP$3:GP$500)))</f>
        <v/>
      </c>
      <c r="JQ15" s="125">
        <f>IF(OR(JQ$4="",$B15=""),0,SUMIF('DADOS BRUTOS'!$A$3:$A$500,$B15,'DADOS BRUTOS'!GQ$3:GQ$500)+IF($C15="",0,SUMIF('DADOS BRUTOS'!$A$3:$A$500,$C15,'DADOS BRUTOS'!GQ$3:GQ$500)))</f>
        <v/>
      </c>
      <c r="JR15" s="125">
        <f>IF(OR(JR$4="",$B15=""),0,SUMIF('DADOS BRUTOS'!$A$3:$A$500,$B15,'DADOS BRUTOS'!GR$3:GR$500)+IF($C15="",0,SUMIF('DADOS BRUTOS'!$A$3:$A$500,$C15,'DADOS BRUTOS'!GR$3:GR$500)))</f>
        <v/>
      </c>
      <c r="JS15" s="125">
        <f>IF(OR(JS$4="",$B15=""),0,SUMIF('DADOS BRUTOS'!$A$3:$A$500,$B15,'DADOS BRUTOS'!GS$3:GS$500)+IF($C15="",0,SUMIF('DADOS BRUTOS'!$A$3:$A$500,$C15,'DADOS BRUTOS'!GS$3:GS$500)))</f>
        <v/>
      </c>
    </row>
    <row r="16">
      <c r="A16" s="61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BZ16" s="49">
        <f>SUMPRODUCT(($CB$4:$JS$4&lt;&gt;"")*($CB$4:$JS$4&lt;=$D$4),$CB16:$JS16,$CB$1:$JS$1)</f>
        <v/>
      </c>
      <c r="CB16" s="125">
        <f>IF(OR(CB$4="",$B16=""),0,SUMIF('DADOS BRUTOS'!$A$3:$A$500,$B16,'DADOS BRUTOS'!B$3:B$500)+IF($C16="",0,SUMIF('DADOS BRUTOS'!$A$3:$A$500,$C16,'DADOS BRUTOS'!B$3:B$500)))</f>
        <v/>
      </c>
      <c r="CC16" s="125">
        <f>IF(OR(CC$4="",$B16=""),0,SUMIF('DADOS BRUTOS'!$A$3:$A$500,$B16,'DADOS BRUTOS'!C$3:C$500)+IF($C16="",0,SUMIF('DADOS BRUTOS'!$A$3:$A$500,$C16,'DADOS BRUTOS'!C$3:C$500)))</f>
        <v/>
      </c>
      <c r="CD16" s="125">
        <f>IF(OR(CD$4="",$B16=""),0,SUMIF('DADOS BRUTOS'!$A$3:$A$500,$B16,'DADOS BRUTOS'!D$3:D$500)+IF($C16="",0,SUMIF('DADOS BRUTOS'!$A$3:$A$500,$C16,'DADOS BRUTOS'!D$3:D$500)))</f>
        <v/>
      </c>
      <c r="CE16" s="125">
        <f>IF(OR(CE$4="",$B16=""),0,SUMIF('DADOS BRUTOS'!$A$3:$A$500,$B16,'DADOS BRUTOS'!E$3:E$500)+IF($C16="",0,SUMIF('DADOS BRUTOS'!$A$3:$A$500,$C16,'DADOS BRUTOS'!E$3:E$500)))</f>
        <v/>
      </c>
      <c r="CF16" s="125">
        <f>IF(OR(CF$4="",$B16=""),0,SUMIF('DADOS BRUTOS'!$A$3:$A$500,$B16,'DADOS BRUTOS'!F$3:F$500)+IF($C16="",0,SUMIF('DADOS BRUTOS'!$A$3:$A$500,$C16,'DADOS BRUTOS'!F$3:F$500)))</f>
        <v/>
      </c>
      <c r="CG16" s="125">
        <f>IF(OR(CG$4="",$B16=""),0,SUMIF('DADOS BRUTOS'!$A$3:$A$500,$B16,'DADOS BRUTOS'!G$3:G$500)+IF($C16="",0,SUMIF('DADOS BRUTOS'!$A$3:$A$500,$C16,'DADOS BRUTOS'!G$3:G$500)))</f>
        <v/>
      </c>
      <c r="CH16" s="125">
        <f>IF(OR(CH$4="",$B16=""),0,SUMIF('DADOS BRUTOS'!$A$3:$A$500,$B16,'DADOS BRUTOS'!H$3:H$500)+IF($C16="",0,SUMIF('DADOS BRUTOS'!$A$3:$A$500,$C16,'DADOS BRUTOS'!H$3:H$500)))</f>
        <v/>
      </c>
      <c r="CI16" s="125">
        <f>IF(OR(CI$4="",$B16=""),0,SUMIF('DADOS BRUTOS'!$A$3:$A$500,$B16,'DADOS BRUTOS'!I$3:I$500)+IF($C16="",0,SUMIF('DADOS BRUTOS'!$A$3:$A$500,$C16,'DADOS BRUTOS'!I$3:I$500)))</f>
        <v/>
      </c>
      <c r="CJ16" s="125">
        <f>IF(OR(CJ$4="",$B16=""),0,SUMIF('DADOS BRUTOS'!$A$3:$A$500,$B16,'DADOS BRUTOS'!J$3:J$500)+IF($C16="",0,SUMIF('DADOS BRUTOS'!$A$3:$A$500,$C16,'DADOS BRUTOS'!J$3:J$500)))</f>
        <v/>
      </c>
      <c r="CK16" s="125">
        <f>IF(OR(CK$4="",$B16=""),0,SUMIF('DADOS BRUTOS'!$A$3:$A$500,$B16,'DADOS BRUTOS'!K$3:K$500)+IF($C16="",0,SUMIF('DADOS BRUTOS'!$A$3:$A$500,$C16,'DADOS BRUTOS'!K$3:K$500)))</f>
        <v/>
      </c>
      <c r="CL16" s="125">
        <f>IF(OR(CL$4="",$B16=""),0,SUMIF('DADOS BRUTOS'!$A$3:$A$500,$B16,'DADOS BRUTOS'!L$3:L$500)+IF($C16="",0,SUMIF('DADOS BRUTOS'!$A$3:$A$500,$C16,'DADOS BRUTOS'!L$3:L$500)))</f>
        <v/>
      </c>
      <c r="CM16" s="125">
        <f>IF(OR(CM$4="",$B16=""),0,SUMIF('DADOS BRUTOS'!$A$3:$A$500,$B16,'DADOS BRUTOS'!M$3:M$500)+IF($C16="",0,SUMIF('DADOS BRUTOS'!$A$3:$A$500,$C16,'DADOS BRUTOS'!M$3:M$500)))</f>
        <v/>
      </c>
      <c r="CN16" s="125">
        <f>IF(OR(CN$4="",$B16=""),0,SUMIF('DADOS BRUTOS'!$A$3:$A$500,$B16,'DADOS BRUTOS'!N$3:N$500)+IF($C16="",0,SUMIF('DADOS BRUTOS'!$A$3:$A$500,$C16,'DADOS BRUTOS'!N$3:N$500)))</f>
        <v/>
      </c>
      <c r="CO16" s="125">
        <f>IF(OR(CO$4="",$B16=""),0,SUMIF('DADOS BRUTOS'!$A$3:$A$500,$B16,'DADOS BRUTOS'!O$3:O$500)+IF($C16="",0,SUMIF('DADOS BRUTOS'!$A$3:$A$500,$C16,'DADOS BRUTOS'!O$3:O$500)))</f>
        <v/>
      </c>
      <c r="CP16" s="125">
        <f>IF(OR(CP$4="",$B16=""),0,SUMIF('DADOS BRUTOS'!$A$3:$A$500,$B16,'DADOS BRUTOS'!P$3:P$500)+IF($C16="",0,SUMIF('DADOS BRUTOS'!$A$3:$A$500,$C16,'DADOS BRUTOS'!P$3:P$500)))</f>
        <v/>
      </c>
      <c r="CQ16" s="125">
        <f>IF(OR(CQ$4="",$B16=""),0,SUMIF('DADOS BRUTOS'!$A$3:$A$500,$B16,'DADOS BRUTOS'!Q$3:Q$500)+IF($C16="",0,SUMIF('DADOS BRUTOS'!$A$3:$A$500,$C16,'DADOS BRUTOS'!Q$3:Q$500)))</f>
        <v/>
      </c>
      <c r="CR16" s="125">
        <f>IF(OR(CR$4="",$B16=""),0,SUMIF('DADOS BRUTOS'!$A$3:$A$500,$B16,'DADOS BRUTOS'!R$3:R$500)+IF($C16="",0,SUMIF('DADOS BRUTOS'!$A$3:$A$500,$C16,'DADOS BRUTOS'!R$3:R$500)))</f>
        <v/>
      </c>
      <c r="CS16" s="125">
        <f>IF(OR(CS$4="",$B16=""),0,SUMIF('DADOS BRUTOS'!$A$3:$A$500,$B16,'DADOS BRUTOS'!S$3:S$500)+IF($C16="",0,SUMIF('DADOS BRUTOS'!$A$3:$A$500,$C16,'DADOS BRUTOS'!S$3:S$500)))</f>
        <v/>
      </c>
      <c r="CT16" s="125">
        <f>IF(OR(CT$4="",$B16=""),0,SUMIF('DADOS BRUTOS'!$A$3:$A$500,$B16,'DADOS BRUTOS'!T$3:T$500)+IF($C16="",0,SUMIF('DADOS BRUTOS'!$A$3:$A$500,$C16,'DADOS BRUTOS'!T$3:T$500)))</f>
        <v/>
      </c>
      <c r="CU16" s="125">
        <f>IF(OR(CU$4="",$B16=""),0,SUMIF('DADOS BRUTOS'!$A$3:$A$500,$B16,'DADOS BRUTOS'!U$3:U$500)+IF($C16="",0,SUMIF('DADOS BRUTOS'!$A$3:$A$500,$C16,'DADOS BRUTOS'!U$3:U$500)))</f>
        <v/>
      </c>
      <c r="CV16" s="125">
        <f>IF(OR(CV$4="",$B16=""),0,SUMIF('DADOS BRUTOS'!$A$3:$A$500,$B16,'DADOS BRUTOS'!V$3:V$500)+IF($C16="",0,SUMIF('DADOS BRUTOS'!$A$3:$A$500,$C16,'DADOS BRUTOS'!V$3:V$500)))</f>
        <v/>
      </c>
      <c r="CW16" s="125">
        <f>IF(OR(CW$4="",$B16=""),0,SUMIF('DADOS BRUTOS'!$A$3:$A$500,$B16,'DADOS BRUTOS'!W$3:W$500)+IF($C16="",0,SUMIF('DADOS BRUTOS'!$A$3:$A$500,$C16,'DADOS BRUTOS'!W$3:W$500)))</f>
        <v/>
      </c>
      <c r="CX16" s="125">
        <f>IF(OR(CX$4="",$B16=""),0,SUMIF('DADOS BRUTOS'!$A$3:$A$500,$B16,'DADOS BRUTOS'!X$3:X$500)+IF($C16="",0,SUMIF('DADOS BRUTOS'!$A$3:$A$500,$C16,'DADOS BRUTOS'!X$3:X$500)))</f>
        <v/>
      </c>
      <c r="CY16" s="125">
        <f>IF(OR(CY$4="",$B16=""),0,SUMIF('DADOS BRUTOS'!$A$3:$A$500,$B16,'DADOS BRUTOS'!Y$3:Y$500)+IF($C16="",0,SUMIF('DADOS BRUTOS'!$A$3:$A$500,$C16,'DADOS BRUTOS'!Y$3:Y$500)))</f>
        <v/>
      </c>
      <c r="CZ16" s="125">
        <f>IF(OR(CZ$4="",$B16=""),0,SUMIF('DADOS BRUTOS'!$A$3:$A$500,$B16,'DADOS BRUTOS'!Z$3:Z$500)+IF($C16="",0,SUMIF('DADOS BRUTOS'!$A$3:$A$500,$C16,'DADOS BRUTOS'!Z$3:Z$500)))</f>
        <v/>
      </c>
      <c r="DA16" s="125">
        <f>IF(OR(DA$4="",$B16=""),0,SUMIF('DADOS BRUTOS'!$A$3:$A$500,$B16,'DADOS BRUTOS'!AA$3:AA$500)+IF($C16="",0,SUMIF('DADOS BRUTOS'!$A$3:$A$500,$C16,'DADOS BRUTOS'!AA$3:AA$500)))</f>
        <v/>
      </c>
      <c r="DB16" s="125">
        <f>IF(OR(DB$4="",$B16=""),0,SUMIF('DADOS BRUTOS'!$A$3:$A$500,$B16,'DADOS BRUTOS'!AB$3:AB$500)+IF($C16="",0,SUMIF('DADOS BRUTOS'!$A$3:$A$500,$C16,'DADOS BRUTOS'!AB$3:AB$500)))</f>
        <v/>
      </c>
      <c r="DC16" s="125">
        <f>IF(OR(DC$4="",$B16=""),0,SUMIF('DADOS BRUTOS'!$A$3:$A$500,$B16,'DADOS BRUTOS'!AC$3:AC$500)+IF($C16="",0,SUMIF('DADOS BRUTOS'!$A$3:$A$500,$C16,'DADOS BRUTOS'!AC$3:AC$500)))</f>
        <v/>
      </c>
      <c r="DD16" s="125">
        <f>IF(OR(DD$4="",$B16=""),0,SUMIF('DADOS BRUTOS'!$A$3:$A$500,$B16,'DADOS BRUTOS'!AD$3:AD$500)+IF($C16="",0,SUMIF('DADOS BRUTOS'!$A$3:$A$500,$C16,'DADOS BRUTOS'!AD$3:AD$500)))</f>
        <v/>
      </c>
      <c r="DE16" s="125">
        <f>IF(OR(DE$4="",$B16=""),0,SUMIF('DADOS BRUTOS'!$A$3:$A$500,$B16,'DADOS BRUTOS'!AE$3:AE$500)+IF($C16="",0,SUMIF('DADOS BRUTOS'!$A$3:$A$500,$C16,'DADOS BRUTOS'!AE$3:AE$500)))</f>
        <v/>
      </c>
      <c r="DF16" s="125">
        <f>IF(OR(DF$4="",$B16=""),0,SUMIF('DADOS BRUTOS'!$A$3:$A$500,$B16,'DADOS BRUTOS'!AF$3:AF$500)+IF($C16="",0,SUMIF('DADOS BRUTOS'!$A$3:$A$500,$C16,'DADOS BRUTOS'!AF$3:AF$500)))</f>
        <v/>
      </c>
      <c r="DG16" s="125">
        <f>IF(OR(DG$4="",$B16=""),0,SUMIF('DADOS BRUTOS'!$A$3:$A$500,$B16,'DADOS BRUTOS'!AG$3:AG$500)+IF($C16="",0,SUMIF('DADOS BRUTOS'!$A$3:$A$500,$C16,'DADOS BRUTOS'!AG$3:AG$500)))</f>
        <v/>
      </c>
      <c r="DH16" s="125">
        <f>IF(OR(DH$4="",$B16=""),0,SUMIF('DADOS BRUTOS'!$A$3:$A$500,$B16,'DADOS BRUTOS'!AH$3:AH$500)+IF($C16="",0,SUMIF('DADOS BRUTOS'!$A$3:$A$500,$C16,'DADOS BRUTOS'!AH$3:AH$500)))</f>
        <v/>
      </c>
      <c r="DI16" s="125">
        <f>IF(OR(DI$4="",$B16=""),0,SUMIF('DADOS BRUTOS'!$A$3:$A$500,$B16,'DADOS BRUTOS'!AI$3:AI$500)+IF($C16="",0,SUMIF('DADOS BRUTOS'!$A$3:$A$500,$C16,'DADOS BRUTOS'!AI$3:AI$500)))</f>
        <v/>
      </c>
      <c r="DJ16" s="125">
        <f>IF(OR(DJ$4="",$B16=""),0,SUMIF('DADOS BRUTOS'!$A$3:$A$500,$B16,'DADOS BRUTOS'!AJ$3:AJ$500)+IF($C16="",0,SUMIF('DADOS BRUTOS'!$A$3:$A$500,$C16,'DADOS BRUTOS'!AJ$3:AJ$500)))</f>
        <v/>
      </c>
      <c r="DK16" s="125">
        <f>IF(OR(DK$4="",$B16=""),0,SUMIF('DADOS BRUTOS'!$A$3:$A$500,$B16,'DADOS BRUTOS'!AK$3:AK$500)+IF($C16="",0,SUMIF('DADOS BRUTOS'!$A$3:$A$500,$C16,'DADOS BRUTOS'!AK$3:AK$500)))</f>
        <v/>
      </c>
      <c r="DL16" s="125">
        <f>IF(OR(DL$4="",$B16=""),0,SUMIF('DADOS BRUTOS'!$A$3:$A$500,$B16,'DADOS BRUTOS'!AL$3:AL$500)+IF($C16="",0,SUMIF('DADOS BRUTOS'!$A$3:$A$500,$C16,'DADOS BRUTOS'!AL$3:AL$500)))</f>
        <v/>
      </c>
      <c r="DM16" s="125">
        <f>IF(OR(DM$4="",$B16=""),0,SUMIF('DADOS BRUTOS'!$A$3:$A$500,$B16,'DADOS BRUTOS'!AM$3:AM$500)+IF($C16="",0,SUMIF('DADOS BRUTOS'!$A$3:$A$500,$C16,'DADOS BRUTOS'!AM$3:AM$500)))</f>
        <v/>
      </c>
      <c r="DN16" s="125">
        <f>IF(OR(DN$4="",$B16=""),0,SUMIF('DADOS BRUTOS'!$A$3:$A$500,$B16,'DADOS BRUTOS'!AN$3:AN$500)+IF($C16="",0,SUMIF('DADOS BRUTOS'!$A$3:$A$500,$C16,'DADOS BRUTOS'!AN$3:AN$500)))</f>
        <v/>
      </c>
      <c r="DO16" s="125">
        <f>IF(OR(DO$4="",$B16=""),0,SUMIF('DADOS BRUTOS'!$A$3:$A$500,$B16,'DADOS BRUTOS'!AO$3:AO$500)+IF($C16="",0,SUMIF('DADOS BRUTOS'!$A$3:$A$500,$C16,'DADOS BRUTOS'!AO$3:AO$500)))</f>
        <v/>
      </c>
      <c r="DP16" s="125">
        <f>IF(OR(DP$4="",$B16=""),0,SUMIF('DADOS BRUTOS'!$A$3:$A$500,$B16,'DADOS BRUTOS'!AP$3:AP$500)+IF($C16="",0,SUMIF('DADOS BRUTOS'!$A$3:$A$500,$C16,'DADOS BRUTOS'!AP$3:AP$500)))</f>
        <v/>
      </c>
      <c r="DQ16" s="125">
        <f>IF(OR(DQ$4="",$B16=""),0,SUMIF('DADOS BRUTOS'!$A$3:$A$500,$B16,'DADOS BRUTOS'!AQ$3:AQ$500)+IF($C16="",0,SUMIF('DADOS BRUTOS'!$A$3:$A$500,$C16,'DADOS BRUTOS'!AQ$3:AQ$500)))</f>
        <v/>
      </c>
      <c r="DR16" s="125">
        <f>IF(OR(DR$4="",$B16=""),0,SUMIF('DADOS BRUTOS'!$A$3:$A$500,$B16,'DADOS BRUTOS'!AR$3:AR$500)+IF($C16="",0,SUMIF('DADOS BRUTOS'!$A$3:$A$500,$C16,'DADOS BRUTOS'!AR$3:AR$500)))</f>
        <v/>
      </c>
      <c r="DS16" s="125">
        <f>IF(OR(DS$4="",$B16=""),0,SUMIF('DADOS BRUTOS'!$A$3:$A$500,$B16,'DADOS BRUTOS'!AS$3:AS$500)+IF($C16="",0,SUMIF('DADOS BRUTOS'!$A$3:$A$500,$C16,'DADOS BRUTOS'!AS$3:AS$500)))</f>
        <v/>
      </c>
      <c r="DT16" s="125">
        <f>IF(OR(DT$4="",$B16=""),0,SUMIF('DADOS BRUTOS'!$A$3:$A$500,$B16,'DADOS BRUTOS'!AT$3:AT$500)+IF($C16="",0,SUMIF('DADOS BRUTOS'!$A$3:$A$500,$C16,'DADOS BRUTOS'!AT$3:AT$500)))</f>
        <v/>
      </c>
      <c r="DU16" s="125">
        <f>IF(OR(DU$4="",$B16=""),0,SUMIF('DADOS BRUTOS'!$A$3:$A$500,$B16,'DADOS BRUTOS'!AU$3:AU$500)+IF($C16="",0,SUMIF('DADOS BRUTOS'!$A$3:$A$500,$C16,'DADOS BRUTOS'!AU$3:AU$500)))</f>
        <v/>
      </c>
      <c r="DV16" s="125">
        <f>IF(OR(DV$4="",$B16=""),0,SUMIF('DADOS BRUTOS'!$A$3:$A$500,$B16,'DADOS BRUTOS'!AV$3:AV$500)+IF($C16="",0,SUMIF('DADOS BRUTOS'!$A$3:$A$500,$C16,'DADOS BRUTOS'!AV$3:AV$500)))</f>
        <v/>
      </c>
      <c r="DW16" s="125">
        <f>IF(OR(DW$4="",$B16=""),0,SUMIF('DADOS BRUTOS'!$A$3:$A$500,$B16,'DADOS BRUTOS'!AW$3:AW$500)+IF($C16="",0,SUMIF('DADOS BRUTOS'!$A$3:$A$500,$C16,'DADOS BRUTOS'!AW$3:AW$500)))</f>
        <v/>
      </c>
      <c r="DX16" s="125">
        <f>IF(OR(DX$4="",$B16=""),0,SUMIF('DADOS BRUTOS'!$A$3:$A$500,$B16,'DADOS BRUTOS'!AX$3:AX$500)+IF($C16="",0,SUMIF('DADOS BRUTOS'!$A$3:$A$500,$C16,'DADOS BRUTOS'!AX$3:AX$500)))</f>
        <v/>
      </c>
      <c r="DY16" s="125">
        <f>IF(OR(DY$4="",$B16=""),0,SUMIF('DADOS BRUTOS'!$A$3:$A$500,$B16,'DADOS BRUTOS'!AY$3:AY$500)+IF($C16="",0,SUMIF('DADOS BRUTOS'!$A$3:$A$500,$C16,'DADOS BRUTOS'!AY$3:AY$500)))</f>
        <v/>
      </c>
      <c r="DZ16" s="125">
        <f>IF(OR(DZ$4="",$B16=""),0,SUMIF('DADOS BRUTOS'!$A$3:$A$500,$B16,'DADOS BRUTOS'!AZ$3:AZ$500)+IF($C16="",0,SUMIF('DADOS BRUTOS'!$A$3:$A$500,$C16,'DADOS BRUTOS'!AZ$3:AZ$500)))</f>
        <v/>
      </c>
      <c r="EA16" s="125">
        <f>IF(OR(EA$4="",$B16=""),0,SUMIF('DADOS BRUTOS'!$A$3:$A$500,$B16,'DADOS BRUTOS'!BA$3:BA$500)+IF($C16="",0,SUMIF('DADOS BRUTOS'!$A$3:$A$500,$C16,'DADOS BRUTOS'!BA$3:BA$500)))</f>
        <v/>
      </c>
      <c r="EB16" s="125">
        <f>IF(OR(EB$4="",$B16=""),0,SUMIF('DADOS BRUTOS'!$A$3:$A$500,$B16,'DADOS BRUTOS'!BB$3:BB$500)+IF($C16="",0,SUMIF('DADOS BRUTOS'!$A$3:$A$500,$C16,'DADOS BRUTOS'!BB$3:BB$500)))</f>
        <v/>
      </c>
      <c r="EC16" s="125">
        <f>IF(OR(EC$4="",$B16=""),0,SUMIF('DADOS BRUTOS'!$A$3:$A$500,$B16,'DADOS BRUTOS'!BC$3:BC$500)+IF($C16="",0,SUMIF('DADOS BRUTOS'!$A$3:$A$500,$C16,'DADOS BRUTOS'!BC$3:BC$500)))</f>
        <v/>
      </c>
      <c r="ED16" s="125">
        <f>IF(OR(ED$4="",$B16=""),0,SUMIF('DADOS BRUTOS'!$A$3:$A$500,$B16,'DADOS BRUTOS'!BD$3:BD$500)+IF($C16="",0,SUMIF('DADOS BRUTOS'!$A$3:$A$500,$C16,'DADOS BRUTOS'!BD$3:BD$500)))</f>
        <v/>
      </c>
      <c r="EE16" s="125">
        <f>IF(OR(EE$4="",$B16=""),0,SUMIF('DADOS BRUTOS'!$A$3:$A$500,$B16,'DADOS BRUTOS'!BE$3:BE$500)+IF($C16="",0,SUMIF('DADOS BRUTOS'!$A$3:$A$500,$C16,'DADOS BRUTOS'!BE$3:BE$500)))</f>
        <v/>
      </c>
      <c r="EF16" s="125">
        <f>IF(OR(EF$4="",$B16=""),0,SUMIF('DADOS BRUTOS'!$A$3:$A$500,$B16,'DADOS BRUTOS'!BF$3:BF$500)+IF($C16="",0,SUMIF('DADOS BRUTOS'!$A$3:$A$500,$C16,'DADOS BRUTOS'!BF$3:BF$500)))</f>
        <v/>
      </c>
      <c r="EG16" s="125">
        <f>IF(OR(EG$4="",$B16=""),0,SUMIF('DADOS BRUTOS'!$A$3:$A$500,$B16,'DADOS BRUTOS'!BG$3:BG$500)+IF($C16="",0,SUMIF('DADOS BRUTOS'!$A$3:$A$500,$C16,'DADOS BRUTOS'!BG$3:BG$500)))</f>
        <v/>
      </c>
      <c r="EH16" s="125">
        <f>IF(OR(EH$4="",$B16=""),0,SUMIF('DADOS BRUTOS'!$A$3:$A$500,$B16,'DADOS BRUTOS'!BH$3:BH$500)+IF($C16="",0,SUMIF('DADOS BRUTOS'!$A$3:$A$500,$C16,'DADOS BRUTOS'!BH$3:BH$500)))</f>
        <v/>
      </c>
      <c r="EI16" s="125">
        <f>IF(OR(EI$4="",$B16=""),0,SUMIF('DADOS BRUTOS'!$A$3:$A$500,$B16,'DADOS BRUTOS'!BI$3:BI$500)+IF($C16="",0,SUMIF('DADOS BRUTOS'!$A$3:$A$500,$C16,'DADOS BRUTOS'!BI$3:BI$500)))</f>
        <v/>
      </c>
      <c r="EJ16" s="125">
        <f>IF(OR(EJ$4="",$B16=""),0,SUMIF('DADOS BRUTOS'!$A$3:$A$500,$B16,'DADOS BRUTOS'!BJ$3:BJ$500)+IF($C16="",0,SUMIF('DADOS BRUTOS'!$A$3:$A$500,$C16,'DADOS BRUTOS'!BJ$3:BJ$500)))</f>
        <v/>
      </c>
      <c r="EK16" s="125">
        <f>IF(OR(EK$4="",$B16=""),0,SUMIF('DADOS BRUTOS'!$A$3:$A$500,$B16,'DADOS BRUTOS'!BK$3:BK$500)+IF($C16="",0,SUMIF('DADOS BRUTOS'!$A$3:$A$500,$C16,'DADOS BRUTOS'!BK$3:BK$500)))</f>
        <v/>
      </c>
      <c r="EL16" s="125">
        <f>IF(OR(EL$4="",$B16=""),0,SUMIF('DADOS BRUTOS'!$A$3:$A$500,$B16,'DADOS BRUTOS'!BL$3:BL$500)+IF($C16="",0,SUMIF('DADOS BRUTOS'!$A$3:$A$500,$C16,'DADOS BRUTOS'!BL$3:BL$500)))</f>
        <v/>
      </c>
      <c r="EM16" s="125">
        <f>IF(OR(EM$4="",$B16=""),0,SUMIF('DADOS BRUTOS'!$A$3:$A$500,$B16,'DADOS BRUTOS'!BM$3:BM$500)+IF($C16="",0,SUMIF('DADOS BRUTOS'!$A$3:$A$500,$C16,'DADOS BRUTOS'!BM$3:BM$500)))</f>
        <v/>
      </c>
      <c r="EN16" s="125">
        <f>IF(OR(EN$4="",$B16=""),0,SUMIF('DADOS BRUTOS'!$A$3:$A$500,$B16,'DADOS BRUTOS'!BN$3:BN$500)+IF($C16="",0,SUMIF('DADOS BRUTOS'!$A$3:$A$500,$C16,'DADOS BRUTOS'!BN$3:BN$500)))</f>
        <v/>
      </c>
      <c r="EO16" s="125">
        <f>IF(OR(EO$4="",$B16=""),0,SUMIF('DADOS BRUTOS'!$A$3:$A$500,$B16,'DADOS BRUTOS'!BO$3:BO$500)+IF($C16="",0,SUMIF('DADOS BRUTOS'!$A$3:$A$500,$C16,'DADOS BRUTOS'!BO$3:BO$500)))</f>
        <v/>
      </c>
      <c r="EP16" s="125">
        <f>IF(OR(EP$4="",$B16=""),0,SUMIF('DADOS BRUTOS'!$A$3:$A$500,$B16,'DADOS BRUTOS'!BP$3:BP$500)+IF($C16="",0,SUMIF('DADOS BRUTOS'!$A$3:$A$500,$C16,'DADOS BRUTOS'!BP$3:BP$500)))</f>
        <v/>
      </c>
      <c r="EQ16" s="125">
        <f>IF(OR(EQ$4="",$B16=""),0,SUMIF('DADOS BRUTOS'!$A$3:$A$500,$B16,'DADOS BRUTOS'!BQ$3:BQ$500)+IF($C16="",0,SUMIF('DADOS BRUTOS'!$A$3:$A$500,$C16,'DADOS BRUTOS'!BQ$3:BQ$500)))</f>
        <v/>
      </c>
      <c r="ER16" s="125">
        <f>IF(OR(ER$4="",$B16=""),0,SUMIF('DADOS BRUTOS'!$A$3:$A$500,$B16,'DADOS BRUTOS'!BR$3:BR$500)+IF($C16="",0,SUMIF('DADOS BRUTOS'!$A$3:$A$500,$C16,'DADOS BRUTOS'!BR$3:BR$500)))</f>
        <v/>
      </c>
      <c r="ES16" s="125">
        <f>IF(OR(ES$4="",$B16=""),0,SUMIF('DADOS BRUTOS'!$A$3:$A$500,$B16,'DADOS BRUTOS'!BS$3:BS$500)+IF($C16="",0,SUMIF('DADOS BRUTOS'!$A$3:$A$500,$C16,'DADOS BRUTOS'!BS$3:BS$500)))</f>
        <v/>
      </c>
      <c r="ET16" s="125">
        <f>IF(OR(ET$4="",$B16=""),0,SUMIF('DADOS BRUTOS'!$A$3:$A$500,$B16,'DADOS BRUTOS'!BT$3:BT$500)+IF($C16="",0,SUMIF('DADOS BRUTOS'!$A$3:$A$500,$C16,'DADOS BRUTOS'!BT$3:BT$500)))</f>
        <v/>
      </c>
      <c r="EU16" s="125">
        <f>IF(OR(EU$4="",$B16=""),0,SUMIF('DADOS BRUTOS'!$A$3:$A$500,$B16,'DADOS BRUTOS'!BU$3:BU$500)+IF($C16="",0,SUMIF('DADOS BRUTOS'!$A$3:$A$500,$C16,'DADOS BRUTOS'!BU$3:BU$500)))</f>
        <v/>
      </c>
      <c r="EV16" s="125">
        <f>IF(OR(EV$4="",$B16=""),0,SUMIF('DADOS BRUTOS'!$A$3:$A$500,$B16,'DADOS BRUTOS'!BV$3:BV$500)+IF($C16="",0,SUMIF('DADOS BRUTOS'!$A$3:$A$500,$C16,'DADOS BRUTOS'!BV$3:BV$500)))</f>
        <v/>
      </c>
      <c r="EW16" s="125">
        <f>IF(OR(EW$4="",$B16=""),0,SUMIF('DADOS BRUTOS'!$A$3:$A$500,$B16,'DADOS BRUTOS'!BW$3:BW$500)+IF($C16="",0,SUMIF('DADOS BRUTOS'!$A$3:$A$500,$C16,'DADOS BRUTOS'!BW$3:BW$500)))</f>
        <v/>
      </c>
      <c r="EX16" s="125">
        <f>IF(OR(EX$4="",$B16=""),0,SUMIF('DADOS BRUTOS'!$A$3:$A$500,$B16,'DADOS BRUTOS'!BX$3:BX$500)+IF($C16="",0,SUMIF('DADOS BRUTOS'!$A$3:$A$500,$C16,'DADOS BRUTOS'!BX$3:BX$500)))</f>
        <v/>
      </c>
      <c r="EY16" s="125">
        <f>IF(OR(EY$4="",$B16=""),0,SUMIF('DADOS BRUTOS'!$A$3:$A$500,$B16,'DADOS BRUTOS'!BY$3:BY$500)+IF($C16="",0,SUMIF('DADOS BRUTOS'!$A$3:$A$500,$C16,'DADOS BRUTOS'!BY$3:BY$500)))</f>
        <v/>
      </c>
      <c r="EZ16" s="125">
        <f>IF(OR(EZ$4="",$B16=""),0,SUMIF('DADOS BRUTOS'!$A$3:$A$500,$B16,'DADOS BRUTOS'!BZ$3:BZ$500)+IF($C16="",0,SUMIF('DADOS BRUTOS'!$A$3:$A$500,$C16,'DADOS BRUTOS'!BZ$3:BZ$500)))</f>
        <v/>
      </c>
      <c r="FA16" s="125">
        <f>IF(OR(FA$4="",$B16=""),0,SUMIF('DADOS BRUTOS'!$A$3:$A$500,$B16,'DADOS BRUTOS'!CA$3:CA$500)+IF($C16="",0,SUMIF('DADOS BRUTOS'!$A$3:$A$500,$C16,'DADOS BRUTOS'!CA$3:CA$500)))</f>
        <v/>
      </c>
      <c r="FB16" s="125">
        <f>IF(OR(FB$4="",$B16=""),0,SUMIF('DADOS BRUTOS'!$A$3:$A$500,$B16,'DADOS BRUTOS'!CB$3:CB$500)+IF($C16="",0,SUMIF('DADOS BRUTOS'!$A$3:$A$500,$C16,'DADOS BRUTOS'!CB$3:CB$500)))</f>
        <v/>
      </c>
      <c r="FC16" s="125">
        <f>IF(OR(FC$4="",$B16=""),0,SUMIF('DADOS BRUTOS'!$A$3:$A$500,$B16,'DADOS BRUTOS'!CC$3:CC$500)+IF($C16="",0,SUMIF('DADOS BRUTOS'!$A$3:$A$500,$C16,'DADOS BRUTOS'!CC$3:CC$500)))</f>
        <v/>
      </c>
      <c r="FD16" s="125">
        <f>IF(OR(FD$4="",$B16=""),0,SUMIF('DADOS BRUTOS'!$A$3:$A$500,$B16,'DADOS BRUTOS'!CD$3:CD$500)+IF($C16="",0,SUMIF('DADOS BRUTOS'!$A$3:$A$500,$C16,'DADOS BRUTOS'!CD$3:CD$500)))</f>
        <v/>
      </c>
      <c r="FE16" s="125">
        <f>IF(OR(FE$4="",$B16=""),0,SUMIF('DADOS BRUTOS'!$A$3:$A$500,$B16,'DADOS BRUTOS'!CE$3:CE$500)+IF($C16="",0,SUMIF('DADOS BRUTOS'!$A$3:$A$500,$C16,'DADOS BRUTOS'!CE$3:CE$500)))</f>
        <v/>
      </c>
      <c r="FF16" s="125">
        <f>IF(OR(FF$4="",$B16=""),0,SUMIF('DADOS BRUTOS'!$A$3:$A$500,$B16,'DADOS BRUTOS'!CF$3:CF$500)+IF($C16="",0,SUMIF('DADOS BRUTOS'!$A$3:$A$500,$C16,'DADOS BRUTOS'!CF$3:CF$500)))</f>
        <v/>
      </c>
      <c r="FG16" s="125">
        <f>IF(OR(FG$4="",$B16=""),0,SUMIF('DADOS BRUTOS'!$A$3:$A$500,$B16,'DADOS BRUTOS'!CG$3:CG$500)+IF($C16="",0,SUMIF('DADOS BRUTOS'!$A$3:$A$500,$C16,'DADOS BRUTOS'!CG$3:CG$500)))</f>
        <v/>
      </c>
      <c r="FH16" s="125">
        <f>IF(OR(FH$4="",$B16=""),0,SUMIF('DADOS BRUTOS'!$A$3:$A$500,$B16,'DADOS BRUTOS'!CH$3:CH$500)+IF($C16="",0,SUMIF('DADOS BRUTOS'!$A$3:$A$500,$C16,'DADOS BRUTOS'!CH$3:CH$500)))</f>
        <v/>
      </c>
      <c r="FI16" s="125">
        <f>IF(OR(FI$4="",$B16=""),0,SUMIF('DADOS BRUTOS'!$A$3:$A$500,$B16,'DADOS BRUTOS'!CI$3:CI$500)+IF($C16="",0,SUMIF('DADOS BRUTOS'!$A$3:$A$500,$C16,'DADOS BRUTOS'!CI$3:CI$500)))</f>
        <v/>
      </c>
      <c r="FJ16" s="125">
        <f>IF(OR(FJ$4="",$B16=""),0,SUMIF('DADOS BRUTOS'!$A$3:$A$500,$B16,'DADOS BRUTOS'!CJ$3:CJ$500)+IF($C16="",0,SUMIF('DADOS BRUTOS'!$A$3:$A$500,$C16,'DADOS BRUTOS'!CJ$3:CJ$500)))</f>
        <v/>
      </c>
      <c r="FK16" s="125">
        <f>IF(OR(FK$4="",$B16=""),0,SUMIF('DADOS BRUTOS'!$A$3:$A$500,$B16,'DADOS BRUTOS'!CK$3:CK$500)+IF($C16="",0,SUMIF('DADOS BRUTOS'!$A$3:$A$500,$C16,'DADOS BRUTOS'!CK$3:CK$500)))</f>
        <v/>
      </c>
      <c r="FL16" s="125">
        <f>IF(OR(FL$4="",$B16=""),0,SUMIF('DADOS BRUTOS'!$A$3:$A$500,$B16,'DADOS BRUTOS'!CL$3:CL$500)+IF($C16="",0,SUMIF('DADOS BRUTOS'!$A$3:$A$500,$C16,'DADOS BRUTOS'!CL$3:CL$500)))</f>
        <v/>
      </c>
      <c r="FM16" s="125">
        <f>IF(OR(FM$4="",$B16=""),0,SUMIF('DADOS BRUTOS'!$A$3:$A$500,$B16,'DADOS BRUTOS'!CM$3:CM$500)+IF($C16="",0,SUMIF('DADOS BRUTOS'!$A$3:$A$500,$C16,'DADOS BRUTOS'!CM$3:CM$500)))</f>
        <v/>
      </c>
      <c r="FN16" s="125">
        <f>IF(OR(FN$4="",$B16=""),0,SUMIF('DADOS BRUTOS'!$A$3:$A$500,$B16,'DADOS BRUTOS'!CN$3:CN$500)+IF($C16="",0,SUMIF('DADOS BRUTOS'!$A$3:$A$500,$C16,'DADOS BRUTOS'!CN$3:CN$500)))</f>
        <v/>
      </c>
      <c r="FO16" s="125">
        <f>IF(OR(FO$4="",$B16=""),0,SUMIF('DADOS BRUTOS'!$A$3:$A$500,$B16,'DADOS BRUTOS'!CO$3:CO$500)+IF($C16="",0,SUMIF('DADOS BRUTOS'!$A$3:$A$500,$C16,'DADOS BRUTOS'!CO$3:CO$500)))</f>
        <v/>
      </c>
      <c r="FP16" s="125">
        <f>IF(OR(FP$4="",$B16=""),0,SUMIF('DADOS BRUTOS'!$A$3:$A$500,$B16,'DADOS BRUTOS'!CP$3:CP$500)+IF($C16="",0,SUMIF('DADOS BRUTOS'!$A$3:$A$500,$C16,'DADOS BRUTOS'!CP$3:CP$500)))</f>
        <v/>
      </c>
      <c r="FQ16" s="125">
        <f>IF(OR(FQ$4="",$B16=""),0,SUMIF('DADOS BRUTOS'!$A$3:$A$500,$B16,'DADOS BRUTOS'!CQ$3:CQ$500)+IF($C16="",0,SUMIF('DADOS BRUTOS'!$A$3:$A$500,$C16,'DADOS BRUTOS'!CQ$3:CQ$500)))</f>
        <v/>
      </c>
      <c r="FR16" s="125">
        <f>IF(OR(FR$4="",$B16=""),0,SUMIF('DADOS BRUTOS'!$A$3:$A$500,$B16,'DADOS BRUTOS'!CR$3:CR$500)+IF($C16="",0,SUMIF('DADOS BRUTOS'!$A$3:$A$500,$C16,'DADOS BRUTOS'!CR$3:CR$500)))</f>
        <v/>
      </c>
      <c r="FS16" s="125">
        <f>IF(OR(FS$4="",$B16=""),0,SUMIF('DADOS BRUTOS'!$A$3:$A$500,$B16,'DADOS BRUTOS'!CS$3:CS$500)+IF($C16="",0,SUMIF('DADOS BRUTOS'!$A$3:$A$500,$C16,'DADOS BRUTOS'!CS$3:CS$500)))</f>
        <v/>
      </c>
      <c r="FT16" s="125">
        <f>IF(OR(FT$4="",$B16=""),0,SUMIF('DADOS BRUTOS'!$A$3:$A$500,$B16,'DADOS BRUTOS'!CT$3:CT$500)+IF($C16="",0,SUMIF('DADOS BRUTOS'!$A$3:$A$500,$C16,'DADOS BRUTOS'!CT$3:CT$500)))</f>
        <v/>
      </c>
      <c r="FU16" s="125">
        <f>IF(OR(FU$4="",$B16=""),0,SUMIF('DADOS BRUTOS'!$A$3:$A$500,$B16,'DADOS BRUTOS'!CU$3:CU$500)+IF($C16="",0,SUMIF('DADOS BRUTOS'!$A$3:$A$500,$C16,'DADOS BRUTOS'!CU$3:CU$500)))</f>
        <v/>
      </c>
      <c r="FV16" s="125">
        <f>IF(OR(FV$4="",$B16=""),0,SUMIF('DADOS BRUTOS'!$A$3:$A$500,$B16,'DADOS BRUTOS'!CV$3:CV$500)+IF($C16="",0,SUMIF('DADOS BRUTOS'!$A$3:$A$500,$C16,'DADOS BRUTOS'!CV$3:CV$500)))</f>
        <v/>
      </c>
      <c r="FW16" s="125">
        <f>IF(OR(FW$4="",$B16=""),0,SUMIF('DADOS BRUTOS'!$A$3:$A$500,$B16,'DADOS BRUTOS'!CW$3:CW$500)+IF($C16="",0,SUMIF('DADOS BRUTOS'!$A$3:$A$500,$C16,'DADOS BRUTOS'!CW$3:CW$500)))</f>
        <v/>
      </c>
      <c r="FX16" s="125">
        <f>IF(OR(FX$4="",$B16=""),0,SUMIF('DADOS BRUTOS'!$A$3:$A$500,$B16,'DADOS BRUTOS'!CX$3:CX$500)+IF($C16="",0,SUMIF('DADOS BRUTOS'!$A$3:$A$500,$C16,'DADOS BRUTOS'!CX$3:CX$500)))</f>
        <v/>
      </c>
      <c r="FY16" s="125">
        <f>IF(OR(FY$4="",$B16=""),0,SUMIF('DADOS BRUTOS'!$A$3:$A$500,$B16,'DADOS BRUTOS'!CY$3:CY$500)+IF($C16="",0,SUMIF('DADOS BRUTOS'!$A$3:$A$500,$C16,'DADOS BRUTOS'!CY$3:CY$500)))</f>
        <v/>
      </c>
      <c r="FZ16" s="125">
        <f>IF(OR(FZ$4="",$B16=""),0,SUMIF('DADOS BRUTOS'!$A$3:$A$500,$B16,'DADOS BRUTOS'!CZ$3:CZ$500)+IF($C16="",0,SUMIF('DADOS BRUTOS'!$A$3:$A$500,$C16,'DADOS BRUTOS'!CZ$3:CZ$500)))</f>
        <v/>
      </c>
      <c r="GA16" s="125">
        <f>IF(OR(GA$4="",$B16=""),0,SUMIF('DADOS BRUTOS'!$A$3:$A$500,$B16,'DADOS BRUTOS'!DA$3:DA$500)+IF($C16="",0,SUMIF('DADOS BRUTOS'!$A$3:$A$500,$C16,'DADOS BRUTOS'!DA$3:DA$500)))</f>
        <v/>
      </c>
      <c r="GB16" s="125">
        <f>IF(OR(GB$4="",$B16=""),0,SUMIF('DADOS BRUTOS'!$A$3:$A$500,$B16,'DADOS BRUTOS'!DB$3:DB$500)+IF($C16="",0,SUMIF('DADOS BRUTOS'!$A$3:$A$500,$C16,'DADOS BRUTOS'!DB$3:DB$500)))</f>
        <v/>
      </c>
      <c r="GC16" s="125">
        <f>IF(OR(GC$4="",$B16=""),0,SUMIF('DADOS BRUTOS'!$A$3:$A$500,$B16,'DADOS BRUTOS'!DC$3:DC$500)+IF($C16="",0,SUMIF('DADOS BRUTOS'!$A$3:$A$500,$C16,'DADOS BRUTOS'!DC$3:DC$500)))</f>
        <v/>
      </c>
      <c r="GD16" s="125">
        <f>IF(OR(GD$4="",$B16=""),0,SUMIF('DADOS BRUTOS'!$A$3:$A$500,$B16,'DADOS BRUTOS'!DD$3:DD$500)+IF($C16="",0,SUMIF('DADOS BRUTOS'!$A$3:$A$500,$C16,'DADOS BRUTOS'!DD$3:DD$500)))</f>
        <v/>
      </c>
      <c r="GE16" s="125">
        <f>IF(OR(GE$4="",$B16=""),0,SUMIF('DADOS BRUTOS'!$A$3:$A$500,$B16,'DADOS BRUTOS'!DE$3:DE$500)+IF($C16="",0,SUMIF('DADOS BRUTOS'!$A$3:$A$500,$C16,'DADOS BRUTOS'!DE$3:DE$500)))</f>
        <v/>
      </c>
      <c r="GF16" s="125">
        <f>IF(OR(GF$4="",$B16=""),0,SUMIF('DADOS BRUTOS'!$A$3:$A$500,$B16,'DADOS BRUTOS'!DF$3:DF$500)+IF($C16="",0,SUMIF('DADOS BRUTOS'!$A$3:$A$500,$C16,'DADOS BRUTOS'!DF$3:DF$500)))</f>
        <v/>
      </c>
      <c r="GG16" s="125">
        <f>IF(OR(GG$4="",$B16=""),0,SUMIF('DADOS BRUTOS'!$A$3:$A$500,$B16,'DADOS BRUTOS'!DG$3:DG$500)+IF($C16="",0,SUMIF('DADOS BRUTOS'!$A$3:$A$500,$C16,'DADOS BRUTOS'!DG$3:DG$500)))</f>
        <v/>
      </c>
      <c r="GH16" s="125">
        <f>IF(OR(GH$4="",$B16=""),0,SUMIF('DADOS BRUTOS'!$A$3:$A$500,$B16,'DADOS BRUTOS'!DH$3:DH$500)+IF($C16="",0,SUMIF('DADOS BRUTOS'!$A$3:$A$500,$C16,'DADOS BRUTOS'!DH$3:DH$500)))</f>
        <v/>
      </c>
      <c r="GI16" s="125">
        <f>IF(OR(GI$4="",$B16=""),0,SUMIF('DADOS BRUTOS'!$A$3:$A$500,$B16,'DADOS BRUTOS'!DI$3:DI$500)+IF($C16="",0,SUMIF('DADOS BRUTOS'!$A$3:$A$500,$C16,'DADOS BRUTOS'!DI$3:DI$500)))</f>
        <v/>
      </c>
      <c r="GJ16" s="125">
        <f>IF(OR(GJ$4="",$B16=""),0,SUMIF('DADOS BRUTOS'!$A$3:$A$500,$B16,'DADOS BRUTOS'!DJ$3:DJ$500)+IF($C16="",0,SUMIF('DADOS BRUTOS'!$A$3:$A$500,$C16,'DADOS BRUTOS'!DJ$3:DJ$500)))</f>
        <v/>
      </c>
      <c r="GK16" s="125">
        <f>IF(OR(GK$4="",$B16=""),0,SUMIF('DADOS BRUTOS'!$A$3:$A$500,$B16,'DADOS BRUTOS'!DK$3:DK$500)+IF($C16="",0,SUMIF('DADOS BRUTOS'!$A$3:$A$500,$C16,'DADOS BRUTOS'!DK$3:DK$500)))</f>
        <v/>
      </c>
      <c r="GL16" s="125">
        <f>IF(OR(GL$4="",$B16=""),0,SUMIF('DADOS BRUTOS'!$A$3:$A$500,$B16,'DADOS BRUTOS'!DL$3:DL$500)+IF($C16="",0,SUMIF('DADOS BRUTOS'!$A$3:$A$500,$C16,'DADOS BRUTOS'!DL$3:DL$500)))</f>
        <v/>
      </c>
      <c r="GM16" s="125">
        <f>IF(OR(GM$4="",$B16=""),0,SUMIF('DADOS BRUTOS'!$A$3:$A$500,$B16,'DADOS BRUTOS'!DM$3:DM$500)+IF($C16="",0,SUMIF('DADOS BRUTOS'!$A$3:$A$500,$C16,'DADOS BRUTOS'!DM$3:DM$500)))</f>
        <v/>
      </c>
      <c r="GN16" s="125">
        <f>IF(OR(GN$4="",$B16=""),0,SUMIF('DADOS BRUTOS'!$A$3:$A$500,$B16,'DADOS BRUTOS'!DN$3:DN$500)+IF($C16="",0,SUMIF('DADOS BRUTOS'!$A$3:$A$500,$C16,'DADOS BRUTOS'!DN$3:DN$500)))</f>
        <v/>
      </c>
      <c r="GO16" s="125">
        <f>IF(OR(GO$4="",$B16=""),0,SUMIF('DADOS BRUTOS'!$A$3:$A$500,$B16,'DADOS BRUTOS'!DO$3:DO$500)+IF($C16="",0,SUMIF('DADOS BRUTOS'!$A$3:$A$500,$C16,'DADOS BRUTOS'!DO$3:DO$500)))</f>
        <v/>
      </c>
      <c r="GP16" s="125">
        <f>IF(OR(GP$4="",$B16=""),0,SUMIF('DADOS BRUTOS'!$A$3:$A$500,$B16,'DADOS BRUTOS'!DP$3:DP$500)+IF($C16="",0,SUMIF('DADOS BRUTOS'!$A$3:$A$500,$C16,'DADOS BRUTOS'!DP$3:DP$500)))</f>
        <v/>
      </c>
      <c r="GQ16" s="125">
        <f>IF(OR(GQ$4="",$B16=""),0,SUMIF('DADOS BRUTOS'!$A$3:$A$500,$B16,'DADOS BRUTOS'!DQ$3:DQ$500)+IF($C16="",0,SUMIF('DADOS BRUTOS'!$A$3:$A$500,$C16,'DADOS BRUTOS'!DQ$3:DQ$500)))</f>
        <v/>
      </c>
      <c r="GR16" s="125">
        <f>IF(OR(GR$4="",$B16=""),0,SUMIF('DADOS BRUTOS'!$A$3:$A$500,$B16,'DADOS BRUTOS'!DR$3:DR$500)+IF($C16="",0,SUMIF('DADOS BRUTOS'!$A$3:$A$500,$C16,'DADOS BRUTOS'!DR$3:DR$500)))</f>
        <v/>
      </c>
      <c r="GS16" s="125">
        <f>IF(OR(GS$4="",$B16=""),0,SUMIF('DADOS BRUTOS'!$A$3:$A$500,$B16,'DADOS BRUTOS'!DS$3:DS$500)+IF($C16="",0,SUMIF('DADOS BRUTOS'!$A$3:$A$500,$C16,'DADOS BRUTOS'!DS$3:DS$500)))</f>
        <v/>
      </c>
      <c r="GT16" s="125">
        <f>IF(OR(GT$4="",$B16=""),0,SUMIF('DADOS BRUTOS'!$A$3:$A$500,$B16,'DADOS BRUTOS'!DT$3:DT$500)+IF($C16="",0,SUMIF('DADOS BRUTOS'!$A$3:$A$500,$C16,'DADOS BRUTOS'!DT$3:DT$500)))</f>
        <v/>
      </c>
      <c r="GU16" s="125">
        <f>IF(OR(GU$4="",$B16=""),0,SUMIF('DADOS BRUTOS'!$A$3:$A$500,$B16,'DADOS BRUTOS'!DU$3:DU$500)+IF($C16="",0,SUMIF('DADOS BRUTOS'!$A$3:$A$500,$C16,'DADOS BRUTOS'!DU$3:DU$500)))</f>
        <v/>
      </c>
      <c r="GV16" s="125">
        <f>IF(OR(GV$4="",$B16=""),0,SUMIF('DADOS BRUTOS'!$A$3:$A$500,$B16,'DADOS BRUTOS'!DV$3:DV$500)+IF($C16="",0,SUMIF('DADOS BRUTOS'!$A$3:$A$500,$C16,'DADOS BRUTOS'!DV$3:DV$500)))</f>
        <v/>
      </c>
      <c r="GW16" s="125">
        <f>IF(OR(GW$4="",$B16=""),0,SUMIF('DADOS BRUTOS'!$A$3:$A$500,$B16,'DADOS BRUTOS'!DW$3:DW$500)+IF($C16="",0,SUMIF('DADOS BRUTOS'!$A$3:$A$500,$C16,'DADOS BRUTOS'!DW$3:DW$500)))</f>
        <v/>
      </c>
      <c r="GX16" s="125">
        <f>IF(OR(GX$4="",$B16=""),0,SUMIF('DADOS BRUTOS'!$A$3:$A$500,$B16,'DADOS BRUTOS'!DX$3:DX$500)+IF($C16="",0,SUMIF('DADOS BRUTOS'!$A$3:$A$500,$C16,'DADOS BRUTOS'!DX$3:DX$500)))</f>
        <v/>
      </c>
      <c r="GY16" s="125">
        <f>IF(OR(GY$4="",$B16=""),0,SUMIF('DADOS BRUTOS'!$A$3:$A$500,$B16,'DADOS BRUTOS'!DY$3:DY$500)+IF($C16="",0,SUMIF('DADOS BRUTOS'!$A$3:$A$500,$C16,'DADOS BRUTOS'!DY$3:DY$500)))</f>
        <v/>
      </c>
      <c r="GZ16" s="125">
        <f>IF(OR(GZ$4="",$B16=""),0,SUMIF('DADOS BRUTOS'!$A$3:$A$500,$B16,'DADOS BRUTOS'!DZ$3:DZ$500)+IF($C16="",0,SUMIF('DADOS BRUTOS'!$A$3:$A$500,$C16,'DADOS BRUTOS'!DZ$3:DZ$500)))</f>
        <v/>
      </c>
      <c r="HA16" s="125">
        <f>IF(OR(HA$4="",$B16=""),0,SUMIF('DADOS BRUTOS'!$A$3:$A$500,$B16,'DADOS BRUTOS'!EA$3:EA$500)+IF($C16="",0,SUMIF('DADOS BRUTOS'!$A$3:$A$500,$C16,'DADOS BRUTOS'!EA$3:EA$500)))</f>
        <v/>
      </c>
      <c r="HB16" s="125">
        <f>IF(OR(HB$4="",$B16=""),0,SUMIF('DADOS BRUTOS'!$A$3:$A$500,$B16,'DADOS BRUTOS'!EB$3:EB$500)+IF($C16="",0,SUMIF('DADOS BRUTOS'!$A$3:$A$500,$C16,'DADOS BRUTOS'!EB$3:EB$500)))</f>
        <v/>
      </c>
      <c r="HC16" s="125">
        <f>IF(OR(HC$4="",$B16=""),0,SUMIF('DADOS BRUTOS'!$A$3:$A$500,$B16,'DADOS BRUTOS'!EC$3:EC$500)+IF($C16="",0,SUMIF('DADOS BRUTOS'!$A$3:$A$500,$C16,'DADOS BRUTOS'!EC$3:EC$500)))</f>
        <v/>
      </c>
      <c r="HD16" s="125">
        <f>IF(OR(HD$4="",$B16=""),0,SUMIF('DADOS BRUTOS'!$A$3:$A$500,$B16,'DADOS BRUTOS'!ED$3:ED$500)+IF($C16="",0,SUMIF('DADOS BRUTOS'!$A$3:$A$500,$C16,'DADOS BRUTOS'!ED$3:ED$500)))</f>
        <v/>
      </c>
      <c r="HE16" s="125">
        <f>IF(OR(HE$4="",$B16=""),0,SUMIF('DADOS BRUTOS'!$A$3:$A$500,$B16,'DADOS BRUTOS'!EE$3:EE$500)+IF($C16="",0,SUMIF('DADOS BRUTOS'!$A$3:$A$500,$C16,'DADOS BRUTOS'!EE$3:EE$500)))</f>
        <v/>
      </c>
      <c r="HF16" s="125">
        <f>IF(OR(HF$4="",$B16=""),0,SUMIF('DADOS BRUTOS'!$A$3:$A$500,$B16,'DADOS BRUTOS'!EF$3:EF$500)+IF($C16="",0,SUMIF('DADOS BRUTOS'!$A$3:$A$500,$C16,'DADOS BRUTOS'!EF$3:EF$500)))</f>
        <v/>
      </c>
      <c r="HG16" s="125">
        <f>IF(OR(HG$4="",$B16=""),0,SUMIF('DADOS BRUTOS'!$A$3:$A$500,$B16,'DADOS BRUTOS'!EG$3:EG$500)+IF($C16="",0,SUMIF('DADOS BRUTOS'!$A$3:$A$500,$C16,'DADOS BRUTOS'!EG$3:EG$500)))</f>
        <v/>
      </c>
      <c r="HH16" s="125">
        <f>IF(OR(HH$4="",$B16=""),0,SUMIF('DADOS BRUTOS'!$A$3:$A$500,$B16,'DADOS BRUTOS'!EH$3:EH$500)+IF($C16="",0,SUMIF('DADOS BRUTOS'!$A$3:$A$500,$C16,'DADOS BRUTOS'!EH$3:EH$500)))</f>
        <v/>
      </c>
      <c r="HI16" s="125">
        <f>IF(OR(HI$4="",$B16=""),0,SUMIF('DADOS BRUTOS'!$A$3:$A$500,$B16,'DADOS BRUTOS'!EI$3:EI$500)+IF($C16="",0,SUMIF('DADOS BRUTOS'!$A$3:$A$500,$C16,'DADOS BRUTOS'!EI$3:EI$500)))</f>
        <v/>
      </c>
      <c r="HJ16" s="125">
        <f>IF(OR(HJ$4="",$B16=""),0,SUMIF('DADOS BRUTOS'!$A$3:$A$500,$B16,'DADOS BRUTOS'!EJ$3:EJ$500)+IF($C16="",0,SUMIF('DADOS BRUTOS'!$A$3:$A$500,$C16,'DADOS BRUTOS'!EJ$3:EJ$500)))</f>
        <v/>
      </c>
      <c r="HK16" s="125">
        <f>IF(OR(HK$4="",$B16=""),0,SUMIF('DADOS BRUTOS'!$A$3:$A$500,$B16,'DADOS BRUTOS'!EK$3:EK$500)+IF($C16="",0,SUMIF('DADOS BRUTOS'!$A$3:$A$500,$C16,'DADOS BRUTOS'!EK$3:EK$500)))</f>
        <v/>
      </c>
      <c r="HL16" s="125">
        <f>IF(OR(HL$4="",$B16=""),0,SUMIF('DADOS BRUTOS'!$A$3:$A$500,$B16,'DADOS BRUTOS'!EL$3:EL$500)+IF($C16="",0,SUMIF('DADOS BRUTOS'!$A$3:$A$500,$C16,'DADOS BRUTOS'!EL$3:EL$500)))</f>
        <v/>
      </c>
      <c r="HM16" s="125">
        <f>IF(OR(HM$4="",$B16=""),0,SUMIF('DADOS BRUTOS'!$A$3:$A$500,$B16,'DADOS BRUTOS'!EM$3:EM$500)+IF($C16="",0,SUMIF('DADOS BRUTOS'!$A$3:$A$500,$C16,'DADOS BRUTOS'!EM$3:EM$500)))</f>
        <v/>
      </c>
      <c r="HN16" s="125">
        <f>IF(OR(HN$4="",$B16=""),0,SUMIF('DADOS BRUTOS'!$A$3:$A$500,$B16,'DADOS BRUTOS'!EN$3:EN$500)+IF($C16="",0,SUMIF('DADOS BRUTOS'!$A$3:$A$500,$C16,'DADOS BRUTOS'!EN$3:EN$500)))</f>
        <v/>
      </c>
      <c r="HO16" s="125">
        <f>IF(OR(HO$4="",$B16=""),0,SUMIF('DADOS BRUTOS'!$A$3:$A$500,$B16,'DADOS BRUTOS'!EO$3:EO$500)+IF($C16="",0,SUMIF('DADOS BRUTOS'!$A$3:$A$500,$C16,'DADOS BRUTOS'!EO$3:EO$500)))</f>
        <v/>
      </c>
      <c r="HP16" s="125">
        <f>IF(OR(HP$4="",$B16=""),0,SUMIF('DADOS BRUTOS'!$A$3:$A$500,$B16,'DADOS BRUTOS'!EP$3:EP$500)+IF($C16="",0,SUMIF('DADOS BRUTOS'!$A$3:$A$500,$C16,'DADOS BRUTOS'!EP$3:EP$500)))</f>
        <v/>
      </c>
      <c r="HQ16" s="125">
        <f>IF(OR(HQ$4="",$B16=""),0,SUMIF('DADOS BRUTOS'!$A$3:$A$500,$B16,'DADOS BRUTOS'!EQ$3:EQ$500)+IF($C16="",0,SUMIF('DADOS BRUTOS'!$A$3:$A$500,$C16,'DADOS BRUTOS'!EQ$3:EQ$500)))</f>
        <v/>
      </c>
      <c r="HR16" s="125">
        <f>IF(OR(HR$4="",$B16=""),0,SUMIF('DADOS BRUTOS'!$A$3:$A$500,$B16,'DADOS BRUTOS'!ER$3:ER$500)+IF($C16="",0,SUMIF('DADOS BRUTOS'!$A$3:$A$500,$C16,'DADOS BRUTOS'!ER$3:ER$500)))</f>
        <v/>
      </c>
      <c r="HS16" s="125">
        <f>IF(OR(HS$4="",$B16=""),0,SUMIF('DADOS BRUTOS'!$A$3:$A$500,$B16,'DADOS BRUTOS'!ES$3:ES$500)+IF($C16="",0,SUMIF('DADOS BRUTOS'!$A$3:$A$500,$C16,'DADOS BRUTOS'!ES$3:ES$500)))</f>
        <v/>
      </c>
      <c r="HT16" s="125">
        <f>IF(OR(HT$4="",$B16=""),0,SUMIF('DADOS BRUTOS'!$A$3:$A$500,$B16,'DADOS BRUTOS'!ET$3:ET$500)+IF($C16="",0,SUMIF('DADOS BRUTOS'!$A$3:$A$500,$C16,'DADOS BRUTOS'!ET$3:ET$500)))</f>
        <v/>
      </c>
      <c r="HU16" s="125">
        <f>IF(OR(HU$4="",$B16=""),0,SUMIF('DADOS BRUTOS'!$A$3:$A$500,$B16,'DADOS BRUTOS'!EU$3:EU$500)+IF($C16="",0,SUMIF('DADOS BRUTOS'!$A$3:$A$500,$C16,'DADOS BRUTOS'!EU$3:EU$500)))</f>
        <v/>
      </c>
      <c r="HV16" s="125">
        <f>IF(OR(HV$4="",$B16=""),0,SUMIF('DADOS BRUTOS'!$A$3:$A$500,$B16,'DADOS BRUTOS'!EV$3:EV$500)+IF($C16="",0,SUMIF('DADOS BRUTOS'!$A$3:$A$500,$C16,'DADOS BRUTOS'!EV$3:EV$500)))</f>
        <v/>
      </c>
      <c r="HW16" s="125">
        <f>IF(OR(HW$4="",$B16=""),0,SUMIF('DADOS BRUTOS'!$A$3:$A$500,$B16,'DADOS BRUTOS'!EW$3:EW$500)+IF($C16="",0,SUMIF('DADOS BRUTOS'!$A$3:$A$500,$C16,'DADOS BRUTOS'!EW$3:EW$500)))</f>
        <v/>
      </c>
      <c r="HX16" s="125">
        <f>IF(OR(HX$4="",$B16=""),0,SUMIF('DADOS BRUTOS'!$A$3:$A$500,$B16,'DADOS BRUTOS'!EX$3:EX$500)+IF($C16="",0,SUMIF('DADOS BRUTOS'!$A$3:$A$500,$C16,'DADOS BRUTOS'!EX$3:EX$500)))</f>
        <v/>
      </c>
      <c r="HY16" s="125">
        <f>IF(OR(HY$4="",$B16=""),0,SUMIF('DADOS BRUTOS'!$A$3:$A$500,$B16,'DADOS BRUTOS'!EY$3:EY$500)+IF($C16="",0,SUMIF('DADOS BRUTOS'!$A$3:$A$500,$C16,'DADOS BRUTOS'!EY$3:EY$500)))</f>
        <v/>
      </c>
      <c r="HZ16" s="125">
        <f>IF(OR(HZ$4="",$B16=""),0,SUMIF('DADOS BRUTOS'!$A$3:$A$500,$B16,'DADOS BRUTOS'!EZ$3:EZ$500)+IF($C16="",0,SUMIF('DADOS BRUTOS'!$A$3:$A$500,$C16,'DADOS BRUTOS'!EZ$3:EZ$500)))</f>
        <v/>
      </c>
      <c r="IA16" s="125">
        <f>IF(OR(IA$4="",$B16=""),0,SUMIF('DADOS BRUTOS'!$A$3:$A$500,$B16,'DADOS BRUTOS'!FA$3:FA$500)+IF($C16="",0,SUMIF('DADOS BRUTOS'!$A$3:$A$500,$C16,'DADOS BRUTOS'!FA$3:FA$500)))</f>
        <v/>
      </c>
      <c r="IB16" s="125">
        <f>IF(OR(IB$4="",$B16=""),0,SUMIF('DADOS BRUTOS'!$A$3:$A$500,$B16,'DADOS BRUTOS'!FB$3:FB$500)+IF($C16="",0,SUMIF('DADOS BRUTOS'!$A$3:$A$500,$C16,'DADOS BRUTOS'!FB$3:FB$500)))</f>
        <v/>
      </c>
      <c r="IC16" s="125">
        <f>IF(OR(IC$4="",$B16=""),0,SUMIF('DADOS BRUTOS'!$A$3:$A$500,$B16,'DADOS BRUTOS'!FC$3:FC$500)+IF($C16="",0,SUMIF('DADOS BRUTOS'!$A$3:$A$500,$C16,'DADOS BRUTOS'!FC$3:FC$500)))</f>
        <v/>
      </c>
      <c r="ID16" s="125">
        <f>IF(OR(ID$4="",$B16=""),0,SUMIF('DADOS BRUTOS'!$A$3:$A$500,$B16,'DADOS BRUTOS'!FD$3:FD$500)+IF($C16="",0,SUMIF('DADOS BRUTOS'!$A$3:$A$500,$C16,'DADOS BRUTOS'!FD$3:FD$500)))</f>
        <v/>
      </c>
      <c r="IE16" s="125">
        <f>IF(OR(IE$4="",$B16=""),0,SUMIF('DADOS BRUTOS'!$A$3:$A$500,$B16,'DADOS BRUTOS'!FE$3:FE$500)+IF($C16="",0,SUMIF('DADOS BRUTOS'!$A$3:$A$500,$C16,'DADOS BRUTOS'!FE$3:FE$500)))</f>
        <v/>
      </c>
      <c r="IF16" s="125">
        <f>IF(OR(IF$4="",$B16=""),0,SUMIF('DADOS BRUTOS'!$A$3:$A$500,$B16,'DADOS BRUTOS'!FF$3:FF$500)+IF($C16="",0,SUMIF('DADOS BRUTOS'!$A$3:$A$500,$C16,'DADOS BRUTOS'!FF$3:FF$500)))</f>
        <v/>
      </c>
      <c r="IG16" s="125">
        <f>IF(OR(IG$4="",$B16=""),0,SUMIF('DADOS BRUTOS'!$A$3:$A$500,$B16,'DADOS BRUTOS'!FG$3:FG$500)+IF($C16="",0,SUMIF('DADOS BRUTOS'!$A$3:$A$500,$C16,'DADOS BRUTOS'!FG$3:FG$500)))</f>
        <v/>
      </c>
      <c r="IH16" s="125">
        <f>IF(OR(IH$4="",$B16=""),0,SUMIF('DADOS BRUTOS'!$A$3:$A$500,$B16,'DADOS BRUTOS'!FH$3:FH$500)+IF($C16="",0,SUMIF('DADOS BRUTOS'!$A$3:$A$500,$C16,'DADOS BRUTOS'!FH$3:FH$500)))</f>
        <v/>
      </c>
      <c r="II16" s="125">
        <f>IF(OR(II$4="",$B16=""),0,SUMIF('DADOS BRUTOS'!$A$3:$A$500,$B16,'DADOS BRUTOS'!FI$3:FI$500)+IF($C16="",0,SUMIF('DADOS BRUTOS'!$A$3:$A$500,$C16,'DADOS BRUTOS'!FI$3:FI$500)))</f>
        <v/>
      </c>
      <c r="IJ16" s="125">
        <f>IF(OR(IJ$4="",$B16=""),0,SUMIF('DADOS BRUTOS'!$A$3:$A$500,$B16,'DADOS BRUTOS'!FJ$3:FJ$500)+IF($C16="",0,SUMIF('DADOS BRUTOS'!$A$3:$A$500,$C16,'DADOS BRUTOS'!FJ$3:FJ$500)))</f>
        <v/>
      </c>
      <c r="IK16" s="125">
        <f>IF(OR(IK$4="",$B16=""),0,SUMIF('DADOS BRUTOS'!$A$3:$A$500,$B16,'DADOS BRUTOS'!FK$3:FK$500)+IF($C16="",0,SUMIF('DADOS BRUTOS'!$A$3:$A$500,$C16,'DADOS BRUTOS'!FK$3:FK$500)))</f>
        <v/>
      </c>
      <c r="IL16" s="125">
        <f>IF(OR(IL$4="",$B16=""),0,SUMIF('DADOS BRUTOS'!$A$3:$A$500,$B16,'DADOS BRUTOS'!FL$3:FL$500)+IF($C16="",0,SUMIF('DADOS BRUTOS'!$A$3:$A$500,$C16,'DADOS BRUTOS'!FL$3:FL$500)))</f>
        <v/>
      </c>
      <c r="IM16" s="125">
        <f>IF(OR(IM$4="",$B16=""),0,SUMIF('DADOS BRUTOS'!$A$3:$A$500,$B16,'DADOS BRUTOS'!FM$3:FM$500)+IF($C16="",0,SUMIF('DADOS BRUTOS'!$A$3:$A$500,$C16,'DADOS BRUTOS'!FM$3:FM$500)))</f>
        <v/>
      </c>
      <c r="IN16" s="125">
        <f>IF(OR(IN$4="",$B16=""),0,SUMIF('DADOS BRUTOS'!$A$3:$A$500,$B16,'DADOS BRUTOS'!FN$3:FN$500)+IF($C16="",0,SUMIF('DADOS BRUTOS'!$A$3:$A$500,$C16,'DADOS BRUTOS'!FN$3:FN$500)))</f>
        <v/>
      </c>
      <c r="IO16" s="125">
        <f>IF(OR(IO$4="",$B16=""),0,SUMIF('DADOS BRUTOS'!$A$3:$A$500,$B16,'DADOS BRUTOS'!FO$3:FO$500)+IF($C16="",0,SUMIF('DADOS BRUTOS'!$A$3:$A$500,$C16,'DADOS BRUTOS'!FO$3:FO$500)))</f>
        <v/>
      </c>
      <c r="IP16" s="125">
        <f>IF(OR(IP$4="",$B16=""),0,SUMIF('DADOS BRUTOS'!$A$3:$A$500,$B16,'DADOS BRUTOS'!FP$3:FP$500)+IF($C16="",0,SUMIF('DADOS BRUTOS'!$A$3:$A$500,$C16,'DADOS BRUTOS'!FP$3:FP$500)))</f>
        <v/>
      </c>
      <c r="IQ16" s="125">
        <f>IF(OR(IQ$4="",$B16=""),0,SUMIF('DADOS BRUTOS'!$A$3:$A$500,$B16,'DADOS BRUTOS'!FQ$3:FQ$500)+IF($C16="",0,SUMIF('DADOS BRUTOS'!$A$3:$A$500,$C16,'DADOS BRUTOS'!FQ$3:FQ$500)))</f>
        <v/>
      </c>
      <c r="IR16" s="125">
        <f>IF(OR(IR$4="",$B16=""),0,SUMIF('DADOS BRUTOS'!$A$3:$A$500,$B16,'DADOS BRUTOS'!FR$3:FR$500)+IF($C16="",0,SUMIF('DADOS BRUTOS'!$A$3:$A$500,$C16,'DADOS BRUTOS'!FR$3:FR$500)))</f>
        <v/>
      </c>
      <c r="IS16" s="125">
        <f>IF(OR(IS$4="",$B16=""),0,SUMIF('DADOS BRUTOS'!$A$3:$A$500,$B16,'DADOS BRUTOS'!FS$3:FS$500)+IF($C16="",0,SUMIF('DADOS BRUTOS'!$A$3:$A$500,$C16,'DADOS BRUTOS'!FS$3:FS$500)))</f>
        <v/>
      </c>
      <c r="IT16" s="125">
        <f>IF(OR(IT$4="",$B16=""),0,SUMIF('DADOS BRUTOS'!$A$3:$A$500,$B16,'DADOS BRUTOS'!FT$3:FT$500)+IF($C16="",0,SUMIF('DADOS BRUTOS'!$A$3:$A$500,$C16,'DADOS BRUTOS'!FT$3:FT$500)))</f>
        <v/>
      </c>
      <c r="IU16" s="125">
        <f>IF(OR(IU$4="",$B16=""),0,SUMIF('DADOS BRUTOS'!$A$3:$A$500,$B16,'DADOS BRUTOS'!FU$3:FU$500)+IF($C16="",0,SUMIF('DADOS BRUTOS'!$A$3:$A$500,$C16,'DADOS BRUTOS'!FU$3:FU$500)))</f>
        <v/>
      </c>
      <c r="IV16" s="125">
        <f>IF(OR(IV$4="",$B16=""),0,SUMIF('DADOS BRUTOS'!$A$3:$A$500,$B16,'DADOS BRUTOS'!FV$3:FV$500)+IF($C16="",0,SUMIF('DADOS BRUTOS'!$A$3:$A$500,$C16,'DADOS BRUTOS'!FV$3:FV$500)))</f>
        <v/>
      </c>
      <c r="IW16" s="125">
        <f>IF(OR(IW$4="",$B16=""),0,SUMIF('DADOS BRUTOS'!$A$3:$A$500,$B16,'DADOS BRUTOS'!FW$3:FW$500)+IF($C16="",0,SUMIF('DADOS BRUTOS'!$A$3:$A$500,$C16,'DADOS BRUTOS'!FW$3:FW$500)))</f>
        <v/>
      </c>
      <c r="IX16" s="125">
        <f>IF(OR(IX$4="",$B16=""),0,SUMIF('DADOS BRUTOS'!$A$3:$A$500,$B16,'DADOS BRUTOS'!FX$3:FX$500)+IF($C16="",0,SUMIF('DADOS BRUTOS'!$A$3:$A$500,$C16,'DADOS BRUTOS'!FX$3:FX$500)))</f>
        <v/>
      </c>
      <c r="IY16" s="125">
        <f>IF(OR(IY$4="",$B16=""),0,SUMIF('DADOS BRUTOS'!$A$3:$A$500,$B16,'DADOS BRUTOS'!FY$3:FY$500)+IF($C16="",0,SUMIF('DADOS BRUTOS'!$A$3:$A$500,$C16,'DADOS BRUTOS'!FY$3:FY$500)))</f>
        <v/>
      </c>
      <c r="IZ16" s="125">
        <f>IF(OR(IZ$4="",$B16=""),0,SUMIF('DADOS BRUTOS'!$A$3:$A$500,$B16,'DADOS BRUTOS'!FZ$3:FZ$500)+IF($C16="",0,SUMIF('DADOS BRUTOS'!$A$3:$A$500,$C16,'DADOS BRUTOS'!FZ$3:FZ$500)))</f>
        <v/>
      </c>
      <c r="JA16" s="125">
        <f>IF(OR(JA$4="",$B16=""),0,SUMIF('DADOS BRUTOS'!$A$3:$A$500,$B16,'DADOS BRUTOS'!GA$3:GA$500)+IF($C16="",0,SUMIF('DADOS BRUTOS'!$A$3:$A$500,$C16,'DADOS BRUTOS'!GA$3:GA$500)))</f>
        <v/>
      </c>
      <c r="JB16" s="125">
        <f>IF(OR(JB$4="",$B16=""),0,SUMIF('DADOS BRUTOS'!$A$3:$A$500,$B16,'DADOS BRUTOS'!GB$3:GB$500)+IF($C16="",0,SUMIF('DADOS BRUTOS'!$A$3:$A$500,$C16,'DADOS BRUTOS'!GB$3:GB$500)))</f>
        <v/>
      </c>
      <c r="JC16" s="125">
        <f>IF(OR(JC$4="",$B16=""),0,SUMIF('DADOS BRUTOS'!$A$3:$A$500,$B16,'DADOS BRUTOS'!GC$3:GC$500)+IF($C16="",0,SUMIF('DADOS BRUTOS'!$A$3:$A$500,$C16,'DADOS BRUTOS'!GC$3:GC$500)))</f>
        <v/>
      </c>
      <c r="JD16" s="125">
        <f>IF(OR(JD$4="",$B16=""),0,SUMIF('DADOS BRUTOS'!$A$3:$A$500,$B16,'DADOS BRUTOS'!GD$3:GD$500)+IF($C16="",0,SUMIF('DADOS BRUTOS'!$A$3:$A$500,$C16,'DADOS BRUTOS'!GD$3:GD$500)))</f>
        <v/>
      </c>
      <c r="JE16" s="125">
        <f>IF(OR(JE$4="",$B16=""),0,SUMIF('DADOS BRUTOS'!$A$3:$A$500,$B16,'DADOS BRUTOS'!GE$3:GE$500)+IF($C16="",0,SUMIF('DADOS BRUTOS'!$A$3:$A$500,$C16,'DADOS BRUTOS'!GE$3:GE$500)))</f>
        <v/>
      </c>
      <c r="JF16" s="125">
        <f>IF(OR(JF$4="",$B16=""),0,SUMIF('DADOS BRUTOS'!$A$3:$A$500,$B16,'DADOS BRUTOS'!GF$3:GF$500)+IF($C16="",0,SUMIF('DADOS BRUTOS'!$A$3:$A$500,$C16,'DADOS BRUTOS'!GF$3:GF$500)))</f>
        <v/>
      </c>
      <c r="JG16" s="125">
        <f>IF(OR(JG$4="",$B16=""),0,SUMIF('DADOS BRUTOS'!$A$3:$A$500,$B16,'DADOS BRUTOS'!GG$3:GG$500)+IF($C16="",0,SUMIF('DADOS BRUTOS'!$A$3:$A$500,$C16,'DADOS BRUTOS'!GG$3:GG$500)))</f>
        <v/>
      </c>
      <c r="JH16" s="125">
        <f>IF(OR(JH$4="",$B16=""),0,SUMIF('DADOS BRUTOS'!$A$3:$A$500,$B16,'DADOS BRUTOS'!GH$3:GH$500)+IF($C16="",0,SUMIF('DADOS BRUTOS'!$A$3:$A$500,$C16,'DADOS BRUTOS'!GH$3:GH$500)))</f>
        <v/>
      </c>
      <c r="JI16" s="125">
        <f>IF(OR(JI$4="",$B16=""),0,SUMIF('DADOS BRUTOS'!$A$3:$A$500,$B16,'DADOS BRUTOS'!GI$3:GI$500)+IF($C16="",0,SUMIF('DADOS BRUTOS'!$A$3:$A$500,$C16,'DADOS BRUTOS'!GI$3:GI$500)))</f>
        <v/>
      </c>
      <c r="JJ16" s="125">
        <f>IF(OR(JJ$4="",$B16=""),0,SUMIF('DADOS BRUTOS'!$A$3:$A$500,$B16,'DADOS BRUTOS'!GJ$3:GJ$500)+IF($C16="",0,SUMIF('DADOS BRUTOS'!$A$3:$A$500,$C16,'DADOS BRUTOS'!GJ$3:GJ$500)))</f>
        <v/>
      </c>
      <c r="JK16" s="125">
        <f>IF(OR(JK$4="",$B16=""),0,SUMIF('DADOS BRUTOS'!$A$3:$A$500,$B16,'DADOS BRUTOS'!GK$3:GK$500)+IF($C16="",0,SUMIF('DADOS BRUTOS'!$A$3:$A$500,$C16,'DADOS BRUTOS'!GK$3:GK$500)))</f>
        <v/>
      </c>
      <c r="JL16" s="125">
        <f>IF(OR(JL$4="",$B16=""),0,SUMIF('DADOS BRUTOS'!$A$3:$A$500,$B16,'DADOS BRUTOS'!GL$3:GL$500)+IF($C16="",0,SUMIF('DADOS BRUTOS'!$A$3:$A$500,$C16,'DADOS BRUTOS'!GL$3:GL$500)))</f>
        <v/>
      </c>
      <c r="JM16" s="125">
        <f>IF(OR(JM$4="",$B16=""),0,SUMIF('DADOS BRUTOS'!$A$3:$A$500,$B16,'DADOS BRUTOS'!GM$3:GM$500)+IF($C16="",0,SUMIF('DADOS BRUTOS'!$A$3:$A$500,$C16,'DADOS BRUTOS'!GM$3:GM$500)))</f>
        <v/>
      </c>
      <c r="JN16" s="125">
        <f>IF(OR(JN$4="",$B16=""),0,SUMIF('DADOS BRUTOS'!$A$3:$A$500,$B16,'DADOS BRUTOS'!GN$3:GN$500)+IF($C16="",0,SUMIF('DADOS BRUTOS'!$A$3:$A$500,$C16,'DADOS BRUTOS'!GN$3:GN$500)))</f>
        <v/>
      </c>
      <c r="JO16" s="125">
        <f>IF(OR(JO$4="",$B16=""),0,SUMIF('DADOS BRUTOS'!$A$3:$A$500,$B16,'DADOS BRUTOS'!GO$3:GO$500)+IF($C16="",0,SUMIF('DADOS BRUTOS'!$A$3:$A$500,$C16,'DADOS BRUTOS'!GO$3:GO$500)))</f>
        <v/>
      </c>
      <c r="JP16" s="125">
        <f>IF(OR(JP$4="",$B16=""),0,SUMIF('DADOS BRUTOS'!$A$3:$A$500,$B16,'DADOS BRUTOS'!GP$3:GP$500)+IF($C16="",0,SUMIF('DADOS BRUTOS'!$A$3:$A$500,$C16,'DADOS BRUTOS'!GP$3:GP$500)))</f>
        <v/>
      </c>
      <c r="JQ16" s="125">
        <f>IF(OR(JQ$4="",$B16=""),0,SUMIF('DADOS BRUTOS'!$A$3:$A$500,$B16,'DADOS BRUTOS'!GQ$3:GQ$500)+IF($C16="",0,SUMIF('DADOS BRUTOS'!$A$3:$A$500,$C16,'DADOS BRUTOS'!GQ$3:GQ$500)))</f>
        <v/>
      </c>
      <c r="JR16" s="125">
        <f>IF(OR(JR$4="",$B16=""),0,SUMIF('DADOS BRUTOS'!$A$3:$A$500,$B16,'DADOS BRUTOS'!GR$3:GR$500)+IF($C16="",0,SUMIF('DADOS BRUTOS'!$A$3:$A$500,$C16,'DADOS BRUTOS'!GR$3:GR$500)))</f>
        <v/>
      </c>
      <c r="JS16" s="125">
        <f>IF(OR(JS$4="",$B16=""),0,SUMIF('DADOS BRUTOS'!$A$3:$A$500,$B16,'DADOS BRUTOS'!GS$3:GS$500)+IF($C16="",0,SUMIF('DADOS BRUTOS'!$A$3:$A$500,$C16,'DADOS BRUTOS'!GS$3:GS$500)))</f>
        <v/>
      </c>
    </row>
    <row r="17">
      <c r="A17" s="61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BZ17" s="49">
        <f>SUMPRODUCT(($CB$4:$JS$4&lt;&gt;"")*($CB$4:$JS$4&lt;=$D$4),$CB17:$JS17,$CB$1:$JS$1)</f>
        <v/>
      </c>
      <c r="CB17" s="125">
        <f>IF(OR(CB$4="",$B17=""),0,SUMIF('DADOS BRUTOS'!$A$3:$A$500,$B17,'DADOS BRUTOS'!B$3:B$500)+IF($C17="",0,SUMIF('DADOS BRUTOS'!$A$3:$A$500,$C17,'DADOS BRUTOS'!B$3:B$500)))</f>
        <v/>
      </c>
      <c r="CC17" s="125">
        <f>IF(OR(CC$4="",$B17=""),0,SUMIF('DADOS BRUTOS'!$A$3:$A$500,$B17,'DADOS BRUTOS'!C$3:C$500)+IF($C17="",0,SUMIF('DADOS BRUTOS'!$A$3:$A$500,$C17,'DADOS BRUTOS'!C$3:C$500)))</f>
        <v/>
      </c>
      <c r="CD17" s="125">
        <f>IF(OR(CD$4="",$B17=""),0,SUMIF('DADOS BRUTOS'!$A$3:$A$500,$B17,'DADOS BRUTOS'!D$3:D$500)+IF($C17="",0,SUMIF('DADOS BRUTOS'!$A$3:$A$500,$C17,'DADOS BRUTOS'!D$3:D$500)))</f>
        <v/>
      </c>
      <c r="CE17" s="125">
        <f>IF(OR(CE$4="",$B17=""),0,SUMIF('DADOS BRUTOS'!$A$3:$A$500,$B17,'DADOS BRUTOS'!E$3:E$500)+IF($C17="",0,SUMIF('DADOS BRUTOS'!$A$3:$A$500,$C17,'DADOS BRUTOS'!E$3:E$500)))</f>
        <v/>
      </c>
      <c r="CF17" s="125">
        <f>IF(OR(CF$4="",$B17=""),0,SUMIF('DADOS BRUTOS'!$A$3:$A$500,$B17,'DADOS BRUTOS'!F$3:F$500)+IF($C17="",0,SUMIF('DADOS BRUTOS'!$A$3:$A$500,$C17,'DADOS BRUTOS'!F$3:F$500)))</f>
        <v/>
      </c>
      <c r="CG17" s="125">
        <f>IF(OR(CG$4="",$B17=""),0,SUMIF('DADOS BRUTOS'!$A$3:$A$500,$B17,'DADOS BRUTOS'!G$3:G$500)+IF($C17="",0,SUMIF('DADOS BRUTOS'!$A$3:$A$500,$C17,'DADOS BRUTOS'!G$3:G$500)))</f>
        <v/>
      </c>
      <c r="CH17" s="125">
        <f>IF(OR(CH$4="",$B17=""),0,SUMIF('DADOS BRUTOS'!$A$3:$A$500,$B17,'DADOS BRUTOS'!H$3:H$500)+IF($C17="",0,SUMIF('DADOS BRUTOS'!$A$3:$A$500,$C17,'DADOS BRUTOS'!H$3:H$500)))</f>
        <v/>
      </c>
      <c r="CI17" s="125">
        <f>IF(OR(CI$4="",$B17=""),0,SUMIF('DADOS BRUTOS'!$A$3:$A$500,$B17,'DADOS BRUTOS'!I$3:I$500)+IF($C17="",0,SUMIF('DADOS BRUTOS'!$A$3:$A$500,$C17,'DADOS BRUTOS'!I$3:I$500)))</f>
        <v/>
      </c>
      <c r="CJ17" s="125">
        <f>IF(OR(CJ$4="",$B17=""),0,SUMIF('DADOS BRUTOS'!$A$3:$A$500,$B17,'DADOS BRUTOS'!J$3:J$500)+IF($C17="",0,SUMIF('DADOS BRUTOS'!$A$3:$A$500,$C17,'DADOS BRUTOS'!J$3:J$500)))</f>
        <v/>
      </c>
      <c r="CK17" s="125">
        <f>IF(OR(CK$4="",$B17=""),0,SUMIF('DADOS BRUTOS'!$A$3:$A$500,$B17,'DADOS BRUTOS'!K$3:K$500)+IF($C17="",0,SUMIF('DADOS BRUTOS'!$A$3:$A$500,$C17,'DADOS BRUTOS'!K$3:K$500)))</f>
        <v/>
      </c>
      <c r="CL17" s="125">
        <f>IF(OR(CL$4="",$B17=""),0,SUMIF('DADOS BRUTOS'!$A$3:$A$500,$B17,'DADOS BRUTOS'!L$3:L$500)+IF($C17="",0,SUMIF('DADOS BRUTOS'!$A$3:$A$500,$C17,'DADOS BRUTOS'!L$3:L$500)))</f>
        <v/>
      </c>
      <c r="CM17" s="125">
        <f>IF(OR(CM$4="",$B17=""),0,SUMIF('DADOS BRUTOS'!$A$3:$A$500,$B17,'DADOS BRUTOS'!M$3:M$500)+IF($C17="",0,SUMIF('DADOS BRUTOS'!$A$3:$A$500,$C17,'DADOS BRUTOS'!M$3:M$500)))</f>
        <v/>
      </c>
      <c r="CN17" s="125">
        <f>IF(OR(CN$4="",$B17=""),0,SUMIF('DADOS BRUTOS'!$A$3:$A$500,$B17,'DADOS BRUTOS'!N$3:N$500)+IF($C17="",0,SUMIF('DADOS BRUTOS'!$A$3:$A$500,$C17,'DADOS BRUTOS'!N$3:N$500)))</f>
        <v/>
      </c>
      <c r="CO17" s="125">
        <f>IF(OR(CO$4="",$B17=""),0,SUMIF('DADOS BRUTOS'!$A$3:$A$500,$B17,'DADOS BRUTOS'!O$3:O$500)+IF($C17="",0,SUMIF('DADOS BRUTOS'!$A$3:$A$500,$C17,'DADOS BRUTOS'!O$3:O$500)))</f>
        <v/>
      </c>
      <c r="CP17" s="125">
        <f>IF(OR(CP$4="",$B17=""),0,SUMIF('DADOS BRUTOS'!$A$3:$A$500,$B17,'DADOS BRUTOS'!P$3:P$500)+IF($C17="",0,SUMIF('DADOS BRUTOS'!$A$3:$A$500,$C17,'DADOS BRUTOS'!P$3:P$500)))</f>
        <v/>
      </c>
      <c r="CQ17" s="125">
        <f>IF(OR(CQ$4="",$B17=""),0,SUMIF('DADOS BRUTOS'!$A$3:$A$500,$B17,'DADOS BRUTOS'!Q$3:Q$500)+IF($C17="",0,SUMIF('DADOS BRUTOS'!$A$3:$A$500,$C17,'DADOS BRUTOS'!Q$3:Q$500)))</f>
        <v/>
      </c>
      <c r="CR17" s="125">
        <f>IF(OR(CR$4="",$B17=""),0,SUMIF('DADOS BRUTOS'!$A$3:$A$500,$B17,'DADOS BRUTOS'!R$3:R$500)+IF($C17="",0,SUMIF('DADOS BRUTOS'!$A$3:$A$500,$C17,'DADOS BRUTOS'!R$3:R$500)))</f>
        <v/>
      </c>
      <c r="CS17" s="125">
        <f>IF(OR(CS$4="",$B17=""),0,SUMIF('DADOS BRUTOS'!$A$3:$A$500,$B17,'DADOS BRUTOS'!S$3:S$500)+IF($C17="",0,SUMIF('DADOS BRUTOS'!$A$3:$A$500,$C17,'DADOS BRUTOS'!S$3:S$500)))</f>
        <v/>
      </c>
      <c r="CT17" s="125">
        <f>IF(OR(CT$4="",$B17=""),0,SUMIF('DADOS BRUTOS'!$A$3:$A$500,$B17,'DADOS BRUTOS'!T$3:T$500)+IF($C17="",0,SUMIF('DADOS BRUTOS'!$A$3:$A$500,$C17,'DADOS BRUTOS'!T$3:T$500)))</f>
        <v/>
      </c>
      <c r="CU17" s="125">
        <f>IF(OR(CU$4="",$B17=""),0,SUMIF('DADOS BRUTOS'!$A$3:$A$500,$B17,'DADOS BRUTOS'!U$3:U$500)+IF($C17="",0,SUMIF('DADOS BRUTOS'!$A$3:$A$500,$C17,'DADOS BRUTOS'!U$3:U$500)))</f>
        <v/>
      </c>
      <c r="CV17" s="125">
        <f>IF(OR(CV$4="",$B17=""),0,SUMIF('DADOS BRUTOS'!$A$3:$A$500,$B17,'DADOS BRUTOS'!V$3:V$500)+IF($C17="",0,SUMIF('DADOS BRUTOS'!$A$3:$A$500,$C17,'DADOS BRUTOS'!V$3:V$500)))</f>
        <v/>
      </c>
      <c r="CW17" s="125">
        <f>IF(OR(CW$4="",$B17=""),0,SUMIF('DADOS BRUTOS'!$A$3:$A$500,$B17,'DADOS BRUTOS'!W$3:W$500)+IF($C17="",0,SUMIF('DADOS BRUTOS'!$A$3:$A$500,$C17,'DADOS BRUTOS'!W$3:W$500)))</f>
        <v/>
      </c>
      <c r="CX17" s="125">
        <f>IF(OR(CX$4="",$B17=""),0,SUMIF('DADOS BRUTOS'!$A$3:$A$500,$B17,'DADOS BRUTOS'!X$3:X$500)+IF($C17="",0,SUMIF('DADOS BRUTOS'!$A$3:$A$500,$C17,'DADOS BRUTOS'!X$3:X$500)))</f>
        <v/>
      </c>
      <c r="CY17" s="125">
        <f>IF(OR(CY$4="",$B17=""),0,SUMIF('DADOS BRUTOS'!$A$3:$A$500,$B17,'DADOS BRUTOS'!Y$3:Y$500)+IF($C17="",0,SUMIF('DADOS BRUTOS'!$A$3:$A$500,$C17,'DADOS BRUTOS'!Y$3:Y$500)))</f>
        <v/>
      </c>
      <c r="CZ17" s="125">
        <f>IF(OR(CZ$4="",$B17=""),0,SUMIF('DADOS BRUTOS'!$A$3:$A$500,$B17,'DADOS BRUTOS'!Z$3:Z$500)+IF($C17="",0,SUMIF('DADOS BRUTOS'!$A$3:$A$500,$C17,'DADOS BRUTOS'!Z$3:Z$500)))</f>
        <v/>
      </c>
      <c r="DA17" s="125">
        <f>IF(OR(DA$4="",$B17=""),0,SUMIF('DADOS BRUTOS'!$A$3:$A$500,$B17,'DADOS BRUTOS'!AA$3:AA$500)+IF($C17="",0,SUMIF('DADOS BRUTOS'!$A$3:$A$500,$C17,'DADOS BRUTOS'!AA$3:AA$500)))</f>
        <v/>
      </c>
      <c r="DB17" s="125">
        <f>IF(OR(DB$4="",$B17=""),0,SUMIF('DADOS BRUTOS'!$A$3:$A$500,$B17,'DADOS BRUTOS'!AB$3:AB$500)+IF($C17="",0,SUMIF('DADOS BRUTOS'!$A$3:$A$500,$C17,'DADOS BRUTOS'!AB$3:AB$500)))</f>
        <v/>
      </c>
      <c r="DC17" s="125">
        <f>IF(OR(DC$4="",$B17=""),0,SUMIF('DADOS BRUTOS'!$A$3:$A$500,$B17,'DADOS BRUTOS'!AC$3:AC$500)+IF($C17="",0,SUMIF('DADOS BRUTOS'!$A$3:$A$500,$C17,'DADOS BRUTOS'!AC$3:AC$500)))</f>
        <v/>
      </c>
      <c r="DD17" s="125">
        <f>IF(OR(DD$4="",$B17=""),0,SUMIF('DADOS BRUTOS'!$A$3:$A$500,$B17,'DADOS BRUTOS'!AD$3:AD$500)+IF($C17="",0,SUMIF('DADOS BRUTOS'!$A$3:$A$500,$C17,'DADOS BRUTOS'!AD$3:AD$500)))</f>
        <v/>
      </c>
      <c r="DE17" s="125">
        <f>IF(OR(DE$4="",$B17=""),0,SUMIF('DADOS BRUTOS'!$A$3:$A$500,$B17,'DADOS BRUTOS'!AE$3:AE$500)+IF($C17="",0,SUMIF('DADOS BRUTOS'!$A$3:$A$500,$C17,'DADOS BRUTOS'!AE$3:AE$500)))</f>
        <v/>
      </c>
      <c r="DF17" s="125">
        <f>IF(OR(DF$4="",$B17=""),0,SUMIF('DADOS BRUTOS'!$A$3:$A$500,$B17,'DADOS BRUTOS'!AF$3:AF$500)+IF($C17="",0,SUMIF('DADOS BRUTOS'!$A$3:$A$500,$C17,'DADOS BRUTOS'!AF$3:AF$500)))</f>
        <v/>
      </c>
      <c r="DG17" s="125">
        <f>IF(OR(DG$4="",$B17=""),0,SUMIF('DADOS BRUTOS'!$A$3:$A$500,$B17,'DADOS BRUTOS'!AG$3:AG$500)+IF($C17="",0,SUMIF('DADOS BRUTOS'!$A$3:$A$500,$C17,'DADOS BRUTOS'!AG$3:AG$500)))</f>
        <v/>
      </c>
      <c r="DH17" s="125">
        <f>IF(OR(DH$4="",$B17=""),0,SUMIF('DADOS BRUTOS'!$A$3:$A$500,$B17,'DADOS BRUTOS'!AH$3:AH$500)+IF($C17="",0,SUMIF('DADOS BRUTOS'!$A$3:$A$500,$C17,'DADOS BRUTOS'!AH$3:AH$500)))</f>
        <v/>
      </c>
      <c r="DI17" s="125">
        <f>IF(OR(DI$4="",$B17=""),0,SUMIF('DADOS BRUTOS'!$A$3:$A$500,$B17,'DADOS BRUTOS'!AI$3:AI$500)+IF($C17="",0,SUMIF('DADOS BRUTOS'!$A$3:$A$500,$C17,'DADOS BRUTOS'!AI$3:AI$500)))</f>
        <v/>
      </c>
      <c r="DJ17" s="125">
        <f>IF(OR(DJ$4="",$B17=""),0,SUMIF('DADOS BRUTOS'!$A$3:$A$500,$B17,'DADOS BRUTOS'!AJ$3:AJ$500)+IF($C17="",0,SUMIF('DADOS BRUTOS'!$A$3:$A$500,$C17,'DADOS BRUTOS'!AJ$3:AJ$500)))</f>
        <v/>
      </c>
      <c r="DK17" s="125">
        <f>IF(OR(DK$4="",$B17=""),0,SUMIF('DADOS BRUTOS'!$A$3:$A$500,$B17,'DADOS BRUTOS'!AK$3:AK$500)+IF($C17="",0,SUMIF('DADOS BRUTOS'!$A$3:$A$500,$C17,'DADOS BRUTOS'!AK$3:AK$500)))</f>
        <v/>
      </c>
      <c r="DL17" s="125">
        <f>IF(OR(DL$4="",$B17=""),0,SUMIF('DADOS BRUTOS'!$A$3:$A$500,$B17,'DADOS BRUTOS'!AL$3:AL$500)+IF($C17="",0,SUMIF('DADOS BRUTOS'!$A$3:$A$500,$C17,'DADOS BRUTOS'!AL$3:AL$500)))</f>
        <v/>
      </c>
      <c r="DM17" s="125">
        <f>IF(OR(DM$4="",$B17=""),0,SUMIF('DADOS BRUTOS'!$A$3:$A$500,$B17,'DADOS BRUTOS'!AM$3:AM$500)+IF($C17="",0,SUMIF('DADOS BRUTOS'!$A$3:$A$500,$C17,'DADOS BRUTOS'!AM$3:AM$500)))</f>
        <v/>
      </c>
      <c r="DN17" s="125">
        <f>IF(OR(DN$4="",$B17=""),0,SUMIF('DADOS BRUTOS'!$A$3:$A$500,$B17,'DADOS BRUTOS'!AN$3:AN$500)+IF($C17="",0,SUMIF('DADOS BRUTOS'!$A$3:$A$500,$C17,'DADOS BRUTOS'!AN$3:AN$500)))</f>
        <v/>
      </c>
      <c r="DO17" s="125">
        <f>IF(OR(DO$4="",$B17=""),0,SUMIF('DADOS BRUTOS'!$A$3:$A$500,$B17,'DADOS BRUTOS'!AO$3:AO$500)+IF($C17="",0,SUMIF('DADOS BRUTOS'!$A$3:$A$500,$C17,'DADOS BRUTOS'!AO$3:AO$500)))</f>
        <v/>
      </c>
      <c r="DP17" s="125">
        <f>IF(OR(DP$4="",$B17=""),0,SUMIF('DADOS BRUTOS'!$A$3:$A$500,$B17,'DADOS BRUTOS'!AP$3:AP$500)+IF($C17="",0,SUMIF('DADOS BRUTOS'!$A$3:$A$500,$C17,'DADOS BRUTOS'!AP$3:AP$500)))</f>
        <v/>
      </c>
      <c r="DQ17" s="125">
        <f>IF(OR(DQ$4="",$B17=""),0,SUMIF('DADOS BRUTOS'!$A$3:$A$500,$B17,'DADOS BRUTOS'!AQ$3:AQ$500)+IF($C17="",0,SUMIF('DADOS BRUTOS'!$A$3:$A$500,$C17,'DADOS BRUTOS'!AQ$3:AQ$500)))</f>
        <v/>
      </c>
      <c r="DR17" s="125">
        <f>IF(OR(DR$4="",$B17=""),0,SUMIF('DADOS BRUTOS'!$A$3:$A$500,$B17,'DADOS BRUTOS'!AR$3:AR$500)+IF($C17="",0,SUMIF('DADOS BRUTOS'!$A$3:$A$500,$C17,'DADOS BRUTOS'!AR$3:AR$500)))</f>
        <v/>
      </c>
      <c r="DS17" s="125">
        <f>IF(OR(DS$4="",$B17=""),0,SUMIF('DADOS BRUTOS'!$A$3:$A$500,$B17,'DADOS BRUTOS'!AS$3:AS$500)+IF($C17="",0,SUMIF('DADOS BRUTOS'!$A$3:$A$500,$C17,'DADOS BRUTOS'!AS$3:AS$500)))</f>
        <v/>
      </c>
      <c r="DT17" s="125">
        <f>IF(OR(DT$4="",$B17=""),0,SUMIF('DADOS BRUTOS'!$A$3:$A$500,$B17,'DADOS BRUTOS'!AT$3:AT$500)+IF($C17="",0,SUMIF('DADOS BRUTOS'!$A$3:$A$500,$C17,'DADOS BRUTOS'!AT$3:AT$500)))</f>
        <v/>
      </c>
      <c r="DU17" s="125">
        <f>IF(OR(DU$4="",$B17=""),0,SUMIF('DADOS BRUTOS'!$A$3:$A$500,$B17,'DADOS BRUTOS'!AU$3:AU$500)+IF($C17="",0,SUMIF('DADOS BRUTOS'!$A$3:$A$500,$C17,'DADOS BRUTOS'!AU$3:AU$500)))</f>
        <v/>
      </c>
      <c r="DV17" s="125">
        <f>IF(OR(DV$4="",$B17=""),0,SUMIF('DADOS BRUTOS'!$A$3:$A$500,$B17,'DADOS BRUTOS'!AV$3:AV$500)+IF($C17="",0,SUMIF('DADOS BRUTOS'!$A$3:$A$500,$C17,'DADOS BRUTOS'!AV$3:AV$500)))</f>
        <v/>
      </c>
      <c r="DW17" s="125">
        <f>IF(OR(DW$4="",$B17=""),0,SUMIF('DADOS BRUTOS'!$A$3:$A$500,$B17,'DADOS BRUTOS'!AW$3:AW$500)+IF($C17="",0,SUMIF('DADOS BRUTOS'!$A$3:$A$500,$C17,'DADOS BRUTOS'!AW$3:AW$500)))</f>
        <v/>
      </c>
      <c r="DX17" s="125">
        <f>IF(OR(DX$4="",$B17=""),0,SUMIF('DADOS BRUTOS'!$A$3:$A$500,$B17,'DADOS BRUTOS'!AX$3:AX$500)+IF($C17="",0,SUMIF('DADOS BRUTOS'!$A$3:$A$500,$C17,'DADOS BRUTOS'!AX$3:AX$500)))</f>
        <v/>
      </c>
      <c r="DY17" s="125">
        <f>IF(OR(DY$4="",$B17=""),0,SUMIF('DADOS BRUTOS'!$A$3:$A$500,$B17,'DADOS BRUTOS'!AY$3:AY$500)+IF($C17="",0,SUMIF('DADOS BRUTOS'!$A$3:$A$500,$C17,'DADOS BRUTOS'!AY$3:AY$500)))</f>
        <v/>
      </c>
      <c r="DZ17" s="125">
        <f>IF(OR(DZ$4="",$B17=""),0,SUMIF('DADOS BRUTOS'!$A$3:$A$500,$B17,'DADOS BRUTOS'!AZ$3:AZ$500)+IF($C17="",0,SUMIF('DADOS BRUTOS'!$A$3:$A$500,$C17,'DADOS BRUTOS'!AZ$3:AZ$500)))</f>
        <v/>
      </c>
      <c r="EA17" s="125">
        <f>IF(OR(EA$4="",$B17=""),0,SUMIF('DADOS BRUTOS'!$A$3:$A$500,$B17,'DADOS BRUTOS'!BA$3:BA$500)+IF($C17="",0,SUMIF('DADOS BRUTOS'!$A$3:$A$500,$C17,'DADOS BRUTOS'!BA$3:BA$500)))</f>
        <v/>
      </c>
      <c r="EB17" s="125">
        <f>IF(OR(EB$4="",$B17=""),0,SUMIF('DADOS BRUTOS'!$A$3:$A$500,$B17,'DADOS BRUTOS'!BB$3:BB$500)+IF($C17="",0,SUMIF('DADOS BRUTOS'!$A$3:$A$500,$C17,'DADOS BRUTOS'!BB$3:BB$500)))</f>
        <v/>
      </c>
      <c r="EC17" s="125">
        <f>IF(OR(EC$4="",$B17=""),0,SUMIF('DADOS BRUTOS'!$A$3:$A$500,$B17,'DADOS BRUTOS'!BC$3:BC$500)+IF($C17="",0,SUMIF('DADOS BRUTOS'!$A$3:$A$500,$C17,'DADOS BRUTOS'!BC$3:BC$500)))</f>
        <v/>
      </c>
      <c r="ED17" s="125">
        <f>IF(OR(ED$4="",$B17=""),0,SUMIF('DADOS BRUTOS'!$A$3:$A$500,$B17,'DADOS BRUTOS'!BD$3:BD$500)+IF($C17="",0,SUMIF('DADOS BRUTOS'!$A$3:$A$500,$C17,'DADOS BRUTOS'!BD$3:BD$500)))</f>
        <v/>
      </c>
      <c r="EE17" s="125">
        <f>IF(OR(EE$4="",$B17=""),0,SUMIF('DADOS BRUTOS'!$A$3:$A$500,$B17,'DADOS BRUTOS'!BE$3:BE$500)+IF($C17="",0,SUMIF('DADOS BRUTOS'!$A$3:$A$500,$C17,'DADOS BRUTOS'!BE$3:BE$500)))</f>
        <v/>
      </c>
      <c r="EF17" s="125">
        <f>IF(OR(EF$4="",$B17=""),0,SUMIF('DADOS BRUTOS'!$A$3:$A$500,$B17,'DADOS BRUTOS'!BF$3:BF$500)+IF($C17="",0,SUMIF('DADOS BRUTOS'!$A$3:$A$500,$C17,'DADOS BRUTOS'!BF$3:BF$500)))</f>
        <v/>
      </c>
      <c r="EG17" s="125">
        <f>IF(OR(EG$4="",$B17=""),0,SUMIF('DADOS BRUTOS'!$A$3:$A$500,$B17,'DADOS BRUTOS'!BG$3:BG$500)+IF($C17="",0,SUMIF('DADOS BRUTOS'!$A$3:$A$500,$C17,'DADOS BRUTOS'!BG$3:BG$500)))</f>
        <v/>
      </c>
      <c r="EH17" s="125">
        <f>IF(OR(EH$4="",$B17=""),0,SUMIF('DADOS BRUTOS'!$A$3:$A$500,$B17,'DADOS BRUTOS'!BH$3:BH$500)+IF($C17="",0,SUMIF('DADOS BRUTOS'!$A$3:$A$500,$C17,'DADOS BRUTOS'!BH$3:BH$500)))</f>
        <v/>
      </c>
      <c r="EI17" s="125">
        <f>IF(OR(EI$4="",$B17=""),0,SUMIF('DADOS BRUTOS'!$A$3:$A$500,$B17,'DADOS BRUTOS'!BI$3:BI$500)+IF($C17="",0,SUMIF('DADOS BRUTOS'!$A$3:$A$500,$C17,'DADOS BRUTOS'!BI$3:BI$500)))</f>
        <v/>
      </c>
      <c r="EJ17" s="125">
        <f>IF(OR(EJ$4="",$B17=""),0,SUMIF('DADOS BRUTOS'!$A$3:$A$500,$B17,'DADOS BRUTOS'!BJ$3:BJ$500)+IF($C17="",0,SUMIF('DADOS BRUTOS'!$A$3:$A$500,$C17,'DADOS BRUTOS'!BJ$3:BJ$500)))</f>
        <v/>
      </c>
      <c r="EK17" s="125">
        <f>IF(OR(EK$4="",$B17=""),0,SUMIF('DADOS BRUTOS'!$A$3:$A$500,$B17,'DADOS BRUTOS'!BK$3:BK$500)+IF($C17="",0,SUMIF('DADOS BRUTOS'!$A$3:$A$500,$C17,'DADOS BRUTOS'!BK$3:BK$500)))</f>
        <v/>
      </c>
      <c r="EL17" s="125">
        <f>IF(OR(EL$4="",$B17=""),0,SUMIF('DADOS BRUTOS'!$A$3:$A$500,$B17,'DADOS BRUTOS'!BL$3:BL$500)+IF($C17="",0,SUMIF('DADOS BRUTOS'!$A$3:$A$500,$C17,'DADOS BRUTOS'!BL$3:BL$500)))</f>
        <v/>
      </c>
      <c r="EM17" s="125">
        <f>IF(OR(EM$4="",$B17=""),0,SUMIF('DADOS BRUTOS'!$A$3:$A$500,$B17,'DADOS BRUTOS'!BM$3:BM$500)+IF($C17="",0,SUMIF('DADOS BRUTOS'!$A$3:$A$500,$C17,'DADOS BRUTOS'!BM$3:BM$500)))</f>
        <v/>
      </c>
      <c r="EN17" s="125">
        <f>IF(OR(EN$4="",$B17=""),0,SUMIF('DADOS BRUTOS'!$A$3:$A$500,$B17,'DADOS BRUTOS'!BN$3:BN$500)+IF($C17="",0,SUMIF('DADOS BRUTOS'!$A$3:$A$500,$C17,'DADOS BRUTOS'!BN$3:BN$500)))</f>
        <v/>
      </c>
      <c r="EO17" s="125">
        <f>IF(OR(EO$4="",$B17=""),0,SUMIF('DADOS BRUTOS'!$A$3:$A$500,$B17,'DADOS BRUTOS'!BO$3:BO$500)+IF($C17="",0,SUMIF('DADOS BRUTOS'!$A$3:$A$500,$C17,'DADOS BRUTOS'!BO$3:BO$500)))</f>
        <v/>
      </c>
      <c r="EP17" s="125">
        <f>IF(OR(EP$4="",$B17=""),0,SUMIF('DADOS BRUTOS'!$A$3:$A$500,$B17,'DADOS BRUTOS'!BP$3:BP$500)+IF($C17="",0,SUMIF('DADOS BRUTOS'!$A$3:$A$500,$C17,'DADOS BRUTOS'!BP$3:BP$500)))</f>
        <v/>
      </c>
      <c r="EQ17" s="125">
        <f>IF(OR(EQ$4="",$B17=""),0,SUMIF('DADOS BRUTOS'!$A$3:$A$500,$B17,'DADOS BRUTOS'!BQ$3:BQ$500)+IF($C17="",0,SUMIF('DADOS BRUTOS'!$A$3:$A$500,$C17,'DADOS BRUTOS'!BQ$3:BQ$500)))</f>
        <v/>
      </c>
      <c r="ER17" s="125">
        <f>IF(OR(ER$4="",$B17=""),0,SUMIF('DADOS BRUTOS'!$A$3:$A$500,$B17,'DADOS BRUTOS'!BR$3:BR$500)+IF($C17="",0,SUMIF('DADOS BRUTOS'!$A$3:$A$500,$C17,'DADOS BRUTOS'!BR$3:BR$500)))</f>
        <v/>
      </c>
      <c r="ES17" s="125">
        <f>IF(OR(ES$4="",$B17=""),0,SUMIF('DADOS BRUTOS'!$A$3:$A$500,$B17,'DADOS BRUTOS'!BS$3:BS$500)+IF($C17="",0,SUMIF('DADOS BRUTOS'!$A$3:$A$500,$C17,'DADOS BRUTOS'!BS$3:BS$500)))</f>
        <v/>
      </c>
      <c r="ET17" s="125">
        <f>IF(OR(ET$4="",$B17=""),0,SUMIF('DADOS BRUTOS'!$A$3:$A$500,$B17,'DADOS BRUTOS'!BT$3:BT$500)+IF($C17="",0,SUMIF('DADOS BRUTOS'!$A$3:$A$500,$C17,'DADOS BRUTOS'!BT$3:BT$500)))</f>
        <v/>
      </c>
      <c r="EU17" s="125">
        <f>IF(OR(EU$4="",$B17=""),0,SUMIF('DADOS BRUTOS'!$A$3:$A$500,$B17,'DADOS BRUTOS'!BU$3:BU$500)+IF($C17="",0,SUMIF('DADOS BRUTOS'!$A$3:$A$500,$C17,'DADOS BRUTOS'!BU$3:BU$500)))</f>
        <v/>
      </c>
      <c r="EV17" s="125">
        <f>IF(OR(EV$4="",$B17=""),0,SUMIF('DADOS BRUTOS'!$A$3:$A$500,$B17,'DADOS BRUTOS'!BV$3:BV$500)+IF($C17="",0,SUMIF('DADOS BRUTOS'!$A$3:$A$500,$C17,'DADOS BRUTOS'!BV$3:BV$500)))</f>
        <v/>
      </c>
      <c r="EW17" s="125">
        <f>IF(OR(EW$4="",$B17=""),0,SUMIF('DADOS BRUTOS'!$A$3:$A$500,$B17,'DADOS BRUTOS'!BW$3:BW$500)+IF($C17="",0,SUMIF('DADOS BRUTOS'!$A$3:$A$500,$C17,'DADOS BRUTOS'!BW$3:BW$500)))</f>
        <v/>
      </c>
      <c r="EX17" s="125">
        <f>IF(OR(EX$4="",$B17=""),0,SUMIF('DADOS BRUTOS'!$A$3:$A$500,$B17,'DADOS BRUTOS'!BX$3:BX$500)+IF($C17="",0,SUMIF('DADOS BRUTOS'!$A$3:$A$500,$C17,'DADOS BRUTOS'!BX$3:BX$500)))</f>
        <v/>
      </c>
      <c r="EY17" s="125">
        <f>IF(OR(EY$4="",$B17=""),0,SUMIF('DADOS BRUTOS'!$A$3:$A$500,$B17,'DADOS BRUTOS'!BY$3:BY$500)+IF($C17="",0,SUMIF('DADOS BRUTOS'!$A$3:$A$500,$C17,'DADOS BRUTOS'!BY$3:BY$500)))</f>
        <v/>
      </c>
      <c r="EZ17" s="125">
        <f>IF(OR(EZ$4="",$B17=""),0,SUMIF('DADOS BRUTOS'!$A$3:$A$500,$B17,'DADOS BRUTOS'!BZ$3:BZ$500)+IF($C17="",0,SUMIF('DADOS BRUTOS'!$A$3:$A$500,$C17,'DADOS BRUTOS'!BZ$3:BZ$500)))</f>
        <v/>
      </c>
      <c r="FA17" s="125">
        <f>IF(OR(FA$4="",$B17=""),0,SUMIF('DADOS BRUTOS'!$A$3:$A$500,$B17,'DADOS BRUTOS'!CA$3:CA$500)+IF($C17="",0,SUMIF('DADOS BRUTOS'!$A$3:$A$500,$C17,'DADOS BRUTOS'!CA$3:CA$500)))</f>
        <v/>
      </c>
      <c r="FB17" s="125">
        <f>IF(OR(FB$4="",$B17=""),0,SUMIF('DADOS BRUTOS'!$A$3:$A$500,$B17,'DADOS BRUTOS'!CB$3:CB$500)+IF($C17="",0,SUMIF('DADOS BRUTOS'!$A$3:$A$500,$C17,'DADOS BRUTOS'!CB$3:CB$500)))</f>
        <v/>
      </c>
      <c r="FC17" s="125">
        <f>IF(OR(FC$4="",$B17=""),0,SUMIF('DADOS BRUTOS'!$A$3:$A$500,$B17,'DADOS BRUTOS'!CC$3:CC$500)+IF($C17="",0,SUMIF('DADOS BRUTOS'!$A$3:$A$500,$C17,'DADOS BRUTOS'!CC$3:CC$500)))</f>
        <v/>
      </c>
      <c r="FD17" s="125">
        <f>IF(OR(FD$4="",$B17=""),0,SUMIF('DADOS BRUTOS'!$A$3:$A$500,$B17,'DADOS BRUTOS'!CD$3:CD$500)+IF($C17="",0,SUMIF('DADOS BRUTOS'!$A$3:$A$500,$C17,'DADOS BRUTOS'!CD$3:CD$500)))</f>
        <v/>
      </c>
      <c r="FE17" s="125">
        <f>IF(OR(FE$4="",$B17=""),0,SUMIF('DADOS BRUTOS'!$A$3:$A$500,$B17,'DADOS BRUTOS'!CE$3:CE$500)+IF($C17="",0,SUMIF('DADOS BRUTOS'!$A$3:$A$500,$C17,'DADOS BRUTOS'!CE$3:CE$500)))</f>
        <v/>
      </c>
      <c r="FF17" s="125">
        <f>IF(OR(FF$4="",$B17=""),0,SUMIF('DADOS BRUTOS'!$A$3:$A$500,$B17,'DADOS BRUTOS'!CF$3:CF$500)+IF($C17="",0,SUMIF('DADOS BRUTOS'!$A$3:$A$500,$C17,'DADOS BRUTOS'!CF$3:CF$500)))</f>
        <v/>
      </c>
      <c r="FG17" s="125">
        <f>IF(OR(FG$4="",$B17=""),0,SUMIF('DADOS BRUTOS'!$A$3:$A$500,$B17,'DADOS BRUTOS'!CG$3:CG$500)+IF($C17="",0,SUMIF('DADOS BRUTOS'!$A$3:$A$500,$C17,'DADOS BRUTOS'!CG$3:CG$500)))</f>
        <v/>
      </c>
      <c r="FH17" s="125">
        <f>IF(OR(FH$4="",$B17=""),0,SUMIF('DADOS BRUTOS'!$A$3:$A$500,$B17,'DADOS BRUTOS'!CH$3:CH$500)+IF($C17="",0,SUMIF('DADOS BRUTOS'!$A$3:$A$500,$C17,'DADOS BRUTOS'!CH$3:CH$500)))</f>
        <v/>
      </c>
      <c r="FI17" s="125">
        <f>IF(OR(FI$4="",$B17=""),0,SUMIF('DADOS BRUTOS'!$A$3:$A$500,$B17,'DADOS BRUTOS'!CI$3:CI$500)+IF($C17="",0,SUMIF('DADOS BRUTOS'!$A$3:$A$500,$C17,'DADOS BRUTOS'!CI$3:CI$500)))</f>
        <v/>
      </c>
      <c r="FJ17" s="125">
        <f>IF(OR(FJ$4="",$B17=""),0,SUMIF('DADOS BRUTOS'!$A$3:$A$500,$B17,'DADOS BRUTOS'!CJ$3:CJ$500)+IF($C17="",0,SUMIF('DADOS BRUTOS'!$A$3:$A$500,$C17,'DADOS BRUTOS'!CJ$3:CJ$500)))</f>
        <v/>
      </c>
      <c r="FK17" s="125">
        <f>IF(OR(FK$4="",$B17=""),0,SUMIF('DADOS BRUTOS'!$A$3:$A$500,$B17,'DADOS BRUTOS'!CK$3:CK$500)+IF($C17="",0,SUMIF('DADOS BRUTOS'!$A$3:$A$500,$C17,'DADOS BRUTOS'!CK$3:CK$500)))</f>
        <v/>
      </c>
      <c r="FL17" s="125">
        <f>IF(OR(FL$4="",$B17=""),0,SUMIF('DADOS BRUTOS'!$A$3:$A$500,$B17,'DADOS BRUTOS'!CL$3:CL$500)+IF($C17="",0,SUMIF('DADOS BRUTOS'!$A$3:$A$500,$C17,'DADOS BRUTOS'!CL$3:CL$500)))</f>
        <v/>
      </c>
      <c r="FM17" s="125">
        <f>IF(OR(FM$4="",$B17=""),0,SUMIF('DADOS BRUTOS'!$A$3:$A$500,$B17,'DADOS BRUTOS'!CM$3:CM$500)+IF($C17="",0,SUMIF('DADOS BRUTOS'!$A$3:$A$500,$C17,'DADOS BRUTOS'!CM$3:CM$500)))</f>
        <v/>
      </c>
      <c r="FN17" s="125">
        <f>IF(OR(FN$4="",$B17=""),0,SUMIF('DADOS BRUTOS'!$A$3:$A$500,$B17,'DADOS BRUTOS'!CN$3:CN$500)+IF($C17="",0,SUMIF('DADOS BRUTOS'!$A$3:$A$500,$C17,'DADOS BRUTOS'!CN$3:CN$500)))</f>
        <v/>
      </c>
      <c r="FO17" s="125">
        <f>IF(OR(FO$4="",$B17=""),0,SUMIF('DADOS BRUTOS'!$A$3:$A$500,$B17,'DADOS BRUTOS'!CO$3:CO$500)+IF($C17="",0,SUMIF('DADOS BRUTOS'!$A$3:$A$500,$C17,'DADOS BRUTOS'!CO$3:CO$500)))</f>
        <v/>
      </c>
      <c r="FP17" s="125">
        <f>IF(OR(FP$4="",$B17=""),0,SUMIF('DADOS BRUTOS'!$A$3:$A$500,$B17,'DADOS BRUTOS'!CP$3:CP$500)+IF($C17="",0,SUMIF('DADOS BRUTOS'!$A$3:$A$500,$C17,'DADOS BRUTOS'!CP$3:CP$500)))</f>
        <v/>
      </c>
      <c r="FQ17" s="125">
        <f>IF(OR(FQ$4="",$B17=""),0,SUMIF('DADOS BRUTOS'!$A$3:$A$500,$B17,'DADOS BRUTOS'!CQ$3:CQ$500)+IF($C17="",0,SUMIF('DADOS BRUTOS'!$A$3:$A$500,$C17,'DADOS BRUTOS'!CQ$3:CQ$500)))</f>
        <v/>
      </c>
      <c r="FR17" s="125">
        <f>IF(OR(FR$4="",$B17=""),0,SUMIF('DADOS BRUTOS'!$A$3:$A$500,$B17,'DADOS BRUTOS'!CR$3:CR$500)+IF($C17="",0,SUMIF('DADOS BRUTOS'!$A$3:$A$500,$C17,'DADOS BRUTOS'!CR$3:CR$500)))</f>
        <v/>
      </c>
      <c r="FS17" s="125">
        <f>IF(OR(FS$4="",$B17=""),0,SUMIF('DADOS BRUTOS'!$A$3:$A$500,$B17,'DADOS BRUTOS'!CS$3:CS$500)+IF($C17="",0,SUMIF('DADOS BRUTOS'!$A$3:$A$500,$C17,'DADOS BRUTOS'!CS$3:CS$500)))</f>
        <v/>
      </c>
      <c r="FT17" s="125">
        <f>IF(OR(FT$4="",$B17=""),0,SUMIF('DADOS BRUTOS'!$A$3:$A$500,$B17,'DADOS BRUTOS'!CT$3:CT$500)+IF($C17="",0,SUMIF('DADOS BRUTOS'!$A$3:$A$500,$C17,'DADOS BRUTOS'!CT$3:CT$500)))</f>
        <v/>
      </c>
      <c r="FU17" s="125">
        <f>IF(OR(FU$4="",$B17=""),0,SUMIF('DADOS BRUTOS'!$A$3:$A$500,$B17,'DADOS BRUTOS'!CU$3:CU$500)+IF($C17="",0,SUMIF('DADOS BRUTOS'!$A$3:$A$500,$C17,'DADOS BRUTOS'!CU$3:CU$500)))</f>
        <v/>
      </c>
      <c r="FV17" s="125">
        <f>IF(OR(FV$4="",$B17=""),0,SUMIF('DADOS BRUTOS'!$A$3:$A$500,$B17,'DADOS BRUTOS'!CV$3:CV$500)+IF($C17="",0,SUMIF('DADOS BRUTOS'!$A$3:$A$500,$C17,'DADOS BRUTOS'!CV$3:CV$500)))</f>
        <v/>
      </c>
      <c r="FW17" s="125">
        <f>IF(OR(FW$4="",$B17=""),0,SUMIF('DADOS BRUTOS'!$A$3:$A$500,$B17,'DADOS BRUTOS'!CW$3:CW$500)+IF($C17="",0,SUMIF('DADOS BRUTOS'!$A$3:$A$500,$C17,'DADOS BRUTOS'!CW$3:CW$500)))</f>
        <v/>
      </c>
      <c r="FX17" s="125">
        <f>IF(OR(FX$4="",$B17=""),0,SUMIF('DADOS BRUTOS'!$A$3:$A$500,$B17,'DADOS BRUTOS'!CX$3:CX$500)+IF($C17="",0,SUMIF('DADOS BRUTOS'!$A$3:$A$500,$C17,'DADOS BRUTOS'!CX$3:CX$500)))</f>
        <v/>
      </c>
      <c r="FY17" s="125">
        <f>IF(OR(FY$4="",$B17=""),0,SUMIF('DADOS BRUTOS'!$A$3:$A$500,$B17,'DADOS BRUTOS'!CY$3:CY$500)+IF($C17="",0,SUMIF('DADOS BRUTOS'!$A$3:$A$500,$C17,'DADOS BRUTOS'!CY$3:CY$500)))</f>
        <v/>
      </c>
      <c r="FZ17" s="125">
        <f>IF(OR(FZ$4="",$B17=""),0,SUMIF('DADOS BRUTOS'!$A$3:$A$500,$B17,'DADOS BRUTOS'!CZ$3:CZ$500)+IF($C17="",0,SUMIF('DADOS BRUTOS'!$A$3:$A$500,$C17,'DADOS BRUTOS'!CZ$3:CZ$500)))</f>
        <v/>
      </c>
      <c r="GA17" s="125">
        <f>IF(OR(GA$4="",$B17=""),0,SUMIF('DADOS BRUTOS'!$A$3:$A$500,$B17,'DADOS BRUTOS'!DA$3:DA$500)+IF($C17="",0,SUMIF('DADOS BRUTOS'!$A$3:$A$500,$C17,'DADOS BRUTOS'!DA$3:DA$500)))</f>
        <v/>
      </c>
      <c r="GB17" s="125">
        <f>IF(OR(GB$4="",$B17=""),0,SUMIF('DADOS BRUTOS'!$A$3:$A$500,$B17,'DADOS BRUTOS'!DB$3:DB$500)+IF($C17="",0,SUMIF('DADOS BRUTOS'!$A$3:$A$500,$C17,'DADOS BRUTOS'!DB$3:DB$500)))</f>
        <v/>
      </c>
      <c r="GC17" s="125">
        <f>IF(OR(GC$4="",$B17=""),0,SUMIF('DADOS BRUTOS'!$A$3:$A$500,$B17,'DADOS BRUTOS'!DC$3:DC$500)+IF($C17="",0,SUMIF('DADOS BRUTOS'!$A$3:$A$500,$C17,'DADOS BRUTOS'!DC$3:DC$500)))</f>
        <v/>
      </c>
      <c r="GD17" s="125">
        <f>IF(OR(GD$4="",$B17=""),0,SUMIF('DADOS BRUTOS'!$A$3:$A$500,$B17,'DADOS BRUTOS'!DD$3:DD$500)+IF($C17="",0,SUMIF('DADOS BRUTOS'!$A$3:$A$500,$C17,'DADOS BRUTOS'!DD$3:DD$500)))</f>
        <v/>
      </c>
      <c r="GE17" s="125">
        <f>IF(OR(GE$4="",$B17=""),0,SUMIF('DADOS BRUTOS'!$A$3:$A$500,$B17,'DADOS BRUTOS'!DE$3:DE$500)+IF($C17="",0,SUMIF('DADOS BRUTOS'!$A$3:$A$500,$C17,'DADOS BRUTOS'!DE$3:DE$500)))</f>
        <v/>
      </c>
      <c r="GF17" s="125">
        <f>IF(OR(GF$4="",$B17=""),0,SUMIF('DADOS BRUTOS'!$A$3:$A$500,$B17,'DADOS BRUTOS'!DF$3:DF$500)+IF($C17="",0,SUMIF('DADOS BRUTOS'!$A$3:$A$500,$C17,'DADOS BRUTOS'!DF$3:DF$500)))</f>
        <v/>
      </c>
      <c r="GG17" s="125">
        <f>IF(OR(GG$4="",$B17=""),0,SUMIF('DADOS BRUTOS'!$A$3:$A$500,$B17,'DADOS BRUTOS'!DG$3:DG$500)+IF($C17="",0,SUMIF('DADOS BRUTOS'!$A$3:$A$500,$C17,'DADOS BRUTOS'!DG$3:DG$500)))</f>
        <v/>
      </c>
      <c r="GH17" s="125">
        <f>IF(OR(GH$4="",$B17=""),0,SUMIF('DADOS BRUTOS'!$A$3:$A$500,$B17,'DADOS BRUTOS'!DH$3:DH$500)+IF($C17="",0,SUMIF('DADOS BRUTOS'!$A$3:$A$500,$C17,'DADOS BRUTOS'!DH$3:DH$500)))</f>
        <v/>
      </c>
      <c r="GI17" s="125">
        <f>IF(OR(GI$4="",$B17=""),0,SUMIF('DADOS BRUTOS'!$A$3:$A$500,$B17,'DADOS BRUTOS'!DI$3:DI$500)+IF($C17="",0,SUMIF('DADOS BRUTOS'!$A$3:$A$500,$C17,'DADOS BRUTOS'!DI$3:DI$500)))</f>
        <v/>
      </c>
      <c r="GJ17" s="125">
        <f>IF(OR(GJ$4="",$B17=""),0,SUMIF('DADOS BRUTOS'!$A$3:$A$500,$B17,'DADOS BRUTOS'!DJ$3:DJ$500)+IF($C17="",0,SUMIF('DADOS BRUTOS'!$A$3:$A$500,$C17,'DADOS BRUTOS'!DJ$3:DJ$500)))</f>
        <v/>
      </c>
      <c r="GK17" s="125">
        <f>IF(OR(GK$4="",$B17=""),0,SUMIF('DADOS BRUTOS'!$A$3:$A$500,$B17,'DADOS BRUTOS'!DK$3:DK$500)+IF($C17="",0,SUMIF('DADOS BRUTOS'!$A$3:$A$500,$C17,'DADOS BRUTOS'!DK$3:DK$500)))</f>
        <v/>
      </c>
      <c r="GL17" s="125">
        <f>IF(OR(GL$4="",$B17=""),0,SUMIF('DADOS BRUTOS'!$A$3:$A$500,$B17,'DADOS BRUTOS'!DL$3:DL$500)+IF($C17="",0,SUMIF('DADOS BRUTOS'!$A$3:$A$500,$C17,'DADOS BRUTOS'!DL$3:DL$500)))</f>
        <v/>
      </c>
      <c r="GM17" s="125">
        <f>IF(OR(GM$4="",$B17=""),0,SUMIF('DADOS BRUTOS'!$A$3:$A$500,$B17,'DADOS BRUTOS'!DM$3:DM$500)+IF($C17="",0,SUMIF('DADOS BRUTOS'!$A$3:$A$500,$C17,'DADOS BRUTOS'!DM$3:DM$500)))</f>
        <v/>
      </c>
      <c r="GN17" s="125">
        <f>IF(OR(GN$4="",$B17=""),0,SUMIF('DADOS BRUTOS'!$A$3:$A$500,$B17,'DADOS BRUTOS'!DN$3:DN$500)+IF($C17="",0,SUMIF('DADOS BRUTOS'!$A$3:$A$500,$C17,'DADOS BRUTOS'!DN$3:DN$500)))</f>
        <v/>
      </c>
      <c r="GO17" s="125">
        <f>IF(OR(GO$4="",$B17=""),0,SUMIF('DADOS BRUTOS'!$A$3:$A$500,$B17,'DADOS BRUTOS'!DO$3:DO$500)+IF($C17="",0,SUMIF('DADOS BRUTOS'!$A$3:$A$500,$C17,'DADOS BRUTOS'!DO$3:DO$500)))</f>
        <v/>
      </c>
      <c r="GP17" s="125">
        <f>IF(OR(GP$4="",$B17=""),0,SUMIF('DADOS BRUTOS'!$A$3:$A$500,$B17,'DADOS BRUTOS'!DP$3:DP$500)+IF($C17="",0,SUMIF('DADOS BRUTOS'!$A$3:$A$500,$C17,'DADOS BRUTOS'!DP$3:DP$500)))</f>
        <v/>
      </c>
      <c r="GQ17" s="125">
        <f>IF(OR(GQ$4="",$B17=""),0,SUMIF('DADOS BRUTOS'!$A$3:$A$500,$B17,'DADOS BRUTOS'!DQ$3:DQ$500)+IF($C17="",0,SUMIF('DADOS BRUTOS'!$A$3:$A$500,$C17,'DADOS BRUTOS'!DQ$3:DQ$500)))</f>
        <v/>
      </c>
      <c r="GR17" s="125">
        <f>IF(OR(GR$4="",$B17=""),0,SUMIF('DADOS BRUTOS'!$A$3:$A$500,$B17,'DADOS BRUTOS'!DR$3:DR$500)+IF($C17="",0,SUMIF('DADOS BRUTOS'!$A$3:$A$500,$C17,'DADOS BRUTOS'!DR$3:DR$500)))</f>
        <v/>
      </c>
      <c r="GS17" s="125">
        <f>IF(OR(GS$4="",$B17=""),0,SUMIF('DADOS BRUTOS'!$A$3:$A$500,$B17,'DADOS BRUTOS'!DS$3:DS$500)+IF($C17="",0,SUMIF('DADOS BRUTOS'!$A$3:$A$500,$C17,'DADOS BRUTOS'!DS$3:DS$500)))</f>
        <v/>
      </c>
      <c r="GT17" s="125">
        <f>IF(OR(GT$4="",$B17=""),0,SUMIF('DADOS BRUTOS'!$A$3:$A$500,$B17,'DADOS BRUTOS'!DT$3:DT$500)+IF($C17="",0,SUMIF('DADOS BRUTOS'!$A$3:$A$500,$C17,'DADOS BRUTOS'!DT$3:DT$500)))</f>
        <v/>
      </c>
      <c r="GU17" s="125">
        <f>IF(OR(GU$4="",$B17=""),0,SUMIF('DADOS BRUTOS'!$A$3:$A$500,$B17,'DADOS BRUTOS'!DU$3:DU$500)+IF($C17="",0,SUMIF('DADOS BRUTOS'!$A$3:$A$500,$C17,'DADOS BRUTOS'!DU$3:DU$500)))</f>
        <v/>
      </c>
      <c r="GV17" s="125">
        <f>IF(OR(GV$4="",$B17=""),0,SUMIF('DADOS BRUTOS'!$A$3:$A$500,$B17,'DADOS BRUTOS'!DV$3:DV$500)+IF($C17="",0,SUMIF('DADOS BRUTOS'!$A$3:$A$500,$C17,'DADOS BRUTOS'!DV$3:DV$500)))</f>
        <v/>
      </c>
      <c r="GW17" s="125">
        <f>IF(OR(GW$4="",$B17=""),0,SUMIF('DADOS BRUTOS'!$A$3:$A$500,$B17,'DADOS BRUTOS'!DW$3:DW$500)+IF($C17="",0,SUMIF('DADOS BRUTOS'!$A$3:$A$500,$C17,'DADOS BRUTOS'!DW$3:DW$500)))</f>
        <v/>
      </c>
      <c r="GX17" s="125">
        <f>IF(OR(GX$4="",$B17=""),0,SUMIF('DADOS BRUTOS'!$A$3:$A$500,$B17,'DADOS BRUTOS'!DX$3:DX$500)+IF($C17="",0,SUMIF('DADOS BRUTOS'!$A$3:$A$500,$C17,'DADOS BRUTOS'!DX$3:DX$500)))</f>
        <v/>
      </c>
      <c r="GY17" s="125">
        <f>IF(OR(GY$4="",$B17=""),0,SUMIF('DADOS BRUTOS'!$A$3:$A$500,$B17,'DADOS BRUTOS'!DY$3:DY$500)+IF($C17="",0,SUMIF('DADOS BRUTOS'!$A$3:$A$500,$C17,'DADOS BRUTOS'!DY$3:DY$500)))</f>
        <v/>
      </c>
      <c r="GZ17" s="125">
        <f>IF(OR(GZ$4="",$B17=""),0,SUMIF('DADOS BRUTOS'!$A$3:$A$500,$B17,'DADOS BRUTOS'!DZ$3:DZ$500)+IF($C17="",0,SUMIF('DADOS BRUTOS'!$A$3:$A$500,$C17,'DADOS BRUTOS'!DZ$3:DZ$500)))</f>
        <v/>
      </c>
      <c r="HA17" s="125">
        <f>IF(OR(HA$4="",$B17=""),0,SUMIF('DADOS BRUTOS'!$A$3:$A$500,$B17,'DADOS BRUTOS'!EA$3:EA$500)+IF($C17="",0,SUMIF('DADOS BRUTOS'!$A$3:$A$500,$C17,'DADOS BRUTOS'!EA$3:EA$500)))</f>
        <v/>
      </c>
      <c r="HB17" s="125">
        <f>IF(OR(HB$4="",$B17=""),0,SUMIF('DADOS BRUTOS'!$A$3:$A$500,$B17,'DADOS BRUTOS'!EB$3:EB$500)+IF($C17="",0,SUMIF('DADOS BRUTOS'!$A$3:$A$500,$C17,'DADOS BRUTOS'!EB$3:EB$500)))</f>
        <v/>
      </c>
      <c r="HC17" s="125">
        <f>IF(OR(HC$4="",$B17=""),0,SUMIF('DADOS BRUTOS'!$A$3:$A$500,$B17,'DADOS BRUTOS'!EC$3:EC$500)+IF($C17="",0,SUMIF('DADOS BRUTOS'!$A$3:$A$500,$C17,'DADOS BRUTOS'!EC$3:EC$500)))</f>
        <v/>
      </c>
      <c r="HD17" s="125">
        <f>IF(OR(HD$4="",$B17=""),0,SUMIF('DADOS BRUTOS'!$A$3:$A$500,$B17,'DADOS BRUTOS'!ED$3:ED$500)+IF($C17="",0,SUMIF('DADOS BRUTOS'!$A$3:$A$500,$C17,'DADOS BRUTOS'!ED$3:ED$500)))</f>
        <v/>
      </c>
      <c r="HE17" s="125">
        <f>IF(OR(HE$4="",$B17=""),0,SUMIF('DADOS BRUTOS'!$A$3:$A$500,$B17,'DADOS BRUTOS'!EE$3:EE$500)+IF($C17="",0,SUMIF('DADOS BRUTOS'!$A$3:$A$500,$C17,'DADOS BRUTOS'!EE$3:EE$500)))</f>
        <v/>
      </c>
      <c r="HF17" s="125">
        <f>IF(OR(HF$4="",$B17=""),0,SUMIF('DADOS BRUTOS'!$A$3:$A$500,$B17,'DADOS BRUTOS'!EF$3:EF$500)+IF($C17="",0,SUMIF('DADOS BRUTOS'!$A$3:$A$500,$C17,'DADOS BRUTOS'!EF$3:EF$500)))</f>
        <v/>
      </c>
      <c r="HG17" s="125">
        <f>IF(OR(HG$4="",$B17=""),0,SUMIF('DADOS BRUTOS'!$A$3:$A$500,$B17,'DADOS BRUTOS'!EG$3:EG$500)+IF($C17="",0,SUMIF('DADOS BRUTOS'!$A$3:$A$500,$C17,'DADOS BRUTOS'!EG$3:EG$500)))</f>
        <v/>
      </c>
      <c r="HH17" s="125">
        <f>IF(OR(HH$4="",$B17=""),0,SUMIF('DADOS BRUTOS'!$A$3:$A$500,$B17,'DADOS BRUTOS'!EH$3:EH$500)+IF($C17="",0,SUMIF('DADOS BRUTOS'!$A$3:$A$500,$C17,'DADOS BRUTOS'!EH$3:EH$500)))</f>
        <v/>
      </c>
      <c r="HI17" s="125">
        <f>IF(OR(HI$4="",$B17=""),0,SUMIF('DADOS BRUTOS'!$A$3:$A$500,$B17,'DADOS BRUTOS'!EI$3:EI$500)+IF($C17="",0,SUMIF('DADOS BRUTOS'!$A$3:$A$500,$C17,'DADOS BRUTOS'!EI$3:EI$500)))</f>
        <v/>
      </c>
      <c r="HJ17" s="125">
        <f>IF(OR(HJ$4="",$B17=""),0,SUMIF('DADOS BRUTOS'!$A$3:$A$500,$B17,'DADOS BRUTOS'!EJ$3:EJ$500)+IF($C17="",0,SUMIF('DADOS BRUTOS'!$A$3:$A$500,$C17,'DADOS BRUTOS'!EJ$3:EJ$500)))</f>
        <v/>
      </c>
      <c r="HK17" s="125">
        <f>IF(OR(HK$4="",$B17=""),0,SUMIF('DADOS BRUTOS'!$A$3:$A$500,$B17,'DADOS BRUTOS'!EK$3:EK$500)+IF($C17="",0,SUMIF('DADOS BRUTOS'!$A$3:$A$500,$C17,'DADOS BRUTOS'!EK$3:EK$500)))</f>
        <v/>
      </c>
      <c r="HL17" s="125">
        <f>IF(OR(HL$4="",$B17=""),0,SUMIF('DADOS BRUTOS'!$A$3:$A$500,$B17,'DADOS BRUTOS'!EL$3:EL$500)+IF($C17="",0,SUMIF('DADOS BRUTOS'!$A$3:$A$500,$C17,'DADOS BRUTOS'!EL$3:EL$500)))</f>
        <v/>
      </c>
      <c r="HM17" s="125">
        <f>IF(OR(HM$4="",$B17=""),0,SUMIF('DADOS BRUTOS'!$A$3:$A$500,$B17,'DADOS BRUTOS'!EM$3:EM$500)+IF($C17="",0,SUMIF('DADOS BRUTOS'!$A$3:$A$500,$C17,'DADOS BRUTOS'!EM$3:EM$500)))</f>
        <v/>
      </c>
      <c r="HN17" s="125">
        <f>IF(OR(HN$4="",$B17=""),0,SUMIF('DADOS BRUTOS'!$A$3:$A$500,$B17,'DADOS BRUTOS'!EN$3:EN$500)+IF($C17="",0,SUMIF('DADOS BRUTOS'!$A$3:$A$500,$C17,'DADOS BRUTOS'!EN$3:EN$500)))</f>
        <v/>
      </c>
      <c r="HO17" s="125">
        <f>IF(OR(HO$4="",$B17=""),0,SUMIF('DADOS BRUTOS'!$A$3:$A$500,$B17,'DADOS BRUTOS'!EO$3:EO$500)+IF($C17="",0,SUMIF('DADOS BRUTOS'!$A$3:$A$500,$C17,'DADOS BRUTOS'!EO$3:EO$500)))</f>
        <v/>
      </c>
      <c r="HP17" s="125">
        <f>IF(OR(HP$4="",$B17=""),0,SUMIF('DADOS BRUTOS'!$A$3:$A$500,$B17,'DADOS BRUTOS'!EP$3:EP$500)+IF($C17="",0,SUMIF('DADOS BRUTOS'!$A$3:$A$500,$C17,'DADOS BRUTOS'!EP$3:EP$500)))</f>
        <v/>
      </c>
      <c r="HQ17" s="125">
        <f>IF(OR(HQ$4="",$B17=""),0,SUMIF('DADOS BRUTOS'!$A$3:$A$500,$B17,'DADOS BRUTOS'!EQ$3:EQ$500)+IF($C17="",0,SUMIF('DADOS BRUTOS'!$A$3:$A$500,$C17,'DADOS BRUTOS'!EQ$3:EQ$500)))</f>
        <v/>
      </c>
      <c r="HR17" s="125">
        <f>IF(OR(HR$4="",$B17=""),0,SUMIF('DADOS BRUTOS'!$A$3:$A$500,$B17,'DADOS BRUTOS'!ER$3:ER$500)+IF($C17="",0,SUMIF('DADOS BRUTOS'!$A$3:$A$500,$C17,'DADOS BRUTOS'!ER$3:ER$500)))</f>
        <v/>
      </c>
      <c r="HS17" s="125">
        <f>IF(OR(HS$4="",$B17=""),0,SUMIF('DADOS BRUTOS'!$A$3:$A$500,$B17,'DADOS BRUTOS'!ES$3:ES$500)+IF($C17="",0,SUMIF('DADOS BRUTOS'!$A$3:$A$500,$C17,'DADOS BRUTOS'!ES$3:ES$500)))</f>
        <v/>
      </c>
      <c r="HT17" s="125">
        <f>IF(OR(HT$4="",$B17=""),0,SUMIF('DADOS BRUTOS'!$A$3:$A$500,$B17,'DADOS BRUTOS'!ET$3:ET$500)+IF($C17="",0,SUMIF('DADOS BRUTOS'!$A$3:$A$500,$C17,'DADOS BRUTOS'!ET$3:ET$500)))</f>
        <v/>
      </c>
      <c r="HU17" s="125">
        <f>IF(OR(HU$4="",$B17=""),0,SUMIF('DADOS BRUTOS'!$A$3:$A$500,$B17,'DADOS BRUTOS'!EU$3:EU$500)+IF($C17="",0,SUMIF('DADOS BRUTOS'!$A$3:$A$500,$C17,'DADOS BRUTOS'!EU$3:EU$500)))</f>
        <v/>
      </c>
      <c r="HV17" s="125">
        <f>IF(OR(HV$4="",$B17=""),0,SUMIF('DADOS BRUTOS'!$A$3:$A$500,$B17,'DADOS BRUTOS'!EV$3:EV$500)+IF($C17="",0,SUMIF('DADOS BRUTOS'!$A$3:$A$500,$C17,'DADOS BRUTOS'!EV$3:EV$500)))</f>
        <v/>
      </c>
      <c r="HW17" s="125">
        <f>IF(OR(HW$4="",$B17=""),0,SUMIF('DADOS BRUTOS'!$A$3:$A$500,$B17,'DADOS BRUTOS'!EW$3:EW$500)+IF($C17="",0,SUMIF('DADOS BRUTOS'!$A$3:$A$500,$C17,'DADOS BRUTOS'!EW$3:EW$500)))</f>
        <v/>
      </c>
      <c r="HX17" s="125">
        <f>IF(OR(HX$4="",$B17=""),0,SUMIF('DADOS BRUTOS'!$A$3:$A$500,$B17,'DADOS BRUTOS'!EX$3:EX$500)+IF($C17="",0,SUMIF('DADOS BRUTOS'!$A$3:$A$500,$C17,'DADOS BRUTOS'!EX$3:EX$500)))</f>
        <v/>
      </c>
      <c r="HY17" s="125">
        <f>IF(OR(HY$4="",$B17=""),0,SUMIF('DADOS BRUTOS'!$A$3:$A$500,$B17,'DADOS BRUTOS'!EY$3:EY$500)+IF($C17="",0,SUMIF('DADOS BRUTOS'!$A$3:$A$500,$C17,'DADOS BRUTOS'!EY$3:EY$500)))</f>
        <v/>
      </c>
      <c r="HZ17" s="125">
        <f>IF(OR(HZ$4="",$B17=""),0,SUMIF('DADOS BRUTOS'!$A$3:$A$500,$B17,'DADOS BRUTOS'!EZ$3:EZ$500)+IF($C17="",0,SUMIF('DADOS BRUTOS'!$A$3:$A$500,$C17,'DADOS BRUTOS'!EZ$3:EZ$500)))</f>
        <v/>
      </c>
      <c r="IA17" s="125">
        <f>IF(OR(IA$4="",$B17=""),0,SUMIF('DADOS BRUTOS'!$A$3:$A$500,$B17,'DADOS BRUTOS'!FA$3:FA$500)+IF($C17="",0,SUMIF('DADOS BRUTOS'!$A$3:$A$500,$C17,'DADOS BRUTOS'!FA$3:FA$500)))</f>
        <v/>
      </c>
      <c r="IB17" s="125">
        <f>IF(OR(IB$4="",$B17=""),0,SUMIF('DADOS BRUTOS'!$A$3:$A$500,$B17,'DADOS BRUTOS'!FB$3:FB$500)+IF($C17="",0,SUMIF('DADOS BRUTOS'!$A$3:$A$500,$C17,'DADOS BRUTOS'!FB$3:FB$500)))</f>
        <v/>
      </c>
      <c r="IC17" s="125">
        <f>IF(OR(IC$4="",$B17=""),0,SUMIF('DADOS BRUTOS'!$A$3:$A$500,$B17,'DADOS BRUTOS'!FC$3:FC$500)+IF($C17="",0,SUMIF('DADOS BRUTOS'!$A$3:$A$500,$C17,'DADOS BRUTOS'!FC$3:FC$500)))</f>
        <v/>
      </c>
      <c r="ID17" s="125">
        <f>IF(OR(ID$4="",$B17=""),0,SUMIF('DADOS BRUTOS'!$A$3:$A$500,$B17,'DADOS BRUTOS'!FD$3:FD$500)+IF($C17="",0,SUMIF('DADOS BRUTOS'!$A$3:$A$500,$C17,'DADOS BRUTOS'!FD$3:FD$500)))</f>
        <v/>
      </c>
      <c r="IE17" s="125">
        <f>IF(OR(IE$4="",$B17=""),0,SUMIF('DADOS BRUTOS'!$A$3:$A$500,$B17,'DADOS BRUTOS'!FE$3:FE$500)+IF($C17="",0,SUMIF('DADOS BRUTOS'!$A$3:$A$500,$C17,'DADOS BRUTOS'!FE$3:FE$500)))</f>
        <v/>
      </c>
      <c r="IF17" s="125">
        <f>IF(OR(IF$4="",$B17=""),0,SUMIF('DADOS BRUTOS'!$A$3:$A$500,$B17,'DADOS BRUTOS'!FF$3:FF$500)+IF($C17="",0,SUMIF('DADOS BRUTOS'!$A$3:$A$500,$C17,'DADOS BRUTOS'!FF$3:FF$500)))</f>
        <v/>
      </c>
      <c r="IG17" s="125">
        <f>IF(OR(IG$4="",$B17=""),0,SUMIF('DADOS BRUTOS'!$A$3:$A$500,$B17,'DADOS BRUTOS'!FG$3:FG$500)+IF($C17="",0,SUMIF('DADOS BRUTOS'!$A$3:$A$500,$C17,'DADOS BRUTOS'!FG$3:FG$500)))</f>
        <v/>
      </c>
      <c r="IH17" s="125">
        <f>IF(OR(IH$4="",$B17=""),0,SUMIF('DADOS BRUTOS'!$A$3:$A$500,$B17,'DADOS BRUTOS'!FH$3:FH$500)+IF($C17="",0,SUMIF('DADOS BRUTOS'!$A$3:$A$500,$C17,'DADOS BRUTOS'!FH$3:FH$500)))</f>
        <v/>
      </c>
      <c r="II17" s="125">
        <f>IF(OR(II$4="",$B17=""),0,SUMIF('DADOS BRUTOS'!$A$3:$A$500,$B17,'DADOS BRUTOS'!FI$3:FI$500)+IF($C17="",0,SUMIF('DADOS BRUTOS'!$A$3:$A$500,$C17,'DADOS BRUTOS'!FI$3:FI$500)))</f>
        <v/>
      </c>
      <c r="IJ17" s="125">
        <f>IF(OR(IJ$4="",$B17=""),0,SUMIF('DADOS BRUTOS'!$A$3:$A$500,$B17,'DADOS BRUTOS'!FJ$3:FJ$500)+IF($C17="",0,SUMIF('DADOS BRUTOS'!$A$3:$A$500,$C17,'DADOS BRUTOS'!FJ$3:FJ$500)))</f>
        <v/>
      </c>
      <c r="IK17" s="125">
        <f>IF(OR(IK$4="",$B17=""),0,SUMIF('DADOS BRUTOS'!$A$3:$A$500,$B17,'DADOS BRUTOS'!FK$3:FK$500)+IF($C17="",0,SUMIF('DADOS BRUTOS'!$A$3:$A$500,$C17,'DADOS BRUTOS'!FK$3:FK$500)))</f>
        <v/>
      </c>
      <c r="IL17" s="125">
        <f>IF(OR(IL$4="",$B17=""),0,SUMIF('DADOS BRUTOS'!$A$3:$A$500,$B17,'DADOS BRUTOS'!FL$3:FL$500)+IF($C17="",0,SUMIF('DADOS BRUTOS'!$A$3:$A$500,$C17,'DADOS BRUTOS'!FL$3:FL$500)))</f>
        <v/>
      </c>
      <c r="IM17" s="125">
        <f>IF(OR(IM$4="",$B17=""),0,SUMIF('DADOS BRUTOS'!$A$3:$A$500,$B17,'DADOS BRUTOS'!FM$3:FM$500)+IF($C17="",0,SUMIF('DADOS BRUTOS'!$A$3:$A$500,$C17,'DADOS BRUTOS'!FM$3:FM$500)))</f>
        <v/>
      </c>
      <c r="IN17" s="125">
        <f>IF(OR(IN$4="",$B17=""),0,SUMIF('DADOS BRUTOS'!$A$3:$A$500,$B17,'DADOS BRUTOS'!FN$3:FN$500)+IF($C17="",0,SUMIF('DADOS BRUTOS'!$A$3:$A$500,$C17,'DADOS BRUTOS'!FN$3:FN$500)))</f>
        <v/>
      </c>
      <c r="IO17" s="125">
        <f>IF(OR(IO$4="",$B17=""),0,SUMIF('DADOS BRUTOS'!$A$3:$A$500,$B17,'DADOS BRUTOS'!FO$3:FO$500)+IF($C17="",0,SUMIF('DADOS BRUTOS'!$A$3:$A$500,$C17,'DADOS BRUTOS'!FO$3:FO$500)))</f>
        <v/>
      </c>
      <c r="IP17" s="125">
        <f>IF(OR(IP$4="",$B17=""),0,SUMIF('DADOS BRUTOS'!$A$3:$A$500,$B17,'DADOS BRUTOS'!FP$3:FP$500)+IF($C17="",0,SUMIF('DADOS BRUTOS'!$A$3:$A$500,$C17,'DADOS BRUTOS'!FP$3:FP$500)))</f>
        <v/>
      </c>
      <c r="IQ17" s="125">
        <f>IF(OR(IQ$4="",$B17=""),0,SUMIF('DADOS BRUTOS'!$A$3:$A$500,$B17,'DADOS BRUTOS'!FQ$3:FQ$500)+IF($C17="",0,SUMIF('DADOS BRUTOS'!$A$3:$A$500,$C17,'DADOS BRUTOS'!FQ$3:FQ$500)))</f>
        <v/>
      </c>
      <c r="IR17" s="125">
        <f>IF(OR(IR$4="",$B17=""),0,SUMIF('DADOS BRUTOS'!$A$3:$A$500,$B17,'DADOS BRUTOS'!FR$3:FR$500)+IF($C17="",0,SUMIF('DADOS BRUTOS'!$A$3:$A$500,$C17,'DADOS BRUTOS'!FR$3:FR$500)))</f>
        <v/>
      </c>
      <c r="IS17" s="125">
        <f>IF(OR(IS$4="",$B17=""),0,SUMIF('DADOS BRUTOS'!$A$3:$A$500,$B17,'DADOS BRUTOS'!FS$3:FS$500)+IF($C17="",0,SUMIF('DADOS BRUTOS'!$A$3:$A$500,$C17,'DADOS BRUTOS'!FS$3:FS$500)))</f>
        <v/>
      </c>
      <c r="IT17" s="125">
        <f>IF(OR(IT$4="",$B17=""),0,SUMIF('DADOS BRUTOS'!$A$3:$A$500,$B17,'DADOS BRUTOS'!FT$3:FT$500)+IF($C17="",0,SUMIF('DADOS BRUTOS'!$A$3:$A$500,$C17,'DADOS BRUTOS'!FT$3:FT$500)))</f>
        <v/>
      </c>
      <c r="IU17" s="125">
        <f>IF(OR(IU$4="",$B17=""),0,SUMIF('DADOS BRUTOS'!$A$3:$A$500,$B17,'DADOS BRUTOS'!FU$3:FU$500)+IF($C17="",0,SUMIF('DADOS BRUTOS'!$A$3:$A$500,$C17,'DADOS BRUTOS'!FU$3:FU$500)))</f>
        <v/>
      </c>
      <c r="IV17" s="125">
        <f>IF(OR(IV$4="",$B17=""),0,SUMIF('DADOS BRUTOS'!$A$3:$A$500,$B17,'DADOS BRUTOS'!FV$3:FV$500)+IF($C17="",0,SUMIF('DADOS BRUTOS'!$A$3:$A$500,$C17,'DADOS BRUTOS'!FV$3:FV$500)))</f>
        <v/>
      </c>
      <c r="IW17" s="125">
        <f>IF(OR(IW$4="",$B17=""),0,SUMIF('DADOS BRUTOS'!$A$3:$A$500,$B17,'DADOS BRUTOS'!FW$3:FW$500)+IF($C17="",0,SUMIF('DADOS BRUTOS'!$A$3:$A$500,$C17,'DADOS BRUTOS'!FW$3:FW$500)))</f>
        <v/>
      </c>
      <c r="IX17" s="125">
        <f>IF(OR(IX$4="",$B17=""),0,SUMIF('DADOS BRUTOS'!$A$3:$A$500,$B17,'DADOS BRUTOS'!FX$3:FX$500)+IF($C17="",0,SUMIF('DADOS BRUTOS'!$A$3:$A$500,$C17,'DADOS BRUTOS'!FX$3:FX$500)))</f>
        <v/>
      </c>
      <c r="IY17" s="125">
        <f>IF(OR(IY$4="",$B17=""),0,SUMIF('DADOS BRUTOS'!$A$3:$A$500,$B17,'DADOS BRUTOS'!FY$3:FY$500)+IF($C17="",0,SUMIF('DADOS BRUTOS'!$A$3:$A$500,$C17,'DADOS BRUTOS'!FY$3:FY$500)))</f>
        <v/>
      </c>
      <c r="IZ17" s="125">
        <f>IF(OR(IZ$4="",$B17=""),0,SUMIF('DADOS BRUTOS'!$A$3:$A$500,$B17,'DADOS BRUTOS'!FZ$3:FZ$500)+IF($C17="",0,SUMIF('DADOS BRUTOS'!$A$3:$A$500,$C17,'DADOS BRUTOS'!FZ$3:FZ$500)))</f>
        <v/>
      </c>
      <c r="JA17" s="125">
        <f>IF(OR(JA$4="",$B17=""),0,SUMIF('DADOS BRUTOS'!$A$3:$A$500,$B17,'DADOS BRUTOS'!GA$3:GA$500)+IF($C17="",0,SUMIF('DADOS BRUTOS'!$A$3:$A$500,$C17,'DADOS BRUTOS'!GA$3:GA$500)))</f>
        <v/>
      </c>
      <c r="JB17" s="125">
        <f>IF(OR(JB$4="",$B17=""),0,SUMIF('DADOS BRUTOS'!$A$3:$A$500,$B17,'DADOS BRUTOS'!GB$3:GB$500)+IF($C17="",0,SUMIF('DADOS BRUTOS'!$A$3:$A$500,$C17,'DADOS BRUTOS'!GB$3:GB$500)))</f>
        <v/>
      </c>
      <c r="JC17" s="125">
        <f>IF(OR(JC$4="",$B17=""),0,SUMIF('DADOS BRUTOS'!$A$3:$A$500,$B17,'DADOS BRUTOS'!GC$3:GC$500)+IF($C17="",0,SUMIF('DADOS BRUTOS'!$A$3:$A$500,$C17,'DADOS BRUTOS'!GC$3:GC$500)))</f>
        <v/>
      </c>
      <c r="JD17" s="125">
        <f>IF(OR(JD$4="",$B17=""),0,SUMIF('DADOS BRUTOS'!$A$3:$A$500,$B17,'DADOS BRUTOS'!GD$3:GD$500)+IF($C17="",0,SUMIF('DADOS BRUTOS'!$A$3:$A$500,$C17,'DADOS BRUTOS'!GD$3:GD$500)))</f>
        <v/>
      </c>
      <c r="JE17" s="125">
        <f>IF(OR(JE$4="",$B17=""),0,SUMIF('DADOS BRUTOS'!$A$3:$A$500,$B17,'DADOS BRUTOS'!GE$3:GE$500)+IF($C17="",0,SUMIF('DADOS BRUTOS'!$A$3:$A$500,$C17,'DADOS BRUTOS'!GE$3:GE$500)))</f>
        <v/>
      </c>
      <c r="JF17" s="125">
        <f>IF(OR(JF$4="",$B17=""),0,SUMIF('DADOS BRUTOS'!$A$3:$A$500,$B17,'DADOS BRUTOS'!GF$3:GF$500)+IF($C17="",0,SUMIF('DADOS BRUTOS'!$A$3:$A$500,$C17,'DADOS BRUTOS'!GF$3:GF$500)))</f>
        <v/>
      </c>
      <c r="JG17" s="125">
        <f>IF(OR(JG$4="",$B17=""),0,SUMIF('DADOS BRUTOS'!$A$3:$A$500,$B17,'DADOS BRUTOS'!GG$3:GG$500)+IF($C17="",0,SUMIF('DADOS BRUTOS'!$A$3:$A$500,$C17,'DADOS BRUTOS'!GG$3:GG$500)))</f>
        <v/>
      </c>
      <c r="JH17" s="125">
        <f>IF(OR(JH$4="",$B17=""),0,SUMIF('DADOS BRUTOS'!$A$3:$A$500,$B17,'DADOS BRUTOS'!GH$3:GH$500)+IF($C17="",0,SUMIF('DADOS BRUTOS'!$A$3:$A$500,$C17,'DADOS BRUTOS'!GH$3:GH$500)))</f>
        <v/>
      </c>
      <c r="JI17" s="125">
        <f>IF(OR(JI$4="",$B17=""),0,SUMIF('DADOS BRUTOS'!$A$3:$A$500,$B17,'DADOS BRUTOS'!GI$3:GI$500)+IF($C17="",0,SUMIF('DADOS BRUTOS'!$A$3:$A$500,$C17,'DADOS BRUTOS'!GI$3:GI$500)))</f>
        <v/>
      </c>
      <c r="JJ17" s="125">
        <f>IF(OR(JJ$4="",$B17=""),0,SUMIF('DADOS BRUTOS'!$A$3:$A$500,$B17,'DADOS BRUTOS'!GJ$3:GJ$500)+IF($C17="",0,SUMIF('DADOS BRUTOS'!$A$3:$A$500,$C17,'DADOS BRUTOS'!GJ$3:GJ$500)))</f>
        <v/>
      </c>
      <c r="JK17" s="125">
        <f>IF(OR(JK$4="",$B17=""),0,SUMIF('DADOS BRUTOS'!$A$3:$A$500,$B17,'DADOS BRUTOS'!GK$3:GK$500)+IF($C17="",0,SUMIF('DADOS BRUTOS'!$A$3:$A$500,$C17,'DADOS BRUTOS'!GK$3:GK$500)))</f>
        <v/>
      </c>
      <c r="JL17" s="125">
        <f>IF(OR(JL$4="",$B17=""),0,SUMIF('DADOS BRUTOS'!$A$3:$A$500,$B17,'DADOS BRUTOS'!GL$3:GL$500)+IF($C17="",0,SUMIF('DADOS BRUTOS'!$A$3:$A$500,$C17,'DADOS BRUTOS'!GL$3:GL$500)))</f>
        <v/>
      </c>
      <c r="JM17" s="125">
        <f>IF(OR(JM$4="",$B17=""),0,SUMIF('DADOS BRUTOS'!$A$3:$A$500,$B17,'DADOS BRUTOS'!GM$3:GM$500)+IF($C17="",0,SUMIF('DADOS BRUTOS'!$A$3:$A$500,$C17,'DADOS BRUTOS'!GM$3:GM$500)))</f>
        <v/>
      </c>
      <c r="JN17" s="125">
        <f>IF(OR(JN$4="",$B17=""),0,SUMIF('DADOS BRUTOS'!$A$3:$A$500,$B17,'DADOS BRUTOS'!GN$3:GN$500)+IF($C17="",0,SUMIF('DADOS BRUTOS'!$A$3:$A$500,$C17,'DADOS BRUTOS'!GN$3:GN$500)))</f>
        <v/>
      </c>
      <c r="JO17" s="125">
        <f>IF(OR(JO$4="",$B17=""),0,SUMIF('DADOS BRUTOS'!$A$3:$A$500,$B17,'DADOS BRUTOS'!GO$3:GO$500)+IF($C17="",0,SUMIF('DADOS BRUTOS'!$A$3:$A$500,$C17,'DADOS BRUTOS'!GO$3:GO$500)))</f>
        <v/>
      </c>
      <c r="JP17" s="125">
        <f>IF(OR(JP$4="",$B17=""),0,SUMIF('DADOS BRUTOS'!$A$3:$A$500,$B17,'DADOS BRUTOS'!GP$3:GP$500)+IF($C17="",0,SUMIF('DADOS BRUTOS'!$A$3:$A$500,$C17,'DADOS BRUTOS'!GP$3:GP$500)))</f>
        <v/>
      </c>
      <c r="JQ17" s="125">
        <f>IF(OR(JQ$4="",$B17=""),0,SUMIF('DADOS BRUTOS'!$A$3:$A$500,$B17,'DADOS BRUTOS'!GQ$3:GQ$500)+IF($C17="",0,SUMIF('DADOS BRUTOS'!$A$3:$A$500,$C17,'DADOS BRUTOS'!GQ$3:GQ$500)))</f>
        <v/>
      </c>
      <c r="JR17" s="125">
        <f>IF(OR(JR$4="",$B17=""),0,SUMIF('DADOS BRUTOS'!$A$3:$A$500,$B17,'DADOS BRUTOS'!GR$3:GR$500)+IF($C17="",0,SUMIF('DADOS BRUTOS'!$A$3:$A$500,$C17,'DADOS BRUTOS'!GR$3:GR$500)))</f>
        <v/>
      </c>
      <c r="JS17" s="125">
        <f>IF(OR(JS$4="",$B17=""),0,SUMIF('DADOS BRUTOS'!$A$3:$A$500,$B17,'DADOS BRUTOS'!GS$3:GS$500)+IF($C17="",0,SUMIF('DADOS BRUTOS'!$A$3:$A$500,$C17,'DADOS BRUTOS'!GS$3:GS$500)))</f>
        <v/>
      </c>
    </row>
    <row r="18">
      <c r="A18" s="61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BZ18" s="49">
        <f>SUMPRODUCT(($CB$4:$JS$4&lt;&gt;"")*($CB$4:$JS$4&lt;=$D$4),$CB18:$JS18,$CB$1:$JS$1)</f>
        <v/>
      </c>
      <c r="CB18" s="125">
        <f>IF(OR(CB$4="",$B18=""),0,SUMIF('DADOS BRUTOS'!$A$3:$A$500,$B18,'DADOS BRUTOS'!B$3:B$500)+IF($C18="",0,SUMIF('DADOS BRUTOS'!$A$3:$A$500,$C18,'DADOS BRUTOS'!B$3:B$500)))</f>
        <v/>
      </c>
      <c r="CC18" s="125">
        <f>IF(OR(CC$4="",$B18=""),0,SUMIF('DADOS BRUTOS'!$A$3:$A$500,$B18,'DADOS BRUTOS'!C$3:C$500)+IF($C18="",0,SUMIF('DADOS BRUTOS'!$A$3:$A$500,$C18,'DADOS BRUTOS'!C$3:C$500)))</f>
        <v/>
      </c>
      <c r="CD18" s="125">
        <f>IF(OR(CD$4="",$B18=""),0,SUMIF('DADOS BRUTOS'!$A$3:$A$500,$B18,'DADOS BRUTOS'!D$3:D$500)+IF($C18="",0,SUMIF('DADOS BRUTOS'!$A$3:$A$500,$C18,'DADOS BRUTOS'!D$3:D$500)))</f>
        <v/>
      </c>
      <c r="CE18" s="125">
        <f>IF(OR(CE$4="",$B18=""),0,SUMIF('DADOS BRUTOS'!$A$3:$A$500,$B18,'DADOS BRUTOS'!E$3:E$500)+IF($C18="",0,SUMIF('DADOS BRUTOS'!$A$3:$A$500,$C18,'DADOS BRUTOS'!E$3:E$500)))</f>
        <v/>
      </c>
      <c r="CF18" s="125">
        <f>IF(OR(CF$4="",$B18=""),0,SUMIF('DADOS BRUTOS'!$A$3:$A$500,$B18,'DADOS BRUTOS'!F$3:F$500)+IF($C18="",0,SUMIF('DADOS BRUTOS'!$A$3:$A$500,$C18,'DADOS BRUTOS'!F$3:F$500)))</f>
        <v/>
      </c>
      <c r="CG18" s="125">
        <f>IF(OR(CG$4="",$B18=""),0,SUMIF('DADOS BRUTOS'!$A$3:$A$500,$B18,'DADOS BRUTOS'!G$3:G$500)+IF($C18="",0,SUMIF('DADOS BRUTOS'!$A$3:$A$500,$C18,'DADOS BRUTOS'!G$3:G$500)))</f>
        <v/>
      </c>
      <c r="CH18" s="125">
        <f>IF(OR(CH$4="",$B18=""),0,SUMIF('DADOS BRUTOS'!$A$3:$A$500,$B18,'DADOS BRUTOS'!H$3:H$500)+IF($C18="",0,SUMIF('DADOS BRUTOS'!$A$3:$A$500,$C18,'DADOS BRUTOS'!H$3:H$500)))</f>
        <v/>
      </c>
      <c r="CI18" s="125">
        <f>IF(OR(CI$4="",$B18=""),0,SUMIF('DADOS BRUTOS'!$A$3:$A$500,$B18,'DADOS BRUTOS'!I$3:I$500)+IF($C18="",0,SUMIF('DADOS BRUTOS'!$A$3:$A$500,$C18,'DADOS BRUTOS'!I$3:I$500)))</f>
        <v/>
      </c>
      <c r="CJ18" s="125">
        <f>IF(OR(CJ$4="",$B18=""),0,SUMIF('DADOS BRUTOS'!$A$3:$A$500,$B18,'DADOS BRUTOS'!J$3:J$500)+IF($C18="",0,SUMIF('DADOS BRUTOS'!$A$3:$A$500,$C18,'DADOS BRUTOS'!J$3:J$500)))</f>
        <v/>
      </c>
      <c r="CK18" s="125">
        <f>IF(OR(CK$4="",$B18=""),0,SUMIF('DADOS BRUTOS'!$A$3:$A$500,$B18,'DADOS BRUTOS'!K$3:K$500)+IF($C18="",0,SUMIF('DADOS BRUTOS'!$A$3:$A$500,$C18,'DADOS BRUTOS'!K$3:K$500)))</f>
        <v/>
      </c>
      <c r="CL18" s="125">
        <f>IF(OR(CL$4="",$B18=""),0,SUMIF('DADOS BRUTOS'!$A$3:$A$500,$B18,'DADOS BRUTOS'!L$3:L$500)+IF($C18="",0,SUMIF('DADOS BRUTOS'!$A$3:$A$500,$C18,'DADOS BRUTOS'!L$3:L$500)))</f>
        <v/>
      </c>
      <c r="CM18" s="125">
        <f>IF(OR(CM$4="",$B18=""),0,SUMIF('DADOS BRUTOS'!$A$3:$A$500,$B18,'DADOS BRUTOS'!M$3:M$500)+IF($C18="",0,SUMIF('DADOS BRUTOS'!$A$3:$A$500,$C18,'DADOS BRUTOS'!M$3:M$500)))</f>
        <v/>
      </c>
      <c r="CN18" s="125">
        <f>IF(OR(CN$4="",$B18=""),0,SUMIF('DADOS BRUTOS'!$A$3:$A$500,$B18,'DADOS BRUTOS'!N$3:N$500)+IF($C18="",0,SUMIF('DADOS BRUTOS'!$A$3:$A$500,$C18,'DADOS BRUTOS'!N$3:N$500)))</f>
        <v/>
      </c>
      <c r="CO18" s="125">
        <f>IF(OR(CO$4="",$B18=""),0,SUMIF('DADOS BRUTOS'!$A$3:$A$500,$B18,'DADOS BRUTOS'!O$3:O$500)+IF($C18="",0,SUMIF('DADOS BRUTOS'!$A$3:$A$500,$C18,'DADOS BRUTOS'!O$3:O$500)))</f>
        <v/>
      </c>
      <c r="CP18" s="125">
        <f>IF(OR(CP$4="",$B18=""),0,SUMIF('DADOS BRUTOS'!$A$3:$A$500,$B18,'DADOS BRUTOS'!P$3:P$500)+IF($C18="",0,SUMIF('DADOS BRUTOS'!$A$3:$A$500,$C18,'DADOS BRUTOS'!P$3:P$500)))</f>
        <v/>
      </c>
      <c r="CQ18" s="125">
        <f>IF(OR(CQ$4="",$B18=""),0,SUMIF('DADOS BRUTOS'!$A$3:$A$500,$B18,'DADOS BRUTOS'!Q$3:Q$500)+IF($C18="",0,SUMIF('DADOS BRUTOS'!$A$3:$A$500,$C18,'DADOS BRUTOS'!Q$3:Q$500)))</f>
        <v/>
      </c>
      <c r="CR18" s="125">
        <f>IF(OR(CR$4="",$B18=""),0,SUMIF('DADOS BRUTOS'!$A$3:$A$500,$B18,'DADOS BRUTOS'!R$3:R$500)+IF($C18="",0,SUMIF('DADOS BRUTOS'!$A$3:$A$500,$C18,'DADOS BRUTOS'!R$3:R$500)))</f>
        <v/>
      </c>
      <c r="CS18" s="125">
        <f>IF(OR(CS$4="",$B18=""),0,SUMIF('DADOS BRUTOS'!$A$3:$A$500,$B18,'DADOS BRUTOS'!S$3:S$500)+IF($C18="",0,SUMIF('DADOS BRUTOS'!$A$3:$A$500,$C18,'DADOS BRUTOS'!S$3:S$500)))</f>
        <v/>
      </c>
      <c r="CT18" s="125">
        <f>IF(OR(CT$4="",$B18=""),0,SUMIF('DADOS BRUTOS'!$A$3:$A$500,$B18,'DADOS BRUTOS'!T$3:T$500)+IF($C18="",0,SUMIF('DADOS BRUTOS'!$A$3:$A$500,$C18,'DADOS BRUTOS'!T$3:T$500)))</f>
        <v/>
      </c>
      <c r="CU18" s="125">
        <f>IF(OR(CU$4="",$B18=""),0,SUMIF('DADOS BRUTOS'!$A$3:$A$500,$B18,'DADOS BRUTOS'!U$3:U$500)+IF($C18="",0,SUMIF('DADOS BRUTOS'!$A$3:$A$500,$C18,'DADOS BRUTOS'!U$3:U$500)))</f>
        <v/>
      </c>
      <c r="CV18" s="125">
        <f>IF(OR(CV$4="",$B18=""),0,SUMIF('DADOS BRUTOS'!$A$3:$A$500,$B18,'DADOS BRUTOS'!V$3:V$500)+IF($C18="",0,SUMIF('DADOS BRUTOS'!$A$3:$A$500,$C18,'DADOS BRUTOS'!V$3:V$500)))</f>
        <v/>
      </c>
      <c r="CW18" s="125">
        <f>IF(OR(CW$4="",$B18=""),0,SUMIF('DADOS BRUTOS'!$A$3:$A$500,$B18,'DADOS BRUTOS'!W$3:W$500)+IF($C18="",0,SUMIF('DADOS BRUTOS'!$A$3:$A$500,$C18,'DADOS BRUTOS'!W$3:W$500)))</f>
        <v/>
      </c>
      <c r="CX18" s="125">
        <f>IF(OR(CX$4="",$B18=""),0,SUMIF('DADOS BRUTOS'!$A$3:$A$500,$B18,'DADOS BRUTOS'!X$3:X$500)+IF($C18="",0,SUMIF('DADOS BRUTOS'!$A$3:$A$500,$C18,'DADOS BRUTOS'!X$3:X$500)))</f>
        <v/>
      </c>
      <c r="CY18" s="125">
        <f>IF(OR(CY$4="",$B18=""),0,SUMIF('DADOS BRUTOS'!$A$3:$A$500,$B18,'DADOS BRUTOS'!Y$3:Y$500)+IF($C18="",0,SUMIF('DADOS BRUTOS'!$A$3:$A$500,$C18,'DADOS BRUTOS'!Y$3:Y$500)))</f>
        <v/>
      </c>
      <c r="CZ18" s="125">
        <f>IF(OR(CZ$4="",$B18=""),0,SUMIF('DADOS BRUTOS'!$A$3:$A$500,$B18,'DADOS BRUTOS'!Z$3:Z$500)+IF($C18="",0,SUMIF('DADOS BRUTOS'!$A$3:$A$500,$C18,'DADOS BRUTOS'!Z$3:Z$500)))</f>
        <v/>
      </c>
      <c r="DA18" s="125">
        <f>IF(OR(DA$4="",$B18=""),0,SUMIF('DADOS BRUTOS'!$A$3:$A$500,$B18,'DADOS BRUTOS'!AA$3:AA$500)+IF($C18="",0,SUMIF('DADOS BRUTOS'!$A$3:$A$500,$C18,'DADOS BRUTOS'!AA$3:AA$500)))</f>
        <v/>
      </c>
      <c r="DB18" s="125">
        <f>IF(OR(DB$4="",$B18=""),0,SUMIF('DADOS BRUTOS'!$A$3:$A$500,$B18,'DADOS BRUTOS'!AB$3:AB$500)+IF($C18="",0,SUMIF('DADOS BRUTOS'!$A$3:$A$500,$C18,'DADOS BRUTOS'!AB$3:AB$500)))</f>
        <v/>
      </c>
      <c r="DC18" s="125">
        <f>IF(OR(DC$4="",$B18=""),0,SUMIF('DADOS BRUTOS'!$A$3:$A$500,$B18,'DADOS BRUTOS'!AC$3:AC$500)+IF($C18="",0,SUMIF('DADOS BRUTOS'!$A$3:$A$500,$C18,'DADOS BRUTOS'!AC$3:AC$500)))</f>
        <v/>
      </c>
      <c r="DD18" s="125">
        <f>IF(OR(DD$4="",$B18=""),0,SUMIF('DADOS BRUTOS'!$A$3:$A$500,$B18,'DADOS BRUTOS'!AD$3:AD$500)+IF($C18="",0,SUMIF('DADOS BRUTOS'!$A$3:$A$500,$C18,'DADOS BRUTOS'!AD$3:AD$500)))</f>
        <v/>
      </c>
      <c r="DE18" s="125">
        <f>IF(OR(DE$4="",$B18=""),0,SUMIF('DADOS BRUTOS'!$A$3:$A$500,$B18,'DADOS BRUTOS'!AE$3:AE$500)+IF($C18="",0,SUMIF('DADOS BRUTOS'!$A$3:$A$500,$C18,'DADOS BRUTOS'!AE$3:AE$500)))</f>
        <v/>
      </c>
      <c r="DF18" s="125">
        <f>IF(OR(DF$4="",$B18=""),0,SUMIF('DADOS BRUTOS'!$A$3:$A$500,$B18,'DADOS BRUTOS'!AF$3:AF$500)+IF($C18="",0,SUMIF('DADOS BRUTOS'!$A$3:$A$500,$C18,'DADOS BRUTOS'!AF$3:AF$500)))</f>
        <v/>
      </c>
      <c r="DG18" s="125">
        <f>IF(OR(DG$4="",$B18=""),0,SUMIF('DADOS BRUTOS'!$A$3:$A$500,$B18,'DADOS BRUTOS'!AG$3:AG$500)+IF($C18="",0,SUMIF('DADOS BRUTOS'!$A$3:$A$500,$C18,'DADOS BRUTOS'!AG$3:AG$500)))</f>
        <v/>
      </c>
      <c r="DH18" s="125">
        <f>IF(OR(DH$4="",$B18=""),0,SUMIF('DADOS BRUTOS'!$A$3:$A$500,$B18,'DADOS BRUTOS'!AH$3:AH$500)+IF($C18="",0,SUMIF('DADOS BRUTOS'!$A$3:$A$500,$C18,'DADOS BRUTOS'!AH$3:AH$500)))</f>
        <v/>
      </c>
      <c r="DI18" s="125">
        <f>IF(OR(DI$4="",$B18=""),0,SUMIF('DADOS BRUTOS'!$A$3:$A$500,$B18,'DADOS BRUTOS'!AI$3:AI$500)+IF($C18="",0,SUMIF('DADOS BRUTOS'!$A$3:$A$500,$C18,'DADOS BRUTOS'!AI$3:AI$500)))</f>
        <v/>
      </c>
      <c r="DJ18" s="125">
        <f>IF(OR(DJ$4="",$B18=""),0,SUMIF('DADOS BRUTOS'!$A$3:$A$500,$B18,'DADOS BRUTOS'!AJ$3:AJ$500)+IF($C18="",0,SUMIF('DADOS BRUTOS'!$A$3:$A$500,$C18,'DADOS BRUTOS'!AJ$3:AJ$500)))</f>
        <v/>
      </c>
      <c r="DK18" s="125">
        <f>IF(OR(DK$4="",$B18=""),0,SUMIF('DADOS BRUTOS'!$A$3:$A$500,$B18,'DADOS BRUTOS'!AK$3:AK$500)+IF($C18="",0,SUMIF('DADOS BRUTOS'!$A$3:$A$500,$C18,'DADOS BRUTOS'!AK$3:AK$500)))</f>
        <v/>
      </c>
      <c r="DL18" s="125">
        <f>IF(OR(DL$4="",$B18=""),0,SUMIF('DADOS BRUTOS'!$A$3:$A$500,$B18,'DADOS BRUTOS'!AL$3:AL$500)+IF($C18="",0,SUMIF('DADOS BRUTOS'!$A$3:$A$500,$C18,'DADOS BRUTOS'!AL$3:AL$500)))</f>
        <v/>
      </c>
      <c r="DM18" s="125">
        <f>IF(OR(DM$4="",$B18=""),0,SUMIF('DADOS BRUTOS'!$A$3:$A$500,$B18,'DADOS BRUTOS'!AM$3:AM$500)+IF($C18="",0,SUMIF('DADOS BRUTOS'!$A$3:$A$500,$C18,'DADOS BRUTOS'!AM$3:AM$500)))</f>
        <v/>
      </c>
      <c r="DN18" s="125">
        <f>IF(OR(DN$4="",$B18=""),0,SUMIF('DADOS BRUTOS'!$A$3:$A$500,$B18,'DADOS BRUTOS'!AN$3:AN$500)+IF($C18="",0,SUMIF('DADOS BRUTOS'!$A$3:$A$500,$C18,'DADOS BRUTOS'!AN$3:AN$500)))</f>
        <v/>
      </c>
      <c r="DO18" s="125">
        <f>IF(OR(DO$4="",$B18=""),0,SUMIF('DADOS BRUTOS'!$A$3:$A$500,$B18,'DADOS BRUTOS'!AO$3:AO$500)+IF($C18="",0,SUMIF('DADOS BRUTOS'!$A$3:$A$500,$C18,'DADOS BRUTOS'!AO$3:AO$500)))</f>
        <v/>
      </c>
      <c r="DP18" s="125">
        <f>IF(OR(DP$4="",$B18=""),0,SUMIF('DADOS BRUTOS'!$A$3:$A$500,$B18,'DADOS BRUTOS'!AP$3:AP$500)+IF($C18="",0,SUMIF('DADOS BRUTOS'!$A$3:$A$500,$C18,'DADOS BRUTOS'!AP$3:AP$500)))</f>
        <v/>
      </c>
      <c r="DQ18" s="125">
        <f>IF(OR(DQ$4="",$B18=""),0,SUMIF('DADOS BRUTOS'!$A$3:$A$500,$B18,'DADOS BRUTOS'!AQ$3:AQ$500)+IF($C18="",0,SUMIF('DADOS BRUTOS'!$A$3:$A$500,$C18,'DADOS BRUTOS'!AQ$3:AQ$500)))</f>
        <v/>
      </c>
      <c r="DR18" s="125">
        <f>IF(OR(DR$4="",$B18=""),0,SUMIF('DADOS BRUTOS'!$A$3:$A$500,$B18,'DADOS BRUTOS'!AR$3:AR$500)+IF($C18="",0,SUMIF('DADOS BRUTOS'!$A$3:$A$500,$C18,'DADOS BRUTOS'!AR$3:AR$500)))</f>
        <v/>
      </c>
      <c r="DS18" s="125">
        <f>IF(OR(DS$4="",$B18=""),0,SUMIF('DADOS BRUTOS'!$A$3:$A$500,$B18,'DADOS BRUTOS'!AS$3:AS$500)+IF($C18="",0,SUMIF('DADOS BRUTOS'!$A$3:$A$500,$C18,'DADOS BRUTOS'!AS$3:AS$500)))</f>
        <v/>
      </c>
      <c r="DT18" s="125">
        <f>IF(OR(DT$4="",$B18=""),0,SUMIF('DADOS BRUTOS'!$A$3:$A$500,$B18,'DADOS BRUTOS'!AT$3:AT$500)+IF($C18="",0,SUMIF('DADOS BRUTOS'!$A$3:$A$500,$C18,'DADOS BRUTOS'!AT$3:AT$500)))</f>
        <v/>
      </c>
      <c r="DU18" s="125">
        <f>IF(OR(DU$4="",$B18=""),0,SUMIF('DADOS BRUTOS'!$A$3:$A$500,$B18,'DADOS BRUTOS'!AU$3:AU$500)+IF($C18="",0,SUMIF('DADOS BRUTOS'!$A$3:$A$500,$C18,'DADOS BRUTOS'!AU$3:AU$500)))</f>
        <v/>
      </c>
      <c r="DV18" s="125">
        <f>IF(OR(DV$4="",$B18=""),0,SUMIF('DADOS BRUTOS'!$A$3:$A$500,$B18,'DADOS BRUTOS'!AV$3:AV$500)+IF($C18="",0,SUMIF('DADOS BRUTOS'!$A$3:$A$500,$C18,'DADOS BRUTOS'!AV$3:AV$500)))</f>
        <v/>
      </c>
      <c r="DW18" s="125">
        <f>IF(OR(DW$4="",$B18=""),0,SUMIF('DADOS BRUTOS'!$A$3:$A$500,$B18,'DADOS BRUTOS'!AW$3:AW$500)+IF($C18="",0,SUMIF('DADOS BRUTOS'!$A$3:$A$500,$C18,'DADOS BRUTOS'!AW$3:AW$500)))</f>
        <v/>
      </c>
      <c r="DX18" s="125">
        <f>IF(OR(DX$4="",$B18=""),0,SUMIF('DADOS BRUTOS'!$A$3:$A$500,$B18,'DADOS BRUTOS'!AX$3:AX$500)+IF($C18="",0,SUMIF('DADOS BRUTOS'!$A$3:$A$500,$C18,'DADOS BRUTOS'!AX$3:AX$500)))</f>
        <v/>
      </c>
      <c r="DY18" s="125">
        <f>IF(OR(DY$4="",$B18=""),0,SUMIF('DADOS BRUTOS'!$A$3:$A$500,$B18,'DADOS BRUTOS'!AY$3:AY$500)+IF($C18="",0,SUMIF('DADOS BRUTOS'!$A$3:$A$500,$C18,'DADOS BRUTOS'!AY$3:AY$500)))</f>
        <v/>
      </c>
      <c r="DZ18" s="125">
        <f>IF(OR(DZ$4="",$B18=""),0,SUMIF('DADOS BRUTOS'!$A$3:$A$500,$B18,'DADOS BRUTOS'!AZ$3:AZ$500)+IF($C18="",0,SUMIF('DADOS BRUTOS'!$A$3:$A$500,$C18,'DADOS BRUTOS'!AZ$3:AZ$500)))</f>
        <v/>
      </c>
      <c r="EA18" s="125">
        <f>IF(OR(EA$4="",$B18=""),0,SUMIF('DADOS BRUTOS'!$A$3:$A$500,$B18,'DADOS BRUTOS'!BA$3:BA$500)+IF($C18="",0,SUMIF('DADOS BRUTOS'!$A$3:$A$500,$C18,'DADOS BRUTOS'!BA$3:BA$500)))</f>
        <v/>
      </c>
      <c r="EB18" s="125">
        <f>IF(OR(EB$4="",$B18=""),0,SUMIF('DADOS BRUTOS'!$A$3:$A$500,$B18,'DADOS BRUTOS'!BB$3:BB$500)+IF($C18="",0,SUMIF('DADOS BRUTOS'!$A$3:$A$500,$C18,'DADOS BRUTOS'!BB$3:BB$500)))</f>
        <v/>
      </c>
      <c r="EC18" s="125">
        <f>IF(OR(EC$4="",$B18=""),0,SUMIF('DADOS BRUTOS'!$A$3:$A$500,$B18,'DADOS BRUTOS'!BC$3:BC$500)+IF($C18="",0,SUMIF('DADOS BRUTOS'!$A$3:$A$500,$C18,'DADOS BRUTOS'!BC$3:BC$500)))</f>
        <v/>
      </c>
      <c r="ED18" s="125">
        <f>IF(OR(ED$4="",$B18=""),0,SUMIF('DADOS BRUTOS'!$A$3:$A$500,$B18,'DADOS BRUTOS'!BD$3:BD$500)+IF($C18="",0,SUMIF('DADOS BRUTOS'!$A$3:$A$500,$C18,'DADOS BRUTOS'!BD$3:BD$500)))</f>
        <v/>
      </c>
      <c r="EE18" s="125">
        <f>IF(OR(EE$4="",$B18=""),0,SUMIF('DADOS BRUTOS'!$A$3:$A$500,$B18,'DADOS BRUTOS'!BE$3:BE$500)+IF($C18="",0,SUMIF('DADOS BRUTOS'!$A$3:$A$500,$C18,'DADOS BRUTOS'!BE$3:BE$500)))</f>
        <v/>
      </c>
      <c r="EF18" s="125">
        <f>IF(OR(EF$4="",$B18=""),0,SUMIF('DADOS BRUTOS'!$A$3:$A$500,$B18,'DADOS BRUTOS'!BF$3:BF$500)+IF($C18="",0,SUMIF('DADOS BRUTOS'!$A$3:$A$500,$C18,'DADOS BRUTOS'!BF$3:BF$500)))</f>
        <v/>
      </c>
      <c r="EG18" s="125">
        <f>IF(OR(EG$4="",$B18=""),0,SUMIF('DADOS BRUTOS'!$A$3:$A$500,$B18,'DADOS BRUTOS'!BG$3:BG$500)+IF($C18="",0,SUMIF('DADOS BRUTOS'!$A$3:$A$500,$C18,'DADOS BRUTOS'!BG$3:BG$500)))</f>
        <v/>
      </c>
      <c r="EH18" s="125">
        <f>IF(OR(EH$4="",$B18=""),0,SUMIF('DADOS BRUTOS'!$A$3:$A$500,$B18,'DADOS BRUTOS'!BH$3:BH$500)+IF($C18="",0,SUMIF('DADOS BRUTOS'!$A$3:$A$500,$C18,'DADOS BRUTOS'!BH$3:BH$500)))</f>
        <v/>
      </c>
      <c r="EI18" s="125">
        <f>IF(OR(EI$4="",$B18=""),0,SUMIF('DADOS BRUTOS'!$A$3:$A$500,$B18,'DADOS BRUTOS'!BI$3:BI$500)+IF($C18="",0,SUMIF('DADOS BRUTOS'!$A$3:$A$500,$C18,'DADOS BRUTOS'!BI$3:BI$500)))</f>
        <v/>
      </c>
      <c r="EJ18" s="125">
        <f>IF(OR(EJ$4="",$B18=""),0,SUMIF('DADOS BRUTOS'!$A$3:$A$500,$B18,'DADOS BRUTOS'!BJ$3:BJ$500)+IF($C18="",0,SUMIF('DADOS BRUTOS'!$A$3:$A$500,$C18,'DADOS BRUTOS'!BJ$3:BJ$500)))</f>
        <v/>
      </c>
      <c r="EK18" s="125">
        <f>IF(OR(EK$4="",$B18=""),0,SUMIF('DADOS BRUTOS'!$A$3:$A$500,$B18,'DADOS BRUTOS'!BK$3:BK$500)+IF($C18="",0,SUMIF('DADOS BRUTOS'!$A$3:$A$500,$C18,'DADOS BRUTOS'!BK$3:BK$500)))</f>
        <v/>
      </c>
      <c r="EL18" s="125">
        <f>IF(OR(EL$4="",$B18=""),0,SUMIF('DADOS BRUTOS'!$A$3:$A$500,$B18,'DADOS BRUTOS'!BL$3:BL$500)+IF($C18="",0,SUMIF('DADOS BRUTOS'!$A$3:$A$500,$C18,'DADOS BRUTOS'!BL$3:BL$500)))</f>
        <v/>
      </c>
      <c r="EM18" s="125">
        <f>IF(OR(EM$4="",$B18=""),0,SUMIF('DADOS BRUTOS'!$A$3:$A$500,$B18,'DADOS BRUTOS'!BM$3:BM$500)+IF($C18="",0,SUMIF('DADOS BRUTOS'!$A$3:$A$500,$C18,'DADOS BRUTOS'!BM$3:BM$500)))</f>
        <v/>
      </c>
      <c r="EN18" s="125">
        <f>IF(OR(EN$4="",$B18=""),0,SUMIF('DADOS BRUTOS'!$A$3:$A$500,$B18,'DADOS BRUTOS'!BN$3:BN$500)+IF($C18="",0,SUMIF('DADOS BRUTOS'!$A$3:$A$500,$C18,'DADOS BRUTOS'!BN$3:BN$500)))</f>
        <v/>
      </c>
      <c r="EO18" s="125">
        <f>IF(OR(EO$4="",$B18=""),0,SUMIF('DADOS BRUTOS'!$A$3:$A$500,$B18,'DADOS BRUTOS'!BO$3:BO$500)+IF($C18="",0,SUMIF('DADOS BRUTOS'!$A$3:$A$500,$C18,'DADOS BRUTOS'!BO$3:BO$500)))</f>
        <v/>
      </c>
      <c r="EP18" s="125">
        <f>IF(OR(EP$4="",$B18=""),0,SUMIF('DADOS BRUTOS'!$A$3:$A$500,$B18,'DADOS BRUTOS'!BP$3:BP$500)+IF($C18="",0,SUMIF('DADOS BRUTOS'!$A$3:$A$500,$C18,'DADOS BRUTOS'!BP$3:BP$500)))</f>
        <v/>
      </c>
      <c r="EQ18" s="125">
        <f>IF(OR(EQ$4="",$B18=""),0,SUMIF('DADOS BRUTOS'!$A$3:$A$500,$B18,'DADOS BRUTOS'!BQ$3:BQ$500)+IF($C18="",0,SUMIF('DADOS BRUTOS'!$A$3:$A$500,$C18,'DADOS BRUTOS'!BQ$3:BQ$500)))</f>
        <v/>
      </c>
      <c r="ER18" s="125">
        <f>IF(OR(ER$4="",$B18=""),0,SUMIF('DADOS BRUTOS'!$A$3:$A$500,$B18,'DADOS BRUTOS'!BR$3:BR$500)+IF($C18="",0,SUMIF('DADOS BRUTOS'!$A$3:$A$500,$C18,'DADOS BRUTOS'!BR$3:BR$500)))</f>
        <v/>
      </c>
      <c r="ES18" s="125">
        <f>IF(OR(ES$4="",$B18=""),0,SUMIF('DADOS BRUTOS'!$A$3:$A$500,$B18,'DADOS BRUTOS'!BS$3:BS$500)+IF($C18="",0,SUMIF('DADOS BRUTOS'!$A$3:$A$500,$C18,'DADOS BRUTOS'!BS$3:BS$500)))</f>
        <v/>
      </c>
      <c r="ET18" s="125">
        <f>IF(OR(ET$4="",$B18=""),0,SUMIF('DADOS BRUTOS'!$A$3:$A$500,$B18,'DADOS BRUTOS'!BT$3:BT$500)+IF($C18="",0,SUMIF('DADOS BRUTOS'!$A$3:$A$500,$C18,'DADOS BRUTOS'!BT$3:BT$500)))</f>
        <v/>
      </c>
      <c r="EU18" s="125">
        <f>IF(OR(EU$4="",$B18=""),0,SUMIF('DADOS BRUTOS'!$A$3:$A$500,$B18,'DADOS BRUTOS'!BU$3:BU$500)+IF($C18="",0,SUMIF('DADOS BRUTOS'!$A$3:$A$500,$C18,'DADOS BRUTOS'!BU$3:BU$500)))</f>
        <v/>
      </c>
      <c r="EV18" s="125">
        <f>IF(OR(EV$4="",$B18=""),0,SUMIF('DADOS BRUTOS'!$A$3:$A$500,$B18,'DADOS BRUTOS'!BV$3:BV$500)+IF($C18="",0,SUMIF('DADOS BRUTOS'!$A$3:$A$500,$C18,'DADOS BRUTOS'!BV$3:BV$500)))</f>
        <v/>
      </c>
      <c r="EW18" s="125">
        <f>IF(OR(EW$4="",$B18=""),0,SUMIF('DADOS BRUTOS'!$A$3:$A$500,$B18,'DADOS BRUTOS'!BW$3:BW$500)+IF($C18="",0,SUMIF('DADOS BRUTOS'!$A$3:$A$500,$C18,'DADOS BRUTOS'!BW$3:BW$500)))</f>
        <v/>
      </c>
      <c r="EX18" s="125">
        <f>IF(OR(EX$4="",$B18=""),0,SUMIF('DADOS BRUTOS'!$A$3:$A$500,$B18,'DADOS BRUTOS'!BX$3:BX$500)+IF($C18="",0,SUMIF('DADOS BRUTOS'!$A$3:$A$500,$C18,'DADOS BRUTOS'!BX$3:BX$500)))</f>
        <v/>
      </c>
      <c r="EY18" s="125">
        <f>IF(OR(EY$4="",$B18=""),0,SUMIF('DADOS BRUTOS'!$A$3:$A$500,$B18,'DADOS BRUTOS'!BY$3:BY$500)+IF($C18="",0,SUMIF('DADOS BRUTOS'!$A$3:$A$500,$C18,'DADOS BRUTOS'!BY$3:BY$500)))</f>
        <v/>
      </c>
      <c r="EZ18" s="125">
        <f>IF(OR(EZ$4="",$B18=""),0,SUMIF('DADOS BRUTOS'!$A$3:$A$500,$B18,'DADOS BRUTOS'!BZ$3:BZ$500)+IF($C18="",0,SUMIF('DADOS BRUTOS'!$A$3:$A$500,$C18,'DADOS BRUTOS'!BZ$3:BZ$500)))</f>
        <v/>
      </c>
      <c r="FA18" s="125">
        <f>IF(OR(FA$4="",$B18=""),0,SUMIF('DADOS BRUTOS'!$A$3:$A$500,$B18,'DADOS BRUTOS'!CA$3:CA$500)+IF($C18="",0,SUMIF('DADOS BRUTOS'!$A$3:$A$500,$C18,'DADOS BRUTOS'!CA$3:CA$500)))</f>
        <v/>
      </c>
      <c r="FB18" s="125">
        <f>IF(OR(FB$4="",$B18=""),0,SUMIF('DADOS BRUTOS'!$A$3:$A$500,$B18,'DADOS BRUTOS'!CB$3:CB$500)+IF($C18="",0,SUMIF('DADOS BRUTOS'!$A$3:$A$500,$C18,'DADOS BRUTOS'!CB$3:CB$500)))</f>
        <v/>
      </c>
      <c r="FC18" s="125">
        <f>IF(OR(FC$4="",$B18=""),0,SUMIF('DADOS BRUTOS'!$A$3:$A$500,$B18,'DADOS BRUTOS'!CC$3:CC$500)+IF($C18="",0,SUMIF('DADOS BRUTOS'!$A$3:$A$500,$C18,'DADOS BRUTOS'!CC$3:CC$500)))</f>
        <v/>
      </c>
      <c r="FD18" s="125">
        <f>IF(OR(FD$4="",$B18=""),0,SUMIF('DADOS BRUTOS'!$A$3:$A$500,$B18,'DADOS BRUTOS'!CD$3:CD$500)+IF($C18="",0,SUMIF('DADOS BRUTOS'!$A$3:$A$500,$C18,'DADOS BRUTOS'!CD$3:CD$500)))</f>
        <v/>
      </c>
      <c r="FE18" s="125">
        <f>IF(OR(FE$4="",$B18=""),0,SUMIF('DADOS BRUTOS'!$A$3:$A$500,$B18,'DADOS BRUTOS'!CE$3:CE$500)+IF($C18="",0,SUMIF('DADOS BRUTOS'!$A$3:$A$500,$C18,'DADOS BRUTOS'!CE$3:CE$500)))</f>
        <v/>
      </c>
      <c r="FF18" s="125">
        <f>IF(OR(FF$4="",$B18=""),0,SUMIF('DADOS BRUTOS'!$A$3:$A$500,$B18,'DADOS BRUTOS'!CF$3:CF$500)+IF($C18="",0,SUMIF('DADOS BRUTOS'!$A$3:$A$500,$C18,'DADOS BRUTOS'!CF$3:CF$500)))</f>
        <v/>
      </c>
      <c r="FG18" s="125">
        <f>IF(OR(FG$4="",$B18=""),0,SUMIF('DADOS BRUTOS'!$A$3:$A$500,$B18,'DADOS BRUTOS'!CG$3:CG$500)+IF($C18="",0,SUMIF('DADOS BRUTOS'!$A$3:$A$500,$C18,'DADOS BRUTOS'!CG$3:CG$500)))</f>
        <v/>
      </c>
      <c r="FH18" s="125">
        <f>IF(OR(FH$4="",$B18=""),0,SUMIF('DADOS BRUTOS'!$A$3:$A$500,$B18,'DADOS BRUTOS'!CH$3:CH$500)+IF($C18="",0,SUMIF('DADOS BRUTOS'!$A$3:$A$500,$C18,'DADOS BRUTOS'!CH$3:CH$500)))</f>
        <v/>
      </c>
      <c r="FI18" s="125">
        <f>IF(OR(FI$4="",$B18=""),0,SUMIF('DADOS BRUTOS'!$A$3:$A$500,$B18,'DADOS BRUTOS'!CI$3:CI$500)+IF($C18="",0,SUMIF('DADOS BRUTOS'!$A$3:$A$500,$C18,'DADOS BRUTOS'!CI$3:CI$500)))</f>
        <v/>
      </c>
      <c r="FJ18" s="125">
        <f>IF(OR(FJ$4="",$B18=""),0,SUMIF('DADOS BRUTOS'!$A$3:$A$500,$B18,'DADOS BRUTOS'!CJ$3:CJ$500)+IF($C18="",0,SUMIF('DADOS BRUTOS'!$A$3:$A$500,$C18,'DADOS BRUTOS'!CJ$3:CJ$500)))</f>
        <v/>
      </c>
      <c r="FK18" s="125">
        <f>IF(OR(FK$4="",$B18=""),0,SUMIF('DADOS BRUTOS'!$A$3:$A$500,$B18,'DADOS BRUTOS'!CK$3:CK$500)+IF($C18="",0,SUMIF('DADOS BRUTOS'!$A$3:$A$500,$C18,'DADOS BRUTOS'!CK$3:CK$500)))</f>
        <v/>
      </c>
      <c r="FL18" s="125">
        <f>IF(OR(FL$4="",$B18=""),0,SUMIF('DADOS BRUTOS'!$A$3:$A$500,$B18,'DADOS BRUTOS'!CL$3:CL$500)+IF($C18="",0,SUMIF('DADOS BRUTOS'!$A$3:$A$500,$C18,'DADOS BRUTOS'!CL$3:CL$500)))</f>
        <v/>
      </c>
      <c r="FM18" s="125">
        <f>IF(OR(FM$4="",$B18=""),0,SUMIF('DADOS BRUTOS'!$A$3:$A$500,$B18,'DADOS BRUTOS'!CM$3:CM$500)+IF($C18="",0,SUMIF('DADOS BRUTOS'!$A$3:$A$500,$C18,'DADOS BRUTOS'!CM$3:CM$500)))</f>
        <v/>
      </c>
      <c r="FN18" s="125">
        <f>IF(OR(FN$4="",$B18=""),0,SUMIF('DADOS BRUTOS'!$A$3:$A$500,$B18,'DADOS BRUTOS'!CN$3:CN$500)+IF($C18="",0,SUMIF('DADOS BRUTOS'!$A$3:$A$500,$C18,'DADOS BRUTOS'!CN$3:CN$500)))</f>
        <v/>
      </c>
      <c r="FO18" s="125">
        <f>IF(OR(FO$4="",$B18=""),0,SUMIF('DADOS BRUTOS'!$A$3:$A$500,$B18,'DADOS BRUTOS'!CO$3:CO$500)+IF($C18="",0,SUMIF('DADOS BRUTOS'!$A$3:$A$500,$C18,'DADOS BRUTOS'!CO$3:CO$500)))</f>
        <v/>
      </c>
      <c r="FP18" s="125">
        <f>IF(OR(FP$4="",$B18=""),0,SUMIF('DADOS BRUTOS'!$A$3:$A$500,$B18,'DADOS BRUTOS'!CP$3:CP$500)+IF($C18="",0,SUMIF('DADOS BRUTOS'!$A$3:$A$500,$C18,'DADOS BRUTOS'!CP$3:CP$500)))</f>
        <v/>
      </c>
      <c r="FQ18" s="125">
        <f>IF(OR(FQ$4="",$B18=""),0,SUMIF('DADOS BRUTOS'!$A$3:$A$500,$B18,'DADOS BRUTOS'!CQ$3:CQ$500)+IF($C18="",0,SUMIF('DADOS BRUTOS'!$A$3:$A$500,$C18,'DADOS BRUTOS'!CQ$3:CQ$500)))</f>
        <v/>
      </c>
      <c r="FR18" s="125">
        <f>IF(OR(FR$4="",$B18=""),0,SUMIF('DADOS BRUTOS'!$A$3:$A$500,$B18,'DADOS BRUTOS'!CR$3:CR$500)+IF($C18="",0,SUMIF('DADOS BRUTOS'!$A$3:$A$500,$C18,'DADOS BRUTOS'!CR$3:CR$500)))</f>
        <v/>
      </c>
      <c r="FS18" s="125">
        <f>IF(OR(FS$4="",$B18=""),0,SUMIF('DADOS BRUTOS'!$A$3:$A$500,$B18,'DADOS BRUTOS'!CS$3:CS$500)+IF($C18="",0,SUMIF('DADOS BRUTOS'!$A$3:$A$500,$C18,'DADOS BRUTOS'!CS$3:CS$500)))</f>
        <v/>
      </c>
      <c r="FT18" s="125">
        <f>IF(OR(FT$4="",$B18=""),0,SUMIF('DADOS BRUTOS'!$A$3:$A$500,$B18,'DADOS BRUTOS'!CT$3:CT$500)+IF($C18="",0,SUMIF('DADOS BRUTOS'!$A$3:$A$500,$C18,'DADOS BRUTOS'!CT$3:CT$500)))</f>
        <v/>
      </c>
      <c r="FU18" s="125">
        <f>IF(OR(FU$4="",$B18=""),0,SUMIF('DADOS BRUTOS'!$A$3:$A$500,$B18,'DADOS BRUTOS'!CU$3:CU$500)+IF($C18="",0,SUMIF('DADOS BRUTOS'!$A$3:$A$500,$C18,'DADOS BRUTOS'!CU$3:CU$500)))</f>
        <v/>
      </c>
      <c r="FV18" s="125">
        <f>IF(OR(FV$4="",$B18=""),0,SUMIF('DADOS BRUTOS'!$A$3:$A$500,$B18,'DADOS BRUTOS'!CV$3:CV$500)+IF($C18="",0,SUMIF('DADOS BRUTOS'!$A$3:$A$500,$C18,'DADOS BRUTOS'!CV$3:CV$500)))</f>
        <v/>
      </c>
      <c r="FW18" s="125">
        <f>IF(OR(FW$4="",$B18=""),0,SUMIF('DADOS BRUTOS'!$A$3:$A$500,$B18,'DADOS BRUTOS'!CW$3:CW$500)+IF($C18="",0,SUMIF('DADOS BRUTOS'!$A$3:$A$500,$C18,'DADOS BRUTOS'!CW$3:CW$500)))</f>
        <v/>
      </c>
      <c r="FX18" s="125">
        <f>IF(OR(FX$4="",$B18=""),0,SUMIF('DADOS BRUTOS'!$A$3:$A$500,$B18,'DADOS BRUTOS'!CX$3:CX$500)+IF($C18="",0,SUMIF('DADOS BRUTOS'!$A$3:$A$500,$C18,'DADOS BRUTOS'!CX$3:CX$500)))</f>
        <v/>
      </c>
      <c r="FY18" s="125">
        <f>IF(OR(FY$4="",$B18=""),0,SUMIF('DADOS BRUTOS'!$A$3:$A$500,$B18,'DADOS BRUTOS'!CY$3:CY$500)+IF($C18="",0,SUMIF('DADOS BRUTOS'!$A$3:$A$500,$C18,'DADOS BRUTOS'!CY$3:CY$500)))</f>
        <v/>
      </c>
      <c r="FZ18" s="125">
        <f>IF(OR(FZ$4="",$B18=""),0,SUMIF('DADOS BRUTOS'!$A$3:$A$500,$B18,'DADOS BRUTOS'!CZ$3:CZ$500)+IF($C18="",0,SUMIF('DADOS BRUTOS'!$A$3:$A$500,$C18,'DADOS BRUTOS'!CZ$3:CZ$500)))</f>
        <v/>
      </c>
      <c r="GA18" s="125">
        <f>IF(OR(GA$4="",$B18=""),0,SUMIF('DADOS BRUTOS'!$A$3:$A$500,$B18,'DADOS BRUTOS'!DA$3:DA$500)+IF($C18="",0,SUMIF('DADOS BRUTOS'!$A$3:$A$500,$C18,'DADOS BRUTOS'!DA$3:DA$500)))</f>
        <v/>
      </c>
      <c r="GB18" s="125">
        <f>IF(OR(GB$4="",$B18=""),0,SUMIF('DADOS BRUTOS'!$A$3:$A$500,$B18,'DADOS BRUTOS'!DB$3:DB$500)+IF($C18="",0,SUMIF('DADOS BRUTOS'!$A$3:$A$500,$C18,'DADOS BRUTOS'!DB$3:DB$500)))</f>
        <v/>
      </c>
      <c r="GC18" s="125">
        <f>IF(OR(GC$4="",$B18=""),0,SUMIF('DADOS BRUTOS'!$A$3:$A$500,$B18,'DADOS BRUTOS'!DC$3:DC$500)+IF($C18="",0,SUMIF('DADOS BRUTOS'!$A$3:$A$500,$C18,'DADOS BRUTOS'!DC$3:DC$500)))</f>
        <v/>
      </c>
      <c r="GD18" s="125">
        <f>IF(OR(GD$4="",$B18=""),0,SUMIF('DADOS BRUTOS'!$A$3:$A$500,$B18,'DADOS BRUTOS'!DD$3:DD$500)+IF($C18="",0,SUMIF('DADOS BRUTOS'!$A$3:$A$500,$C18,'DADOS BRUTOS'!DD$3:DD$500)))</f>
        <v/>
      </c>
      <c r="GE18" s="125">
        <f>IF(OR(GE$4="",$B18=""),0,SUMIF('DADOS BRUTOS'!$A$3:$A$500,$B18,'DADOS BRUTOS'!DE$3:DE$500)+IF($C18="",0,SUMIF('DADOS BRUTOS'!$A$3:$A$500,$C18,'DADOS BRUTOS'!DE$3:DE$500)))</f>
        <v/>
      </c>
      <c r="GF18" s="125">
        <f>IF(OR(GF$4="",$B18=""),0,SUMIF('DADOS BRUTOS'!$A$3:$A$500,$B18,'DADOS BRUTOS'!DF$3:DF$500)+IF($C18="",0,SUMIF('DADOS BRUTOS'!$A$3:$A$500,$C18,'DADOS BRUTOS'!DF$3:DF$500)))</f>
        <v/>
      </c>
      <c r="GG18" s="125">
        <f>IF(OR(GG$4="",$B18=""),0,SUMIF('DADOS BRUTOS'!$A$3:$A$500,$B18,'DADOS BRUTOS'!DG$3:DG$500)+IF($C18="",0,SUMIF('DADOS BRUTOS'!$A$3:$A$500,$C18,'DADOS BRUTOS'!DG$3:DG$500)))</f>
        <v/>
      </c>
      <c r="GH18" s="125">
        <f>IF(OR(GH$4="",$B18=""),0,SUMIF('DADOS BRUTOS'!$A$3:$A$500,$B18,'DADOS BRUTOS'!DH$3:DH$500)+IF($C18="",0,SUMIF('DADOS BRUTOS'!$A$3:$A$500,$C18,'DADOS BRUTOS'!DH$3:DH$500)))</f>
        <v/>
      </c>
      <c r="GI18" s="125">
        <f>IF(OR(GI$4="",$B18=""),0,SUMIF('DADOS BRUTOS'!$A$3:$A$500,$B18,'DADOS BRUTOS'!DI$3:DI$500)+IF($C18="",0,SUMIF('DADOS BRUTOS'!$A$3:$A$500,$C18,'DADOS BRUTOS'!DI$3:DI$500)))</f>
        <v/>
      </c>
      <c r="GJ18" s="125">
        <f>IF(OR(GJ$4="",$B18=""),0,SUMIF('DADOS BRUTOS'!$A$3:$A$500,$B18,'DADOS BRUTOS'!DJ$3:DJ$500)+IF($C18="",0,SUMIF('DADOS BRUTOS'!$A$3:$A$500,$C18,'DADOS BRUTOS'!DJ$3:DJ$500)))</f>
        <v/>
      </c>
      <c r="GK18" s="125">
        <f>IF(OR(GK$4="",$B18=""),0,SUMIF('DADOS BRUTOS'!$A$3:$A$500,$B18,'DADOS BRUTOS'!DK$3:DK$500)+IF($C18="",0,SUMIF('DADOS BRUTOS'!$A$3:$A$500,$C18,'DADOS BRUTOS'!DK$3:DK$500)))</f>
        <v/>
      </c>
      <c r="GL18" s="125">
        <f>IF(OR(GL$4="",$B18=""),0,SUMIF('DADOS BRUTOS'!$A$3:$A$500,$B18,'DADOS BRUTOS'!DL$3:DL$500)+IF($C18="",0,SUMIF('DADOS BRUTOS'!$A$3:$A$500,$C18,'DADOS BRUTOS'!DL$3:DL$500)))</f>
        <v/>
      </c>
      <c r="GM18" s="125">
        <f>IF(OR(GM$4="",$B18=""),0,SUMIF('DADOS BRUTOS'!$A$3:$A$500,$B18,'DADOS BRUTOS'!DM$3:DM$500)+IF($C18="",0,SUMIF('DADOS BRUTOS'!$A$3:$A$500,$C18,'DADOS BRUTOS'!DM$3:DM$500)))</f>
        <v/>
      </c>
      <c r="GN18" s="125">
        <f>IF(OR(GN$4="",$B18=""),0,SUMIF('DADOS BRUTOS'!$A$3:$A$500,$B18,'DADOS BRUTOS'!DN$3:DN$500)+IF($C18="",0,SUMIF('DADOS BRUTOS'!$A$3:$A$500,$C18,'DADOS BRUTOS'!DN$3:DN$500)))</f>
        <v/>
      </c>
      <c r="GO18" s="125">
        <f>IF(OR(GO$4="",$B18=""),0,SUMIF('DADOS BRUTOS'!$A$3:$A$500,$B18,'DADOS BRUTOS'!DO$3:DO$500)+IF($C18="",0,SUMIF('DADOS BRUTOS'!$A$3:$A$500,$C18,'DADOS BRUTOS'!DO$3:DO$500)))</f>
        <v/>
      </c>
      <c r="GP18" s="125">
        <f>IF(OR(GP$4="",$B18=""),0,SUMIF('DADOS BRUTOS'!$A$3:$A$500,$B18,'DADOS BRUTOS'!DP$3:DP$500)+IF($C18="",0,SUMIF('DADOS BRUTOS'!$A$3:$A$500,$C18,'DADOS BRUTOS'!DP$3:DP$500)))</f>
        <v/>
      </c>
      <c r="GQ18" s="125">
        <f>IF(OR(GQ$4="",$B18=""),0,SUMIF('DADOS BRUTOS'!$A$3:$A$500,$B18,'DADOS BRUTOS'!DQ$3:DQ$500)+IF($C18="",0,SUMIF('DADOS BRUTOS'!$A$3:$A$500,$C18,'DADOS BRUTOS'!DQ$3:DQ$500)))</f>
        <v/>
      </c>
      <c r="GR18" s="125">
        <f>IF(OR(GR$4="",$B18=""),0,SUMIF('DADOS BRUTOS'!$A$3:$A$500,$B18,'DADOS BRUTOS'!DR$3:DR$500)+IF($C18="",0,SUMIF('DADOS BRUTOS'!$A$3:$A$500,$C18,'DADOS BRUTOS'!DR$3:DR$500)))</f>
        <v/>
      </c>
      <c r="GS18" s="125">
        <f>IF(OR(GS$4="",$B18=""),0,SUMIF('DADOS BRUTOS'!$A$3:$A$500,$B18,'DADOS BRUTOS'!DS$3:DS$500)+IF($C18="",0,SUMIF('DADOS BRUTOS'!$A$3:$A$500,$C18,'DADOS BRUTOS'!DS$3:DS$500)))</f>
        <v/>
      </c>
      <c r="GT18" s="125">
        <f>IF(OR(GT$4="",$B18=""),0,SUMIF('DADOS BRUTOS'!$A$3:$A$500,$B18,'DADOS BRUTOS'!DT$3:DT$500)+IF($C18="",0,SUMIF('DADOS BRUTOS'!$A$3:$A$500,$C18,'DADOS BRUTOS'!DT$3:DT$500)))</f>
        <v/>
      </c>
      <c r="GU18" s="125">
        <f>IF(OR(GU$4="",$B18=""),0,SUMIF('DADOS BRUTOS'!$A$3:$A$500,$B18,'DADOS BRUTOS'!DU$3:DU$500)+IF($C18="",0,SUMIF('DADOS BRUTOS'!$A$3:$A$500,$C18,'DADOS BRUTOS'!DU$3:DU$500)))</f>
        <v/>
      </c>
      <c r="GV18" s="125">
        <f>IF(OR(GV$4="",$B18=""),0,SUMIF('DADOS BRUTOS'!$A$3:$A$500,$B18,'DADOS BRUTOS'!DV$3:DV$500)+IF($C18="",0,SUMIF('DADOS BRUTOS'!$A$3:$A$500,$C18,'DADOS BRUTOS'!DV$3:DV$500)))</f>
        <v/>
      </c>
      <c r="GW18" s="125">
        <f>IF(OR(GW$4="",$B18=""),0,SUMIF('DADOS BRUTOS'!$A$3:$A$500,$B18,'DADOS BRUTOS'!DW$3:DW$500)+IF($C18="",0,SUMIF('DADOS BRUTOS'!$A$3:$A$500,$C18,'DADOS BRUTOS'!DW$3:DW$500)))</f>
        <v/>
      </c>
      <c r="GX18" s="125">
        <f>IF(OR(GX$4="",$B18=""),0,SUMIF('DADOS BRUTOS'!$A$3:$A$500,$B18,'DADOS BRUTOS'!DX$3:DX$500)+IF($C18="",0,SUMIF('DADOS BRUTOS'!$A$3:$A$500,$C18,'DADOS BRUTOS'!DX$3:DX$500)))</f>
        <v/>
      </c>
      <c r="GY18" s="125">
        <f>IF(OR(GY$4="",$B18=""),0,SUMIF('DADOS BRUTOS'!$A$3:$A$500,$B18,'DADOS BRUTOS'!DY$3:DY$500)+IF($C18="",0,SUMIF('DADOS BRUTOS'!$A$3:$A$500,$C18,'DADOS BRUTOS'!DY$3:DY$500)))</f>
        <v/>
      </c>
      <c r="GZ18" s="125">
        <f>IF(OR(GZ$4="",$B18=""),0,SUMIF('DADOS BRUTOS'!$A$3:$A$500,$B18,'DADOS BRUTOS'!DZ$3:DZ$500)+IF($C18="",0,SUMIF('DADOS BRUTOS'!$A$3:$A$500,$C18,'DADOS BRUTOS'!DZ$3:DZ$500)))</f>
        <v/>
      </c>
      <c r="HA18" s="125">
        <f>IF(OR(HA$4="",$B18=""),0,SUMIF('DADOS BRUTOS'!$A$3:$A$500,$B18,'DADOS BRUTOS'!EA$3:EA$500)+IF($C18="",0,SUMIF('DADOS BRUTOS'!$A$3:$A$500,$C18,'DADOS BRUTOS'!EA$3:EA$500)))</f>
        <v/>
      </c>
      <c r="HB18" s="125">
        <f>IF(OR(HB$4="",$B18=""),0,SUMIF('DADOS BRUTOS'!$A$3:$A$500,$B18,'DADOS BRUTOS'!EB$3:EB$500)+IF($C18="",0,SUMIF('DADOS BRUTOS'!$A$3:$A$500,$C18,'DADOS BRUTOS'!EB$3:EB$500)))</f>
        <v/>
      </c>
      <c r="HC18" s="125">
        <f>IF(OR(HC$4="",$B18=""),0,SUMIF('DADOS BRUTOS'!$A$3:$A$500,$B18,'DADOS BRUTOS'!EC$3:EC$500)+IF($C18="",0,SUMIF('DADOS BRUTOS'!$A$3:$A$500,$C18,'DADOS BRUTOS'!EC$3:EC$500)))</f>
        <v/>
      </c>
      <c r="HD18" s="125">
        <f>IF(OR(HD$4="",$B18=""),0,SUMIF('DADOS BRUTOS'!$A$3:$A$500,$B18,'DADOS BRUTOS'!ED$3:ED$500)+IF($C18="",0,SUMIF('DADOS BRUTOS'!$A$3:$A$500,$C18,'DADOS BRUTOS'!ED$3:ED$500)))</f>
        <v/>
      </c>
      <c r="HE18" s="125">
        <f>IF(OR(HE$4="",$B18=""),0,SUMIF('DADOS BRUTOS'!$A$3:$A$500,$B18,'DADOS BRUTOS'!EE$3:EE$500)+IF($C18="",0,SUMIF('DADOS BRUTOS'!$A$3:$A$500,$C18,'DADOS BRUTOS'!EE$3:EE$500)))</f>
        <v/>
      </c>
      <c r="HF18" s="125">
        <f>IF(OR(HF$4="",$B18=""),0,SUMIF('DADOS BRUTOS'!$A$3:$A$500,$B18,'DADOS BRUTOS'!EF$3:EF$500)+IF($C18="",0,SUMIF('DADOS BRUTOS'!$A$3:$A$500,$C18,'DADOS BRUTOS'!EF$3:EF$500)))</f>
        <v/>
      </c>
      <c r="HG18" s="125">
        <f>IF(OR(HG$4="",$B18=""),0,SUMIF('DADOS BRUTOS'!$A$3:$A$500,$B18,'DADOS BRUTOS'!EG$3:EG$500)+IF($C18="",0,SUMIF('DADOS BRUTOS'!$A$3:$A$500,$C18,'DADOS BRUTOS'!EG$3:EG$500)))</f>
        <v/>
      </c>
      <c r="HH18" s="125">
        <f>IF(OR(HH$4="",$B18=""),0,SUMIF('DADOS BRUTOS'!$A$3:$A$500,$B18,'DADOS BRUTOS'!EH$3:EH$500)+IF($C18="",0,SUMIF('DADOS BRUTOS'!$A$3:$A$500,$C18,'DADOS BRUTOS'!EH$3:EH$500)))</f>
        <v/>
      </c>
      <c r="HI18" s="125">
        <f>IF(OR(HI$4="",$B18=""),0,SUMIF('DADOS BRUTOS'!$A$3:$A$500,$B18,'DADOS BRUTOS'!EI$3:EI$500)+IF($C18="",0,SUMIF('DADOS BRUTOS'!$A$3:$A$500,$C18,'DADOS BRUTOS'!EI$3:EI$500)))</f>
        <v/>
      </c>
      <c r="HJ18" s="125">
        <f>IF(OR(HJ$4="",$B18=""),0,SUMIF('DADOS BRUTOS'!$A$3:$A$500,$B18,'DADOS BRUTOS'!EJ$3:EJ$500)+IF($C18="",0,SUMIF('DADOS BRUTOS'!$A$3:$A$500,$C18,'DADOS BRUTOS'!EJ$3:EJ$500)))</f>
        <v/>
      </c>
      <c r="HK18" s="125">
        <f>IF(OR(HK$4="",$B18=""),0,SUMIF('DADOS BRUTOS'!$A$3:$A$500,$B18,'DADOS BRUTOS'!EK$3:EK$500)+IF($C18="",0,SUMIF('DADOS BRUTOS'!$A$3:$A$500,$C18,'DADOS BRUTOS'!EK$3:EK$500)))</f>
        <v/>
      </c>
      <c r="HL18" s="125">
        <f>IF(OR(HL$4="",$B18=""),0,SUMIF('DADOS BRUTOS'!$A$3:$A$500,$B18,'DADOS BRUTOS'!EL$3:EL$500)+IF($C18="",0,SUMIF('DADOS BRUTOS'!$A$3:$A$500,$C18,'DADOS BRUTOS'!EL$3:EL$500)))</f>
        <v/>
      </c>
      <c r="HM18" s="125">
        <f>IF(OR(HM$4="",$B18=""),0,SUMIF('DADOS BRUTOS'!$A$3:$A$500,$B18,'DADOS BRUTOS'!EM$3:EM$500)+IF($C18="",0,SUMIF('DADOS BRUTOS'!$A$3:$A$500,$C18,'DADOS BRUTOS'!EM$3:EM$500)))</f>
        <v/>
      </c>
      <c r="HN18" s="125">
        <f>IF(OR(HN$4="",$B18=""),0,SUMIF('DADOS BRUTOS'!$A$3:$A$500,$B18,'DADOS BRUTOS'!EN$3:EN$500)+IF($C18="",0,SUMIF('DADOS BRUTOS'!$A$3:$A$500,$C18,'DADOS BRUTOS'!EN$3:EN$500)))</f>
        <v/>
      </c>
      <c r="HO18" s="125">
        <f>IF(OR(HO$4="",$B18=""),0,SUMIF('DADOS BRUTOS'!$A$3:$A$500,$B18,'DADOS BRUTOS'!EO$3:EO$500)+IF($C18="",0,SUMIF('DADOS BRUTOS'!$A$3:$A$500,$C18,'DADOS BRUTOS'!EO$3:EO$500)))</f>
        <v/>
      </c>
      <c r="HP18" s="125">
        <f>IF(OR(HP$4="",$B18=""),0,SUMIF('DADOS BRUTOS'!$A$3:$A$500,$B18,'DADOS BRUTOS'!EP$3:EP$500)+IF($C18="",0,SUMIF('DADOS BRUTOS'!$A$3:$A$500,$C18,'DADOS BRUTOS'!EP$3:EP$500)))</f>
        <v/>
      </c>
      <c r="HQ18" s="125">
        <f>IF(OR(HQ$4="",$B18=""),0,SUMIF('DADOS BRUTOS'!$A$3:$A$500,$B18,'DADOS BRUTOS'!EQ$3:EQ$500)+IF($C18="",0,SUMIF('DADOS BRUTOS'!$A$3:$A$500,$C18,'DADOS BRUTOS'!EQ$3:EQ$500)))</f>
        <v/>
      </c>
      <c r="HR18" s="125">
        <f>IF(OR(HR$4="",$B18=""),0,SUMIF('DADOS BRUTOS'!$A$3:$A$500,$B18,'DADOS BRUTOS'!ER$3:ER$500)+IF($C18="",0,SUMIF('DADOS BRUTOS'!$A$3:$A$500,$C18,'DADOS BRUTOS'!ER$3:ER$500)))</f>
        <v/>
      </c>
      <c r="HS18" s="125">
        <f>IF(OR(HS$4="",$B18=""),0,SUMIF('DADOS BRUTOS'!$A$3:$A$500,$B18,'DADOS BRUTOS'!ES$3:ES$500)+IF($C18="",0,SUMIF('DADOS BRUTOS'!$A$3:$A$500,$C18,'DADOS BRUTOS'!ES$3:ES$500)))</f>
        <v/>
      </c>
      <c r="HT18" s="125">
        <f>IF(OR(HT$4="",$B18=""),0,SUMIF('DADOS BRUTOS'!$A$3:$A$500,$B18,'DADOS BRUTOS'!ET$3:ET$500)+IF($C18="",0,SUMIF('DADOS BRUTOS'!$A$3:$A$500,$C18,'DADOS BRUTOS'!ET$3:ET$500)))</f>
        <v/>
      </c>
      <c r="HU18" s="125">
        <f>IF(OR(HU$4="",$B18=""),0,SUMIF('DADOS BRUTOS'!$A$3:$A$500,$B18,'DADOS BRUTOS'!EU$3:EU$500)+IF($C18="",0,SUMIF('DADOS BRUTOS'!$A$3:$A$500,$C18,'DADOS BRUTOS'!EU$3:EU$500)))</f>
        <v/>
      </c>
      <c r="HV18" s="125">
        <f>IF(OR(HV$4="",$B18=""),0,SUMIF('DADOS BRUTOS'!$A$3:$A$500,$B18,'DADOS BRUTOS'!EV$3:EV$500)+IF($C18="",0,SUMIF('DADOS BRUTOS'!$A$3:$A$500,$C18,'DADOS BRUTOS'!EV$3:EV$500)))</f>
        <v/>
      </c>
      <c r="HW18" s="125">
        <f>IF(OR(HW$4="",$B18=""),0,SUMIF('DADOS BRUTOS'!$A$3:$A$500,$B18,'DADOS BRUTOS'!EW$3:EW$500)+IF($C18="",0,SUMIF('DADOS BRUTOS'!$A$3:$A$500,$C18,'DADOS BRUTOS'!EW$3:EW$500)))</f>
        <v/>
      </c>
      <c r="HX18" s="125">
        <f>IF(OR(HX$4="",$B18=""),0,SUMIF('DADOS BRUTOS'!$A$3:$A$500,$B18,'DADOS BRUTOS'!EX$3:EX$500)+IF($C18="",0,SUMIF('DADOS BRUTOS'!$A$3:$A$500,$C18,'DADOS BRUTOS'!EX$3:EX$500)))</f>
        <v/>
      </c>
      <c r="HY18" s="125">
        <f>IF(OR(HY$4="",$B18=""),0,SUMIF('DADOS BRUTOS'!$A$3:$A$500,$B18,'DADOS BRUTOS'!EY$3:EY$500)+IF($C18="",0,SUMIF('DADOS BRUTOS'!$A$3:$A$500,$C18,'DADOS BRUTOS'!EY$3:EY$500)))</f>
        <v/>
      </c>
      <c r="HZ18" s="125">
        <f>IF(OR(HZ$4="",$B18=""),0,SUMIF('DADOS BRUTOS'!$A$3:$A$500,$B18,'DADOS BRUTOS'!EZ$3:EZ$500)+IF($C18="",0,SUMIF('DADOS BRUTOS'!$A$3:$A$500,$C18,'DADOS BRUTOS'!EZ$3:EZ$500)))</f>
        <v/>
      </c>
      <c r="IA18" s="125">
        <f>IF(OR(IA$4="",$B18=""),0,SUMIF('DADOS BRUTOS'!$A$3:$A$500,$B18,'DADOS BRUTOS'!FA$3:FA$500)+IF($C18="",0,SUMIF('DADOS BRUTOS'!$A$3:$A$500,$C18,'DADOS BRUTOS'!FA$3:FA$500)))</f>
        <v/>
      </c>
      <c r="IB18" s="125">
        <f>IF(OR(IB$4="",$B18=""),0,SUMIF('DADOS BRUTOS'!$A$3:$A$500,$B18,'DADOS BRUTOS'!FB$3:FB$500)+IF($C18="",0,SUMIF('DADOS BRUTOS'!$A$3:$A$500,$C18,'DADOS BRUTOS'!FB$3:FB$500)))</f>
        <v/>
      </c>
      <c r="IC18" s="125">
        <f>IF(OR(IC$4="",$B18=""),0,SUMIF('DADOS BRUTOS'!$A$3:$A$500,$B18,'DADOS BRUTOS'!FC$3:FC$500)+IF($C18="",0,SUMIF('DADOS BRUTOS'!$A$3:$A$500,$C18,'DADOS BRUTOS'!FC$3:FC$500)))</f>
        <v/>
      </c>
      <c r="ID18" s="125">
        <f>IF(OR(ID$4="",$B18=""),0,SUMIF('DADOS BRUTOS'!$A$3:$A$500,$B18,'DADOS BRUTOS'!FD$3:FD$500)+IF($C18="",0,SUMIF('DADOS BRUTOS'!$A$3:$A$500,$C18,'DADOS BRUTOS'!FD$3:FD$500)))</f>
        <v/>
      </c>
      <c r="IE18" s="125">
        <f>IF(OR(IE$4="",$B18=""),0,SUMIF('DADOS BRUTOS'!$A$3:$A$500,$B18,'DADOS BRUTOS'!FE$3:FE$500)+IF($C18="",0,SUMIF('DADOS BRUTOS'!$A$3:$A$500,$C18,'DADOS BRUTOS'!FE$3:FE$500)))</f>
        <v/>
      </c>
      <c r="IF18" s="125">
        <f>IF(OR(IF$4="",$B18=""),0,SUMIF('DADOS BRUTOS'!$A$3:$A$500,$B18,'DADOS BRUTOS'!FF$3:FF$500)+IF($C18="",0,SUMIF('DADOS BRUTOS'!$A$3:$A$500,$C18,'DADOS BRUTOS'!FF$3:FF$500)))</f>
        <v/>
      </c>
      <c r="IG18" s="125">
        <f>IF(OR(IG$4="",$B18=""),0,SUMIF('DADOS BRUTOS'!$A$3:$A$500,$B18,'DADOS BRUTOS'!FG$3:FG$500)+IF($C18="",0,SUMIF('DADOS BRUTOS'!$A$3:$A$500,$C18,'DADOS BRUTOS'!FG$3:FG$500)))</f>
        <v/>
      </c>
      <c r="IH18" s="125">
        <f>IF(OR(IH$4="",$B18=""),0,SUMIF('DADOS BRUTOS'!$A$3:$A$500,$B18,'DADOS BRUTOS'!FH$3:FH$500)+IF($C18="",0,SUMIF('DADOS BRUTOS'!$A$3:$A$500,$C18,'DADOS BRUTOS'!FH$3:FH$500)))</f>
        <v/>
      </c>
      <c r="II18" s="125">
        <f>IF(OR(II$4="",$B18=""),0,SUMIF('DADOS BRUTOS'!$A$3:$A$500,$B18,'DADOS BRUTOS'!FI$3:FI$500)+IF($C18="",0,SUMIF('DADOS BRUTOS'!$A$3:$A$500,$C18,'DADOS BRUTOS'!FI$3:FI$500)))</f>
        <v/>
      </c>
      <c r="IJ18" s="125">
        <f>IF(OR(IJ$4="",$B18=""),0,SUMIF('DADOS BRUTOS'!$A$3:$A$500,$B18,'DADOS BRUTOS'!FJ$3:FJ$500)+IF($C18="",0,SUMIF('DADOS BRUTOS'!$A$3:$A$500,$C18,'DADOS BRUTOS'!FJ$3:FJ$500)))</f>
        <v/>
      </c>
      <c r="IK18" s="125">
        <f>IF(OR(IK$4="",$B18=""),0,SUMIF('DADOS BRUTOS'!$A$3:$A$500,$B18,'DADOS BRUTOS'!FK$3:FK$500)+IF($C18="",0,SUMIF('DADOS BRUTOS'!$A$3:$A$500,$C18,'DADOS BRUTOS'!FK$3:FK$500)))</f>
        <v/>
      </c>
      <c r="IL18" s="125">
        <f>IF(OR(IL$4="",$B18=""),0,SUMIF('DADOS BRUTOS'!$A$3:$A$500,$B18,'DADOS BRUTOS'!FL$3:FL$500)+IF($C18="",0,SUMIF('DADOS BRUTOS'!$A$3:$A$500,$C18,'DADOS BRUTOS'!FL$3:FL$500)))</f>
        <v/>
      </c>
      <c r="IM18" s="125">
        <f>IF(OR(IM$4="",$B18=""),0,SUMIF('DADOS BRUTOS'!$A$3:$A$500,$B18,'DADOS BRUTOS'!FM$3:FM$500)+IF($C18="",0,SUMIF('DADOS BRUTOS'!$A$3:$A$500,$C18,'DADOS BRUTOS'!FM$3:FM$500)))</f>
        <v/>
      </c>
      <c r="IN18" s="125">
        <f>IF(OR(IN$4="",$B18=""),0,SUMIF('DADOS BRUTOS'!$A$3:$A$500,$B18,'DADOS BRUTOS'!FN$3:FN$500)+IF($C18="",0,SUMIF('DADOS BRUTOS'!$A$3:$A$500,$C18,'DADOS BRUTOS'!FN$3:FN$500)))</f>
        <v/>
      </c>
      <c r="IO18" s="125">
        <f>IF(OR(IO$4="",$B18=""),0,SUMIF('DADOS BRUTOS'!$A$3:$A$500,$B18,'DADOS BRUTOS'!FO$3:FO$500)+IF($C18="",0,SUMIF('DADOS BRUTOS'!$A$3:$A$500,$C18,'DADOS BRUTOS'!FO$3:FO$500)))</f>
        <v/>
      </c>
      <c r="IP18" s="125">
        <f>IF(OR(IP$4="",$B18=""),0,SUMIF('DADOS BRUTOS'!$A$3:$A$500,$B18,'DADOS BRUTOS'!FP$3:FP$500)+IF($C18="",0,SUMIF('DADOS BRUTOS'!$A$3:$A$500,$C18,'DADOS BRUTOS'!FP$3:FP$500)))</f>
        <v/>
      </c>
      <c r="IQ18" s="125">
        <f>IF(OR(IQ$4="",$B18=""),0,SUMIF('DADOS BRUTOS'!$A$3:$A$500,$B18,'DADOS BRUTOS'!FQ$3:FQ$500)+IF($C18="",0,SUMIF('DADOS BRUTOS'!$A$3:$A$500,$C18,'DADOS BRUTOS'!FQ$3:FQ$500)))</f>
        <v/>
      </c>
      <c r="IR18" s="125">
        <f>IF(OR(IR$4="",$B18=""),0,SUMIF('DADOS BRUTOS'!$A$3:$A$500,$B18,'DADOS BRUTOS'!FR$3:FR$500)+IF($C18="",0,SUMIF('DADOS BRUTOS'!$A$3:$A$500,$C18,'DADOS BRUTOS'!FR$3:FR$500)))</f>
        <v/>
      </c>
      <c r="IS18" s="125">
        <f>IF(OR(IS$4="",$B18=""),0,SUMIF('DADOS BRUTOS'!$A$3:$A$500,$B18,'DADOS BRUTOS'!FS$3:FS$500)+IF($C18="",0,SUMIF('DADOS BRUTOS'!$A$3:$A$500,$C18,'DADOS BRUTOS'!FS$3:FS$500)))</f>
        <v/>
      </c>
      <c r="IT18" s="125">
        <f>IF(OR(IT$4="",$B18=""),0,SUMIF('DADOS BRUTOS'!$A$3:$A$500,$B18,'DADOS BRUTOS'!FT$3:FT$500)+IF($C18="",0,SUMIF('DADOS BRUTOS'!$A$3:$A$500,$C18,'DADOS BRUTOS'!FT$3:FT$500)))</f>
        <v/>
      </c>
      <c r="IU18" s="125">
        <f>IF(OR(IU$4="",$B18=""),0,SUMIF('DADOS BRUTOS'!$A$3:$A$500,$B18,'DADOS BRUTOS'!FU$3:FU$500)+IF($C18="",0,SUMIF('DADOS BRUTOS'!$A$3:$A$500,$C18,'DADOS BRUTOS'!FU$3:FU$500)))</f>
        <v/>
      </c>
      <c r="IV18" s="125">
        <f>IF(OR(IV$4="",$B18=""),0,SUMIF('DADOS BRUTOS'!$A$3:$A$500,$B18,'DADOS BRUTOS'!FV$3:FV$500)+IF($C18="",0,SUMIF('DADOS BRUTOS'!$A$3:$A$500,$C18,'DADOS BRUTOS'!FV$3:FV$500)))</f>
        <v/>
      </c>
      <c r="IW18" s="125">
        <f>IF(OR(IW$4="",$B18=""),0,SUMIF('DADOS BRUTOS'!$A$3:$A$500,$B18,'DADOS BRUTOS'!FW$3:FW$500)+IF($C18="",0,SUMIF('DADOS BRUTOS'!$A$3:$A$500,$C18,'DADOS BRUTOS'!FW$3:FW$500)))</f>
        <v/>
      </c>
      <c r="IX18" s="125">
        <f>IF(OR(IX$4="",$B18=""),0,SUMIF('DADOS BRUTOS'!$A$3:$A$500,$B18,'DADOS BRUTOS'!FX$3:FX$500)+IF($C18="",0,SUMIF('DADOS BRUTOS'!$A$3:$A$500,$C18,'DADOS BRUTOS'!FX$3:FX$500)))</f>
        <v/>
      </c>
      <c r="IY18" s="125">
        <f>IF(OR(IY$4="",$B18=""),0,SUMIF('DADOS BRUTOS'!$A$3:$A$500,$B18,'DADOS BRUTOS'!FY$3:FY$500)+IF($C18="",0,SUMIF('DADOS BRUTOS'!$A$3:$A$500,$C18,'DADOS BRUTOS'!FY$3:FY$500)))</f>
        <v/>
      </c>
      <c r="IZ18" s="125">
        <f>IF(OR(IZ$4="",$B18=""),0,SUMIF('DADOS BRUTOS'!$A$3:$A$500,$B18,'DADOS BRUTOS'!FZ$3:FZ$500)+IF($C18="",0,SUMIF('DADOS BRUTOS'!$A$3:$A$500,$C18,'DADOS BRUTOS'!FZ$3:FZ$500)))</f>
        <v/>
      </c>
      <c r="JA18" s="125">
        <f>IF(OR(JA$4="",$B18=""),0,SUMIF('DADOS BRUTOS'!$A$3:$A$500,$B18,'DADOS BRUTOS'!GA$3:GA$500)+IF($C18="",0,SUMIF('DADOS BRUTOS'!$A$3:$A$500,$C18,'DADOS BRUTOS'!GA$3:GA$500)))</f>
        <v/>
      </c>
      <c r="JB18" s="125">
        <f>IF(OR(JB$4="",$B18=""),0,SUMIF('DADOS BRUTOS'!$A$3:$A$500,$B18,'DADOS BRUTOS'!GB$3:GB$500)+IF($C18="",0,SUMIF('DADOS BRUTOS'!$A$3:$A$500,$C18,'DADOS BRUTOS'!GB$3:GB$500)))</f>
        <v/>
      </c>
      <c r="JC18" s="125">
        <f>IF(OR(JC$4="",$B18=""),0,SUMIF('DADOS BRUTOS'!$A$3:$A$500,$B18,'DADOS BRUTOS'!GC$3:GC$500)+IF($C18="",0,SUMIF('DADOS BRUTOS'!$A$3:$A$500,$C18,'DADOS BRUTOS'!GC$3:GC$500)))</f>
        <v/>
      </c>
      <c r="JD18" s="125">
        <f>IF(OR(JD$4="",$B18=""),0,SUMIF('DADOS BRUTOS'!$A$3:$A$500,$B18,'DADOS BRUTOS'!GD$3:GD$500)+IF($C18="",0,SUMIF('DADOS BRUTOS'!$A$3:$A$500,$C18,'DADOS BRUTOS'!GD$3:GD$500)))</f>
        <v/>
      </c>
      <c r="JE18" s="125">
        <f>IF(OR(JE$4="",$B18=""),0,SUMIF('DADOS BRUTOS'!$A$3:$A$500,$B18,'DADOS BRUTOS'!GE$3:GE$500)+IF($C18="",0,SUMIF('DADOS BRUTOS'!$A$3:$A$500,$C18,'DADOS BRUTOS'!GE$3:GE$500)))</f>
        <v/>
      </c>
      <c r="JF18" s="125">
        <f>IF(OR(JF$4="",$B18=""),0,SUMIF('DADOS BRUTOS'!$A$3:$A$500,$B18,'DADOS BRUTOS'!GF$3:GF$500)+IF($C18="",0,SUMIF('DADOS BRUTOS'!$A$3:$A$500,$C18,'DADOS BRUTOS'!GF$3:GF$500)))</f>
        <v/>
      </c>
      <c r="JG18" s="125">
        <f>IF(OR(JG$4="",$B18=""),0,SUMIF('DADOS BRUTOS'!$A$3:$A$500,$B18,'DADOS BRUTOS'!GG$3:GG$500)+IF($C18="",0,SUMIF('DADOS BRUTOS'!$A$3:$A$500,$C18,'DADOS BRUTOS'!GG$3:GG$500)))</f>
        <v/>
      </c>
      <c r="JH18" s="125">
        <f>IF(OR(JH$4="",$B18=""),0,SUMIF('DADOS BRUTOS'!$A$3:$A$500,$B18,'DADOS BRUTOS'!GH$3:GH$500)+IF($C18="",0,SUMIF('DADOS BRUTOS'!$A$3:$A$500,$C18,'DADOS BRUTOS'!GH$3:GH$500)))</f>
        <v/>
      </c>
      <c r="JI18" s="125">
        <f>IF(OR(JI$4="",$B18=""),0,SUMIF('DADOS BRUTOS'!$A$3:$A$500,$B18,'DADOS BRUTOS'!GI$3:GI$500)+IF($C18="",0,SUMIF('DADOS BRUTOS'!$A$3:$A$500,$C18,'DADOS BRUTOS'!GI$3:GI$500)))</f>
        <v/>
      </c>
      <c r="JJ18" s="125">
        <f>IF(OR(JJ$4="",$B18=""),0,SUMIF('DADOS BRUTOS'!$A$3:$A$500,$B18,'DADOS BRUTOS'!GJ$3:GJ$500)+IF($C18="",0,SUMIF('DADOS BRUTOS'!$A$3:$A$500,$C18,'DADOS BRUTOS'!GJ$3:GJ$500)))</f>
        <v/>
      </c>
      <c r="JK18" s="125">
        <f>IF(OR(JK$4="",$B18=""),0,SUMIF('DADOS BRUTOS'!$A$3:$A$500,$B18,'DADOS BRUTOS'!GK$3:GK$500)+IF($C18="",0,SUMIF('DADOS BRUTOS'!$A$3:$A$500,$C18,'DADOS BRUTOS'!GK$3:GK$500)))</f>
        <v/>
      </c>
      <c r="JL18" s="125">
        <f>IF(OR(JL$4="",$B18=""),0,SUMIF('DADOS BRUTOS'!$A$3:$A$500,$B18,'DADOS BRUTOS'!GL$3:GL$500)+IF($C18="",0,SUMIF('DADOS BRUTOS'!$A$3:$A$500,$C18,'DADOS BRUTOS'!GL$3:GL$500)))</f>
        <v/>
      </c>
      <c r="JM18" s="125">
        <f>IF(OR(JM$4="",$B18=""),0,SUMIF('DADOS BRUTOS'!$A$3:$A$500,$B18,'DADOS BRUTOS'!GM$3:GM$500)+IF($C18="",0,SUMIF('DADOS BRUTOS'!$A$3:$A$500,$C18,'DADOS BRUTOS'!GM$3:GM$500)))</f>
        <v/>
      </c>
      <c r="JN18" s="125">
        <f>IF(OR(JN$4="",$B18=""),0,SUMIF('DADOS BRUTOS'!$A$3:$A$500,$B18,'DADOS BRUTOS'!GN$3:GN$500)+IF($C18="",0,SUMIF('DADOS BRUTOS'!$A$3:$A$500,$C18,'DADOS BRUTOS'!GN$3:GN$500)))</f>
        <v/>
      </c>
      <c r="JO18" s="125">
        <f>IF(OR(JO$4="",$B18=""),0,SUMIF('DADOS BRUTOS'!$A$3:$A$500,$B18,'DADOS BRUTOS'!GO$3:GO$500)+IF($C18="",0,SUMIF('DADOS BRUTOS'!$A$3:$A$500,$C18,'DADOS BRUTOS'!GO$3:GO$500)))</f>
        <v/>
      </c>
      <c r="JP18" s="125">
        <f>IF(OR(JP$4="",$B18=""),0,SUMIF('DADOS BRUTOS'!$A$3:$A$500,$B18,'DADOS BRUTOS'!GP$3:GP$500)+IF($C18="",0,SUMIF('DADOS BRUTOS'!$A$3:$A$500,$C18,'DADOS BRUTOS'!GP$3:GP$500)))</f>
        <v/>
      </c>
      <c r="JQ18" s="125">
        <f>IF(OR(JQ$4="",$B18=""),0,SUMIF('DADOS BRUTOS'!$A$3:$A$500,$B18,'DADOS BRUTOS'!GQ$3:GQ$500)+IF($C18="",0,SUMIF('DADOS BRUTOS'!$A$3:$A$500,$C18,'DADOS BRUTOS'!GQ$3:GQ$500)))</f>
        <v/>
      </c>
      <c r="JR18" s="125">
        <f>IF(OR(JR$4="",$B18=""),0,SUMIF('DADOS BRUTOS'!$A$3:$A$500,$B18,'DADOS BRUTOS'!GR$3:GR$500)+IF($C18="",0,SUMIF('DADOS BRUTOS'!$A$3:$A$500,$C18,'DADOS BRUTOS'!GR$3:GR$500)))</f>
        <v/>
      </c>
      <c r="JS18" s="125">
        <f>IF(OR(JS$4="",$B18=""),0,SUMIF('DADOS BRUTOS'!$A$3:$A$500,$B18,'DADOS BRUTOS'!GS$3:GS$500)+IF($C18="",0,SUMIF('DADOS BRUTOS'!$A$3:$A$500,$C18,'DADOS BRUTOS'!GS$3:GS$500)))</f>
        <v/>
      </c>
    </row>
    <row r="19">
      <c r="A19" s="61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BZ19" s="49">
        <f>SUMPRODUCT(($CB$4:$JS$4&lt;&gt;"")*($CB$4:$JS$4&lt;=$D$4),$CB19:$JS19,$CB$1:$JS$1)</f>
        <v/>
      </c>
      <c r="CB19" s="125">
        <f>IF(OR(CB$4="",$B19=""),0,SUMIF('DADOS BRUTOS'!$A$3:$A$500,$B19,'DADOS BRUTOS'!B$3:B$500)+IF($C19="",0,SUMIF('DADOS BRUTOS'!$A$3:$A$500,$C19,'DADOS BRUTOS'!B$3:B$500)))</f>
        <v/>
      </c>
      <c r="CC19" s="125">
        <f>IF(OR(CC$4="",$B19=""),0,SUMIF('DADOS BRUTOS'!$A$3:$A$500,$B19,'DADOS BRUTOS'!C$3:C$500)+IF($C19="",0,SUMIF('DADOS BRUTOS'!$A$3:$A$500,$C19,'DADOS BRUTOS'!C$3:C$500)))</f>
        <v/>
      </c>
      <c r="CD19" s="125">
        <f>IF(OR(CD$4="",$B19=""),0,SUMIF('DADOS BRUTOS'!$A$3:$A$500,$B19,'DADOS BRUTOS'!D$3:D$500)+IF($C19="",0,SUMIF('DADOS BRUTOS'!$A$3:$A$500,$C19,'DADOS BRUTOS'!D$3:D$500)))</f>
        <v/>
      </c>
      <c r="CE19" s="125">
        <f>IF(OR(CE$4="",$B19=""),0,SUMIF('DADOS BRUTOS'!$A$3:$A$500,$B19,'DADOS BRUTOS'!E$3:E$500)+IF($C19="",0,SUMIF('DADOS BRUTOS'!$A$3:$A$500,$C19,'DADOS BRUTOS'!E$3:E$500)))</f>
        <v/>
      </c>
      <c r="CF19" s="125">
        <f>IF(OR(CF$4="",$B19=""),0,SUMIF('DADOS BRUTOS'!$A$3:$A$500,$B19,'DADOS BRUTOS'!F$3:F$500)+IF($C19="",0,SUMIF('DADOS BRUTOS'!$A$3:$A$500,$C19,'DADOS BRUTOS'!F$3:F$500)))</f>
        <v/>
      </c>
      <c r="CG19" s="125">
        <f>IF(OR(CG$4="",$B19=""),0,SUMIF('DADOS BRUTOS'!$A$3:$A$500,$B19,'DADOS BRUTOS'!G$3:G$500)+IF($C19="",0,SUMIF('DADOS BRUTOS'!$A$3:$A$500,$C19,'DADOS BRUTOS'!G$3:G$500)))</f>
        <v/>
      </c>
      <c r="CH19" s="125">
        <f>IF(OR(CH$4="",$B19=""),0,SUMIF('DADOS BRUTOS'!$A$3:$A$500,$B19,'DADOS BRUTOS'!H$3:H$500)+IF($C19="",0,SUMIF('DADOS BRUTOS'!$A$3:$A$500,$C19,'DADOS BRUTOS'!H$3:H$500)))</f>
        <v/>
      </c>
      <c r="CI19" s="125">
        <f>IF(OR(CI$4="",$B19=""),0,SUMIF('DADOS BRUTOS'!$A$3:$A$500,$B19,'DADOS BRUTOS'!I$3:I$500)+IF($C19="",0,SUMIF('DADOS BRUTOS'!$A$3:$A$500,$C19,'DADOS BRUTOS'!I$3:I$500)))</f>
        <v/>
      </c>
      <c r="CJ19" s="125">
        <f>IF(OR(CJ$4="",$B19=""),0,SUMIF('DADOS BRUTOS'!$A$3:$A$500,$B19,'DADOS BRUTOS'!J$3:J$500)+IF($C19="",0,SUMIF('DADOS BRUTOS'!$A$3:$A$500,$C19,'DADOS BRUTOS'!J$3:J$500)))</f>
        <v/>
      </c>
      <c r="CK19" s="125">
        <f>IF(OR(CK$4="",$B19=""),0,SUMIF('DADOS BRUTOS'!$A$3:$A$500,$B19,'DADOS BRUTOS'!K$3:K$500)+IF($C19="",0,SUMIF('DADOS BRUTOS'!$A$3:$A$500,$C19,'DADOS BRUTOS'!K$3:K$500)))</f>
        <v/>
      </c>
      <c r="CL19" s="125">
        <f>IF(OR(CL$4="",$B19=""),0,SUMIF('DADOS BRUTOS'!$A$3:$A$500,$B19,'DADOS BRUTOS'!L$3:L$500)+IF($C19="",0,SUMIF('DADOS BRUTOS'!$A$3:$A$500,$C19,'DADOS BRUTOS'!L$3:L$500)))</f>
        <v/>
      </c>
      <c r="CM19" s="125">
        <f>IF(OR(CM$4="",$B19=""),0,SUMIF('DADOS BRUTOS'!$A$3:$A$500,$B19,'DADOS BRUTOS'!M$3:M$500)+IF($C19="",0,SUMIF('DADOS BRUTOS'!$A$3:$A$500,$C19,'DADOS BRUTOS'!M$3:M$500)))</f>
        <v/>
      </c>
      <c r="CN19" s="125">
        <f>IF(OR(CN$4="",$B19=""),0,SUMIF('DADOS BRUTOS'!$A$3:$A$500,$B19,'DADOS BRUTOS'!N$3:N$500)+IF($C19="",0,SUMIF('DADOS BRUTOS'!$A$3:$A$500,$C19,'DADOS BRUTOS'!N$3:N$500)))</f>
        <v/>
      </c>
      <c r="CO19" s="125">
        <f>IF(OR(CO$4="",$B19=""),0,SUMIF('DADOS BRUTOS'!$A$3:$A$500,$B19,'DADOS BRUTOS'!O$3:O$500)+IF($C19="",0,SUMIF('DADOS BRUTOS'!$A$3:$A$500,$C19,'DADOS BRUTOS'!O$3:O$500)))</f>
        <v/>
      </c>
      <c r="CP19" s="125">
        <f>IF(OR(CP$4="",$B19=""),0,SUMIF('DADOS BRUTOS'!$A$3:$A$500,$B19,'DADOS BRUTOS'!P$3:P$500)+IF($C19="",0,SUMIF('DADOS BRUTOS'!$A$3:$A$500,$C19,'DADOS BRUTOS'!P$3:P$500)))</f>
        <v/>
      </c>
      <c r="CQ19" s="125">
        <f>IF(OR(CQ$4="",$B19=""),0,SUMIF('DADOS BRUTOS'!$A$3:$A$500,$B19,'DADOS BRUTOS'!Q$3:Q$500)+IF($C19="",0,SUMIF('DADOS BRUTOS'!$A$3:$A$500,$C19,'DADOS BRUTOS'!Q$3:Q$500)))</f>
        <v/>
      </c>
      <c r="CR19" s="125">
        <f>IF(OR(CR$4="",$B19=""),0,SUMIF('DADOS BRUTOS'!$A$3:$A$500,$B19,'DADOS BRUTOS'!R$3:R$500)+IF($C19="",0,SUMIF('DADOS BRUTOS'!$A$3:$A$500,$C19,'DADOS BRUTOS'!R$3:R$500)))</f>
        <v/>
      </c>
      <c r="CS19" s="125">
        <f>IF(OR(CS$4="",$B19=""),0,SUMIF('DADOS BRUTOS'!$A$3:$A$500,$B19,'DADOS BRUTOS'!S$3:S$500)+IF($C19="",0,SUMIF('DADOS BRUTOS'!$A$3:$A$500,$C19,'DADOS BRUTOS'!S$3:S$500)))</f>
        <v/>
      </c>
      <c r="CT19" s="125">
        <f>IF(OR(CT$4="",$B19=""),0,SUMIF('DADOS BRUTOS'!$A$3:$A$500,$B19,'DADOS BRUTOS'!T$3:T$500)+IF($C19="",0,SUMIF('DADOS BRUTOS'!$A$3:$A$500,$C19,'DADOS BRUTOS'!T$3:T$500)))</f>
        <v/>
      </c>
      <c r="CU19" s="125">
        <f>IF(OR(CU$4="",$B19=""),0,SUMIF('DADOS BRUTOS'!$A$3:$A$500,$B19,'DADOS BRUTOS'!U$3:U$500)+IF($C19="",0,SUMIF('DADOS BRUTOS'!$A$3:$A$500,$C19,'DADOS BRUTOS'!U$3:U$500)))</f>
        <v/>
      </c>
      <c r="CV19" s="125">
        <f>IF(OR(CV$4="",$B19=""),0,SUMIF('DADOS BRUTOS'!$A$3:$A$500,$B19,'DADOS BRUTOS'!V$3:V$500)+IF($C19="",0,SUMIF('DADOS BRUTOS'!$A$3:$A$500,$C19,'DADOS BRUTOS'!V$3:V$500)))</f>
        <v/>
      </c>
      <c r="CW19" s="125">
        <f>IF(OR(CW$4="",$B19=""),0,SUMIF('DADOS BRUTOS'!$A$3:$A$500,$B19,'DADOS BRUTOS'!W$3:W$500)+IF($C19="",0,SUMIF('DADOS BRUTOS'!$A$3:$A$500,$C19,'DADOS BRUTOS'!W$3:W$500)))</f>
        <v/>
      </c>
      <c r="CX19" s="125">
        <f>IF(OR(CX$4="",$B19=""),0,SUMIF('DADOS BRUTOS'!$A$3:$A$500,$B19,'DADOS BRUTOS'!X$3:X$500)+IF($C19="",0,SUMIF('DADOS BRUTOS'!$A$3:$A$500,$C19,'DADOS BRUTOS'!X$3:X$500)))</f>
        <v/>
      </c>
      <c r="CY19" s="125">
        <f>IF(OR(CY$4="",$B19=""),0,SUMIF('DADOS BRUTOS'!$A$3:$A$500,$B19,'DADOS BRUTOS'!Y$3:Y$500)+IF($C19="",0,SUMIF('DADOS BRUTOS'!$A$3:$A$500,$C19,'DADOS BRUTOS'!Y$3:Y$500)))</f>
        <v/>
      </c>
      <c r="CZ19" s="125">
        <f>IF(OR(CZ$4="",$B19=""),0,SUMIF('DADOS BRUTOS'!$A$3:$A$500,$B19,'DADOS BRUTOS'!Z$3:Z$500)+IF($C19="",0,SUMIF('DADOS BRUTOS'!$A$3:$A$500,$C19,'DADOS BRUTOS'!Z$3:Z$500)))</f>
        <v/>
      </c>
      <c r="DA19" s="125">
        <f>IF(OR(DA$4="",$B19=""),0,SUMIF('DADOS BRUTOS'!$A$3:$A$500,$B19,'DADOS BRUTOS'!AA$3:AA$500)+IF($C19="",0,SUMIF('DADOS BRUTOS'!$A$3:$A$500,$C19,'DADOS BRUTOS'!AA$3:AA$500)))</f>
        <v/>
      </c>
      <c r="DB19" s="125">
        <f>IF(OR(DB$4="",$B19=""),0,SUMIF('DADOS BRUTOS'!$A$3:$A$500,$B19,'DADOS BRUTOS'!AB$3:AB$500)+IF($C19="",0,SUMIF('DADOS BRUTOS'!$A$3:$A$500,$C19,'DADOS BRUTOS'!AB$3:AB$500)))</f>
        <v/>
      </c>
      <c r="DC19" s="125">
        <f>IF(OR(DC$4="",$B19=""),0,SUMIF('DADOS BRUTOS'!$A$3:$A$500,$B19,'DADOS BRUTOS'!AC$3:AC$500)+IF($C19="",0,SUMIF('DADOS BRUTOS'!$A$3:$A$500,$C19,'DADOS BRUTOS'!AC$3:AC$500)))</f>
        <v/>
      </c>
      <c r="DD19" s="125">
        <f>IF(OR(DD$4="",$B19=""),0,SUMIF('DADOS BRUTOS'!$A$3:$A$500,$B19,'DADOS BRUTOS'!AD$3:AD$500)+IF($C19="",0,SUMIF('DADOS BRUTOS'!$A$3:$A$500,$C19,'DADOS BRUTOS'!AD$3:AD$500)))</f>
        <v/>
      </c>
      <c r="DE19" s="125">
        <f>IF(OR(DE$4="",$B19=""),0,SUMIF('DADOS BRUTOS'!$A$3:$A$500,$B19,'DADOS BRUTOS'!AE$3:AE$500)+IF($C19="",0,SUMIF('DADOS BRUTOS'!$A$3:$A$500,$C19,'DADOS BRUTOS'!AE$3:AE$500)))</f>
        <v/>
      </c>
      <c r="DF19" s="125">
        <f>IF(OR(DF$4="",$B19=""),0,SUMIF('DADOS BRUTOS'!$A$3:$A$500,$B19,'DADOS BRUTOS'!AF$3:AF$500)+IF($C19="",0,SUMIF('DADOS BRUTOS'!$A$3:$A$500,$C19,'DADOS BRUTOS'!AF$3:AF$500)))</f>
        <v/>
      </c>
      <c r="DG19" s="125">
        <f>IF(OR(DG$4="",$B19=""),0,SUMIF('DADOS BRUTOS'!$A$3:$A$500,$B19,'DADOS BRUTOS'!AG$3:AG$500)+IF($C19="",0,SUMIF('DADOS BRUTOS'!$A$3:$A$500,$C19,'DADOS BRUTOS'!AG$3:AG$500)))</f>
        <v/>
      </c>
      <c r="DH19" s="125">
        <f>IF(OR(DH$4="",$B19=""),0,SUMIF('DADOS BRUTOS'!$A$3:$A$500,$B19,'DADOS BRUTOS'!AH$3:AH$500)+IF($C19="",0,SUMIF('DADOS BRUTOS'!$A$3:$A$500,$C19,'DADOS BRUTOS'!AH$3:AH$500)))</f>
        <v/>
      </c>
      <c r="DI19" s="125">
        <f>IF(OR(DI$4="",$B19=""),0,SUMIF('DADOS BRUTOS'!$A$3:$A$500,$B19,'DADOS BRUTOS'!AI$3:AI$500)+IF($C19="",0,SUMIF('DADOS BRUTOS'!$A$3:$A$500,$C19,'DADOS BRUTOS'!AI$3:AI$500)))</f>
        <v/>
      </c>
      <c r="DJ19" s="125">
        <f>IF(OR(DJ$4="",$B19=""),0,SUMIF('DADOS BRUTOS'!$A$3:$A$500,$B19,'DADOS BRUTOS'!AJ$3:AJ$500)+IF($C19="",0,SUMIF('DADOS BRUTOS'!$A$3:$A$500,$C19,'DADOS BRUTOS'!AJ$3:AJ$500)))</f>
        <v/>
      </c>
      <c r="DK19" s="125">
        <f>IF(OR(DK$4="",$B19=""),0,SUMIF('DADOS BRUTOS'!$A$3:$A$500,$B19,'DADOS BRUTOS'!AK$3:AK$500)+IF($C19="",0,SUMIF('DADOS BRUTOS'!$A$3:$A$500,$C19,'DADOS BRUTOS'!AK$3:AK$500)))</f>
        <v/>
      </c>
      <c r="DL19" s="125">
        <f>IF(OR(DL$4="",$B19=""),0,SUMIF('DADOS BRUTOS'!$A$3:$A$500,$B19,'DADOS BRUTOS'!AL$3:AL$500)+IF($C19="",0,SUMIF('DADOS BRUTOS'!$A$3:$A$500,$C19,'DADOS BRUTOS'!AL$3:AL$500)))</f>
        <v/>
      </c>
      <c r="DM19" s="125">
        <f>IF(OR(DM$4="",$B19=""),0,SUMIF('DADOS BRUTOS'!$A$3:$A$500,$B19,'DADOS BRUTOS'!AM$3:AM$500)+IF($C19="",0,SUMIF('DADOS BRUTOS'!$A$3:$A$500,$C19,'DADOS BRUTOS'!AM$3:AM$500)))</f>
        <v/>
      </c>
      <c r="DN19" s="125">
        <f>IF(OR(DN$4="",$B19=""),0,SUMIF('DADOS BRUTOS'!$A$3:$A$500,$B19,'DADOS BRUTOS'!AN$3:AN$500)+IF($C19="",0,SUMIF('DADOS BRUTOS'!$A$3:$A$500,$C19,'DADOS BRUTOS'!AN$3:AN$500)))</f>
        <v/>
      </c>
      <c r="DO19" s="125">
        <f>IF(OR(DO$4="",$B19=""),0,SUMIF('DADOS BRUTOS'!$A$3:$A$500,$B19,'DADOS BRUTOS'!AO$3:AO$500)+IF($C19="",0,SUMIF('DADOS BRUTOS'!$A$3:$A$500,$C19,'DADOS BRUTOS'!AO$3:AO$500)))</f>
        <v/>
      </c>
      <c r="DP19" s="125">
        <f>IF(OR(DP$4="",$B19=""),0,SUMIF('DADOS BRUTOS'!$A$3:$A$500,$B19,'DADOS BRUTOS'!AP$3:AP$500)+IF($C19="",0,SUMIF('DADOS BRUTOS'!$A$3:$A$500,$C19,'DADOS BRUTOS'!AP$3:AP$500)))</f>
        <v/>
      </c>
      <c r="DQ19" s="125">
        <f>IF(OR(DQ$4="",$B19=""),0,SUMIF('DADOS BRUTOS'!$A$3:$A$500,$B19,'DADOS BRUTOS'!AQ$3:AQ$500)+IF($C19="",0,SUMIF('DADOS BRUTOS'!$A$3:$A$500,$C19,'DADOS BRUTOS'!AQ$3:AQ$500)))</f>
        <v/>
      </c>
      <c r="DR19" s="125">
        <f>IF(OR(DR$4="",$B19=""),0,SUMIF('DADOS BRUTOS'!$A$3:$A$500,$B19,'DADOS BRUTOS'!AR$3:AR$500)+IF($C19="",0,SUMIF('DADOS BRUTOS'!$A$3:$A$500,$C19,'DADOS BRUTOS'!AR$3:AR$500)))</f>
        <v/>
      </c>
      <c r="DS19" s="125">
        <f>IF(OR(DS$4="",$B19=""),0,SUMIF('DADOS BRUTOS'!$A$3:$A$500,$B19,'DADOS BRUTOS'!AS$3:AS$500)+IF($C19="",0,SUMIF('DADOS BRUTOS'!$A$3:$A$500,$C19,'DADOS BRUTOS'!AS$3:AS$500)))</f>
        <v/>
      </c>
      <c r="DT19" s="125">
        <f>IF(OR(DT$4="",$B19=""),0,SUMIF('DADOS BRUTOS'!$A$3:$A$500,$B19,'DADOS BRUTOS'!AT$3:AT$500)+IF($C19="",0,SUMIF('DADOS BRUTOS'!$A$3:$A$500,$C19,'DADOS BRUTOS'!AT$3:AT$500)))</f>
        <v/>
      </c>
      <c r="DU19" s="125">
        <f>IF(OR(DU$4="",$B19=""),0,SUMIF('DADOS BRUTOS'!$A$3:$A$500,$B19,'DADOS BRUTOS'!AU$3:AU$500)+IF($C19="",0,SUMIF('DADOS BRUTOS'!$A$3:$A$500,$C19,'DADOS BRUTOS'!AU$3:AU$500)))</f>
        <v/>
      </c>
      <c r="DV19" s="125">
        <f>IF(OR(DV$4="",$B19=""),0,SUMIF('DADOS BRUTOS'!$A$3:$A$500,$B19,'DADOS BRUTOS'!AV$3:AV$500)+IF($C19="",0,SUMIF('DADOS BRUTOS'!$A$3:$A$500,$C19,'DADOS BRUTOS'!AV$3:AV$500)))</f>
        <v/>
      </c>
      <c r="DW19" s="125">
        <f>IF(OR(DW$4="",$B19=""),0,SUMIF('DADOS BRUTOS'!$A$3:$A$500,$B19,'DADOS BRUTOS'!AW$3:AW$500)+IF($C19="",0,SUMIF('DADOS BRUTOS'!$A$3:$A$500,$C19,'DADOS BRUTOS'!AW$3:AW$500)))</f>
        <v/>
      </c>
      <c r="DX19" s="125">
        <f>IF(OR(DX$4="",$B19=""),0,SUMIF('DADOS BRUTOS'!$A$3:$A$500,$B19,'DADOS BRUTOS'!AX$3:AX$500)+IF($C19="",0,SUMIF('DADOS BRUTOS'!$A$3:$A$500,$C19,'DADOS BRUTOS'!AX$3:AX$500)))</f>
        <v/>
      </c>
      <c r="DY19" s="125">
        <f>IF(OR(DY$4="",$B19=""),0,SUMIF('DADOS BRUTOS'!$A$3:$A$500,$B19,'DADOS BRUTOS'!AY$3:AY$500)+IF($C19="",0,SUMIF('DADOS BRUTOS'!$A$3:$A$500,$C19,'DADOS BRUTOS'!AY$3:AY$500)))</f>
        <v/>
      </c>
      <c r="DZ19" s="125">
        <f>IF(OR(DZ$4="",$B19=""),0,SUMIF('DADOS BRUTOS'!$A$3:$A$500,$B19,'DADOS BRUTOS'!AZ$3:AZ$500)+IF($C19="",0,SUMIF('DADOS BRUTOS'!$A$3:$A$500,$C19,'DADOS BRUTOS'!AZ$3:AZ$500)))</f>
        <v/>
      </c>
      <c r="EA19" s="125">
        <f>IF(OR(EA$4="",$B19=""),0,SUMIF('DADOS BRUTOS'!$A$3:$A$500,$B19,'DADOS BRUTOS'!BA$3:BA$500)+IF($C19="",0,SUMIF('DADOS BRUTOS'!$A$3:$A$500,$C19,'DADOS BRUTOS'!BA$3:BA$500)))</f>
        <v/>
      </c>
      <c r="EB19" s="125">
        <f>IF(OR(EB$4="",$B19=""),0,SUMIF('DADOS BRUTOS'!$A$3:$A$500,$B19,'DADOS BRUTOS'!BB$3:BB$500)+IF($C19="",0,SUMIF('DADOS BRUTOS'!$A$3:$A$500,$C19,'DADOS BRUTOS'!BB$3:BB$500)))</f>
        <v/>
      </c>
      <c r="EC19" s="125">
        <f>IF(OR(EC$4="",$B19=""),0,SUMIF('DADOS BRUTOS'!$A$3:$A$500,$B19,'DADOS BRUTOS'!BC$3:BC$500)+IF($C19="",0,SUMIF('DADOS BRUTOS'!$A$3:$A$500,$C19,'DADOS BRUTOS'!BC$3:BC$500)))</f>
        <v/>
      </c>
      <c r="ED19" s="125">
        <f>IF(OR(ED$4="",$B19=""),0,SUMIF('DADOS BRUTOS'!$A$3:$A$500,$B19,'DADOS BRUTOS'!BD$3:BD$500)+IF($C19="",0,SUMIF('DADOS BRUTOS'!$A$3:$A$500,$C19,'DADOS BRUTOS'!BD$3:BD$500)))</f>
        <v/>
      </c>
      <c r="EE19" s="125">
        <f>IF(OR(EE$4="",$B19=""),0,SUMIF('DADOS BRUTOS'!$A$3:$A$500,$B19,'DADOS BRUTOS'!BE$3:BE$500)+IF($C19="",0,SUMIF('DADOS BRUTOS'!$A$3:$A$500,$C19,'DADOS BRUTOS'!BE$3:BE$500)))</f>
        <v/>
      </c>
      <c r="EF19" s="125">
        <f>IF(OR(EF$4="",$B19=""),0,SUMIF('DADOS BRUTOS'!$A$3:$A$500,$B19,'DADOS BRUTOS'!BF$3:BF$500)+IF($C19="",0,SUMIF('DADOS BRUTOS'!$A$3:$A$500,$C19,'DADOS BRUTOS'!BF$3:BF$500)))</f>
        <v/>
      </c>
      <c r="EG19" s="125">
        <f>IF(OR(EG$4="",$B19=""),0,SUMIF('DADOS BRUTOS'!$A$3:$A$500,$B19,'DADOS BRUTOS'!BG$3:BG$500)+IF($C19="",0,SUMIF('DADOS BRUTOS'!$A$3:$A$500,$C19,'DADOS BRUTOS'!BG$3:BG$500)))</f>
        <v/>
      </c>
      <c r="EH19" s="125">
        <f>IF(OR(EH$4="",$B19=""),0,SUMIF('DADOS BRUTOS'!$A$3:$A$500,$B19,'DADOS BRUTOS'!BH$3:BH$500)+IF($C19="",0,SUMIF('DADOS BRUTOS'!$A$3:$A$500,$C19,'DADOS BRUTOS'!BH$3:BH$500)))</f>
        <v/>
      </c>
      <c r="EI19" s="125">
        <f>IF(OR(EI$4="",$B19=""),0,SUMIF('DADOS BRUTOS'!$A$3:$A$500,$B19,'DADOS BRUTOS'!BI$3:BI$500)+IF($C19="",0,SUMIF('DADOS BRUTOS'!$A$3:$A$500,$C19,'DADOS BRUTOS'!BI$3:BI$500)))</f>
        <v/>
      </c>
      <c r="EJ19" s="125">
        <f>IF(OR(EJ$4="",$B19=""),0,SUMIF('DADOS BRUTOS'!$A$3:$A$500,$B19,'DADOS BRUTOS'!BJ$3:BJ$500)+IF($C19="",0,SUMIF('DADOS BRUTOS'!$A$3:$A$500,$C19,'DADOS BRUTOS'!BJ$3:BJ$500)))</f>
        <v/>
      </c>
      <c r="EK19" s="125">
        <f>IF(OR(EK$4="",$B19=""),0,SUMIF('DADOS BRUTOS'!$A$3:$A$500,$B19,'DADOS BRUTOS'!BK$3:BK$500)+IF($C19="",0,SUMIF('DADOS BRUTOS'!$A$3:$A$500,$C19,'DADOS BRUTOS'!BK$3:BK$500)))</f>
        <v/>
      </c>
      <c r="EL19" s="125">
        <f>IF(OR(EL$4="",$B19=""),0,SUMIF('DADOS BRUTOS'!$A$3:$A$500,$B19,'DADOS BRUTOS'!BL$3:BL$500)+IF($C19="",0,SUMIF('DADOS BRUTOS'!$A$3:$A$500,$C19,'DADOS BRUTOS'!BL$3:BL$500)))</f>
        <v/>
      </c>
      <c r="EM19" s="125">
        <f>IF(OR(EM$4="",$B19=""),0,SUMIF('DADOS BRUTOS'!$A$3:$A$500,$B19,'DADOS BRUTOS'!BM$3:BM$500)+IF($C19="",0,SUMIF('DADOS BRUTOS'!$A$3:$A$500,$C19,'DADOS BRUTOS'!BM$3:BM$500)))</f>
        <v/>
      </c>
      <c r="EN19" s="125">
        <f>IF(OR(EN$4="",$B19=""),0,SUMIF('DADOS BRUTOS'!$A$3:$A$500,$B19,'DADOS BRUTOS'!BN$3:BN$500)+IF($C19="",0,SUMIF('DADOS BRUTOS'!$A$3:$A$500,$C19,'DADOS BRUTOS'!BN$3:BN$500)))</f>
        <v/>
      </c>
      <c r="EO19" s="125">
        <f>IF(OR(EO$4="",$B19=""),0,SUMIF('DADOS BRUTOS'!$A$3:$A$500,$B19,'DADOS BRUTOS'!BO$3:BO$500)+IF($C19="",0,SUMIF('DADOS BRUTOS'!$A$3:$A$500,$C19,'DADOS BRUTOS'!BO$3:BO$500)))</f>
        <v/>
      </c>
      <c r="EP19" s="125">
        <f>IF(OR(EP$4="",$B19=""),0,SUMIF('DADOS BRUTOS'!$A$3:$A$500,$B19,'DADOS BRUTOS'!BP$3:BP$500)+IF($C19="",0,SUMIF('DADOS BRUTOS'!$A$3:$A$500,$C19,'DADOS BRUTOS'!BP$3:BP$500)))</f>
        <v/>
      </c>
      <c r="EQ19" s="125">
        <f>IF(OR(EQ$4="",$B19=""),0,SUMIF('DADOS BRUTOS'!$A$3:$A$500,$B19,'DADOS BRUTOS'!BQ$3:BQ$500)+IF($C19="",0,SUMIF('DADOS BRUTOS'!$A$3:$A$500,$C19,'DADOS BRUTOS'!BQ$3:BQ$500)))</f>
        <v/>
      </c>
      <c r="ER19" s="125">
        <f>IF(OR(ER$4="",$B19=""),0,SUMIF('DADOS BRUTOS'!$A$3:$A$500,$B19,'DADOS BRUTOS'!BR$3:BR$500)+IF($C19="",0,SUMIF('DADOS BRUTOS'!$A$3:$A$500,$C19,'DADOS BRUTOS'!BR$3:BR$500)))</f>
        <v/>
      </c>
      <c r="ES19" s="125">
        <f>IF(OR(ES$4="",$B19=""),0,SUMIF('DADOS BRUTOS'!$A$3:$A$500,$B19,'DADOS BRUTOS'!BS$3:BS$500)+IF($C19="",0,SUMIF('DADOS BRUTOS'!$A$3:$A$500,$C19,'DADOS BRUTOS'!BS$3:BS$500)))</f>
        <v/>
      </c>
      <c r="ET19" s="125">
        <f>IF(OR(ET$4="",$B19=""),0,SUMIF('DADOS BRUTOS'!$A$3:$A$500,$B19,'DADOS BRUTOS'!BT$3:BT$500)+IF($C19="",0,SUMIF('DADOS BRUTOS'!$A$3:$A$500,$C19,'DADOS BRUTOS'!BT$3:BT$500)))</f>
        <v/>
      </c>
      <c r="EU19" s="125">
        <f>IF(OR(EU$4="",$B19=""),0,SUMIF('DADOS BRUTOS'!$A$3:$A$500,$B19,'DADOS BRUTOS'!BU$3:BU$500)+IF($C19="",0,SUMIF('DADOS BRUTOS'!$A$3:$A$500,$C19,'DADOS BRUTOS'!BU$3:BU$500)))</f>
        <v/>
      </c>
      <c r="EV19" s="125">
        <f>IF(OR(EV$4="",$B19=""),0,SUMIF('DADOS BRUTOS'!$A$3:$A$500,$B19,'DADOS BRUTOS'!BV$3:BV$500)+IF($C19="",0,SUMIF('DADOS BRUTOS'!$A$3:$A$500,$C19,'DADOS BRUTOS'!BV$3:BV$500)))</f>
        <v/>
      </c>
      <c r="EW19" s="125">
        <f>IF(OR(EW$4="",$B19=""),0,SUMIF('DADOS BRUTOS'!$A$3:$A$500,$B19,'DADOS BRUTOS'!BW$3:BW$500)+IF($C19="",0,SUMIF('DADOS BRUTOS'!$A$3:$A$500,$C19,'DADOS BRUTOS'!BW$3:BW$500)))</f>
        <v/>
      </c>
      <c r="EX19" s="125">
        <f>IF(OR(EX$4="",$B19=""),0,SUMIF('DADOS BRUTOS'!$A$3:$A$500,$B19,'DADOS BRUTOS'!BX$3:BX$500)+IF($C19="",0,SUMIF('DADOS BRUTOS'!$A$3:$A$500,$C19,'DADOS BRUTOS'!BX$3:BX$500)))</f>
        <v/>
      </c>
      <c r="EY19" s="125">
        <f>IF(OR(EY$4="",$B19=""),0,SUMIF('DADOS BRUTOS'!$A$3:$A$500,$B19,'DADOS BRUTOS'!BY$3:BY$500)+IF($C19="",0,SUMIF('DADOS BRUTOS'!$A$3:$A$500,$C19,'DADOS BRUTOS'!BY$3:BY$500)))</f>
        <v/>
      </c>
      <c r="EZ19" s="125">
        <f>IF(OR(EZ$4="",$B19=""),0,SUMIF('DADOS BRUTOS'!$A$3:$A$500,$B19,'DADOS BRUTOS'!BZ$3:BZ$500)+IF($C19="",0,SUMIF('DADOS BRUTOS'!$A$3:$A$500,$C19,'DADOS BRUTOS'!BZ$3:BZ$500)))</f>
        <v/>
      </c>
      <c r="FA19" s="125">
        <f>IF(OR(FA$4="",$B19=""),0,SUMIF('DADOS BRUTOS'!$A$3:$A$500,$B19,'DADOS BRUTOS'!CA$3:CA$500)+IF($C19="",0,SUMIF('DADOS BRUTOS'!$A$3:$A$500,$C19,'DADOS BRUTOS'!CA$3:CA$500)))</f>
        <v/>
      </c>
      <c r="FB19" s="125">
        <f>IF(OR(FB$4="",$B19=""),0,SUMIF('DADOS BRUTOS'!$A$3:$A$500,$B19,'DADOS BRUTOS'!CB$3:CB$500)+IF($C19="",0,SUMIF('DADOS BRUTOS'!$A$3:$A$500,$C19,'DADOS BRUTOS'!CB$3:CB$500)))</f>
        <v/>
      </c>
      <c r="FC19" s="125">
        <f>IF(OR(FC$4="",$B19=""),0,SUMIF('DADOS BRUTOS'!$A$3:$A$500,$B19,'DADOS BRUTOS'!CC$3:CC$500)+IF($C19="",0,SUMIF('DADOS BRUTOS'!$A$3:$A$500,$C19,'DADOS BRUTOS'!CC$3:CC$500)))</f>
        <v/>
      </c>
      <c r="FD19" s="125">
        <f>IF(OR(FD$4="",$B19=""),0,SUMIF('DADOS BRUTOS'!$A$3:$A$500,$B19,'DADOS BRUTOS'!CD$3:CD$500)+IF($C19="",0,SUMIF('DADOS BRUTOS'!$A$3:$A$500,$C19,'DADOS BRUTOS'!CD$3:CD$500)))</f>
        <v/>
      </c>
      <c r="FE19" s="125">
        <f>IF(OR(FE$4="",$B19=""),0,SUMIF('DADOS BRUTOS'!$A$3:$A$500,$B19,'DADOS BRUTOS'!CE$3:CE$500)+IF($C19="",0,SUMIF('DADOS BRUTOS'!$A$3:$A$500,$C19,'DADOS BRUTOS'!CE$3:CE$500)))</f>
        <v/>
      </c>
      <c r="FF19" s="125">
        <f>IF(OR(FF$4="",$B19=""),0,SUMIF('DADOS BRUTOS'!$A$3:$A$500,$B19,'DADOS BRUTOS'!CF$3:CF$500)+IF($C19="",0,SUMIF('DADOS BRUTOS'!$A$3:$A$500,$C19,'DADOS BRUTOS'!CF$3:CF$500)))</f>
        <v/>
      </c>
      <c r="FG19" s="125">
        <f>IF(OR(FG$4="",$B19=""),0,SUMIF('DADOS BRUTOS'!$A$3:$A$500,$B19,'DADOS BRUTOS'!CG$3:CG$500)+IF($C19="",0,SUMIF('DADOS BRUTOS'!$A$3:$A$500,$C19,'DADOS BRUTOS'!CG$3:CG$500)))</f>
        <v/>
      </c>
      <c r="FH19" s="125">
        <f>IF(OR(FH$4="",$B19=""),0,SUMIF('DADOS BRUTOS'!$A$3:$A$500,$B19,'DADOS BRUTOS'!CH$3:CH$500)+IF($C19="",0,SUMIF('DADOS BRUTOS'!$A$3:$A$500,$C19,'DADOS BRUTOS'!CH$3:CH$500)))</f>
        <v/>
      </c>
      <c r="FI19" s="125">
        <f>IF(OR(FI$4="",$B19=""),0,SUMIF('DADOS BRUTOS'!$A$3:$A$500,$B19,'DADOS BRUTOS'!CI$3:CI$500)+IF($C19="",0,SUMIF('DADOS BRUTOS'!$A$3:$A$500,$C19,'DADOS BRUTOS'!CI$3:CI$500)))</f>
        <v/>
      </c>
      <c r="FJ19" s="125">
        <f>IF(OR(FJ$4="",$B19=""),0,SUMIF('DADOS BRUTOS'!$A$3:$A$500,$B19,'DADOS BRUTOS'!CJ$3:CJ$500)+IF($C19="",0,SUMIF('DADOS BRUTOS'!$A$3:$A$500,$C19,'DADOS BRUTOS'!CJ$3:CJ$500)))</f>
        <v/>
      </c>
      <c r="FK19" s="125">
        <f>IF(OR(FK$4="",$B19=""),0,SUMIF('DADOS BRUTOS'!$A$3:$A$500,$B19,'DADOS BRUTOS'!CK$3:CK$500)+IF($C19="",0,SUMIF('DADOS BRUTOS'!$A$3:$A$500,$C19,'DADOS BRUTOS'!CK$3:CK$500)))</f>
        <v/>
      </c>
      <c r="FL19" s="125">
        <f>IF(OR(FL$4="",$B19=""),0,SUMIF('DADOS BRUTOS'!$A$3:$A$500,$B19,'DADOS BRUTOS'!CL$3:CL$500)+IF($C19="",0,SUMIF('DADOS BRUTOS'!$A$3:$A$500,$C19,'DADOS BRUTOS'!CL$3:CL$500)))</f>
        <v/>
      </c>
      <c r="FM19" s="125">
        <f>IF(OR(FM$4="",$B19=""),0,SUMIF('DADOS BRUTOS'!$A$3:$A$500,$B19,'DADOS BRUTOS'!CM$3:CM$500)+IF($C19="",0,SUMIF('DADOS BRUTOS'!$A$3:$A$500,$C19,'DADOS BRUTOS'!CM$3:CM$500)))</f>
        <v/>
      </c>
      <c r="FN19" s="125">
        <f>IF(OR(FN$4="",$B19=""),0,SUMIF('DADOS BRUTOS'!$A$3:$A$500,$B19,'DADOS BRUTOS'!CN$3:CN$500)+IF($C19="",0,SUMIF('DADOS BRUTOS'!$A$3:$A$500,$C19,'DADOS BRUTOS'!CN$3:CN$500)))</f>
        <v/>
      </c>
      <c r="FO19" s="125">
        <f>IF(OR(FO$4="",$B19=""),0,SUMIF('DADOS BRUTOS'!$A$3:$A$500,$B19,'DADOS BRUTOS'!CO$3:CO$500)+IF($C19="",0,SUMIF('DADOS BRUTOS'!$A$3:$A$500,$C19,'DADOS BRUTOS'!CO$3:CO$500)))</f>
        <v/>
      </c>
      <c r="FP19" s="125">
        <f>IF(OR(FP$4="",$B19=""),0,SUMIF('DADOS BRUTOS'!$A$3:$A$500,$B19,'DADOS BRUTOS'!CP$3:CP$500)+IF($C19="",0,SUMIF('DADOS BRUTOS'!$A$3:$A$500,$C19,'DADOS BRUTOS'!CP$3:CP$500)))</f>
        <v/>
      </c>
      <c r="FQ19" s="125">
        <f>IF(OR(FQ$4="",$B19=""),0,SUMIF('DADOS BRUTOS'!$A$3:$A$500,$B19,'DADOS BRUTOS'!CQ$3:CQ$500)+IF($C19="",0,SUMIF('DADOS BRUTOS'!$A$3:$A$500,$C19,'DADOS BRUTOS'!CQ$3:CQ$500)))</f>
        <v/>
      </c>
      <c r="FR19" s="125">
        <f>IF(OR(FR$4="",$B19=""),0,SUMIF('DADOS BRUTOS'!$A$3:$A$500,$B19,'DADOS BRUTOS'!CR$3:CR$500)+IF($C19="",0,SUMIF('DADOS BRUTOS'!$A$3:$A$500,$C19,'DADOS BRUTOS'!CR$3:CR$500)))</f>
        <v/>
      </c>
      <c r="FS19" s="125">
        <f>IF(OR(FS$4="",$B19=""),0,SUMIF('DADOS BRUTOS'!$A$3:$A$500,$B19,'DADOS BRUTOS'!CS$3:CS$500)+IF($C19="",0,SUMIF('DADOS BRUTOS'!$A$3:$A$500,$C19,'DADOS BRUTOS'!CS$3:CS$500)))</f>
        <v/>
      </c>
      <c r="FT19" s="125">
        <f>IF(OR(FT$4="",$B19=""),0,SUMIF('DADOS BRUTOS'!$A$3:$A$500,$B19,'DADOS BRUTOS'!CT$3:CT$500)+IF($C19="",0,SUMIF('DADOS BRUTOS'!$A$3:$A$500,$C19,'DADOS BRUTOS'!CT$3:CT$500)))</f>
        <v/>
      </c>
      <c r="FU19" s="125">
        <f>IF(OR(FU$4="",$B19=""),0,SUMIF('DADOS BRUTOS'!$A$3:$A$500,$B19,'DADOS BRUTOS'!CU$3:CU$500)+IF($C19="",0,SUMIF('DADOS BRUTOS'!$A$3:$A$500,$C19,'DADOS BRUTOS'!CU$3:CU$500)))</f>
        <v/>
      </c>
      <c r="FV19" s="125">
        <f>IF(OR(FV$4="",$B19=""),0,SUMIF('DADOS BRUTOS'!$A$3:$A$500,$B19,'DADOS BRUTOS'!CV$3:CV$500)+IF($C19="",0,SUMIF('DADOS BRUTOS'!$A$3:$A$500,$C19,'DADOS BRUTOS'!CV$3:CV$500)))</f>
        <v/>
      </c>
      <c r="FW19" s="125">
        <f>IF(OR(FW$4="",$B19=""),0,SUMIF('DADOS BRUTOS'!$A$3:$A$500,$B19,'DADOS BRUTOS'!CW$3:CW$500)+IF($C19="",0,SUMIF('DADOS BRUTOS'!$A$3:$A$500,$C19,'DADOS BRUTOS'!CW$3:CW$500)))</f>
        <v/>
      </c>
      <c r="FX19" s="125">
        <f>IF(OR(FX$4="",$B19=""),0,SUMIF('DADOS BRUTOS'!$A$3:$A$500,$B19,'DADOS BRUTOS'!CX$3:CX$500)+IF($C19="",0,SUMIF('DADOS BRUTOS'!$A$3:$A$500,$C19,'DADOS BRUTOS'!CX$3:CX$500)))</f>
        <v/>
      </c>
      <c r="FY19" s="125">
        <f>IF(OR(FY$4="",$B19=""),0,SUMIF('DADOS BRUTOS'!$A$3:$A$500,$B19,'DADOS BRUTOS'!CY$3:CY$500)+IF($C19="",0,SUMIF('DADOS BRUTOS'!$A$3:$A$500,$C19,'DADOS BRUTOS'!CY$3:CY$500)))</f>
        <v/>
      </c>
      <c r="FZ19" s="125">
        <f>IF(OR(FZ$4="",$B19=""),0,SUMIF('DADOS BRUTOS'!$A$3:$A$500,$B19,'DADOS BRUTOS'!CZ$3:CZ$500)+IF($C19="",0,SUMIF('DADOS BRUTOS'!$A$3:$A$500,$C19,'DADOS BRUTOS'!CZ$3:CZ$500)))</f>
        <v/>
      </c>
      <c r="GA19" s="125">
        <f>IF(OR(GA$4="",$B19=""),0,SUMIF('DADOS BRUTOS'!$A$3:$A$500,$B19,'DADOS BRUTOS'!DA$3:DA$500)+IF($C19="",0,SUMIF('DADOS BRUTOS'!$A$3:$A$500,$C19,'DADOS BRUTOS'!DA$3:DA$500)))</f>
        <v/>
      </c>
      <c r="GB19" s="125">
        <f>IF(OR(GB$4="",$B19=""),0,SUMIF('DADOS BRUTOS'!$A$3:$A$500,$B19,'DADOS BRUTOS'!DB$3:DB$500)+IF($C19="",0,SUMIF('DADOS BRUTOS'!$A$3:$A$500,$C19,'DADOS BRUTOS'!DB$3:DB$500)))</f>
        <v/>
      </c>
      <c r="GC19" s="125">
        <f>IF(OR(GC$4="",$B19=""),0,SUMIF('DADOS BRUTOS'!$A$3:$A$500,$B19,'DADOS BRUTOS'!DC$3:DC$500)+IF($C19="",0,SUMIF('DADOS BRUTOS'!$A$3:$A$500,$C19,'DADOS BRUTOS'!DC$3:DC$500)))</f>
        <v/>
      </c>
      <c r="GD19" s="125">
        <f>IF(OR(GD$4="",$B19=""),0,SUMIF('DADOS BRUTOS'!$A$3:$A$500,$B19,'DADOS BRUTOS'!DD$3:DD$500)+IF($C19="",0,SUMIF('DADOS BRUTOS'!$A$3:$A$500,$C19,'DADOS BRUTOS'!DD$3:DD$500)))</f>
        <v/>
      </c>
      <c r="GE19" s="125">
        <f>IF(OR(GE$4="",$B19=""),0,SUMIF('DADOS BRUTOS'!$A$3:$A$500,$B19,'DADOS BRUTOS'!DE$3:DE$500)+IF($C19="",0,SUMIF('DADOS BRUTOS'!$A$3:$A$500,$C19,'DADOS BRUTOS'!DE$3:DE$500)))</f>
        <v/>
      </c>
      <c r="GF19" s="125">
        <f>IF(OR(GF$4="",$B19=""),0,SUMIF('DADOS BRUTOS'!$A$3:$A$500,$B19,'DADOS BRUTOS'!DF$3:DF$500)+IF($C19="",0,SUMIF('DADOS BRUTOS'!$A$3:$A$500,$C19,'DADOS BRUTOS'!DF$3:DF$500)))</f>
        <v/>
      </c>
      <c r="GG19" s="125">
        <f>IF(OR(GG$4="",$B19=""),0,SUMIF('DADOS BRUTOS'!$A$3:$A$500,$B19,'DADOS BRUTOS'!DG$3:DG$500)+IF($C19="",0,SUMIF('DADOS BRUTOS'!$A$3:$A$500,$C19,'DADOS BRUTOS'!DG$3:DG$500)))</f>
        <v/>
      </c>
      <c r="GH19" s="125">
        <f>IF(OR(GH$4="",$B19=""),0,SUMIF('DADOS BRUTOS'!$A$3:$A$500,$B19,'DADOS BRUTOS'!DH$3:DH$500)+IF($C19="",0,SUMIF('DADOS BRUTOS'!$A$3:$A$500,$C19,'DADOS BRUTOS'!DH$3:DH$500)))</f>
        <v/>
      </c>
      <c r="GI19" s="125">
        <f>IF(OR(GI$4="",$B19=""),0,SUMIF('DADOS BRUTOS'!$A$3:$A$500,$B19,'DADOS BRUTOS'!DI$3:DI$500)+IF($C19="",0,SUMIF('DADOS BRUTOS'!$A$3:$A$500,$C19,'DADOS BRUTOS'!DI$3:DI$500)))</f>
        <v/>
      </c>
      <c r="GJ19" s="125">
        <f>IF(OR(GJ$4="",$B19=""),0,SUMIF('DADOS BRUTOS'!$A$3:$A$500,$B19,'DADOS BRUTOS'!DJ$3:DJ$500)+IF($C19="",0,SUMIF('DADOS BRUTOS'!$A$3:$A$500,$C19,'DADOS BRUTOS'!DJ$3:DJ$500)))</f>
        <v/>
      </c>
      <c r="GK19" s="125">
        <f>IF(OR(GK$4="",$B19=""),0,SUMIF('DADOS BRUTOS'!$A$3:$A$500,$B19,'DADOS BRUTOS'!DK$3:DK$500)+IF($C19="",0,SUMIF('DADOS BRUTOS'!$A$3:$A$500,$C19,'DADOS BRUTOS'!DK$3:DK$500)))</f>
        <v/>
      </c>
      <c r="GL19" s="125">
        <f>IF(OR(GL$4="",$B19=""),0,SUMIF('DADOS BRUTOS'!$A$3:$A$500,$B19,'DADOS BRUTOS'!DL$3:DL$500)+IF($C19="",0,SUMIF('DADOS BRUTOS'!$A$3:$A$500,$C19,'DADOS BRUTOS'!DL$3:DL$500)))</f>
        <v/>
      </c>
      <c r="GM19" s="125">
        <f>IF(OR(GM$4="",$B19=""),0,SUMIF('DADOS BRUTOS'!$A$3:$A$500,$B19,'DADOS BRUTOS'!DM$3:DM$500)+IF($C19="",0,SUMIF('DADOS BRUTOS'!$A$3:$A$500,$C19,'DADOS BRUTOS'!DM$3:DM$500)))</f>
        <v/>
      </c>
      <c r="GN19" s="125">
        <f>IF(OR(GN$4="",$B19=""),0,SUMIF('DADOS BRUTOS'!$A$3:$A$500,$B19,'DADOS BRUTOS'!DN$3:DN$500)+IF($C19="",0,SUMIF('DADOS BRUTOS'!$A$3:$A$500,$C19,'DADOS BRUTOS'!DN$3:DN$500)))</f>
        <v/>
      </c>
      <c r="GO19" s="125">
        <f>IF(OR(GO$4="",$B19=""),0,SUMIF('DADOS BRUTOS'!$A$3:$A$500,$B19,'DADOS BRUTOS'!DO$3:DO$500)+IF($C19="",0,SUMIF('DADOS BRUTOS'!$A$3:$A$500,$C19,'DADOS BRUTOS'!DO$3:DO$500)))</f>
        <v/>
      </c>
      <c r="GP19" s="125">
        <f>IF(OR(GP$4="",$B19=""),0,SUMIF('DADOS BRUTOS'!$A$3:$A$500,$B19,'DADOS BRUTOS'!DP$3:DP$500)+IF($C19="",0,SUMIF('DADOS BRUTOS'!$A$3:$A$500,$C19,'DADOS BRUTOS'!DP$3:DP$500)))</f>
        <v/>
      </c>
      <c r="GQ19" s="125">
        <f>IF(OR(GQ$4="",$B19=""),0,SUMIF('DADOS BRUTOS'!$A$3:$A$500,$B19,'DADOS BRUTOS'!DQ$3:DQ$500)+IF($C19="",0,SUMIF('DADOS BRUTOS'!$A$3:$A$500,$C19,'DADOS BRUTOS'!DQ$3:DQ$500)))</f>
        <v/>
      </c>
      <c r="GR19" s="125">
        <f>IF(OR(GR$4="",$B19=""),0,SUMIF('DADOS BRUTOS'!$A$3:$A$500,$B19,'DADOS BRUTOS'!DR$3:DR$500)+IF($C19="",0,SUMIF('DADOS BRUTOS'!$A$3:$A$500,$C19,'DADOS BRUTOS'!DR$3:DR$500)))</f>
        <v/>
      </c>
      <c r="GS19" s="125">
        <f>IF(OR(GS$4="",$B19=""),0,SUMIF('DADOS BRUTOS'!$A$3:$A$500,$B19,'DADOS BRUTOS'!DS$3:DS$500)+IF($C19="",0,SUMIF('DADOS BRUTOS'!$A$3:$A$500,$C19,'DADOS BRUTOS'!DS$3:DS$500)))</f>
        <v/>
      </c>
      <c r="GT19" s="125">
        <f>IF(OR(GT$4="",$B19=""),0,SUMIF('DADOS BRUTOS'!$A$3:$A$500,$B19,'DADOS BRUTOS'!DT$3:DT$500)+IF($C19="",0,SUMIF('DADOS BRUTOS'!$A$3:$A$500,$C19,'DADOS BRUTOS'!DT$3:DT$500)))</f>
        <v/>
      </c>
      <c r="GU19" s="125">
        <f>IF(OR(GU$4="",$B19=""),0,SUMIF('DADOS BRUTOS'!$A$3:$A$500,$B19,'DADOS BRUTOS'!DU$3:DU$500)+IF($C19="",0,SUMIF('DADOS BRUTOS'!$A$3:$A$500,$C19,'DADOS BRUTOS'!DU$3:DU$500)))</f>
        <v/>
      </c>
      <c r="GV19" s="125">
        <f>IF(OR(GV$4="",$B19=""),0,SUMIF('DADOS BRUTOS'!$A$3:$A$500,$B19,'DADOS BRUTOS'!DV$3:DV$500)+IF($C19="",0,SUMIF('DADOS BRUTOS'!$A$3:$A$500,$C19,'DADOS BRUTOS'!DV$3:DV$500)))</f>
        <v/>
      </c>
      <c r="GW19" s="125">
        <f>IF(OR(GW$4="",$B19=""),0,SUMIF('DADOS BRUTOS'!$A$3:$A$500,$B19,'DADOS BRUTOS'!DW$3:DW$500)+IF($C19="",0,SUMIF('DADOS BRUTOS'!$A$3:$A$500,$C19,'DADOS BRUTOS'!DW$3:DW$500)))</f>
        <v/>
      </c>
      <c r="GX19" s="125">
        <f>IF(OR(GX$4="",$B19=""),0,SUMIF('DADOS BRUTOS'!$A$3:$A$500,$B19,'DADOS BRUTOS'!DX$3:DX$500)+IF($C19="",0,SUMIF('DADOS BRUTOS'!$A$3:$A$500,$C19,'DADOS BRUTOS'!DX$3:DX$500)))</f>
        <v/>
      </c>
      <c r="GY19" s="125">
        <f>IF(OR(GY$4="",$B19=""),0,SUMIF('DADOS BRUTOS'!$A$3:$A$500,$B19,'DADOS BRUTOS'!DY$3:DY$500)+IF($C19="",0,SUMIF('DADOS BRUTOS'!$A$3:$A$500,$C19,'DADOS BRUTOS'!DY$3:DY$500)))</f>
        <v/>
      </c>
      <c r="GZ19" s="125">
        <f>IF(OR(GZ$4="",$B19=""),0,SUMIF('DADOS BRUTOS'!$A$3:$A$500,$B19,'DADOS BRUTOS'!DZ$3:DZ$500)+IF($C19="",0,SUMIF('DADOS BRUTOS'!$A$3:$A$500,$C19,'DADOS BRUTOS'!DZ$3:DZ$500)))</f>
        <v/>
      </c>
      <c r="HA19" s="125">
        <f>IF(OR(HA$4="",$B19=""),0,SUMIF('DADOS BRUTOS'!$A$3:$A$500,$B19,'DADOS BRUTOS'!EA$3:EA$500)+IF($C19="",0,SUMIF('DADOS BRUTOS'!$A$3:$A$500,$C19,'DADOS BRUTOS'!EA$3:EA$500)))</f>
        <v/>
      </c>
      <c r="HB19" s="125">
        <f>IF(OR(HB$4="",$B19=""),0,SUMIF('DADOS BRUTOS'!$A$3:$A$500,$B19,'DADOS BRUTOS'!EB$3:EB$500)+IF($C19="",0,SUMIF('DADOS BRUTOS'!$A$3:$A$500,$C19,'DADOS BRUTOS'!EB$3:EB$500)))</f>
        <v/>
      </c>
      <c r="HC19" s="125">
        <f>IF(OR(HC$4="",$B19=""),0,SUMIF('DADOS BRUTOS'!$A$3:$A$500,$B19,'DADOS BRUTOS'!EC$3:EC$500)+IF($C19="",0,SUMIF('DADOS BRUTOS'!$A$3:$A$500,$C19,'DADOS BRUTOS'!EC$3:EC$500)))</f>
        <v/>
      </c>
      <c r="HD19" s="125">
        <f>IF(OR(HD$4="",$B19=""),0,SUMIF('DADOS BRUTOS'!$A$3:$A$500,$B19,'DADOS BRUTOS'!ED$3:ED$500)+IF($C19="",0,SUMIF('DADOS BRUTOS'!$A$3:$A$500,$C19,'DADOS BRUTOS'!ED$3:ED$500)))</f>
        <v/>
      </c>
      <c r="HE19" s="125">
        <f>IF(OR(HE$4="",$B19=""),0,SUMIF('DADOS BRUTOS'!$A$3:$A$500,$B19,'DADOS BRUTOS'!EE$3:EE$500)+IF($C19="",0,SUMIF('DADOS BRUTOS'!$A$3:$A$500,$C19,'DADOS BRUTOS'!EE$3:EE$500)))</f>
        <v/>
      </c>
      <c r="HF19" s="125">
        <f>IF(OR(HF$4="",$B19=""),0,SUMIF('DADOS BRUTOS'!$A$3:$A$500,$B19,'DADOS BRUTOS'!EF$3:EF$500)+IF($C19="",0,SUMIF('DADOS BRUTOS'!$A$3:$A$500,$C19,'DADOS BRUTOS'!EF$3:EF$500)))</f>
        <v/>
      </c>
      <c r="HG19" s="125">
        <f>IF(OR(HG$4="",$B19=""),0,SUMIF('DADOS BRUTOS'!$A$3:$A$500,$B19,'DADOS BRUTOS'!EG$3:EG$500)+IF($C19="",0,SUMIF('DADOS BRUTOS'!$A$3:$A$500,$C19,'DADOS BRUTOS'!EG$3:EG$500)))</f>
        <v/>
      </c>
      <c r="HH19" s="125">
        <f>IF(OR(HH$4="",$B19=""),0,SUMIF('DADOS BRUTOS'!$A$3:$A$500,$B19,'DADOS BRUTOS'!EH$3:EH$500)+IF($C19="",0,SUMIF('DADOS BRUTOS'!$A$3:$A$500,$C19,'DADOS BRUTOS'!EH$3:EH$500)))</f>
        <v/>
      </c>
      <c r="HI19" s="125">
        <f>IF(OR(HI$4="",$B19=""),0,SUMIF('DADOS BRUTOS'!$A$3:$A$500,$B19,'DADOS BRUTOS'!EI$3:EI$500)+IF($C19="",0,SUMIF('DADOS BRUTOS'!$A$3:$A$500,$C19,'DADOS BRUTOS'!EI$3:EI$500)))</f>
        <v/>
      </c>
      <c r="HJ19" s="125">
        <f>IF(OR(HJ$4="",$B19=""),0,SUMIF('DADOS BRUTOS'!$A$3:$A$500,$B19,'DADOS BRUTOS'!EJ$3:EJ$500)+IF($C19="",0,SUMIF('DADOS BRUTOS'!$A$3:$A$500,$C19,'DADOS BRUTOS'!EJ$3:EJ$500)))</f>
        <v/>
      </c>
      <c r="HK19" s="125">
        <f>IF(OR(HK$4="",$B19=""),0,SUMIF('DADOS BRUTOS'!$A$3:$A$500,$B19,'DADOS BRUTOS'!EK$3:EK$500)+IF($C19="",0,SUMIF('DADOS BRUTOS'!$A$3:$A$500,$C19,'DADOS BRUTOS'!EK$3:EK$500)))</f>
        <v/>
      </c>
      <c r="HL19" s="125">
        <f>IF(OR(HL$4="",$B19=""),0,SUMIF('DADOS BRUTOS'!$A$3:$A$500,$B19,'DADOS BRUTOS'!EL$3:EL$500)+IF($C19="",0,SUMIF('DADOS BRUTOS'!$A$3:$A$500,$C19,'DADOS BRUTOS'!EL$3:EL$500)))</f>
        <v/>
      </c>
      <c r="HM19" s="125">
        <f>IF(OR(HM$4="",$B19=""),0,SUMIF('DADOS BRUTOS'!$A$3:$A$500,$B19,'DADOS BRUTOS'!EM$3:EM$500)+IF($C19="",0,SUMIF('DADOS BRUTOS'!$A$3:$A$500,$C19,'DADOS BRUTOS'!EM$3:EM$500)))</f>
        <v/>
      </c>
      <c r="HN19" s="125">
        <f>IF(OR(HN$4="",$B19=""),0,SUMIF('DADOS BRUTOS'!$A$3:$A$500,$B19,'DADOS BRUTOS'!EN$3:EN$500)+IF($C19="",0,SUMIF('DADOS BRUTOS'!$A$3:$A$500,$C19,'DADOS BRUTOS'!EN$3:EN$500)))</f>
        <v/>
      </c>
      <c r="HO19" s="125">
        <f>IF(OR(HO$4="",$B19=""),0,SUMIF('DADOS BRUTOS'!$A$3:$A$500,$B19,'DADOS BRUTOS'!EO$3:EO$500)+IF($C19="",0,SUMIF('DADOS BRUTOS'!$A$3:$A$500,$C19,'DADOS BRUTOS'!EO$3:EO$500)))</f>
        <v/>
      </c>
      <c r="HP19" s="125">
        <f>IF(OR(HP$4="",$B19=""),0,SUMIF('DADOS BRUTOS'!$A$3:$A$500,$B19,'DADOS BRUTOS'!EP$3:EP$500)+IF($C19="",0,SUMIF('DADOS BRUTOS'!$A$3:$A$500,$C19,'DADOS BRUTOS'!EP$3:EP$500)))</f>
        <v/>
      </c>
      <c r="HQ19" s="125">
        <f>IF(OR(HQ$4="",$B19=""),0,SUMIF('DADOS BRUTOS'!$A$3:$A$500,$B19,'DADOS BRUTOS'!EQ$3:EQ$500)+IF($C19="",0,SUMIF('DADOS BRUTOS'!$A$3:$A$500,$C19,'DADOS BRUTOS'!EQ$3:EQ$500)))</f>
        <v/>
      </c>
      <c r="HR19" s="125">
        <f>IF(OR(HR$4="",$B19=""),0,SUMIF('DADOS BRUTOS'!$A$3:$A$500,$B19,'DADOS BRUTOS'!ER$3:ER$500)+IF($C19="",0,SUMIF('DADOS BRUTOS'!$A$3:$A$500,$C19,'DADOS BRUTOS'!ER$3:ER$500)))</f>
        <v/>
      </c>
      <c r="HS19" s="125">
        <f>IF(OR(HS$4="",$B19=""),0,SUMIF('DADOS BRUTOS'!$A$3:$A$500,$B19,'DADOS BRUTOS'!ES$3:ES$500)+IF($C19="",0,SUMIF('DADOS BRUTOS'!$A$3:$A$500,$C19,'DADOS BRUTOS'!ES$3:ES$500)))</f>
        <v/>
      </c>
      <c r="HT19" s="125">
        <f>IF(OR(HT$4="",$B19=""),0,SUMIF('DADOS BRUTOS'!$A$3:$A$500,$B19,'DADOS BRUTOS'!ET$3:ET$500)+IF($C19="",0,SUMIF('DADOS BRUTOS'!$A$3:$A$500,$C19,'DADOS BRUTOS'!ET$3:ET$500)))</f>
        <v/>
      </c>
      <c r="HU19" s="125">
        <f>IF(OR(HU$4="",$B19=""),0,SUMIF('DADOS BRUTOS'!$A$3:$A$500,$B19,'DADOS BRUTOS'!EU$3:EU$500)+IF($C19="",0,SUMIF('DADOS BRUTOS'!$A$3:$A$500,$C19,'DADOS BRUTOS'!EU$3:EU$500)))</f>
        <v/>
      </c>
      <c r="HV19" s="125">
        <f>IF(OR(HV$4="",$B19=""),0,SUMIF('DADOS BRUTOS'!$A$3:$A$500,$B19,'DADOS BRUTOS'!EV$3:EV$500)+IF($C19="",0,SUMIF('DADOS BRUTOS'!$A$3:$A$500,$C19,'DADOS BRUTOS'!EV$3:EV$500)))</f>
        <v/>
      </c>
      <c r="HW19" s="125">
        <f>IF(OR(HW$4="",$B19=""),0,SUMIF('DADOS BRUTOS'!$A$3:$A$500,$B19,'DADOS BRUTOS'!EW$3:EW$500)+IF($C19="",0,SUMIF('DADOS BRUTOS'!$A$3:$A$500,$C19,'DADOS BRUTOS'!EW$3:EW$500)))</f>
        <v/>
      </c>
      <c r="HX19" s="125">
        <f>IF(OR(HX$4="",$B19=""),0,SUMIF('DADOS BRUTOS'!$A$3:$A$500,$B19,'DADOS BRUTOS'!EX$3:EX$500)+IF($C19="",0,SUMIF('DADOS BRUTOS'!$A$3:$A$500,$C19,'DADOS BRUTOS'!EX$3:EX$500)))</f>
        <v/>
      </c>
      <c r="HY19" s="125">
        <f>IF(OR(HY$4="",$B19=""),0,SUMIF('DADOS BRUTOS'!$A$3:$A$500,$B19,'DADOS BRUTOS'!EY$3:EY$500)+IF($C19="",0,SUMIF('DADOS BRUTOS'!$A$3:$A$500,$C19,'DADOS BRUTOS'!EY$3:EY$500)))</f>
        <v/>
      </c>
      <c r="HZ19" s="125">
        <f>IF(OR(HZ$4="",$B19=""),0,SUMIF('DADOS BRUTOS'!$A$3:$A$500,$B19,'DADOS BRUTOS'!EZ$3:EZ$500)+IF($C19="",0,SUMIF('DADOS BRUTOS'!$A$3:$A$500,$C19,'DADOS BRUTOS'!EZ$3:EZ$500)))</f>
        <v/>
      </c>
      <c r="IA19" s="125">
        <f>IF(OR(IA$4="",$B19=""),0,SUMIF('DADOS BRUTOS'!$A$3:$A$500,$B19,'DADOS BRUTOS'!FA$3:FA$500)+IF($C19="",0,SUMIF('DADOS BRUTOS'!$A$3:$A$500,$C19,'DADOS BRUTOS'!FA$3:FA$500)))</f>
        <v/>
      </c>
      <c r="IB19" s="125">
        <f>IF(OR(IB$4="",$B19=""),0,SUMIF('DADOS BRUTOS'!$A$3:$A$500,$B19,'DADOS BRUTOS'!FB$3:FB$500)+IF($C19="",0,SUMIF('DADOS BRUTOS'!$A$3:$A$500,$C19,'DADOS BRUTOS'!FB$3:FB$500)))</f>
        <v/>
      </c>
      <c r="IC19" s="125">
        <f>IF(OR(IC$4="",$B19=""),0,SUMIF('DADOS BRUTOS'!$A$3:$A$500,$B19,'DADOS BRUTOS'!FC$3:FC$500)+IF($C19="",0,SUMIF('DADOS BRUTOS'!$A$3:$A$500,$C19,'DADOS BRUTOS'!FC$3:FC$500)))</f>
        <v/>
      </c>
      <c r="ID19" s="125">
        <f>IF(OR(ID$4="",$B19=""),0,SUMIF('DADOS BRUTOS'!$A$3:$A$500,$B19,'DADOS BRUTOS'!FD$3:FD$500)+IF($C19="",0,SUMIF('DADOS BRUTOS'!$A$3:$A$500,$C19,'DADOS BRUTOS'!FD$3:FD$500)))</f>
        <v/>
      </c>
      <c r="IE19" s="125">
        <f>IF(OR(IE$4="",$B19=""),0,SUMIF('DADOS BRUTOS'!$A$3:$A$500,$B19,'DADOS BRUTOS'!FE$3:FE$500)+IF($C19="",0,SUMIF('DADOS BRUTOS'!$A$3:$A$500,$C19,'DADOS BRUTOS'!FE$3:FE$500)))</f>
        <v/>
      </c>
      <c r="IF19" s="125">
        <f>IF(OR(IF$4="",$B19=""),0,SUMIF('DADOS BRUTOS'!$A$3:$A$500,$B19,'DADOS BRUTOS'!FF$3:FF$500)+IF($C19="",0,SUMIF('DADOS BRUTOS'!$A$3:$A$500,$C19,'DADOS BRUTOS'!FF$3:FF$500)))</f>
        <v/>
      </c>
      <c r="IG19" s="125">
        <f>IF(OR(IG$4="",$B19=""),0,SUMIF('DADOS BRUTOS'!$A$3:$A$500,$B19,'DADOS BRUTOS'!FG$3:FG$500)+IF($C19="",0,SUMIF('DADOS BRUTOS'!$A$3:$A$500,$C19,'DADOS BRUTOS'!FG$3:FG$500)))</f>
        <v/>
      </c>
      <c r="IH19" s="125">
        <f>IF(OR(IH$4="",$B19=""),0,SUMIF('DADOS BRUTOS'!$A$3:$A$500,$B19,'DADOS BRUTOS'!FH$3:FH$500)+IF($C19="",0,SUMIF('DADOS BRUTOS'!$A$3:$A$500,$C19,'DADOS BRUTOS'!FH$3:FH$500)))</f>
        <v/>
      </c>
      <c r="II19" s="125">
        <f>IF(OR(II$4="",$B19=""),0,SUMIF('DADOS BRUTOS'!$A$3:$A$500,$B19,'DADOS BRUTOS'!FI$3:FI$500)+IF($C19="",0,SUMIF('DADOS BRUTOS'!$A$3:$A$500,$C19,'DADOS BRUTOS'!FI$3:FI$500)))</f>
        <v/>
      </c>
      <c r="IJ19" s="125">
        <f>IF(OR(IJ$4="",$B19=""),0,SUMIF('DADOS BRUTOS'!$A$3:$A$500,$B19,'DADOS BRUTOS'!FJ$3:FJ$500)+IF($C19="",0,SUMIF('DADOS BRUTOS'!$A$3:$A$500,$C19,'DADOS BRUTOS'!FJ$3:FJ$500)))</f>
        <v/>
      </c>
      <c r="IK19" s="125">
        <f>IF(OR(IK$4="",$B19=""),0,SUMIF('DADOS BRUTOS'!$A$3:$A$500,$B19,'DADOS BRUTOS'!FK$3:FK$500)+IF($C19="",0,SUMIF('DADOS BRUTOS'!$A$3:$A$500,$C19,'DADOS BRUTOS'!FK$3:FK$500)))</f>
        <v/>
      </c>
      <c r="IL19" s="125">
        <f>IF(OR(IL$4="",$B19=""),0,SUMIF('DADOS BRUTOS'!$A$3:$A$500,$B19,'DADOS BRUTOS'!FL$3:FL$500)+IF($C19="",0,SUMIF('DADOS BRUTOS'!$A$3:$A$500,$C19,'DADOS BRUTOS'!FL$3:FL$500)))</f>
        <v/>
      </c>
      <c r="IM19" s="125">
        <f>IF(OR(IM$4="",$B19=""),0,SUMIF('DADOS BRUTOS'!$A$3:$A$500,$B19,'DADOS BRUTOS'!FM$3:FM$500)+IF($C19="",0,SUMIF('DADOS BRUTOS'!$A$3:$A$500,$C19,'DADOS BRUTOS'!FM$3:FM$500)))</f>
        <v/>
      </c>
      <c r="IN19" s="125">
        <f>IF(OR(IN$4="",$B19=""),0,SUMIF('DADOS BRUTOS'!$A$3:$A$500,$B19,'DADOS BRUTOS'!FN$3:FN$500)+IF($C19="",0,SUMIF('DADOS BRUTOS'!$A$3:$A$500,$C19,'DADOS BRUTOS'!FN$3:FN$500)))</f>
        <v/>
      </c>
      <c r="IO19" s="125">
        <f>IF(OR(IO$4="",$B19=""),0,SUMIF('DADOS BRUTOS'!$A$3:$A$500,$B19,'DADOS BRUTOS'!FO$3:FO$500)+IF($C19="",0,SUMIF('DADOS BRUTOS'!$A$3:$A$500,$C19,'DADOS BRUTOS'!FO$3:FO$500)))</f>
        <v/>
      </c>
      <c r="IP19" s="125">
        <f>IF(OR(IP$4="",$B19=""),0,SUMIF('DADOS BRUTOS'!$A$3:$A$500,$B19,'DADOS BRUTOS'!FP$3:FP$500)+IF($C19="",0,SUMIF('DADOS BRUTOS'!$A$3:$A$500,$C19,'DADOS BRUTOS'!FP$3:FP$500)))</f>
        <v/>
      </c>
      <c r="IQ19" s="125">
        <f>IF(OR(IQ$4="",$B19=""),0,SUMIF('DADOS BRUTOS'!$A$3:$A$500,$B19,'DADOS BRUTOS'!FQ$3:FQ$500)+IF($C19="",0,SUMIF('DADOS BRUTOS'!$A$3:$A$500,$C19,'DADOS BRUTOS'!FQ$3:FQ$500)))</f>
        <v/>
      </c>
      <c r="IR19" s="125">
        <f>IF(OR(IR$4="",$B19=""),0,SUMIF('DADOS BRUTOS'!$A$3:$A$500,$B19,'DADOS BRUTOS'!FR$3:FR$500)+IF($C19="",0,SUMIF('DADOS BRUTOS'!$A$3:$A$500,$C19,'DADOS BRUTOS'!FR$3:FR$500)))</f>
        <v/>
      </c>
      <c r="IS19" s="125">
        <f>IF(OR(IS$4="",$B19=""),0,SUMIF('DADOS BRUTOS'!$A$3:$A$500,$B19,'DADOS BRUTOS'!FS$3:FS$500)+IF($C19="",0,SUMIF('DADOS BRUTOS'!$A$3:$A$500,$C19,'DADOS BRUTOS'!FS$3:FS$500)))</f>
        <v/>
      </c>
      <c r="IT19" s="125">
        <f>IF(OR(IT$4="",$B19=""),0,SUMIF('DADOS BRUTOS'!$A$3:$A$500,$B19,'DADOS BRUTOS'!FT$3:FT$500)+IF($C19="",0,SUMIF('DADOS BRUTOS'!$A$3:$A$500,$C19,'DADOS BRUTOS'!FT$3:FT$500)))</f>
        <v/>
      </c>
      <c r="IU19" s="125">
        <f>IF(OR(IU$4="",$B19=""),0,SUMIF('DADOS BRUTOS'!$A$3:$A$500,$B19,'DADOS BRUTOS'!FU$3:FU$500)+IF($C19="",0,SUMIF('DADOS BRUTOS'!$A$3:$A$500,$C19,'DADOS BRUTOS'!FU$3:FU$500)))</f>
        <v/>
      </c>
      <c r="IV19" s="125">
        <f>IF(OR(IV$4="",$B19=""),0,SUMIF('DADOS BRUTOS'!$A$3:$A$500,$B19,'DADOS BRUTOS'!FV$3:FV$500)+IF($C19="",0,SUMIF('DADOS BRUTOS'!$A$3:$A$500,$C19,'DADOS BRUTOS'!FV$3:FV$500)))</f>
        <v/>
      </c>
      <c r="IW19" s="125">
        <f>IF(OR(IW$4="",$B19=""),0,SUMIF('DADOS BRUTOS'!$A$3:$A$500,$B19,'DADOS BRUTOS'!FW$3:FW$500)+IF($C19="",0,SUMIF('DADOS BRUTOS'!$A$3:$A$500,$C19,'DADOS BRUTOS'!FW$3:FW$500)))</f>
        <v/>
      </c>
      <c r="IX19" s="125">
        <f>IF(OR(IX$4="",$B19=""),0,SUMIF('DADOS BRUTOS'!$A$3:$A$500,$B19,'DADOS BRUTOS'!FX$3:FX$500)+IF($C19="",0,SUMIF('DADOS BRUTOS'!$A$3:$A$500,$C19,'DADOS BRUTOS'!FX$3:FX$500)))</f>
        <v/>
      </c>
      <c r="IY19" s="125">
        <f>IF(OR(IY$4="",$B19=""),0,SUMIF('DADOS BRUTOS'!$A$3:$A$500,$B19,'DADOS BRUTOS'!FY$3:FY$500)+IF($C19="",0,SUMIF('DADOS BRUTOS'!$A$3:$A$500,$C19,'DADOS BRUTOS'!FY$3:FY$500)))</f>
        <v/>
      </c>
      <c r="IZ19" s="125">
        <f>IF(OR(IZ$4="",$B19=""),0,SUMIF('DADOS BRUTOS'!$A$3:$A$500,$B19,'DADOS BRUTOS'!FZ$3:FZ$500)+IF($C19="",0,SUMIF('DADOS BRUTOS'!$A$3:$A$500,$C19,'DADOS BRUTOS'!FZ$3:FZ$500)))</f>
        <v/>
      </c>
      <c r="JA19" s="125">
        <f>IF(OR(JA$4="",$B19=""),0,SUMIF('DADOS BRUTOS'!$A$3:$A$500,$B19,'DADOS BRUTOS'!GA$3:GA$500)+IF($C19="",0,SUMIF('DADOS BRUTOS'!$A$3:$A$500,$C19,'DADOS BRUTOS'!GA$3:GA$500)))</f>
        <v/>
      </c>
      <c r="JB19" s="125">
        <f>IF(OR(JB$4="",$B19=""),0,SUMIF('DADOS BRUTOS'!$A$3:$A$500,$B19,'DADOS BRUTOS'!GB$3:GB$500)+IF($C19="",0,SUMIF('DADOS BRUTOS'!$A$3:$A$500,$C19,'DADOS BRUTOS'!GB$3:GB$500)))</f>
        <v/>
      </c>
      <c r="JC19" s="125">
        <f>IF(OR(JC$4="",$B19=""),0,SUMIF('DADOS BRUTOS'!$A$3:$A$500,$B19,'DADOS BRUTOS'!GC$3:GC$500)+IF($C19="",0,SUMIF('DADOS BRUTOS'!$A$3:$A$500,$C19,'DADOS BRUTOS'!GC$3:GC$500)))</f>
        <v/>
      </c>
      <c r="JD19" s="125">
        <f>IF(OR(JD$4="",$B19=""),0,SUMIF('DADOS BRUTOS'!$A$3:$A$500,$B19,'DADOS BRUTOS'!GD$3:GD$500)+IF($C19="",0,SUMIF('DADOS BRUTOS'!$A$3:$A$500,$C19,'DADOS BRUTOS'!GD$3:GD$500)))</f>
        <v/>
      </c>
      <c r="JE19" s="125">
        <f>IF(OR(JE$4="",$B19=""),0,SUMIF('DADOS BRUTOS'!$A$3:$A$500,$B19,'DADOS BRUTOS'!GE$3:GE$500)+IF($C19="",0,SUMIF('DADOS BRUTOS'!$A$3:$A$500,$C19,'DADOS BRUTOS'!GE$3:GE$500)))</f>
        <v/>
      </c>
      <c r="JF19" s="125">
        <f>IF(OR(JF$4="",$B19=""),0,SUMIF('DADOS BRUTOS'!$A$3:$A$500,$B19,'DADOS BRUTOS'!GF$3:GF$500)+IF($C19="",0,SUMIF('DADOS BRUTOS'!$A$3:$A$500,$C19,'DADOS BRUTOS'!GF$3:GF$500)))</f>
        <v/>
      </c>
      <c r="JG19" s="125">
        <f>IF(OR(JG$4="",$B19=""),0,SUMIF('DADOS BRUTOS'!$A$3:$A$500,$B19,'DADOS BRUTOS'!GG$3:GG$500)+IF($C19="",0,SUMIF('DADOS BRUTOS'!$A$3:$A$500,$C19,'DADOS BRUTOS'!GG$3:GG$500)))</f>
        <v/>
      </c>
      <c r="JH19" s="125">
        <f>IF(OR(JH$4="",$B19=""),0,SUMIF('DADOS BRUTOS'!$A$3:$A$500,$B19,'DADOS BRUTOS'!GH$3:GH$500)+IF($C19="",0,SUMIF('DADOS BRUTOS'!$A$3:$A$500,$C19,'DADOS BRUTOS'!GH$3:GH$500)))</f>
        <v/>
      </c>
      <c r="JI19" s="125">
        <f>IF(OR(JI$4="",$B19=""),0,SUMIF('DADOS BRUTOS'!$A$3:$A$500,$B19,'DADOS BRUTOS'!GI$3:GI$500)+IF($C19="",0,SUMIF('DADOS BRUTOS'!$A$3:$A$500,$C19,'DADOS BRUTOS'!GI$3:GI$500)))</f>
        <v/>
      </c>
      <c r="JJ19" s="125">
        <f>IF(OR(JJ$4="",$B19=""),0,SUMIF('DADOS BRUTOS'!$A$3:$A$500,$B19,'DADOS BRUTOS'!GJ$3:GJ$500)+IF($C19="",0,SUMIF('DADOS BRUTOS'!$A$3:$A$500,$C19,'DADOS BRUTOS'!GJ$3:GJ$500)))</f>
        <v/>
      </c>
      <c r="JK19" s="125">
        <f>IF(OR(JK$4="",$B19=""),0,SUMIF('DADOS BRUTOS'!$A$3:$A$500,$B19,'DADOS BRUTOS'!GK$3:GK$500)+IF($C19="",0,SUMIF('DADOS BRUTOS'!$A$3:$A$500,$C19,'DADOS BRUTOS'!GK$3:GK$500)))</f>
        <v/>
      </c>
      <c r="JL19" s="125">
        <f>IF(OR(JL$4="",$B19=""),0,SUMIF('DADOS BRUTOS'!$A$3:$A$500,$B19,'DADOS BRUTOS'!GL$3:GL$500)+IF($C19="",0,SUMIF('DADOS BRUTOS'!$A$3:$A$500,$C19,'DADOS BRUTOS'!GL$3:GL$500)))</f>
        <v/>
      </c>
      <c r="JM19" s="125">
        <f>IF(OR(JM$4="",$B19=""),0,SUMIF('DADOS BRUTOS'!$A$3:$A$500,$B19,'DADOS BRUTOS'!GM$3:GM$500)+IF($C19="",0,SUMIF('DADOS BRUTOS'!$A$3:$A$500,$C19,'DADOS BRUTOS'!GM$3:GM$500)))</f>
        <v/>
      </c>
      <c r="JN19" s="125">
        <f>IF(OR(JN$4="",$B19=""),0,SUMIF('DADOS BRUTOS'!$A$3:$A$500,$B19,'DADOS BRUTOS'!GN$3:GN$500)+IF($C19="",0,SUMIF('DADOS BRUTOS'!$A$3:$A$500,$C19,'DADOS BRUTOS'!GN$3:GN$500)))</f>
        <v/>
      </c>
      <c r="JO19" s="125">
        <f>IF(OR(JO$4="",$B19=""),0,SUMIF('DADOS BRUTOS'!$A$3:$A$500,$B19,'DADOS BRUTOS'!GO$3:GO$500)+IF($C19="",0,SUMIF('DADOS BRUTOS'!$A$3:$A$500,$C19,'DADOS BRUTOS'!GO$3:GO$500)))</f>
        <v/>
      </c>
      <c r="JP19" s="125">
        <f>IF(OR(JP$4="",$B19=""),0,SUMIF('DADOS BRUTOS'!$A$3:$A$500,$B19,'DADOS BRUTOS'!GP$3:GP$500)+IF($C19="",0,SUMIF('DADOS BRUTOS'!$A$3:$A$500,$C19,'DADOS BRUTOS'!GP$3:GP$500)))</f>
        <v/>
      </c>
      <c r="JQ19" s="125">
        <f>IF(OR(JQ$4="",$B19=""),0,SUMIF('DADOS BRUTOS'!$A$3:$A$500,$B19,'DADOS BRUTOS'!GQ$3:GQ$500)+IF($C19="",0,SUMIF('DADOS BRUTOS'!$A$3:$A$500,$C19,'DADOS BRUTOS'!GQ$3:GQ$500)))</f>
        <v/>
      </c>
      <c r="JR19" s="125">
        <f>IF(OR(JR$4="",$B19=""),0,SUMIF('DADOS BRUTOS'!$A$3:$A$500,$B19,'DADOS BRUTOS'!GR$3:GR$500)+IF($C19="",0,SUMIF('DADOS BRUTOS'!$A$3:$A$500,$C19,'DADOS BRUTOS'!GR$3:GR$500)))</f>
        <v/>
      </c>
      <c r="JS19" s="125">
        <f>IF(OR(JS$4="",$B19=""),0,SUMIF('DADOS BRUTOS'!$A$3:$A$500,$B19,'DADOS BRUTOS'!GS$3:GS$500)+IF($C19="",0,SUMIF('DADOS BRUTOS'!$A$3:$A$500,$C19,'DADOS BRUTOS'!GS$3:GS$500)))</f>
        <v/>
      </c>
    </row>
    <row r="20">
      <c r="A20" s="61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BZ20" s="49">
        <f>SUMPRODUCT(($CB$4:$JS$4&lt;&gt;"")*($CB$4:$JS$4&lt;=$D$4),$CB20:$JS20,$CB$1:$JS$1)</f>
        <v/>
      </c>
      <c r="CB20" s="125">
        <f>IF(OR(CB$4="",$B20=""),0,SUMIF('DADOS BRUTOS'!$A$3:$A$500,$B20,'DADOS BRUTOS'!B$3:B$500)+IF($C20="",0,SUMIF('DADOS BRUTOS'!$A$3:$A$500,$C20,'DADOS BRUTOS'!B$3:B$500)))</f>
        <v/>
      </c>
      <c r="CC20" s="125">
        <f>IF(OR(CC$4="",$B20=""),0,SUMIF('DADOS BRUTOS'!$A$3:$A$500,$B20,'DADOS BRUTOS'!C$3:C$500)+IF($C20="",0,SUMIF('DADOS BRUTOS'!$A$3:$A$500,$C20,'DADOS BRUTOS'!C$3:C$500)))</f>
        <v/>
      </c>
      <c r="CD20" s="125">
        <f>IF(OR(CD$4="",$B20=""),0,SUMIF('DADOS BRUTOS'!$A$3:$A$500,$B20,'DADOS BRUTOS'!D$3:D$500)+IF($C20="",0,SUMIF('DADOS BRUTOS'!$A$3:$A$500,$C20,'DADOS BRUTOS'!D$3:D$500)))</f>
        <v/>
      </c>
      <c r="CE20" s="125">
        <f>IF(OR(CE$4="",$B20=""),0,SUMIF('DADOS BRUTOS'!$A$3:$A$500,$B20,'DADOS BRUTOS'!E$3:E$500)+IF($C20="",0,SUMIF('DADOS BRUTOS'!$A$3:$A$500,$C20,'DADOS BRUTOS'!E$3:E$500)))</f>
        <v/>
      </c>
      <c r="CF20" s="125">
        <f>IF(OR(CF$4="",$B20=""),0,SUMIF('DADOS BRUTOS'!$A$3:$A$500,$B20,'DADOS BRUTOS'!F$3:F$500)+IF($C20="",0,SUMIF('DADOS BRUTOS'!$A$3:$A$500,$C20,'DADOS BRUTOS'!F$3:F$500)))</f>
        <v/>
      </c>
      <c r="CG20" s="125">
        <f>IF(OR(CG$4="",$B20=""),0,SUMIF('DADOS BRUTOS'!$A$3:$A$500,$B20,'DADOS BRUTOS'!G$3:G$500)+IF($C20="",0,SUMIF('DADOS BRUTOS'!$A$3:$A$500,$C20,'DADOS BRUTOS'!G$3:G$500)))</f>
        <v/>
      </c>
      <c r="CH20" s="125">
        <f>IF(OR(CH$4="",$B20=""),0,SUMIF('DADOS BRUTOS'!$A$3:$A$500,$B20,'DADOS BRUTOS'!H$3:H$500)+IF($C20="",0,SUMIF('DADOS BRUTOS'!$A$3:$A$500,$C20,'DADOS BRUTOS'!H$3:H$500)))</f>
        <v/>
      </c>
      <c r="CI20" s="125">
        <f>IF(OR(CI$4="",$B20=""),0,SUMIF('DADOS BRUTOS'!$A$3:$A$500,$B20,'DADOS BRUTOS'!I$3:I$500)+IF($C20="",0,SUMIF('DADOS BRUTOS'!$A$3:$A$500,$C20,'DADOS BRUTOS'!I$3:I$500)))</f>
        <v/>
      </c>
      <c r="CJ20" s="125">
        <f>IF(OR(CJ$4="",$B20=""),0,SUMIF('DADOS BRUTOS'!$A$3:$A$500,$B20,'DADOS BRUTOS'!J$3:J$500)+IF($C20="",0,SUMIF('DADOS BRUTOS'!$A$3:$A$500,$C20,'DADOS BRUTOS'!J$3:J$500)))</f>
        <v/>
      </c>
      <c r="CK20" s="125">
        <f>IF(OR(CK$4="",$B20=""),0,SUMIF('DADOS BRUTOS'!$A$3:$A$500,$B20,'DADOS BRUTOS'!K$3:K$500)+IF($C20="",0,SUMIF('DADOS BRUTOS'!$A$3:$A$500,$C20,'DADOS BRUTOS'!K$3:K$500)))</f>
        <v/>
      </c>
      <c r="CL20" s="125">
        <f>IF(OR(CL$4="",$B20=""),0,SUMIF('DADOS BRUTOS'!$A$3:$A$500,$B20,'DADOS BRUTOS'!L$3:L$500)+IF($C20="",0,SUMIF('DADOS BRUTOS'!$A$3:$A$500,$C20,'DADOS BRUTOS'!L$3:L$500)))</f>
        <v/>
      </c>
      <c r="CM20" s="125">
        <f>IF(OR(CM$4="",$B20=""),0,SUMIF('DADOS BRUTOS'!$A$3:$A$500,$B20,'DADOS BRUTOS'!M$3:M$500)+IF($C20="",0,SUMIF('DADOS BRUTOS'!$A$3:$A$500,$C20,'DADOS BRUTOS'!M$3:M$500)))</f>
        <v/>
      </c>
      <c r="CN20" s="125">
        <f>IF(OR(CN$4="",$B20=""),0,SUMIF('DADOS BRUTOS'!$A$3:$A$500,$B20,'DADOS BRUTOS'!N$3:N$500)+IF($C20="",0,SUMIF('DADOS BRUTOS'!$A$3:$A$500,$C20,'DADOS BRUTOS'!N$3:N$500)))</f>
        <v/>
      </c>
      <c r="CO20" s="125">
        <f>IF(OR(CO$4="",$B20=""),0,SUMIF('DADOS BRUTOS'!$A$3:$A$500,$B20,'DADOS BRUTOS'!O$3:O$500)+IF($C20="",0,SUMIF('DADOS BRUTOS'!$A$3:$A$500,$C20,'DADOS BRUTOS'!O$3:O$500)))</f>
        <v/>
      </c>
      <c r="CP20" s="125">
        <f>IF(OR(CP$4="",$B20=""),0,SUMIF('DADOS BRUTOS'!$A$3:$A$500,$B20,'DADOS BRUTOS'!P$3:P$500)+IF($C20="",0,SUMIF('DADOS BRUTOS'!$A$3:$A$500,$C20,'DADOS BRUTOS'!P$3:P$500)))</f>
        <v/>
      </c>
      <c r="CQ20" s="125">
        <f>IF(OR(CQ$4="",$B20=""),0,SUMIF('DADOS BRUTOS'!$A$3:$A$500,$B20,'DADOS BRUTOS'!Q$3:Q$500)+IF($C20="",0,SUMIF('DADOS BRUTOS'!$A$3:$A$500,$C20,'DADOS BRUTOS'!Q$3:Q$500)))</f>
        <v/>
      </c>
      <c r="CR20" s="125">
        <f>IF(OR(CR$4="",$B20=""),0,SUMIF('DADOS BRUTOS'!$A$3:$A$500,$B20,'DADOS BRUTOS'!R$3:R$500)+IF($C20="",0,SUMIF('DADOS BRUTOS'!$A$3:$A$500,$C20,'DADOS BRUTOS'!R$3:R$500)))</f>
        <v/>
      </c>
      <c r="CS20" s="125">
        <f>IF(OR(CS$4="",$B20=""),0,SUMIF('DADOS BRUTOS'!$A$3:$A$500,$B20,'DADOS BRUTOS'!S$3:S$500)+IF($C20="",0,SUMIF('DADOS BRUTOS'!$A$3:$A$500,$C20,'DADOS BRUTOS'!S$3:S$500)))</f>
        <v/>
      </c>
      <c r="CT20" s="125">
        <f>IF(OR(CT$4="",$B20=""),0,SUMIF('DADOS BRUTOS'!$A$3:$A$500,$B20,'DADOS BRUTOS'!T$3:T$500)+IF($C20="",0,SUMIF('DADOS BRUTOS'!$A$3:$A$500,$C20,'DADOS BRUTOS'!T$3:T$500)))</f>
        <v/>
      </c>
      <c r="CU20" s="125">
        <f>IF(OR(CU$4="",$B20=""),0,SUMIF('DADOS BRUTOS'!$A$3:$A$500,$B20,'DADOS BRUTOS'!U$3:U$500)+IF($C20="",0,SUMIF('DADOS BRUTOS'!$A$3:$A$500,$C20,'DADOS BRUTOS'!U$3:U$500)))</f>
        <v/>
      </c>
      <c r="CV20" s="125">
        <f>IF(OR(CV$4="",$B20=""),0,SUMIF('DADOS BRUTOS'!$A$3:$A$500,$B20,'DADOS BRUTOS'!V$3:V$500)+IF($C20="",0,SUMIF('DADOS BRUTOS'!$A$3:$A$500,$C20,'DADOS BRUTOS'!V$3:V$500)))</f>
        <v/>
      </c>
      <c r="CW20" s="125">
        <f>IF(OR(CW$4="",$B20=""),0,SUMIF('DADOS BRUTOS'!$A$3:$A$500,$B20,'DADOS BRUTOS'!W$3:W$500)+IF($C20="",0,SUMIF('DADOS BRUTOS'!$A$3:$A$500,$C20,'DADOS BRUTOS'!W$3:W$500)))</f>
        <v/>
      </c>
      <c r="CX20" s="125">
        <f>IF(OR(CX$4="",$B20=""),0,SUMIF('DADOS BRUTOS'!$A$3:$A$500,$B20,'DADOS BRUTOS'!X$3:X$500)+IF($C20="",0,SUMIF('DADOS BRUTOS'!$A$3:$A$500,$C20,'DADOS BRUTOS'!X$3:X$500)))</f>
        <v/>
      </c>
      <c r="CY20" s="125">
        <f>IF(OR(CY$4="",$B20=""),0,SUMIF('DADOS BRUTOS'!$A$3:$A$500,$B20,'DADOS BRUTOS'!Y$3:Y$500)+IF($C20="",0,SUMIF('DADOS BRUTOS'!$A$3:$A$500,$C20,'DADOS BRUTOS'!Y$3:Y$500)))</f>
        <v/>
      </c>
      <c r="CZ20" s="125">
        <f>IF(OR(CZ$4="",$B20=""),0,SUMIF('DADOS BRUTOS'!$A$3:$A$500,$B20,'DADOS BRUTOS'!Z$3:Z$500)+IF($C20="",0,SUMIF('DADOS BRUTOS'!$A$3:$A$500,$C20,'DADOS BRUTOS'!Z$3:Z$500)))</f>
        <v/>
      </c>
      <c r="DA20" s="125">
        <f>IF(OR(DA$4="",$B20=""),0,SUMIF('DADOS BRUTOS'!$A$3:$A$500,$B20,'DADOS BRUTOS'!AA$3:AA$500)+IF($C20="",0,SUMIF('DADOS BRUTOS'!$A$3:$A$500,$C20,'DADOS BRUTOS'!AA$3:AA$500)))</f>
        <v/>
      </c>
      <c r="DB20" s="125">
        <f>IF(OR(DB$4="",$B20=""),0,SUMIF('DADOS BRUTOS'!$A$3:$A$500,$B20,'DADOS BRUTOS'!AB$3:AB$500)+IF($C20="",0,SUMIF('DADOS BRUTOS'!$A$3:$A$500,$C20,'DADOS BRUTOS'!AB$3:AB$500)))</f>
        <v/>
      </c>
      <c r="DC20" s="125">
        <f>IF(OR(DC$4="",$B20=""),0,SUMIF('DADOS BRUTOS'!$A$3:$A$500,$B20,'DADOS BRUTOS'!AC$3:AC$500)+IF($C20="",0,SUMIF('DADOS BRUTOS'!$A$3:$A$500,$C20,'DADOS BRUTOS'!AC$3:AC$500)))</f>
        <v/>
      </c>
      <c r="DD20" s="125">
        <f>IF(OR(DD$4="",$B20=""),0,SUMIF('DADOS BRUTOS'!$A$3:$A$500,$B20,'DADOS BRUTOS'!AD$3:AD$500)+IF($C20="",0,SUMIF('DADOS BRUTOS'!$A$3:$A$500,$C20,'DADOS BRUTOS'!AD$3:AD$500)))</f>
        <v/>
      </c>
      <c r="DE20" s="125">
        <f>IF(OR(DE$4="",$B20=""),0,SUMIF('DADOS BRUTOS'!$A$3:$A$500,$B20,'DADOS BRUTOS'!AE$3:AE$500)+IF($C20="",0,SUMIF('DADOS BRUTOS'!$A$3:$A$500,$C20,'DADOS BRUTOS'!AE$3:AE$500)))</f>
        <v/>
      </c>
      <c r="DF20" s="125">
        <f>IF(OR(DF$4="",$B20=""),0,SUMIF('DADOS BRUTOS'!$A$3:$A$500,$B20,'DADOS BRUTOS'!AF$3:AF$500)+IF($C20="",0,SUMIF('DADOS BRUTOS'!$A$3:$A$500,$C20,'DADOS BRUTOS'!AF$3:AF$500)))</f>
        <v/>
      </c>
      <c r="DG20" s="125">
        <f>IF(OR(DG$4="",$B20=""),0,SUMIF('DADOS BRUTOS'!$A$3:$A$500,$B20,'DADOS BRUTOS'!AG$3:AG$500)+IF($C20="",0,SUMIF('DADOS BRUTOS'!$A$3:$A$500,$C20,'DADOS BRUTOS'!AG$3:AG$500)))</f>
        <v/>
      </c>
      <c r="DH20" s="125">
        <f>IF(OR(DH$4="",$B20=""),0,SUMIF('DADOS BRUTOS'!$A$3:$A$500,$B20,'DADOS BRUTOS'!AH$3:AH$500)+IF($C20="",0,SUMIF('DADOS BRUTOS'!$A$3:$A$500,$C20,'DADOS BRUTOS'!AH$3:AH$500)))</f>
        <v/>
      </c>
      <c r="DI20" s="125">
        <f>IF(OR(DI$4="",$B20=""),0,SUMIF('DADOS BRUTOS'!$A$3:$A$500,$B20,'DADOS BRUTOS'!AI$3:AI$500)+IF($C20="",0,SUMIF('DADOS BRUTOS'!$A$3:$A$500,$C20,'DADOS BRUTOS'!AI$3:AI$500)))</f>
        <v/>
      </c>
      <c r="DJ20" s="125">
        <f>IF(OR(DJ$4="",$B20=""),0,SUMIF('DADOS BRUTOS'!$A$3:$A$500,$B20,'DADOS BRUTOS'!AJ$3:AJ$500)+IF($C20="",0,SUMIF('DADOS BRUTOS'!$A$3:$A$500,$C20,'DADOS BRUTOS'!AJ$3:AJ$500)))</f>
        <v/>
      </c>
      <c r="DK20" s="125">
        <f>IF(OR(DK$4="",$B20=""),0,SUMIF('DADOS BRUTOS'!$A$3:$A$500,$B20,'DADOS BRUTOS'!AK$3:AK$500)+IF($C20="",0,SUMIF('DADOS BRUTOS'!$A$3:$A$500,$C20,'DADOS BRUTOS'!AK$3:AK$500)))</f>
        <v/>
      </c>
      <c r="DL20" s="125">
        <f>IF(OR(DL$4="",$B20=""),0,SUMIF('DADOS BRUTOS'!$A$3:$A$500,$B20,'DADOS BRUTOS'!AL$3:AL$500)+IF($C20="",0,SUMIF('DADOS BRUTOS'!$A$3:$A$500,$C20,'DADOS BRUTOS'!AL$3:AL$500)))</f>
        <v/>
      </c>
      <c r="DM20" s="125">
        <f>IF(OR(DM$4="",$B20=""),0,SUMIF('DADOS BRUTOS'!$A$3:$A$500,$B20,'DADOS BRUTOS'!AM$3:AM$500)+IF($C20="",0,SUMIF('DADOS BRUTOS'!$A$3:$A$500,$C20,'DADOS BRUTOS'!AM$3:AM$500)))</f>
        <v/>
      </c>
      <c r="DN20" s="125">
        <f>IF(OR(DN$4="",$B20=""),0,SUMIF('DADOS BRUTOS'!$A$3:$A$500,$B20,'DADOS BRUTOS'!AN$3:AN$500)+IF($C20="",0,SUMIF('DADOS BRUTOS'!$A$3:$A$500,$C20,'DADOS BRUTOS'!AN$3:AN$500)))</f>
        <v/>
      </c>
      <c r="DO20" s="125">
        <f>IF(OR(DO$4="",$B20=""),0,SUMIF('DADOS BRUTOS'!$A$3:$A$500,$B20,'DADOS BRUTOS'!AO$3:AO$500)+IF($C20="",0,SUMIF('DADOS BRUTOS'!$A$3:$A$500,$C20,'DADOS BRUTOS'!AO$3:AO$500)))</f>
        <v/>
      </c>
      <c r="DP20" s="125">
        <f>IF(OR(DP$4="",$B20=""),0,SUMIF('DADOS BRUTOS'!$A$3:$A$500,$B20,'DADOS BRUTOS'!AP$3:AP$500)+IF($C20="",0,SUMIF('DADOS BRUTOS'!$A$3:$A$500,$C20,'DADOS BRUTOS'!AP$3:AP$500)))</f>
        <v/>
      </c>
      <c r="DQ20" s="125">
        <f>IF(OR(DQ$4="",$B20=""),0,SUMIF('DADOS BRUTOS'!$A$3:$A$500,$B20,'DADOS BRUTOS'!AQ$3:AQ$500)+IF($C20="",0,SUMIF('DADOS BRUTOS'!$A$3:$A$500,$C20,'DADOS BRUTOS'!AQ$3:AQ$500)))</f>
        <v/>
      </c>
      <c r="DR20" s="125">
        <f>IF(OR(DR$4="",$B20=""),0,SUMIF('DADOS BRUTOS'!$A$3:$A$500,$B20,'DADOS BRUTOS'!AR$3:AR$500)+IF($C20="",0,SUMIF('DADOS BRUTOS'!$A$3:$A$500,$C20,'DADOS BRUTOS'!AR$3:AR$500)))</f>
        <v/>
      </c>
      <c r="DS20" s="125">
        <f>IF(OR(DS$4="",$B20=""),0,SUMIF('DADOS BRUTOS'!$A$3:$A$500,$B20,'DADOS BRUTOS'!AS$3:AS$500)+IF($C20="",0,SUMIF('DADOS BRUTOS'!$A$3:$A$500,$C20,'DADOS BRUTOS'!AS$3:AS$500)))</f>
        <v/>
      </c>
      <c r="DT20" s="125">
        <f>IF(OR(DT$4="",$B20=""),0,SUMIF('DADOS BRUTOS'!$A$3:$A$500,$B20,'DADOS BRUTOS'!AT$3:AT$500)+IF($C20="",0,SUMIF('DADOS BRUTOS'!$A$3:$A$500,$C20,'DADOS BRUTOS'!AT$3:AT$500)))</f>
        <v/>
      </c>
      <c r="DU20" s="125">
        <f>IF(OR(DU$4="",$B20=""),0,SUMIF('DADOS BRUTOS'!$A$3:$A$500,$B20,'DADOS BRUTOS'!AU$3:AU$500)+IF($C20="",0,SUMIF('DADOS BRUTOS'!$A$3:$A$500,$C20,'DADOS BRUTOS'!AU$3:AU$500)))</f>
        <v/>
      </c>
      <c r="DV20" s="125">
        <f>IF(OR(DV$4="",$B20=""),0,SUMIF('DADOS BRUTOS'!$A$3:$A$500,$B20,'DADOS BRUTOS'!AV$3:AV$500)+IF($C20="",0,SUMIF('DADOS BRUTOS'!$A$3:$A$500,$C20,'DADOS BRUTOS'!AV$3:AV$500)))</f>
        <v/>
      </c>
      <c r="DW20" s="125">
        <f>IF(OR(DW$4="",$B20=""),0,SUMIF('DADOS BRUTOS'!$A$3:$A$500,$B20,'DADOS BRUTOS'!AW$3:AW$500)+IF($C20="",0,SUMIF('DADOS BRUTOS'!$A$3:$A$500,$C20,'DADOS BRUTOS'!AW$3:AW$500)))</f>
        <v/>
      </c>
      <c r="DX20" s="125">
        <f>IF(OR(DX$4="",$B20=""),0,SUMIF('DADOS BRUTOS'!$A$3:$A$500,$B20,'DADOS BRUTOS'!AX$3:AX$500)+IF($C20="",0,SUMIF('DADOS BRUTOS'!$A$3:$A$500,$C20,'DADOS BRUTOS'!AX$3:AX$500)))</f>
        <v/>
      </c>
      <c r="DY20" s="125">
        <f>IF(OR(DY$4="",$B20=""),0,SUMIF('DADOS BRUTOS'!$A$3:$A$500,$B20,'DADOS BRUTOS'!AY$3:AY$500)+IF($C20="",0,SUMIF('DADOS BRUTOS'!$A$3:$A$500,$C20,'DADOS BRUTOS'!AY$3:AY$500)))</f>
        <v/>
      </c>
      <c r="DZ20" s="125">
        <f>IF(OR(DZ$4="",$B20=""),0,SUMIF('DADOS BRUTOS'!$A$3:$A$500,$B20,'DADOS BRUTOS'!AZ$3:AZ$500)+IF($C20="",0,SUMIF('DADOS BRUTOS'!$A$3:$A$500,$C20,'DADOS BRUTOS'!AZ$3:AZ$500)))</f>
        <v/>
      </c>
      <c r="EA20" s="125">
        <f>IF(OR(EA$4="",$B20=""),0,SUMIF('DADOS BRUTOS'!$A$3:$A$500,$B20,'DADOS BRUTOS'!BA$3:BA$500)+IF($C20="",0,SUMIF('DADOS BRUTOS'!$A$3:$A$500,$C20,'DADOS BRUTOS'!BA$3:BA$500)))</f>
        <v/>
      </c>
      <c r="EB20" s="125">
        <f>IF(OR(EB$4="",$B20=""),0,SUMIF('DADOS BRUTOS'!$A$3:$A$500,$B20,'DADOS BRUTOS'!BB$3:BB$500)+IF($C20="",0,SUMIF('DADOS BRUTOS'!$A$3:$A$500,$C20,'DADOS BRUTOS'!BB$3:BB$500)))</f>
        <v/>
      </c>
      <c r="EC20" s="125">
        <f>IF(OR(EC$4="",$B20=""),0,SUMIF('DADOS BRUTOS'!$A$3:$A$500,$B20,'DADOS BRUTOS'!BC$3:BC$500)+IF($C20="",0,SUMIF('DADOS BRUTOS'!$A$3:$A$500,$C20,'DADOS BRUTOS'!BC$3:BC$500)))</f>
        <v/>
      </c>
      <c r="ED20" s="125">
        <f>IF(OR(ED$4="",$B20=""),0,SUMIF('DADOS BRUTOS'!$A$3:$A$500,$B20,'DADOS BRUTOS'!BD$3:BD$500)+IF($C20="",0,SUMIF('DADOS BRUTOS'!$A$3:$A$500,$C20,'DADOS BRUTOS'!BD$3:BD$500)))</f>
        <v/>
      </c>
      <c r="EE20" s="125">
        <f>IF(OR(EE$4="",$B20=""),0,SUMIF('DADOS BRUTOS'!$A$3:$A$500,$B20,'DADOS BRUTOS'!BE$3:BE$500)+IF($C20="",0,SUMIF('DADOS BRUTOS'!$A$3:$A$500,$C20,'DADOS BRUTOS'!BE$3:BE$500)))</f>
        <v/>
      </c>
      <c r="EF20" s="125">
        <f>IF(OR(EF$4="",$B20=""),0,SUMIF('DADOS BRUTOS'!$A$3:$A$500,$B20,'DADOS BRUTOS'!BF$3:BF$500)+IF($C20="",0,SUMIF('DADOS BRUTOS'!$A$3:$A$500,$C20,'DADOS BRUTOS'!BF$3:BF$500)))</f>
        <v/>
      </c>
      <c r="EG20" s="125">
        <f>IF(OR(EG$4="",$B20=""),0,SUMIF('DADOS BRUTOS'!$A$3:$A$500,$B20,'DADOS BRUTOS'!BG$3:BG$500)+IF($C20="",0,SUMIF('DADOS BRUTOS'!$A$3:$A$500,$C20,'DADOS BRUTOS'!BG$3:BG$500)))</f>
        <v/>
      </c>
      <c r="EH20" s="125">
        <f>IF(OR(EH$4="",$B20=""),0,SUMIF('DADOS BRUTOS'!$A$3:$A$500,$B20,'DADOS BRUTOS'!BH$3:BH$500)+IF($C20="",0,SUMIF('DADOS BRUTOS'!$A$3:$A$500,$C20,'DADOS BRUTOS'!BH$3:BH$500)))</f>
        <v/>
      </c>
      <c r="EI20" s="125">
        <f>IF(OR(EI$4="",$B20=""),0,SUMIF('DADOS BRUTOS'!$A$3:$A$500,$B20,'DADOS BRUTOS'!BI$3:BI$500)+IF($C20="",0,SUMIF('DADOS BRUTOS'!$A$3:$A$500,$C20,'DADOS BRUTOS'!BI$3:BI$500)))</f>
        <v/>
      </c>
      <c r="EJ20" s="125">
        <f>IF(OR(EJ$4="",$B20=""),0,SUMIF('DADOS BRUTOS'!$A$3:$A$500,$B20,'DADOS BRUTOS'!BJ$3:BJ$500)+IF($C20="",0,SUMIF('DADOS BRUTOS'!$A$3:$A$500,$C20,'DADOS BRUTOS'!BJ$3:BJ$500)))</f>
        <v/>
      </c>
      <c r="EK20" s="125">
        <f>IF(OR(EK$4="",$B20=""),0,SUMIF('DADOS BRUTOS'!$A$3:$A$500,$B20,'DADOS BRUTOS'!BK$3:BK$500)+IF($C20="",0,SUMIF('DADOS BRUTOS'!$A$3:$A$500,$C20,'DADOS BRUTOS'!BK$3:BK$500)))</f>
        <v/>
      </c>
      <c r="EL20" s="125">
        <f>IF(OR(EL$4="",$B20=""),0,SUMIF('DADOS BRUTOS'!$A$3:$A$500,$B20,'DADOS BRUTOS'!BL$3:BL$500)+IF($C20="",0,SUMIF('DADOS BRUTOS'!$A$3:$A$500,$C20,'DADOS BRUTOS'!BL$3:BL$500)))</f>
        <v/>
      </c>
      <c r="EM20" s="125">
        <f>IF(OR(EM$4="",$B20=""),0,SUMIF('DADOS BRUTOS'!$A$3:$A$500,$B20,'DADOS BRUTOS'!BM$3:BM$500)+IF($C20="",0,SUMIF('DADOS BRUTOS'!$A$3:$A$500,$C20,'DADOS BRUTOS'!BM$3:BM$500)))</f>
        <v/>
      </c>
      <c r="EN20" s="125">
        <f>IF(OR(EN$4="",$B20=""),0,SUMIF('DADOS BRUTOS'!$A$3:$A$500,$B20,'DADOS BRUTOS'!BN$3:BN$500)+IF($C20="",0,SUMIF('DADOS BRUTOS'!$A$3:$A$500,$C20,'DADOS BRUTOS'!BN$3:BN$500)))</f>
        <v/>
      </c>
      <c r="EO20" s="125">
        <f>IF(OR(EO$4="",$B20=""),0,SUMIF('DADOS BRUTOS'!$A$3:$A$500,$B20,'DADOS BRUTOS'!BO$3:BO$500)+IF($C20="",0,SUMIF('DADOS BRUTOS'!$A$3:$A$500,$C20,'DADOS BRUTOS'!BO$3:BO$500)))</f>
        <v/>
      </c>
      <c r="EP20" s="125">
        <f>IF(OR(EP$4="",$B20=""),0,SUMIF('DADOS BRUTOS'!$A$3:$A$500,$B20,'DADOS BRUTOS'!BP$3:BP$500)+IF($C20="",0,SUMIF('DADOS BRUTOS'!$A$3:$A$500,$C20,'DADOS BRUTOS'!BP$3:BP$500)))</f>
        <v/>
      </c>
      <c r="EQ20" s="125">
        <f>IF(OR(EQ$4="",$B20=""),0,SUMIF('DADOS BRUTOS'!$A$3:$A$500,$B20,'DADOS BRUTOS'!BQ$3:BQ$500)+IF($C20="",0,SUMIF('DADOS BRUTOS'!$A$3:$A$500,$C20,'DADOS BRUTOS'!BQ$3:BQ$500)))</f>
        <v/>
      </c>
      <c r="ER20" s="125">
        <f>IF(OR(ER$4="",$B20=""),0,SUMIF('DADOS BRUTOS'!$A$3:$A$500,$B20,'DADOS BRUTOS'!BR$3:BR$500)+IF($C20="",0,SUMIF('DADOS BRUTOS'!$A$3:$A$500,$C20,'DADOS BRUTOS'!BR$3:BR$500)))</f>
        <v/>
      </c>
      <c r="ES20" s="125">
        <f>IF(OR(ES$4="",$B20=""),0,SUMIF('DADOS BRUTOS'!$A$3:$A$500,$B20,'DADOS BRUTOS'!BS$3:BS$500)+IF($C20="",0,SUMIF('DADOS BRUTOS'!$A$3:$A$500,$C20,'DADOS BRUTOS'!BS$3:BS$500)))</f>
        <v/>
      </c>
      <c r="ET20" s="125">
        <f>IF(OR(ET$4="",$B20=""),0,SUMIF('DADOS BRUTOS'!$A$3:$A$500,$B20,'DADOS BRUTOS'!BT$3:BT$500)+IF($C20="",0,SUMIF('DADOS BRUTOS'!$A$3:$A$500,$C20,'DADOS BRUTOS'!BT$3:BT$500)))</f>
        <v/>
      </c>
      <c r="EU20" s="125">
        <f>IF(OR(EU$4="",$B20=""),0,SUMIF('DADOS BRUTOS'!$A$3:$A$500,$B20,'DADOS BRUTOS'!BU$3:BU$500)+IF($C20="",0,SUMIF('DADOS BRUTOS'!$A$3:$A$500,$C20,'DADOS BRUTOS'!BU$3:BU$500)))</f>
        <v/>
      </c>
      <c r="EV20" s="125">
        <f>IF(OR(EV$4="",$B20=""),0,SUMIF('DADOS BRUTOS'!$A$3:$A$500,$B20,'DADOS BRUTOS'!BV$3:BV$500)+IF($C20="",0,SUMIF('DADOS BRUTOS'!$A$3:$A$500,$C20,'DADOS BRUTOS'!BV$3:BV$500)))</f>
        <v/>
      </c>
      <c r="EW20" s="125">
        <f>IF(OR(EW$4="",$B20=""),0,SUMIF('DADOS BRUTOS'!$A$3:$A$500,$B20,'DADOS BRUTOS'!BW$3:BW$500)+IF($C20="",0,SUMIF('DADOS BRUTOS'!$A$3:$A$500,$C20,'DADOS BRUTOS'!BW$3:BW$500)))</f>
        <v/>
      </c>
      <c r="EX20" s="125">
        <f>IF(OR(EX$4="",$B20=""),0,SUMIF('DADOS BRUTOS'!$A$3:$A$500,$B20,'DADOS BRUTOS'!BX$3:BX$500)+IF($C20="",0,SUMIF('DADOS BRUTOS'!$A$3:$A$500,$C20,'DADOS BRUTOS'!BX$3:BX$500)))</f>
        <v/>
      </c>
      <c r="EY20" s="125">
        <f>IF(OR(EY$4="",$B20=""),0,SUMIF('DADOS BRUTOS'!$A$3:$A$500,$B20,'DADOS BRUTOS'!BY$3:BY$500)+IF($C20="",0,SUMIF('DADOS BRUTOS'!$A$3:$A$500,$C20,'DADOS BRUTOS'!BY$3:BY$500)))</f>
        <v/>
      </c>
      <c r="EZ20" s="125">
        <f>IF(OR(EZ$4="",$B20=""),0,SUMIF('DADOS BRUTOS'!$A$3:$A$500,$B20,'DADOS BRUTOS'!BZ$3:BZ$500)+IF($C20="",0,SUMIF('DADOS BRUTOS'!$A$3:$A$500,$C20,'DADOS BRUTOS'!BZ$3:BZ$500)))</f>
        <v/>
      </c>
      <c r="FA20" s="125">
        <f>IF(OR(FA$4="",$B20=""),0,SUMIF('DADOS BRUTOS'!$A$3:$A$500,$B20,'DADOS BRUTOS'!CA$3:CA$500)+IF($C20="",0,SUMIF('DADOS BRUTOS'!$A$3:$A$500,$C20,'DADOS BRUTOS'!CA$3:CA$500)))</f>
        <v/>
      </c>
      <c r="FB20" s="125">
        <f>IF(OR(FB$4="",$B20=""),0,SUMIF('DADOS BRUTOS'!$A$3:$A$500,$B20,'DADOS BRUTOS'!CB$3:CB$500)+IF($C20="",0,SUMIF('DADOS BRUTOS'!$A$3:$A$500,$C20,'DADOS BRUTOS'!CB$3:CB$500)))</f>
        <v/>
      </c>
      <c r="FC20" s="125">
        <f>IF(OR(FC$4="",$B20=""),0,SUMIF('DADOS BRUTOS'!$A$3:$A$500,$B20,'DADOS BRUTOS'!CC$3:CC$500)+IF($C20="",0,SUMIF('DADOS BRUTOS'!$A$3:$A$500,$C20,'DADOS BRUTOS'!CC$3:CC$500)))</f>
        <v/>
      </c>
      <c r="FD20" s="125">
        <f>IF(OR(FD$4="",$B20=""),0,SUMIF('DADOS BRUTOS'!$A$3:$A$500,$B20,'DADOS BRUTOS'!CD$3:CD$500)+IF($C20="",0,SUMIF('DADOS BRUTOS'!$A$3:$A$500,$C20,'DADOS BRUTOS'!CD$3:CD$500)))</f>
        <v/>
      </c>
      <c r="FE20" s="125">
        <f>IF(OR(FE$4="",$B20=""),0,SUMIF('DADOS BRUTOS'!$A$3:$A$500,$B20,'DADOS BRUTOS'!CE$3:CE$500)+IF($C20="",0,SUMIF('DADOS BRUTOS'!$A$3:$A$500,$C20,'DADOS BRUTOS'!CE$3:CE$500)))</f>
        <v/>
      </c>
      <c r="FF20" s="125">
        <f>IF(OR(FF$4="",$B20=""),0,SUMIF('DADOS BRUTOS'!$A$3:$A$500,$B20,'DADOS BRUTOS'!CF$3:CF$500)+IF($C20="",0,SUMIF('DADOS BRUTOS'!$A$3:$A$500,$C20,'DADOS BRUTOS'!CF$3:CF$500)))</f>
        <v/>
      </c>
      <c r="FG20" s="125">
        <f>IF(OR(FG$4="",$B20=""),0,SUMIF('DADOS BRUTOS'!$A$3:$A$500,$B20,'DADOS BRUTOS'!CG$3:CG$500)+IF($C20="",0,SUMIF('DADOS BRUTOS'!$A$3:$A$500,$C20,'DADOS BRUTOS'!CG$3:CG$500)))</f>
        <v/>
      </c>
      <c r="FH20" s="125">
        <f>IF(OR(FH$4="",$B20=""),0,SUMIF('DADOS BRUTOS'!$A$3:$A$500,$B20,'DADOS BRUTOS'!CH$3:CH$500)+IF($C20="",0,SUMIF('DADOS BRUTOS'!$A$3:$A$500,$C20,'DADOS BRUTOS'!CH$3:CH$500)))</f>
        <v/>
      </c>
      <c r="FI20" s="125">
        <f>IF(OR(FI$4="",$B20=""),0,SUMIF('DADOS BRUTOS'!$A$3:$A$500,$B20,'DADOS BRUTOS'!CI$3:CI$500)+IF($C20="",0,SUMIF('DADOS BRUTOS'!$A$3:$A$500,$C20,'DADOS BRUTOS'!CI$3:CI$500)))</f>
        <v/>
      </c>
      <c r="FJ20" s="125">
        <f>IF(OR(FJ$4="",$B20=""),0,SUMIF('DADOS BRUTOS'!$A$3:$A$500,$B20,'DADOS BRUTOS'!CJ$3:CJ$500)+IF($C20="",0,SUMIF('DADOS BRUTOS'!$A$3:$A$500,$C20,'DADOS BRUTOS'!CJ$3:CJ$500)))</f>
        <v/>
      </c>
      <c r="FK20" s="125">
        <f>IF(OR(FK$4="",$B20=""),0,SUMIF('DADOS BRUTOS'!$A$3:$A$500,$B20,'DADOS BRUTOS'!CK$3:CK$500)+IF($C20="",0,SUMIF('DADOS BRUTOS'!$A$3:$A$500,$C20,'DADOS BRUTOS'!CK$3:CK$500)))</f>
        <v/>
      </c>
      <c r="FL20" s="125">
        <f>IF(OR(FL$4="",$B20=""),0,SUMIF('DADOS BRUTOS'!$A$3:$A$500,$B20,'DADOS BRUTOS'!CL$3:CL$500)+IF($C20="",0,SUMIF('DADOS BRUTOS'!$A$3:$A$500,$C20,'DADOS BRUTOS'!CL$3:CL$500)))</f>
        <v/>
      </c>
      <c r="FM20" s="125">
        <f>IF(OR(FM$4="",$B20=""),0,SUMIF('DADOS BRUTOS'!$A$3:$A$500,$B20,'DADOS BRUTOS'!CM$3:CM$500)+IF($C20="",0,SUMIF('DADOS BRUTOS'!$A$3:$A$500,$C20,'DADOS BRUTOS'!CM$3:CM$500)))</f>
        <v/>
      </c>
      <c r="FN20" s="125">
        <f>IF(OR(FN$4="",$B20=""),0,SUMIF('DADOS BRUTOS'!$A$3:$A$500,$B20,'DADOS BRUTOS'!CN$3:CN$500)+IF($C20="",0,SUMIF('DADOS BRUTOS'!$A$3:$A$500,$C20,'DADOS BRUTOS'!CN$3:CN$500)))</f>
        <v/>
      </c>
      <c r="FO20" s="125">
        <f>IF(OR(FO$4="",$B20=""),0,SUMIF('DADOS BRUTOS'!$A$3:$A$500,$B20,'DADOS BRUTOS'!CO$3:CO$500)+IF($C20="",0,SUMIF('DADOS BRUTOS'!$A$3:$A$500,$C20,'DADOS BRUTOS'!CO$3:CO$500)))</f>
        <v/>
      </c>
      <c r="FP20" s="125">
        <f>IF(OR(FP$4="",$B20=""),0,SUMIF('DADOS BRUTOS'!$A$3:$A$500,$B20,'DADOS BRUTOS'!CP$3:CP$500)+IF($C20="",0,SUMIF('DADOS BRUTOS'!$A$3:$A$500,$C20,'DADOS BRUTOS'!CP$3:CP$500)))</f>
        <v/>
      </c>
      <c r="FQ20" s="125">
        <f>IF(OR(FQ$4="",$B20=""),0,SUMIF('DADOS BRUTOS'!$A$3:$A$500,$B20,'DADOS BRUTOS'!CQ$3:CQ$500)+IF($C20="",0,SUMIF('DADOS BRUTOS'!$A$3:$A$500,$C20,'DADOS BRUTOS'!CQ$3:CQ$500)))</f>
        <v/>
      </c>
      <c r="FR20" s="125">
        <f>IF(OR(FR$4="",$B20=""),0,SUMIF('DADOS BRUTOS'!$A$3:$A$500,$B20,'DADOS BRUTOS'!CR$3:CR$500)+IF($C20="",0,SUMIF('DADOS BRUTOS'!$A$3:$A$500,$C20,'DADOS BRUTOS'!CR$3:CR$500)))</f>
        <v/>
      </c>
      <c r="FS20" s="125">
        <f>IF(OR(FS$4="",$B20=""),0,SUMIF('DADOS BRUTOS'!$A$3:$A$500,$B20,'DADOS BRUTOS'!CS$3:CS$500)+IF($C20="",0,SUMIF('DADOS BRUTOS'!$A$3:$A$500,$C20,'DADOS BRUTOS'!CS$3:CS$500)))</f>
        <v/>
      </c>
      <c r="FT20" s="125">
        <f>IF(OR(FT$4="",$B20=""),0,SUMIF('DADOS BRUTOS'!$A$3:$A$500,$B20,'DADOS BRUTOS'!CT$3:CT$500)+IF($C20="",0,SUMIF('DADOS BRUTOS'!$A$3:$A$500,$C20,'DADOS BRUTOS'!CT$3:CT$500)))</f>
        <v/>
      </c>
      <c r="FU20" s="125">
        <f>IF(OR(FU$4="",$B20=""),0,SUMIF('DADOS BRUTOS'!$A$3:$A$500,$B20,'DADOS BRUTOS'!CU$3:CU$500)+IF($C20="",0,SUMIF('DADOS BRUTOS'!$A$3:$A$500,$C20,'DADOS BRUTOS'!CU$3:CU$500)))</f>
        <v/>
      </c>
      <c r="FV20" s="125">
        <f>IF(OR(FV$4="",$B20=""),0,SUMIF('DADOS BRUTOS'!$A$3:$A$500,$B20,'DADOS BRUTOS'!CV$3:CV$500)+IF($C20="",0,SUMIF('DADOS BRUTOS'!$A$3:$A$500,$C20,'DADOS BRUTOS'!CV$3:CV$500)))</f>
        <v/>
      </c>
      <c r="FW20" s="125">
        <f>IF(OR(FW$4="",$B20=""),0,SUMIF('DADOS BRUTOS'!$A$3:$A$500,$B20,'DADOS BRUTOS'!CW$3:CW$500)+IF($C20="",0,SUMIF('DADOS BRUTOS'!$A$3:$A$500,$C20,'DADOS BRUTOS'!CW$3:CW$500)))</f>
        <v/>
      </c>
      <c r="FX20" s="125">
        <f>IF(OR(FX$4="",$B20=""),0,SUMIF('DADOS BRUTOS'!$A$3:$A$500,$B20,'DADOS BRUTOS'!CX$3:CX$500)+IF($C20="",0,SUMIF('DADOS BRUTOS'!$A$3:$A$500,$C20,'DADOS BRUTOS'!CX$3:CX$500)))</f>
        <v/>
      </c>
      <c r="FY20" s="125">
        <f>IF(OR(FY$4="",$B20=""),0,SUMIF('DADOS BRUTOS'!$A$3:$A$500,$B20,'DADOS BRUTOS'!CY$3:CY$500)+IF($C20="",0,SUMIF('DADOS BRUTOS'!$A$3:$A$500,$C20,'DADOS BRUTOS'!CY$3:CY$500)))</f>
        <v/>
      </c>
      <c r="FZ20" s="125">
        <f>IF(OR(FZ$4="",$B20=""),0,SUMIF('DADOS BRUTOS'!$A$3:$A$500,$B20,'DADOS BRUTOS'!CZ$3:CZ$500)+IF($C20="",0,SUMIF('DADOS BRUTOS'!$A$3:$A$500,$C20,'DADOS BRUTOS'!CZ$3:CZ$500)))</f>
        <v/>
      </c>
      <c r="GA20" s="125">
        <f>IF(OR(GA$4="",$B20=""),0,SUMIF('DADOS BRUTOS'!$A$3:$A$500,$B20,'DADOS BRUTOS'!DA$3:DA$500)+IF($C20="",0,SUMIF('DADOS BRUTOS'!$A$3:$A$500,$C20,'DADOS BRUTOS'!DA$3:DA$500)))</f>
        <v/>
      </c>
      <c r="GB20" s="125">
        <f>IF(OR(GB$4="",$B20=""),0,SUMIF('DADOS BRUTOS'!$A$3:$A$500,$B20,'DADOS BRUTOS'!DB$3:DB$500)+IF($C20="",0,SUMIF('DADOS BRUTOS'!$A$3:$A$500,$C20,'DADOS BRUTOS'!DB$3:DB$500)))</f>
        <v/>
      </c>
      <c r="GC20" s="125">
        <f>IF(OR(GC$4="",$B20=""),0,SUMIF('DADOS BRUTOS'!$A$3:$A$500,$B20,'DADOS BRUTOS'!DC$3:DC$500)+IF($C20="",0,SUMIF('DADOS BRUTOS'!$A$3:$A$500,$C20,'DADOS BRUTOS'!DC$3:DC$500)))</f>
        <v/>
      </c>
      <c r="GD20" s="125">
        <f>IF(OR(GD$4="",$B20=""),0,SUMIF('DADOS BRUTOS'!$A$3:$A$500,$B20,'DADOS BRUTOS'!DD$3:DD$500)+IF($C20="",0,SUMIF('DADOS BRUTOS'!$A$3:$A$500,$C20,'DADOS BRUTOS'!DD$3:DD$500)))</f>
        <v/>
      </c>
      <c r="GE20" s="125">
        <f>IF(OR(GE$4="",$B20=""),0,SUMIF('DADOS BRUTOS'!$A$3:$A$500,$B20,'DADOS BRUTOS'!DE$3:DE$500)+IF($C20="",0,SUMIF('DADOS BRUTOS'!$A$3:$A$500,$C20,'DADOS BRUTOS'!DE$3:DE$500)))</f>
        <v/>
      </c>
      <c r="GF20" s="125">
        <f>IF(OR(GF$4="",$B20=""),0,SUMIF('DADOS BRUTOS'!$A$3:$A$500,$B20,'DADOS BRUTOS'!DF$3:DF$500)+IF($C20="",0,SUMIF('DADOS BRUTOS'!$A$3:$A$500,$C20,'DADOS BRUTOS'!DF$3:DF$500)))</f>
        <v/>
      </c>
      <c r="GG20" s="125">
        <f>IF(OR(GG$4="",$B20=""),0,SUMIF('DADOS BRUTOS'!$A$3:$A$500,$B20,'DADOS BRUTOS'!DG$3:DG$500)+IF($C20="",0,SUMIF('DADOS BRUTOS'!$A$3:$A$500,$C20,'DADOS BRUTOS'!DG$3:DG$500)))</f>
        <v/>
      </c>
      <c r="GH20" s="125">
        <f>IF(OR(GH$4="",$B20=""),0,SUMIF('DADOS BRUTOS'!$A$3:$A$500,$B20,'DADOS BRUTOS'!DH$3:DH$500)+IF($C20="",0,SUMIF('DADOS BRUTOS'!$A$3:$A$500,$C20,'DADOS BRUTOS'!DH$3:DH$500)))</f>
        <v/>
      </c>
      <c r="GI20" s="125">
        <f>IF(OR(GI$4="",$B20=""),0,SUMIF('DADOS BRUTOS'!$A$3:$A$500,$B20,'DADOS BRUTOS'!DI$3:DI$500)+IF($C20="",0,SUMIF('DADOS BRUTOS'!$A$3:$A$500,$C20,'DADOS BRUTOS'!DI$3:DI$500)))</f>
        <v/>
      </c>
      <c r="GJ20" s="125">
        <f>IF(OR(GJ$4="",$B20=""),0,SUMIF('DADOS BRUTOS'!$A$3:$A$500,$B20,'DADOS BRUTOS'!DJ$3:DJ$500)+IF($C20="",0,SUMIF('DADOS BRUTOS'!$A$3:$A$500,$C20,'DADOS BRUTOS'!DJ$3:DJ$500)))</f>
        <v/>
      </c>
      <c r="GK20" s="125">
        <f>IF(OR(GK$4="",$B20=""),0,SUMIF('DADOS BRUTOS'!$A$3:$A$500,$B20,'DADOS BRUTOS'!DK$3:DK$500)+IF($C20="",0,SUMIF('DADOS BRUTOS'!$A$3:$A$500,$C20,'DADOS BRUTOS'!DK$3:DK$500)))</f>
        <v/>
      </c>
      <c r="GL20" s="125">
        <f>IF(OR(GL$4="",$B20=""),0,SUMIF('DADOS BRUTOS'!$A$3:$A$500,$B20,'DADOS BRUTOS'!DL$3:DL$500)+IF($C20="",0,SUMIF('DADOS BRUTOS'!$A$3:$A$500,$C20,'DADOS BRUTOS'!DL$3:DL$500)))</f>
        <v/>
      </c>
      <c r="GM20" s="125">
        <f>IF(OR(GM$4="",$B20=""),0,SUMIF('DADOS BRUTOS'!$A$3:$A$500,$B20,'DADOS BRUTOS'!DM$3:DM$500)+IF($C20="",0,SUMIF('DADOS BRUTOS'!$A$3:$A$500,$C20,'DADOS BRUTOS'!DM$3:DM$500)))</f>
        <v/>
      </c>
      <c r="GN20" s="125">
        <f>IF(OR(GN$4="",$B20=""),0,SUMIF('DADOS BRUTOS'!$A$3:$A$500,$B20,'DADOS BRUTOS'!DN$3:DN$500)+IF($C20="",0,SUMIF('DADOS BRUTOS'!$A$3:$A$500,$C20,'DADOS BRUTOS'!DN$3:DN$500)))</f>
        <v/>
      </c>
      <c r="GO20" s="125">
        <f>IF(OR(GO$4="",$B20=""),0,SUMIF('DADOS BRUTOS'!$A$3:$A$500,$B20,'DADOS BRUTOS'!DO$3:DO$500)+IF($C20="",0,SUMIF('DADOS BRUTOS'!$A$3:$A$500,$C20,'DADOS BRUTOS'!DO$3:DO$500)))</f>
        <v/>
      </c>
      <c r="GP20" s="125">
        <f>IF(OR(GP$4="",$B20=""),0,SUMIF('DADOS BRUTOS'!$A$3:$A$500,$B20,'DADOS BRUTOS'!DP$3:DP$500)+IF($C20="",0,SUMIF('DADOS BRUTOS'!$A$3:$A$500,$C20,'DADOS BRUTOS'!DP$3:DP$500)))</f>
        <v/>
      </c>
      <c r="GQ20" s="125">
        <f>IF(OR(GQ$4="",$B20=""),0,SUMIF('DADOS BRUTOS'!$A$3:$A$500,$B20,'DADOS BRUTOS'!DQ$3:DQ$500)+IF($C20="",0,SUMIF('DADOS BRUTOS'!$A$3:$A$500,$C20,'DADOS BRUTOS'!DQ$3:DQ$500)))</f>
        <v/>
      </c>
      <c r="GR20" s="125">
        <f>IF(OR(GR$4="",$B20=""),0,SUMIF('DADOS BRUTOS'!$A$3:$A$500,$B20,'DADOS BRUTOS'!DR$3:DR$500)+IF($C20="",0,SUMIF('DADOS BRUTOS'!$A$3:$A$500,$C20,'DADOS BRUTOS'!DR$3:DR$500)))</f>
        <v/>
      </c>
      <c r="GS20" s="125">
        <f>IF(OR(GS$4="",$B20=""),0,SUMIF('DADOS BRUTOS'!$A$3:$A$500,$B20,'DADOS BRUTOS'!DS$3:DS$500)+IF($C20="",0,SUMIF('DADOS BRUTOS'!$A$3:$A$500,$C20,'DADOS BRUTOS'!DS$3:DS$500)))</f>
        <v/>
      </c>
      <c r="GT20" s="125">
        <f>IF(OR(GT$4="",$B20=""),0,SUMIF('DADOS BRUTOS'!$A$3:$A$500,$B20,'DADOS BRUTOS'!DT$3:DT$500)+IF($C20="",0,SUMIF('DADOS BRUTOS'!$A$3:$A$500,$C20,'DADOS BRUTOS'!DT$3:DT$500)))</f>
        <v/>
      </c>
      <c r="GU20" s="125">
        <f>IF(OR(GU$4="",$B20=""),0,SUMIF('DADOS BRUTOS'!$A$3:$A$500,$B20,'DADOS BRUTOS'!DU$3:DU$500)+IF($C20="",0,SUMIF('DADOS BRUTOS'!$A$3:$A$500,$C20,'DADOS BRUTOS'!DU$3:DU$500)))</f>
        <v/>
      </c>
      <c r="GV20" s="125">
        <f>IF(OR(GV$4="",$B20=""),0,SUMIF('DADOS BRUTOS'!$A$3:$A$500,$B20,'DADOS BRUTOS'!DV$3:DV$500)+IF($C20="",0,SUMIF('DADOS BRUTOS'!$A$3:$A$500,$C20,'DADOS BRUTOS'!DV$3:DV$500)))</f>
        <v/>
      </c>
      <c r="GW20" s="125">
        <f>IF(OR(GW$4="",$B20=""),0,SUMIF('DADOS BRUTOS'!$A$3:$A$500,$B20,'DADOS BRUTOS'!DW$3:DW$500)+IF($C20="",0,SUMIF('DADOS BRUTOS'!$A$3:$A$500,$C20,'DADOS BRUTOS'!DW$3:DW$500)))</f>
        <v/>
      </c>
      <c r="GX20" s="125">
        <f>IF(OR(GX$4="",$B20=""),0,SUMIF('DADOS BRUTOS'!$A$3:$A$500,$B20,'DADOS BRUTOS'!DX$3:DX$500)+IF($C20="",0,SUMIF('DADOS BRUTOS'!$A$3:$A$500,$C20,'DADOS BRUTOS'!DX$3:DX$500)))</f>
        <v/>
      </c>
      <c r="GY20" s="125">
        <f>IF(OR(GY$4="",$B20=""),0,SUMIF('DADOS BRUTOS'!$A$3:$A$500,$B20,'DADOS BRUTOS'!DY$3:DY$500)+IF($C20="",0,SUMIF('DADOS BRUTOS'!$A$3:$A$500,$C20,'DADOS BRUTOS'!DY$3:DY$500)))</f>
        <v/>
      </c>
      <c r="GZ20" s="125">
        <f>IF(OR(GZ$4="",$B20=""),0,SUMIF('DADOS BRUTOS'!$A$3:$A$500,$B20,'DADOS BRUTOS'!DZ$3:DZ$500)+IF($C20="",0,SUMIF('DADOS BRUTOS'!$A$3:$A$500,$C20,'DADOS BRUTOS'!DZ$3:DZ$500)))</f>
        <v/>
      </c>
      <c r="HA20" s="125">
        <f>IF(OR(HA$4="",$B20=""),0,SUMIF('DADOS BRUTOS'!$A$3:$A$500,$B20,'DADOS BRUTOS'!EA$3:EA$500)+IF($C20="",0,SUMIF('DADOS BRUTOS'!$A$3:$A$500,$C20,'DADOS BRUTOS'!EA$3:EA$500)))</f>
        <v/>
      </c>
      <c r="HB20" s="125">
        <f>IF(OR(HB$4="",$B20=""),0,SUMIF('DADOS BRUTOS'!$A$3:$A$500,$B20,'DADOS BRUTOS'!EB$3:EB$500)+IF($C20="",0,SUMIF('DADOS BRUTOS'!$A$3:$A$500,$C20,'DADOS BRUTOS'!EB$3:EB$500)))</f>
        <v/>
      </c>
      <c r="HC20" s="125">
        <f>IF(OR(HC$4="",$B20=""),0,SUMIF('DADOS BRUTOS'!$A$3:$A$500,$B20,'DADOS BRUTOS'!EC$3:EC$500)+IF($C20="",0,SUMIF('DADOS BRUTOS'!$A$3:$A$500,$C20,'DADOS BRUTOS'!EC$3:EC$500)))</f>
        <v/>
      </c>
      <c r="HD20" s="125">
        <f>IF(OR(HD$4="",$B20=""),0,SUMIF('DADOS BRUTOS'!$A$3:$A$500,$B20,'DADOS BRUTOS'!ED$3:ED$500)+IF($C20="",0,SUMIF('DADOS BRUTOS'!$A$3:$A$500,$C20,'DADOS BRUTOS'!ED$3:ED$500)))</f>
        <v/>
      </c>
      <c r="HE20" s="125">
        <f>IF(OR(HE$4="",$B20=""),0,SUMIF('DADOS BRUTOS'!$A$3:$A$500,$B20,'DADOS BRUTOS'!EE$3:EE$500)+IF($C20="",0,SUMIF('DADOS BRUTOS'!$A$3:$A$500,$C20,'DADOS BRUTOS'!EE$3:EE$500)))</f>
        <v/>
      </c>
      <c r="HF20" s="125">
        <f>IF(OR(HF$4="",$B20=""),0,SUMIF('DADOS BRUTOS'!$A$3:$A$500,$B20,'DADOS BRUTOS'!EF$3:EF$500)+IF($C20="",0,SUMIF('DADOS BRUTOS'!$A$3:$A$500,$C20,'DADOS BRUTOS'!EF$3:EF$500)))</f>
        <v/>
      </c>
      <c r="HG20" s="125">
        <f>IF(OR(HG$4="",$B20=""),0,SUMIF('DADOS BRUTOS'!$A$3:$A$500,$B20,'DADOS BRUTOS'!EG$3:EG$500)+IF($C20="",0,SUMIF('DADOS BRUTOS'!$A$3:$A$500,$C20,'DADOS BRUTOS'!EG$3:EG$500)))</f>
        <v/>
      </c>
      <c r="HH20" s="125">
        <f>IF(OR(HH$4="",$B20=""),0,SUMIF('DADOS BRUTOS'!$A$3:$A$500,$B20,'DADOS BRUTOS'!EH$3:EH$500)+IF($C20="",0,SUMIF('DADOS BRUTOS'!$A$3:$A$500,$C20,'DADOS BRUTOS'!EH$3:EH$500)))</f>
        <v/>
      </c>
      <c r="HI20" s="125">
        <f>IF(OR(HI$4="",$B20=""),0,SUMIF('DADOS BRUTOS'!$A$3:$A$500,$B20,'DADOS BRUTOS'!EI$3:EI$500)+IF($C20="",0,SUMIF('DADOS BRUTOS'!$A$3:$A$500,$C20,'DADOS BRUTOS'!EI$3:EI$500)))</f>
        <v/>
      </c>
      <c r="HJ20" s="125">
        <f>IF(OR(HJ$4="",$B20=""),0,SUMIF('DADOS BRUTOS'!$A$3:$A$500,$B20,'DADOS BRUTOS'!EJ$3:EJ$500)+IF($C20="",0,SUMIF('DADOS BRUTOS'!$A$3:$A$500,$C20,'DADOS BRUTOS'!EJ$3:EJ$500)))</f>
        <v/>
      </c>
      <c r="HK20" s="125">
        <f>IF(OR(HK$4="",$B20=""),0,SUMIF('DADOS BRUTOS'!$A$3:$A$500,$B20,'DADOS BRUTOS'!EK$3:EK$500)+IF($C20="",0,SUMIF('DADOS BRUTOS'!$A$3:$A$500,$C20,'DADOS BRUTOS'!EK$3:EK$500)))</f>
        <v/>
      </c>
      <c r="HL20" s="125">
        <f>IF(OR(HL$4="",$B20=""),0,SUMIF('DADOS BRUTOS'!$A$3:$A$500,$B20,'DADOS BRUTOS'!EL$3:EL$500)+IF($C20="",0,SUMIF('DADOS BRUTOS'!$A$3:$A$500,$C20,'DADOS BRUTOS'!EL$3:EL$500)))</f>
        <v/>
      </c>
      <c r="HM20" s="125">
        <f>IF(OR(HM$4="",$B20=""),0,SUMIF('DADOS BRUTOS'!$A$3:$A$500,$B20,'DADOS BRUTOS'!EM$3:EM$500)+IF($C20="",0,SUMIF('DADOS BRUTOS'!$A$3:$A$500,$C20,'DADOS BRUTOS'!EM$3:EM$500)))</f>
        <v/>
      </c>
      <c r="HN20" s="125">
        <f>IF(OR(HN$4="",$B20=""),0,SUMIF('DADOS BRUTOS'!$A$3:$A$500,$B20,'DADOS BRUTOS'!EN$3:EN$500)+IF($C20="",0,SUMIF('DADOS BRUTOS'!$A$3:$A$500,$C20,'DADOS BRUTOS'!EN$3:EN$500)))</f>
        <v/>
      </c>
      <c r="HO20" s="125">
        <f>IF(OR(HO$4="",$B20=""),0,SUMIF('DADOS BRUTOS'!$A$3:$A$500,$B20,'DADOS BRUTOS'!EO$3:EO$500)+IF($C20="",0,SUMIF('DADOS BRUTOS'!$A$3:$A$500,$C20,'DADOS BRUTOS'!EO$3:EO$500)))</f>
        <v/>
      </c>
      <c r="HP20" s="125">
        <f>IF(OR(HP$4="",$B20=""),0,SUMIF('DADOS BRUTOS'!$A$3:$A$500,$B20,'DADOS BRUTOS'!EP$3:EP$500)+IF($C20="",0,SUMIF('DADOS BRUTOS'!$A$3:$A$500,$C20,'DADOS BRUTOS'!EP$3:EP$500)))</f>
        <v/>
      </c>
      <c r="HQ20" s="125">
        <f>IF(OR(HQ$4="",$B20=""),0,SUMIF('DADOS BRUTOS'!$A$3:$A$500,$B20,'DADOS BRUTOS'!EQ$3:EQ$500)+IF($C20="",0,SUMIF('DADOS BRUTOS'!$A$3:$A$500,$C20,'DADOS BRUTOS'!EQ$3:EQ$500)))</f>
        <v/>
      </c>
      <c r="HR20" s="125">
        <f>IF(OR(HR$4="",$B20=""),0,SUMIF('DADOS BRUTOS'!$A$3:$A$500,$B20,'DADOS BRUTOS'!ER$3:ER$500)+IF($C20="",0,SUMIF('DADOS BRUTOS'!$A$3:$A$500,$C20,'DADOS BRUTOS'!ER$3:ER$500)))</f>
        <v/>
      </c>
      <c r="HS20" s="125">
        <f>IF(OR(HS$4="",$B20=""),0,SUMIF('DADOS BRUTOS'!$A$3:$A$500,$B20,'DADOS BRUTOS'!ES$3:ES$500)+IF($C20="",0,SUMIF('DADOS BRUTOS'!$A$3:$A$500,$C20,'DADOS BRUTOS'!ES$3:ES$500)))</f>
        <v/>
      </c>
      <c r="HT20" s="125">
        <f>IF(OR(HT$4="",$B20=""),0,SUMIF('DADOS BRUTOS'!$A$3:$A$500,$B20,'DADOS BRUTOS'!ET$3:ET$500)+IF($C20="",0,SUMIF('DADOS BRUTOS'!$A$3:$A$500,$C20,'DADOS BRUTOS'!ET$3:ET$500)))</f>
        <v/>
      </c>
      <c r="HU20" s="125">
        <f>IF(OR(HU$4="",$B20=""),0,SUMIF('DADOS BRUTOS'!$A$3:$A$500,$B20,'DADOS BRUTOS'!EU$3:EU$500)+IF($C20="",0,SUMIF('DADOS BRUTOS'!$A$3:$A$500,$C20,'DADOS BRUTOS'!EU$3:EU$500)))</f>
        <v/>
      </c>
      <c r="HV20" s="125">
        <f>IF(OR(HV$4="",$B20=""),0,SUMIF('DADOS BRUTOS'!$A$3:$A$500,$B20,'DADOS BRUTOS'!EV$3:EV$500)+IF($C20="",0,SUMIF('DADOS BRUTOS'!$A$3:$A$500,$C20,'DADOS BRUTOS'!EV$3:EV$500)))</f>
        <v/>
      </c>
      <c r="HW20" s="125">
        <f>IF(OR(HW$4="",$B20=""),0,SUMIF('DADOS BRUTOS'!$A$3:$A$500,$B20,'DADOS BRUTOS'!EW$3:EW$500)+IF($C20="",0,SUMIF('DADOS BRUTOS'!$A$3:$A$500,$C20,'DADOS BRUTOS'!EW$3:EW$500)))</f>
        <v/>
      </c>
      <c r="HX20" s="125">
        <f>IF(OR(HX$4="",$B20=""),0,SUMIF('DADOS BRUTOS'!$A$3:$A$500,$B20,'DADOS BRUTOS'!EX$3:EX$500)+IF($C20="",0,SUMIF('DADOS BRUTOS'!$A$3:$A$500,$C20,'DADOS BRUTOS'!EX$3:EX$500)))</f>
        <v/>
      </c>
      <c r="HY20" s="125">
        <f>IF(OR(HY$4="",$B20=""),0,SUMIF('DADOS BRUTOS'!$A$3:$A$500,$B20,'DADOS BRUTOS'!EY$3:EY$500)+IF($C20="",0,SUMIF('DADOS BRUTOS'!$A$3:$A$500,$C20,'DADOS BRUTOS'!EY$3:EY$500)))</f>
        <v/>
      </c>
      <c r="HZ20" s="125">
        <f>IF(OR(HZ$4="",$B20=""),0,SUMIF('DADOS BRUTOS'!$A$3:$A$500,$B20,'DADOS BRUTOS'!EZ$3:EZ$500)+IF($C20="",0,SUMIF('DADOS BRUTOS'!$A$3:$A$500,$C20,'DADOS BRUTOS'!EZ$3:EZ$500)))</f>
        <v/>
      </c>
      <c r="IA20" s="125">
        <f>IF(OR(IA$4="",$B20=""),0,SUMIF('DADOS BRUTOS'!$A$3:$A$500,$B20,'DADOS BRUTOS'!FA$3:FA$500)+IF($C20="",0,SUMIF('DADOS BRUTOS'!$A$3:$A$500,$C20,'DADOS BRUTOS'!FA$3:FA$500)))</f>
        <v/>
      </c>
      <c r="IB20" s="125">
        <f>IF(OR(IB$4="",$B20=""),0,SUMIF('DADOS BRUTOS'!$A$3:$A$500,$B20,'DADOS BRUTOS'!FB$3:FB$500)+IF($C20="",0,SUMIF('DADOS BRUTOS'!$A$3:$A$500,$C20,'DADOS BRUTOS'!FB$3:FB$500)))</f>
        <v/>
      </c>
      <c r="IC20" s="125">
        <f>IF(OR(IC$4="",$B20=""),0,SUMIF('DADOS BRUTOS'!$A$3:$A$500,$B20,'DADOS BRUTOS'!FC$3:FC$500)+IF($C20="",0,SUMIF('DADOS BRUTOS'!$A$3:$A$500,$C20,'DADOS BRUTOS'!FC$3:FC$500)))</f>
        <v/>
      </c>
      <c r="ID20" s="125">
        <f>IF(OR(ID$4="",$B20=""),0,SUMIF('DADOS BRUTOS'!$A$3:$A$500,$B20,'DADOS BRUTOS'!FD$3:FD$500)+IF($C20="",0,SUMIF('DADOS BRUTOS'!$A$3:$A$500,$C20,'DADOS BRUTOS'!FD$3:FD$500)))</f>
        <v/>
      </c>
      <c r="IE20" s="125">
        <f>IF(OR(IE$4="",$B20=""),0,SUMIF('DADOS BRUTOS'!$A$3:$A$500,$B20,'DADOS BRUTOS'!FE$3:FE$500)+IF($C20="",0,SUMIF('DADOS BRUTOS'!$A$3:$A$500,$C20,'DADOS BRUTOS'!FE$3:FE$500)))</f>
        <v/>
      </c>
      <c r="IF20" s="125">
        <f>IF(OR(IF$4="",$B20=""),0,SUMIF('DADOS BRUTOS'!$A$3:$A$500,$B20,'DADOS BRUTOS'!FF$3:FF$500)+IF($C20="",0,SUMIF('DADOS BRUTOS'!$A$3:$A$500,$C20,'DADOS BRUTOS'!FF$3:FF$500)))</f>
        <v/>
      </c>
      <c r="IG20" s="125">
        <f>IF(OR(IG$4="",$B20=""),0,SUMIF('DADOS BRUTOS'!$A$3:$A$500,$B20,'DADOS BRUTOS'!FG$3:FG$500)+IF($C20="",0,SUMIF('DADOS BRUTOS'!$A$3:$A$500,$C20,'DADOS BRUTOS'!FG$3:FG$500)))</f>
        <v/>
      </c>
      <c r="IH20" s="125">
        <f>IF(OR(IH$4="",$B20=""),0,SUMIF('DADOS BRUTOS'!$A$3:$A$500,$B20,'DADOS BRUTOS'!FH$3:FH$500)+IF($C20="",0,SUMIF('DADOS BRUTOS'!$A$3:$A$500,$C20,'DADOS BRUTOS'!FH$3:FH$500)))</f>
        <v/>
      </c>
      <c r="II20" s="125">
        <f>IF(OR(II$4="",$B20=""),0,SUMIF('DADOS BRUTOS'!$A$3:$A$500,$B20,'DADOS BRUTOS'!FI$3:FI$500)+IF($C20="",0,SUMIF('DADOS BRUTOS'!$A$3:$A$500,$C20,'DADOS BRUTOS'!FI$3:FI$500)))</f>
        <v/>
      </c>
      <c r="IJ20" s="125">
        <f>IF(OR(IJ$4="",$B20=""),0,SUMIF('DADOS BRUTOS'!$A$3:$A$500,$B20,'DADOS BRUTOS'!FJ$3:FJ$500)+IF($C20="",0,SUMIF('DADOS BRUTOS'!$A$3:$A$500,$C20,'DADOS BRUTOS'!FJ$3:FJ$500)))</f>
        <v/>
      </c>
      <c r="IK20" s="125">
        <f>IF(OR(IK$4="",$B20=""),0,SUMIF('DADOS BRUTOS'!$A$3:$A$500,$B20,'DADOS BRUTOS'!FK$3:FK$500)+IF($C20="",0,SUMIF('DADOS BRUTOS'!$A$3:$A$500,$C20,'DADOS BRUTOS'!FK$3:FK$500)))</f>
        <v/>
      </c>
      <c r="IL20" s="125">
        <f>IF(OR(IL$4="",$B20=""),0,SUMIF('DADOS BRUTOS'!$A$3:$A$500,$B20,'DADOS BRUTOS'!FL$3:FL$500)+IF($C20="",0,SUMIF('DADOS BRUTOS'!$A$3:$A$500,$C20,'DADOS BRUTOS'!FL$3:FL$500)))</f>
        <v/>
      </c>
      <c r="IM20" s="125">
        <f>IF(OR(IM$4="",$B20=""),0,SUMIF('DADOS BRUTOS'!$A$3:$A$500,$B20,'DADOS BRUTOS'!FM$3:FM$500)+IF($C20="",0,SUMIF('DADOS BRUTOS'!$A$3:$A$500,$C20,'DADOS BRUTOS'!FM$3:FM$500)))</f>
        <v/>
      </c>
      <c r="IN20" s="125">
        <f>IF(OR(IN$4="",$B20=""),0,SUMIF('DADOS BRUTOS'!$A$3:$A$500,$B20,'DADOS BRUTOS'!FN$3:FN$500)+IF($C20="",0,SUMIF('DADOS BRUTOS'!$A$3:$A$500,$C20,'DADOS BRUTOS'!FN$3:FN$500)))</f>
        <v/>
      </c>
      <c r="IO20" s="125">
        <f>IF(OR(IO$4="",$B20=""),0,SUMIF('DADOS BRUTOS'!$A$3:$A$500,$B20,'DADOS BRUTOS'!FO$3:FO$500)+IF($C20="",0,SUMIF('DADOS BRUTOS'!$A$3:$A$500,$C20,'DADOS BRUTOS'!FO$3:FO$500)))</f>
        <v/>
      </c>
      <c r="IP20" s="125">
        <f>IF(OR(IP$4="",$B20=""),0,SUMIF('DADOS BRUTOS'!$A$3:$A$500,$B20,'DADOS BRUTOS'!FP$3:FP$500)+IF($C20="",0,SUMIF('DADOS BRUTOS'!$A$3:$A$500,$C20,'DADOS BRUTOS'!FP$3:FP$500)))</f>
        <v/>
      </c>
      <c r="IQ20" s="125">
        <f>IF(OR(IQ$4="",$B20=""),0,SUMIF('DADOS BRUTOS'!$A$3:$A$500,$B20,'DADOS BRUTOS'!FQ$3:FQ$500)+IF($C20="",0,SUMIF('DADOS BRUTOS'!$A$3:$A$500,$C20,'DADOS BRUTOS'!FQ$3:FQ$500)))</f>
        <v/>
      </c>
      <c r="IR20" s="125">
        <f>IF(OR(IR$4="",$B20=""),0,SUMIF('DADOS BRUTOS'!$A$3:$A$500,$B20,'DADOS BRUTOS'!FR$3:FR$500)+IF($C20="",0,SUMIF('DADOS BRUTOS'!$A$3:$A$500,$C20,'DADOS BRUTOS'!FR$3:FR$500)))</f>
        <v/>
      </c>
      <c r="IS20" s="125">
        <f>IF(OR(IS$4="",$B20=""),0,SUMIF('DADOS BRUTOS'!$A$3:$A$500,$B20,'DADOS BRUTOS'!FS$3:FS$500)+IF($C20="",0,SUMIF('DADOS BRUTOS'!$A$3:$A$500,$C20,'DADOS BRUTOS'!FS$3:FS$500)))</f>
        <v/>
      </c>
      <c r="IT20" s="125">
        <f>IF(OR(IT$4="",$B20=""),0,SUMIF('DADOS BRUTOS'!$A$3:$A$500,$B20,'DADOS BRUTOS'!FT$3:FT$500)+IF($C20="",0,SUMIF('DADOS BRUTOS'!$A$3:$A$500,$C20,'DADOS BRUTOS'!FT$3:FT$500)))</f>
        <v/>
      </c>
      <c r="IU20" s="125">
        <f>IF(OR(IU$4="",$B20=""),0,SUMIF('DADOS BRUTOS'!$A$3:$A$500,$B20,'DADOS BRUTOS'!FU$3:FU$500)+IF($C20="",0,SUMIF('DADOS BRUTOS'!$A$3:$A$500,$C20,'DADOS BRUTOS'!FU$3:FU$500)))</f>
        <v/>
      </c>
      <c r="IV20" s="125">
        <f>IF(OR(IV$4="",$B20=""),0,SUMIF('DADOS BRUTOS'!$A$3:$A$500,$B20,'DADOS BRUTOS'!FV$3:FV$500)+IF($C20="",0,SUMIF('DADOS BRUTOS'!$A$3:$A$500,$C20,'DADOS BRUTOS'!FV$3:FV$500)))</f>
        <v/>
      </c>
      <c r="IW20" s="125">
        <f>IF(OR(IW$4="",$B20=""),0,SUMIF('DADOS BRUTOS'!$A$3:$A$500,$B20,'DADOS BRUTOS'!FW$3:FW$500)+IF($C20="",0,SUMIF('DADOS BRUTOS'!$A$3:$A$500,$C20,'DADOS BRUTOS'!FW$3:FW$500)))</f>
        <v/>
      </c>
      <c r="IX20" s="125">
        <f>IF(OR(IX$4="",$B20=""),0,SUMIF('DADOS BRUTOS'!$A$3:$A$500,$B20,'DADOS BRUTOS'!FX$3:FX$500)+IF($C20="",0,SUMIF('DADOS BRUTOS'!$A$3:$A$500,$C20,'DADOS BRUTOS'!FX$3:FX$500)))</f>
        <v/>
      </c>
      <c r="IY20" s="125">
        <f>IF(OR(IY$4="",$B20=""),0,SUMIF('DADOS BRUTOS'!$A$3:$A$500,$B20,'DADOS BRUTOS'!FY$3:FY$500)+IF($C20="",0,SUMIF('DADOS BRUTOS'!$A$3:$A$500,$C20,'DADOS BRUTOS'!FY$3:FY$500)))</f>
        <v/>
      </c>
      <c r="IZ20" s="125">
        <f>IF(OR(IZ$4="",$B20=""),0,SUMIF('DADOS BRUTOS'!$A$3:$A$500,$B20,'DADOS BRUTOS'!FZ$3:FZ$500)+IF($C20="",0,SUMIF('DADOS BRUTOS'!$A$3:$A$500,$C20,'DADOS BRUTOS'!FZ$3:FZ$500)))</f>
        <v/>
      </c>
      <c r="JA20" s="125">
        <f>IF(OR(JA$4="",$B20=""),0,SUMIF('DADOS BRUTOS'!$A$3:$A$500,$B20,'DADOS BRUTOS'!GA$3:GA$500)+IF($C20="",0,SUMIF('DADOS BRUTOS'!$A$3:$A$500,$C20,'DADOS BRUTOS'!GA$3:GA$500)))</f>
        <v/>
      </c>
      <c r="JB20" s="125">
        <f>IF(OR(JB$4="",$B20=""),0,SUMIF('DADOS BRUTOS'!$A$3:$A$500,$B20,'DADOS BRUTOS'!GB$3:GB$500)+IF($C20="",0,SUMIF('DADOS BRUTOS'!$A$3:$A$500,$C20,'DADOS BRUTOS'!GB$3:GB$500)))</f>
        <v/>
      </c>
      <c r="JC20" s="125">
        <f>IF(OR(JC$4="",$B20=""),0,SUMIF('DADOS BRUTOS'!$A$3:$A$500,$B20,'DADOS BRUTOS'!GC$3:GC$500)+IF($C20="",0,SUMIF('DADOS BRUTOS'!$A$3:$A$500,$C20,'DADOS BRUTOS'!GC$3:GC$500)))</f>
        <v/>
      </c>
      <c r="JD20" s="125">
        <f>IF(OR(JD$4="",$B20=""),0,SUMIF('DADOS BRUTOS'!$A$3:$A$500,$B20,'DADOS BRUTOS'!GD$3:GD$500)+IF($C20="",0,SUMIF('DADOS BRUTOS'!$A$3:$A$500,$C20,'DADOS BRUTOS'!GD$3:GD$500)))</f>
        <v/>
      </c>
      <c r="JE20" s="125">
        <f>IF(OR(JE$4="",$B20=""),0,SUMIF('DADOS BRUTOS'!$A$3:$A$500,$B20,'DADOS BRUTOS'!GE$3:GE$500)+IF($C20="",0,SUMIF('DADOS BRUTOS'!$A$3:$A$500,$C20,'DADOS BRUTOS'!GE$3:GE$500)))</f>
        <v/>
      </c>
      <c r="JF20" s="125">
        <f>IF(OR(JF$4="",$B20=""),0,SUMIF('DADOS BRUTOS'!$A$3:$A$500,$B20,'DADOS BRUTOS'!GF$3:GF$500)+IF($C20="",0,SUMIF('DADOS BRUTOS'!$A$3:$A$500,$C20,'DADOS BRUTOS'!GF$3:GF$500)))</f>
        <v/>
      </c>
      <c r="JG20" s="125">
        <f>IF(OR(JG$4="",$B20=""),0,SUMIF('DADOS BRUTOS'!$A$3:$A$500,$B20,'DADOS BRUTOS'!GG$3:GG$500)+IF($C20="",0,SUMIF('DADOS BRUTOS'!$A$3:$A$500,$C20,'DADOS BRUTOS'!GG$3:GG$500)))</f>
        <v/>
      </c>
      <c r="JH20" s="125">
        <f>IF(OR(JH$4="",$B20=""),0,SUMIF('DADOS BRUTOS'!$A$3:$A$500,$B20,'DADOS BRUTOS'!GH$3:GH$500)+IF($C20="",0,SUMIF('DADOS BRUTOS'!$A$3:$A$500,$C20,'DADOS BRUTOS'!GH$3:GH$500)))</f>
        <v/>
      </c>
      <c r="JI20" s="125">
        <f>IF(OR(JI$4="",$B20=""),0,SUMIF('DADOS BRUTOS'!$A$3:$A$500,$B20,'DADOS BRUTOS'!GI$3:GI$500)+IF($C20="",0,SUMIF('DADOS BRUTOS'!$A$3:$A$500,$C20,'DADOS BRUTOS'!GI$3:GI$500)))</f>
        <v/>
      </c>
      <c r="JJ20" s="125">
        <f>IF(OR(JJ$4="",$B20=""),0,SUMIF('DADOS BRUTOS'!$A$3:$A$500,$B20,'DADOS BRUTOS'!GJ$3:GJ$500)+IF($C20="",0,SUMIF('DADOS BRUTOS'!$A$3:$A$500,$C20,'DADOS BRUTOS'!GJ$3:GJ$500)))</f>
        <v/>
      </c>
      <c r="JK20" s="125">
        <f>IF(OR(JK$4="",$B20=""),0,SUMIF('DADOS BRUTOS'!$A$3:$A$500,$B20,'DADOS BRUTOS'!GK$3:GK$500)+IF($C20="",0,SUMIF('DADOS BRUTOS'!$A$3:$A$500,$C20,'DADOS BRUTOS'!GK$3:GK$500)))</f>
        <v/>
      </c>
      <c r="JL20" s="125">
        <f>IF(OR(JL$4="",$B20=""),0,SUMIF('DADOS BRUTOS'!$A$3:$A$500,$B20,'DADOS BRUTOS'!GL$3:GL$500)+IF($C20="",0,SUMIF('DADOS BRUTOS'!$A$3:$A$500,$C20,'DADOS BRUTOS'!GL$3:GL$500)))</f>
        <v/>
      </c>
      <c r="JM20" s="125">
        <f>IF(OR(JM$4="",$B20=""),0,SUMIF('DADOS BRUTOS'!$A$3:$A$500,$B20,'DADOS BRUTOS'!GM$3:GM$500)+IF($C20="",0,SUMIF('DADOS BRUTOS'!$A$3:$A$500,$C20,'DADOS BRUTOS'!GM$3:GM$500)))</f>
        <v/>
      </c>
      <c r="JN20" s="125">
        <f>IF(OR(JN$4="",$B20=""),0,SUMIF('DADOS BRUTOS'!$A$3:$A$500,$B20,'DADOS BRUTOS'!GN$3:GN$500)+IF($C20="",0,SUMIF('DADOS BRUTOS'!$A$3:$A$500,$C20,'DADOS BRUTOS'!GN$3:GN$500)))</f>
        <v/>
      </c>
      <c r="JO20" s="125">
        <f>IF(OR(JO$4="",$B20=""),0,SUMIF('DADOS BRUTOS'!$A$3:$A$500,$B20,'DADOS BRUTOS'!GO$3:GO$500)+IF($C20="",0,SUMIF('DADOS BRUTOS'!$A$3:$A$500,$C20,'DADOS BRUTOS'!GO$3:GO$500)))</f>
        <v/>
      </c>
      <c r="JP20" s="125">
        <f>IF(OR(JP$4="",$B20=""),0,SUMIF('DADOS BRUTOS'!$A$3:$A$500,$B20,'DADOS BRUTOS'!GP$3:GP$500)+IF($C20="",0,SUMIF('DADOS BRUTOS'!$A$3:$A$500,$C20,'DADOS BRUTOS'!GP$3:GP$500)))</f>
        <v/>
      </c>
      <c r="JQ20" s="125">
        <f>IF(OR(JQ$4="",$B20=""),0,SUMIF('DADOS BRUTOS'!$A$3:$A$500,$B20,'DADOS BRUTOS'!GQ$3:GQ$500)+IF($C20="",0,SUMIF('DADOS BRUTOS'!$A$3:$A$500,$C20,'DADOS BRUTOS'!GQ$3:GQ$500)))</f>
        <v/>
      </c>
      <c r="JR20" s="125">
        <f>IF(OR(JR$4="",$B20=""),0,SUMIF('DADOS BRUTOS'!$A$3:$A$500,$B20,'DADOS BRUTOS'!GR$3:GR$500)+IF($C20="",0,SUMIF('DADOS BRUTOS'!$A$3:$A$500,$C20,'DADOS BRUTOS'!GR$3:GR$500)))</f>
        <v/>
      </c>
      <c r="JS20" s="125">
        <f>IF(OR(JS$4="",$B20=""),0,SUMIF('DADOS BRUTOS'!$A$3:$A$500,$B20,'DADOS BRUTOS'!GS$3:GS$500)+IF($C20="",0,SUMIF('DADOS BRUTOS'!$A$3:$A$500,$C20,'DADOS BRUTOS'!GS$3:GS$500)))</f>
        <v/>
      </c>
    </row>
    <row r="21">
      <c r="A21" s="61">
        <f>'VALOR POR PL'!D27</f>
        <v/>
      </c>
      <c r="B21" s="59" t="inlineStr">
        <is>
          <t>ESTRUTURA EM CONTRETO ARMADO</t>
        </is>
      </c>
      <c r="C21" s="59" t="n"/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BZ21" s="49">
        <f>SUMPRODUCT(($CB$4:$JS$4&lt;&gt;"")*($CB$4:$JS$4&lt;=$D$4),$CB21:$JS21,$CB$1:$JS$1)</f>
        <v/>
      </c>
      <c r="CB21" s="125">
        <f>IF(OR(CB$4="",$B21=""),0,SUMIF('DADOS BRUTOS'!$A$3:$A$500,$B21,'DADOS BRUTOS'!B$3:B$500)+IF($C21="",0,SUMIF('DADOS BRUTOS'!$A$3:$A$500,$C21,'DADOS BRUTOS'!B$3:B$500)))</f>
        <v/>
      </c>
      <c r="CC21" s="125">
        <f>IF(OR(CC$4="",$B21=""),0,SUMIF('DADOS BRUTOS'!$A$3:$A$500,$B21,'DADOS BRUTOS'!C$3:C$500)+IF($C21="",0,SUMIF('DADOS BRUTOS'!$A$3:$A$500,$C21,'DADOS BRUTOS'!C$3:C$500)))</f>
        <v/>
      </c>
      <c r="CD21" s="125">
        <f>IF(OR(CD$4="",$B21=""),0,SUMIF('DADOS BRUTOS'!$A$3:$A$500,$B21,'DADOS BRUTOS'!D$3:D$500)+IF($C21="",0,SUMIF('DADOS BRUTOS'!$A$3:$A$500,$C21,'DADOS BRUTOS'!D$3:D$500)))</f>
        <v/>
      </c>
      <c r="CE21" s="125">
        <f>IF(OR(CE$4="",$B21=""),0,SUMIF('DADOS BRUTOS'!$A$3:$A$500,$B21,'DADOS BRUTOS'!E$3:E$500)+IF($C21="",0,SUMIF('DADOS BRUTOS'!$A$3:$A$500,$C21,'DADOS BRUTOS'!E$3:E$500)))</f>
        <v/>
      </c>
      <c r="CF21" s="125">
        <f>IF(OR(CF$4="",$B21=""),0,SUMIF('DADOS BRUTOS'!$A$3:$A$500,$B21,'DADOS BRUTOS'!F$3:F$500)+IF($C21="",0,SUMIF('DADOS BRUTOS'!$A$3:$A$500,$C21,'DADOS BRUTOS'!F$3:F$500)))</f>
        <v/>
      </c>
      <c r="CG21" s="125">
        <f>IF(OR(CG$4="",$B21=""),0,SUMIF('DADOS BRUTOS'!$A$3:$A$500,$B21,'DADOS BRUTOS'!G$3:G$500)+IF($C21="",0,SUMIF('DADOS BRUTOS'!$A$3:$A$500,$C21,'DADOS BRUTOS'!G$3:G$500)))</f>
        <v/>
      </c>
      <c r="CH21" s="125">
        <f>IF(OR(CH$4="",$B21=""),0,SUMIF('DADOS BRUTOS'!$A$3:$A$500,$B21,'DADOS BRUTOS'!H$3:H$500)+IF($C21="",0,SUMIF('DADOS BRUTOS'!$A$3:$A$500,$C21,'DADOS BRUTOS'!H$3:H$500)))</f>
        <v/>
      </c>
      <c r="CI21" s="125">
        <f>IF(OR(CI$4="",$B21=""),0,SUMIF('DADOS BRUTOS'!$A$3:$A$500,$B21,'DADOS BRUTOS'!I$3:I$500)+IF($C21="",0,SUMIF('DADOS BRUTOS'!$A$3:$A$500,$C21,'DADOS BRUTOS'!I$3:I$500)))</f>
        <v/>
      </c>
      <c r="CJ21" s="125">
        <f>IF(OR(CJ$4="",$B21=""),0,SUMIF('DADOS BRUTOS'!$A$3:$A$500,$B21,'DADOS BRUTOS'!J$3:J$500)+IF($C21="",0,SUMIF('DADOS BRUTOS'!$A$3:$A$500,$C21,'DADOS BRUTOS'!J$3:J$500)))</f>
        <v/>
      </c>
      <c r="CK21" s="125">
        <f>IF(OR(CK$4="",$B21=""),0,SUMIF('DADOS BRUTOS'!$A$3:$A$500,$B21,'DADOS BRUTOS'!K$3:K$500)+IF($C21="",0,SUMIF('DADOS BRUTOS'!$A$3:$A$500,$C21,'DADOS BRUTOS'!K$3:K$500)))</f>
        <v/>
      </c>
      <c r="CL21" s="125">
        <f>IF(OR(CL$4="",$B21=""),0,SUMIF('DADOS BRUTOS'!$A$3:$A$500,$B21,'DADOS BRUTOS'!L$3:L$500)+IF($C21="",0,SUMIF('DADOS BRUTOS'!$A$3:$A$500,$C21,'DADOS BRUTOS'!L$3:L$500)))</f>
        <v/>
      </c>
      <c r="CM21" s="125">
        <f>IF(OR(CM$4="",$B21=""),0,SUMIF('DADOS BRUTOS'!$A$3:$A$500,$B21,'DADOS BRUTOS'!M$3:M$500)+IF($C21="",0,SUMIF('DADOS BRUTOS'!$A$3:$A$500,$C21,'DADOS BRUTOS'!M$3:M$500)))</f>
        <v/>
      </c>
      <c r="CN21" s="125">
        <f>IF(OR(CN$4="",$B21=""),0,SUMIF('DADOS BRUTOS'!$A$3:$A$500,$B21,'DADOS BRUTOS'!N$3:N$500)+IF($C21="",0,SUMIF('DADOS BRUTOS'!$A$3:$A$500,$C21,'DADOS BRUTOS'!N$3:N$500)))</f>
        <v/>
      </c>
      <c r="CO21" s="125">
        <f>IF(OR(CO$4="",$B21=""),0,SUMIF('DADOS BRUTOS'!$A$3:$A$500,$B21,'DADOS BRUTOS'!O$3:O$500)+IF($C21="",0,SUMIF('DADOS BRUTOS'!$A$3:$A$500,$C21,'DADOS BRUTOS'!O$3:O$500)))</f>
        <v/>
      </c>
      <c r="CP21" s="125">
        <f>IF(OR(CP$4="",$B21=""),0,SUMIF('DADOS BRUTOS'!$A$3:$A$500,$B21,'DADOS BRUTOS'!P$3:P$500)+IF($C21="",0,SUMIF('DADOS BRUTOS'!$A$3:$A$500,$C21,'DADOS BRUTOS'!P$3:P$500)))</f>
        <v/>
      </c>
      <c r="CQ21" s="125">
        <f>IF(OR(CQ$4="",$B21=""),0,SUMIF('DADOS BRUTOS'!$A$3:$A$500,$B21,'DADOS BRUTOS'!Q$3:Q$500)+IF($C21="",0,SUMIF('DADOS BRUTOS'!$A$3:$A$500,$C21,'DADOS BRUTOS'!Q$3:Q$500)))</f>
        <v/>
      </c>
      <c r="CR21" s="125">
        <f>IF(OR(CR$4="",$B21=""),0,SUMIF('DADOS BRUTOS'!$A$3:$A$500,$B21,'DADOS BRUTOS'!R$3:R$500)+IF($C21="",0,SUMIF('DADOS BRUTOS'!$A$3:$A$500,$C21,'DADOS BRUTOS'!R$3:R$500)))</f>
        <v/>
      </c>
      <c r="CS21" s="125">
        <f>IF(OR(CS$4="",$B21=""),0,SUMIF('DADOS BRUTOS'!$A$3:$A$500,$B21,'DADOS BRUTOS'!S$3:S$500)+IF($C21="",0,SUMIF('DADOS BRUTOS'!$A$3:$A$500,$C21,'DADOS BRUTOS'!S$3:S$500)))</f>
        <v/>
      </c>
      <c r="CT21" s="125">
        <f>IF(OR(CT$4="",$B21=""),0,SUMIF('DADOS BRUTOS'!$A$3:$A$500,$B21,'DADOS BRUTOS'!T$3:T$500)+IF($C21="",0,SUMIF('DADOS BRUTOS'!$A$3:$A$500,$C21,'DADOS BRUTOS'!T$3:T$500)))</f>
        <v/>
      </c>
      <c r="CU21" s="125">
        <f>IF(OR(CU$4="",$B21=""),0,SUMIF('DADOS BRUTOS'!$A$3:$A$500,$B21,'DADOS BRUTOS'!U$3:U$500)+IF($C21="",0,SUMIF('DADOS BRUTOS'!$A$3:$A$500,$C21,'DADOS BRUTOS'!U$3:U$500)))</f>
        <v/>
      </c>
      <c r="CV21" s="125">
        <f>IF(OR(CV$4="",$B21=""),0,SUMIF('DADOS BRUTOS'!$A$3:$A$500,$B21,'DADOS BRUTOS'!V$3:V$500)+IF($C21="",0,SUMIF('DADOS BRUTOS'!$A$3:$A$500,$C21,'DADOS BRUTOS'!V$3:V$500)))</f>
        <v/>
      </c>
      <c r="CW21" s="125">
        <f>IF(OR(CW$4="",$B21=""),0,SUMIF('DADOS BRUTOS'!$A$3:$A$500,$B21,'DADOS BRUTOS'!W$3:W$500)+IF($C21="",0,SUMIF('DADOS BRUTOS'!$A$3:$A$500,$C21,'DADOS BRUTOS'!W$3:W$500)))</f>
        <v/>
      </c>
      <c r="CX21" s="125">
        <f>IF(OR(CX$4="",$B21=""),0,SUMIF('DADOS BRUTOS'!$A$3:$A$500,$B21,'DADOS BRUTOS'!X$3:X$500)+IF($C21="",0,SUMIF('DADOS BRUTOS'!$A$3:$A$500,$C21,'DADOS BRUTOS'!X$3:X$500)))</f>
        <v/>
      </c>
      <c r="CY21" s="125">
        <f>IF(OR(CY$4="",$B21=""),0,SUMIF('DADOS BRUTOS'!$A$3:$A$500,$B21,'DADOS BRUTOS'!Y$3:Y$500)+IF($C21="",0,SUMIF('DADOS BRUTOS'!$A$3:$A$500,$C21,'DADOS BRUTOS'!Y$3:Y$500)))</f>
        <v/>
      </c>
      <c r="CZ21" s="125">
        <f>IF(OR(CZ$4="",$B21=""),0,SUMIF('DADOS BRUTOS'!$A$3:$A$500,$B21,'DADOS BRUTOS'!Z$3:Z$500)+IF($C21="",0,SUMIF('DADOS BRUTOS'!$A$3:$A$500,$C21,'DADOS BRUTOS'!Z$3:Z$500)))</f>
        <v/>
      </c>
      <c r="DA21" s="125">
        <f>IF(OR(DA$4="",$B21=""),0,SUMIF('DADOS BRUTOS'!$A$3:$A$500,$B21,'DADOS BRUTOS'!AA$3:AA$500)+IF($C21="",0,SUMIF('DADOS BRUTOS'!$A$3:$A$500,$C21,'DADOS BRUTOS'!AA$3:AA$500)))</f>
        <v/>
      </c>
      <c r="DB21" s="125">
        <f>IF(OR(DB$4="",$B21=""),0,SUMIF('DADOS BRUTOS'!$A$3:$A$500,$B21,'DADOS BRUTOS'!AB$3:AB$500)+IF($C21="",0,SUMIF('DADOS BRUTOS'!$A$3:$A$500,$C21,'DADOS BRUTOS'!AB$3:AB$500)))</f>
        <v/>
      </c>
      <c r="DC21" s="125">
        <f>IF(OR(DC$4="",$B21=""),0,SUMIF('DADOS BRUTOS'!$A$3:$A$500,$B21,'DADOS BRUTOS'!AC$3:AC$500)+IF($C21="",0,SUMIF('DADOS BRUTOS'!$A$3:$A$500,$C21,'DADOS BRUTOS'!AC$3:AC$500)))</f>
        <v/>
      </c>
      <c r="DD21" s="125">
        <f>IF(OR(DD$4="",$B21=""),0,SUMIF('DADOS BRUTOS'!$A$3:$A$500,$B21,'DADOS BRUTOS'!AD$3:AD$500)+IF($C21="",0,SUMIF('DADOS BRUTOS'!$A$3:$A$500,$C21,'DADOS BRUTOS'!AD$3:AD$500)))</f>
        <v/>
      </c>
      <c r="DE21" s="125">
        <f>IF(OR(DE$4="",$B21=""),0,SUMIF('DADOS BRUTOS'!$A$3:$A$500,$B21,'DADOS BRUTOS'!AE$3:AE$500)+IF($C21="",0,SUMIF('DADOS BRUTOS'!$A$3:$A$500,$C21,'DADOS BRUTOS'!AE$3:AE$500)))</f>
        <v/>
      </c>
      <c r="DF21" s="125">
        <f>IF(OR(DF$4="",$B21=""),0,SUMIF('DADOS BRUTOS'!$A$3:$A$500,$B21,'DADOS BRUTOS'!AF$3:AF$500)+IF($C21="",0,SUMIF('DADOS BRUTOS'!$A$3:$A$500,$C21,'DADOS BRUTOS'!AF$3:AF$500)))</f>
        <v/>
      </c>
      <c r="DG21" s="125">
        <f>IF(OR(DG$4="",$B21=""),0,SUMIF('DADOS BRUTOS'!$A$3:$A$500,$B21,'DADOS BRUTOS'!AG$3:AG$500)+IF($C21="",0,SUMIF('DADOS BRUTOS'!$A$3:$A$500,$C21,'DADOS BRUTOS'!AG$3:AG$500)))</f>
        <v/>
      </c>
      <c r="DH21" s="125">
        <f>IF(OR(DH$4="",$B21=""),0,SUMIF('DADOS BRUTOS'!$A$3:$A$500,$B21,'DADOS BRUTOS'!AH$3:AH$500)+IF($C21="",0,SUMIF('DADOS BRUTOS'!$A$3:$A$500,$C21,'DADOS BRUTOS'!AH$3:AH$500)))</f>
        <v/>
      </c>
      <c r="DI21" s="125">
        <f>IF(OR(DI$4="",$B21=""),0,SUMIF('DADOS BRUTOS'!$A$3:$A$500,$B21,'DADOS BRUTOS'!AI$3:AI$500)+IF($C21="",0,SUMIF('DADOS BRUTOS'!$A$3:$A$500,$C21,'DADOS BRUTOS'!AI$3:AI$500)))</f>
        <v/>
      </c>
      <c r="DJ21" s="125">
        <f>IF(OR(DJ$4="",$B21=""),0,SUMIF('DADOS BRUTOS'!$A$3:$A$500,$B21,'DADOS BRUTOS'!AJ$3:AJ$500)+IF($C21="",0,SUMIF('DADOS BRUTOS'!$A$3:$A$500,$C21,'DADOS BRUTOS'!AJ$3:AJ$500)))</f>
        <v/>
      </c>
      <c r="DK21" s="125">
        <f>IF(OR(DK$4="",$B21=""),0,SUMIF('DADOS BRUTOS'!$A$3:$A$500,$B21,'DADOS BRUTOS'!AK$3:AK$500)+IF($C21="",0,SUMIF('DADOS BRUTOS'!$A$3:$A$500,$C21,'DADOS BRUTOS'!AK$3:AK$500)))</f>
        <v/>
      </c>
      <c r="DL21" s="125">
        <f>IF(OR(DL$4="",$B21=""),0,SUMIF('DADOS BRUTOS'!$A$3:$A$500,$B21,'DADOS BRUTOS'!AL$3:AL$500)+IF($C21="",0,SUMIF('DADOS BRUTOS'!$A$3:$A$500,$C21,'DADOS BRUTOS'!AL$3:AL$500)))</f>
        <v/>
      </c>
      <c r="DM21" s="125">
        <f>IF(OR(DM$4="",$B21=""),0,SUMIF('DADOS BRUTOS'!$A$3:$A$500,$B21,'DADOS BRUTOS'!AM$3:AM$500)+IF($C21="",0,SUMIF('DADOS BRUTOS'!$A$3:$A$500,$C21,'DADOS BRUTOS'!AM$3:AM$500)))</f>
        <v/>
      </c>
      <c r="DN21" s="125">
        <f>IF(OR(DN$4="",$B21=""),0,SUMIF('DADOS BRUTOS'!$A$3:$A$500,$B21,'DADOS BRUTOS'!AN$3:AN$500)+IF($C21="",0,SUMIF('DADOS BRUTOS'!$A$3:$A$500,$C21,'DADOS BRUTOS'!AN$3:AN$500)))</f>
        <v/>
      </c>
      <c r="DO21" s="125">
        <f>IF(OR(DO$4="",$B21=""),0,SUMIF('DADOS BRUTOS'!$A$3:$A$500,$B21,'DADOS BRUTOS'!AO$3:AO$500)+IF($C21="",0,SUMIF('DADOS BRUTOS'!$A$3:$A$500,$C21,'DADOS BRUTOS'!AO$3:AO$500)))</f>
        <v/>
      </c>
      <c r="DP21" s="125">
        <f>IF(OR(DP$4="",$B21=""),0,SUMIF('DADOS BRUTOS'!$A$3:$A$500,$B21,'DADOS BRUTOS'!AP$3:AP$500)+IF($C21="",0,SUMIF('DADOS BRUTOS'!$A$3:$A$500,$C21,'DADOS BRUTOS'!AP$3:AP$500)))</f>
        <v/>
      </c>
      <c r="DQ21" s="125">
        <f>IF(OR(DQ$4="",$B21=""),0,SUMIF('DADOS BRUTOS'!$A$3:$A$500,$B21,'DADOS BRUTOS'!AQ$3:AQ$500)+IF($C21="",0,SUMIF('DADOS BRUTOS'!$A$3:$A$500,$C21,'DADOS BRUTOS'!AQ$3:AQ$500)))</f>
        <v/>
      </c>
      <c r="DR21" s="125">
        <f>IF(OR(DR$4="",$B21=""),0,SUMIF('DADOS BRUTOS'!$A$3:$A$500,$B21,'DADOS BRUTOS'!AR$3:AR$500)+IF($C21="",0,SUMIF('DADOS BRUTOS'!$A$3:$A$500,$C21,'DADOS BRUTOS'!AR$3:AR$500)))</f>
        <v/>
      </c>
      <c r="DS21" s="125">
        <f>IF(OR(DS$4="",$B21=""),0,SUMIF('DADOS BRUTOS'!$A$3:$A$500,$B21,'DADOS BRUTOS'!AS$3:AS$500)+IF($C21="",0,SUMIF('DADOS BRUTOS'!$A$3:$A$500,$C21,'DADOS BRUTOS'!AS$3:AS$500)))</f>
        <v/>
      </c>
      <c r="DT21" s="125">
        <f>IF(OR(DT$4="",$B21=""),0,SUMIF('DADOS BRUTOS'!$A$3:$A$500,$B21,'DADOS BRUTOS'!AT$3:AT$500)+IF($C21="",0,SUMIF('DADOS BRUTOS'!$A$3:$A$500,$C21,'DADOS BRUTOS'!AT$3:AT$500)))</f>
        <v/>
      </c>
      <c r="DU21" s="125">
        <f>IF(OR(DU$4="",$B21=""),0,SUMIF('DADOS BRUTOS'!$A$3:$A$500,$B21,'DADOS BRUTOS'!AU$3:AU$500)+IF($C21="",0,SUMIF('DADOS BRUTOS'!$A$3:$A$500,$C21,'DADOS BRUTOS'!AU$3:AU$500)))</f>
        <v/>
      </c>
      <c r="DV21" s="125">
        <f>IF(OR(DV$4="",$B21=""),0,SUMIF('DADOS BRUTOS'!$A$3:$A$500,$B21,'DADOS BRUTOS'!AV$3:AV$500)+IF($C21="",0,SUMIF('DADOS BRUTOS'!$A$3:$A$500,$C21,'DADOS BRUTOS'!AV$3:AV$500)))</f>
        <v/>
      </c>
      <c r="DW21" s="125">
        <f>IF(OR(DW$4="",$B21=""),0,SUMIF('DADOS BRUTOS'!$A$3:$A$500,$B21,'DADOS BRUTOS'!AW$3:AW$500)+IF($C21="",0,SUMIF('DADOS BRUTOS'!$A$3:$A$500,$C21,'DADOS BRUTOS'!AW$3:AW$500)))</f>
        <v/>
      </c>
      <c r="DX21" s="125">
        <f>IF(OR(DX$4="",$B21=""),0,SUMIF('DADOS BRUTOS'!$A$3:$A$500,$B21,'DADOS BRUTOS'!AX$3:AX$500)+IF($C21="",0,SUMIF('DADOS BRUTOS'!$A$3:$A$500,$C21,'DADOS BRUTOS'!AX$3:AX$500)))</f>
        <v/>
      </c>
      <c r="DY21" s="125">
        <f>IF(OR(DY$4="",$B21=""),0,SUMIF('DADOS BRUTOS'!$A$3:$A$500,$B21,'DADOS BRUTOS'!AY$3:AY$500)+IF($C21="",0,SUMIF('DADOS BRUTOS'!$A$3:$A$500,$C21,'DADOS BRUTOS'!AY$3:AY$500)))</f>
        <v/>
      </c>
      <c r="DZ21" s="125">
        <f>IF(OR(DZ$4="",$B21=""),0,SUMIF('DADOS BRUTOS'!$A$3:$A$500,$B21,'DADOS BRUTOS'!AZ$3:AZ$500)+IF($C21="",0,SUMIF('DADOS BRUTOS'!$A$3:$A$500,$C21,'DADOS BRUTOS'!AZ$3:AZ$500)))</f>
        <v/>
      </c>
      <c r="EA21" s="125">
        <f>IF(OR(EA$4="",$B21=""),0,SUMIF('DADOS BRUTOS'!$A$3:$A$500,$B21,'DADOS BRUTOS'!BA$3:BA$500)+IF($C21="",0,SUMIF('DADOS BRUTOS'!$A$3:$A$500,$C21,'DADOS BRUTOS'!BA$3:BA$500)))</f>
        <v/>
      </c>
      <c r="EB21" s="125">
        <f>IF(OR(EB$4="",$B21=""),0,SUMIF('DADOS BRUTOS'!$A$3:$A$500,$B21,'DADOS BRUTOS'!BB$3:BB$500)+IF($C21="",0,SUMIF('DADOS BRUTOS'!$A$3:$A$500,$C21,'DADOS BRUTOS'!BB$3:BB$500)))</f>
        <v/>
      </c>
      <c r="EC21" s="125">
        <f>IF(OR(EC$4="",$B21=""),0,SUMIF('DADOS BRUTOS'!$A$3:$A$500,$B21,'DADOS BRUTOS'!BC$3:BC$500)+IF($C21="",0,SUMIF('DADOS BRUTOS'!$A$3:$A$500,$C21,'DADOS BRUTOS'!BC$3:BC$500)))</f>
        <v/>
      </c>
      <c r="ED21" s="125">
        <f>IF(OR(ED$4="",$B21=""),0,SUMIF('DADOS BRUTOS'!$A$3:$A$500,$B21,'DADOS BRUTOS'!BD$3:BD$500)+IF($C21="",0,SUMIF('DADOS BRUTOS'!$A$3:$A$500,$C21,'DADOS BRUTOS'!BD$3:BD$500)))</f>
        <v/>
      </c>
      <c r="EE21" s="125">
        <f>IF(OR(EE$4="",$B21=""),0,SUMIF('DADOS BRUTOS'!$A$3:$A$500,$B21,'DADOS BRUTOS'!BE$3:BE$500)+IF($C21="",0,SUMIF('DADOS BRUTOS'!$A$3:$A$500,$C21,'DADOS BRUTOS'!BE$3:BE$500)))</f>
        <v/>
      </c>
      <c r="EF21" s="125">
        <f>IF(OR(EF$4="",$B21=""),0,SUMIF('DADOS BRUTOS'!$A$3:$A$500,$B21,'DADOS BRUTOS'!BF$3:BF$500)+IF($C21="",0,SUMIF('DADOS BRUTOS'!$A$3:$A$500,$C21,'DADOS BRUTOS'!BF$3:BF$500)))</f>
        <v/>
      </c>
      <c r="EG21" s="125">
        <f>IF(OR(EG$4="",$B21=""),0,SUMIF('DADOS BRUTOS'!$A$3:$A$500,$B21,'DADOS BRUTOS'!BG$3:BG$500)+IF($C21="",0,SUMIF('DADOS BRUTOS'!$A$3:$A$500,$C21,'DADOS BRUTOS'!BG$3:BG$500)))</f>
        <v/>
      </c>
      <c r="EH21" s="125">
        <f>IF(OR(EH$4="",$B21=""),0,SUMIF('DADOS BRUTOS'!$A$3:$A$500,$B21,'DADOS BRUTOS'!BH$3:BH$500)+IF($C21="",0,SUMIF('DADOS BRUTOS'!$A$3:$A$500,$C21,'DADOS BRUTOS'!BH$3:BH$500)))</f>
        <v/>
      </c>
      <c r="EI21" s="125">
        <f>IF(OR(EI$4="",$B21=""),0,SUMIF('DADOS BRUTOS'!$A$3:$A$500,$B21,'DADOS BRUTOS'!BI$3:BI$500)+IF($C21="",0,SUMIF('DADOS BRUTOS'!$A$3:$A$500,$C21,'DADOS BRUTOS'!BI$3:BI$500)))</f>
        <v/>
      </c>
      <c r="EJ21" s="125">
        <f>IF(OR(EJ$4="",$B21=""),0,SUMIF('DADOS BRUTOS'!$A$3:$A$500,$B21,'DADOS BRUTOS'!BJ$3:BJ$500)+IF($C21="",0,SUMIF('DADOS BRUTOS'!$A$3:$A$500,$C21,'DADOS BRUTOS'!BJ$3:BJ$500)))</f>
        <v/>
      </c>
      <c r="EK21" s="125">
        <f>IF(OR(EK$4="",$B21=""),0,SUMIF('DADOS BRUTOS'!$A$3:$A$500,$B21,'DADOS BRUTOS'!BK$3:BK$500)+IF($C21="",0,SUMIF('DADOS BRUTOS'!$A$3:$A$500,$C21,'DADOS BRUTOS'!BK$3:BK$500)))</f>
        <v/>
      </c>
      <c r="EL21" s="125">
        <f>IF(OR(EL$4="",$B21=""),0,SUMIF('DADOS BRUTOS'!$A$3:$A$500,$B21,'DADOS BRUTOS'!BL$3:BL$500)+IF($C21="",0,SUMIF('DADOS BRUTOS'!$A$3:$A$500,$C21,'DADOS BRUTOS'!BL$3:BL$500)))</f>
        <v/>
      </c>
      <c r="EM21" s="125">
        <f>IF(OR(EM$4="",$B21=""),0,SUMIF('DADOS BRUTOS'!$A$3:$A$500,$B21,'DADOS BRUTOS'!BM$3:BM$500)+IF($C21="",0,SUMIF('DADOS BRUTOS'!$A$3:$A$500,$C21,'DADOS BRUTOS'!BM$3:BM$500)))</f>
        <v/>
      </c>
      <c r="EN21" s="125">
        <f>IF(OR(EN$4="",$B21=""),0,SUMIF('DADOS BRUTOS'!$A$3:$A$500,$B21,'DADOS BRUTOS'!BN$3:BN$500)+IF($C21="",0,SUMIF('DADOS BRUTOS'!$A$3:$A$500,$C21,'DADOS BRUTOS'!BN$3:BN$500)))</f>
        <v/>
      </c>
      <c r="EO21" s="125">
        <f>IF(OR(EO$4="",$B21=""),0,SUMIF('DADOS BRUTOS'!$A$3:$A$500,$B21,'DADOS BRUTOS'!BO$3:BO$500)+IF($C21="",0,SUMIF('DADOS BRUTOS'!$A$3:$A$500,$C21,'DADOS BRUTOS'!BO$3:BO$500)))</f>
        <v/>
      </c>
      <c r="EP21" s="125">
        <f>IF(OR(EP$4="",$B21=""),0,SUMIF('DADOS BRUTOS'!$A$3:$A$500,$B21,'DADOS BRUTOS'!BP$3:BP$500)+IF($C21="",0,SUMIF('DADOS BRUTOS'!$A$3:$A$500,$C21,'DADOS BRUTOS'!BP$3:BP$500)))</f>
        <v/>
      </c>
      <c r="EQ21" s="125">
        <f>IF(OR(EQ$4="",$B21=""),0,SUMIF('DADOS BRUTOS'!$A$3:$A$500,$B21,'DADOS BRUTOS'!BQ$3:BQ$500)+IF($C21="",0,SUMIF('DADOS BRUTOS'!$A$3:$A$500,$C21,'DADOS BRUTOS'!BQ$3:BQ$500)))</f>
        <v/>
      </c>
      <c r="ER21" s="125">
        <f>IF(OR(ER$4="",$B21=""),0,SUMIF('DADOS BRUTOS'!$A$3:$A$500,$B21,'DADOS BRUTOS'!BR$3:BR$500)+IF($C21="",0,SUMIF('DADOS BRUTOS'!$A$3:$A$500,$C21,'DADOS BRUTOS'!BR$3:BR$500)))</f>
        <v/>
      </c>
      <c r="ES21" s="125">
        <f>IF(OR(ES$4="",$B21=""),0,SUMIF('DADOS BRUTOS'!$A$3:$A$500,$B21,'DADOS BRUTOS'!BS$3:BS$500)+IF($C21="",0,SUMIF('DADOS BRUTOS'!$A$3:$A$500,$C21,'DADOS BRUTOS'!BS$3:BS$500)))</f>
        <v/>
      </c>
      <c r="ET21" s="125">
        <f>IF(OR(ET$4="",$B21=""),0,SUMIF('DADOS BRUTOS'!$A$3:$A$500,$B21,'DADOS BRUTOS'!BT$3:BT$500)+IF($C21="",0,SUMIF('DADOS BRUTOS'!$A$3:$A$500,$C21,'DADOS BRUTOS'!BT$3:BT$500)))</f>
        <v/>
      </c>
      <c r="EU21" s="125">
        <f>IF(OR(EU$4="",$B21=""),0,SUMIF('DADOS BRUTOS'!$A$3:$A$500,$B21,'DADOS BRUTOS'!BU$3:BU$500)+IF($C21="",0,SUMIF('DADOS BRUTOS'!$A$3:$A$500,$C21,'DADOS BRUTOS'!BU$3:BU$500)))</f>
        <v/>
      </c>
      <c r="EV21" s="125">
        <f>IF(OR(EV$4="",$B21=""),0,SUMIF('DADOS BRUTOS'!$A$3:$A$500,$B21,'DADOS BRUTOS'!BV$3:BV$500)+IF($C21="",0,SUMIF('DADOS BRUTOS'!$A$3:$A$500,$C21,'DADOS BRUTOS'!BV$3:BV$500)))</f>
        <v/>
      </c>
      <c r="EW21" s="125">
        <f>IF(OR(EW$4="",$B21=""),0,SUMIF('DADOS BRUTOS'!$A$3:$A$500,$B21,'DADOS BRUTOS'!BW$3:BW$500)+IF($C21="",0,SUMIF('DADOS BRUTOS'!$A$3:$A$500,$C21,'DADOS BRUTOS'!BW$3:BW$500)))</f>
        <v/>
      </c>
      <c r="EX21" s="125">
        <f>IF(OR(EX$4="",$B21=""),0,SUMIF('DADOS BRUTOS'!$A$3:$A$500,$B21,'DADOS BRUTOS'!BX$3:BX$500)+IF($C21="",0,SUMIF('DADOS BRUTOS'!$A$3:$A$500,$C21,'DADOS BRUTOS'!BX$3:BX$500)))</f>
        <v/>
      </c>
      <c r="EY21" s="125">
        <f>IF(OR(EY$4="",$B21=""),0,SUMIF('DADOS BRUTOS'!$A$3:$A$500,$B21,'DADOS BRUTOS'!BY$3:BY$500)+IF($C21="",0,SUMIF('DADOS BRUTOS'!$A$3:$A$500,$C21,'DADOS BRUTOS'!BY$3:BY$500)))</f>
        <v/>
      </c>
      <c r="EZ21" s="125">
        <f>IF(OR(EZ$4="",$B21=""),0,SUMIF('DADOS BRUTOS'!$A$3:$A$500,$B21,'DADOS BRUTOS'!BZ$3:BZ$500)+IF($C21="",0,SUMIF('DADOS BRUTOS'!$A$3:$A$500,$C21,'DADOS BRUTOS'!BZ$3:BZ$500)))</f>
        <v/>
      </c>
      <c r="FA21" s="125">
        <f>IF(OR(FA$4="",$B21=""),0,SUMIF('DADOS BRUTOS'!$A$3:$A$500,$B21,'DADOS BRUTOS'!CA$3:CA$500)+IF($C21="",0,SUMIF('DADOS BRUTOS'!$A$3:$A$500,$C21,'DADOS BRUTOS'!CA$3:CA$500)))</f>
        <v/>
      </c>
      <c r="FB21" s="125">
        <f>IF(OR(FB$4="",$B21=""),0,SUMIF('DADOS BRUTOS'!$A$3:$A$500,$B21,'DADOS BRUTOS'!CB$3:CB$500)+IF($C21="",0,SUMIF('DADOS BRUTOS'!$A$3:$A$500,$C21,'DADOS BRUTOS'!CB$3:CB$500)))</f>
        <v/>
      </c>
      <c r="FC21" s="125">
        <f>IF(OR(FC$4="",$B21=""),0,SUMIF('DADOS BRUTOS'!$A$3:$A$500,$B21,'DADOS BRUTOS'!CC$3:CC$500)+IF($C21="",0,SUMIF('DADOS BRUTOS'!$A$3:$A$500,$C21,'DADOS BRUTOS'!CC$3:CC$500)))</f>
        <v/>
      </c>
      <c r="FD21" s="125">
        <f>IF(OR(FD$4="",$B21=""),0,SUMIF('DADOS BRUTOS'!$A$3:$A$500,$B21,'DADOS BRUTOS'!CD$3:CD$500)+IF($C21="",0,SUMIF('DADOS BRUTOS'!$A$3:$A$500,$C21,'DADOS BRUTOS'!CD$3:CD$500)))</f>
        <v/>
      </c>
      <c r="FE21" s="125">
        <f>IF(OR(FE$4="",$B21=""),0,SUMIF('DADOS BRUTOS'!$A$3:$A$500,$B21,'DADOS BRUTOS'!CE$3:CE$500)+IF($C21="",0,SUMIF('DADOS BRUTOS'!$A$3:$A$500,$C21,'DADOS BRUTOS'!CE$3:CE$500)))</f>
        <v/>
      </c>
      <c r="FF21" s="125">
        <f>IF(OR(FF$4="",$B21=""),0,SUMIF('DADOS BRUTOS'!$A$3:$A$500,$B21,'DADOS BRUTOS'!CF$3:CF$500)+IF($C21="",0,SUMIF('DADOS BRUTOS'!$A$3:$A$500,$C21,'DADOS BRUTOS'!CF$3:CF$500)))</f>
        <v/>
      </c>
      <c r="FG21" s="125">
        <f>IF(OR(FG$4="",$B21=""),0,SUMIF('DADOS BRUTOS'!$A$3:$A$500,$B21,'DADOS BRUTOS'!CG$3:CG$500)+IF($C21="",0,SUMIF('DADOS BRUTOS'!$A$3:$A$500,$C21,'DADOS BRUTOS'!CG$3:CG$500)))</f>
        <v/>
      </c>
      <c r="FH21" s="125">
        <f>IF(OR(FH$4="",$B21=""),0,SUMIF('DADOS BRUTOS'!$A$3:$A$500,$B21,'DADOS BRUTOS'!CH$3:CH$500)+IF($C21="",0,SUMIF('DADOS BRUTOS'!$A$3:$A$500,$C21,'DADOS BRUTOS'!CH$3:CH$500)))</f>
        <v/>
      </c>
      <c r="FI21" s="125">
        <f>IF(OR(FI$4="",$B21=""),0,SUMIF('DADOS BRUTOS'!$A$3:$A$500,$B21,'DADOS BRUTOS'!CI$3:CI$500)+IF($C21="",0,SUMIF('DADOS BRUTOS'!$A$3:$A$500,$C21,'DADOS BRUTOS'!CI$3:CI$500)))</f>
        <v/>
      </c>
      <c r="FJ21" s="125">
        <f>IF(OR(FJ$4="",$B21=""),0,SUMIF('DADOS BRUTOS'!$A$3:$A$500,$B21,'DADOS BRUTOS'!CJ$3:CJ$500)+IF($C21="",0,SUMIF('DADOS BRUTOS'!$A$3:$A$500,$C21,'DADOS BRUTOS'!CJ$3:CJ$500)))</f>
        <v/>
      </c>
      <c r="FK21" s="125">
        <f>IF(OR(FK$4="",$B21=""),0,SUMIF('DADOS BRUTOS'!$A$3:$A$500,$B21,'DADOS BRUTOS'!CK$3:CK$500)+IF($C21="",0,SUMIF('DADOS BRUTOS'!$A$3:$A$500,$C21,'DADOS BRUTOS'!CK$3:CK$500)))</f>
        <v/>
      </c>
      <c r="FL21" s="125">
        <f>IF(OR(FL$4="",$B21=""),0,SUMIF('DADOS BRUTOS'!$A$3:$A$500,$B21,'DADOS BRUTOS'!CL$3:CL$500)+IF($C21="",0,SUMIF('DADOS BRUTOS'!$A$3:$A$500,$C21,'DADOS BRUTOS'!CL$3:CL$500)))</f>
        <v/>
      </c>
      <c r="FM21" s="125">
        <f>IF(OR(FM$4="",$B21=""),0,SUMIF('DADOS BRUTOS'!$A$3:$A$500,$B21,'DADOS BRUTOS'!CM$3:CM$500)+IF($C21="",0,SUMIF('DADOS BRUTOS'!$A$3:$A$500,$C21,'DADOS BRUTOS'!CM$3:CM$500)))</f>
        <v/>
      </c>
      <c r="FN21" s="125">
        <f>IF(OR(FN$4="",$B21=""),0,SUMIF('DADOS BRUTOS'!$A$3:$A$500,$B21,'DADOS BRUTOS'!CN$3:CN$500)+IF($C21="",0,SUMIF('DADOS BRUTOS'!$A$3:$A$500,$C21,'DADOS BRUTOS'!CN$3:CN$500)))</f>
        <v/>
      </c>
      <c r="FO21" s="125">
        <f>IF(OR(FO$4="",$B21=""),0,SUMIF('DADOS BRUTOS'!$A$3:$A$500,$B21,'DADOS BRUTOS'!CO$3:CO$500)+IF($C21="",0,SUMIF('DADOS BRUTOS'!$A$3:$A$500,$C21,'DADOS BRUTOS'!CO$3:CO$500)))</f>
        <v/>
      </c>
      <c r="FP21" s="125">
        <f>IF(OR(FP$4="",$B21=""),0,SUMIF('DADOS BRUTOS'!$A$3:$A$500,$B21,'DADOS BRUTOS'!CP$3:CP$500)+IF($C21="",0,SUMIF('DADOS BRUTOS'!$A$3:$A$500,$C21,'DADOS BRUTOS'!CP$3:CP$500)))</f>
        <v/>
      </c>
      <c r="FQ21" s="125">
        <f>IF(OR(FQ$4="",$B21=""),0,SUMIF('DADOS BRUTOS'!$A$3:$A$500,$B21,'DADOS BRUTOS'!CQ$3:CQ$500)+IF($C21="",0,SUMIF('DADOS BRUTOS'!$A$3:$A$500,$C21,'DADOS BRUTOS'!CQ$3:CQ$500)))</f>
        <v/>
      </c>
      <c r="FR21" s="125">
        <f>IF(OR(FR$4="",$B21=""),0,SUMIF('DADOS BRUTOS'!$A$3:$A$500,$B21,'DADOS BRUTOS'!CR$3:CR$500)+IF($C21="",0,SUMIF('DADOS BRUTOS'!$A$3:$A$500,$C21,'DADOS BRUTOS'!CR$3:CR$500)))</f>
        <v/>
      </c>
      <c r="FS21" s="125">
        <f>IF(OR(FS$4="",$B21=""),0,SUMIF('DADOS BRUTOS'!$A$3:$A$500,$B21,'DADOS BRUTOS'!CS$3:CS$500)+IF($C21="",0,SUMIF('DADOS BRUTOS'!$A$3:$A$500,$C21,'DADOS BRUTOS'!CS$3:CS$500)))</f>
        <v/>
      </c>
      <c r="FT21" s="125">
        <f>IF(OR(FT$4="",$B21=""),0,SUMIF('DADOS BRUTOS'!$A$3:$A$500,$B21,'DADOS BRUTOS'!CT$3:CT$500)+IF($C21="",0,SUMIF('DADOS BRUTOS'!$A$3:$A$500,$C21,'DADOS BRUTOS'!CT$3:CT$500)))</f>
        <v/>
      </c>
      <c r="FU21" s="125">
        <f>IF(OR(FU$4="",$B21=""),0,SUMIF('DADOS BRUTOS'!$A$3:$A$500,$B21,'DADOS BRUTOS'!CU$3:CU$500)+IF($C21="",0,SUMIF('DADOS BRUTOS'!$A$3:$A$500,$C21,'DADOS BRUTOS'!CU$3:CU$500)))</f>
        <v/>
      </c>
      <c r="FV21" s="125">
        <f>IF(OR(FV$4="",$B21=""),0,SUMIF('DADOS BRUTOS'!$A$3:$A$500,$B21,'DADOS BRUTOS'!CV$3:CV$500)+IF($C21="",0,SUMIF('DADOS BRUTOS'!$A$3:$A$500,$C21,'DADOS BRUTOS'!CV$3:CV$500)))</f>
        <v/>
      </c>
      <c r="FW21" s="125">
        <f>IF(OR(FW$4="",$B21=""),0,SUMIF('DADOS BRUTOS'!$A$3:$A$500,$B21,'DADOS BRUTOS'!CW$3:CW$500)+IF($C21="",0,SUMIF('DADOS BRUTOS'!$A$3:$A$500,$C21,'DADOS BRUTOS'!CW$3:CW$500)))</f>
        <v/>
      </c>
      <c r="FX21" s="125">
        <f>IF(OR(FX$4="",$B21=""),0,SUMIF('DADOS BRUTOS'!$A$3:$A$500,$B21,'DADOS BRUTOS'!CX$3:CX$500)+IF($C21="",0,SUMIF('DADOS BRUTOS'!$A$3:$A$500,$C21,'DADOS BRUTOS'!CX$3:CX$500)))</f>
        <v/>
      </c>
      <c r="FY21" s="125">
        <f>IF(OR(FY$4="",$B21=""),0,SUMIF('DADOS BRUTOS'!$A$3:$A$500,$B21,'DADOS BRUTOS'!CY$3:CY$500)+IF($C21="",0,SUMIF('DADOS BRUTOS'!$A$3:$A$500,$C21,'DADOS BRUTOS'!CY$3:CY$500)))</f>
        <v/>
      </c>
      <c r="FZ21" s="125">
        <f>IF(OR(FZ$4="",$B21=""),0,SUMIF('DADOS BRUTOS'!$A$3:$A$500,$B21,'DADOS BRUTOS'!CZ$3:CZ$500)+IF($C21="",0,SUMIF('DADOS BRUTOS'!$A$3:$A$500,$C21,'DADOS BRUTOS'!CZ$3:CZ$500)))</f>
        <v/>
      </c>
      <c r="GA21" s="125">
        <f>IF(OR(GA$4="",$B21=""),0,SUMIF('DADOS BRUTOS'!$A$3:$A$500,$B21,'DADOS BRUTOS'!DA$3:DA$500)+IF($C21="",0,SUMIF('DADOS BRUTOS'!$A$3:$A$500,$C21,'DADOS BRUTOS'!DA$3:DA$500)))</f>
        <v/>
      </c>
      <c r="GB21" s="125">
        <f>IF(OR(GB$4="",$B21=""),0,SUMIF('DADOS BRUTOS'!$A$3:$A$500,$B21,'DADOS BRUTOS'!DB$3:DB$500)+IF($C21="",0,SUMIF('DADOS BRUTOS'!$A$3:$A$500,$C21,'DADOS BRUTOS'!DB$3:DB$500)))</f>
        <v/>
      </c>
      <c r="GC21" s="125">
        <f>IF(OR(GC$4="",$B21=""),0,SUMIF('DADOS BRUTOS'!$A$3:$A$500,$B21,'DADOS BRUTOS'!DC$3:DC$500)+IF($C21="",0,SUMIF('DADOS BRUTOS'!$A$3:$A$500,$C21,'DADOS BRUTOS'!DC$3:DC$500)))</f>
        <v/>
      </c>
      <c r="GD21" s="125">
        <f>IF(OR(GD$4="",$B21=""),0,SUMIF('DADOS BRUTOS'!$A$3:$A$500,$B21,'DADOS BRUTOS'!DD$3:DD$500)+IF($C21="",0,SUMIF('DADOS BRUTOS'!$A$3:$A$500,$C21,'DADOS BRUTOS'!DD$3:DD$500)))</f>
        <v/>
      </c>
      <c r="GE21" s="125">
        <f>IF(OR(GE$4="",$B21=""),0,SUMIF('DADOS BRUTOS'!$A$3:$A$500,$B21,'DADOS BRUTOS'!DE$3:DE$500)+IF($C21="",0,SUMIF('DADOS BRUTOS'!$A$3:$A$500,$C21,'DADOS BRUTOS'!DE$3:DE$500)))</f>
        <v/>
      </c>
      <c r="GF21" s="125">
        <f>IF(OR(GF$4="",$B21=""),0,SUMIF('DADOS BRUTOS'!$A$3:$A$500,$B21,'DADOS BRUTOS'!DF$3:DF$500)+IF($C21="",0,SUMIF('DADOS BRUTOS'!$A$3:$A$500,$C21,'DADOS BRUTOS'!DF$3:DF$500)))</f>
        <v/>
      </c>
      <c r="GG21" s="125">
        <f>IF(OR(GG$4="",$B21=""),0,SUMIF('DADOS BRUTOS'!$A$3:$A$500,$B21,'DADOS BRUTOS'!DG$3:DG$500)+IF($C21="",0,SUMIF('DADOS BRUTOS'!$A$3:$A$500,$C21,'DADOS BRUTOS'!DG$3:DG$500)))</f>
        <v/>
      </c>
      <c r="GH21" s="125">
        <f>IF(OR(GH$4="",$B21=""),0,SUMIF('DADOS BRUTOS'!$A$3:$A$500,$B21,'DADOS BRUTOS'!DH$3:DH$500)+IF($C21="",0,SUMIF('DADOS BRUTOS'!$A$3:$A$500,$C21,'DADOS BRUTOS'!DH$3:DH$500)))</f>
        <v/>
      </c>
      <c r="GI21" s="125">
        <f>IF(OR(GI$4="",$B21=""),0,SUMIF('DADOS BRUTOS'!$A$3:$A$500,$B21,'DADOS BRUTOS'!DI$3:DI$500)+IF($C21="",0,SUMIF('DADOS BRUTOS'!$A$3:$A$500,$C21,'DADOS BRUTOS'!DI$3:DI$500)))</f>
        <v/>
      </c>
      <c r="GJ21" s="125">
        <f>IF(OR(GJ$4="",$B21=""),0,SUMIF('DADOS BRUTOS'!$A$3:$A$500,$B21,'DADOS BRUTOS'!DJ$3:DJ$500)+IF($C21="",0,SUMIF('DADOS BRUTOS'!$A$3:$A$500,$C21,'DADOS BRUTOS'!DJ$3:DJ$500)))</f>
        <v/>
      </c>
      <c r="GK21" s="125">
        <f>IF(OR(GK$4="",$B21=""),0,SUMIF('DADOS BRUTOS'!$A$3:$A$500,$B21,'DADOS BRUTOS'!DK$3:DK$500)+IF($C21="",0,SUMIF('DADOS BRUTOS'!$A$3:$A$500,$C21,'DADOS BRUTOS'!DK$3:DK$500)))</f>
        <v/>
      </c>
      <c r="GL21" s="125">
        <f>IF(OR(GL$4="",$B21=""),0,SUMIF('DADOS BRUTOS'!$A$3:$A$500,$B21,'DADOS BRUTOS'!DL$3:DL$500)+IF($C21="",0,SUMIF('DADOS BRUTOS'!$A$3:$A$500,$C21,'DADOS BRUTOS'!DL$3:DL$500)))</f>
        <v/>
      </c>
      <c r="GM21" s="125">
        <f>IF(OR(GM$4="",$B21=""),0,SUMIF('DADOS BRUTOS'!$A$3:$A$500,$B21,'DADOS BRUTOS'!DM$3:DM$500)+IF($C21="",0,SUMIF('DADOS BRUTOS'!$A$3:$A$500,$C21,'DADOS BRUTOS'!DM$3:DM$500)))</f>
        <v/>
      </c>
      <c r="GN21" s="125">
        <f>IF(OR(GN$4="",$B21=""),0,SUMIF('DADOS BRUTOS'!$A$3:$A$500,$B21,'DADOS BRUTOS'!DN$3:DN$500)+IF($C21="",0,SUMIF('DADOS BRUTOS'!$A$3:$A$500,$C21,'DADOS BRUTOS'!DN$3:DN$500)))</f>
        <v/>
      </c>
      <c r="GO21" s="125">
        <f>IF(OR(GO$4="",$B21=""),0,SUMIF('DADOS BRUTOS'!$A$3:$A$500,$B21,'DADOS BRUTOS'!DO$3:DO$500)+IF($C21="",0,SUMIF('DADOS BRUTOS'!$A$3:$A$500,$C21,'DADOS BRUTOS'!DO$3:DO$500)))</f>
        <v/>
      </c>
      <c r="GP21" s="125">
        <f>IF(OR(GP$4="",$B21=""),0,SUMIF('DADOS BRUTOS'!$A$3:$A$500,$B21,'DADOS BRUTOS'!DP$3:DP$500)+IF($C21="",0,SUMIF('DADOS BRUTOS'!$A$3:$A$500,$C21,'DADOS BRUTOS'!DP$3:DP$500)))</f>
        <v/>
      </c>
      <c r="GQ21" s="125">
        <f>IF(OR(GQ$4="",$B21=""),0,SUMIF('DADOS BRUTOS'!$A$3:$A$500,$B21,'DADOS BRUTOS'!DQ$3:DQ$500)+IF($C21="",0,SUMIF('DADOS BRUTOS'!$A$3:$A$500,$C21,'DADOS BRUTOS'!DQ$3:DQ$500)))</f>
        <v/>
      </c>
      <c r="GR21" s="125">
        <f>IF(OR(GR$4="",$B21=""),0,SUMIF('DADOS BRUTOS'!$A$3:$A$500,$B21,'DADOS BRUTOS'!DR$3:DR$500)+IF($C21="",0,SUMIF('DADOS BRUTOS'!$A$3:$A$500,$C21,'DADOS BRUTOS'!DR$3:DR$500)))</f>
        <v/>
      </c>
      <c r="GS21" s="125">
        <f>IF(OR(GS$4="",$B21=""),0,SUMIF('DADOS BRUTOS'!$A$3:$A$500,$B21,'DADOS BRUTOS'!DS$3:DS$500)+IF($C21="",0,SUMIF('DADOS BRUTOS'!$A$3:$A$500,$C21,'DADOS BRUTOS'!DS$3:DS$500)))</f>
        <v/>
      </c>
      <c r="GT21" s="125">
        <f>IF(OR(GT$4="",$B21=""),0,SUMIF('DADOS BRUTOS'!$A$3:$A$500,$B21,'DADOS BRUTOS'!DT$3:DT$500)+IF($C21="",0,SUMIF('DADOS BRUTOS'!$A$3:$A$500,$C21,'DADOS BRUTOS'!DT$3:DT$500)))</f>
        <v/>
      </c>
      <c r="GU21" s="125">
        <f>IF(OR(GU$4="",$B21=""),0,SUMIF('DADOS BRUTOS'!$A$3:$A$500,$B21,'DADOS BRUTOS'!DU$3:DU$500)+IF($C21="",0,SUMIF('DADOS BRUTOS'!$A$3:$A$500,$C21,'DADOS BRUTOS'!DU$3:DU$500)))</f>
        <v/>
      </c>
      <c r="GV21" s="125">
        <f>IF(OR(GV$4="",$B21=""),0,SUMIF('DADOS BRUTOS'!$A$3:$A$500,$B21,'DADOS BRUTOS'!DV$3:DV$500)+IF($C21="",0,SUMIF('DADOS BRUTOS'!$A$3:$A$500,$C21,'DADOS BRUTOS'!DV$3:DV$500)))</f>
        <v/>
      </c>
      <c r="GW21" s="125">
        <f>IF(OR(GW$4="",$B21=""),0,SUMIF('DADOS BRUTOS'!$A$3:$A$500,$B21,'DADOS BRUTOS'!DW$3:DW$500)+IF($C21="",0,SUMIF('DADOS BRUTOS'!$A$3:$A$500,$C21,'DADOS BRUTOS'!DW$3:DW$500)))</f>
        <v/>
      </c>
      <c r="GX21" s="125">
        <f>IF(OR(GX$4="",$B21=""),0,SUMIF('DADOS BRUTOS'!$A$3:$A$500,$B21,'DADOS BRUTOS'!DX$3:DX$500)+IF($C21="",0,SUMIF('DADOS BRUTOS'!$A$3:$A$500,$C21,'DADOS BRUTOS'!DX$3:DX$500)))</f>
        <v/>
      </c>
      <c r="GY21" s="125">
        <f>IF(OR(GY$4="",$B21=""),0,SUMIF('DADOS BRUTOS'!$A$3:$A$500,$B21,'DADOS BRUTOS'!DY$3:DY$500)+IF($C21="",0,SUMIF('DADOS BRUTOS'!$A$3:$A$500,$C21,'DADOS BRUTOS'!DY$3:DY$500)))</f>
        <v/>
      </c>
      <c r="GZ21" s="125">
        <f>IF(OR(GZ$4="",$B21=""),0,SUMIF('DADOS BRUTOS'!$A$3:$A$500,$B21,'DADOS BRUTOS'!DZ$3:DZ$500)+IF($C21="",0,SUMIF('DADOS BRUTOS'!$A$3:$A$500,$C21,'DADOS BRUTOS'!DZ$3:DZ$500)))</f>
        <v/>
      </c>
      <c r="HA21" s="125">
        <f>IF(OR(HA$4="",$B21=""),0,SUMIF('DADOS BRUTOS'!$A$3:$A$500,$B21,'DADOS BRUTOS'!EA$3:EA$500)+IF($C21="",0,SUMIF('DADOS BRUTOS'!$A$3:$A$500,$C21,'DADOS BRUTOS'!EA$3:EA$500)))</f>
        <v/>
      </c>
      <c r="HB21" s="125">
        <f>IF(OR(HB$4="",$B21=""),0,SUMIF('DADOS BRUTOS'!$A$3:$A$500,$B21,'DADOS BRUTOS'!EB$3:EB$500)+IF($C21="",0,SUMIF('DADOS BRUTOS'!$A$3:$A$500,$C21,'DADOS BRUTOS'!EB$3:EB$500)))</f>
        <v/>
      </c>
      <c r="HC21" s="125">
        <f>IF(OR(HC$4="",$B21=""),0,SUMIF('DADOS BRUTOS'!$A$3:$A$500,$B21,'DADOS BRUTOS'!EC$3:EC$500)+IF($C21="",0,SUMIF('DADOS BRUTOS'!$A$3:$A$500,$C21,'DADOS BRUTOS'!EC$3:EC$500)))</f>
        <v/>
      </c>
      <c r="HD21" s="125">
        <f>IF(OR(HD$4="",$B21=""),0,SUMIF('DADOS BRUTOS'!$A$3:$A$500,$B21,'DADOS BRUTOS'!ED$3:ED$500)+IF($C21="",0,SUMIF('DADOS BRUTOS'!$A$3:$A$500,$C21,'DADOS BRUTOS'!ED$3:ED$500)))</f>
        <v/>
      </c>
      <c r="HE21" s="125">
        <f>IF(OR(HE$4="",$B21=""),0,SUMIF('DADOS BRUTOS'!$A$3:$A$500,$B21,'DADOS BRUTOS'!EE$3:EE$500)+IF($C21="",0,SUMIF('DADOS BRUTOS'!$A$3:$A$500,$C21,'DADOS BRUTOS'!EE$3:EE$500)))</f>
        <v/>
      </c>
      <c r="HF21" s="125">
        <f>IF(OR(HF$4="",$B21=""),0,SUMIF('DADOS BRUTOS'!$A$3:$A$500,$B21,'DADOS BRUTOS'!EF$3:EF$500)+IF($C21="",0,SUMIF('DADOS BRUTOS'!$A$3:$A$500,$C21,'DADOS BRUTOS'!EF$3:EF$500)))</f>
        <v/>
      </c>
      <c r="HG21" s="125">
        <f>IF(OR(HG$4="",$B21=""),0,SUMIF('DADOS BRUTOS'!$A$3:$A$500,$B21,'DADOS BRUTOS'!EG$3:EG$500)+IF($C21="",0,SUMIF('DADOS BRUTOS'!$A$3:$A$500,$C21,'DADOS BRUTOS'!EG$3:EG$500)))</f>
        <v/>
      </c>
      <c r="HH21" s="125">
        <f>IF(OR(HH$4="",$B21=""),0,SUMIF('DADOS BRUTOS'!$A$3:$A$500,$B21,'DADOS BRUTOS'!EH$3:EH$500)+IF($C21="",0,SUMIF('DADOS BRUTOS'!$A$3:$A$500,$C21,'DADOS BRUTOS'!EH$3:EH$500)))</f>
        <v/>
      </c>
      <c r="HI21" s="125">
        <f>IF(OR(HI$4="",$B21=""),0,SUMIF('DADOS BRUTOS'!$A$3:$A$500,$B21,'DADOS BRUTOS'!EI$3:EI$500)+IF($C21="",0,SUMIF('DADOS BRUTOS'!$A$3:$A$500,$C21,'DADOS BRUTOS'!EI$3:EI$500)))</f>
        <v/>
      </c>
      <c r="HJ21" s="125">
        <f>IF(OR(HJ$4="",$B21=""),0,SUMIF('DADOS BRUTOS'!$A$3:$A$500,$B21,'DADOS BRUTOS'!EJ$3:EJ$500)+IF($C21="",0,SUMIF('DADOS BRUTOS'!$A$3:$A$500,$C21,'DADOS BRUTOS'!EJ$3:EJ$500)))</f>
        <v/>
      </c>
      <c r="HK21" s="125">
        <f>IF(OR(HK$4="",$B21=""),0,SUMIF('DADOS BRUTOS'!$A$3:$A$500,$B21,'DADOS BRUTOS'!EK$3:EK$500)+IF($C21="",0,SUMIF('DADOS BRUTOS'!$A$3:$A$500,$C21,'DADOS BRUTOS'!EK$3:EK$500)))</f>
        <v/>
      </c>
      <c r="HL21" s="125">
        <f>IF(OR(HL$4="",$B21=""),0,SUMIF('DADOS BRUTOS'!$A$3:$A$500,$B21,'DADOS BRUTOS'!EL$3:EL$500)+IF($C21="",0,SUMIF('DADOS BRUTOS'!$A$3:$A$500,$C21,'DADOS BRUTOS'!EL$3:EL$500)))</f>
        <v/>
      </c>
      <c r="HM21" s="125">
        <f>IF(OR(HM$4="",$B21=""),0,SUMIF('DADOS BRUTOS'!$A$3:$A$500,$B21,'DADOS BRUTOS'!EM$3:EM$500)+IF($C21="",0,SUMIF('DADOS BRUTOS'!$A$3:$A$500,$C21,'DADOS BRUTOS'!EM$3:EM$500)))</f>
        <v/>
      </c>
      <c r="HN21" s="125">
        <f>IF(OR(HN$4="",$B21=""),0,SUMIF('DADOS BRUTOS'!$A$3:$A$500,$B21,'DADOS BRUTOS'!EN$3:EN$500)+IF($C21="",0,SUMIF('DADOS BRUTOS'!$A$3:$A$500,$C21,'DADOS BRUTOS'!EN$3:EN$500)))</f>
        <v/>
      </c>
      <c r="HO21" s="125">
        <f>IF(OR(HO$4="",$B21=""),0,SUMIF('DADOS BRUTOS'!$A$3:$A$500,$B21,'DADOS BRUTOS'!EO$3:EO$500)+IF($C21="",0,SUMIF('DADOS BRUTOS'!$A$3:$A$500,$C21,'DADOS BRUTOS'!EO$3:EO$500)))</f>
        <v/>
      </c>
      <c r="HP21" s="125">
        <f>IF(OR(HP$4="",$B21=""),0,SUMIF('DADOS BRUTOS'!$A$3:$A$500,$B21,'DADOS BRUTOS'!EP$3:EP$500)+IF($C21="",0,SUMIF('DADOS BRUTOS'!$A$3:$A$500,$C21,'DADOS BRUTOS'!EP$3:EP$500)))</f>
        <v/>
      </c>
      <c r="HQ21" s="125">
        <f>IF(OR(HQ$4="",$B21=""),0,SUMIF('DADOS BRUTOS'!$A$3:$A$500,$B21,'DADOS BRUTOS'!EQ$3:EQ$500)+IF($C21="",0,SUMIF('DADOS BRUTOS'!$A$3:$A$500,$C21,'DADOS BRUTOS'!EQ$3:EQ$500)))</f>
        <v/>
      </c>
      <c r="HR21" s="125">
        <f>IF(OR(HR$4="",$B21=""),0,SUMIF('DADOS BRUTOS'!$A$3:$A$500,$B21,'DADOS BRUTOS'!ER$3:ER$500)+IF($C21="",0,SUMIF('DADOS BRUTOS'!$A$3:$A$500,$C21,'DADOS BRUTOS'!ER$3:ER$500)))</f>
        <v/>
      </c>
      <c r="HS21" s="125">
        <f>IF(OR(HS$4="",$B21=""),0,SUMIF('DADOS BRUTOS'!$A$3:$A$500,$B21,'DADOS BRUTOS'!ES$3:ES$500)+IF($C21="",0,SUMIF('DADOS BRUTOS'!$A$3:$A$500,$C21,'DADOS BRUTOS'!ES$3:ES$500)))</f>
        <v/>
      </c>
      <c r="HT21" s="125">
        <f>IF(OR(HT$4="",$B21=""),0,SUMIF('DADOS BRUTOS'!$A$3:$A$500,$B21,'DADOS BRUTOS'!ET$3:ET$500)+IF($C21="",0,SUMIF('DADOS BRUTOS'!$A$3:$A$500,$C21,'DADOS BRUTOS'!ET$3:ET$500)))</f>
        <v/>
      </c>
      <c r="HU21" s="125">
        <f>IF(OR(HU$4="",$B21=""),0,SUMIF('DADOS BRUTOS'!$A$3:$A$500,$B21,'DADOS BRUTOS'!EU$3:EU$500)+IF($C21="",0,SUMIF('DADOS BRUTOS'!$A$3:$A$500,$C21,'DADOS BRUTOS'!EU$3:EU$500)))</f>
        <v/>
      </c>
      <c r="HV21" s="125">
        <f>IF(OR(HV$4="",$B21=""),0,SUMIF('DADOS BRUTOS'!$A$3:$A$500,$B21,'DADOS BRUTOS'!EV$3:EV$500)+IF($C21="",0,SUMIF('DADOS BRUTOS'!$A$3:$A$500,$C21,'DADOS BRUTOS'!EV$3:EV$500)))</f>
        <v/>
      </c>
      <c r="HW21" s="125">
        <f>IF(OR(HW$4="",$B21=""),0,SUMIF('DADOS BRUTOS'!$A$3:$A$500,$B21,'DADOS BRUTOS'!EW$3:EW$500)+IF($C21="",0,SUMIF('DADOS BRUTOS'!$A$3:$A$500,$C21,'DADOS BRUTOS'!EW$3:EW$500)))</f>
        <v/>
      </c>
      <c r="HX21" s="125">
        <f>IF(OR(HX$4="",$B21=""),0,SUMIF('DADOS BRUTOS'!$A$3:$A$500,$B21,'DADOS BRUTOS'!EX$3:EX$500)+IF($C21="",0,SUMIF('DADOS BRUTOS'!$A$3:$A$500,$C21,'DADOS BRUTOS'!EX$3:EX$500)))</f>
        <v/>
      </c>
      <c r="HY21" s="125">
        <f>IF(OR(HY$4="",$B21=""),0,SUMIF('DADOS BRUTOS'!$A$3:$A$500,$B21,'DADOS BRUTOS'!EY$3:EY$500)+IF($C21="",0,SUMIF('DADOS BRUTOS'!$A$3:$A$500,$C21,'DADOS BRUTOS'!EY$3:EY$500)))</f>
        <v/>
      </c>
      <c r="HZ21" s="125">
        <f>IF(OR(HZ$4="",$B21=""),0,SUMIF('DADOS BRUTOS'!$A$3:$A$500,$B21,'DADOS BRUTOS'!EZ$3:EZ$500)+IF($C21="",0,SUMIF('DADOS BRUTOS'!$A$3:$A$500,$C21,'DADOS BRUTOS'!EZ$3:EZ$500)))</f>
        <v/>
      </c>
      <c r="IA21" s="125">
        <f>IF(OR(IA$4="",$B21=""),0,SUMIF('DADOS BRUTOS'!$A$3:$A$500,$B21,'DADOS BRUTOS'!FA$3:FA$500)+IF($C21="",0,SUMIF('DADOS BRUTOS'!$A$3:$A$500,$C21,'DADOS BRUTOS'!FA$3:FA$500)))</f>
        <v/>
      </c>
      <c r="IB21" s="125">
        <f>IF(OR(IB$4="",$B21=""),0,SUMIF('DADOS BRUTOS'!$A$3:$A$500,$B21,'DADOS BRUTOS'!FB$3:FB$500)+IF($C21="",0,SUMIF('DADOS BRUTOS'!$A$3:$A$500,$C21,'DADOS BRUTOS'!FB$3:FB$500)))</f>
        <v/>
      </c>
      <c r="IC21" s="125">
        <f>IF(OR(IC$4="",$B21=""),0,SUMIF('DADOS BRUTOS'!$A$3:$A$500,$B21,'DADOS BRUTOS'!FC$3:FC$500)+IF($C21="",0,SUMIF('DADOS BRUTOS'!$A$3:$A$500,$C21,'DADOS BRUTOS'!FC$3:FC$500)))</f>
        <v/>
      </c>
      <c r="ID21" s="125">
        <f>IF(OR(ID$4="",$B21=""),0,SUMIF('DADOS BRUTOS'!$A$3:$A$500,$B21,'DADOS BRUTOS'!FD$3:FD$500)+IF($C21="",0,SUMIF('DADOS BRUTOS'!$A$3:$A$500,$C21,'DADOS BRUTOS'!FD$3:FD$500)))</f>
        <v/>
      </c>
      <c r="IE21" s="125">
        <f>IF(OR(IE$4="",$B21=""),0,SUMIF('DADOS BRUTOS'!$A$3:$A$500,$B21,'DADOS BRUTOS'!FE$3:FE$500)+IF($C21="",0,SUMIF('DADOS BRUTOS'!$A$3:$A$500,$C21,'DADOS BRUTOS'!FE$3:FE$500)))</f>
        <v/>
      </c>
      <c r="IF21" s="125">
        <f>IF(OR(IF$4="",$B21=""),0,SUMIF('DADOS BRUTOS'!$A$3:$A$500,$B21,'DADOS BRUTOS'!FF$3:FF$500)+IF($C21="",0,SUMIF('DADOS BRUTOS'!$A$3:$A$500,$C21,'DADOS BRUTOS'!FF$3:FF$500)))</f>
        <v/>
      </c>
      <c r="IG21" s="125">
        <f>IF(OR(IG$4="",$B21=""),0,SUMIF('DADOS BRUTOS'!$A$3:$A$500,$B21,'DADOS BRUTOS'!FG$3:FG$500)+IF($C21="",0,SUMIF('DADOS BRUTOS'!$A$3:$A$500,$C21,'DADOS BRUTOS'!FG$3:FG$500)))</f>
        <v/>
      </c>
      <c r="IH21" s="125">
        <f>IF(OR(IH$4="",$B21=""),0,SUMIF('DADOS BRUTOS'!$A$3:$A$500,$B21,'DADOS BRUTOS'!FH$3:FH$500)+IF($C21="",0,SUMIF('DADOS BRUTOS'!$A$3:$A$500,$C21,'DADOS BRUTOS'!FH$3:FH$500)))</f>
        <v/>
      </c>
      <c r="II21" s="125">
        <f>IF(OR(II$4="",$B21=""),0,SUMIF('DADOS BRUTOS'!$A$3:$A$500,$B21,'DADOS BRUTOS'!FI$3:FI$500)+IF($C21="",0,SUMIF('DADOS BRUTOS'!$A$3:$A$500,$C21,'DADOS BRUTOS'!FI$3:FI$500)))</f>
        <v/>
      </c>
      <c r="IJ21" s="125">
        <f>IF(OR(IJ$4="",$B21=""),0,SUMIF('DADOS BRUTOS'!$A$3:$A$500,$B21,'DADOS BRUTOS'!FJ$3:FJ$500)+IF($C21="",0,SUMIF('DADOS BRUTOS'!$A$3:$A$500,$C21,'DADOS BRUTOS'!FJ$3:FJ$500)))</f>
        <v/>
      </c>
      <c r="IK21" s="125">
        <f>IF(OR(IK$4="",$B21=""),0,SUMIF('DADOS BRUTOS'!$A$3:$A$500,$B21,'DADOS BRUTOS'!FK$3:FK$500)+IF($C21="",0,SUMIF('DADOS BRUTOS'!$A$3:$A$500,$C21,'DADOS BRUTOS'!FK$3:FK$500)))</f>
        <v/>
      </c>
      <c r="IL21" s="125">
        <f>IF(OR(IL$4="",$B21=""),0,SUMIF('DADOS BRUTOS'!$A$3:$A$500,$B21,'DADOS BRUTOS'!FL$3:FL$500)+IF($C21="",0,SUMIF('DADOS BRUTOS'!$A$3:$A$500,$C21,'DADOS BRUTOS'!FL$3:FL$500)))</f>
        <v/>
      </c>
      <c r="IM21" s="125">
        <f>IF(OR(IM$4="",$B21=""),0,SUMIF('DADOS BRUTOS'!$A$3:$A$500,$B21,'DADOS BRUTOS'!FM$3:FM$500)+IF($C21="",0,SUMIF('DADOS BRUTOS'!$A$3:$A$500,$C21,'DADOS BRUTOS'!FM$3:FM$500)))</f>
        <v/>
      </c>
      <c r="IN21" s="125">
        <f>IF(OR(IN$4="",$B21=""),0,SUMIF('DADOS BRUTOS'!$A$3:$A$500,$B21,'DADOS BRUTOS'!FN$3:FN$500)+IF($C21="",0,SUMIF('DADOS BRUTOS'!$A$3:$A$500,$C21,'DADOS BRUTOS'!FN$3:FN$500)))</f>
        <v/>
      </c>
      <c r="IO21" s="125">
        <f>IF(OR(IO$4="",$B21=""),0,SUMIF('DADOS BRUTOS'!$A$3:$A$500,$B21,'DADOS BRUTOS'!FO$3:FO$500)+IF($C21="",0,SUMIF('DADOS BRUTOS'!$A$3:$A$500,$C21,'DADOS BRUTOS'!FO$3:FO$500)))</f>
        <v/>
      </c>
      <c r="IP21" s="125">
        <f>IF(OR(IP$4="",$B21=""),0,SUMIF('DADOS BRUTOS'!$A$3:$A$500,$B21,'DADOS BRUTOS'!FP$3:FP$500)+IF($C21="",0,SUMIF('DADOS BRUTOS'!$A$3:$A$500,$C21,'DADOS BRUTOS'!FP$3:FP$500)))</f>
        <v/>
      </c>
      <c r="IQ21" s="125">
        <f>IF(OR(IQ$4="",$B21=""),0,SUMIF('DADOS BRUTOS'!$A$3:$A$500,$B21,'DADOS BRUTOS'!FQ$3:FQ$500)+IF($C21="",0,SUMIF('DADOS BRUTOS'!$A$3:$A$500,$C21,'DADOS BRUTOS'!FQ$3:FQ$500)))</f>
        <v/>
      </c>
      <c r="IR21" s="125">
        <f>IF(OR(IR$4="",$B21=""),0,SUMIF('DADOS BRUTOS'!$A$3:$A$500,$B21,'DADOS BRUTOS'!FR$3:FR$500)+IF($C21="",0,SUMIF('DADOS BRUTOS'!$A$3:$A$500,$C21,'DADOS BRUTOS'!FR$3:FR$500)))</f>
        <v/>
      </c>
      <c r="IS21" s="125">
        <f>IF(OR(IS$4="",$B21=""),0,SUMIF('DADOS BRUTOS'!$A$3:$A$500,$B21,'DADOS BRUTOS'!FS$3:FS$500)+IF($C21="",0,SUMIF('DADOS BRUTOS'!$A$3:$A$500,$C21,'DADOS BRUTOS'!FS$3:FS$500)))</f>
        <v/>
      </c>
      <c r="IT21" s="125">
        <f>IF(OR(IT$4="",$B21=""),0,SUMIF('DADOS BRUTOS'!$A$3:$A$500,$B21,'DADOS BRUTOS'!FT$3:FT$500)+IF($C21="",0,SUMIF('DADOS BRUTOS'!$A$3:$A$500,$C21,'DADOS BRUTOS'!FT$3:FT$500)))</f>
        <v/>
      </c>
      <c r="IU21" s="125">
        <f>IF(OR(IU$4="",$B21=""),0,SUMIF('DADOS BRUTOS'!$A$3:$A$500,$B21,'DADOS BRUTOS'!FU$3:FU$500)+IF($C21="",0,SUMIF('DADOS BRUTOS'!$A$3:$A$500,$C21,'DADOS BRUTOS'!FU$3:FU$500)))</f>
        <v/>
      </c>
      <c r="IV21" s="125">
        <f>IF(OR(IV$4="",$B21=""),0,SUMIF('DADOS BRUTOS'!$A$3:$A$500,$B21,'DADOS BRUTOS'!FV$3:FV$500)+IF($C21="",0,SUMIF('DADOS BRUTOS'!$A$3:$A$500,$C21,'DADOS BRUTOS'!FV$3:FV$500)))</f>
        <v/>
      </c>
      <c r="IW21" s="125">
        <f>IF(OR(IW$4="",$B21=""),0,SUMIF('DADOS BRUTOS'!$A$3:$A$500,$B21,'DADOS BRUTOS'!FW$3:FW$500)+IF($C21="",0,SUMIF('DADOS BRUTOS'!$A$3:$A$500,$C21,'DADOS BRUTOS'!FW$3:FW$500)))</f>
        <v/>
      </c>
      <c r="IX21" s="125">
        <f>IF(OR(IX$4="",$B21=""),0,SUMIF('DADOS BRUTOS'!$A$3:$A$500,$B21,'DADOS BRUTOS'!FX$3:FX$500)+IF($C21="",0,SUMIF('DADOS BRUTOS'!$A$3:$A$500,$C21,'DADOS BRUTOS'!FX$3:FX$500)))</f>
        <v/>
      </c>
      <c r="IY21" s="125">
        <f>IF(OR(IY$4="",$B21=""),0,SUMIF('DADOS BRUTOS'!$A$3:$A$500,$B21,'DADOS BRUTOS'!FY$3:FY$500)+IF($C21="",0,SUMIF('DADOS BRUTOS'!$A$3:$A$500,$C21,'DADOS BRUTOS'!FY$3:FY$500)))</f>
        <v/>
      </c>
      <c r="IZ21" s="125">
        <f>IF(OR(IZ$4="",$B21=""),0,SUMIF('DADOS BRUTOS'!$A$3:$A$500,$B21,'DADOS BRUTOS'!FZ$3:FZ$500)+IF($C21="",0,SUMIF('DADOS BRUTOS'!$A$3:$A$500,$C21,'DADOS BRUTOS'!FZ$3:FZ$500)))</f>
        <v/>
      </c>
      <c r="JA21" s="125">
        <f>IF(OR(JA$4="",$B21=""),0,SUMIF('DADOS BRUTOS'!$A$3:$A$500,$B21,'DADOS BRUTOS'!GA$3:GA$500)+IF($C21="",0,SUMIF('DADOS BRUTOS'!$A$3:$A$500,$C21,'DADOS BRUTOS'!GA$3:GA$500)))</f>
        <v/>
      </c>
      <c r="JB21" s="125">
        <f>IF(OR(JB$4="",$B21=""),0,SUMIF('DADOS BRUTOS'!$A$3:$A$500,$B21,'DADOS BRUTOS'!GB$3:GB$500)+IF($C21="",0,SUMIF('DADOS BRUTOS'!$A$3:$A$500,$C21,'DADOS BRUTOS'!GB$3:GB$500)))</f>
        <v/>
      </c>
      <c r="JC21" s="125">
        <f>IF(OR(JC$4="",$B21=""),0,SUMIF('DADOS BRUTOS'!$A$3:$A$500,$B21,'DADOS BRUTOS'!GC$3:GC$500)+IF($C21="",0,SUMIF('DADOS BRUTOS'!$A$3:$A$500,$C21,'DADOS BRUTOS'!GC$3:GC$500)))</f>
        <v/>
      </c>
      <c r="JD21" s="125">
        <f>IF(OR(JD$4="",$B21=""),0,SUMIF('DADOS BRUTOS'!$A$3:$A$500,$B21,'DADOS BRUTOS'!GD$3:GD$500)+IF($C21="",0,SUMIF('DADOS BRUTOS'!$A$3:$A$500,$C21,'DADOS BRUTOS'!GD$3:GD$500)))</f>
        <v/>
      </c>
      <c r="JE21" s="125">
        <f>IF(OR(JE$4="",$B21=""),0,SUMIF('DADOS BRUTOS'!$A$3:$A$500,$B21,'DADOS BRUTOS'!GE$3:GE$500)+IF($C21="",0,SUMIF('DADOS BRUTOS'!$A$3:$A$500,$C21,'DADOS BRUTOS'!GE$3:GE$500)))</f>
        <v/>
      </c>
      <c r="JF21" s="125">
        <f>IF(OR(JF$4="",$B21=""),0,SUMIF('DADOS BRUTOS'!$A$3:$A$500,$B21,'DADOS BRUTOS'!GF$3:GF$500)+IF($C21="",0,SUMIF('DADOS BRUTOS'!$A$3:$A$500,$C21,'DADOS BRUTOS'!GF$3:GF$500)))</f>
        <v/>
      </c>
      <c r="JG21" s="125">
        <f>IF(OR(JG$4="",$B21=""),0,SUMIF('DADOS BRUTOS'!$A$3:$A$500,$B21,'DADOS BRUTOS'!GG$3:GG$500)+IF($C21="",0,SUMIF('DADOS BRUTOS'!$A$3:$A$500,$C21,'DADOS BRUTOS'!GG$3:GG$500)))</f>
        <v/>
      </c>
      <c r="JH21" s="125">
        <f>IF(OR(JH$4="",$B21=""),0,SUMIF('DADOS BRUTOS'!$A$3:$A$500,$B21,'DADOS BRUTOS'!GH$3:GH$500)+IF($C21="",0,SUMIF('DADOS BRUTOS'!$A$3:$A$500,$C21,'DADOS BRUTOS'!GH$3:GH$500)))</f>
        <v/>
      </c>
      <c r="JI21" s="125">
        <f>IF(OR(JI$4="",$B21=""),0,SUMIF('DADOS BRUTOS'!$A$3:$A$500,$B21,'DADOS BRUTOS'!GI$3:GI$500)+IF($C21="",0,SUMIF('DADOS BRUTOS'!$A$3:$A$500,$C21,'DADOS BRUTOS'!GI$3:GI$500)))</f>
        <v/>
      </c>
      <c r="JJ21" s="125">
        <f>IF(OR(JJ$4="",$B21=""),0,SUMIF('DADOS BRUTOS'!$A$3:$A$500,$B21,'DADOS BRUTOS'!GJ$3:GJ$500)+IF($C21="",0,SUMIF('DADOS BRUTOS'!$A$3:$A$500,$C21,'DADOS BRUTOS'!GJ$3:GJ$500)))</f>
        <v/>
      </c>
      <c r="JK21" s="125">
        <f>IF(OR(JK$4="",$B21=""),0,SUMIF('DADOS BRUTOS'!$A$3:$A$500,$B21,'DADOS BRUTOS'!GK$3:GK$500)+IF($C21="",0,SUMIF('DADOS BRUTOS'!$A$3:$A$500,$C21,'DADOS BRUTOS'!GK$3:GK$500)))</f>
        <v/>
      </c>
      <c r="JL21" s="125">
        <f>IF(OR(JL$4="",$B21=""),0,SUMIF('DADOS BRUTOS'!$A$3:$A$500,$B21,'DADOS BRUTOS'!GL$3:GL$500)+IF($C21="",0,SUMIF('DADOS BRUTOS'!$A$3:$A$500,$C21,'DADOS BRUTOS'!GL$3:GL$500)))</f>
        <v/>
      </c>
      <c r="JM21" s="125">
        <f>IF(OR(JM$4="",$B21=""),0,SUMIF('DADOS BRUTOS'!$A$3:$A$500,$B21,'DADOS BRUTOS'!GM$3:GM$500)+IF($C21="",0,SUMIF('DADOS BRUTOS'!$A$3:$A$500,$C21,'DADOS BRUTOS'!GM$3:GM$500)))</f>
        <v/>
      </c>
      <c r="JN21" s="125">
        <f>IF(OR(JN$4="",$B21=""),0,SUMIF('DADOS BRUTOS'!$A$3:$A$500,$B21,'DADOS BRUTOS'!GN$3:GN$500)+IF($C21="",0,SUMIF('DADOS BRUTOS'!$A$3:$A$500,$C21,'DADOS BRUTOS'!GN$3:GN$500)))</f>
        <v/>
      </c>
      <c r="JO21" s="125">
        <f>IF(OR(JO$4="",$B21=""),0,SUMIF('DADOS BRUTOS'!$A$3:$A$500,$B21,'DADOS BRUTOS'!GO$3:GO$500)+IF($C21="",0,SUMIF('DADOS BRUTOS'!$A$3:$A$500,$C21,'DADOS BRUTOS'!GO$3:GO$500)))</f>
        <v/>
      </c>
      <c r="JP21" s="125">
        <f>IF(OR(JP$4="",$B21=""),0,SUMIF('DADOS BRUTOS'!$A$3:$A$500,$B21,'DADOS BRUTOS'!GP$3:GP$500)+IF($C21="",0,SUMIF('DADOS BRUTOS'!$A$3:$A$500,$C21,'DADOS BRUTOS'!GP$3:GP$500)))</f>
        <v/>
      </c>
      <c r="JQ21" s="125">
        <f>IF(OR(JQ$4="",$B21=""),0,SUMIF('DADOS BRUTOS'!$A$3:$A$500,$B21,'DADOS BRUTOS'!GQ$3:GQ$500)+IF($C21="",0,SUMIF('DADOS BRUTOS'!$A$3:$A$500,$C21,'DADOS BRUTOS'!GQ$3:GQ$500)))</f>
        <v/>
      </c>
      <c r="JR21" s="125">
        <f>IF(OR(JR$4="",$B21=""),0,SUMIF('DADOS BRUTOS'!$A$3:$A$500,$B21,'DADOS BRUTOS'!GR$3:GR$500)+IF($C21="",0,SUMIF('DADOS BRUTOS'!$A$3:$A$500,$C21,'DADOS BRUTOS'!GR$3:GR$500)))</f>
        <v/>
      </c>
      <c r="JS21" s="125">
        <f>IF(OR(JS$4="",$B21=""),0,SUMIF('DADOS BRUTOS'!$A$3:$A$500,$B21,'DADOS BRUTOS'!GS$3:GS$500)+IF($C21="",0,SUMIF('DADOS BRUTOS'!$A$3:$A$500,$C21,'DADOS BRUTOS'!GS$3:GS$500)))</f>
        <v/>
      </c>
    </row>
    <row r="22">
      <c r="A22" s="61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BZ22" s="49">
        <f>SUMPRODUCT(($CB$4:$JS$4&lt;&gt;"")*($CB$4:$JS$4&lt;=$D$4),$CB22:$JS22,$CB$1:$JS$1)</f>
        <v/>
      </c>
      <c r="CB22" s="125">
        <f>IF(OR(CB$4="",$B22=""),0,SUMIF('DADOS BRUTOS'!$A$3:$A$500,$B22,'DADOS BRUTOS'!B$3:B$500)+IF($C22="",0,SUMIF('DADOS BRUTOS'!$A$3:$A$500,$C22,'DADOS BRUTOS'!B$3:B$500)))</f>
        <v/>
      </c>
      <c r="CC22" s="125">
        <f>IF(OR(CC$4="",$B22=""),0,SUMIF('DADOS BRUTOS'!$A$3:$A$500,$B22,'DADOS BRUTOS'!C$3:C$500)+IF($C22="",0,SUMIF('DADOS BRUTOS'!$A$3:$A$500,$C22,'DADOS BRUTOS'!C$3:C$500)))</f>
        <v/>
      </c>
      <c r="CD22" s="125">
        <f>IF(OR(CD$4="",$B22=""),0,SUMIF('DADOS BRUTOS'!$A$3:$A$500,$B22,'DADOS BRUTOS'!D$3:D$500)+IF($C22="",0,SUMIF('DADOS BRUTOS'!$A$3:$A$500,$C22,'DADOS BRUTOS'!D$3:D$500)))</f>
        <v/>
      </c>
      <c r="CE22" s="125">
        <f>IF(OR(CE$4="",$B22=""),0,SUMIF('DADOS BRUTOS'!$A$3:$A$500,$B22,'DADOS BRUTOS'!E$3:E$500)+IF($C22="",0,SUMIF('DADOS BRUTOS'!$A$3:$A$500,$C22,'DADOS BRUTOS'!E$3:E$500)))</f>
        <v/>
      </c>
      <c r="CF22" s="125">
        <f>IF(OR(CF$4="",$B22=""),0,SUMIF('DADOS BRUTOS'!$A$3:$A$500,$B22,'DADOS BRUTOS'!F$3:F$500)+IF($C22="",0,SUMIF('DADOS BRUTOS'!$A$3:$A$500,$C22,'DADOS BRUTOS'!F$3:F$500)))</f>
        <v/>
      </c>
      <c r="CG22" s="125">
        <f>IF(OR(CG$4="",$B22=""),0,SUMIF('DADOS BRUTOS'!$A$3:$A$500,$B22,'DADOS BRUTOS'!G$3:G$500)+IF($C22="",0,SUMIF('DADOS BRUTOS'!$A$3:$A$500,$C22,'DADOS BRUTOS'!G$3:G$500)))</f>
        <v/>
      </c>
      <c r="CH22" s="125">
        <f>IF(OR(CH$4="",$B22=""),0,SUMIF('DADOS BRUTOS'!$A$3:$A$500,$B22,'DADOS BRUTOS'!H$3:H$500)+IF($C22="",0,SUMIF('DADOS BRUTOS'!$A$3:$A$500,$C22,'DADOS BRUTOS'!H$3:H$500)))</f>
        <v/>
      </c>
      <c r="CI22" s="125">
        <f>IF(OR(CI$4="",$B22=""),0,SUMIF('DADOS BRUTOS'!$A$3:$A$500,$B22,'DADOS BRUTOS'!I$3:I$500)+IF($C22="",0,SUMIF('DADOS BRUTOS'!$A$3:$A$500,$C22,'DADOS BRUTOS'!I$3:I$500)))</f>
        <v/>
      </c>
      <c r="CJ22" s="125">
        <f>IF(OR(CJ$4="",$B22=""),0,SUMIF('DADOS BRUTOS'!$A$3:$A$500,$B22,'DADOS BRUTOS'!J$3:J$500)+IF($C22="",0,SUMIF('DADOS BRUTOS'!$A$3:$A$500,$C22,'DADOS BRUTOS'!J$3:J$500)))</f>
        <v/>
      </c>
      <c r="CK22" s="125">
        <f>IF(OR(CK$4="",$B22=""),0,SUMIF('DADOS BRUTOS'!$A$3:$A$500,$B22,'DADOS BRUTOS'!K$3:K$500)+IF($C22="",0,SUMIF('DADOS BRUTOS'!$A$3:$A$500,$C22,'DADOS BRUTOS'!K$3:K$500)))</f>
        <v/>
      </c>
      <c r="CL22" s="125">
        <f>IF(OR(CL$4="",$B22=""),0,SUMIF('DADOS BRUTOS'!$A$3:$A$500,$B22,'DADOS BRUTOS'!L$3:L$500)+IF($C22="",0,SUMIF('DADOS BRUTOS'!$A$3:$A$500,$C22,'DADOS BRUTOS'!L$3:L$500)))</f>
        <v/>
      </c>
      <c r="CM22" s="125">
        <f>IF(OR(CM$4="",$B22=""),0,SUMIF('DADOS BRUTOS'!$A$3:$A$500,$B22,'DADOS BRUTOS'!M$3:M$500)+IF($C22="",0,SUMIF('DADOS BRUTOS'!$A$3:$A$500,$C22,'DADOS BRUTOS'!M$3:M$500)))</f>
        <v/>
      </c>
      <c r="CN22" s="125">
        <f>IF(OR(CN$4="",$B22=""),0,SUMIF('DADOS BRUTOS'!$A$3:$A$500,$B22,'DADOS BRUTOS'!N$3:N$500)+IF($C22="",0,SUMIF('DADOS BRUTOS'!$A$3:$A$500,$C22,'DADOS BRUTOS'!N$3:N$500)))</f>
        <v/>
      </c>
      <c r="CO22" s="125">
        <f>IF(OR(CO$4="",$B22=""),0,SUMIF('DADOS BRUTOS'!$A$3:$A$500,$B22,'DADOS BRUTOS'!O$3:O$500)+IF($C22="",0,SUMIF('DADOS BRUTOS'!$A$3:$A$500,$C22,'DADOS BRUTOS'!O$3:O$500)))</f>
        <v/>
      </c>
      <c r="CP22" s="125">
        <f>IF(OR(CP$4="",$B22=""),0,SUMIF('DADOS BRUTOS'!$A$3:$A$500,$B22,'DADOS BRUTOS'!P$3:P$500)+IF($C22="",0,SUMIF('DADOS BRUTOS'!$A$3:$A$500,$C22,'DADOS BRUTOS'!P$3:P$500)))</f>
        <v/>
      </c>
      <c r="CQ22" s="125">
        <f>IF(OR(CQ$4="",$B22=""),0,SUMIF('DADOS BRUTOS'!$A$3:$A$500,$B22,'DADOS BRUTOS'!Q$3:Q$500)+IF($C22="",0,SUMIF('DADOS BRUTOS'!$A$3:$A$500,$C22,'DADOS BRUTOS'!Q$3:Q$500)))</f>
        <v/>
      </c>
      <c r="CR22" s="125">
        <f>IF(OR(CR$4="",$B22=""),0,SUMIF('DADOS BRUTOS'!$A$3:$A$500,$B22,'DADOS BRUTOS'!R$3:R$500)+IF($C22="",0,SUMIF('DADOS BRUTOS'!$A$3:$A$500,$C22,'DADOS BRUTOS'!R$3:R$500)))</f>
        <v/>
      </c>
      <c r="CS22" s="125">
        <f>IF(OR(CS$4="",$B22=""),0,SUMIF('DADOS BRUTOS'!$A$3:$A$500,$B22,'DADOS BRUTOS'!S$3:S$500)+IF($C22="",0,SUMIF('DADOS BRUTOS'!$A$3:$A$500,$C22,'DADOS BRUTOS'!S$3:S$500)))</f>
        <v/>
      </c>
      <c r="CT22" s="125">
        <f>IF(OR(CT$4="",$B22=""),0,SUMIF('DADOS BRUTOS'!$A$3:$A$500,$B22,'DADOS BRUTOS'!T$3:T$500)+IF($C22="",0,SUMIF('DADOS BRUTOS'!$A$3:$A$500,$C22,'DADOS BRUTOS'!T$3:T$500)))</f>
        <v/>
      </c>
      <c r="CU22" s="125">
        <f>IF(OR(CU$4="",$B22=""),0,SUMIF('DADOS BRUTOS'!$A$3:$A$500,$B22,'DADOS BRUTOS'!U$3:U$500)+IF($C22="",0,SUMIF('DADOS BRUTOS'!$A$3:$A$500,$C22,'DADOS BRUTOS'!U$3:U$500)))</f>
        <v/>
      </c>
      <c r="CV22" s="125">
        <f>IF(OR(CV$4="",$B22=""),0,SUMIF('DADOS BRUTOS'!$A$3:$A$500,$B22,'DADOS BRUTOS'!V$3:V$500)+IF($C22="",0,SUMIF('DADOS BRUTOS'!$A$3:$A$500,$C22,'DADOS BRUTOS'!V$3:V$500)))</f>
        <v/>
      </c>
      <c r="CW22" s="125">
        <f>IF(OR(CW$4="",$B22=""),0,SUMIF('DADOS BRUTOS'!$A$3:$A$500,$B22,'DADOS BRUTOS'!W$3:W$500)+IF($C22="",0,SUMIF('DADOS BRUTOS'!$A$3:$A$500,$C22,'DADOS BRUTOS'!W$3:W$500)))</f>
        <v/>
      </c>
      <c r="CX22" s="125">
        <f>IF(OR(CX$4="",$B22=""),0,SUMIF('DADOS BRUTOS'!$A$3:$A$500,$B22,'DADOS BRUTOS'!X$3:X$500)+IF($C22="",0,SUMIF('DADOS BRUTOS'!$A$3:$A$500,$C22,'DADOS BRUTOS'!X$3:X$500)))</f>
        <v/>
      </c>
      <c r="CY22" s="125">
        <f>IF(OR(CY$4="",$B22=""),0,SUMIF('DADOS BRUTOS'!$A$3:$A$500,$B22,'DADOS BRUTOS'!Y$3:Y$500)+IF($C22="",0,SUMIF('DADOS BRUTOS'!$A$3:$A$500,$C22,'DADOS BRUTOS'!Y$3:Y$500)))</f>
        <v/>
      </c>
      <c r="CZ22" s="125">
        <f>IF(OR(CZ$4="",$B22=""),0,SUMIF('DADOS BRUTOS'!$A$3:$A$500,$B22,'DADOS BRUTOS'!Z$3:Z$500)+IF($C22="",0,SUMIF('DADOS BRUTOS'!$A$3:$A$500,$C22,'DADOS BRUTOS'!Z$3:Z$500)))</f>
        <v/>
      </c>
      <c r="DA22" s="125">
        <f>IF(OR(DA$4="",$B22=""),0,SUMIF('DADOS BRUTOS'!$A$3:$A$500,$B22,'DADOS BRUTOS'!AA$3:AA$500)+IF($C22="",0,SUMIF('DADOS BRUTOS'!$A$3:$A$500,$C22,'DADOS BRUTOS'!AA$3:AA$500)))</f>
        <v/>
      </c>
      <c r="DB22" s="125">
        <f>IF(OR(DB$4="",$B22=""),0,SUMIF('DADOS BRUTOS'!$A$3:$A$500,$B22,'DADOS BRUTOS'!AB$3:AB$500)+IF($C22="",0,SUMIF('DADOS BRUTOS'!$A$3:$A$500,$C22,'DADOS BRUTOS'!AB$3:AB$500)))</f>
        <v/>
      </c>
      <c r="DC22" s="125">
        <f>IF(OR(DC$4="",$B22=""),0,SUMIF('DADOS BRUTOS'!$A$3:$A$500,$B22,'DADOS BRUTOS'!AC$3:AC$500)+IF($C22="",0,SUMIF('DADOS BRUTOS'!$A$3:$A$500,$C22,'DADOS BRUTOS'!AC$3:AC$500)))</f>
        <v/>
      </c>
      <c r="DD22" s="125">
        <f>IF(OR(DD$4="",$B22=""),0,SUMIF('DADOS BRUTOS'!$A$3:$A$500,$B22,'DADOS BRUTOS'!AD$3:AD$500)+IF($C22="",0,SUMIF('DADOS BRUTOS'!$A$3:$A$500,$C22,'DADOS BRUTOS'!AD$3:AD$500)))</f>
        <v/>
      </c>
      <c r="DE22" s="125">
        <f>IF(OR(DE$4="",$B22=""),0,SUMIF('DADOS BRUTOS'!$A$3:$A$500,$B22,'DADOS BRUTOS'!AE$3:AE$500)+IF($C22="",0,SUMIF('DADOS BRUTOS'!$A$3:$A$500,$C22,'DADOS BRUTOS'!AE$3:AE$500)))</f>
        <v/>
      </c>
      <c r="DF22" s="125">
        <f>IF(OR(DF$4="",$B22=""),0,SUMIF('DADOS BRUTOS'!$A$3:$A$500,$B22,'DADOS BRUTOS'!AF$3:AF$500)+IF($C22="",0,SUMIF('DADOS BRUTOS'!$A$3:$A$500,$C22,'DADOS BRUTOS'!AF$3:AF$500)))</f>
        <v/>
      </c>
      <c r="DG22" s="125">
        <f>IF(OR(DG$4="",$B22=""),0,SUMIF('DADOS BRUTOS'!$A$3:$A$500,$B22,'DADOS BRUTOS'!AG$3:AG$500)+IF($C22="",0,SUMIF('DADOS BRUTOS'!$A$3:$A$500,$C22,'DADOS BRUTOS'!AG$3:AG$500)))</f>
        <v/>
      </c>
      <c r="DH22" s="125">
        <f>IF(OR(DH$4="",$B22=""),0,SUMIF('DADOS BRUTOS'!$A$3:$A$500,$B22,'DADOS BRUTOS'!AH$3:AH$500)+IF($C22="",0,SUMIF('DADOS BRUTOS'!$A$3:$A$500,$C22,'DADOS BRUTOS'!AH$3:AH$500)))</f>
        <v/>
      </c>
      <c r="DI22" s="125">
        <f>IF(OR(DI$4="",$B22=""),0,SUMIF('DADOS BRUTOS'!$A$3:$A$500,$B22,'DADOS BRUTOS'!AI$3:AI$500)+IF($C22="",0,SUMIF('DADOS BRUTOS'!$A$3:$A$500,$C22,'DADOS BRUTOS'!AI$3:AI$500)))</f>
        <v/>
      </c>
      <c r="DJ22" s="125">
        <f>IF(OR(DJ$4="",$B22=""),0,SUMIF('DADOS BRUTOS'!$A$3:$A$500,$B22,'DADOS BRUTOS'!AJ$3:AJ$500)+IF($C22="",0,SUMIF('DADOS BRUTOS'!$A$3:$A$500,$C22,'DADOS BRUTOS'!AJ$3:AJ$500)))</f>
        <v/>
      </c>
      <c r="DK22" s="125">
        <f>IF(OR(DK$4="",$B22=""),0,SUMIF('DADOS BRUTOS'!$A$3:$A$500,$B22,'DADOS BRUTOS'!AK$3:AK$500)+IF($C22="",0,SUMIF('DADOS BRUTOS'!$A$3:$A$500,$C22,'DADOS BRUTOS'!AK$3:AK$500)))</f>
        <v/>
      </c>
      <c r="DL22" s="125">
        <f>IF(OR(DL$4="",$B22=""),0,SUMIF('DADOS BRUTOS'!$A$3:$A$500,$B22,'DADOS BRUTOS'!AL$3:AL$500)+IF($C22="",0,SUMIF('DADOS BRUTOS'!$A$3:$A$500,$C22,'DADOS BRUTOS'!AL$3:AL$500)))</f>
        <v/>
      </c>
      <c r="DM22" s="125">
        <f>IF(OR(DM$4="",$B22=""),0,SUMIF('DADOS BRUTOS'!$A$3:$A$500,$B22,'DADOS BRUTOS'!AM$3:AM$500)+IF($C22="",0,SUMIF('DADOS BRUTOS'!$A$3:$A$500,$C22,'DADOS BRUTOS'!AM$3:AM$500)))</f>
        <v/>
      </c>
      <c r="DN22" s="125">
        <f>IF(OR(DN$4="",$B22=""),0,SUMIF('DADOS BRUTOS'!$A$3:$A$500,$B22,'DADOS BRUTOS'!AN$3:AN$500)+IF($C22="",0,SUMIF('DADOS BRUTOS'!$A$3:$A$500,$C22,'DADOS BRUTOS'!AN$3:AN$500)))</f>
        <v/>
      </c>
      <c r="DO22" s="125">
        <f>IF(OR(DO$4="",$B22=""),0,SUMIF('DADOS BRUTOS'!$A$3:$A$500,$B22,'DADOS BRUTOS'!AO$3:AO$500)+IF($C22="",0,SUMIF('DADOS BRUTOS'!$A$3:$A$500,$C22,'DADOS BRUTOS'!AO$3:AO$500)))</f>
        <v/>
      </c>
      <c r="DP22" s="125">
        <f>IF(OR(DP$4="",$B22=""),0,SUMIF('DADOS BRUTOS'!$A$3:$A$500,$B22,'DADOS BRUTOS'!AP$3:AP$500)+IF($C22="",0,SUMIF('DADOS BRUTOS'!$A$3:$A$500,$C22,'DADOS BRUTOS'!AP$3:AP$500)))</f>
        <v/>
      </c>
      <c r="DQ22" s="125">
        <f>IF(OR(DQ$4="",$B22=""),0,SUMIF('DADOS BRUTOS'!$A$3:$A$500,$B22,'DADOS BRUTOS'!AQ$3:AQ$500)+IF($C22="",0,SUMIF('DADOS BRUTOS'!$A$3:$A$500,$C22,'DADOS BRUTOS'!AQ$3:AQ$500)))</f>
        <v/>
      </c>
      <c r="DR22" s="125">
        <f>IF(OR(DR$4="",$B22=""),0,SUMIF('DADOS BRUTOS'!$A$3:$A$500,$B22,'DADOS BRUTOS'!AR$3:AR$500)+IF($C22="",0,SUMIF('DADOS BRUTOS'!$A$3:$A$500,$C22,'DADOS BRUTOS'!AR$3:AR$500)))</f>
        <v/>
      </c>
      <c r="DS22" s="125">
        <f>IF(OR(DS$4="",$B22=""),0,SUMIF('DADOS BRUTOS'!$A$3:$A$500,$B22,'DADOS BRUTOS'!AS$3:AS$500)+IF($C22="",0,SUMIF('DADOS BRUTOS'!$A$3:$A$500,$C22,'DADOS BRUTOS'!AS$3:AS$500)))</f>
        <v/>
      </c>
      <c r="DT22" s="125">
        <f>IF(OR(DT$4="",$B22=""),0,SUMIF('DADOS BRUTOS'!$A$3:$A$500,$B22,'DADOS BRUTOS'!AT$3:AT$500)+IF($C22="",0,SUMIF('DADOS BRUTOS'!$A$3:$A$500,$C22,'DADOS BRUTOS'!AT$3:AT$500)))</f>
        <v/>
      </c>
      <c r="DU22" s="125">
        <f>IF(OR(DU$4="",$B22=""),0,SUMIF('DADOS BRUTOS'!$A$3:$A$500,$B22,'DADOS BRUTOS'!AU$3:AU$500)+IF($C22="",0,SUMIF('DADOS BRUTOS'!$A$3:$A$500,$C22,'DADOS BRUTOS'!AU$3:AU$500)))</f>
        <v/>
      </c>
      <c r="DV22" s="125">
        <f>IF(OR(DV$4="",$B22=""),0,SUMIF('DADOS BRUTOS'!$A$3:$A$500,$B22,'DADOS BRUTOS'!AV$3:AV$500)+IF($C22="",0,SUMIF('DADOS BRUTOS'!$A$3:$A$500,$C22,'DADOS BRUTOS'!AV$3:AV$500)))</f>
        <v/>
      </c>
      <c r="DW22" s="125">
        <f>IF(OR(DW$4="",$B22=""),0,SUMIF('DADOS BRUTOS'!$A$3:$A$500,$B22,'DADOS BRUTOS'!AW$3:AW$500)+IF($C22="",0,SUMIF('DADOS BRUTOS'!$A$3:$A$500,$C22,'DADOS BRUTOS'!AW$3:AW$500)))</f>
        <v/>
      </c>
      <c r="DX22" s="125">
        <f>IF(OR(DX$4="",$B22=""),0,SUMIF('DADOS BRUTOS'!$A$3:$A$500,$B22,'DADOS BRUTOS'!AX$3:AX$500)+IF($C22="",0,SUMIF('DADOS BRUTOS'!$A$3:$A$500,$C22,'DADOS BRUTOS'!AX$3:AX$500)))</f>
        <v/>
      </c>
      <c r="DY22" s="125">
        <f>IF(OR(DY$4="",$B22=""),0,SUMIF('DADOS BRUTOS'!$A$3:$A$500,$B22,'DADOS BRUTOS'!AY$3:AY$500)+IF($C22="",0,SUMIF('DADOS BRUTOS'!$A$3:$A$500,$C22,'DADOS BRUTOS'!AY$3:AY$500)))</f>
        <v/>
      </c>
      <c r="DZ22" s="125">
        <f>IF(OR(DZ$4="",$B22=""),0,SUMIF('DADOS BRUTOS'!$A$3:$A$500,$B22,'DADOS BRUTOS'!AZ$3:AZ$500)+IF($C22="",0,SUMIF('DADOS BRUTOS'!$A$3:$A$500,$C22,'DADOS BRUTOS'!AZ$3:AZ$500)))</f>
        <v/>
      </c>
      <c r="EA22" s="125">
        <f>IF(OR(EA$4="",$B22=""),0,SUMIF('DADOS BRUTOS'!$A$3:$A$500,$B22,'DADOS BRUTOS'!BA$3:BA$500)+IF($C22="",0,SUMIF('DADOS BRUTOS'!$A$3:$A$500,$C22,'DADOS BRUTOS'!BA$3:BA$500)))</f>
        <v/>
      </c>
      <c r="EB22" s="125">
        <f>IF(OR(EB$4="",$B22=""),0,SUMIF('DADOS BRUTOS'!$A$3:$A$500,$B22,'DADOS BRUTOS'!BB$3:BB$500)+IF($C22="",0,SUMIF('DADOS BRUTOS'!$A$3:$A$500,$C22,'DADOS BRUTOS'!BB$3:BB$500)))</f>
        <v/>
      </c>
      <c r="EC22" s="125">
        <f>IF(OR(EC$4="",$B22=""),0,SUMIF('DADOS BRUTOS'!$A$3:$A$500,$B22,'DADOS BRUTOS'!BC$3:BC$500)+IF($C22="",0,SUMIF('DADOS BRUTOS'!$A$3:$A$500,$C22,'DADOS BRUTOS'!BC$3:BC$500)))</f>
        <v/>
      </c>
      <c r="ED22" s="125">
        <f>IF(OR(ED$4="",$B22=""),0,SUMIF('DADOS BRUTOS'!$A$3:$A$500,$B22,'DADOS BRUTOS'!BD$3:BD$500)+IF($C22="",0,SUMIF('DADOS BRUTOS'!$A$3:$A$500,$C22,'DADOS BRUTOS'!BD$3:BD$500)))</f>
        <v/>
      </c>
      <c r="EE22" s="125">
        <f>IF(OR(EE$4="",$B22=""),0,SUMIF('DADOS BRUTOS'!$A$3:$A$500,$B22,'DADOS BRUTOS'!BE$3:BE$500)+IF($C22="",0,SUMIF('DADOS BRUTOS'!$A$3:$A$500,$C22,'DADOS BRUTOS'!BE$3:BE$500)))</f>
        <v/>
      </c>
      <c r="EF22" s="125">
        <f>IF(OR(EF$4="",$B22=""),0,SUMIF('DADOS BRUTOS'!$A$3:$A$500,$B22,'DADOS BRUTOS'!BF$3:BF$500)+IF($C22="",0,SUMIF('DADOS BRUTOS'!$A$3:$A$500,$C22,'DADOS BRUTOS'!BF$3:BF$500)))</f>
        <v/>
      </c>
      <c r="EG22" s="125">
        <f>IF(OR(EG$4="",$B22=""),0,SUMIF('DADOS BRUTOS'!$A$3:$A$500,$B22,'DADOS BRUTOS'!BG$3:BG$500)+IF($C22="",0,SUMIF('DADOS BRUTOS'!$A$3:$A$500,$C22,'DADOS BRUTOS'!BG$3:BG$500)))</f>
        <v/>
      </c>
      <c r="EH22" s="125">
        <f>IF(OR(EH$4="",$B22=""),0,SUMIF('DADOS BRUTOS'!$A$3:$A$500,$B22,'DADOS BRUTOS'!BH$3:BH$500)+IF($C22="",0,SUMIF('DADOS BRUTOS'!$A$3:$A$500,$C22,'DADOS BRUTOS'!BH$3:BH$500)))</f>
        <v/>
      </c>
      <c r="EI22" s="125">
        <f>IF(OR(EI$4="",$B22=""),0,SUMIF('DADOS BRUTOS'!$A$3:$A$500,$B22,'DADOS BRUTOS'!BI$3:BI$500)+IF($C22="",0,SUMIF('DADOS BRUTOS'!$A$3:$A$500,$C22,'DADOS BRUTOS'!BI$3:BI$500)))</f>
        <v/>
      </c>
      <c r="EJ22" s="125">
        <f>IF(OR(EJ$4="",$B22=""),0,SUMIF('DADOS BRUTOS'!$A$3:$A$500,$B22,'DADOS BRUTOS'!BJ$3:BJ$500)+IF($C22="",0,SUMIF('DADOS BRUTOS'!$A$3:$A$500,$C22,'DADOS BRUTOS'!BJ$3:BJ$500)))</f>
        <v/>
      </c>
      <c r="EK22" s="125">
        <f>IF(OR(EK$4="",$B22=""),0,SUMIF('DADOS BRUTOS'!$A$3:$A$500,$B22,'DADOS BRUTOS'!BK$3:BK$500)+IF($C22="",0,SUMIF('DADOS BRUTOS'!$A$3:$A$500,$C22,'DADOS BRUTOS'!BK$3:BK$500)))</f>
        <v/>
      </c>
      <c r="EL22" s="125">
        <f>IF(OR(EL$4="",$B22=""),0,SUMIF('DADOS BRUTOS'!$A$3:$A$500,$B22,'DADOS BRUTOS'!BL$3:BL$500)+IF($C22="",0,SUMIF('DADOS BRUTOS'!$A$3:$A$500,$C22,'DADOS BRUTOS'!BL$3:BL$500)))</f>
        <v/>
      </c>
      <c r="EM22" s="125">
        <f>IF(OR(EM$4="",$B22=""),0,SUMIF('DADOS BRUTOS'!$A$3:$A$500,$B22,'DADOS BRUTOS'!BM$3:BM$500)+IF($C22="",0,SUMIF('DADOS BRUTOS'!$A$3:$A$500,$C22,'DADOS BRUTOS'!BM$3:BM$500)))</f>
        <v/>
      </c>
      <c r="EN22" s="125">
        <f>IF(OR(EN$4="",$B22=""),0,SUMIF('DADOS BRUTOS'!$A$3:$A$500,$B22,'DADOS BRUTOS'!BN$3:BN$500)+IF($C22="",0,SUMIF('DADOS BRUTOS'!$A$3:$A$500,$C22,'DADOS BRUTOS'!BN$3:BN$500)))</f>
        <v/>
      </c>
      <c r="EO22" s="125">
        <f>IF(OR(EO$4="",$B22=""),0,SUMIF('DADOS BRUTOS'!$A$3:$A$500,$B22,'DADOS BRUTOS'!BO$3:BO$500)+IF($C22="",0,SUMIF('DADOS BRUTOS'!$A$3:$A$500,$C22,'DADOS BRUTOS'!BO$3:BO$500)))</f>
        <v/>
      </c>
      <c r="EP22" s="125">
        <f>IF(OR(EP$4="",$B22=""),0,SUMIF('DADOS BRUTOS'!$A$3:$A$500,$B22,'DADOS BRUTOS'!BP$3:BP$500)+IF($C22="",0,SUMIF('DADOS BRUTOS'!$A$3:$A$500,$C22,'DADOS BRUTOS'!BP$3:BP$500)))</f>
        <v/>
      </c>
      <c r="EQ22" s="125">
        <f>IF(OR(EQ$4="",$B22=""),0,SUMIF('DADOS BRUTOS'!$A$3:$A$500,$B22,'DADOS BRUTOS'!BQ$3:BQ$500)+IF($C22="",0,SUMIF('DADOS BRUTOS'!$A$3:$A$500,$C22,'DADOS BRUTOS'!BQ$3:BQ$500)))</f>
        <v/>
      </c>
      <c r="ER22" s="125">
        <f>IF(OR(ER$4="",$B22=""),0,SUMIF('DADOS BRUTOS'!$A$3:$A$500,$B22,'DADOS BRUTOS'!BR$3:BR$500)+IF($C22="",0,SUMIF('DADOS BRUTOS'!$A$3:$A$500,$C22,'DADOS BRUTOS'!BR$3:BR$500)))</f>
        <v/>
      </c>
      <c r="ES22" s="125">
        <f>IF(OR(ES$4="",$B22=""),0,SUMIF('DADOS BRUTOS'!$A$3:$A$500,$B22,'DADOS BRUTOS'!BS$3:BS$500)+IF($C22="",0,SUMIF('DADOS BRUTOS'!$A$3:$A$500,$C22,'DADOS BRUTOS'!BS$3:BS$500)))</f>
        <v/>
      </c>
      <c r="ET22" s="125">
        <f>IF(OR(ET$4="",$B22=""),0,SUMIF('DADOS BRUTOS'!$A$3:$A$500,$B22,'DADOS BRUTOS'!BT$3:BT$500)+IF($C22="",0,SUMIF('DADOS BRUTOS'!$A$3:$A$500,$C22,'DADOS BRUTOS'!BT$3:BT$500)))</f>
        <v/>
      </c>
      <c r="EU22" s="125">
        <f>IF(OR(EU$4="",$B22=""),0,SUMIF('DADOS BRUTOS'!$A$3:$A$500,$B22,'DADOS BRUTOS'!BU$3:BU$500)+IF($C22="",0,SUMIF('DADOS BRUTOS'!$A$3:$A$500,$C22,'DADOS BRUTOS'!BU$3:BU$500)))</f>
        <v/>
      </c>
      <c r="EV22" s="125">
        <f>IF(OR(EV$4="",$B22=""),0,SUMIF('DADOS BRUTOS'!$A$3:$A$500,$B22,'DADOS BRUTOS'!BV$3:BV$500)+IF($C22="",0,SUMIF('DADOS BRUTOS'!$A$3:$A$500,$C22,'DADOS BRUTOS'!BV$3:BV$500)))</f>
        <v/>
      </c>
      <c r="EW22" s="125">
        <f>IF(OR(EW$4="",$B22=""),0,SUMIF('DADOS BRUTOS'!$A$3:$A$500,$B22,'DADOS BRUTOS'!BW$3:BW$500)+IF($C22="",0,SUMIF('DADOS BRUTOS'!$A$3:$A$500,$C22,'DADOS BRUTOS'!BW$3:BW$500)))</f>
        <v/>
      </c>
      <c r="EX22" s="125">
        <f>IF(OR(EX$4="",$B22=""),0,SUMIF('DADOS BRUTOS'!$A$3:$A$500,$B22,'DADOS BRUTOS'!BX$3:BX$500)+IF($C22="",0,SUMIF('DADOS BRUTOS'!$A$3:$A$500,$C22,'DADOS BRUTOS'!BX$3:BX$500)))</f>
        <v/>
      </c>
      <c r="EY22" s="125">
        <f>IF(OR(EY$4="",$B22=""),0,SUMIF('DADOS BRUTOS'!$A$3:$A$500,$B22,'DADOS BRUTOS'!BY$3:BY$500)+IF($C22="",0,SUMIF('DADOS BRUTOS'!$A$3:$A$500,$C22,'DADOS BRUTOS'!BY$3:BY$500)))</f>
        <v/>
      </c>
      <c r="EZ22" s="125">
        <f>IF(OR(EZ$4="",$B22=""),0,SUMIF('DADOS BRUTOS'!$A$3:$A$500,$B22,'DADOS BRUTOS'!BZ$3:BZ$500)+IF($C22="",0,SUMIF('DADOS BRUTOS'!$A$3:$A$500,$C22,'DADOS BRUTOS'!BZ$3:BZ$500)))</f>
        <v/>
      </c>
      <c r="FA22" s="125">
        <f>IF(OR(FA$4="",$B22=""),0,SUMIF('DADOS BRUTOS'!$A$3:$A$500,$B22,'DADOS BRUTOS'!CA$3:CA$500)+IF($C22="",0,SUMIF('DADOS BRUTOS'!$A$3:$A$500,$C22,'DADOS BRUTOS'!CA$3:CA$500)))</f>
        <v/>
      </c>
      <c r="FB22" s="125">
        <f>IF(OR(FB$4="",$B22=""),0,SUMIF('DADOS BRUTOS'!$A$3:$A$500,$B22,'DADOS BRUTOS'!CB$3:CB$500)+IF($C22="",0,SUMIF('DADOS BRUTOS'!$A$3:$A$500,$C22,'DADOS BRUTOS'!CB$3:CB$500)))</f>
        <v/>
      </c>
      <c r="FC22" s="125">
        <f>IF(OR(FC$4="",$B22=""),0,SUMIF('DADOS BRUTOS'!$A$3:$A$500,$B22,'DADOS BRUTOS'!CC$3:CC$500)+IF($C22="",0,SUMIF('DADOS BRUTOS'!$A$3:$A$500,$C22,'DADOS BRUTOS'!CC$3:CC$500)))</f>
        <v/>
      </c>
      <c r="FD22" s="125">
        <f>IF(OR(FD$4="",$B22=""),0,SUMIF('DADOS BRUTOS'!$A$3:$A$500,$B22,'DADOS BRUTOS'!CD$3:CD$500)+IF($C22="",0,SUMIF('DADOS BRUTOS'!$A$3:$A$500,$C22,'DADOS BRUTOS'!CD$3:CD$500)))</f>
        <v/>
      </c>
      <c r="FE22" s="125">
        <f>IF(OR(FE$4="",$B22=""),0,SUMIF('DADOS BRUTOS'!$A$3:$A$500,$B22,'DADOS BRUTOS'!CE$3:CE$500)+IF($C22="",0,SUMIF('DADOS BRUTOS'!$A$3:$A$500,$C22,'DADOS BRUTOS'!CE$3:CE$500)))</f>
        <v/>
      </c>
      <c r="FF22" s="125">
        <f>IF(OR(FF$4="",$B22=""),0,SUMIF('DADOS BRUTOS'!$A$3:$A$500,$B22,'DADOS BRUTOS'!CF$3:CF$500)+IF($C22="",0,SUMIF('DADOS BRUTOS'!$A$3:$A$500,$C22,'DADOS BRUTOS'!CF$3:CF$500)))</f>
        <v/>
      </c>
      <c r="FG22" s="125">
        <f>IF(OR(FG$4="",$B22=""),0,SUMIF('DADOS BRUTOS'!$A$3:$A$500,$B22,'DADOS BRUTOS'!CG$3:CG$500)+IF($C22="",0,SUMIF('DADOS BRUTOS'!$A$3:$A$500,$C22,'DADOS BRUTOS'!CG$3:CG$500)))</f>
        <v/>
      </c>
      <c r="FH22" s="125">
        <f>IF(OR(FH$4="",$B22=""),0,SUMIF('DADOS BRUTOS'!$A$3:$A$500,$B22,'DADOS BRUTOS'!CH$3:CH$500)+IF($C22="",0,SUMIF('DADOS BRUTOS'!$A$3:$A$500,$C22,'DADOS BRUTOS'!CH$3:CH$500)))</f>
        <v/>
      </c>
      <c r="FI22" s="125">
        <f>IF(OR(FI$4="",$B22=""),0,SUMIF('DADOS BRUTOS'!$A$3:$A$500,$B22,'DADOS BRUTOS'!CI$3:CI$500)+IF($C22="",0,SUMIF('DADOS BRUTOS'!$A$3:$A$500,$C22,'DADOS BRUTOS'!CI$3:CI$500)))</f>
        <v/>
      </c>
      <c r="FJ22" s="125">
        <f>IF(OR(FJ$4="",$B22=""),0,SUMIF('DADOS BRUTOS'!$A$3:$A$500,$B22,'DADOS BRUTOS'!CJ$3:CJ$500)+IF($C22="",0,SUMIF('DADOS BRUTOS'!$A$3:$A$500,$C22,'DADOS BRUTOS'!CJ$3:CJ$500)))</f>
        <v/>
      </c>
      <c r="FK22" s="125">
        <f>IF(OR(FK$4="",$B22=""),0,SUMIF('DADOS BRUTOS'!$A$3:$A$500,$B22,'DADOS BRUTOS'!CK$3:CK$500)+IF($C22="",0,SUMIF('DADOS BRUTOS'!$A$3:$A$500,$C22,'DADOS BRUTOS'!CK$3:CK$500)))</f>
        <v/>
      </c>
      <c r="FL22" s="125">
        <f>IF(OR(FL$4="",$B22=""),0,SUMIF('DADOS BRUTOS'!$A$3:$A$500,$B22,'DADOS BRUTOS'!CL$3:CL$500)+IF($C22="",0,SUMIF('DADOS BRUTOS'!$A$3:$A$500,$C22,'DADOS BRUTOS'!CL$3:CL$500)))</f>
        <v/>
      </c>
      <c r="FM22" s="125">
        <f>IF(OR(FM$4="",$B22=""),0,SUMIF('DADOS BRUTOS'!$A$3:$A$500,$B22,'DADOS BRUTOS'!CM$3:CM$500)+IF($C22="",0,SUMIF('DADOS BRUTOS'!$A$3:$A$500,$C22,'DADOS BRUTOS'!CM$3:CM$500)))</f>
        <v/>
      </c>
      <c r="FN22" s="125">
        <f>IF(OR(FN$4="",$B22=""),0,SUMIF('DADOS BRUTOS'!$A$3:$A$500,$B22,'DADOS BRUTOS'!CN$3:CN$500)+IF($C22="",0,SUMIF('DADOS BRUTOS'!$A$3:$A$500,$C22,'DADOS BRUTOS'!CN$3:CN$500)))</f>
        <v/>
      </c>
      <c r="FO22" s="125">
        <f>IF(OR(FO$4="",$B22=""),0,SUMIF('DADOS BRUTOS'!$A$3:$A$500,$B22,'DADOS BRUTOS'!CO$3:CO$500)+IF($C22="",0,SUMIF('DADOS BRUTOS'!$A$3:$A$500,$C22,'DADOS BRUTOS'!CO$3:CO$500)))</f>
        <v/>
      </c>
      <c r="FP22" s="125">
        <f>IF(OR(FP$4="",$B22=""),0,SUMIF('DADOS BRUTOS'!$A$3:$A$500,$B22,'DADOS BRUTOS'!CP$3:CP$500)+IF($C22="",0,SUMIF('DADOS BRUTOS'!$A$3:$A$500,$C22,'DADOS BRUTOS'!CP$3:CP$500)))</f>
        <v/>
      </c>
      <c r="FQ22" s="125">
        <f>IF(OR(FQ$4="",$B22=""),0,SUMIF('DADOS BRUTOS'!$A$3:$A$500,$B22,'DADOS BRUTOS'!CQ$3:CQ$500)+IF($C22="",0,SUMIF('DADOS BRUTOS'!$A$3:$A$500,$C22,'DADOS BRUTOS'!CQ$3:CQ$500)))</f>
        <v/>
      </c>
      <c r="FR22" s="125">
        <f>IF(OR(FR$4="",$B22=""),0,SUMIF('DADOS BRUTOS'!$A$3:$A$500,$B22,'DADOS BRUTOS'!CR$3:CR$500)+IF($C22="",0,SUMIF('DADOS BRUTOS'!$A$3:$A$500,$C22,'DADOS BRUTOS'!CR$3:CR$500)))</f>
        <v/>
      </c>
      <c r="FS22" s="125">
        <f>IF(OR(FS$4="",$B22=""),0,SUMIF('DADOS BRUTOS'!$A$3:$A$500,$B22,'DADOS BRUTOS'!CS$3:CS$500)+IF($C22="",0,SUMIF('DADOS BRUTOS'!$A$3:$A$500,$C22,'DADOS BRUTOS'!CS$3:CS$500)))</f>
        <v/>
      </c>
      <c r="FT22" s="125">
        <f>IF(OR(FT$4="",$B22=""),0,SUMIF('DADOS BRUTOS'!$A$3:$A$500,$B22,'DADOS BRUTOS'!CT$3:CT$500)+IF($C22="",0,SUMIF('DADOS BRUTOS'!$A$3:$A$500,$C22,'DADOS BRUTOS'!CT$3:CT$500)))</f>
        <v/>
      </c>
      <c r="FU22" s="125">
        <f>IF(OR(FU$4="",$B22=""),0,SUMIF('DADOS BRUTOS'!$A$3:$A$500,$B22,'DADOS BRUTOS'!CU$3:CU$500)+IF($C22="",0,SUMIF('DADOS BRUTOS'!$A$3:$A$500,$C22,'DADOS BRUTOS'!CU$3:CU$500)))</f>
        <v/>
      </c>
      <c r="FV22" s="125">
        <f>IF(OR(FV$4="",$B22=""),0,SUMIF('DADOS BRUTOS'!$A$3:$A$500,$B22,'DADOS BRUTOS'!CV$3:CV$500)+IF($C22="",0,SUMIF('DADOS BRUTOS'!$A$3:$A$500,$C22,'DADOS BRUTOS'!CV$3:CV$500)))</f>
        <v/>
      </c>
      <c r="FW22" s="125">
        <f>IF(OR(FW$4="",$B22=""),0,SUMIF('DADOS BRUTOS'!$A$3:$A$500,$B22,'DADOS BRUTOS'!CW$3:CW$500)+IF($C22="",0,SUMIF('DADOS BRUTOS'!$A$3:$A$500,$C22,'DADOS BRUTOS'!CW$3:CW$500)))</f>
        <v/>
      </c>
      <c r="FX22" s="125">
        <f>IF(OR(FX$4="",$B22=""),0,SUMIF('DADOS BRUTOS'!$A$3:$A$500,$B22,'DADOS BRUTOS'!CX$3:CX$500)+IF($C22="",0,SUMIF('DADOS BRUTOS'!$A$3:$A$500,$C22,'DADOS BRUTOS'!CX$3:CX$500)))</f>
        <v/>
      </c>
      <c r="FY22" s="125">
        <f>IF(OR(FY$4="",$B22=""),0,SUMIF('DADOS BRUTOS'!$A$3:$A$500,$B22,'DADOS BRUTOS'!CY$3:CY$500)+IF($C22="",0,SUMIF('DADOS BRUTOS'!$A$3:$A$500,$C22,'DADOS BRUTOS'!CY$3:CY$500)))</f>
        <v/>
      </c>
      <c r="FZ22" s="125">
        <f>IF(OR(FZ$4="",$B22=""),0,SUMIF('DADOS BRUTOS'!$A$3:$A$500,$B22,'DADOS BRUTOS'!CZ$3:CZ$500)+IF($C22="",0,SUMIF('DADOS BRUTOS'!$A$3:$A$500,$C22,'DADOS BRUTOS'!CZ$3:CZ$500)))</f>
        <v/>
      </c>
      <c r="GA22" s="125">
        <f>IF(OR(GA$4="",$B22=""),0,SUMIF('DADOS BRUTOS'!$A$3:$A$500,$B22,'DADOS BRUTOS'!DA$3:DA$500)+IF($C22="",0,SUMIF('DADOS BRUTOS'!$A$3:$A$500,$C22,'DADOS BRUTOS'!DA$3:DA$500)))</f>
        <v/>
      </c>
      <c r="GB22" s="125">
        <f>IF(OR(GB$4="",$B22=""),0,SUMIF('DADOS BRUTOS'!$A$3:$A$500,$B22,'DADOS BRUTOS'!DB$3:DB$500)+IF($C22="",0,SUMIF('DADOS BRUTOS'!$A$3:$A$500,$C22,'DADOS BRUTOS'!DB$3:DB$500)))</f>
        <v/>
      </c>
      <c r="GC22" s="125">
        <f>IF(OR(GC$4="",$B22=""),0,SUMIF('DADOS BRUTOS'!$A$3:$A$500,$B22,'DADOS BRUTOS'!DC$3:DC$500)+IF($C22="",0,SUMIF('DADOS BRUTOS'!$A$3:$A$500,$C22,'DADOS BRUTOS'!DC$3:DC$500)))</f>
        <v/>
      </c>
      <c r="GD22" s="125">
        <f>IF(OR(GD$4="",$B22=""),0,SUMIF('DADOS BRUTOS'!$A$3:$A$500,$B22,'DADOS BRUTOS'!DD$3:DD$500)+IF($C22="",0,SUMIF('DADOS BRUTOS'!$A$3:$A$500,$C22,'DADOS BRUTOS'!DD$3:DD$500)))</f>
        <v/>
      </c>
      <c r="GE22" s="125">
        <f>IF(OR(GE$4="",$B22=""),0,SUMIF('DADOS BRUTOS'!$A$3:$A$500,$B22,'DADOS BRUTOS'!DE$3:DE$500)+IF($C22="",0,SUMIF('DADOS BRUTOS'!$A$3:$A$500,$C22,'DADOS BRUTOS'!DE$3:DE$500)))</f>
        <v/>
      </c>
      <c r="GF22" s="125">
        <f>IF(OR(GF$4="",$B22=""),0,SUMIF('DADOS BRUTOS'!$A$3:$A$500,$B22,'DADOS BRUTOS'!DF$3:DF$500)+IF($C22="",0,SUMIF('DADOS BRUTOS'!$A$3:$A$500,$C22,'DADOS BRUTOS'!DF$3:DF$500)))</f>
        <v/>
      </c>
      <c r="GG22" s="125">
        <f>IF(OR(GG$4="",$B22=""),0,SUMIF('DADOS BRUTOS'!$A$3:$A$500,$B22,'DADOS BRUTOS'!DG$3:DG$500)+IF($C22="",0,SUMIF('DADOS BRUTOS'!$A$3:$A$500,$C22,'DADOS BRUTOS'!DG$3:DG$500)))</f>
        <v/>
      </c>
      <c r="GH22" s="125">
        <f>IF(OR(GH$4="",$B22=""),0,SUMIF('DADOS BRUTOS'!$A$3:$A$500,$B22,'DADOS BRUTOS'!DH$3:DH$500)+IF($C22="",0,SUMIF('DADOS BRUTOS'!$A$3:$A$500,$C22,'DADOS BRUTOS'!DH$3:DH$500)))</f>
        <v/>
      </c>
      <c r="GI22" s="125">
        <f>IF(OR(GI$4="",$B22=""),0,SUMIF('DADOS BRUTOS'!$A$3:$A$500,$B22,'DADOS BRUTOS'!DI$3:DI$500)+IF($C22="",0,SUMIF('DADOS BRUTOS'!$A$3:$A$500,$C22,'DADOS BRUTOS'!DI$3:DI$500)))</f>
        <v/>
      </c>
      <c r="GJ22" s="125">
        <f>IF(OR(GJ$4="",$B22=""),0,SUMIF('DADOS BRUTOS'!$A$3:$A$500,$B22,'DADOS BRUTOS'!DJ$3:DJ$500)+IF($C22="",0,SUMIF('DADOS BRUTOS'!$A$3:$A$500,$C22,'DADOS BRUTOS'!DJ$3:DJ$500)))</f>
        <v/>
      </c>
      <c r="GK22" s="125">
        <f>IF(OR(GK$4="",$B22=""),0,SUMIF('DADOS BRUTOS'!$A$3:$A$500,$B22,'DADOS BRUTOS'!DK$3:DK$500)+IF($C22="",0,SUMIF('DADOS BRUTOS'!$A$3:$A$500,$C22,'DADOS BRUTOS'!DK$3:DK$500)))</f>
        <v/>
      </c>
      <c r="GL22" s="125">
        <f>IF(OR(GL$4="",$B22=""),0,SUMIF('DADOS BRUTOS'!$A$3:$A$500,$B22,'DADOS BRUTOS'!DL$3:DL$500)+IF($C22="",0,SUMIF('DADOS BRUTOS'!$A$3:$A$500,$C22,'DADOS BRUTOS'!DL$3:DL$500)))</f>
        <v/>
      </c>
      <c r="GM22" s="125">
        <f>IF(OR(GM$4="",$B22=""),0,SUMIF('DADOS BRUTOS'!$A$3:$A$500,$B22,'DADOS BRUTOS'!DM$3:DM$500)+IF($C22="",0,SUMIF('DADOS BRUTOS'!$A$3:$A$500,$C22,'DADOS BRUTOS'!DM$3:DM$500)))</f>
        <v/>
      </c>
      <c r="GN22" s="125">
        <f>IF(OR(GN$4="",$B22=""),0,SUMIF('DADOS BRUTOS'!$A$3:$A$500,$B22,'DADOS BRUTOS'!DN$3:DN$500)+IF($C22="",0,SUMIF('DADOS BRUTOS'!$A$3:$A$500,$C22,'DADOS BRUTOS'!DN$3:DN$500)))</f>
        <v/>
      </c>
      <c r="GO22" s="125">
        <f>IF(OR(GO$4="",$B22=""),0,SUMIF('DADOS BRUTOS'!$A$3:$A$500,$B22,'DADOS BRUTOS'!DO$3:DO$500)+IF($C22="",0,SUMIF('DADOS BRUTOS'!$A$3:$A$500,$C22,'DADOS BRUTOS'!DO$3:DO$500)))</f>
        <v/>
      </c>
      <c r="GP22" s="125">
        <f>IF(OR(GP$4="",$B22=""),0,SUMIF('DADOS BRUTOS'!$A$3:$A$500,$B22,'DADOS BRUTOS'!DP$3:DP$500)+IF($C22="",0,SUMIF('DADOS BRUTOS'!$A$3:$A$500,$C22,'DADOS BRUTOS'!DP$3:DP$500)))</f>
        <v/>
      </c>
      <c r="GQ22" s="125">
        <f>IF(OR(GQ$4="",$B22=""),0,SUMIF('DADOS BRUTOS'!$A$3:$A$500,$B22,'DADOS BRUTOS'!DQ$3:DQ$500)+IF($C22="",0,SUMIF('DADOS BRUTOS'!$A$3:$A$500,$C22,'DADOS BRUTOS'!DQ$3:DQ$500)))</f>
        <v/>
      </c>
      <c r="GR22" s="125">
        <f>IF(OR(GR$4="",$B22=""),0,SUMIF('DADOS BRUTOS'!$A$3:$A$500,$B22,'DADOS BRUTOS'!DR$3:DR$500)+IF($C22="",0,SUMIF('DADOS BRUTOS'!$A$3:$A$500,$C22,'DADOS BRUTOS'!DR$3:DR$500)))</f>
        <v/>
      </c>
      <c r="GS22" s="125">
        <f>IF(OR(GS$4="",$B22=""),0,SUMIF('DADOS BRUTOS'!$A$3:$A$500,$B22,'DADOS BRUTOS'!DS$3:DS$500)+IF($C22="",0,SUMIF('DADOS BRUTOS'!$A$3:$A$500,$C22,'DADOS BRUTOS'!DS$3:DS$500)))</f>
        <v/>
      </c>
      <c r="GT22" s="125">
        <f>IF(OR(GT$4="",$B22=""),0,SUMIF('DADOS BRUTOS'!$A$3:$A$500,$B22,'DADOS BRUTOS'!DT$3:DT$500)+IF($C22="",0,SUMIF('DADOS BRUTOS'!$A$3:$A$500,$C22,'DADOS BRUTOS'!DT$3:DT$500)))</f>
        <v/>
      </c>
      <c r="GU22" s="125">
        <f>IF(OR(GU$4="",$B22=""),0,SUMIF('DADOS BRUTOS'!$A$3:$A$500,$B22,'DADOS BRUTOS'!DU$3:DU$500)+IF($C22="",0,SUMIF('DADOS BRUTOS'!$A$3:$A$500,$C22,'DADOS BRUTOS'!DU$3:DU$500)))</f>
        <v/>
      </c>
      <c r="GV22" s="125">
        <f>IF(OR(GV$4="",$B22=""),0,SUMIF('DADOS BRUTOS'!$A$3:$A$500,$B22,'DADOS BRUTOS'!DV$3:DV$500)+IF($C22="",0,SUMIF('DADOS BRUTOS'!$A$3:$A$500,$C22,'DADOS BRUTOS'!DV$3:DV$500)))</f>
        <v/>
      </c>
      <c r="GW22" s="125">
        <f>IF(OR(GW$4="",$B22=""),0,SUMIF('DADOS BRUTOS'!$A$3:$A$500,$B22,'DADOS BRUTOS'!DW$3:DW$500)+IF($C22="",0,SUMIF('DADOS BRUTOS'!$A$3:$A$500,$C22,'DADOS BRUTOS'!DW$3:DW$500)))</f>
        <v/>
      </c>
      <c r="GX22" s="125">
        <f>IF(OR(GX$4="",$B22=""),0,SUMIF('DADOS BRUTOS'!$A$3:$A$500,$B22,'DADOS BRUTOS'!DX$3:DX$500)+IF($C22="",0,SUMIF('DADOS BRUTOS'!$A$3:$A$500,$C22,'DADOS BRUTOS'!DX$3:DX$500)))</f>
        <v/>
      </c>
      <c r="GY22" s="125">
        <f>IF(OR(GY$4="",$B22=""),0,SUMIF('DADOS BRUTOS'!$A$3:$A$500,$B22,'DADOS BRUTOS'!DY$3:DY$500)+IF($C22="",0,SUMIF('DADOS BRUTOS'!$A$3:$A$500,$C22,'DADOS BRUTOS'!DY$3:DY$500)))</f>
        <v/>
      </c>
      <c r="GZ22" s="125">
        <f>IF(OR(GZ$4="",$B22=""),0,SUMIF('DADOS BRUTOS'!$A$3:$A$500,$B22,'DADOS BRUTOS'!DZ$3:DZ$500)+IF($C22="",0,SUMIF('DADOS BRUTOS'!$A$3:$A$500,$C22,'DADOS BRUTOS'!DZ$3:DZ$500)))</f>
        <v/>
      </c>
      <c r="HA22" s="125">
        <f>IF(OR(HA$4="",$B22=""),0,SUMIF('DADOS BRUTOS'!$A$3:$A$500,$B22,'DADOS BRUTOS'!EA$3:EA$500)+IF($C22="",0,SUMIF('DADOS BRUTOS'!$A$3:$A$500,$C22,'DADOS BRUTOS'!EA$3:EA$500)))</f>
        <v/>
      </c>
      <c r="HB22" s="125">
        <f>IF(OR(HB$4="",$B22=""),0,SUMIF('DADOS BRUTOS'!$A$3:$A$500,$B22,'DADOS BRUTOS'!EB$3:EB$500)+IF($C22="",0,SUMIF('DADOS BRUTOS'!$A$3:$A$500,$C22,'DADOS BRUTOS'!EB$3:EB$500)))</f>
        <v/>
      </c>
      <c r="HC22" s="125">
        <f>IF(OR(HC$4="",$B22=""),0,SUMIF('DADOS BRUTOS'!$A$3:$A$500,$B22,'DADOS BRUTOS'!EC$3:EC$500)+IF($C22="",0,SUMIF('DADOS BRUTOS'!$A$3:$A$500,$C22,'DADOS BRUTOS'!EC$3:EC$500)))</f>
        <v/>
      </c>
      <c r="HD22" s="125">
        <f>IF(OR(HD$4="",$B22=""),0,SUMIF('DADOS BRUTOS'!$A$3:$A$500,$B22,'DADOS BRUTOS'!ED$3:ED$500)+IF($C22="",0,SUMIF('DADOS BRUTOS'!$A$3:$A$500,$C22,'DADOS BRUTOS'!ED$3:ED$500)))</f>
        <v/>
      </c>
      <c r="HE22" s="125">
        <f>IF(OR(HE$4="",$B22=""),0,SUMIF('DADOS BRUTOS'!$A$3:$A$500,$B22,'DADOS BRUTOS'!EE$3:EE$500)+IF($C22="",0,SUMIF('DADOS BRUTOS'!$A$3:$A$500,$C22,'DADOS BRUTOS'!EE$3:EE$500)))</f>
        <v/>
      </c>
      <c r="HF22" s="125">
        <f>IF(OR(HF$4="",$B22=""),0,SUMIF('DADOS BRUTOS'!$A$3:$A$500,$B22,'DADOS BRUTOS'!EF$3:EF$500)+IF($C22="",0,SUMIF('DADOS BRUTOS'!$A$3:$A$500,$C22,'DADOS BRUTOS'!EF$3:EF$500)))</f>
        <v/>
      </c>
      <c r="HG22" s="125">
        <f>IF(OR(HG$4="",$B22=""),0,SUMIF('DADOS BRUTOS'!$A$3:$A$500,$B22,'DADOS BRUTOS'!EG$3:EG$500)+IF($C22="",0,SUMIF('DADOS BRUTOS'!$A$3:$A$500,$C22,'DADOS BRUTOS'!EG$3:EG$500)))</f>
        <v/>
      </c>
      <c r="HH22" s="125">
        <f>IF(OR(HH$4="",$B22=""),0,SUMIF('DADOS BRUTOS'!$A$3:$A$500,$B22,'DADOS BRUTOS'!EH$3:EH$500)+IF($C22="",0,SUMIF('DADOS BRUTOS'!$A$3:$A$500,$C22,'DADOS BRUTOS'!EH$3:EH$500)))</f>
        <v/>
      </c>
      <c r="HI22" s="125">
        <f>IF(OR(HI$4="",$B22=""),0,SUMIF('DADOS BRUTOS'!$A$3:$A$500,$B22,'DADOS BRUTOS'!EI$3:EI$500)+IF($C22="",0,SUMIF('DADOS BRUTOS'!$A$3:$A$500,$C22,'DADOS BRUTOS'!EI$3:EI$500)))</f>
        <v/>
      </c>
      <c r="HJ22" s="125">
        <f>IF(OR(HJ$4="",$B22=""),0,SUMIF('DADOS BRUTOS'!$A$3:$A$500,$B22,'DADOS BRUTOS'!EJ$3:EJ$500)+IF($C22="",0,SUMIF('DADOS BRUTOS'!$A$3:$A$500,$C22,'DADOS BRUTOS'!EJ$3:EJ$500)))</f>
        <v/>
      </c>
      <c r="HK22" s="125">
        <f>IF(OR(HK$4="",$B22=""),0,SUMIF('DADOS BRUTOS'!$A$3:$A$500,$B22,'DADOS BRUTOS'!EK$3:EK$500)+IF($C22="",0,SUMIF('DADOS BRUTOS'!$A$3:$A$500,$C22,'DADOS BRUTOS'!EK$3:EK$500)))</f>
        <v/>
      </c>
      <c r="HL22" s="125">
        <f>IF(OR(HL$4="",$B22=""),0,SUMIF('DADOS BRUTOS'!$A$3:$A$500,$B22,'DADOS BRUTOS'!EL$3:EL$500)+IF($C22="",0,SUMIF('DADOS BRUTOS'!$A$3:$A$500,$C22,'DADOS BRUTOS'!EL$3:EL$500)))</f>
        <v/>
      </c>
      <c r="HM22" s="125">
        <f>IF(OR(HM$4="",$B22=""),0,SUMIF('DADOS BRUTOS'!$A$3:$A$500,$B22,'DADOS BRUTOS'!EM$3:EM$500)+IF($C22="",0,SUMIF('DADOS BRUTOS'!$A$3:$A$500,$C22,'DADOS BRUTOS'!EM$3:EM$500)))</f>
        <v/>
      </c>
      <c r="HN22" s="125">
        <f>IF(OR(HN$4="",$B22=""),0,SUMIF('DADOS BRUTOS'!$A$3:$A$500,$B22,'DADOS BRUTOS'!EN$3:EN$500)+IF($C22="",0,SUMIF('DADOS BRUTOS'!$A$3:$A$500,$C22,'DADOS BRUTOS'!EN$3:EN$500)))</f>
        <v/>
      </c>
      <c r="HO22" s="125">
        <f>IF(OR(HO$4="",$B22=""),0,SUMIF('DADOS BRUTOS'!$A$3:$A$500,$B22,'DADOS BRUTOS'!EO$3:EO$500)+IF($C22="",0,SUMIF('DADOS BRUTOS'!$A$3:$A$500,$C22,'DADOS BRUTOS'!EO$3:EO$500)))</f>
        <v/>
      </c>
      <c r="HP22" s="125">
        <f>IF(OR(HP$4="",$B22=""),0,SUMIF('DADOS BRUTOS'!$A$3:$A$500,$B22,'DADOS BRUTOS'!EP$3:EP$500)+IF($C22="",0,SUMIF('DADOS BRUTOS'!$A$3:$A$500,$C22,'DADOS BRUTOS'!EP$3:EP$500)))</f>
        <v/>
      </c>
      <c r="HQ22" s="125">
        <f>IF(OR(HQ$4="",$B22=""),0,SUMIF('DADOS BRUTOS'!$A$3:$A$500,$B22,'DADOS BRUTOS'!EQ$3:EQ$500)+IF($C22="",0,SUMIF('DADOS BRUTOS'!$A$3:$A$500,$C22,'DADOS BRUTOS'!EQ$3:EQ$500)))</f>
        <v/>
      </c>
      <c r="HR22" s="125">
        <f>IF(OR(HR$4="",$B22=""),0,SUMIF('DADOS BRUTOS'!$A$3:$A$500,$B22,'DADOS BRUTOS'!ER$3:ER$500)+IF($C22="",0,SUMIF('DADOS BRUTOS'!$A$3:$A$500,$C22,'DADOS BRUTOS'!ER$3:ER$500)))</f>
        <v/>
      </c>
      <c r="HS22" s="125">
        <f>IF(OR(HS$4="",$B22=""),0,SUMIF('DADOS BRUTOS'!$A$3:$A$500,$B22,'DADOS BRUTOS'!ES$3:ES$500)+IF($C22="",0,SUMIF('DADOS BRUTOS'!$A$3:$A$500,$C22,'DADOS BRUTOS'!ES$3:ES$500)))</f>
        <v/>
      </c>
      <c r="HT22" s="125">
        <f>IF(OR(HT$4="",$B22=""),0,SUMIF('DADOS BRUTOS'!$A$3:$A$500,$B22,'DADOS BRUTOS'!ET$3:ET$500)+IF($C22="",0,SUMIF('DADOS BRUTOS'!$A$3:$A$500,$C22,'DADOS BRUTOS'!ET$3:ET$500)))</f>
        <v/>
      </c>
      <c r="HU22" s="125">
        <f>IF(OR(HU$4="",$B22=""),0,SUMIF('DADOS BRUTOS'!$A$3:$A$500,$B22,'DADOS BRUTOS'!EU$3:EU$500)+IF($C22="",0,SUMIF('DADOS BRUTOS'!$A$3:$A$500,$C22,'DADOS BRUTOS'!EU$3:EU$500)))</f>
        <v/>
      </c>
      <c r="HV22" s="125">
        <f>IF(OR(HV$4="",$B22=""),0,SUMIF('DADOS BRUTOS'!$A$3:$A$500,$B22,'DADOS BRUTOS'!EV$3:EV$500)+IF($C22="",0,SUMIF('DADOS BRUTOS'!$A$3:$A$500,$C22,'DADOS BRUTOS'!EV$3:EV$500)))</f>
        <v/>
      </c>
      <c r="HW22" s="125">
        <f>IF(OR(HW$4="",$B22=""),0,SUMIF('DADOS BRUTOS'!$A$3:$A$500,$B22,'DADOS BRUTOS'!EW$3:EW$500)+IF($C22="",0,SUMIF('DADOS BRUTOS'!$A$3:$A$500,$C22,'DADOS BRUTOS'!EW$3:EW$500)))</f>
        <v/>
      </c>
      <c r="HX22" s="125">
        <f>IF(OR(HX$4="",$B22=""),0,SUMIF('DADOS BRUTOS'!$A$3:$A$500,$B22,'DADOS BRUTOS'!EX$3:EX$500)+IF($C22="",0,SUMIF('DADOS BRUTOS'!$A$3:$A$500,$C22,'DADOS BRUTOS'!EX$3:EX$500)))</f>
        <v/>
      </c>
      <c r="HY22" s="125">
        <f>IF(OR(HY$4="",$B22=""),0,SUMIF('DADOS BRUTOS'!$A$3:$A$500,$B22,'DADOS BRUTOS'!EY$3:EY$500)+IF($C22="",0,SUMIF('DADOS BRUTOS'!$A$3:$A$500,$C22,'DADOS BRUTOS'!EY$3:EY$500)))</f>
        <v/>
      </c>
      <c r="HZ22" s="125">
        <f>IF(OR(HZ$4="",$B22=""),0,SUMIF('DADOS BRUTOS'!$A$3:$A$500,$B22,'DADOS BRUTOS'!EZ$3:EZ$500)+IF($C22="",0,SUMIF('DADOS BRUTOS'!$A$3:$A$500,$C22,'DADOS BRUTOS'!EZ$3:EZ$500)))</f>
        <v/>
      </c>
      <c r="IA22" s="125">
        <f>IF(OR(IA$4="",$B22=""),0,SUMIF('DADOS BRUTOS'!$A$3:$A$500,$B22,'DADOS BRUTOS'!FA$3:FA$500)+IF($C22="",0,SUMIF('DADOS BRUTOS'!$A$3:$A$500,$C22,'DADOS BRUTOS'!FA$3:FA$500)))</f>
        <v/>
      </c>
      <c r="IB22" s="125">
        <f>IF(OR(IB$4="",$B22=""),0,SUMIF('DADOS BRUTOS'!$A$3:$A$500,$B22,'DADOS BRUTOS'!FB$3:FB$500)+IF($C22="",0,SUMIF('DADOS BRUTOS'!$A$3:$A$500,$C22,'DADOS BRUTOS'!FB$3:FB$500)))</f>
        <v/>
      </c>
      <c r="IC22" s="125">
        <f>IF(OR(IC$4="",$B22=""),0,SUMIF('DADOS BRUTOS'!$A$3:$A$500,$B22,'DADOS BRUTOS'!FC$3:FC$500)+IF($C22="",0,SUMIF('DADOS BRUTOS'!$A$3:$A$500,$C22,'DADOS BRUTOS'!FC$3:FC$500)))</f>
        <v/>
      </c>
      <c r="ID22" s="125">
        <f>IF(OR(ID$4="",$B22=""),0,SUMIF('DADOS BRUTOS'!$A$3:$A$500,$B22,'DADOS BRUTOS'!FD$3:FD$500)+IF($C22="",0,SUMIF('DADOS BRUTOS'!$A$3:$A$500,$C22,'DADOS BRUTOS'!FD$3:FD$500)))</f>
        <v/>
      </c>
      <c r="IE22" s="125">
        <f>IF(OR(IE$4="",$B22=""),0,SUMIF('DADOS BRUTOS'!$A$3:$A$500,$B22,'DADOS BRUTOS'!FE$3:FE$500)+IF($C22="",0,SUMIF('DADOS BRUTOS'!$A$3:$A$500,$C22,'DADOS BRUTOS'!FE$3:FE$500)))</f>
        <v/>
      </c>
      <c r="IF22" s="125">
        <f>IF(OR(IF$4="",$B22=""),0,SUMIF('DADOS BRUTOS'!$A$3:$A$500,$B22,'DADOS BRUTOS'!FF$3:FF$500)+IF($C22="",0,SUMIF('DADOS BRUTOS'!$A$3:$A$500,$C22,'DADOS BRUTOS'!FF$3:FF$500)))</f>
        <v/>
      </c>
      <c r="IG22" s="125">
        <f>IF(OR(IG$4="",$B22=""),0,SUMIF('DADOS BRUTOS'!$A$3:$A$500,$B22,'DADOS BRUTOS'!FG$3:FG$500)+IF($C22="",0,SUMIF('DADOS BRUTOS'!$A$3:$A$500,$C22,'DADOS BRUTOS'!FG$3:FG$500)))</f>
        <v/>
      </c>
      <c r="IH22" s="125">
        <f>IF(OR(IH$4="",$B22=""),0,SUMIF('DADOS BRUTOS'!$A$3:$A$500,$B22,'DADOS BRUTOS'!FH$3:FH$500)+IF($C22="",0,SUMIF('DADOS BRUTOS'!$A$3:$A$500,$C22,'DADOS BRUTOS'!FH$3:FH$500)))</f>
        <v/>
      </c>
      <c r="II22" s="125">
        <f>IF(OR(II$4="",$B22=""),0,SUMIF('DADOS BRUTOS'!$A$3:$A$500,$B22,'DADOS BRUTOS'!FI$3:FI$500)+IF($C22="",0,SUMIF('DADOS BRUTOS'!$A$3:$A$500,$C22,'DADOS BRUTOS'!FI$3:FI$500)))</f>
        <v/>
      </c>
      <c r="IJ22" s="125">
        <f>IF(OR(IJ$4="",$B22=""),0,SUMIF('DADOS BRUTOS'!$A$3:$A$500,$B22,'DADOS BRUTOS'!FJ$3:FJ$500)+IF($C22="",0,SUMIF('DADOS BRUTOS'!$A$3:$A$500,$C22,'DADOS BRUTOS'!FJ$3:FJ$500)))</f>
        <v/>
      </c>
      <c r="IK22" s="125">
        <f>IF(OR(IK$4="",$B22=""),0,SUMIF('DADOS BRUTOS'!$A$3:$A$500,$B22,'DADOS BRUTOS'!FK$3:FK$500)+IF($C22="",0,SUMIF('DADOS BRUTOS'!$A$3:$A$500,$C22,'DADOS BRUTOS'!FK$3:FK$500)))</f>
        <v/>
      </c>
      <c r="IL22" s="125">
        <f>IF(OR(IL$4="",$B22=""),0,SUMIF('DADOS BRUTOS'!$A$3:$A$500,$B22,'DADOS BRUTOS'!FL$3:FL$500)+IF($C22="",0,SUMIF('DADOS BRUTOS'!$A$3:$A$500,$C22,'DADOS BRUTOS'!FL$3:FL$500)))</f>
        <v/>
      </c>
      <c r="IM22" s="125">
        <f>IF(OR(IM$4="",$B22=""),0,SUMIF('DADOS BRUTOS'!$A$3:$A$500,$B22,'DADOS BRUTOS'!FM$3:FM$500)+IF($C22="",0,SUMIF('DADOS BRUTOS'!$A$3:$A$500,$C22,'DADOS BRUTOS'!FM$3:FM$500)))</f>
        <v/>
      </c>
      <c r="IN22" s="125">
        <f>IF(OR(IN$4="",$B22=""),0,SUMIF('DADOS BRUTOS'!$A$3:$A$500,$B22,'DADOS BRUTOS'!FN$3:FN$500)+IF($C22="",0,SUMIF('DADOS BRUTOS'!$A$3:$A$500,$C22,'DADOS BRUTOS'!FN$3:FN$500)))</f>
        <v/>
      </c>
      <c r="IO22" s="125">
        <f>IF(OR(IO$4="",$B22=""),0,SUMIF('DADOS BRUTOS'!$A$3:$A$500,$B22,'DADOS BRUTOS'!FO$3:FO$500)+IF($C22="",0,SUMIF('DADOS BRUTOS'!$A$3:$A$500,$C22,'DADOS BRUTOS'!FO$3:FO$500)))</f>
        <v/>
      </c>
      <c r="IP22" s="125">
        <f>IF(OR(IP$4="",$B22=""),0,SUMIF('DADOS BRUTOS'!$A$3:$A$500,$B22,'DADOS BRUTOS'!FP$3:FP$500)+IF($C22="",0,SUMIF('DADOS BRUTOS'!$A$3:$A$500,$C22,'DADOS BRUTOS'!FP$3:FP$500)))</f>
        <v/>
      </c>
      <c r="IQ22" s="125">
        <f>IF(OR(IQ$4="",$B22=""),0,SUMIF('DADOS BRUTOS'!$A$3:$A$500,$B22,'DADOS BRUTOS'!FQ$3:FQ$500)+IF($C22="",0,SUMIF('DADOS BRUTOS'!$A$3:$A$500,$C22,'DADOS BRUTOS'!FQ$3:FQ$500)))</f>
        <v/>
      </c>
      <c r="IR22" s="125">
        <f>IF(OR(IR$4="",$B22=""),0,SUMIF('DADOS BRUTOS'!$A$3:$A$500,$B22,'DADOS BRUTOS'!FR$3:FR$500)+IF($C22="",0,SUMIF('DADOS BRUTOS'!$A$3:$A$500,$C22,'DADOS BRUTOS'!FR$3:FR$500)))</f>
        <v/>
      </c>
      <c r="IS22" s="125">
        <f>IF(OR(IS$4="",$B22=""),0,SUMIF('DADOS BRUTOS'!$A$3:$A$500,$B22,'DADOS BRUTOS'!FS$3:FS$500)+IF($C22="",0,SUMIF('DADOS BRUTOS'!$A$3:$A$500,$C22,'DADOS BRUTOS'!FS$3:FS$500)))</f>
        <v/>
      </c>
      <c r="IT22" s="125">
        <f>IF(OR(IT$4="",$B22=""),0,SUMIF('DADOS BRUTOS'!$A$3:$A$500,$B22,'DADOS BRUTOS'!FT$3:FT$500)+IF($C22="",0,SUMIF('DADOS BRUTOS'!$A$3:$A$500,$C22,'DADOS BRUTOS'!FT$3:FT$500)))</f>
        <v/>
      </c>
      <c r="IU22" s="125">
        <f>IF(OR(IU$4="",$B22=""),0,SUMIF('DADOS BRUTOS'!$A$3:$A$500,$B22,'DADOS BRUTOS'!FU$3:FU$500)+IF($C22="",0,SUMIF('DADOS BRUTOS'!$A$3:$A$500,$C22,'DADOS BRUTOS'!FU$3:FU$500)))</f>
        <v/>
      </c>
      <c r="IV22" s="125">
        <f>IF(OR(IV$4="",$B22=""),0,SUMIF('DADOS BRUTOS'!$A$3:$A$500,$B22,'DADOS BRUTOS'!FV$3:FV$500)+IF($C22="",0,SUMIF('DADOS BRUTOS'!$A$3:$A$500,$C22,'DADOS BRUTOS'!FV$3:FV$500)))</f>
        <v/>
      </c>
      <c r="IW22" s="125">
        <f>IF(OR(IW$4="",$B22=""),0,SUMIF('DADOS BRUTOS'!$A$3:$A$500,$B22,'DADOS BRUTOS'!FW$3:FW$500)+IF($C22="",0,SUMIF('DADOS BRUTOS'!$A$3:$A$500,$C22,'DADOS BRUTOS'!FW$3:FW$500)))</f>
        <v/>
      </c>
      <c r="IX22" s="125">
        <f>IF(OR(IX$4="",$B22=""),0,SUMIF('DADOS BRUTOS'!$A$3:$A$500,$B22,'DADOS BRUTOS'!FX$3:FX$500)+IF($C22="",0,SUMIF('DADOS BRUTOS'!$A$3:$A$500,$C22,'DADOS BRUTOS'!FX$3:FX$500)))</f>
        <v/>
      </c>
      <c r="IY22" s="125">
        <f>IF(OR(IY$4="",$B22=""),0,SUMIF('DADOS BRUTOS'!$A$3:$A$500,$B22,'DADOS BRUTOS'!FY$3:FY$500)+IF($C22="",0,SUMIF('DADOS BRUTOS'!$A$3:$A$500,$C22,'DADOS BRUTOS'!FY$3:FY$500)))</f>
        <v/>
      </c>
      <c r="IZ22" s="125">
        <f>IF(OR(IZ$4="",$B22=""),0,SUMIF('DADOS BRUTOS'!$A$3:$A$500,$B22,'DADOS BRUTOS'!FZ$3:FZ$500)+IF($C22="",0,SUMIF('DADOS BRUTOS'!$A$3:$A$500,$C22,'DADOS BRUTOS'!FZ$3:FZ$500)))</f>
        <v/>
      </c>
      <c r="JA22" s="125">
        <f>IF(OR(JA$4="",$B22=""),0,SUMIF('DADOS BRUTOS'!$A$3:$A$500,$B22,'DADOS BRUTOS'!GA$3:GA$500)+IF($C22="",0,SUMIF('DADOS BRUTOS'!$A$3:$A$500,$C22,'DADOS BRUTOS'!GA$3:GA$500)))</f>
        <v/>
      </c>
      <c r="JB22" s="125">
        <f>IF(OR(JB$4="",$B22=""),0,SUMIF('DADOS BRUTOS'!$A$3:$A$500,$B22,'DADOS BRUTOS'!GB$3:GB$500)+IF($C22="",0,SUMIF('DADOS BRUTOS'!$A$3:$A$500,$C22,'DADOS BRUTOS'!GB$3:GB$500)))</f>
        <v/>
      </c>
      <c r="JC22" s="125">
        <f>IF(OR(JC$4="",$B22=""),0,SUMIF('DADOS BRUTOS'!$A$3:$A$500,$B22,'DADOS BRUTOS'!GC$3:GC$500)+IF($C22="",0,SUMIF('DADOS BRUTOS'!$A$3:$A$500,$C22,'DADOS BRUTOS'!GC$3:GC$500)))</f>
        <v/>
      </c>
      <c r="JD22" s="125">
        <f>IF(OR(JD$4="",$B22=""),0,SUMIF('DADOS BRUTOS'!$A$3:$A$500,$B22,'DADOS BRUTOS'!GD$3:GD$500)+IF($C22="",0,SUMIF('DADOS BRUTOS'!$A$3:$A$500,$C22,'DADOS BRUTOS'!GD$3:GD$500)))</f>
        <v/>
      </c>
      <c r="JE22" s="125">
        <f>IF(OR(JE$4="",$B22=""),0,SUMIF('DADOS BRUTOS'!$A$3:$A$500,$B22,'DADOS BRUTOS'!GE$3:GE$500)+IF($C22="",0,SUMIF('DADOS BRUTOS'!$A$3:$A$500,$C22,'DADOS BRUTOS'!GE$3:GE$500)))</f>
        <v/>
      </c>
      <c r="JF22" s="125">
        <f>IF(OR(JF$4="",$B22=""),0,SUMIF('DADOS BRUTOS'!$A$3:$A$500,$B22,'DADOS BRUTOS'!GF$3:GF$500)+IF($C22="",0,SUMIF('DADOS BRUTOS'!$A$3:$A$500,$C22,'DADOS BRUTOS'!GF$3:GF$500)))</f>
        <v/>
      </c>
      <c r="JG22" s="125">
        <f>IF(OR(JG$4="",$B22=""),0,SUMIF('DADOS BRUTOS'!$A$3:$A$500,$B22,'DADOS BRUTOS'!GG$3:GG$500)+IF($C22="",0,SUMIF('DADOS BRUTOS'!$A$3:$A$500,$C22,'DADOS BRUTOS'!GG$3:GG$500)))</f>
        <v/>
      </c>
      <c r="JH22" s="125">
        <f>IF(OR(JH$4="",$B22=""),0,SUMIF('DADOS BRUTOS'!$A$3:$A$500,$B22,'DADOS BRUTOS'!GH$3:GH$500)+IF($C22="",0,SUMIF('DADOS BRUTOS'!$A$3:$A$500,$C22,'DADOS BRUTOS'!GH$3:GH$500)))</f>
        <v/>
      </c>
      <c r="JI22" s="125">
        <f>IF(OR(JI$4="",$B22=""),0,SUMIF('DADOS BRUTOS'!$A$3:$A$500,$B22,'DADOS BRUTOS'!GI$3:GI$500)+IF($C22="",0,SUMIF('DADOS BRUTOS'!$A$3:$A$500,$C22,'DADOS BRUTOS'!GI$3:GI$500)))</f>
        <v/>
      </c>
      <c r="JJ22" s="125">
        <f>IF(OR(JJ$4="",$B22=""),0,SUMIF('DADOS BRUTOS'!$A$3:$A$500,$B22,'DADOS BRUTOS'!GJ$3:GJ$500)+IF($C22="",0,SUMIF('DADOS BRUTOS'!$A$3:$A$500,$C22,'DADOS BRUTOS'!GJ$3:GJ$500)))</f>
        <v/>
      </c>
      <c r="JK22" s="125">
        <f>IF(OR(JK$4="",$B22=""),0,SUMIF('DADOS BRUTOS'!$A$3:$A$500,$B22,'DADOS BRUTOS'!GK$3:GK$500)+IF($C22="",0,SUMIF('DADOS BRUTOS'!$A$3:$A$500,$C22,'DADOS BRUTOS'!GK$3:GK$500)))</f>
        <v/>
      </c>
      <c r="JL22" s="125">
        <f>IF(OR(JL$4="",$B22=""),0,SUMIF('DADOS BRUTOS'!$A$3:$A$500,$B22,'DADOS BRUTOS'!GL$3:GL$500)+IF($C22="",0,SUMIF('DADOS BRUTOS'!$A$3:$A$500,$C22,'DADOS BRUTOS'!GL$3:GL$500)))</f>
        <v/>
      </c>
      <c r="JM22" s="125">
        <f>IF(OR(JM$4="",$B22=""),0,SUMIF('DADOS BRUTOS'!$A$3:$A$500,$B22,'DADOS BRUTOS'!GM$3:GM$500)+IF($C22="",0,SUMIF('DADOS BRUTOS'!$A$3:$A$500,$C22,'DADOS BRUTOS'!GM$3:GM$500)))</f>
        <v/>
      </c>
      <c r="JN22" s="125">
        <f>IF(OR(JN$4="",$B22=""),0,SUMIF('DADOS BRUTOS'!$A$3:$A$500,$B22,'DADOS BRUTOS'!GN$3:GN$500)+IF($C22="",0,SUMIF('DADOS BRUTOS'!$A$3:$A$500,$C22,'DADOS BRUTOS'!GN$3:GN$500)))</f>
        <v/>
      </c>
      <c r="JO22" s="125">
        <f>IF(OR(JO$4="",$B22=""),0,SUMIF('DADOS BRUTOS'!$A$3:$A$500,$B22,'DADOS BRUTOS'!GO$3:GO$500)+IF($C22="",0,SUMIF('DADOS BRUTOS'!$A$3:$A$500,$C22,'DADOS BRUTOS'!GO$3:GO$500)))</f>
        <v/>
      </c>
      <c r="JP22" s="125">
        <f>IF(OR(JP$4="",$B22=""),0,SUMIF('DADOS BRUTOS'!$A$3:$A$500,$B22,'DADOS BRUTOS'!GP$3:GP$500)+IF($C22="",0,SUMIF('DADOS BRUTOS'!$A$3:$A$500,$C22,'DADOS BRUTOS'!GP$3:GP$500)))</f>
        <v/>
      </c>
      <c r="JQ22" s="125">
        <f>IF(OR(JQ$4="",$B22=""),0,SUMIF('DADOS BRUTOS'!$A$3:$A$500,$B22,'DADOS BRUTOS'!GQ$3:GQ$500)+IF($C22="",0,SUMIF('DADOS BRUTOS'!$A$3:$A$500,$C22,'DADOS BRUTOS'!GQ$3:GQ$500)))</f>
        <v/>
      </c>
      <c r="JR22" s="125">
        <f>IF(OR(JR$4="",$B22=""),0,SUMIF('DADOS BRUTOS'!$A$3:$A$500,$B22,'DADOS BRUTOS'!GR$3:GR$500)+IF($C22="",0,SUMIF('DADOS BRUTOS'!$A$3:$A$500,$C22,'DADOS BRUTOS'!GR$3:GR$500)))</f>
        <v/>
      </c>
      <c r="JS22" s="125">
        <f>IF(OR(JS$4="",$B22=""),0,SUMIF('DADOS BRUTOS'!$A$3:$A$500,$B22,'DADOS BRUTOS'!GS$3:GS$500)+IF($C22="",0,SUMIF('DADOS BRUTOS'!$A$3:$A$500,$C22,'DADOS BRUTOS'!GS$3:GS$500)))</f>
        <v/>
      </c>
    </row>
    <row r="23">
      <c r="A23" s="61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BZ23" s="49">
        <f>SUMPRODUCT(($CB$4:$JS$4&lt;&gt;"")*($CB$4:$JS$4&lt;=$D$4),$CB23:$JS23,$CB$1:$JS$1)</f>
        <v/>
      </c>
      <c r="CB23" s="125">
        <f>IF(OR(CB$4="",$B23=""),0,SUMIF('DADOS BRUTOS'!$A$3:$A$500,$B23,'DADOS BRUTOS'!B$3:B$500)+IF($C23="",0,SUMIF('DADOS BRUTOS'!$A$3:$A$500,$C23,'DADOS BRUTOS'!B$3:B$500)))</f>
        <v/>
      </c>
      <c r="CC23" s="125">
        <f>IF(OR(CC$4="",$B23=""),0,SUMIF('DADOS BRUTOS'!$A$3:$A$500,$B23,'DADOS BRUTOS'!C$3:C$500)+IF($C23="",0,SUMIF('DADOS BRUTOS'!$A$3:$A$500,$C23,'DADOS BRUTOS'!C$3:C$500)))</f>
        <v/>
      </c>
      <c r="CD23" s="125">
        <f>IF(OR(CD$4="",$B23=""),0,SUMIF('DADOS BRUTOS'!$A$3:$A$500,$B23,'DADOS BRUTOS'!D$3:D$500)+IF($C23="",0,SUMIF('DADOS BRUTOS'!$A$3:$A$500,$C23,'DADOS BRUTOS'!D$3:D$500)))</f>
        <v/>
      </c>
      <c r="CE23" s="125">
        <f>IF(OR(CE$4="",$B23=""),0,SUMIF('DADOS BRUTOS'!$A$3:$A$500,$B23,'DADOS BRUTOS'!E$3:E$500)+IF($C23="",0,SUMIF('DADOS BRUTOS'!$A$3:$A$500,$C23,'DADOS BRUTOS'!E$3:E$500)))</f>
        <v/>
      </c>
      <c r="CF23" s="125">
        <f>IF(OR(CF$4="",$B23=""),0,SUMIF('DADOS BRUTOS'!$A$3:$A$500,$B23,'DADOS BRUTOS'!F$3:F$500)+IF($C23="",0,SUMIF('DADOS BRUTOS'!$A$3:$A$500,$C23,'DADOS BRUTOS'!F$3:F$500)))</f>
        <v/>
      </c>
      <c r="CG23" s="125">
        <f>IF(OR(CG$4="",$B23=""),0,SUMIF('DADOS BRUTOS'!$A$3:$A$500,$B23,'DADOS BRUTOS'!G$3:G$500)+IF($C23="",0,SUMIF('DADOS BRUTOS'!$A$3:$A$500,$C23,'DADOS BRUTOS'!G$3:G$500)))</f>
        <v/>
      </c>
      <c r="CH23" s="125">
        <f>IF(OR(CH$4="",$B23=""),0,SUMIF('DADOS BRUTOS'!$A$3:$A$500,$B23,'DADOS BRUTOS'!H$3:H$500)+IF($C23="",0,SUMIF('DADOS BRUTOS'!$A$3:$A$500,$C23,'DADOS BRUTOS'!H$3:H$500)))</f>
        <v/>
      </c>
      <c r="CI23" s="125">
        <f>IF(OR(CI$4="",$B23=""),0,SUMIF('DADOS BRUTOS'!$A$3:$A$500,$B23,'DADOS BRUTOS'!I$3:I$500)+IF($C23="",0,SUMIF('DADOS BRUTOS'!$A$3:$A$500,$C23,'DADOS BRUTOS'!I$3:I$500)))</f>
        <v/>
      </c>
      <c r="CJ23" s="125">
        <f>IF(OR(CJ$4="",$B23=""),0,SUMIF('DADOS BRUTOS'!$A$3:$A$500,$B23,'DADOS BRUTOS'!J$3:J$500)+IF($C23="",0,SUMIF('DADOS BRUTOS'!$A$3:$A$500,$C23,'DADOS BRUTOS'!J$3:J$500)))</f>
        <v/>
      </c>
      <c r="CK23" s="125">
        <f>IF(OR(CK$4="",$B23=""),0,SUMIF('DADOS BRUTOS'!$A$3:$A$500,$B23,'DADOS BRUTOS'!K$3:K$500)+IF($C23="",0,SUMIF('DADOS BRUTOS'!$A$3:$A$500,$C23,'DADOS BRUTOS'!K$3:K$500)))</f>
        <v/>
      </c>
      <c r="CL23" s="125">
        <f>IF(OR(CL$4="",$B23=""),0,SUMIF('DADOS BRUTOS'!$A$3:$A$500,$B23,'DADOS BRUTOS'!L$3:L$500)+IF($C23="",0,SUMIF('DADOS BRUTOS'!$A$3:$A$500,$C23,'DADOS BRUTOS'!L$3:L$500)))</f>
        <v/>
      </c>
      <c r="CM23" s="125">
        <f>IF(OR(CM$4="",$B23=""),0,SUMIF('DADOS BRUTOS'!$A$3:$A$500,$B23,'DADOS BRUTOS'!M$3:M$500)+IF($C23="",0,SUMIF('DADOS BRUTOS'!$A$3:$A$500,$C23,'DADOS BRUTOS'!M$3:M$500)))</f>
        <v/>
      </c>
      <c r="CN23" s="125">
        <f>IF(OR(CN$4="",$B23=""),0,SUMIF('DADOS BRUTOS'!$A$3:$A$500,$B23,'DADOS BRUTOS'!N$3:N$500)+IF($C23="",0,SUMIF('DADOS BRUTOS'!$A$3:$A$500,$C23,'DADOS BRUTOS'!N$3:N$500)))</f>
        <v/>
      </c>
      <c r="CO23" s="125">
        <f>IF(OR(CO$4="",$B23=""),0,SUMIF('DADOS BRUTOS'!$A$3:$A$500,$B23,'DADOS BRUTOS'!O$3:O$500)+IF($C23="",0,SUMIF('DADOS BRUTOS'!$A$3:$A$500,$C23,'DADOS BRUTOS'!O$3:O$500)))</f>
        <v/>
      </c>
      <c r="CP23" s="125">
        <f>IF(OR(CP$4="",$B23=""),0,SUMIF('DADOS BRUTOS'!$A$3:$A$500,$B23,'DADOS BRUTOS'!P$3:P$500)+IF($C23="",0,SUMIF('DADOS BRUTOS'!$A$3:$A$500,$C23,'DADOS BRUTOS'!P$3:P$500)))</f>
        <v/>
      </c>
      <c r="CQ23" s="125">
        <f>IF(OR(CQ$4="",$B23=""),0,SUMIF('DADOS BRUTOS'!$A$3:$A$500,$B23,'DADOS BRUTOS'!Q$3:Q$500)+IF($C23="",0,SUMIF('DADOS BRUTOS'!$A$3:$A$500,$C23,'DADOS BRUTOS'!Q$3:Q$500)))</f>
        <v/>
      </c>
      <c r="CR23" s="125">
        <f>IF(OR(CR$4="",$B23=""),0,SUMIF('DADOS BRUTOS'!$A$3:$A$500,$B23,'DADOS BRUTOS'!R$3:R$500)+IF($C23="",0,SUMIF('DADOS BRUTOS'!$A$3:$A$500,$C23,'DADOS BRUTOS'!R$3:R$500)))</f>
        <v/>
      </c>
      <c r="CS23" s="125">
        <f>IF(OR(CS$4="",$B23=""),0,SUMIF('DADOS BRUTOS'!$A$3:$A$500,$B23,'DADOS BRUTOS'!S$3:S$500)+IF($C23="",0,SUMIF('DADOS BRUTOS'!$A$3:$A$500,$C23,'DADOS BRUTOS'!S$3:S$500)))</f>
        <v/>
      </c>
      <c r="CT23" s="125">
        <f>IF(OR(CT$4="",$B23=""),0,SUMIF('DADOS BRUTOS'!$A$3:$A$500,$B23,'DADOS BRUTOS'!T$3:T$500)+IF($C23="",0,SUMIF('DADOS BRUTOS'!$A$3:$A$500,$C23,'DADOS BRUTOS'!T$3:T$500)))</f>
        <v/>
      </c>
      <c r="CU23" s="125">
        <f>IF(OR(CU$4="",$B23=""),0,SUMIF('DADOS BRUTOS'!$A$3:$A$500,$B23,'DADOS BRUTOS'!U$3:U$500)+IF($C23="",0,SUMIF('DADOS BRUTOS'!$A$3:$A$500,$C23,'DADOS BRUTOS'!U$3:U$500)))</f>
        <v/>
      </c>
      <c r="CV23" s="125">
        <f>IF(OR(CV$4="",$B23=""),0,SUMIF('DADOS BRUTOS'!$A$3:$A$500,$B23,'DADOS BRUTOS'!V$3:V$500)+IF($C23="",0,SUMIF('DADOS BRUTOS'!$A$3:$A$500,$C23,'DADOS BRUTOS'!V$3:V$500)))</f>
        <v/>
      </c>
      <c r="CW23" s="125">
        <f>IF(OR(CW$4="",$B23=""),0,SUMIF('DADOS BRUTOS'!$A$3:$A$500,$B23,'DADOS BRUTOS'!W$3:W$500)+IF($C23="",0,SUMIF('DADOS BRUTOS'!$A$3:$A$500,$C23,'DADOS BRUTOS'!W$3:W$500)))</f>
        <v/>
      </c>
      <c r="CX23" s="125">
        <f>IF(OR(CX$4="",$B23=""),0,SUMIF('DADOS BRUTOS'!$A$3:$A$500,$B23,'DADOS BRUTOS'!X$3:X$500)+IF($C23="",0,SUMIF('DADOS BRUTOS'!$A$3:$A$500,$C23,'DADOS BRUTOS'!X$3:X$500)))</f>
        <v/>
      </c>
      <c r="CY23" s="125">
        <f>IF(OR(CY$4="",$B23=""),0,SUMIF('DADOS BRUTOS'!$A$3:$A$500,$B23,'DADOS BRUTOS'!Y$3:Y$500)+IF($C23="",0,SUMIF('DADOS BRUTOS'!$A$3:$A$500,$C23,'DADOS BRUTOS'!Y$3:Y$500)))</f>
        <v/>
      </c>
      <c r="CZ23" s="125">
        <f>IF(OR(CZ$4="",$B23=""),0,SUMIF('DADOS BRUTOS'!$A$3:$A$500,$B23,'DADOS BRUTOS'!Z$3:Z$500)+IF($C23="",0,SUMIF('DADOS BRUTOS'!$A$3:$A$500,$C23,'DADOS BRUTOS'!Z$3:Z$500)))</f>
        <v/>
      </c>
      <c r="DA23" s="125">
        <f>IF(OR(DA$4="",$B23=""),0,SUMIF('DADOS BRUTOS'!$A$3:$A$500,$B23,'DADOS BRUTOS'!AA$3:AA$500)+IF($C23="",0,SUMIF('DADOS BRUTOS'!$A$3:$A$500,$C23,'DADOS BRUTOS'!AA$3:AA$500)))</f>
        <v/>
      </c>
      <c r="DB23" s="125">
        <f>IF(OR(DB$4="",$B23=""),0,SUMIF('DADOS BRUTOS'!$A$3:$A$500,$B23,'DADOS BRUTOS'!AB$3:AB$500)+IF($C23="",0,SUMIF('DADOS BRUTOS'!$A$3:$A$500,$C23,'DADOS BRUTOS'!AB$3:AB$500)))</f>
        <v/>
      </c>
      <c r="DC23" s="125">
        <f>IF(OR(DC$4="",$B23=""),0,SUMIF('DADOS BRUTOS'!$A$3:$A$500,$B23,'DADOS BRUTOS'!AC$3:AC$500)+IF($C23="",0,SUMIF('DADOS BRUTOS'!$A$3:$A$500,$C23,'DADOS BRUTOS'!AC$3:AC$500)))</f>
        <v/>
      </c>
      <c r="DD23" s="125">
        <f>IF(OR(DD$4="",$B23=""),0,SUMIF('DADOS BRUTOS'!$A$3:$A$500,$B23,'DADOS BRUTOS'!AD$3:AD$500)+IF($C23="",0,SUMIF('DADOS BRUTOS'!$A$3:$A$500,$C23,'DADOS BRUTOS'!AD$3:AD$500)))</f>
        <v/>
      </c>
      <c r="DE23" s="125">
        <f>IF(OR(DE$4="",$B23=""),0,SUMIF('DADOS BRUTOS'!$A$3:$A$500,$B23,'DADOS BRUTOS'!AE$3:AE$500)+IF($C23="",0,SUMIF('DADOS BRUTOS'!$A$3:$A$500,$C23,'DADOS BRUTOS'!AE$3:AE$500)))</f>
        <v/>
      </c>
      <c r="DF23" s="125">
        <f>IF(OR(DF$4="",$B23=""),0,SUMIF('DADOS BRUTOS'!$A$3:$A$500,$B23,'DADOS BRUTOS'!AF$3:AF$500)+IF($C23="",0,SUMIF('DADOS BRUTOS'!$A$3:$A$500,$C23,'DADOS BRUTOS'!AF$3:AF$500)))</f>
        <v/>
      </c>
      <c r="DG23" s="125">
        <f>IF(OR(DG$4="",$B23=""),0,SUMIF('DADOS BRUTOS'!$A$3:$A$500,$B23,'DADOS BRUTOS'!AG$3:AG$500)+IF($C23="",0,SUMIF('DADOS BRUTOS'!$A$3:$A$500,$C23,'DADOS BRUTOS'!AG$3:AG$500)))</f>
        <v/>
      </c>
      <c r="DH23" s="125">
        <f>IF(OR(DH$4="",$B23=""),0,SUMIF('DADOS BRUTOS'!$A$3:$A$500,$B23,'DADOS BRUTOS'!AH$3:AH$500)+IF($C23="",0,SUMIF('DADOS BRUTOS'!$A$3:$A$500,$C23,'DADOS BRUTOS'!AH$3:AH$500)))</f>
        <v/>
      </c>
      <c r="DI23" s="125">
        <f>IF(OR(DI$4="",$B23=""),0,SUMIF('DADOS BRUTOS'!$A$3:$A$500,$B23,'DADOS BRUTOS'!AI$3:AI$500)+IF($C23="",0,SUMIF('DADOS BRUTOS'!$A$3:$A$500,$C23,'DADOS BRUTOS'!AI$3:AI$500)))</f>
        <v/>
      </c>
      <c r="DJ23" s="125">
        <f>IF(OR(DJ$4="",$B23=""),0,SUMIF('DADOS BRUTOS'!$A$3:$A$500,$B23,'DADOS BRUTOS'!AJ$3:AJ$500)+IF($C23="",0,SUMIF('DADOS BRUTOS'!$A$3:$A$500,$C23,'DADOS BRUTOS'!AJ$3:AJ$500)))</f>
        <v/>
      </c>
      <c r="DK23" s="125">
        <f>IF(OR(DK$4="",$B23=""),0,SUMIF('DADOS BRUTOS'!$A$3:$A$500,$B23,'DADOS BRUTOS'!AK$3:AK$500)+IF($C23="",0,SUMIF('DADOS BRUTOS'!$A$3:$A$500,$C23,'DADOS BRUTOS'!AK$3:AK$500)))</f>
        <v/>
      </c>
      <c r="DL23" s="125">
        <f>IF(OR(DL$4="",$B23=""),0,SUMIF('DADOS BRUTOS'!$A$3:$A$500,$B23,'DADOS BRUTOS'!AL$3:AL$500)+IF($C23="",0,SUMIF('DADOS BRUTOS'!$A$3:$A$500,$C23,'DADOS BRUTOS'!AL$3:AL$500)))</f>
        <v/>
      </c>
      <c r="DM23" s="125">
        <f>IF(OR(DM$4="",$B23=""),0,SUMIF('DADOS BRUTOS'!$A$3:$A$500,$B23,'DADOS BRUTOS'!AM$3:AM$500)+IF($C23="",0,SUMIF('DADOS BRUTOS'!$A$3:$A$500,$C23,'DADOS BRUTOS'!AM$3:AM$500)))</f>
        <v/>
      </c>
      <c r="DN23" s="125">
        <f>IF(OR(DN$4="",$B23=""),0,SUMIF('DADOS BRUTOS'!$A$3:$A$500,$B23,'DADOS BRUTOS'!AN$3:AN$500)+IF($C23="",0,SUMIF('DADOS BRUTOS'!$A$3:$A$500,$C23,'DADOS BRUTOS'!AN$3:AN$500)))</f>
        <v/>
      </c>
      <c r="DO23" s="125">
        <f>IF(OR(DO$4="",$B23=""),0,SUMIF('DADOS BRUTOS'!$A$3:$A$500,$B23,'DADOS BRUTOS'!AO$3:AO$500)+IF($C23="",0,SUMIF('DADOS BRUTOS'!$A$3:$A$500,$C23,'DADOS BRUTOS'!AO$3:AO$500)))</f>
        <v/>
      </c>
      <c r="DP23" s="125">
        <f>IF(OR(DP$4="",$B23=""),0,SUMIF('DADOS BRUTOS'!$A$3:$A$500,$B23,'DADOS BRUTOS'!AP$3:AP$500)+IF($C23="",0,SUMIF('DADOS BRUTOS'!$A$3:$A$500,$C23,'DADOS BRUTOS'!AP$3:AP$500)))</f>
        <v/>
      </c>
      <c r="DQ23" s="125">
        <f>IF(OR(DQ$4="",$B23=""),0,SUMIF('DADOS BRUTOS'!$A$3:$A$500,$B23,'DADOS BRUTOS'!AQ$3:AQ$500)+IF($C23="",0,SUMIF('DADOS BRUTOS'!$A$3:$A$500,$C23,'DADOS BRUTOS'!AQ$3:AQ$500)))</f>
        <v/>
      </c>
      <c r="DR23" s="125">
        <f>IF(OR(DR$4="",$B23=""),0,SUMIF('DADOS BRUTOS'!$A$3:$A$500,$B23,'DADOS BRUTOS'!AR$3:AR$500)+IF($C23="",0,SUMIF('DADOS BRUTOS'!$A$3:$A$500,$C23,'DADOS BRUTOS'!AR$3:AR$500)))</f>
        <v/>
      </c>
      <c r="DS23" s="125">
        <f>IF(OR(DS$4="",$B23=""),0,SUMIF('DADOS BRUTOS'!$A$3:$A$500,$B23,'DADOS BRUTOS'!AS$3:AS$500)+IF($C23="",0,SUMIF('DADOS BRUTOS'!$A$3:$A$500,$C23,'DADOS BRUTOS'!AS$3:AS$500)))</f>
        <v/>
      </c>
      <c r="DT23" s="125">
        <f>IF(OR(DT$4="",$B23=""),0,SUMIF('DADOS BRUTOS'!$A$3:$A$500,$B23,'DADOS BRUTOS'!AT$3:AT$500)+IF($C23="",0,SUMIF('DADOS BRUTOS'!$A$3:$A$500,$C23,'DADOS BRUTOS'!AT$3:AT$500)))</f>
        <v/>
      </c>
      <c r="DU23" s="125">
        <f>IF(OR(DU$4="",$B23=""),0,SUMIF('DADOS BRUTOS'!$A$3:$A$500,$B23,'DADOS BRUTOS'!AU$3:AU$500)+IF($C23="",0,SUMIF('DADOS BRUTOS'!$A$3:$A$500,$C23,'DADOS BRUTOS'!AU$3:AU$500)))</f>
        <v/>
      </c>
      <c r="DV23" s="125">
        <f>IF(OR(DV$4="",$B23=""),0,SUMIF('DADOS BRUTOS'!$A$3:$A$500,$B23,'DADOS BRUTOS'!AV$3:AV$500)+IF($C23="",0,SUMIF('DADOS BRUTOS'!$A$3:$A$500,$C23,'DADOS BRUTOS'!AV$3:AV$500)))</f>
        <v/>
      </c>
      <c r="DW23" s="125">
        <f>IF(OR(DW$4="",$B23=""),0,SUMIF('DADOS BRUTOS'!$A$3:$A$500,$B23,'DADOS BRUTOS'!AW$3:AW$500)+IF($C23="",0,SUMIF('DADOS BRUTOS'!$A$3:$A$500,$C23,'DADOS BRUTOS'!AW$3:AW$500)))</f>
        <v/>
      </c>
      <c r="DX23" s="125">
        <f>IF(OR(DX$4="",$B23=""),0,SUMIF('DADOS BRUTOS'!$A$3:$A$500,$B23,'DADOS BRUTOS'!AX$3:AX$500)+IF($C23="",0,SUMIF('DADOS BRUTOS'!$A$3:$A$500,$C23,'DADOS BRUTOS'!AX$3:AX$500)))</f>
        <v/>
      </c>
      <c r="DY23" s="125">
        <f>IF(OR(DY$4="",$B23=""),0,SUMIF('DADOS BRUTOS'!$A$3:$A$500,$B23,'DADOS BRUTOS'!AY$3:AY$500)+IF($C23="",0,SUMIF('DADOS BRUTOS'!$A$3:$A$500,$C23,'DADOS BRUTOS'!AY$3:AY$500)))</f>
        <v/>
      </c>
      <c r="DZ23" s="125">
        <f>IF(OR(DZ$4="",$B23=""),0,SUMIF('DADOS BRUTOS'!$A$3:$A$500,$B23,'DADOS BRUTOS'!AZ$3:AZ$500)+IF($C23="",0,SUMIF('DADOS BRUTOS'!$A$3:$A$500,$C23,'DADOS BRUTOS'!AZ$3:AZ$500)))</f>
        <v/>
      </c>
      <c r="EA23" s="125">
        <f>IF(OR(EA$4="",$B23=""),0,SUMIF('DADOS BRUTOS'!$A$3:$A$500,$B23,'DADOS BRUTOS'!BA$3:BA$500)+IF($C23="",0,SUMIF('DADOS BRUTOS'!$A$3:$A$500,$C23,'DADOS BRUTOS'!BA$3:BA$500)))</f>
        <v/>
      </c>
      <c r="EB23" s="125">
        <f>IF(OR(EB$4="",$B23=""),0,SUMIF('DADOS BRUTOS'!$A$3:$A$500,$B23,'DADOS BRUTOS'!BB$3:BB$500)+IF($C23="",0,SUMIF('DADOS BRUTOS'!$A$3:$A$500,$C23,'DADOS BRUTOS'!BB$3:BB$500)))</f>
        <v/>
      </c>
      <c r="EC23" s="125">
        <f>IF(OR(EC$4="",$B23=""),0,SUMIF('DADOS BRUTOS'!$A$3:$A$500,$B23,'DADOS BRUTOS'!BC$3:BC$500)+IF($C23="",0,SUMIF('DADOS BRUTOS'!$A$3:$A$500,$C23,'DADOS BRUTOS'!BC$3:BC$500)))</f>
        <v/>
      </c>
      <c r="ED23" s="125">
        <f>IF(OR(ED$4="",$B23=""),0,SUMIF('DADOS BRUTOS'!$A$3:$A$500,$B23,'DADOS BRUTOS'!BD$3:BD$500)+IF($C23="",0,SUMIF('DADOS BRUTOS'!$A$3:$A$500,$C23,'DADOS BRUTOS'!BD$3:BD$500)))</f>
        <v/>
      </c>
      <c r="EE23" s="125">
        <f>IF(OR(EE$4="",$B23=""),0,SUMIF('DADOS BRUTOS'!$A$3:$A$500,$B23,'DADOS BRUTOS'!BE$3:BE$500)+IF($C23="",0,SUMIF('DADOS BRUTOS'!$A$3:$A$500,$C23,'DADOS BRUTOS'!BE$3:BE$500)))</f>
        <v/>
      </c>
      <c r="EF23" s="125">
        <f>IF(OR(EF$4="",$B23=""),0,SUMIF('DADOS BRUTOS'!$A$3:$A$500,$B23,'DADOS BRUTOS'!BF$3:BF$500)+IF($C23="",0,SUMIF('DADOS BRUTOS'!$A$3:$A$500,$C23,'DADOS BRUTOS'!BF$3:BF$500)))</f>
        <v/>
      </c>
      <c r="EG23" s="125">
        <f>IF(OR(EG$4="",$B23=""),0,SUMIF('DADOS BRUTOS'!$A$3:$A$500,$B23,'DADOS BRUTOS'!BG$3:BG$500)+IF($C23="",0,SUMIF('DADOS BRUTOS'!$A$3:$A$500,$C23,'DADOS BRUTOS'!BG$3:BG$500)))</f>
        <v/>
      </c>
      <c r="EH23" s="125">
        <f>IF(OR(EH$4="",$B23=""),0,SUMIF('DADOS BRUTOS'!$A$3:$A$500,$B23,'DADOS BRUTOS'!BH$3:BH$500)+IF($C23="",0,SUMIF('DADOS BRUTOS'!$A$3:$A$500,$C23,'DADOS BRUTOS'!BH$3:BH$500)))</f>
        <v/>
      </c>
      <c r="EI23" s="125">
        <f>IF(OR(EI$4="",$B23=""),0,SUMIF('DADOS BRUTOS'!$A$3:$A$500,$B23,'DADOS BRUTOS'!BI$3:BI$500)+IF($C23="",0,SUMIF('DADOS BRUTOS'!$A$3:$A$500,$C23,'DADOS BRUTOS'!BI$3:BI$500)))</f>
        <v/>
      </c>
      <c r="EJ23" s="125">
        <f>IF(OR(EJ$4="",$B23=""),0,SUMIF('DADOS BRUTOS'!$A$3:$A$500,$B23,'DADOS BRUTOS'!BJ$3:BJ$500)+IF($C23="",0,SUMIF('DADOS BRUTOS'!$A$3:$A$500,$C23,'DADOS BRUTOS'!BJ$3:BJ$500)))</f>
        <v/>
      </c>
      <c r="EK23" s="125">
        <f>IF(OR(EK$4="",$B23=""),0,SUMIF('DADOS BRUTOS'!$A$3:$A$500,$B23,'DADOS BRUTOS'!BK$3:BK$500)+IF($C23="",0,SUMIF('DADOS BRUTOS'!$A$3:$A$500,$C23,'DADOS BRUTOS'!BK$3:BK$500)))</f>
        <v/>
      </c>
      <c r="EL23" s="125">
        <f>IF(OR(EL$4="",$B23=""),0,SUMIF('DADOS BRUTOS'!$A$3:$A$500,$B23,'DADOS BRUTOS'!BL$3:BL$500)+IF($C23="",0,SUMIF('DADOS BRUTOS'!$A$3:$A$500,$C23,'DADOS BRUTOS'!BL$3:BL$500)))</f>
        <v/>
      </c>
      <c r="EM23" s="125">
        <f>IF(OR(EM$4="",$B23=""),0,SUMIF('DADOS BRUTOS'!$A$3:$A$500,$B23,'DADOS BRUTOS'!BM$3:BM$500)+IF($C23="",0,SUMIF('DADOS BRUTOS'!$A$3:$A$500,$C23,'DADOS BRUTOS'!BM$3:BM$500)))</f>
        <v/>
      </c>
      <c r="EN23" s="125">
        <f>IF(OR(EN$4="",$B23=""),0,SUMIF('DADOS BRUTOS'!$A$3:$A$500,$B23,'DADOS BRUTOS'!BN$3:BN$500)+IF($C23="",0,SUMIF('DADOS BRUTOS'!$A$3:$A$500,$C23,'DADOS BRUTOS'!BN$3:BN$500)))</f>
        <v/>
      </c>
      <c r="EO23" s="125">
        <f>IF(OR(EO$4="",$B23=""),0,SUMIF('DADOS BRUTOS'!$A$3:$A$500,$B23,'DADOS BRUTOS'!BO$3:BO$500)+IF($C23="",0,SUMIF('DADOS BRUTOS'!$A$3:$A$500,$C23,'DADOS BRUTOS'!BO$3:BO$500)))</f>
        <v/>
      </c>
      <c r="EP23" s="125">
        <f>IF(OR(EP$4="",$B23=""),0,SUMIF('DADOS BRUTOS'!$A$3:$A$500,$B23,'DADOS BRUTOS'!BP$3:BP$500)+IF($C23="",0,SUMIF('DADOS BRUTOS'!$A$3:$A$500,$C23,'DADOS BRUTOS'!BP$3:BP$500)))</f>
        <v/>
      </c>
      <c r="EQ23" s="125">
        <f>IF(OR(EQ$4="",$B23=""),0,SUMIF('DADOS BRUTOS'!$A$3:$A$500,$B23,'DADOS BRUTOS'!BQ$3:BQ$500)+IF($C23="",0,SUMIF('DADOS BRUTOS'!$A$3:$A$500,$C23,'DADOS BRUTOS'!BQ$3:BQ$500)))</f>
        <v/>
      </c>
      <c r="ER23" s="125">
        <f>IF(OR(ER$4="",$B23=""),0,SUMIF('DADOS BRUTOS'!$A$3:$A$500,$B23,'DADOS BRUTOS'!BR$3:BR$500)+IF($C23="",0,SUMIF('DADOS BRUTOS'!$A$3:$A$500,$C23,'DADOS BRUTOS'!BR$3:BR$500)))</f>
        <v/>
      </c>
      <c r="ES23" s="125">
        <f>IF(OR(ES$4="",$B23=""),0,SUMIF('DADOS BRUTOS'!$A$3:$A$500,$B23,'DADOS BRUTOS'!BS$3:BS$500)+IF($C23="",0,SUMIF('DADOS BRUTOS'!$A$3:$A$500,$C23,'DADOS BRUTOS'!BS$3:BS$500)))</f>
        <v/>
      </c>
      <c r="ET23" s="125">
        <f>IF(OR(ET$4="",$B23=""),0,SUMIF('DADOS BRUTOS'!$A$3:$A$500,$B23,'DADOS BRUTOS'!BT$3:BT$500)+IF($C23="",0,SUMIF('DADOS BRUTOS'!$A$3:$A$500,$C23,'DADOS BRUTOS'!BT$3:BT$500)))</f>
        <v/>
      </c>
      <c r="EU23" s="125">
        <f>IF(OR(EU$4="",$B23=""),0,SUMIF('DADOS BRUTOS'!$A$3:$A$500,$B23,'DADOS BRUTOS'!BU$3:BU$500)+IF($C23="",0,SUMIF('DADOS BRUTOS'!$A$3:$A$500,$C23,'DADOS BRUTOS'!BU$3:BU$500)))</f>
        <v/>
      </c>
      <c r="EV23" s="125">
        <f>IF(OR(EV$4="",$B23=""),0,SUMIF('DADOS BRUTOS'!$A$3:$A$500,$B23,'DADOS BRUTOS'!BV$3:BV$500)+IF($C23="",0,SUMIF('DADOS BRUTOS'!$A$3:$A$500,$C23,'DADOS BRUTOS'!BV$3:BV$500)))</f>
        <v/>
      </c>
      <c r="EW23" s="125">
        <f>IF(OR(EW$4="",$B23=""),0,SUMIF('DADOS BRUTOS'!$A$3:$A$500,$B23,'DADOS BRUTOS'!BW$3:BW$500)+IF($C23="",0,SUMIF('DADOS BRUTOS'!$A$3:$A$500,$C23,'DADOS BRUTOS'!BW$3:BW$500)))</f>
        <v/>
      </c>
      <c r="EX23" s="125">
        <f>IF(OR(EX$4="",$B23=""),0,SUMIF('DADOS BRUTOS'!$A$3:$A$500,$B23,'DADOS BRUTOS'!BX$3:BX$500)+IF($C23="",0,SUMIF('DADOS BRUTOS'!$A$3:$A$500,$C23,'DADOS BRUTOS'!BX$3:BX$500)))</f>
        <v/>
      </c>
      <c r="EY23" s="125">
        <f>IF(OR(EY$4="",$B23=""),0,SUMIF('DADOS BRUTOS'!$A$3:$A$500,$B23,'DADOS BRUTOS'!BY$3:BY$500)+IF($C23="",0,SUMIF('DADOS BRUTOS'!$A$3:$A$500,$C23,'DADOS BRUTOS'!BY$3:BY$500)))</f>
        <v/>
      </c>
      <c r="EZ23" s="125">
        <f>IF(OR(EZ$4="",$B23=""),0,SUMIF('DADOS BRUTOS'!$A$3:$A$500,$B23,'DADOS BRUTOS'!BZ$3:BZ$500)+IF($C23="",0,SUMIF('DADOS BRUTOS'!$A$3:$A$500,$C23,'DADOS BRUTOS'!BZ$3:BZ$500)))</f>
        <v/>
      </c>
      <c r="FA23" s="125">
        <f>IF(OR(FA$4="",$B23=""),0,SUMIF('DADOS BRUTOS'!$A$3:$A$500,$B23,'DADOS BRUTOS'!CA$3:CA$500)+IF($C23="",0,SUMIF('DADOS BRUTOS'!$A$3:$A$500,$C23,'DADOS BRUTOS'!CA$3:CA$500)))</f>
        <v/>
      </c>
      <c r="FB23" s="125">
        <f>IF(OR(FB$4="",$B23=""),0,SUMIF('DADOS BRUTOS'!$A$3:$A$500,$B23,'DADOS BRUTOS'!CB$3:CB$500)+IF($C23="",0,SUMIF('DADOS BRUTOS'!$A$3:$A$500,$C23,'DADOS BRUTOS'!CB$3:CB$500)))</f>
        <v/>
      </c>
      <c r="FC23" s="125">
        <f>IF(OR(FC$4="",$B23=""),0,SUMIF('DADOS BRUTOS'!$A$3:$A$500,$B23,'DADOS BRUTOS'!CC$3:CC$500)+IF($C23="",0,SUMIF('DADOS BRUTOS'!$A$3:$A$500,$C23,'DADOS BRUTOS'!CC$3:CC$500)))</f>
        <v/>
      </c>
      <c r="FD23" s="125">
        <f>IF(OR(FD$4="",$B23=""),0,SUMIF('DADOS BRUTOS'!$A$3:$A$500,$B23,'DADOS BRUTOS'!CD$3:CD$500)+IF($C23="",0,SUMIF('DADOS BRUTOS'!$A$3:$A$500,$C23,'DADOS BRUTOS'!CD$3:CD$500)))</f>
        <v/>
      </c>
      <c r="FE23" s="125">
        <f>IF(OR(FE$4="",$B23=""),0,SUMIF('DADOS BRUTOS'!$A$3:$A$500,$B23,'DADOS BRUTOS'!CE$3:CE$500)+IF($C23="",0,SUMIF('DADOS BRUTOS'!$A$3:$A$500,$C23,'DADOS BRUTOS'!CE$3:CE$500)))</f>
        <v/>
      </c>
      <c r="FF23" s="125">
        <f>IF(OR(FF$4="",$B23=""),0,SUMIF('DADOS BRUTOS'!$A$3:$A$500,$B23,'DADOS BRUTOS'!CF$3:CF$500)+IF($C23="",0,SUMIF('DADOS BRUTOS'!$A$3:$A$500,$C23,'DADOS BRUTOS'!CF$3:CF$500)))</f>
        <v/>
      </c>
      <c r="FG23" s="125">
        <f>IF(OR(FG$4="",$B23=""),0,SUMIF('DADOS BRUTOS'!$A$3:$A$500,$B23,'DADOS BRUTOS'!CG$3:CG$500)+IF($C23="",0,SUMIF('DADOS BRUTOS'!$A$3:$A$500,$C23,'DADOS BRUTOS'!CG$3:CG$500)))</f>
        <v/>
      </c>
      <c r="FH23" s="125">
        <f>IF(OR(FH$4="",$B23=""),0,SUMIF('DADOS BRUTOS'!$A$3:$A$500,$B23,'DADOS BRUTOS'!CH$3:CH$500)+IF($C23="",0,SUMIF('DADOS BRUTOS'!$A$3:$A$500,$C23,'DADOS BRUTOS'!CH$3:CH$500)))</f>
        <v/>
      </c>
      <c r="FI23" s="125">
        <f>IF(OR(FI$4="",$B23=""),0,SUMIF('DADOS BRUTOS'!$A$3:$A$500,$B23,'DADOS BRUTOS'!CI$3:CI$500)+IF($C23="",0,SUMIF('DADOS BRUTOS'!$A$3:$A$500,$C23,'DADOS BRUTOS'!CI$3:CI$500)))</f>
        <v/>
      </c>
      <c r="FJ23" s="125">
        <f>IF(OR(FJ$4="",$B23=""),0,SUMIF('DADOS BRUTOS'!$A$3:$A$500,$B23,'DADOS BRUTOS'!CJ$3:CJ$500)+IF($C23="",0,SUMIF('DADOS BRUTOS'!$A$3:$A$500,$C23,'DADOS BRUTOS'!CJ$3:CJ$500)))</f>
        <v/>
      </c>
      <c r="FK23" s="125">
        <f>IF(OR(FK$4="",$B23=""),0,SUMIF('DADOS BRUTOS'!$A$3:$A$500,$B23,'DADOS BRUTOS'!CK$3:CK$500)+IF($C23="",0,SUMIF('DADOS BRUTOS'!$A$3:$A$500,$C23,'DADOS BRUTOS'!CK$3:CK$500)))</f>
        <v/>
      </c>
      <c r="FL23" s="125">
        <f>IF(OR(FL$4="",$B23=""),0,SUMIF('DADOS BRUTOS'!$A$3:$A$500,$B23,'DADOS BRUTOS'!CL$3:CL$500)+IF($C23="",0,SUMIF('DADOS BRUTOS'!$A$3:$A$500,$C23,'DADOS BRUTOS'!CL$3:CL$500)))</f>
        <v/>
      </c>
      <c r="FM23" s="125">
        <f>IF(OR(FM$4="",$B23=""),0,SUMIF('DADOS BRUTOS'!$A$3:$A$500,$B23,'DADOS BRUTOS'!CM$3:CM$500)+IF($C23="",0,SUMIF('DADOS BRUTOS'!$A$3:$A$500,$C23,'DADOS BRUTOS'!CM$3:CM$500)))</f>
        <v/>
      </c>
      <c r="FN23" s="125">
        <f>IF(OR(FN$4="",$B23=""),0,SUMIF('DADOS BRUTOS'!$A$3:$A$500,$B23,'DADOS BRUTOS'!CN$3:CN$500)+IF($C23="",0,SUMIF('DADOS BRUTOS'!$A$3:$A$500,$C23,'DADOS BRUTOS'!CN$3:CN$500)))</f>
        <v/>
      </c>
      <c r="FO23" s="125">
        <f>IF(OR(FO$4="",$B23=""),0,SUMIF('DADOS BRUTOS'!$A$3:$A$500,$B23,'DADOS BRUTOS'!CO$3:CO$500)+IF($C23="",0,SUMIF('DADOS BRUTOS'!$A$3:$A$500,$C23,'DADOS BRUTOS'!CO$3:CO$500)))</f>
        <v/>
      </c>
      <c r="FP23" s="125">
        <f>IF(OR(FP$4="",$B23=""),0,SUMIF('DADOS BRUTOS'!$A$3:$A$500,$B23,'DADOS BRUTOS'!CP$3:CP$500)+IF($C23="",0,SUMIF('DADOS BRUTOS'!$A$3:$A$500,$C23,'DADOS BRUTOS'!CP$3:CP$500)))</f>
        <v/>
      </c>
      <c r="FQ23" s="125">
        <f>IF(OR(FQ$4="",$B23=""),0,SUMIF('DADOS BRUTOS'!$A$3:$A$500,$B23,'DADOS BRUTOS'!CQ$3:CQ$500)+IF($C23="",0,SUMIF('DADOS BRUTOS'!$A$3:$A$500,$C23,'DADOS BRUTOS'!CQ$3:CQ$500)))</f>
        <v/>
      </c>
      <c r="FR23" s="125">
        <f>IF(OR(FR$4="",$B23=""),0,SUMIF('DADOS BRUTOS'!$A$3:$A$500,$B23,'DADOS BRUTOS'!CR$3:CR$500)+IF($C23="",0,SUMIF('DADOS BRUTOS'!$A$3:$A$500,$C23,'DADOS BRUTOS'!CR$3:CR$500)))</f>
        <v/>
      </c>
      <c r="FS23" s="125">
        <f>IF(OR(FS$4="",$B23=""),0,SUMIF('DADOS BRUTOS'!$A$3:$A$500,$B23,'DADOS BRUTOS'!CS$3:CS$500)+IF($C23="",0,SUMIF('DADOS BRUTOS'!$A$3:$A$500,$C23,'DADOS BRUTOS'!CS$3:CS$500)))</f>
        <v/>
      </c>
      <c r="FT23" s="125">
        <f>IF(OR(FT$4="",$B23=""),0,SUMIF('DADOS BRUTOS'!$A$3:$A$500,$B23,'DADOS BRUTOS'!CT$3:CT$500)+IF($C23="",0,SUMIF('DADOS BRUTOS'!$A$3:$A$500,$C23,'DADOS BRUTOS'!CT$3:CT$500)))</f>
        <v/>
      </c>
      <c r="FU23" s="125">
        <f>IF(OR(FU$4="",$B23=""),0,SUMIF('DADOS BRUTOS'!$A$3:$A$500,$B23,'DADOS BRUTOS'!CU$3:CU$500)+IF($C23="",0,SUMIF('DADOS BRUTOS'!$A$3:$A$500,$C23,'DADOS BRUTOS'!CU$3:CU$500)))</f>
        <v/>
      </c>
      <c r="FV23" s="125">
        <f>IF(OR(FV$4="",$B23=""),0,SUMIF('DADOS BRUTOS'!$A$3:$A$500,$B23,'DADOS BRUTOS'!CV$3:CV$500)+IF($C23="",0,SUMIF('DADOS BRUTOS'!$A$3:$A$500,$C23,'DADOS BRUTOS'!CV$3:CV$500)))</f>
        <v/>
      </c>
      <c r="FW23" s="125">
        <f>IF(OR(FW$4="",$B23=""),0,SUMIF('DADOS BRUTOS'!$A$3:$A$500,$B23,'DADOS BRUTOS'!CW$3:CW$500)+IF($C23="",0,SUMIF('DADOS BRUTOS'!$A$3:$A$500,$C23,'DADOS BRUTOS'!CW$3:CW$500)))</f>
        <v/>
      </c>
      <c r="FX23" s="125">
        <f>IF(OR(FX$4="",$B23=""),0,SUMIF('DADOS BRUTOS'!$A$3:$A$500,$B23,'DADOS BRUTOS'!CX$3:CX$500)+IF($C23="",0,SUMIF('DADOS BRUTOS'!$A$3:$A$500,$C23,'DADOS BRUTOS'!CX$3:CX$500)))</f>
        <v/>
      </c>
      <c r="FY23" s="125">
        <f>IF(OR(FY$4="",$B23=""),0,SUMIF('DADOS BRUTOS'!$A$3:$A$500,$B23,'DADOS BRUTOS'!CY$3:CY$500)+IF($C23="",0,SUMIF('DADOS BRUTOS'!$A$3:$A$500,$C23,'DADOS BRUTOS'!CY$3:CY$500)))</f>
        <v/>
      </c>
      <c r="FZ23" s="125">
        <f>IF(OR(FZ$4="",$B23=""),0,SUMIF('DADOS BRUTOS'!$A$3:$A$500,$B23,'DADOS BRUTOS'!CZ$3:CZ$500)+IF($C23="",0,SUMIF('DADOS BRUTOS'!$A$3:$A$500,$C23,'DADOS BRUTOS'!CZ$3:CZ$500)))</f>
        <v/>
      </c>
      <c r="GA23" s="125">
        <f>IF(OR(GA$4="",$B23=""),0,SUMIF('DADOS BRUTOS'!$A$3:$A$500,$B23,'DADOS BRUTOS'!DA$3:DA$500)+IF($C23="",0,SUMIF('DADOS BRUTOS'!$A$3:$A$500,$C23,'DADOS BRUTOS'!DA$3:DA$500)))</f>
        <v/>
      </c>
      <c r="GB23" s="125">
        <f>IF(OR(GB$4="",$B23=""),0,SUMIF('DADOS BRUTOS'!$A$3:$A$500,$B23,'DADOS BRUTOS'!DB$3:DB$500)+IF($C23="",0,SUMIF('DADOS BRUTOS'!$A$3:$A$500,$C23,'DADOS BRUTOS'!DB$3:DB$500)))</f>
        <v/>
      </c>
      <c r="GC23" s="125">
        <f>IF(OR(GC$4="",$B23=""),0,SUMIF('DADOS BRUTOS'!$A$3:$A$500,$B23,'DADOS BRUTOS'!DC$3:DC$500)+IF($C23="",0,SUMIF('DADOS BRUTOS'!$A$3:$A$500,$C23,'DADOS BRUTOS'!DC$3:DC$500)))</f>
        <v/>
      </c>
      <c r="GD23" s="125">
        <f>IF(OR(GD$4="",$B23=""),0,SUMIF('DADOS BRUTOS'!$A$3:$A$500,$B23,'DADOS BRUTOS'!DD$3:DD$500)+IF($C23="",0,SUMIF('DADOS BRUTOS'!$A$3:$A$500,$C23,'DADOS BRUTOS'!DD$3:DD$500)))</f>
        <v/>
      </c>
      <c r="GE23" s="125">
        <f>IF(OR(GE$4="",$B23=""),0,SUMIF('DADOS BRUTOS'!$A$3:$A$500,$B23,'DADOS BRUTOS'!DE$3:DE$500)+IF($C23="",0,SUMIF('DADOS BRUTOS'!$A$3:$A$500,$C23,'DADOS BRUTOS'!DE$3:DE$500)))</f>
        <v/>
      </c>
      <c r="GF23" s="125">
        <f>IF(OR(GF$4="",$B23=""),0,SUMIF('DADOS BRUTOS'!$A$3:$A$500,$B23,'DADOS BRUTOS'!DF$3:DF$500)+IF($C23="",0,SUMIF('DADOS BRUTOS'!$A$3:$A$500,$C23,'DADOS BRUTOS'!DF$3:DF$500)))</f>
        <v/>
      </c>
      <c r="GG23" s="125">
        <f>IF(OR(GG$4="",$B23=""),0,SUMIF('DADOS BRUTOS'!$A$3:$A$500,$B23,'DADOS BRUTOS'!DG$3:DG$500)+IF($C23="",0,SUMIF('DADOS BRUTOS'!$A$3:$A$500,$C23,'DADOS BRUTOS'!DG$3:DG$500)))</f>
        <v/>
      </c>
      <c r="GH23" s="125">
        <f>IF(OR(GH$4="",$B23=""),0,SUMIF('DADOS BRUTOS'!$A$3:$A$500,$B23,'DADOS BRUTOS'!DH$3:DH$500)+IF($C23="",0,SUMIF('DADOS BRUTOS'!$A$3:$A$500,$C23,'DADOS BRUTOS'!DH$3:DH$500)))</f>
        <v/>
      </c>
      <c r="GI23" s="125">
        <f>IF(OR(GI$4="",$B23=""),0,SUMIF('DADOS BRUTOS'!$A$3:$A$500,$B23,'DADOS BRUTOS'!DI$3:DI$500)+IF($C23="",0,SUMIF('DADOS BRUTOS'!$A$3:$A$500,$C23,'DADOS BRUTOS'!DI$3:DI$500)))</f>
        <v/>
      </c>
      <c r="GJ23" s="125">
        <f>IF(OR(GJ$4="",$B23=""),0,SUMIF('DADOS BRUTOS'!$A$3:$A$500,$B23,'DADOS BRUTOS'!DJ$3:DJ$500)+IF($C23="",0,SUMIF('DADOS BRUTOS'!$A$3:$A$500,$C23,'DADOS BRUTOS'!DJ$3:DJ$500)))</f>
        <v/>
      </c>
      <c r="GK23" s="125">
        <f>IF(OR(GK$4="",$B23=""),0,SUMIF('DADOS BRUTOS'!$A$3:$A$500,$B23,'DADOS BRUTOS'!DK$3:DK$500)+IF($C23="",0,SUMIF('DADOS BRUTOS'!$A$3:$A$500,$C23,'DADOS BRUTOS'!DK$3:DK$500)))</f>
        <v/>
      </c>
      <c r="GL23" s="125">
        <f>IF(OR(GL$4="",$B23=""),0,SUMIF('DADOS BRUTOS'!$A$3:$A$500,$B23,'DADOS BRUTOS'!DL$3:DL$500)+IF($C23="",0,SUMIF('DADOS BRUTOS'!$A$3:$A$500,$C23,'DADOS BRUTOS'!DL$3:DL$500)))</f>
        <v/>
      </c>
      <c r="GM23" s="125">
        <f>IF(OR(GM$4="",$B23=""),0,SUMIF('DADOS BRUTOS'!$A$3:$A$500,$B23,'DADOS BRUTOS'!DM$3:DM$500)+IF($C23="",0,SUMIF('DADOS BRUTOS'!$A$3:$A$500,$C23,'DADOS BRUTOS'!DM$3:DM$500)))</f>
        <v/>
      </c>
      <c r="GN23" s="125">
        <f>IF(OR(GN$4="",$B23=""),0,SUMIF('DADOS BRUTOS'!$A$3:$A$500,$B23,'DADOS BRUTOS'!DN$3:DN$500)+IF($C23="",0,SUMIF('DADOS BRUTOS'!$A$3:$A$500,$C23,'DADOS BRUTOS'!DN$3:DN$500)))</f>
        <v/>
      </c>
      <c r="GO23" s="125">
        <f>IF(OR(GO$4="",$B23=""),0,SUMIF('DADOS BRUTOS'!$A$3:$A$500,$B23,'DADOS BRUTOS'!DO$3:DO$500)+IF($C23="",0,SUMIF('DADOS BRUTOS'!$A$3:$A$500,$C23,'DADOS BRUTOS'!DO$3:DO$500)))</f>
        <v/>
      </c>
      <c r="GP23" s="125">
        <f>IF(OR(GP$4="",$B23=""),0,SUMIF('DADOS BRUTOS'!$A$3:$A$500,$B23,'DADOS BRUTOS'!DP$3:DP$500)+IF($C23="",0,SUMIF('DADOS BRUTOS'!$A$3:$A$500,$C23,'DADOS BRUTOS'!DP$3:DP$500)))</f>
        <v/>
      </c>
      <c r="GQ23" s="125">
        <f>IF(OR(GQ$4="",$B23=""),0,SUMIF('DADOS BRUTOS'!$A$3:$A$500,$B23,'DADOS BRUTOS'!DQ$3:DQ$500)+IF($C23="",0,SUMIF('DADOS BRUTOS'!$A$3:$A$500,$C23,'DADOS BRUTOS'!DQ$3:DQ$500)))</f>
        <v/>
      </c>
      <c r="GR23" s="125">
        <f>IF(OR(GR$4="",$B23=""),0,SUMIF('DADOS BRUTOS'!$A$3:$A$500,$B23,'DADOS BRUTOS'!DR$3:DR$500)+IF($C23="",0,SUMIF('DADOS BRUTOS'!$A$3:$A$500,$C23,'DADOS BRUTOS'!DR$3:DR$500)))</f>
        <v/>
      </c>
      <c r="GS23" s="125">
        <f>IF(OR(GS$4="",$B23=""),0,SUMIF('DADOS BRUTOS'!$A$3:$A$500,$B23,'DADOS BRUTOS'!DS$3:DS$500)+IF($C23="",0,SUMIF('DADOS BRUTOS'!$A$3:$A$500,$C23,'DADOS BRUTOS'!DS$3:DS$500)))</f>
        <v/>
      </c>
      <c r="GT23" s="125">
        <f>IF(OR(GT$4="",$B23=""),0,SUMIF('DADOS BRUTOS'!$A$3:$A$500,$B23,'DADOS BRUTOS'!DT$3:DT$500)+IF($C23="",0,SUMIF('DADOS BRUTOS'!$A$3:$A$500,$C23,'DADOS BRUTOS'!DT$3:DT$500)))</f>
        <v/>
      </c>
      <c r="GU23" s="125">
        <f>IF(OR(GU$4="",$B23=""),0,SUMIF('DADOS BRUTOS'!$A$3:$A$500,$B23,'DADOS BRUTOS'!DU$3:DU$500)+IF($C23="",0,SUMIF('DADOS BRUTOS'!$A$3:$A$500,$C23,'DADOS BRUTOS'!DU$3:DU$500)))</f>
        <v/>
      </c>
      <c r="GV23" s="125">
        <f>IF(OR(GV$4="",$B23=""),0,SUMIF('DADOS BRUTOS'!$A$3:$A$500,$B23,'DADOS BRUTOS'!DV$3:DV$500)+IF($C23="",0,SUMIF('DADOS BRUTOS'!$A$3:$A$500,$C23,'DADOS BRUTOS'!DV$3:DV$500)))</f>
        <v/>
      </c>
      <c r="GW23" s="125">
        <f>IF(OR(GW$4="",$B23=""),0,SUMIF('DADOS BRUTOS'!$A$3:$A$500,$B23,'DADOS BRUTOS'!DW$3:DW$500)+IF($C23="",0,SUMIF('DADOS BRUTOS'!$A$3:$A$500,$C23,'DADOS BRUTOS'!DW$3:DW$500)))</f>
        <v/>
      </c>
      <c r="GX23" s="125">
        <f>IF(OR(GX$4="",$B23=""),0,SUMIF('DADOS BRUTOS'!$A$3:$A$500,$B23,'DADOS BRUTOS'!DX$3:DX$500)+IF($C23="",0,SUMIF('DADOS BRUTOS'!$A$3:$A$500,$C23,'DADOS BRUTOS'!DX$3:DX$500)))</f>
        <v/>
      </c>
      <c r="GY23" s="125">
        <f>IF(OR(GY$4="",$B23=""),0,SUMIF('DADOS BRUTOS'!$A$3:$A$500,$B23,'DADOS BRUTOS'!DY$3:DY$500)+IF($C23="",0,SUMIF('DADOS BRUTOS'!$A$3:$A$500,$C23,'DADOS BRUTOS'!DY$3:DY$500)))</f>
        <v/>
      </c>
      <c r="GZ23" s="125">
        <f>IF(OR(GZ$4="",$B23=""),0,SUMIF('DADOS BRUTOS'!$A$3:$A$500,$B23,'DADOS BRUTOS'!DZ$3:DZ$500)+IF($C23="",0,SUMIF('DADOS BRUTOS'!$A$3:$A$500,$C23,'DADOS BRUTOS'!DZ$3:DZ$500)))</f>
        <v/>
      </c>
      <c r="HA23" s="125">
        <f>IF(OR(HA$4="",$B23=""),0,SUMIF('DADOS BRUTOS'!$A$3:$A$500,$B23,'DADOS BRUTOS'!EA$3:EA$500)+IF($C23="",0,SUMIF('DADOS BRUTOS'!$A$3:$A$500,$C23,'DADOS BRUTOS'!EA$3:EA$500)))</f>
        <v/>
      </c>
      <c r="HB23" s="125">
        <f>IF(OR(HB$4="",$B23=""),0,SUMIF('DADOS BRUTOS'!$A$3:$A$500,$B23,'DADOS BRUTOS'!EB$3:EB$500)+IF($C23="",0,SUMIF('DADOS BRUTOS'!$A$3:$A$500,$C23,'DADOS BRUTOS'!EB$3:EB$500)))</f>
        <v/>
      </c>
      <c r="HC23" s="125">
        <f>IF(OR(HC$4="",$B23=""),0,SUMIF('DADOS BRUTOS'!$A$3:$A$500,$B23,'DADOS BRUTOS'!EC$3:EC$500)+IF($C23="",0,SUMIF('DADOS BRUTOS'!$A$3:$A$500,$C23,'DADOS BRUTOS'!EC$3:EC$500)))</f>
        <v/>
      </c>
      <c r="HD23" s="125">
        <f>IF(OR(HD$4="",$B23=""),0,SUMIF('DADOS BRUTOS'!$A$3:$A$500,$B23,'DADOS BRUTOS'!ED$3:ED$500)+IF($C23="",0,SUMIF('DADOS BRUTOS'!$A$3:$A$500,$C23,'DADOS BRUTOS'!ED$3:ED$500)))</f>
        <v/>
      </c>
      <c r="HE23" s="125">
        <f>IF(OR(HE$4="",$B23=""),0,SUMIF('DADOS BRUTOS'!$A$3:$A$500,$B23,'DADOS BRUTOS'!EE$3:EE$500)+IF($C23="",0,SUMIF('DADOS BRUTOS'!$A$3:$A$500,$C23,'DADOS BRUTOS'!EE$3:EE$500)))</f>
        <v/>
      </c>
      <c r="HF23" s="125">
        <f>IF(OR(HF$4="",$B23=""),0,SUMIF('DADOS BRUTOS'!$A$3:$A$500,$B23,'DADOS BRUTOS'!EF$3:EF$500)+IF($C23="",0,SUMIF('DADOS BRUTOS'!$A$3:$A$500,$C23,'DADOS BRUTOS'!EF$3:EF$500)))</f>
        <v/>
      </c>
      <c r="HG23" s="125">
        <f>IF(OR(HG$4="",$B23=""),0,SUMIF('DADOS BRUTOS'!$A$3:$A$500,$B23,'DADOS BRUTOS'!EG$3:EG$500)+IF($C23="",0,SUMIF('DADOS BRUTOS'!$A$3:$A$500,$C23,'DADOS BRUTOS'!EG$3:EG$500)))</f>
        <v/>
      </c>
      <c r="HH23" s="125">
        <f>IF(OR(HH$4="",$B23=""),0,SUMIF('DADOS BRUTOS'!$A$3:$A$500,$B23,'DADOS BRUTOS'!EH$3:EH$500)+IF($C23="",0,SUMIF('DADOS BRUTOS'!$A$3:$A$500,$C23,'DADOS BRUTOS'!EH$3:EH$500)))</f>
        <v/>
      </c>
      <c r="HI23" s="125">
        <f>IF(OR(HI$4="",$B23=""),0,SUMIF('DADOS BRUTOS'!$A$3:$A$500,$B23,'DADOS BRUTOS'!EI$3:EI$500)+IF($C23="",0,SUMIF('DADOS BRUTOS'!$A$3:$A$500,$C23,'DADOS BRUTOS'!EI$3:EI$500)))</f>
        <v/>
      </c>
      <c r="HJ23" s="125">
        <f>IF(OR(HJ$4="",$B23=""),0,SUMIF('DADOS BRUTOS'!$A$3:$A$500,$B23,'DADOS BRUTOS'!EJ$3:EJ$500)+IF($C23="",0,SUMIF('DADOS BRUTOS'!$A$3:$A$500,$C23,'DADOS BRUTOS'!EJ$3:EJ$500)))</f>
        <v/>
      </c>
      <c r="HK23" s="125">
        <f>IF(OR(HK$4="",$B23=""),0,SUMIF('DADOS BRUTOS'!$A$3:$A$500,$B23,'DADOS BRUTOS'!EK$3:EK$500)+IF($C23="",0,SUMIF('DADOS BRUTOS'!$A$3:$A$500,$C23,'DADOS BRUTOS'!EK$3:EK$500)))</f>
        <v/>
      </c>
      <c r="HL23" s="125">
        <f>IF(OR(HL$4="",$B23=""),0,SUMIF('DADOS BRUTOS'!$A$3:$A$500,$B23,'DADOS BRUTOS'!EL$3:EL$500)+IF($C23="",0,SUMIF('DADOS BRUTOS'!$A$3:$A$500,$C23,'DADOS BRUTOS'!EL$3:EL$500)))</f>
        <v/>
      </c>
      <c r="HM23" s="125">
        <f>IF(OR(HM$4="",$B23=""),0,SUMIF('DADOS BRUTOS'!$A$3:$A$500,$B23,'DADOS BRUTOS'!EM$3:EM$500)+IF($C23="",0,SUMIF('DADOS BRUTOS'!$A$3:$A$500,$C23,'DADOS BRUTOS'!EM$3:EM$500)))</f>
        <v/>
      </c>
      <c r="HN23" s="125">
        <f>IF(OR(HN$4="",$B23=""),0,SUMIF('DADOS BRUTOS'!$A$3:$A$500,$B23,'DADOS BRUTOS'!EN$3:EN$500)+IF($C23="",0,SUMIF('DADOS BRUTOS'!$A$3:$A$500,$C23,'DADOS BRUTOS'!EN$3:EN$500)))</f>
        <v/>
      </c>
      <c r="HO23" s="125">
        <f>IF(OR(HO$4="",$B23=""),0,SUMIF('DADOS BRUTOS'!$A$3:$A$500,$B23,'DADOS BRUTOS'!EO$3:EO$500)+IF($C23="",0,SUMIF('DADOS BRUTOS'!$A$3:$A$500,$C23,'DADOS BRUTOS'!EO$3:EO$500)))</f>
        <v/>
      </c>
      <c r="HP23" s="125">
        <f>IF(OR(HP$4="",$B23=""),0,SUMIF('DADOS BRUTOS'!$A$3:$A$500,$B23,'DADOS BRUTOS'!EP$3:EP$500)+IF($C23="",0,SUMIF('DADOS BRUTOS'!$A$3:$A$500,$C23,'DADOS BRUTOS'!EP$3:EP$500)))</f>
        <v/>
      </c>
      <c r="HQ23" s="125">
        <f>IF(OR(HQ$4="",$B23=""),0,SUMIF('DADOS BRUTOS'!$A$3:$A$500,$B23,'DADOS BRUTOS'!EQ$3:EQ$500)+IF($C23="",0,SUMIF('DADOS BRUTOS'!$A$3:$A$500,$C23,'DADOS BRUTOS'!EQ$3:EQ$500)))</f>
        <v/>
      </c>
      <c r="HR23" s="125">
        <f>IF(OR(HR$4="",$B23=""),0,SUMIF('DADOS BRUTOS'!$A$3:$A$500,$B23,'DADOS BRUTOS'!ER$3:ER$500)+IF($C23="",0,SUMIF('DADOS BRUTOS'!$A$3:$A$500,$C23,'DADOS BRUTOS'!ER$3:ER$500)))</f>
        <v/>
      </c>
      <c r="HS23" s="125">
        <f>IF(OR(HS$4="",$B23=""),0,SUMIF('DADOS BRUTOS'!$A$3:$A$500,$B23,'DADOS BRUTOS'!ES$3:ES$500)+IF($C23="",0,SUMIF('DADOS BRUTOS'!$A$3:$A$500,$C23,'DADOS BRUTOS'!ES$3:ES$500)))</f>
        <v/>
      </c>
      <c r="HT23" s="125">
        <f>IF(OR(HT$4="",$B23=""),0,SUMIF('DADOS BRUTOS'!$A$3:$A$500,$B23,'DADOS BRUTOS'!ET$3:ET$500)+IF($C23="",0,SUMIF('DADOS BRUTOS'!$A$3:$A$500,$C23,'DADOS BRUTOS'!ET$3:ET$500)))</f>
        <v/>
      </c>
      <c r="HU23" s="125">
        <f>IF(OR(HU$4="",$B23=""),0,SUMIF('DADOS BRUTOS'!$A$3:$A$500,$B23,'DADOS BRUTOS'!EU$3:EU$500)+IF($C23="",0,SUMIF('DADOS BRUTOS'!$A$3:$A$500,$C23,'DADOS BRUTOS'!EU$3:EU$500)))</f>
        <v/>
      </c>
      <c r="HV23" s="125">
        <f>IF(OR(HV$4="",$B23=""),0,SUMIF('DADOS BRUTOS'!$A$3:$A$500,$B23,'DADOS BRUTOS'!EV$3:EV$500)+IF($C23="",0,SUMIF('DADOS BRUTOS'!$A$3:$A$500,$C23,'DADOS BRUTOS'!EV$3:EV$500)))</f>
        <v/>
      </c>
      <c r="HW23" s="125">
        <f>IF(OR(HW$4="",$B23=""),0,SUMIF('DADOS BRUTOS'!$A$3:$A$500,$B23,'DADOS BRUTOS'!EW$3:EW$500)+IF($C23="",0,SUMIF('DADOS BRUTOS'!$A$3:$A$500,$C23,'DADOS BRUTOS'!EW$3:EW$500)))</f>
        <v/>
      </c>
      <c r="HX23" s="125">
        <f>IF(OR(HX$4="",$B23=""),0,SUMIF('DADOS BRUTOS'!$A$3:$A$500,$B23,'DADOS BRUTOS'!EX$3:EX$500)+IF($C23="",0,SUMIF('DADOS BRUTOS'!$A$3:$A$500,$C23,'DADOS BRUTOS'!EX$3:EX$500)))</f>
        <v/>
      </c>
      <c r="HY23" s="125">
        <f>IF(OR(HY$4="",$B23=""),0,SUMIF('DADOS BRUTOS'!$A$3:$A$500,$B23,'DADOS BRUTOS'!EY$3:EY$500)+IF($C23="",0,SUMIF('DADOS BRUTOS'!$A$3:$A$500,$C23,'DADOS BRUTOS'!EY$3:EY$500)))</f>
        <v/>
      </c>
      <c r="HZ23" s="125">
        <f>IF(OR(HZ$4="",$B23=""),0,SUMIF('DADOS BRUTOS'!$A$3:$A$500,$B23,'DADOS BRUTOS'!EZ$3:EZ$500)+IF($C23="",0,SUMIF('DADOS BRUTOS'!$A$3:$A$500,$C23,'DADOS BRUTOS'!EZ$3:EZ$500)))</f>
        <v/>
      </c>
      <c r="IA23" s="125">
        <f>IF(OR(IA$4="",$B23=""),0,SUMIF('DADOS BRUTOS'!$A$3:$A$500,$B23,'DADOS BRUTOS'!FA$3:FA$500)+IF($C23="",0,SUMIF('DADOS BRUTOS'!$A$3:$A$500,$C23,'DADOS BRUTOS'!FA$3:FA$500)))</f>
        <v/>
      </c>
      <c r="IB23" s="125">
        <f>IF(OR(IB$4="",$B23=""),0,SUMIF('DADOS BRUTOS'!$A$3:$A$500,$B23,'DADOS BRUTOS'!FB$3:FB$500)+IF($C23="",0,SUMIF('DADOS BRUTOS'!$A$3:$A$500,$C23,'DADOS BRUTOS'!FB$3:FB$500)))</f>
        <v/>
      </c>
      <c r="IC23" s="125">
        <f>IF(OR(IC$4="",$B23=""),0,SUMIF('DADOS BRUTOS'!$A$3:$A$500,$B23,'DADOS BRUTOS'!FC$3:FC$500)+IF($C23="",0,SUMIF('DADOS BRUTOS'!$A$3:$A$500,$C23,'DADOS BRUTOS'!FC$3:FC$500)))</f>
        <v/>
      </c>
      <c r="ID23" s="125">
        <f>IF(OR(ID$4="",$B23=""),0,SUMIF('DADOS BRUTOS'!$A$3:$A$500,$B23,'DADOS BRUTOS'!FD$3:FD$500)+IF($C23="",0,SUMIF('DADOS BRUTOS'!$A$3:$A$500,$C23,'DADOS BRUTOS'!FD$3:FD$500)))</f>
        <v/>
      </c>
      <c r="IE23" s="125">
        <f>IF(OR(IE$4="",$B23=""),0,SUMIF('DADOS BRUTOS'!$A$3:$A$500,$B23,'DADOS BRUTOS'!FE$3:FE$500)+IF($C23="",0,SUMIF('DADOS BRUTOS'!$A$3:$A$500,$C23,'DADOS BRUTOS'!FE$3:FE$500)))</f>
        <v/>
      </c>
      <c r="IF23" s="125">
        <f>IF(OR(IF$4="",$B23=""),0,SUMIF('DADOS BRUTOS'!$A$3:$A$500,$B23,'DADOS BRUTOS'!FF$3:FF$500)+IF($C23="",0,SUMIF('DADOS BRUTOS'!$A$3:$A$500,$C23,'DADOS BRUTOS'!FF$3:FF$500)))</f>
        <v/>
      </c>
      <c r="IG23" s="125">
        <f>IF(OR(IG$4="",$B23=""),0,SUMIF('DADOS BRUTOS'!$A$3:$A$500,$B23,'DADOS BRUTOS'!FG$3:FG$500)+IF($C23="",0,SUMIF('DADOS BRUTOS'!$A$3:$A$500,$C23,'DADOS BRUTOS'!FG$3:FG$500)))</f>
        <v/>
      </c>
      <c r="IH23" s="125">
        <f>IF(OR(IH$4="",$B23=""),0,SUMIF('DADOS BRUTOS'!$A$3:$A$500,$B23,'DADOS BRUTOS'!FH$3:FH$500)+IF($C23="",0,SUMIF('DADOS BRUTOS'!$A$3:$A$500,$C23,'DADOS BRUTOS'!FH$3:FH$500)))</f>
        <v/>
      </c>
      <c r="II23" s="125">
        <f>IF(OR(II$4="",$B23=""),0,SUMIF('DADOS BRUTOS'!$A$3:$A$500,$B23,'DADOS BRUTOS'!FI$3:FI$500)+IF($C23="",0,SUMIF('DADOS BRUTOS'!$A$3:$A$500,$C23,'DADOS BRUTOS'!FI$3:FI$500)))</f>
        <v/>
      </c>
      <c r="IJ23" s="125">
        <f>IF(OR(IJ$4="",$B23=""),0,SUMIF('DADOS BRUTOS'!$A$3:$A$500,$B23,'DADOS BRUTOS'!FJ$3:FJ$500)+IF($C23="",0,SUMIF('DADOS BRUTOS'!$A$3:$A$500,$C23,'DADOS BRUTOS'!FJ$3:FJ$500)))</f>
        <v/>
      </c>
      <c r="IK23" s="125">
        <f>IF(OR(IK$4="",$B23=""),0,SUMIF('DADOS BRUTOS'!$A$3:$A$500,$B23,'DADOS BRUTOS'!FK$3:FK$500)+IF($C23="",0,SUMIF('DADOS BRUTOS'!$A$3:$A$500,$C23,'DADOS BRUTOS'!FK$3:FK$500)))</f>
        <v/>
      </c>
      <c r="IL23" s="125">
        <f>IF(OR(IL$4="",$B23=""),0,SUMIF('DADOS BRUTOS'!$A$3:$A$500,$B23,'DADOS BRUTOS'!FL$3:FL$500)+IF($C23="",0,SUMIF('DADOS BRUTOS'!$A$3:$A$500,$C23,'DADOS BRUTOS'!FL$3:FL$500)))</f>
        <v/>
      </c>
      <c r="IM23" s="125">
        <f>IF(OR(IM$4="",$B23=""),0,SUMIF('DADOS BRUTOS'!$A$3:$A$500,$B23,'DADOS BRUTOS'!FM$3:FM$500)+IF($C23="",0,SUMIF('DADOS BRUTOS'!$A$3:$A$500,$C23,'DADOS BRUTOS'!FM$3:FM$500)))</f>
        <v/>
      </c>
      <c r="IN23" s="125">
        <f>IF(OR(IN$4="",$B23=""),0,SUMIF('DADOS BRUTOS'!$A$3:$A$500,$B23,'DADOS BRUTOS'!FN$3:FN$500)+IF($C23="",0,SUMIF('DADOS BRUTOS'!$A$3:$A$500,$C23,'DADOS BRUTOS'!FN$3:FN$500)))</f>
        <v/>
      </c>
      <c r="IO23" s="125">
        <f>IF(OR(IO$4="",$B23=""),0,SUMIF('DADOS BRUTOS'!$A$3:$A$500,$B23,'DADOS BRUTOS'!FO$3:FO$500)+IF($C23="",0,SUMIF('DADOS BRUTOS'!$A$3:$A$500,$C23,'DADOS BRUTOS'!FO$3:FO$500)))</f>
        <v/>
      </c>
      <c r="IP23" s="125">
        <f>IF(OR(IP$4="",$B23=""),0,SUMIF('DADOS BRUTOS'!$A$3:$A$500,$B23,'DADOS BRUTOS'!FP$3:FP$500)+IF($C23="",0,SUMIF('DADOS BRUTOS'!$A$3:$A$500,$C23,'DADOS BRUTOS'!FP$3:FP$500)))</f>
        <v/>
      </c>
      <c r="IQ23" s="125">
        <f>IF(OR(IQ$4="",$B23=""),0,SUMIF('DADOS BRUTOS'!$A$3:$A$500,$B23,'DADOS BRUTOS'!FQ$3:FQ$500)+IF($C23="",0,SUMIF('DADOS BRUTOS'!$A$3:$A$500,$C23,'DADOS BRUTOS'!FQ$3:FQ$500)))</f>
        <v/>
      </c>
      <c r="IR23" s="125">
        <f>IF(OR(IR$4="",$B23=""),0,SUMIF('DADOS BRUTOS'!$A$3:$A$500,$B23,'DADOS BRUTOS'!FR$3:FR$500)+IF($C23="",0,SUMIF('DADOS BRUTOS'!$A$3:$A$500,$C23,'DADOS BRUTOS'!FR$3:FR$500)))</f>
        <v/>
      </c>
      <c r="IS23" s="125">
        <f>IF(OR(IS$4="",$B23=""),0,SUMIF('DADOS BRUTOS'!$A$3:$A$500,$B23,'DADOS BRUTOS'!FS$3:FS$500)+IF($C23="",0,SUMIF('DADOS BRUTOS'!$A$3:$A$500,$C23,'DADOS BRUTOS'!FS$3:FS$500)))</f>
        <v/>
      </c>
      <c r="IT23" s="125">
        <f>IF(OR(IT$4="",$B23=""),0,SUMIF('DADOS BRUTOS'!$A$3:$A$500,$B23,'DADOS BRUTOS'!FT$3:FT$500)+IF($C23="",0,SUMIF('DADOS BRUTOS'!$A$3:$A$500,$C23,'DADOS BRUTOS'!FT$3:FT$500)))</f>
        <v/>
      </c>
      <c r="IU23" s="125">
        <f>IF(OR(IU$4="",$B23=""),0,SUMIF('DADOS BRUTOS'!$A$3:$A$500,$B23,'DADOS BRUTOS'!FU$3:FU$500)+IF($C23="",0,SUMIF('DADOS BRUTOS'!$A$3:$A$500,$C23,'DADOS BRUTOS'!FU$3:FU$500)))</f>
        <v/>
      </c>
      <c r="IV23" s="125">
        <f>IF(OR(IV$4="",$B23=""),0,SUMIF('DADOS BRUTOS'!$A$3:$A$500,$B23,'DADOS BRUTOS'!FV$3:FV$500)+IF($C23="",0,SUMIF('DADOS BRUTOS'!$A$3:$A$500,$C23,'DADOS BRUTOS'!FV$3:FV$500)))</f>
        <v/>
      </c>
      <c r="IW23" s="125">
        <f>IF(OR(IW$4="",$B23=""),0,SUMIF('DADOS BRUTOS'!$A$3:$A$500,$B23,'DADOS BRUTOS'!FW$3:FW$500)+IF($C23="",0,SUMIF('DADOS BRUTOS'!$A$3:$A$500,$C23,'DADOS BRUTOS'!FW$3:FW$500)))</f>
        <v/>
      </c>
      <c r="IX23" s="125">
        <f>IF(OR(IX$4="",$B23=""),0,SUMIF('DADOS BRUTOS'!$A$3:$A$500,$B23,'DADOS BRUTOS'!FX$3:FX$500)+IF($C23="",0,SUMIF('DADOS BRUTOS'!$A$3:$A$500,$C23,'DADOS BRUTOS'!FX$3:FX$500)))</f>
        <v/>
      </c>
      <c r="IY23" s="125">
        <f>IF(OR(IY$4="",$B23=""),0,SUMIF('DADOS BRUTOS'!$A$3:$A$500,$B23,'DADOS BRUTOS'!FY$3:FY$500)+IF($C23="",0,SUMIF('DADOS BRUTOS'!$A$3:$A$500,$C23,'DADOS BRUTOS'!FY$3:FY$500)))</f>
        <v/>
      </c>
      <c r="IZ23" s="125">
        <f>IF(OR(IZ$4="",$B23=""),0,SUMIF('DADOS BRUTOS'!$A$3:$A$500,$B23,'DADOS BRUTOS'!FZ$3:FZ$500)+IF($C23="",0,SUMIF('DADOS BRUTOS'!$A$3:$A$500,$C23,'DADOS BRUTOS'!FZ$3:FZ$500)))</f>
        <v/>
      </c>
      <c r="JA23" s="125">
        <f>IF(OR(JA$4="",$B23=""),0,SUMIF('DADOS BRUTOS'!$A$3:$A$500,$B23,'DADOS BRUTOS'!GA$3:GA$500)+IF($C23="",0,SUMIF('DADOS BRUTOS'!$A$3:$A$500,$C23,'DADOS BRUTOS'!GA$3:GA$500)))</f>
        <v/>
      </c>
      <c r="JB23" s="125">
        <f>IF(OR(JB$4="",$B23=""),0,SUMIF('DADOS BRUTOS'!$A$3:$A$500,$B23,'DADOS BRUTOS'!GB$3:GB$500)+IF($C23="",0,SUMIF('DADOS BRUTOS'!$A$3:$A$500,$C23,'DADOS BRUTOS'!GB$3:GB$500)))</f>
        <v/>
      </c>
      <c r="JC23" s="125">
        <f>IF(OR(JC$4="",$B23=""),0,SUMIF('DADOS BRUTOS'!$A$3:$A$500,$B23,'DADOS BRUTOS'!GC$3:GC$500)+IF($C23="",0,SUMIF('DADOS BRUTOS'!$A$3:$A$500,$C23,'DADOS BRUTOS'!GC$3:GC$500)))</f>
        <v/>
      </c>
      <c r="JD23" s="125">
        <f>IF(OR(JD$4="",$B23=""),0,SUMIF('DADOS BRUTOS'!$A$3:$A$500,$B23,'DADOS BRUTOS'!GD$3:GD$500)+IF($C23="",0,SUMIF('DADOS BRUTOS'!$A$3:$A$500,$C23,'DADOS BRUTOS'!GD$3:GD$500)))</f>
        <v/>
      </c>
      <c r="JE23" s="125">
        <f>IF(OR(JE$4="",$B23=""),0,SUMIF('DADOS BRUTOS'!$A$3:$A$500,$B23,'DADOS BRUTOS'!GE$3:GE$500)+IF($C23="",0,SUMIF('DADOS BRUTOS'!$A$3:$A$500,$C23,'DADOS BRUTOS'!GE$3:GE$500)))</f>
        <v/>
      </c>
      <c r="JF23" s="125">
        <f>IF(OR(JF$4="",$B23=""),0,SUMIF('DADOS BRUTOS'!$A$3:$A$500,$B23,'DADOS BRUTOS'!GF$3:GF$500)+IF($C23="",0,SUMIF('DADOS BRUTOS'!$A$3:$A$500,$C23,'DADOS BRUTOS'!GF$3:GF$500)))</f>
        <v/>
      </c>
      <c r="JG23" s="125">
        <f>IF(OR(JG$4="",$B23=""),0,SUMIF('DADOS BRUTOS'!$A$3:$A$500,$B23,'DADOS BRUTOS'!GG$3:GG$500)+IF($C23="",0,SUMIF('DADOS BRUTOS'!$A$3:$A$500,$C23,'DADOS BRUTOS'!GG$3:GG$500)))</f>
        <v/>
      </c>
      <c r="JH23" s="125">
        <f>IF(OR(JH$4="",$B23=""),0,SUMIF('DADOS BRUTOS'!$A$3:$A$500,$B23,'DADOS BRUTOS'!GH$3:GH$500)+IF($C23="",0,SUMIF('DADOS BRUTOS'!$A$3:$A$500,$C23,'DADOS BRUTOS'!GH$3:GH$500)))</f>
        <v/>
      </c>
      <c r="JI23" s="125">
        <f>IF(OR(JI$4="",$B23=""),0,SUMIF('DADOS BRUTOS'!$A$3:$A$500,$B23,'DADOS BRUTOS'!GI$3:GI$500)+IF($C23="",0,SUMIF('DADOS BRUTOS'!$A$3:$A$500,$C23,'DADOS BRUTOS'!GI$3:GI$500)))</f>
        <v/>
      </c>
      <c r="JJ23" s="125">
        <f>IF(OR(JJ$4="",$B23=""),0,SUMIF('DADOS BRUTOS'!$A$3:$A$500,$B23,'DADOS BRUTOS'!GJ$3:GJ$500)+IF($C23="",0,SUMIF('DADOS BRUTOS'!$A$3:$A$500,$C23,'DADOS BRUTOS'!GJ$3:GJ$500)))</f>
        <v/>
      </c>
      <c r="JK23" s="125">
        <f>IF(OR(JK$4="",$B23=""),0,SUMIF('DADOS BRUTOS'!$A$3:$A$500,$B23,'DADOS BRUTOS'!GK$3:GK$500)+IF($C23="",0,SUMIF('DADOS BRUTOS'!$A$3:$A$500,$C23,'DADOS BRUTOS'!GK$3:GK$500)))</f>
        <v/>
      </c>
      <c r="JL23" s="125">
        <f>IF(OR(JL$4="",$B23=""),0,SUMIF('DADOS BRUTOS'!$A$3:$A$500,$B23,'DADOS BRUTOS'!GL$3:GL$500)+IF($C23="",0,SUMIF('DADOS BRUTOS'!$A$3:$A$500,$C23,'DADOS BRUTOS'!GL$3:GL$500)))</f>
        <v/>
      </c>
      <c r="JM23" s="125">
        <f>IF(OR(JM$4="",$B23=""),0,SUMIF('DADOS BRUTOS'!$A$3:$A$500,$B23,'DADOS BRUTOS'!GM$3:GM$500)+IF($C23="",0,SUMIF('DADOS BRUTOS'!$A$3:$A$500,$C23,'DADOS BRUTOS'!GM$3:GM$500)))</f>
        <v/>
      </c>
      <c r="JN23" s="125">
        <f>IF(OR(JN$4="",$B23=""),0,SUMIF('DADOS BRUTOS'!$A$3:$A$500,$B23,'DADOS BRUTOS'!GN$3:GN$500)+IF($C23="",0,SUMIF('DADOS BRUTOS'!$A$3:$A$500,$C23,'DADOS BRUTOS'!GN$3:GN$500)))</f>
        <v/>
      </c>
      <c r="JO23" s="125">
        <f>IF(OR(JO$4="",$B23=""),0,SUMIF('DADOS BRUTOS'!$A$3:$A$500,$B23,'DADOS BRUTOS'!GO$3:GO$500)+IF($C23="",0,SUMIF('DADOS BRUTOS'!$A$3:$A$500,$C23,'DADOS BRUTOS'!GO$3:GO$500)))</f>
        <v/>
      </c>
      <c r="JP23" s="125">
        <f>IF(OR(JP$4="",$B23=""),0,SUMIF('DADOS BRUTOS'!$A$3:$A$500,$B23,'DADOS BRUTOS'!GP$3:GP$500)+IF($C23="",0,SUMIF('DADOS BRUTOS'!$A$3:$A$500,$C23,'DADOS BRUTOS'!GP$3:GP$500)))</f>
        <v/>
      </c>
      <c r="JQ23" s="125">
        <f>IF(OR(JQ$4="",$B23=""),0,SUMIF('DADOS BRUTOS'!$A$3:$A$500,$B23,'DADOS BRUTOS'!GQ$3:GQ$500)+IF($C23="",0,SUMIF('DADOS BRUTOS'!$A$3:$A$500,$C23,'DADOS BRUTOS'!GQ$3:GQ$500)))</f>
        <v/>
      </c>
      <c r="JR23" s="125">
        <f>IF(OR(JR$4="",$B23=""),0,SUMIF('DADOS BRUTOS'!$A$3:$A$500,$B23,'DADOS BRUTOS'!GR$3:GR$500)+IF($C23="",0,SUMIF('DADOS BRUTOS'!$A$3:$A$500,$C23,'DADOS BRUTOS'!GR$3:GR$500)))</f>
        <v/>
      </c>
      <c r="JS23" s="125">
        <f>IF(OR(JS$4="",$B23=""),0,SUMIF('DADOS BRUTOS'!$A$3:$A$500,$B23,'DADOS BRUTOS'!GS$3:GS$500)+IF($C23="",0,SUMIF('DADOS BRUTOS'!$A$3:$A$500,$C23,'DADOS BRUTOS'!GS$3:GS$500)))</f>
        <v/>
      </c>
    </row>
    <row r="24">
      <c r="A24" s="61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BZ24" s="49">
        <f>SUMPRODUCT(($CB$4:$JS$4&lt;&gt;"")*($CB$4:$JS$4&lt;=$D$4),$CB24:$JS24,$CB$1:$JS$1)</f>
        <v/>
      </c>
      <c r="CB24" s="125">
        <f>IF(OR(CB$4="",$B24=""),0,SUMIF('DADOS BRUTOS'!$A$3:$A$500,$B24,'DADOS BRUTOS'!B$3:B$500)+IF($C24="",0,SUMIF('DADOS BRUTOS'!$A$3:$A$500,$C24,'DADOS BRUTOS'!B$3:B$500)))</f>
        <v/>
      </c>
      <c r="CC24" s="125">
        <f>IF(OR(CC$4="",$B24=""),0,SUMIF('DADOS BRUTOS'!$A$3:$A$500,$B24,'DADOS BRUTOS'!C$3:C$500)+IF($C24="",0,SUMIF('DADOS BRUTOS'!$A$3:$A$500,$C24,'DADOS BRUTOS'!C$3:C$500)))</f>
        <v/>
      </c>
      <c r="CD24" s="125">
        <f>IF(OR(CD$4="",$B24=""),0,SUMIF('DADOS BRUTOS'!$A$3:$A$500,$B24,'DADOS BRUTOS'!D$3:D$500)+IF($C24="",0,SUMIF('DADOS BRUTOS'!$A$3:$A$500,$C24,'DADOS BRUTOS'!D$3:D$500)))</f>
        <v/>
      </c>
      <c r="CE24" s="125">
        <f>IF(OR(CE$4="",$B24=""),0,SUMIF('DADOS BRUTOS'!$A$3:$A$500,$B24,'DADOS BRUTOS'!E$3:E$500)+IF($C24="",0,SUMIF('DADOS BRUTOS'!$A$3:$A$500,$C24,'DADOS BRUTOS'!E$3:E$500)))</f>
        <v/>
      </c>
      <c r="CF24" s="125">
        <f>IF(OR(CF$4="",$B24=""),0,SUMIF('DADOS BRUTOS'!$A$3:$A$500,$B24,'DADOS BRUTOS'!F$3:F$500)+IF($C24="",0,SUMIF('DADOS BRUTOS'!$A$3:$A$500,$C24,'DADOS BRUTOS'!F$3:F$500)))</f>
        <v/>
      </c>
      <c r="CG24" s="125">
        <f>IF(OR(CG$4="",$B24=""),0,SUMIF('DADOS BRUTOS'!$A$3:$A$500,$B24,'DADOS BRUTOS'!G$3:G$500)+IF($C24="",0,SUMIF('DADOS BRUTOS'!$A$3:$A$500,$C24,'DADOS BRUTOS'!G$3:G$500)))</f>
        <v/>
      </c>
      <c r="CH24" s="125">
        <f>IF(OR(CH$4="",$B24=""),0,SUMIF('DADOS BRUTOS'!$A$3:$A$500,$B24,'DADOS BRUTOS'!H$3:H$500)+IF($C24="",0,SUMIF('DADOS BRUTOS'!$A$3:$A$500,$C24,'DADOS BRUTOS'!H$3:H$500)))</f>
        <v/>
      </c>
      <c r="CI24" s="125">
        <f>IF(OR(CI$4="",$B24=""),0,SUMIF('DADOS BRUTOS'!$A$3:$A$500,$B24,'DADOS BRUTOS'!I$3:I$500)+IF($C24="",0,SUMIF('DADOS BRUTOS'!$A$3:$A$500,$C24,'DADOS BRUTOS'!I$3:I$500)))</f>
        <v/>
      </c>
      <c r="CJ24" s="125">
        <f>IF(OR(CJ$4="",$B24=""),0,SUMIF('DADOS BRUTOS'!$A$3:$A$500,$B24,'DADOS BRUTOS'!J$3:J$500)+IF($C24="",0,SUMIF('DADOS BRUTOS'!$A$3:$A$500,$C24,'DADOS BRUTOS'!J$3:J$500)))</f>
        <v/>
      </c>
      <c r="CK24" s="125">
        <f>IF(OR(CK$4="",$B24=""),0,SUMIF('DADOS BRUTOS'!$A$3:$A$500,$B24,'DADOS BRUTOS'!K$3:K$500)+IF($C24="",0,SUMIF('DADOS BRUTOS'!$A$3:$A$500,$C24,'DADOS BRUTOS'!K$3:K$500)))</f>
        <v/>
      </c>
      <c r="CL24" s="125">
        <f>IF(OR(CL$4="",$B24=""),0,SUMIF('DADOS BRUTOS'!$A$3:$A$500,$B24,'DADOS BRUTOS'!L$3:L$500)+IF($C24="",0,SUMIF('DADOS BRUTOS'!$A$3:$A$500,$C24,'DADOS BRUTOS'!L$3:L$500)))</f>
        <v/>
      </c>
      <c r="CM24" s="125">
        <f>IF(OR(CM$4="",$B24=""),0,SUMIF('DADOS BRUTOS'!$A$3:$A$500,$B24,'DADOS BRUTOS'!M$3:M$500)+IF($C24="",0,SUMIF('DADOS BRUTOS'!$A$3:$A$500,$C24,'DADOS BRUTOS'!M$3:M$500)))</f>
        <v/>
      </c>
      <c r="CN24" s="125">
        <f>IF(OR(CN$4="",$B24=""),0,SUMIF('DADOS BRUTOS'!$A$3:$A$500,$B24,'DADOS BRUTOS'!N$3:N$500)+IF($C24="",0,SUMIF('DADOS BRUTOS'!$A$3:$A$500,$C24,'DADOS BRUTOS'!N$3:N$500)))</f>
        <v/>
      </c>
      <c r="CO24" s="125">
        <f>IF(OR(CO$4="",$B24=""),0,SUMIF('DADOS BRUTOS'!$A$3:$A$500,$B24,'DADOS BRUTOS'!O$3:O$500)+IF($C24="",0,SUMIF('DADOS BRUTOS'!$A$3:$A$500,$C24,'DADOS BRUTOS'!O$3:O$500)))</f>
        <v/>
      </c>
      <c r="CP24" s="125">
        <f>IF(OR(CP$4="",$B24=""),0,SUMIF('DADOS BRUTOS'!$A$3:$A$500,$B24,'DADOS BRUTOS'!P$3:P$500)+IF($C24="",0,SUMIF('DADOS BRUTOS'!$A$3:$A$500,$C24,'DADOS BRUTOS'!P$3:P$500)))</f>
        <v/>
      </c>
      <c r="CQ24" s="125">
        <f>IF(OR(CQ$4="",$B24=""),0,SUMIF('DADOS BRUTOS'!$A$3:$A$500,$B24,'DADOS BRUTOS'!Q$3:Q$500)+IF($C24="",0,SUMIF('DADOS BRUTOS'!$A$3:$A$500,$C24,'DADOS BRUTOS'!Q$3:Q$500)))</f>
        <v/>
      </c>
      <c r="CR24" s="125">
        <f>IF(OR(CR$4="",$B24=""),0,SUMIF('DADOS BRUTOS'!$A$3:$A$500,$B24,'DADOS BRUTOS'!R$3:R$500)+IF($C24="",0,SUMIF('DADOS BRUTOS'!$A$3:$A$500,$C24,'DADOS BRUTOS'!R$3:R$500)))</f>
        <v/>
      </c>
      <c r="CS24" s="125">
        <f>IF(OR(CS$4="",$B24=""),0,SUMIF('DADOS BRUTOS'!$A$3:$A$500,$B24,'DADOS BRUTOS'!S$3:S$500)+IF($C24="",0,SUMIF('DADOS BRUTOS'!$A$3:$A$500,$C24,'DADOS BRUTOS'!S$3:S$500)))</f>
        <v/>
      </c>
      <c r="CT24" s="125">
        <f>IF(OR(CT$4="",$B24=""),0,SUMIF('DADOS BRUTOS'!$A$3:$A$500,$B24,'DADOS BRUTOS'!T$3:T$500)+IF($C24="",0,SUMIF('DADOS BRUTOS'!$A$3:$A$500,$C24,'DADOS BRUTOS'!T$3:T$500)))</f>
        <v/>
      </c>
      <c r="CU24" s="125">
        <f>IF(OR(CU$4="",$B24=""),0,SUMIF('DADOS BRUTOS'!$A$3:$A$500,$B24,'DADOS BRUTOS'!U$3:U$500)+IF($C24="",0,SUMIF('DADOS BRUTOS'!$A$3:$A$500,$C24,'DADOS BRUTOS'!U$3:U$500)))</f>
        <v/>
      </c>
      <c r="CV24" s="125">
        <f>IF(OR(CV$4="",$B24=""),0,SUMIF('DADOS BRUTOS'!$A$3:$A$500,$B24,'DADOS BRUTOS'!V$3:V$500)+IF($C24="",0,SUMIF('DADOS BRUTOS'!$A$3:$A$500,$C24,'DADOS BRUTOS'!V$3:V$500)))</f>
        <v/>
      </c>
      <c r="CW24" s="125">
        <f>IF(OR(CW$4="",$B24=""),0,SUMIF('DADOS BRUTOS'!$A$3:$A$500,$B24,'DADOS BRUTOS'!W$3:W$500)+IF($C24="",0,SUMIF('DADOS BRUTOS'!$A$3:$A$500,$C24,'DADOS BRUTOS'!W$3:W$500)))</f>
        <v/>
      </c>
      <c r="CX24" s="125">
        <f>IF(OR(CX$4="",$B24=""),0,SUMIF('DADOS BRUTOS'!$A$3:$A$500,$B24,'DADOS BRUTOS'!X$3:X$500)+IF($C24="",0,SUMIF('DADOS BRUTOS'!$A$3:$A$500,$C24,'DADOS BRUTOS'!X$3:X$500)))</f>
        <v/>
      </c>
      <c r="CY24" s="125">
        <f>IF(OR(CY$4="",$B24=""),0,SUMIF('DADOS BRUTOS'!$A$3:$A$500,$B24,'DADOS BRUTOS'!Y$3:Y$500)+IF($C24="",0,SUMIF('DADOS BRUTOS'!$A$3:$A$500,$C24,'DADOS BRUTOS'!Y$3:Y$500)))</f>
        <v/>
      </c>
      <c r="CZ24" s="125">
        <f>IF(OR(CZ$4="",$B24=""),0,SUMIF('DADOS BRUTOS'!$A$3:$A$500,$B24,'DADOS BRUTOS'!Z$3:Z$500)+IF($C24="",0,SUMIF('DADOS BRUTOS'!$A$3:$A$500,$C24,'DADOS BRUTOS'!Z$3:Z$500)))</f>
        <v/>
      </c>
      <c r="DA24" s="125">
        <f>IF(OR(DA$4="",$B24=""),0,SUMIF('DADOS BRUTOS'!$A$3:$A$500,$B24,'DADOS BRUTOS'!AA$3:AA$500)+IF($C24="",0,SUMIF('DADOS BRUTOS'!$A$3:$A$500,$C24,'DADOS BRUTOS'!AA$3:AA$500)))</f>
        <v/>
      </c>
      <c r="DB24" s="125">
        <f>IF(OR(DB$4="",$B24=""),0,SUMIF('DADOS BRUTOS'!$A$3:$A$500,$B24,'DADOS BRUTOS'!AB$3:AB$500)+IF($C24="",0,SUMIF('DADOS BRUTOS'!$A$3:$A$500,$C24,'DADOS BRUTOS'!AB$3:AB$500)))</f>
        <v/>
      </c>
      <c r="DC24" s="125">
        <f>IF(OR(DC$4="",$B24=""),0,SUMIF('DADOS BRUTOS'!$A$3:$A$500,$B24,'DADOS BRUTOS'!AC$3:AC$500)+IF($C24="",0,SUMIF('DADOS BRUTOS'!$A$3:$A$500,$C24,'DADOS BRUTOS'!AC$3:AC$500)))</f>
        <v/>
      </c>
      <c r="DD24" s="125">
        <f>IF(OR(DD$4="",$B24=""),0,SUMIF('DADOS BRUTOS'!$A$3:$A$500,$B24,'DADOS BRUTOS'!AD$3:AD$500)+IF($C24="",0,SUMIF('DADOS BRUTOS'!$A$3:$A$500,$C24,'DADOS BRUTOS'!AD$3:AD$500)))</f>
        <v/>
      </c>
      <c r="DE24" s="125">
        <f>IF(OR(DE$4="",$B24=""),0,SUMIF('DADOS BRUTOS'!$A$3:$A$500,$B24,'DADOS BRUTOS'!AE$3:AE$500)+IF($C24="",0,SUMIF('DADOS BRUTOS'!$A$3:$A$500,$C24,'DADOS BRUTOS'!AE$3:AE$500)))</f>
        <v/>
      </c>
      <c r="DF24" s="125">
        <f>IF(OR(DF$4="",$B24=""),0,SUMIF('DADOS BRUTOS'!$A$3:$A$500,$B24,'DADOS BRUTOS'!AF$3:AF$500)+IF($C24="",0,SUMIF('DADOS BRUTOS'!$A$3:$A$500,$C24,'DADOS BRUTOS'!AF$3:AF$500)))</f>
        <v/>
      </c>
      <c r="DG24" s="125">
        <f>IF(OR(DG$4="",$B24=""),0,SUMIF('DADOS BRUTOS'!$A$3:$A$500,$B24,'DADOS BRUTOS'!AG$3:AG$500)+IF($C24="",0,SUMIF('DADOS BRUTOS'!$A$3:$A$500,$C24,'DADOS BRUTOS'!AG$3:AG$500)))</f>
        <v/>
      </c>
      <c r="DH24" s="125">
        <f>IF(OR(DH$4="",$B24=""),0,SUMIF('DADOS BRUTOS'!$A$3:$A$500,$B24,'DADOS BRUTOS'!AH$3:AH$500)+IF($C24="",0,SUMIF('DADOS BRUTOS'!$A$3:$A$500,$C24,'DADOS BRUTOS'!AH$3:AH$500)))</f>
        <v/>
      </c>
      <c r="DI24" s="125">
        <f>IF(OR(DI$4="",$B24=""),0,SUMIF('DADOS BRUTOS'!$A$3:$A$500,$B24,'DADOS BRUTOS'!AI$3:AI$500)+IF($C24="",0,SUMIF('DADOS BRUTOS'!$A$3:$A$500,$C24,'DADOS BRUTOS'!AI$3:AI$500)))</f>
        <v/>
      </c>
      <c r="DJ24" s="125">
        <f>IF(OR(DJ$4="",$B24=""),0,SUMIF('DADOS BRUTOS'!$A$3:$A$500,$B24,'DADOS BRUTOS'!AJ$3:AJ$500)+IF($C24="",0,SUMIF('DADOS BRUTOS'!$A$3:$A$500,$C24,'DADOS BRUTOS'!AJ$3:AJ$500)))</f>
        <v/>
      </c>
      <c r="DK24" s="125">
        <f>IF(OR(DK$4="",$B24=""),0,SUMIF('DADOS BRUTOS'!$A$3:$A$500,$B24,'DADOS BRUTOS'!AK$3:AK$500)+IF($C24="",0,SUMIF('DADOS BRUTOS'!$A$3:$A$500,$C24,'DADOS BRUTOS'!AK$3:AK$500)))</f>
        <v/>
      </c>
      <c r="DL24" s="125">
        <f>IF(OR(DL$4="",$B24=""),0,SUMIF('DADOS BRUTOS'!$A$3:$A$500,$B24,'DADOS BRUTOS'!AL$3:AL$500)+IF($C24="",0,SUMIF('DADOS BRUTOS'!$A$3:$A$500,$C24,'DADOS BRUTOS'!AL$3:AL$500)))</f>
        <v/>
      </c>
      <c r="DM24" s="125">
        <f>IF(OR(DM$4="",$B24=""),0,SUMIF('DADOS BRUTOS'!$A$3:$A$500,$B24,'DADOS BRUTOS'!AM$3:AM$500)+IF($C24="",0,SUMIF('DADOS BRUTOS'!$A$3:$A$500,$C24,'DADOS BRUTOS'!AM$3:AM$500)))</f>
        <v/>
      </c>
      <c r="DN24" s="125">
        <f>IF(OR(DN$4="",$B24=""),0,SUMIF('DADOS BRUTOS'!$A$3:$A$500,$B24,'DADOS BRUTOS'!AN$3:AN$500)+IF($C24="",0,SUMIF('DADOS BRUTOS'!$A$3:$A$500,$C24,'DADOS BRUTOS'!AN$3:AN$500)))</f>
        <v/>
      </c>
      <c r="DO24" s="125">
        <f>IF(OR(DO$4="",$B24=""),0,SUMIF('DADOS BRUTOS'!$A$3:$A$500,$B24,'DADOS BRUTOS'!AO$3:AO$500)+IF($C24="",0,SUMIF('DADOS BRUTOS'!$A$3:$A$500,$C24,'DADOS BRUTOS'!AO$3:AO$500)))</f>
        <v/>
      </c>
      <c r="DP24" s="125">
        <f>IF(OR(DP$4="",$B24=""),0,SUMIF('DADOS BRUTOS'!$A$3:$A$500,$B24,'DADOS BRUTOS'!AP$3:AP$500)+IF($C24="",0,SUMIF('DADOS BRUTOS'!$A$3:$A$500,$C24,'DADOS BRUTOS'!AP$3:AP$500)))</f>
        <v/>
      </c>
      <c r="DQ24" s="125">
        <f>IF(OR(DQ$4="",$B24=""),0,SUMIF('DADOS BRUTOS'!$A$3:$A$500,$B24,'DADOS BRUTOS'!AQ$3:AQ$500)+IF($C24="",0,SUMIF('DADOS BRUTOS'!$A$3:$A$500,$C24,'DADOS BRUTOS'!AQ$3:AQ$500)))</f>
        <v/>
      </c>
      <c r="DR24" s="125">
        <f>IF(OR(DR$4="",$B24=""),0,SUMIF('DADOS BRUTOS'!$A$3:$A$500,$B24,'DADOS BRUTOS'!AR$3:AR$500)+IF($C24="",0,SUMIF('DADOS BRUTOS'!$A$3:$A$500,$C24,'DADOS BRUTOS'!AR$3:AR$500)))</f>
        <v/>
      </c>
      <c r="DS24" s="125">
        <f>IF(OR(DS$4="",$B24=""),0,SUMIF('DADOS BRUTOS'!$A$3:$A$500,$B24,'DADOS BRUTOS'!AS$3:AS$500)+IF($C24="",0,SUMIF('DADOS BRUTOS'!$A$3:$A$500,$C24,'DADOS BRUTOS'!AS$3:AS$500)))</f>
        <v/>
      </c>
      <c r="DT24" s="125">
        <f>IF(OR(DT$4="",$B24=""),0,SUMIF('DADOS BRUTOS'!$A$3:$A$500,$B24,'DADOS BRUTOS'!AT$3:AT$500)+IF($C24="",0,SUMIF('DADOS BRUTOS'!$A$3:$A$500,$C24,'DADOS BRUTOS'!AT$3:AT$500)))</f>
        <v/>
      </c>
      <c r="DU24" s="125">
        <f>IF(OR(DU$4="",$B24=""),0,SUMIF('DADOS BRUTOS'!$A$3:$A$500,$B24,'DADOS BRUTOS'!AU$3:AU$500)+IF($C24="",0,SUMIF('DADOS BRUTOS'!$A$3:$A$500,$C24,'DADOS BRUTOS'!AU$3:AU$500)))</f>
        <v/>
      </c>
      <c r="DV24" s="125">
        <f>IF(OR(DV$4="",$B24=""),0,SUMIF('DADOS BRUTOS'!$A$3:$A$500,$B24,'DADOS BRUTOS'!AV$3:AV$500)+IF($C24="",0,SUMIF('DADOS BRUTOS'!$A$3:$A$500,$C24,'DADOS BRUTOS'!AV$3:AV$500)))</f>
        <v/>
      </c>
      <c r="DW24" s="125">
        <f>IF(OR(DW$4="",$B24=""),0,SUMIF('DADOS BRUTOS'!$A$3:$A$500,$B24,'DADOS BRUTOS'!AW$3:AW$500)+IF($C24="",0,SUMIF('DADOS BRUTOS'!$A$3:$A$500,$C24,'DADOS BRUTOS'!AW$3:AW$500)))</f>
        <v/>
      </c>
      <c r="DX24" s="125">
        <f>IF(OR(DX$4="",$B24=""),0,SUMIF('DADOS BRUTOS'!$A$3:$A$500,$B24,'DADOS BRUTOS'!AX$3:AX$500)+IF($C24="",0,SUMIF('DADOS BRUTOS'!$A$3:$A$500,$C24,'DADOS BRUTOS'!AX$3:AX$500)))</f>
        <v/>
      </c>
      <c r="DY24" s="125">
        <f>IF(OR(DY$4="",$B24=""),0,SUMIF('DADOS BRUTOS'!$A$3:$A$500,$B24,'DADOS BRUTOS'!AY$3:AY$500)+IF($C24="",0,SUMIF('DADOS BRUTOS'!$A$3:$A$500,$C24,'DADOS BRUTOS'!AY$3:AY$500)))</f>
        <v/>
      </c>
      <c r="DZ24" s="125">
        <f>IF(OR(DZ$4="",$B24=""),0,SUMIF('DADOS BRUTOS'!$A$3:$A$500,$B24,'DADOS BRUTOS'!AZ$3:AZ$500)+IF($C24="",0,SUMIF('DADOS BRUTOS'!$A$3:$A$500,$C24,'DADOS BRUTOS'!AZ$3:AZ$500)))</f>
        <v/>
      </c>
      <c r="EA24" s="125">
        <f>IF(OR(EA$4="",$B24=""),0,SUMIF('DADOS BRUTOS'!$A$3:$A$500,$B24,'DADOS BRUTOS'!BA$3:BA$500)+IF($C24="",0,SUMIF('DADOS BRUTOS'!$A$3:$A$500,$C24,'DADOS BRUTOS'!BA$3:BA$500)))</f>
        <v/>
      </c>
      <c r="EB24" s="125">
        <f>IF(OR(EB$4="",$B24=""),0,SUMIF('DADOS BRUTOS'!$A$3:$A$500,$B24,'DADOS BRUTOS'!BB$3:BB$500)+IF($C24="",0,SUMIF('DADOS BRUTOS'!$A$3:$A$500,$C24,'DADOS BRUTOS'!BB$3:BB$500)))</f>
        <v/>
      </c>
      <c r="EC24" s="125">
        <f>IF(OR(EC$4="",$B24=""),0,SUMIF('DADOS BRUTOS'!$A$3:$A$500,$B24,'DADOS BRUTOS'!BC$3:BC$500)+IF($C24="",0,SUMIF('DADOS BRUTOS'!$A$3:$A$500,$C24,'DADOS BRUTOS'!BC$3:BC$500)))</f>
        <v/>
      </c>
      <c r="ED24" s="125">
        <f>IF(OR(ED$4="",$B24=""),0,SUMIF('DADOS BRUTOS'!$A$3:$A$500,$B24,'DADOS BRUTOS'!BD$3:BD$500)+IF($C24="",0,SUMIF('DADOS BRUTOS'!$A$3:$A$500,$C24,'DADOS BRUTOS'!BD$3:BD$500)))</f>
        <v/>
      </c>
      <c r="EE24" s="125">
        <f>IF(OR(EE$4="",$B24=""),0,SUMIF('DADOS BRUTOS'!$A$3:$A$500,$B24,'DADOS BRUTOS'!BE$3:BE$500)+IF($C24="",0,SUMIF('DADOS BRUTOS'!$A$3:$A$500,$C24,'DADOS BRUTOS'!BE$3:BE$500)))</f>
        <v/>
      </c>
      <c r="EF24" s="125">
        <f>IF(OR(EF$4="",$B24=""),0,SUMIF('DADOS BRUTOS'!$A$3:$A$500,$B24,'DADOS BRUTOS'!BF$3:BF$500)+IF($C24="",0,SUMIF('DADOS BRUTOS'!$A$3:$A$500,$C24,'DADOS BRUTOS'!BF$3:BF$500)))</f>
        <v/>
      </c>
      <c r="EG24" s="125">
        <f>IF(OR(EG$4="",$B24=""),0,SUMIF('DADOS BRUTOS'!$A$3:$A$500,$B24,'DADOS BRUTOS'!BG$3:BG$500)+IF($C24="",0,SUMIF('DADOS BRUTOS'!$A$3:$A$500,$C24,'DADOS BRUTOS'!BG$3:BG$500)))</f>
        <v/>
      </c>
      <c r="EH24" s="125">
        <f>IF(OR(EH$4="",$B24=""),0,SUMIF('DADOS BRUTOS'!$A$3:$A$500,$B24,'DADOS BRUTOS'!BH$3:BH$500)+IF($C24="",0,SUMIF('DADOS BRUTOS'!$A$3:$A$500,$C24,'DADOS BRUTOS'!BH$3:BH$500)))</f>
        <v/>
      </c>
      <c r="EI24" s="125">
        <f>IF(OR(EI$4="",$B24=""),0,SUMIF('DADOS BRUTOS'!$A$3:$A$500,$B24,'DADOS BRUTOS'!BI$3:BI$500)+IF($C24="",0,SUMIF('DADOS BRUTOS'!$A$3:$A$500,$C24,'DADOS BRUTOS'!BI$3:BI$500)))</f>
        <v/>
      </c>
      <c r="EJ24" s="125">
        <f>IF(OR(EJ$4="",$B24=""),0,SUMIF('DADOS BRUTOS'!$A$3:$A$500,$B24,'DADOS BRUTOS'!BJ$3:BJ$500)+IF($C24="",0,SUMIF('DADOS BRUTOS'!$A$3:$A$500,$C24,'DADOS BRUTOS'!BJ$3:BJ$500)))</f>
        <v/>
      </c>
      <c r="EK24" s="125">
        <f>IF(OR(EK$4="",$B24=""),0,SUMIF('DADOS BRUTOS'!$A$3:$A$500,$B24,'DADOS BRUTOS'!BK$3:BK$500)+IF($C24="",0,SUMIF('DADOS BRUTOS'!$A$3:$A$500,$C24,'DADOS BRUTOS'!BK$3:BK$500)))</f>
        <v/>
      </c>
      <c r="EL24" s="125">
        <f>IF(OR(EL$4="",$B24=""),0,SUMIF('DADOS BRUTOS'!$A$3:$A$500,$B24,'DADOS BRUTOS'!BL$3:BL$500)+IF($C24="",0,SUMIF('DADOS BRUTOS'!$A$3:$A$500,$C24,'DADOS BRUTOS'!BL$3:BL$500)))</f>
        <v/>
      </c>
      <c r="EM24" s="125">
        <f>IF(OR(EM$4="",$B24=""),0,SUMIF('DADOS BRUTOS'!$A$3:$A$500,$B24,'DADOS BRUTOS'!BM$3:BM$500)+IF($C24="",0,SUMIF('DADOS BRUTOS'!$A$3:$A$500,$C24,'DADOS BRUTOS'!BM$3:BM$500)))</f>
        <v/>
      </c>
      <c r="EN24" s="125">
        <f>IF(OR(EN$4="",$B24=""),0,SUMIF('DADOS BRUTOS'!$A$3:$A$500,$B24,'DADOS BRUTOS'!BN$3:BN$500)+IF($C24="",0,SUMIF('DADOS BRUTOS'!$A$3:$A$500,$C24,'DADOS BRUTOS'!BN$3:BN$500)))</f>
        <v/>
      </c>
      <c r="EO24" s="125">
        <f>IF(OR(EO$4="",$B24=""),0,SUMIF('DADOS BRUTOS'!$A$3:$A$500,$B24,'DADOS BRUTOS'!BO$3:BO$500)+IF($C24="",0,SUMIF('DADOS BRUTOS'!$A$3:$A$500,$C24,'DADOS BRUTOS'!BO$3:BO$500)))</f>
        <v/>
      </c>
      <c r="EP24" s="125">
        <f>IF(OR(EP$4="",$B24=""),0,SUMIF('DADOS BRUTOS'!$A$3:$A$500,$B24,'DADOS BRUTOS'!BP$3:BP$500)+IF($C24="",0,SUMIF('DADOS BRUTOS'!$A$3:$A$500,$C24,'DADOS BRUTOS'!BP$3:BP$500)))</f>
        <v/>
      </c>
      <c r="EQ24" s="125">
        <f>IF(OR(EQ$4="",$B24=""),0,SUMIF('DADOS BRUTOS'!$A$3:$A$500,$B24,'DADOS BRUTOS'!BQ$3:BQ$500)+IF($C24="",0,SUMIF('DADOS BRUTOS'!$A$3:$A$500,$C24,'DADOS BRUTOS'!BQ$3:BQ$500)))</f>
        <v/>
      </c>
      <c r="ER24" s="125">
        <f>IF(OR(ER$4="",$B24=""),0,SUMIF('DADOS BRUTOS'!$A$3:$A$500,$B24,'DADOS BRUTOS'!BR$3:BR$500)+IF($C24="",0,SUMIF('DADOS BRUTOS'!$A$3:$A$500,$C24,'DADOS BRUTOS'!BR$3:BR$500)))</f>
        <v/>
      </c>
      <c r="ES24" s="125">
        <f>IF(OR(ES$4="",$B24=""),0,SUMIF('DADOS BRUTOS'!$A$3:$A$500,$B24,'DADOS BRUTOS'!BS$3:BS$500)+IF($C24="",0,SUMIF('DADOS BRUTOS'!$A$3:$A$500,$C24,'DADOS BRUTOS'!BS$3:BS$500)))</f>
        <v/>
      </c>
      <c r="ET24" s="125">
        <f>IF(OR(ET$4="",$B24=""),0,SUMIF('DADOS BRUTOS'!$A$3:$A$500,$B24,'DADOS BRUTOS'!BT$3:BT$500)+IF($C24="",0,SUMIF('DADOS BRUTOS'!$A$3:$A$500,$C24,'DADOS BRUTOS'!BT$3:BT$500)))</f>
        <v/>
      </c>
      <c r="EU24" s="125">
        <f>IF(OR(EU$4="",$B24=""),0,SUMIF('DADOS BRUTOS'!$A$3:$A$500,$B24,'DADOS BRUTOS'!BU$3:BU$500)+IF($C24="",0,SUMIF('DADOS BRUTOS'!$A$3:$A$500,$C24,'DADOS BRUTOS'!BU$3:BU$500)))</f>
        <v/>
      </c>
      <c r="EV24" s="125">
        <f>IF(OR(EV$4="",$B24=""),0,SUMIF('DADOS BRUTOS'!$A$3:$A$500,$B24,'DADOS BRUTOS'!BV$3:BV$500)+IF($C24="",0,SUMIF('DADOS BRUTOS'!$A$3:$A$500,$C24,'DADOS BRUTOS'!BV$3:BV$500)))</f>
        <v/>
      </c>
      <c r="EW24" s="125">
        <f>IF(OR(EW$4="",$B24=""),0,SUMIF('DADOS BRUTOS'!$A$3:$A$500,$B24,'DADOS BRUTOS'!BW$3:BW$500)+IF($C24="",0,SUMIF('DADOS BRUTOS'!$A$3:$A$500,$C24,'DADOS BRUTOS'!BW$3:BW$500)))</f>
        <v/>
      </c>
      <c r="EX24" s="125">
        <f>IF(OR(EX$4="",$B24=""),0,SUMIF('DADOS BRUTOS'!$A$3:$A$500,$B24,'DADOS BRUTOS'!BX$3:BX$500)+IF($C24="",0,SUMIF('DADOS BRUTOS'!$A$3:$A$500,$C24,'DADOS BRUTOS'!BX$3:BX$500)))</f>
        <v/>
      </c>
      <c r="EY24" s="125">
        <f>IF(OR(EY$4="",$B24=""),0,SUMIF('DADOS BRUTOS'!$A$3:$A$500,$B24,'DADOS BRUTOS'!BY$3:BY$500)+IF($C24="",0,SUMIF('DADOS BRUTOS'!$A$3:$A$500,$C24,'DADOS BRUTOS'!BY$3:BY$500)))</f>
        <v/>
      </c>
      <c r="EZ24" s="125">
        <f>IF(OR(EZ$4="",$B24=""),0,SUMIF('DADOS BRUTOS'!$A$3:$A$500,$B24,'DADOS BRUTOS'!BZ$3:BZ$500)+IF($C24="",0,SUMIF('DADOS BRUTOS'!$A$3:$A$500,$C24,'DADOS BRUTOS'!BZ$3:BZ$500)))</f>
        <v/>
      </c>
      <c r="FA24" s="125">
        <f>IF(OR(FA$4="",$B24=""),0,SUMIF('DADOS BRUTOS'!$A$3:$A$500,$B24,'DADOS BRUTOS'!CA$3:CA$500)+IF($C24="",0,SUMIF('DADOS BRUTOS'!$A$3:$A$500,$C24,'DADOS BRUTOS'!CA$3:CA$500)))</f>
        <v/>
      </c>
      <c r="FB24" s="125">
        <f>IF(OR(FB$4="",$B24=""),0,SUMIF('DADOS BRUTOS'!$A$3:$A$500,$B24,'DADOS BRUTOS'!CB$3:CB$500)+IF($C24="",0,SUMIF('DADOS BRUTOS'!$A$3:$A$500,$C24,'DADOS BRUTOS'!CB$3:CB$500)))</f>
        <v/>
      </c>
      <c r="FC24" s="125">
        <f>IF(OR(FC$4="",$B24=""),0,SUMIF('DADOS BRUTOS'!$A$3:$A$500,$B24,'DADOS BRUTOS'!CC$3:CC$500)+IF($C24="",0,SUMIF('DADOS BRUTOS'!$A$3:$A$500,$C24,'DADOS BRUTOS'!CC$3:CC$500)))</f>
        <v/>
      </c>
      <c r="FD24" s="125">
        <f>IF(OR(FD$4="",$B24=""),0,SUMIF('DADOS BRUTOS'!$A$3:$A$500,$B24,'DADOS BRUTOS'!CD$3:CD$500)+IF($C24="",0,SUMIF('DADOS BRUTOS'!$A$3:$A$500,$C24,'DADOS BRUTOS'!CD$3:CD$500)))</f>
        <v/>
      </c>
      <c r="FE24" s="125">
        <f>IF(OR(FE$4="",$B24=""),0,SUMIF('DADOS BRUTOS'!$A$3:$A$500,$B24,'DADOS BRUTOS'!CE$3:CE$500)+IF($C24="",0,SUMIF('DADOS BRUTOS'!$A$3:$A$500,$C24,'DADOS BRUTOS'!CE$3:CE$500)))</f>
        <v/>
      </c>
      <c r="FF24" s="125">
        <f>IF(OR(FF$4="",$B24=""),0,SUMIF('DADOS BRUTOS'!$A$3:$A$500,$B24,'DADOS BRUTOS'!CF$3:CF$500)+IF($C24="",0,SUMIF('DADOS BRUTOS'!$A$3:$A$500,$C24,'DADOS BRUTOS'!CF$3:CF$500)))</f>
        <v/>
      </c>
      <c r="FG24" s="125">
        <f>IF(OR(FG$4="",$B24=""),0,SUMIF('DADOS BRUTOS'!$A$3:$A$500,$B24,'DADOS BRUTOS'!CG$3:CG$500)+IF($C24="",0,SUMIF('DADOS BRUTOS'!$A$3:$A$500,$C24,'DADOS BRUTOS'!CG$3:CG$500)))</f>
        <v/>
      </c>
      <c r="FH24" s="125">
        <f>IF(OR(FH$4="",$B24=""),0,SUMIF('DADOS BRUTOS'!$A$3:$A$500,$B24,'DADOS BRUTOS'!CH$3:CH$500)+IF($C24="",0,SUMIF('DADOS BRUTOS'!$A$3:$A$500,$C24,'DADOS BRUTOS'!CH$3:CH$500)))</f>
        <v/>
      </c>
      <c r="FI24" s="125">
        <f>IF(OR(FI$4="",$B24=""),0,SUMIF('DADOS BRUTOS'!$A$3:$A$500,$B24,'DADOS BRUTOS'!CI$3:CI$500)+IF($C24="",0,SUMIF('DADOS BRUTOS'!$A$3:$A$500,$C24,'DADOS BRUTOS'!CI$3:CI$500)))</f>
        <v/>
      </c>
      <c r="FJ24" s="125">
        <f>IF(OR(FJ$4="",$B24=""),0,SUMIF('DADOS BRUTOS'!$A$3:$A$500,$B24,'DADOS BRUTOS'!CJ$3:CJ$500)+IF($C24="",0,SUMIF('DADOS BRUTOS'!$A$3:$A$500,$C24,'DADOS BRUTOS'!CJ$3:CJ$500)))</f>
        <v/>
      </c>
      <c r="FK24" s="125">
        <f>IF(OR(FK$4="",$B24=""),0,SUMIF('DADOS BRUTOS'!$A$3:$A$500,$B24,'DADOS BRUTOS'!CK$3:CK$500)+IF($C24="",0,SUMIF('DADOS BRUTOS'!$A$3:$A$500,$C24,'DADOS BRUTOS'!CK$3:CK$500)))</f>
        <v/>
      </c>
      <c r="FL24" s="125">
        <f>IF(OR(FL$4="",$B24=""),0,SUMIF('DADOS BRUTOS'!$A$3:$A$500,$B24,'DADOS BRUTOS'!CL$3:CL$500)+IF($C24="",0,SUMIF('DADOS BRUTOS'!$A$3:$A$500,$C24,'DADOS BRUTOS'!CL$3:CL$500)))</f>
        <v/>
      </c>
      <c r="FM24" s="125">
        <f>IF(OR(FM$4="",$B24=""),0,SUMIF('DADOS BRUTOS'!$A$3:$A$500,$B24,'DADOS BRUTOS'!CM$3:CM$500)+IF($C24="",0,SUMIF('DADOS BRUTOS'!$A$3:$A$500,$C24,'DADOS BRUTOS'!CM$3:CM$500)))</f>
        <v/>
      </c>
      <c r="FN24" s="125">
        <f>IF(OR(FN$4="",$B24=""),0,SUMIF('DADOS BRUTOS'!$A$3:$A$500,$B24,'DADOS BRUTOS'!CN$3:CN$500)+IF($C24="",0,SUMIF('DADOS BRUTOS'!$A$3:$A$500,$C24,'DADOS BRUTOS'!CN$3:CN$500)))</f>
        <v/>
      </c>
      <c r="FO24" s="125">
        <f>IF(OR(FO$4="",$B24=""),0,SUMIF('DADOS BRUTOS'!$A$3:$A$500,$B24,'DADOS BRUTOS'!CO$3:CO$500)+IF($C24="",0,SUMIF('DADOS BRUTOS'!$A$3:$A$500,$C24,'DADOS BRUTOS'!CO$3:CO$500)))</f>
        <v/>
      </c>
      <c r="FP24" s="125">
        <f>IF(OR(FP$4="",$B24=""),0,SUMIF('DADOS BRUTOS'!$A$3:$A$500,$B24,'DADOS BRUTOS'!CP$3:CP$500)+IF($C24="",0,SUMIF('DADOS BRUTOS'!$A$3:$A$500,$C24,'DADOS BRUTOS'!CP$3:CP$500)))</f>
        <v/>
      </c>
      <c r="FQ24" s="125">
        <f>IF(OR(FQ$4="",$B24=""),0,SUMIF('DADOS BRUTOS'!$A$3:$A$500,$B24,'DADOS BRUTOS'!CQ$3:CQ$500)+IF($C24="",0,SUMIF('DADOS BRUTOS'!$A$3:$A$500,$C24,'DADOS BRUTOS'!CQ$3:CQ$500)))</f>
        <v/>
      </c>
      <c r="FR24" s="125">
        <f>IF(OR(FR$4="",$B24=""),0,SUMIF('DADOS BRUTOS'!$A$3:$A$500,$B24,'DADOS BRUTOS'!CR$3:CR$500)+IF($C24="",0,SUMIF('DADOS BRUTOS'!$A$3:$A$500,$C24,'DADOS BRUTOS'!CR$3:CR$500)))</f>
        <v/>
      </c>
      <c r="FS24" s="125">
        <f>IF(OR(FS$4="",$B24=""),0,SUMIF('DADOS BRUTOS'!$A$3:$A$500,$B24,'DADOS BRUTOS'!CS$3:CS$500)+IF($C24="",0,SUMIF('DADOS BRUTOS'!$A$3:$A$500,$C24,'DADOS BRUTOS'!CS$3:CS$500)))</f>
        <v/>
      </c>
      <c r="FT24" s="125">
        <f>IF(OR(FT$4="",$B24=""),0,SUMIF('DADOS BRUTOS'!$A$3:$A$500,$B24,'DADOS BRUTOS'!CT$3:CT$500)+IF($C24="",0,SUMIF('DADOS BRUTOS'!$A$3:$A$500,$C24,'DADOS BRUTOS'!CT$3:CT$500)))</f>
        <v/>
      </c>
      <c r="FU24" s="125">
        <f>IF(OR(FU$4="",$B24=""),0,SUMIF('DADOS BRUTOS'!$A$3:$A$500,$B24,'DADOS BRUTOS'!CU$3:CU$500)+IF($C24="",0,SUMIF('DADOS BRUTOS'!$A$3:$A$500,$C24,'DADOS BRUTOS'!CU$3:CU$500)))</f>
        <v/>
      </c>
      <c r="FV24" s="125">
        <f>IF(OR(FV$4="",$B24=""),0,SUMIF('DADOS BRUTOS'!$A$3:$A$500,$B24,'DADOS BRUTOS'!CV$3:CV$500)+IF($C24="",0,SUMIF('DADOS BRUTOS'!$A$3:$A$500,$C24,'DADOS BRUTOS'!CV$3:CV$500)))</f>
        <v/>
      </c>
      <c r="FW24" s="125">
        <f>IF(OR(FW$4="",$B24=""),0,SUMIF('DADOS BRUTOS'!$A$3:$A$500,$B24,'DADOS BRUTOS'!CW$3:CW$500)+IF($C24="",0,SUMIF('DADOS BRUTOS'!$A$3:$A$500,$C24,'DADOS BRUTOS'!CW$3:CW$500)))</f>
        <v/>
      </c>
      <c r="FX24" s="125">
        <f>IF(OR(FX$4="",$B24=""),0,SUMIF('DADOS BRUTOS'!$A$3:$A$500,$B24,'DADOS BRUTOS'!CX$3:CX$500)+IF($C24="",0,SUMIF('DADOS BRUTOS'!$A$3:$A$500,$C24,'DADOS BRUTOS'!CX$3:CX$500)))</f>
        <v/>
      </c>
      <c r="FY24" s="125">
        <f>IF(OR(FY$4="",$B24=""),0,SUMIF('DADOS BRUTOS'!$A$3:$A$500,$B24,'DADOS BRUTOS'!CY$3:CY$500)+IF($C24="",0,SUMIF('DADOS BRUTOS'!$A$3:$A$500,$C24,'DADOS BRUTOS'!CY$3:CY$500)))</f>
        <v/>
      </c>
      <c r="FZ24" s="125">
        <f>IF(OR(FZ$4="",$B24=""),0,SUMIF('DADOS BRUTOS'!$A$3:$A$500,$B24,'DADOS BRUTOS'!CZ$3:CZ$500)+IF($C24="",0,SUMIF('DADOS BRUTOS'!$A$3:$A$500,$C24,'DADOS BRUTOS'!CZ$3:CZ$500)))</f>
        <v/>
      </c>
      <c r="GA24" s="125">
        <f>IF(OR(GA$4="",$B24=""),0,SUMIF('DADOS BRUTOS'!$A$3:$A$500,$B24,'DADOS BRUTOS'!DA$3:DA$500)+IF($C24="",0,SUMIF('DADOS BRUTOS'!$A$3:$A$500,$C24,'DADOS BRUTOS'!DA$3:DA$500)))</f>
        <v/>
      </c>
      <c r="GB24" s="125">
        <f>IF(OR(GB$4="",$B24=""),0,SUMIF('DADOS BRUTOS'!$A$3:$A$500,$B24,'DADOS BRUTOS'!DB$3:DB$500)+IF($C24="",0,SUMIF('DADOS BRUTOS'!$A$3:$A$500,$C24,'DADOS BRUTOS'!DB$3:DB$500)))</f>
        <v/>
      </c>
      <c r="GC24" s="125">
        <f>IF(OR(GC$4="",$B24=""),0,SUMIF('DADOS BRUTOS'!$A$3:$A$500,$B24,'DADOS BRUTOS'!DC$3:DC$500)+IF($C24="",0,SUMIF('DADOS BRUTOS'!$A$3:$A$500,$C24,'DADOS BRUTOS'!DC$3:DC$500)))</f>
        <v/>
      </c>
      <c r="GD24" s="125">
        <f>IF(OR(GD$4="",$B24=""),0,SUMIF('DADOS BRUTOS'!$A$3:$A$500,$B24,'DADOS BRUTOS'!DD$3:DD$500)+IF($C24="",0,SUMIF('DADOS BRUTOS'!$A$3:$A$500,$C24,'DADOS BRUTOS'!DD$3:DD$500)))</f>
        <v/>
      </c>
      <c r="GE24" s="125">
        <f>IF(OR(GE$4="",$B24=""),0,SUMIF('DADOS BRUTOS'!$A$3:$A$500,$B24,'DADOS BRUTOS'!DE$3:DE$500)+IF($C24="",0,SUMIF('DADOS BRUTOS'!$A$3:$A$500,$C24,'DADOS BRUTOS'!DE$3:DE$500)))</f>
        <v/>
      </c>
      <c r="GF24" s="125">
        <f>IF(OR(GF$4="",$B24=""),0,SUMIF('DADOS BRUTOS'!$A$3:$A$500,$B24,'DADOS BRUTOS'!DF$3:DF$500)+IF($C24="",0,SUMIF('DADOS BRUTOS'!$A$3:$A$500,$C24,'DADOS BRUTOS'!DF$3:DF$500)))</f>
        <v/>
      </c>
      <c r="GG24" s="125">
        <f>IF(OR(GG$4="",$B24=""),0,SUMIF('DADOS BRUTOS'!$A$3:$A$500,$B24,'DADOS BRUTOS'!DG$3:DG$500)+IF($C24="",0,SUMIF('DADOS BRUTOS'!$A$3:$A$500,$C24,'DADOS BRUTOS'!DG$3:DG$500)))</f>
        <v/>
      </c>
      <c r="GH24" s="125">
        <f>IF(OR(GH$4="",$B24=""),0,SUMIF('DADOS BRUTOS'!$A$3:$A$500,$B24,'DADOS BRUTOS'!DH$3:DH$500)+IF($C24="",0,SUMIF('DADOS BRUTOS'!$A$3:$A$500,$C24,'DADOS BRUTOS'!DH$3:DH$500)))</f>
        <v/>
      </c>
      <c r="GI24" s="125">
        <f>IF(OR(GI$4="",$B24=""),0,SUMIF('DADOS BRUTOS'!$A$3:$A$500,$B24,'DADOS BRUTOS'!DI$3:DI$500)+IF($C24="",0,SUMIF('DADOS BRUTOS'!$A$3:$A$500,$C24,'DADOS BRUTOS'!DI$3:DI$500)))</f>
        <v/>
      </c>
      <c r="GJ24" s="125">
        <f>IF(OR(GJ$4="",$B24=""),0,SUMIF('DADOS BRUTOS'!$A$3:$A$500,$B24,'DADOS BRUTOS'!DJ$3:DJ$500)+IF($C24="",0,SUMIF('DADOS BRUTOS'!$A$3:$A$500,$C24,'DADOS BRUTOS'!DJ$3:DJ$500)))</f>
        <v/>
      </c>
      <c r="GK24" s="125">
        <f>IF(OR(GK$4="",$B24=""),0,SUMIF('DADOS BRUTOS'!$A$3:$A$500,$B24,'DADOS BRUTOS'!DK$3:DK$500)+IF($C24="",0,SUMIF('DADOS BRUTOS'!$A$3:$A$500,$C24,'DADOS BRUTOS'!DK$3:DK$500)))</f>
        <v/>
      </c>
      <c r="GL24" s="125">
        <f>IF(OR(GL$4="",$B24=""),0,SUMIF('DADOS BRUTOS'!$A$3:$A$500,$B24,'DADOS BRUTOS'!DL$3:DL$500)+IF($C24="",0,SUMIF('DADOS BRUTOS'!$A$3:$A$500,$C24,'DADOS BRUTOS'!DL$3:DL$500)))</f>
        <v/>
      </c>
      <c r="GM24" s="125">
        <f>IF(OR(GM$4="",$B24=""),0,SUMIF('DADOS BRUTOS'!$A$3:$A$500,$B24,'DADOS BRUTOS'!DM$3:DM$500)+IF($C24="",0,SUMIF('DADOS BRUTOS'!$A$3:$A$500,$C24,'DADOS BRUTOS'!DM$3:DM$500)))</f>
        <v/>
      </c>
      <c r="GN24" s="125">
        <f>IF(OR(GN$4="",$B24=""),0,SUMIF('DADOS BRUTOS'!$A$3:$A$500,$B24,'DADOS BRUTOS'!DN$3:DN$500)+IF($C24="",0,SUMIF('DADOS BRUTOS'!$A$3:$A$500,$C24,'DADOS BRUTOS'!DN$3:DN$500)))</f>
        <v/>
      </c>
      <c r="GO24" s="125">
        <f>IF(OR(GO$4="",$B24=""),0,SUMIF('DADOS BRUTOS'!$A$3:$A$500,$B24,'DADOS BRUTOS'!DO$3:DO$500)+IF($C24="",0,SUMIF('DADOS BRUTOS'!$A$3:$A$500,$C24,'DADOS BRUTOS'!DO$3:DO$500)))</f>
        <v/>
      </c>
      <c r="GP24" s="125">
        <f>IF(OR(GP$4="",$B24=""),0,SUMIF('DADOS BRUTOS'!$A$3:$A$500,$B24,'DADOS BRUTOS'!DP$3:DP$500)+IF($C24="",0,SUMIF('DADOS BRUTOS'!$A$3:$A$500,$C24,'DADOS BRUTOS'!DP$3:DP$500)))</f>
        <v/>
      </c>
      <c r="GQ24" s="125">
        <f>IF(OR(GQ$4="",$B24=""),0,SUMIF('DADOS BRUTOS'!$A$3:$A$500,$B24,'DADOS BRUTOS'!DQ$3:DQ$500)+IF($C24="",0,SUMIF('DADOS BRUTOS'!$A$3:$A$500,$C24,'DADOS BRUTOS'!DQ$3:DQ$500)))</f>
        <v/>
      </c>
      <c r="GR24" s="125">
        <f>IF(OR(GR$4="",$B24=""),0,SUMIF('DADOS BRUTOS'!$A$3:$A$500,$B24,'DADOS BRUTOS'!DR$3:DR$500)+IF($C24="",0,SUMIF('DADOS BRUTOS'!$A$3:$A$500,$C24,'DADOS BRUTOS'!DR$3:DR$500)))</f>
        <v/>
      </c>
      <c r="GS24" s="125">
        <f>IF(OR(GS$4="",$B24=""),0,SUMIF('DADOS BRUTOS'!$A$3:$A$500,$B24,'DADOS BRUTOS'!DS$3:DS$500)+IF($C24="",0,SUMIF('DADOS BRUTOS'!$A$3:$A$500,$C24,'DADOS BRUTOS'!DS$3:DS$500)))</f>
        <v/>
      </c>
      <c r="GT24" s="125">
        <f>IF(OR(GT$4="",$B24=""),0,SUMIF('DADOS BRUTOS'!$A$3:$A$500,$B24,'DADOS BRUTOS'!DT$3:DT$500)+IF($C24="",0,SUMIF('DADOS BRUTOS'!$A$3:$A$500,$C24,'DADOS BRUTOS'!DT$3:DT$500)))</f>
        <v/>
      </c>
      <c r="GU24" s="125">
        <f>IF(OR(GU$4="",$B24=""),0,SUMIF('DADOS BRUTOS'!$A$3:$A$500,$B24,'DADOS BRUTOS'!DU$3:DU$500)+IF($C24="",0,SUMIF('DADOS BRUTOS'!$A$3:$A$500,$C24,'DADOS BRUTOS'!DU$3:DU$500)))</f>
        <v/>
      </c>
      <c r="GV24" s="125">
        <f>IF(OR(GV$4="",$B24=""),0,SUMIF('DADOS BRUTOS'!$A$3:$A$500,$B24,'DADOS BRUTOS'!DV$3:DV$500)+IF($C24="",0,SUMIF('DADOS BRUTOS'!$A$3:$A$500,$C24,'DADOS BRUTOS'!DV$3:DV$500)))</f>
        <v/>
      </c>
      <c r="GW24" s="125">
        <f>IF(OR(GW$4="",$B24=""),0,SUMIF('DADOS BRUTOS'!$A$3:$A$500,$B24,'DADOS BRUTOS'!DW$3:DW$500)+IF($C24="",0,SUMIF('DADOS BRUTOS'!$A$3:$A$500,$C24,'DADOS BRUTOS'!DW$3:DW$500)))</f>
        <v/>
      </c>
      <c r="GX24" s="125">
        <f>IF(OR(GX$4="",$B24=""),0,SUMIF('DADOS BRUTOS'!$A$3:$A$500,$B24,'DADOS BRUTOS'!DX$3:DX$500)+IF($C24="",0,SUMIF('DADOS BRUTOS'!$A$3:$A$500,$C24,'DADOS BRUTOS'!DX$3:DX$500)))</f>
        <v/>
      </c>
      <c r="GY24" s="125">
        <f>IF(OR(GY$4="",$B24=""),0,SUMIF('DADOS BRUTOS'!$A$3:$A$500,$B24,'DADOS BRUTOS'!DY$3:DY$500)+IF($C24="",0,SUMIF('DADOS BRUTOS'!$A$3:$A$500,$C24,'DADOS BRUTOS'!DY$3:DY$500)))</f>
        <v/>
      </c>
      <c r="GZ24" s="125">
        <f>IF(OR(GZ$4="",$B24=""),0,SUMIF('DADOS BRUTOS'!$A$3:$A$500,$B24,'DADOS BRUTOS'!DZ$3:DZ$500)+IF($C24="",0,SUMIF('DADOS BRUTOS'!$A$3:$A$500,$C24,'DADOS BRUTOS'!DZ$3:DZ$500)))</f>
        <v/>
      </c>
      <c r="HA24" s="125">
        <f>IF(OR(HA$4="",$B24=""),0,SUMIF('DADOS BRUTOS'!$A$3:$A$500,$B24,'DADOS BRUTOS'!EA$3:EA$500)+IF($C24="",0,SUMIF('DADOS BRUTOS'!$A$3:$A$500,$C24,'DADOS BRUTOS'!EA$3:EA$500)))</f>
        <v/>
      </c>
      <c r="HB24" s="125">
        <f>IF(OR(HB$4="",$B24=""),0,SUMIF('DADOS BRUTOS'!$A$3:$A$500,$B24,'DADOS BRUTOS'!EB$3:EB$500)+IF($C24="",0,SUMIF('DADOS BRUTOS'!$A$3:$A$500,$C24,'DADOS BRUTOS'!EB$3:EB$500)))</f>
        <v/>
      </c>
      <c r="HC24" s="125">
        <f>IF(OR(HC$4="",$B24=""),0,SUMIF('DADOS BRUTOS'!$A$3:$A$500,$B24,'DADOS BRUTOS'!EC$3:EC$500)+IF($C24="",0,SUMIF('DADOS BRUTOS'!$A$3:$A$500,$C24,'DADOS BRUTOS'!EC$3:EC$500)))</f>
        <v/>
      </c>
      <c r="HD24" s="125">
        <f>IF(OR(HD$4="",$B24=""),0,SUMIF('DADOS BRUTOS'!$A$3:$A$500,$B24,'DADOS BRUTOS'!ED$3:ED$500)+IF($C24="",0,SUMIF('DADOS BRUTOS'!$A$3:$A$500,$C24,'DADOS BRUTOS'!ED$3:ED$500)))</f>
        <v/>
      </c>
      <c r="HE24" s="125">
        <f>IF(OR(HE$4="",$B24=""),0,SUMIF('DADOS BRUTOS'!$A$3:$A$500,$B24,'DADOS BRUTOS'!EE$3:EE$500)+IF($C24="",0,SUMIF('DADOS BRUTOS'!$A$3:$A$500,$C24,'DADOS BRUTOS'!EE$3:EE$500)))</f>
        <v/>
      </c>
      <c r="HF24" s="125">
        <f>IF(OR(HF$4="",$B24=""),0,SUMIF('DADOS BRUTOS'!$A$3:$A$500,$B24,'DADOS BRUTOS'!EF$3:EF$500)+IF($C24="",0,SUMIF('DADOS BRUTOS'!$A$3:$A$500,$C24,'DADOS BRUTOS'!EF$3:EF$500)))</f>
        <v/>
      </c>
      <c r="HG24" s="125">
        <f>IF(OR(HG$4="",$B24=""),0,SUMIF('DADOS BRUTOS'!$A$3:$A$500,$B24,'DADOS BRUTOS'!EG$3:EG$500)+IF($C24="",0,SUMIF('DADOS BRUTOS'!$A$3:$A$500,$C24,'DADOS BRUTOS'!EG$3:EG$500)))</f>
        <v/>
      </c>
      <c r="HH24" s="125">
        <f>IF(OR(HH$4="",$B24=""),0,SUMIF('DADOS BRUTOS'!$A$3:$A$500,$B24,'DADOS BRUTOS'!EH$3:EH$500)+IF($C24="",0,SUMIF('DADOS BRUTOS'!$A$3:$A$500,$C24,'DADOS BRUTOS'!EH$3:EH$500)))</f>
        <v/>
      </c>
      <c r="HI24" s="125">
        <f>IF(OR(HI$4="",$B24=""),0,SUMIF('DADOS BRUTOS'!$A$3:$A$500,$B24,'DADOS BRUTOS'!EI$3:EI$500)+IF($C24="",0,SUMIF('DADOS BRUTOS'!$A$3:$A$500,$C24,'DADOS BRUTOS'!EI$3:EI$500)))</f>
        <v/>
      </c>
      <c r="HJ24" s="125">
        <f>IF(OR(HJ$4="",$B24=""),0,SUMIF('DADOS BRUTOS'!$A$3:$A$500,$B24,'DADOS BRUTOS'!EJ$3:EJ$500)+IF($C24="",0,SUMIF('DADOS BRUTOS'!$A$3:$A$500,$C24,'DADOS BRUTOS'!EJ$3:EJ$500)))</f>
        <v/>
      </c>
      <c r="HK24" s="125">
        <f>IF(OR(HK$4="",$B24=""),0,SUMIF('DADOS BRUTOS'!$A$3:$A$500,$B24,'DADOS BRUTOS'!EK$3:EK$500)+IF($C24="",0,SUMIF('DADOS BRUTOS'!$A$3:$A$500,$C24,'DADOS BRUTOS'!EK$3:EK$500)))</f>
        <v/>
      </c>
      <c r="HL24" s="125">
        <f>IF(OR(HL$4="",$B24=""),0,SUMIF('DADOS BRUTOS'!$A$3:$A$500,$B24,'DADOS BRUTOS'!EL$3:EL$500)+IF($C24="",0,SUMIF('DADOS BRUTOS'!$A$3:$A$500,$C24,'DADOS BRUTOS'!EL$3:EL$500)))</f>
        <v/>
      </c>
      <c r="HM24" s="125">
        <f>IF(OR(HM$4="",$B24=""),0,SUMIF('DADOS BRUTOS'!$A$3:$A$500,$B24,'DADOS BRUTOS'!EM$3:EM$500)+IF($C24="",0,SUMIF('DADOS BRUTOS'!$A$3:$A$500,$C24,'DADOS BRUTOS'!EM$3:EM$500)))</f>
        <v/>
      </c>
      <c r="HN24" s="125">
        <f>IF(OR(HN$4="",$B24=""),0,SUMIF('DADOS BRUTOS'!$A$3:$A$500,$B24,'DADOS BRUTOS'!EN$3:EN$500)+IF($C24="",0,SUMIF('DADOS BRUTOS'!$A$3:$A$500,$C24,'DADOS BRUTOS'!EN$3:EN$500)))</f>
        <v/>
      </c>
      <c r="HO24" s="125">
        <f>IF(OR(HO$4="",$B24=""),0,SUMIF('DADOS BRUTOS'!$A$3:$A$500,$B24,'DADOS BRUTOS'!EO$3:EO$500)+IF($C24="",0,SUMIF('DADOS BRUTOS'!$A$3:$A$500,$C24,'DADOS BRUTOS'!EO$3:EO$500)))</f>
        <v/>
      </c>
      <c r="HP24" s="125">
        <f>IF(OR(HP$4="",$B24=""),0,SUMIF('DADOS BRUTOS'!$A$3:$A$500,$B24,'DADOS BRUTOS'!EP$3:EP$500)+IF($C24="",0,SUMIF('DADOS BRUTOS'!$A$3:$A$500,$C24,'DADOS BRUTOS'!EP$3:EP$500)))</f>
        <v/>
      </c>
      <c r="HQ24" s="125">
        <f>IF(OR(HQ$4="",$B24=""),0,SUMIF('DADOS BRUTOS'!$A$3:$A$500,$B24,'DADOS BRUTOS'!EQ$3:EQ$500)+IF($C24="",0,SUMIF('DADOS BRUTOS'!$A$3:$A$500,$C24,'DADOS BRUTOS'!EQ$3:EQ$500)))</f>
        <v/>
      </c>
      <c r="HR24" s="125">
        <f>IF(OR(HR$4="",$B24=""),0,SUMIF('DADOS BRUTOS'!$A$3:$A$500,$B24,'DADOS BRUTOS'!ER$3:ER$500)+IF($C24="",0,SUMIF('DADOS BRUTOS'!$A$3:$A$500,$C24,'DADOS BRUTOS'!ER$3:ER$500)))</f>
        <v/>
      </c>
      <c r="HS24" s="125">
        <f>IF(OR(HS$4="",$B24=""),0,SUMIF('DADOS BRUTOS'!$A$3:$A$500,$B24,'DADOS BRUTOS'!ES$3:ES$500)+IF($C24="",0,SUMIF('DADOS BRUTOS'!$A$3:$A$500,$C24,'DADOS BRUTOS'!ES$3:ES$500)))</f>
        <v/>
      </c>
      <c r="HT24" s="125">
        <f>IF(OR(HT$4="",$B24=""),0,SUMIF('DADOS BRUTOS'!$A$3:$A$500,$B24,'DADOS BRUTOS'!ET$3:ET$500)+IF($C24="",0,SUMIF('DADOS BRUTOS'!$A$3:$A$500,$C24,'DADOS BRUTOS'!ET$3:ET$500)))</f>
        <v/>
      </c>
      <c r="HU24" s="125">
        <f>IF(OR(HU$4="",$B24=""),0,SUMIF('DADOS BRUTOS'!$A$3:$A$500,$B24,'DADOS BRUTOS'!EU$3:EU$500)+IF($C24="",0,SUMIF('DADOS BRUTOS'!$A$3:$A$500,$C24,'DADOS BRUTOS'!EU$3:EU$500)))</f>
        <v/>
      </c>
      <c r="HV24" s="125">
        <f>IF(OR(HV$4="",$B24=""),0,SUMIF('DADOS BRUTOS'!$A$3:$A$500,$B24,'DADOS BRUTOS'!EV$3:EV$500)+IF($C24="",0,SUMIF('DADOS BRUTOS'!$A$3:$A$500,$C24,'DADOS BRUTOS'!EV$3:EV$500)))</f>
        <v/>
      </c>
      <c r="HW24" s="125">
        <f>IF(OR(HW$4="",$B24=""),0,SUMIF('DADOS BRUTOS'!$A$3:$A$500,$B24,'DADOS BRUTOS'!EW$3:EW$500)+IF($C24="",0,SUMIF('DADOS BRUTOS'!$A$3:$A$500,$C24,'DADOS BRUTOS'!EW$3:EW$500)))</f>
        <v/>
      </c>
      <c r="HX24" s="125">
        <f>IF(OR(HX$4="",$B24=""),0,SUMIF('DADOS BRUTOS'!$A$3:$A$500,$B24,'DADOS BRUTOS'!EX$3:EX$500)+IF($C24="",0,SUMIF('DADOS BRUTOS'!$A$3:$A$500,$C24,'DADOS BRUTOS'!EX$3:EX$500)))</f>
        <v/>
      </c>
      <c r="HY24" s="125">
        <f>IF(OR(HY$4="",$B24=""),0,SUMIF('DADOS BRUTOS'!$A$3:$A$500,$B24,'DADOS BRUTOS'!EY$3:EY$500)+IF($C24="",0,SUMIF('DADOS BRUTOS'!$A$3:$A$500,$C24,'DADOS BRUTOS'!EY$3:EY$500)))</f>
        <v/>
      </c>
      <c r="HZ24" s="125">
        <f>IF(OR(HZ$4="",$B24=""),0,SUMIF('DADOS BRUTOS'!$A$3:$A$500,$B24,'DADOS BRUTOS'!EZ$3:EZ$500)+IF($C24="",0,SUMIF('DADOS BRUTOS'!$A$3:$A$500,$C24,'DADOS BRUTOS'!EZ$3:EZ$500)))</f>
        <v/>
      </c>
      <c r="IA24" s="125">
        <f>IF(OR(IA$4="",$B24=""),0,SUMIF('DADOS BRUTOS'!$A$3:$A$500,$B24,'DADOS BRUTOS'!FA$3:FA$500)+IF($C24="",0,SUMIF('DADOS BRUTOS'!$A$3:$A$500,$C24,'DADOS BRUTOS'!FA$3:FA$500)))</f>
        <v/>
      </c>
      <c r="IB24" s="125">
        <f>IF(OR(IB$4="",$B24=""),0,SUMIF('DADOS BRUTOS'!$A$3:$A$500,$B24,'DADOS BRUTOS'!FB$3:FB$500)+IF($C24="",0,SUMIF('DADOS BRUTOS'!$A$3:$A$500,$C24,'DADOS BRUTOS'!FB$3:FB$500)))</f>
        <v/>
      </c>
      <c r="IC24" s="125">
        <f>IF(OR(IC$4="",$B24=""),0,SUMIF('DADOS BRUTOS'!$A$3:$A$500,$B24,'DADOS BRUTOS'!FC$3:FC$500)+IF($C24="",0,SUMIF('DADOS BRUTOS'!$A$3:$A$500,$C24,'DADOS BRUTOS'!FC$3:FC$500)))</f>
        <v/>
      </c>
      <c r="ID24" s="125">
        <f>IF(OR(ID$4="",$B24=""),0,SUMIF('DADOS BRUTOS'!$A$3:$A$500,$B24,'DADOS BRUTOS'!FD$3:FD$500)+IF($C24="",0,SUMIF('DADOS BRUTOS'!$A$3:$A$500,$C24,'DADOS BRUTOS'!FD$3:FD$500)))</f>
        <v/>
      </c>
      <c r="IE24" s="125">
        <f>IF(OR(IE$4="",$B24=""),0,SUMIF('DADOS BRUTOS'!$A$3:$A$500,$B24,'DADOS BRUTOS'!FE$3:FE$500)+IF($C24="",0,SUMIF('DADOS BRUTOS'!$A$3:$A$500,$C24,'DADOS BRUTOS'!FE$3:FE$500)))</f>
        <v/>
      </c>
      <c r="IF24" s="125">
        <f>IF(OR(IF$4="",$B24=""),0,SUMIF('DADOS BRUTOS'!$A$3:$A$500,$B24,'DADOS BRUTOS'!FF$3:FF$500)+IF($C24="",0,SUMIF('DADOS BRUTOS'!$A$3:$A$500,$C24,'DADOS BRUTOS'!FF$3:FF$500)))</f>
        <v/>
      </c>
      <c r="IG24" s="125">
        <f>IF(OR(IG$4="",$B24=""),0,SUMIF('DADOS BRUTOS'!$A$3:$A$500,$B24,'DADOS BRUTOS'!FG$3:FG$500)+IF($C24="",0,SUMIF('DADOS BRUTOS'!$A$3:$A$500,$C24,'DADOS BRUTOS'!FG$3:FG$500)))</f>
        <v/>
      </c>
      <c r="IH24" s="125">
        <f>IF(OR(IH$4="",$B24=""),0,SUMIF('DADOS BRUTOS'!$A$3:$A$500,$B24,'DADOS BRUTOS'!FH$3:FH$500)+IF($C24="",0,SUMIF('DADOS BRUTOS'!$A$3:$A$500,$C24,'DADOS BRUTOS'!FH$3:FH$500)))</f>
        <v/>
      </c>
      <c r="II24" s="125">
        <f>IF(OR(II$4="",$B24=""),0,SUMIF('DADOS BRUTOS'!$A$3:$A$500,$B24,'DADOS BRUTOS'!FI$3:FI$500)+IF($C24="",0,SUMIF('DADOS BRUTOS'!$A$3:$A$500,$C24,'DADOS BRUTOS'!FI$3:FI$500)))</f>
        <v/>
      </c>
      <c r="IJ24" s="125">
        <f>IF(OR(IJ$4="",$B24=""),0,SUMIF('DADOS BRUTOS'!$A$3:$A$500,$B24,'DADOS BRUTOS'!FJ$3:FJ$500)+IF($C24="",0,SUMIF('DADOS BRUTOS'!$A$3:$A$500,$C24,'DADOS BRUTOS'!FJ$3:FJ$500)))</f>
        <v/>
      </c>
      <c r="IK24" s="125">
        <f>IF(OR(IK$4="",$B24=""),0,SUMIF('DADOS BRUTOS'!$A$3:$A$500,$B24,'DADOS BRUTOS'!FK$3:FK$500)+IF($C24="",0,SUMIF('DADOS BRUTOS'!$A$3:$A$500,$C24,'DADOS BRUTOS'!FK$3:FK$500)))</f>
        <v/>
      </c>
      <c r="IL24" s="125">
        <f>IF(OR(IL$4="",$B24=""),0,SUMIF('DADOS BRUTOS'!$A$3:$A$500,$B24,'DADOS BRUTOS'!FL$3:FL$500)+IF($C24="",0,SUMIF('DADOS BRUTOS'!$A$3:$A$500,$C24,'DADOS BRUTOS'!FL$3:FL$500)))</f>
        <v/>
      </c>
      <c r="IM24" s="125">
        <f>IF(OR(IM$4="",$B24=""),0,SUMIF('DADOS BRUTOS'!$A$3:$A$500,$B24,'DADOS BRUTOS'!FM$3:FM$500)+IF($C24="",0,SUMIF('DADOS BRUTOS'!$A$3:$A$500,$C24,'DADOS BRUTOS'!FM$3:FM$500)))</f>
        <v/>
      </c>
      <c r="IN24" s="125">
        <f>IF(OR(IN$4="",$B24=""),0,SUMIF('DADOS BRUTOS'!$A$3:$A$500,$B24,'DADOS BRUTOS'!FN$3:FN$500)+IF($C24="",0,SUMIF('DADOS BRUTOS'!$A$3:$A$500,$C24,'DADOS BRUTOS'!FN$3:FN$500)))</f>
        <v/>
      </c>
      <c r="IO24" s="125">
        <f>IF(OR(IO$4="",$B24=""),0,SUMIF('DADOS BRUTOS'!$A$3:$A$500,$B24,'DADOS BRUTOS'!FO$3:FO$500)+IF($C24="",0,SUMIF('DADOS BRUTOS'!$A$3:$A$500,$C24,'DADOS BRUTOS'!FO$3:FO$500)))</f>
        <v/>
      </c>
      <c r="IP24" s="125">
        <f>IF(OR(IP$4="",$B24=""),0,SUMIF('DADOS BRUTOS'!$A$3:$A$500,$B24,'DADOS BRUTOS'!FP$3:FP$500)+IF($C24="",0,SUMIF('DADOS BRUTOS'!$A$3:$A$500,$C24,'DADOS BRUTOS'!FP$3:FP$500)))</f>
        <v/>
      </c>
      <c r="IQ24" s="125">
        <f>IF(OR(IQ$4="",$B24=""),0,SUMIF('DADOS BRUTOS'!$A$3:$A$500,$B24,'DADOS BRUTOS'!FQ$3:FQ$500)+IF($C24="",0,SUMIF('DADOS BRUTOS'!$A$3:$A$500,$C24,'DADOS BRUTOS'!FQ$3:FQ$500)))</f>
        <v/>
      </c>
      <c r="IR24" s="125">
        <f>IF(OR(IR$4="",$B24=""),0,SUMIF('DADOS BRUTOS'!$A$3:$A$500,$B24,'DADOS BRUTOS'!FR$3:FR$500)+IF($C24="",0,SUMIF('DADOS BRUTOS'!$A$3:$A$500,$C24,'DADOS BRUTOS'!FR$3:FR$500)))</f>
        <v/>
      </c>
      <c r="IS24" s="125">
        <f>IF(OR(IS$4="",$B24=""),0,SUMIF('DADOS BRUTOS'!$A$3:$A$500,$B24,'DADOS BRUTOS'!FS$3:FS$500)+IF($C24="",0,SUMIF('DADOS BRUTOS'!$A$3:$A$500,$C24,'DADOS BRUTOS'!FS$3:FS$500)))</f>
        <v/>
      </c>
      <c r="IT24" s="125">
        <f>IF(OR(IT$4="",$B24=""),0,SUMIF('DADOS BRUTOS'!$A$3:$A$500,$B24,'DADOS BRUTOS'!FT$3:FT$500)+IF($C24="",0,SUMIF('DADOS BRUTOS'!$A$3:$A$500,$C24,'DADOS BRUTOS'!FT$3:FT$500)))</f>
        <v/>
      </c>
      <c r="IU24" s="125">
        <f>IF(OR(IU$4="",$B24=""),0,SUMIF('DADOS BRUTOS'!$A$3:$A$500,$B24,'DADOS BRUTOS'!FU$3:FU$500)+IF($C24="",0,SUMIF('DADOS BRUTOS'!$A$3:$A$500,$C24,'DADOS BRUTOS'!FU$3:FU$500)))</f>
        <v/>
      </c>
      <c r="IV24" s="125">
        <f>IF(OR(IV$4="",$B24=""),0,SUMIF('DADOS BRUTOS'!$A$3:$A$500,$B24,'DADOS BRUTOS'!FV$3:FV$500)+IF($C24="",0,SUMIF('DADOS BRUTOS'!$A$3:$A$500,$C24,'DADOS BRUTOS'!FV$3:FV$500)))</f>
        <v/>
      </c>
      <c r="IW24" s="125">
        <f>IF(OR(IW$4="",$B24=""),0,SUMIF('DADOS BRUTOS'!$A$3:$A$500,$B24,'DADOS BRUTOS'!FW$3:FW$500)+IF($C24="",0,SUMIF('DADOS BRUTOS'!$A$3:$A$500,$C24,'DADOS BRUTOS'!FW$3:FW$500)))</f>
        <v/>
      </c>
      <c r="IX24" s="125">
        <f>IF(OR(IX$4="",$B24=""),0,SUMIF('DADOS BRUTOS'!$A$3:$A$500,$B24,'DADOS BRUTOS'!FX$3:FX$500)+IF($C24="",0,SUMIF('DADOS BRUTOS'!$A$3:$A$500,$C24,'DADOS BRUTOS'!FX$3:FX$500)))</f>
        <v/>
      </c>
      <c r="IY24" s="125">
        <f>IF(OR(IY$4="",$B24=""),0,SUMIF('DADOS BRUTOS'!$A$3:$A$500,$B24,'DADOS BRUTOS'!FY$3:FY$500)+IF($C24="",0,SUMIF('DADOS BRUTOS'!$A$3:$A$500,$C24,'DADOS BRUTOS'!FY$3:FY$500)))</f>
        <v/>
      </c>
      <c r="IZ24" s="125">
        <f>IF(OR(IZ$4="",$B24=""),0,SUMIF('DADOS BRUTOS'!$A$3:$A$500,$B24,'DADOS BRUTOS'!FZ$3:FZ$500)+IF($C24="",0,SUMIF('DADOS BRUTOS'!$A$3:$A$500,$C24,'DADOS BRUTOS'!FZ$3:FZ$500)))</f>
        <v/>
      </c>
      <c r="JA24" s="125">
        <f>IF(OR(JA$4="",$B24=""),0,SUMIF('DADOS BRUTOS'!$A$3:$A$500,$B24,'DADOS BRUTOS'!GA$3:GA$500)+IF($C24="",0,SUMIF('DADOS BRUTOS'!$A$3:$A$500,$C24,'DADOS BRUTOS'!GA$3:GA$500)))</f>
        <v/>
      </c>
      <c r="JB24" s="125">
        <f>IF(OR(JB$4="",$B24=""),0,SUMIF('DADOS BRUTOS'!$A$3:$A$500,$B24,'DADOS BRUTOS'!GB$3:GB$500)+IF($C24="",0,SUMIF('DADOS BRUTOS'!$A$3:$A$500,$C24,'DADOS BRUTOS'!GB$3:GB$500)))</f>
        <v/>
      </c>
      <c r="JC24" s="125">
        <f>IF(OR(JC$4="",$B24=""),0,SUMIF('DADOS BRUTOS'!$A$3:$A$500,$B24,'DADOS BRUTOS'!GC$3:GC$500)+IF($C24="",0,SUMIF('DADOS BRUTOS'!$A$3:$A$500,$C24,'DADOS BRUTOS'!GC$3:GC$500)))</f>
        <v/>
      </c>
      <c r="JD24" s="125">
        <f>IF(OR(JD$4="",$B24=""),0,SUMIF('DADOS BRUTOS'!$A$3:$A$500,$B24,'DADOS BRUTOS'!GD$3:GD$500)+IF($C24="",0,SUMIF('DADOS BRUTOS'!$A$3:$A$500,$C24,'DADOS BRUTOS'!GD$3:GD$500)))</f>
        <v/>
      </c>
      <c r="JE24" s="125">
        <f>IF(OR(JE$4="",$B24=""),0,SUMIF('DADOS BRUTOS'!$A$3:$A$500,$B24,'DADOS BRUTOS'!GE$3:GE$500)+IF($C24="",0,SUMIF('DADOS BRUTOS'!$A$3:$A$500,$C24,'DADOS BRUTOS'!GE$3:GE$500)))</f>
        <v/>
      </c>
      <c r="JF24" s="125">
        <f>IF(OR(JF$4="",$B24=""),0,SUMIF('DADOS BRUTOS'!$A$3:$A$500,$B24,'DADOS BRUTOS'!GF$3:GF$500)+IF($C24="",0,SUMIF('DADOS BRUTOS'!$A$3:$A$500,$C24,'DADOS BRUTOS'!GF$3:GF$500)))</f>
        <v/>
      </c>
      <c r="JG24" s="125">
        <f>IF(OR(JG$4="",$B24=""),0,SUMIF('DADOS BRUTOS'!$A$3:$A$500,$B24,'DADOS BRUTOS'!GG$3:GG$500)+IF($C24="",0,SUMIF('DADOS BRUTOS'!$A$3:$A$500,$C24,'DADOS BRUTOS'!GG$3:GG$500)))</f>
        <v/>
      </c>
      <c r="JH24" s="125">
        <f>IF(OR(JH$4="",$B24=""),0,SUMIF('DADOS BRUTOS'!$A$3:$A$500,$B24,'DADOS BRUTOS'!GH$3:GH$500)+IF($C24="",0,SUMIF('DADOS BRUTOS'!$A$3:$A$500,$C24,'DADOS BRUTOS'!GH$3:GH$500)))</f>
        <v/>
      </c>
      <c r="JI24" s="125">
        <f>IF(OR(JI$4="",$B24=""),0,SUMIF('DADOS BRUTOS'!$A$3:$A$500,$B24,'DADOS BRUTOS'!GI$3:GI$500)+IF($C24="",0,SUMIF('DADOS BRUTOS'!$A$3:$A$500,$C24,'DADOS BRUTOS'!GI$3:GI$500)))</f>
        <v/>
      </c>
      <c r="JJ24" s="125">
        <f>IF(OR(JJ$4="",$B24=""),0,SUMIF('DADOS BRUTOS'!$A$3:$A$500,$B24,'DADOS BRUTOS'!GJ$3:GJ$500)+IF($C24="",0,SUMIF('DADOS BRUTOS'!$A$3:$A$500,$C24,'DADOS BRUTOS'!GJ$3:GJ$500)))</f>
        <v/>
      </c>
      <c r="JK24" s="125">
        <f>IF(OR(JK$4="",$B24=""),0,SUMIF('DADOS BRUTOS'!$A$3:$A$500,$B24,'DADOS BRUTOS'!GK$3:GK$500)+IF($C24="",0,SUMIF('DADOS BRUTOS'!$A$3:$A$500,$C24,'DADOS BRUTOS'!GK$3:GK$500)))</f>
        <v/>
      </c>
      <c r="JL24" s="125">
        <f>IF(OR(JL$4="",$B24=""),0,SUMIF('DADOS BRUTOS'!$A$3:$A$500,$B24,'DADOS BRUTOS'!GL$3:GL$500)+IF($C24="",0,SUMIF('DADOS BRUTOS'!$A$3:$A$500,$C24,'DADOS BRUTOS'!GL$3:GL$500)))</f>
        <v/>
      </c>
      <c r="JM24" s="125">
        <f>IF(OR(JM$4="",$B24=""),0,SUMIF('DADOS BRUTOS'!$A$3:$A$500,$B24,'DADOS BRUTOS'!GM$3:GM$500)+IF($C24="",0,SUMIF('DADOS BRUTOS'!$A$3:$A$500,$C24,'DADOS BRUTOS'!GM$3:GM$500)))</f>
        <v/>
      </c>
      <c r="JN24" s="125">
        <f>IF(OR(JN$4="",$B24=""),0,SUMIF('DADOS BRUTOS'!$A$3:$A$500,$B24,'DADOS BRUTOS'!GN$3:GN$500)+IF($C24="",0,SUMIF('DADOS BRUTOS'!$A$3:$A$500,$C24,'DADOS BRUTOS'!GN$3:GN$500)))</f>
        <v/>
      </c>
      <c r="JO24" s="125">
        <f>IF(OR(JO$4="",$B24=""),0,SUMIF('DADOS BRUTOS'!$A$3:$A$500,$B24,'DADOS BRUTOS'!GO$3:GO$500)+IF($C24="",0,SUMIF('DADOS BRUTOS'!$A$3:$A$500,$C24,'DADOS BRUTOS'!GO$3:GO$500)))</f>
        <v/>
      </c>
      <c r="JP24" s="125">
        <f>IF(OR(JP$4="",$B24=""),0,SUMIF('DADOS BRUTOS'!$A$3:$A$500,$B24,'DADOS BRUTOS'!GP$3:GP$500)+IF($C24="",0,SUMIF('DADOS BRUTOS'!$A$3:$A$500,$C24,'DADOS BRUTOS'!GP$3:GP$500)))</f>
        <v/>
      </c>
      <c r="JQ24" s="125">
        <f>IF(OR(JQ$4="",$B24=""),0,SUMIF('DADOS BRUTOS'!$A$3:$A$500,$B24,'DADOS BRUTOS'!GQ$3:GQ$500)+IF($C24="",0,SUMIF('DADOS BRUTOS'!$A$3:$A$500,$C24,'DADOS BRUTOS'!GQ$3:GQ$500)))</f>
        <v/>
      </c>
      <c r="JR24" s="125">
        <f>IF(OR(JR$4="",$B24=""),0,SUMIF('DADOS BRUTOS'!$A$3:$A$500,$B24,'DADOS BRUTOS'!GR$3:GR$500)+IF($C24="",0,SUMIF('DADOS BRUTOS'!$A$3:$A$500,$C24,'DADOS BRUTOS'!GR$3:GR$500)))</f>
        <v/>
      </c>
      <c r="JS24" s="125">
        <f>IF(OR(JS$4="",$B24=""),0,SUMIF('DADOS BRUTOS'!$A$3:$A$500,$B24,'DADOS BRUTOS'!GS$3:GS$500)+IF($C24="",0,SUMIF('DADOS BRUTOS'!$A$3:$A$500,$C24,'DADOS BRUTOS'!GS$3:GS$500)))</f>
        <v/>
      </c>
    </row>
    <row r="25">
      <c r="A25" s="61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BZ25" s="49">
        <f>SUMPRODUCT(($CB$4:$JS$4&lt;&gt;"")*($CB$4:$JS$4&lt;=$D$4),$CB25:$JS25,$CB$1:$JS$1)</f>
        <v/>
      </c>
      <c r="CB25" s="125">
        <f>IF(OR(CB$4="",$B25=""),0,SUMIF('DADOS BRUTOS'!$A$3:$A$500,$B25,'DADOS BRUTOS'!B$3:B$500)+IF($C25="",0,SUMIF('DADOS BRUTOS'!$A$3:$A$500,$C25,'DADOS BRUTOS'!B$3:B$500)))</f>
        <v/>
      </c>
      <c r="CC25" s="125">
        <f>IF(OR(CC$4="",$B25=""),0,SUMIF('DADOS BRUTOS'!$A$3:$A$500,$B25,'DADOS BRUTOS'!C$3:C$500)+IF($C25="",0,SUMIF('DADOS BRUTOS'!$A$3:$A$500,$C25,'DADOS BRUTOS'!C$3:C$500)))</f>
        <v/>
      </c>
      <c r="CD25" s="125">
        <f>IF(OR(CD$4="",$B25=""),0,SUMIF('DADOS BRUTOS'!$A$3:$A$500,$B25,'DADOS BRUTOS'!D$3:D$500)+IF($C25="",0,SUMIF('DADOS BRUTOS'!$A$3:$A$500,$C25,'DADOS BRUTOS'!D$3:D$500)))</f>
        <v/>
      </c>
      <c r="CE25" s="125">
        <f>IF(OR(CE$4="",$B25=""),0,SUMIF('DADOS BRUTOS'!$A$3:$A$500,$B25,'DADOS BRUTOS'!E$3:E$500)+IF($C25="",0,SUMIF('DADOS BRUTOS'!$A$3:$A$500,$C25,'DADOS BRUTOS'!E$3:E$500)))</f>
        <v/>
      </c>
      <c r="CF25" s="125">
        <f>IF(OR(CF$4="",$B25=""),0,SUMIF('DADOS BRUTOS'!$A$3:$A$500,$B25,'DADOS BRUTOS'!F$3:F$500)+IF($C25="",0,SUMIF('DADOS BRUTOS'!$A$3:$A$500,$C25,'DADOS BRUTOS'!F$3:F$500)))</f>
        <v/>
      </c>
      <c r="CG25" s="125">
        <f>IF(OR(CG$4="",$B25=""),0,SUMIF('DADOS BRUTOS'!$A$3:$A$500,$B25,'DADOS BRUTOS'!G$3:G$500)+IF($C25="",0,SUMIF('DADOS BRUTOS'!$A$3:$A$500,$C25,'DADOS BRUTOS'!G$3:G$500)))</f>
        <v/>
      </c>
      <c r="CH25" s="125">
        <f>IF(OR(CH$4="",$B25=""),0,SUMIF('DADOS BRUTOS'!$A$3:$A$500,$B25,'DADOS BRUTOS'!H$3:H$500)+IF($C25="",0,SUMIF('DADOS BRUTOS'!$A$3:$A$500,$C25,'DADOS BRUTOS'!H$3:H$500)))</f>
        <v/>
      </c>
      <c r="CI25" s="125">
        <f>IF(OR(CI$4="",$B25=""),0,SUMIF('DADOS BRUTOS'!$A$3:$A$500,$B25,'DADOS BRUTOS'!I$3:I$500)+IF($C25="",0,SUMIF('DADOS BRUTOS'!$A$3:$A$500,$C25,'DADOS BRUTOS'!I$3:I$500)))</f>
        <v/>
      </c>
      <c r="CJ25" s="125">
        <f>IF(OR(CJ$4="",$B25=""),0,SUMIF('DADOS BRUTOS'!$A$3:$A$500,$B25,'DADOS BRUTOS'!J$3:J$500)+IF($C25="",0,SUMIF('DADOS BRUTOS'!$A$3:$A$500,$C25,'DADOS BRUTOS'!J$3:J$500)))</f>
        <v/>
      </c>
      <c r="CK25" s="125">
        <f>IF(OR(CK$4="",$B25=""),0,SUMIF('DADOS BRUTOS'!$A$3:$A$500,$B25,'DADOS BRUTOS'!K$3:K$500)+IF($C25="",0,SUMIF('DADOS BRUTOS'!$A$3:$A$500,$C25,'DADOS BRUTOS'!K$3:K$500)))</f>
        <v/>
      </c>
      <c r="CL25" s="125">
        <f>IF(OR(CL$4="",$B25=""),0,SUMIF('DADOS BRUTOS'!$A$3:$A$500,$B25,'DADOS BRUTOS'!L$3:L$500)+IF($C25="",0,SUMIF('DADOS BRUTOS'!$A$3:$A$500,$C25,'DADOS BRUTOS'!L$3:L$500)))</f>
        <v/>
      </c>
      <c r="CM25" s="125">
        <f>IF(OR(CM$4="",$B25=""),0,SUMIF('DADOS BRUTOS'!$A$3:$A$500,$B25,'DADOS BRUTOS'!M$3:M$500)+IF($C25="",0,SUMIF('DADOS BRUTOS'!$A$3:$A$500,$C25,'DADOS BRUTOS'!M$3:M$500)))</f>
        <v/>
      </c>
      <c r="CN25" s="125">
        <f>IF(OR(CN$4="",$B25=""),0,SUMIF('DADOS BRUTOS'!$A$3:$A$500,$B25,'DADOS BRUTOS'!N$3:N$500)+IF($C25="",0,SUMIF('DADOS BRUTOS'!$A$3:$A$500,$C25,'DADOS BRUTOS'!N$3:N$500)))</f>
        <v/>
      </c>
      <c r="CO25" s="125">
        <f>IF(OR(CO$4="",$B25=""),0,SUMIF('DADOS BRUTOS'!$A$3:$A$500,$B25,'DADOS BRUTOS'!O$3:O$500)+IF($C25="",0,SUMIF('DADOS BRUTOS'!$A$3:$A$500,$C25,'DADOS BRUTOS'!O$3:O$500)))</f>
        <v/>
      </c>
      <c r="CP25" s="125">
        <f>IF(OR(CP$4="",$B25=""),0,SUMIF('DADOS BRUTOS'!$A$3:$A$500,$B25,'DADOS BRUTOS'!P$3:P$500)+IF($C25="",0,SUMIF('DADOS BRUTOS'!$A$3:$A$500,$C25,'DADOS BRUTOS'!P$3:P$500)))</f>
        <v/>
      </c>
      <c r="CQ25" s="125">
        <f>IF(OR(CQ$4="",$B25=""),0,SUMIF('DADOS BRUTOS'!$A$3:$A$500,$B25,'DADOS BRUTOS'!Q$3:Q$500)+IF($C25="",0,SUMIF('DADOS BRUTOS'!$A$3:$A$500,$C25,'DADOS BRUTOS'!Q$3:Q$500)))</f>
        <v/>
      </c>
      <c r="CR25" s="125">
        <f>IF(OR(CR$4="",$B25=""),0,SUMIF('DADOS BRUTOS'!$A$3:$A$500,$B25,'DADOS BRUTOS'!R$3:R$500)+IF($C25="",0,SUMIF('DADOS BRUTOS'!$A$3:$A$500,$C25,'DADOS BRUTOS'!R$3:R$500)))</f>
        <v/>
      </c>
      <c r="CS25" s="125">
        <f>IF(OR(CS$4="",$B25=""),0,SUMIF('DADOS BRUTOS'!$A$3:$A$500,$B25,'DADOS BRUTOS'!S$3:S$500)+IF($C25="",0,SUMIF('DADOS BRUTOS'!$A$3:$A$500,$C25,'DADOS BRUTOS'!S$3:S$500)))</f>
        <v/>
      </c>
      <c r="CT25" s="125">
        <f>IF(OR(CT$4="",$B25=""),0,SUMIF('DADOS BRUTOS'!$A$3:$A$500,$B25,'DADOS BRUTOS'!T$3:T$500)+IF($C25="",0,SUMIF('DADOS BRUTOS'!$A$3:$A$500,$C25,'DADOS BRUTOS'!T$3:T$500)))</f>
        <v/>
      </c>
      <c r="CU25" s="125">
        <f>IF(OR(CU$4="",$B25=""),0,SUMIF('DADOS BRUTOS'!$A$3:$A$500,$B25,'DADOS BRUTOS'!U$3:U$500)+IF($C25="",0,SUMIF('DADOS BRUTOS'!$A$3:$A$500,$C25,'DADOS BRUTOS'!U$3:U$500)))</f>
        <v/>
      </c>
      <c r="CV25" s="125">
        <f>IF(OR(CV$4="",$B25=""),0,SUMIF('DADOS BRUTOS'!$A$3:$A$500,$B25,'DADOS BRUTOS'!V$3:V$500)+IF($C25="",0,SUMIF('DADOS BRUTOS'!$A$3:$A$500,$C25,'DADOS BRUTOS'!V$3:V$500)))</f>
        <v/>
      </c>
      <c r="CW25" s="125">
        <f>IF(OR(CW$4="",$B25=""),0,SUMIF('DADOS BRUTOS'!$A$3:$A$500,$B25,'DADOS BRUTOS'!W$3:W$500)+IF($C25="",0,SUMIF('DADOS BRUTOS'!$A$3:$A$500,$C25,'DADOS BRUTOS'!W$3:W$500)))</f>
        <v/>
      </c>
      <c r="CX25" s="125">
        <f>IF(OR(CX$4="",$B25=""),0,SUMIF('DADOS BRUTOS'!$A$3:$A$500,$B25,'DADOS BRUTOS'!X$3:X$500)+IF($C25="",0,SUMIF('DADOS BRUTOS'!$A$3:$A$500,$C25,'DADOS BRUTOS'!X$3:X$500)))</f>
        <v/>
      </c>
      <c r="CY25" s="125">
        <f>IF(OR(CY$4="",$B25=""),0,SUMIF('DADOS BRUTOS'!$A$3:$A$500,$B25,'DADOS BRUTOS'!Y$3:Y$500)+IF($C25="",0,SUMIF('DADOS BRUTOS'!$A$3:$A$500,$C25,'DADOS BRUTOS'!Y$3:Y$500)))</f>
        <v/>
      </c>
      <c r="CZ25" s="125">
        <f>IF(OR(CZ$4="",$B25=""),0,SUMIF('DADOS BRUTOS'!$A$3:$A$500,$B25,'DADOS BRUTOS'!Z$3:Z$500)+IF($C25="",0,SUMIF('DADOS BRUTOS'!$A$3:$A$500,$C25,'DADOS BRUTOS'!Z$3:Z$500)))</f>
        <v/>
      </c>
      <c r="DA25" s="125">
        <f>IF(OR(DA$4="",$B25=""),0,SUMIF('DADOS BRUTOS'!$A$3:$A$500,$B25,'DADOS BRUTOS'!AA$3:AA$500)+IF($C25="",0,SUMIF('DADOS BRUTOS'!$A$3:$A$500,$C25,'DADOS BRUTOS'!AA$3:AA$500)))</f>
        <v/>
      </c>
      <c r="DB25" s="125">
        <f>IF(OR(DB$4="",$B25=""),0,SUMIF('DADOS BRUTOS'!$A$3:$A$500,$B25,'DADOS BRUTOS'!AB$3:AB$500)+IF($C25="",0,SUMIF('DADOS BRUTOS'!$A$3:$A$500,$C25,'DADOS BRUTOS'!AB$3:AB$500)))</f>
        <v/>
      </c>
      <c r="DC25" s="125">
        <f>IF(OR(DC$4="",$B25=""),0,SUMIF('DADOS BRUTOS'!$A$3:$A$500,$B25,'DADOS BRUTOS'!AC$3:AC$500)+IF($C25="",0,SUMIF('DADOS BRUTOS'!$A$3:$A$500,$C25,'DADOS BRUTOS'!AC$3:AC$500)))</f>
        <v/>
      </c>
      <c r="DD25" s="125">
        <f>IF(OR(DD$4="",$B25=""),0,SUMIF('DADOS BRUTOS'!$A$3:$A$500,$B25,'DADOS BRUTOS'!AD$3:AD$500)+IF($C25="",0,SUMIF('DADOS BRUTOS'!$A$3:$A$500,$C25,'DADOS BRUTOS'!AD$3:AD$500)))</f>
        <v/>
      </c>
      <c r="DE25" s="125">
        <f>IF(OR(DE$4="",$B25=""),0,SUMIF('DADOS BRUTOS'!$A$3:$A$500,$B25,'DADOS BRUTOS'!AE$3:AE$500)+IF($C25="",0,SUMIF('DADOS BRUTOS'!$A$3:$A$500,$C25,'DADOS BRUTOS'!AE$3:AE$500)))</f>
        <v/>
      </c>
      <c r="DF25" s="125">
        <f>IF(OR(DF$4="",$B25=""),0,SUMIF('DADOS BRUTOS'!$A$3:$A$500,$B25,'DADOS BRUTOS'!AF$3:AF$500)+IF($C25="",0,SUMIF('DADOS BRUTOS'!$A$3:$A$500,$C25,'DADOS BRUTOS'!AF$3:AF$500)))</f>
        <v/>
      </c>
      <c r="DG25" s="125">
        <f>IF(OR(DG$4="",$B25=""),0,SUMIF('DADOS BRUTOS'!$A$3:$A$500,$B25,'DADOS BRUTOS'!AG$3:AG$500)+IF($C25="",0,SUMIF('DADOS BRUTOS'!$A$3:$A$500,$C25,'DADOS BRUTOS'!AG$3:AG$500)))</f>
        <v/>
      </c>
      <c r="DH25" s="125">
        <f>IF(OR(DH$4="",$B25=""),0,SUMIF('DADOS BRUTOS'!$A$3:$A$500,$B25,'DADOS BRUTOS'!AH$3:AH$500)+IF($C25="",0,SUMIF('DADOS BRUTOS'!$A$3:$A$500,$C25,'DADOS BRUTOS'!AH$3:AH$500)))</f>
        <v/>
      </c>
      <c r="DI25" s="125">
        <f>IF(OR(DI$4="",$B25=""),0,SUMIF('DADOS BRUTOS'!$A$3:$A$500,$B25,'DADOS BRUTOS'!AI$3:AI$500)+IF($C25="",0,SUMIF('DADOS BRUTOS'!$A$3:$A$500,$C25,'DADOS BRUTOS'!AI$3:AI$500)))</f>
        <v/>
      </c>
      <c r="DJ25" s="125">
        <f>IF(OR(DJ$4="",$B25=""),0,SUMIF('DADOS BRUTOS'!$A$3:$A$500,$B25,'DADOS BRUTOS'!AJ$3:AJ$500)+IF($C25="",0,SUMIF('DADOS BRUTOS'!$A$3:$A$500,$C25,'DADOS BRUTOS'!AJ$3:AJ$500)))</f>
        <v/>
      </c>
      <c r="DK25" s="125">
        <f>IF(OR(DK$4="",$B25=""),0,SUMIF('DADOS BRUTOS'!$A$3:$A$500,$B25,'DADOS BRUTOS'!AK$3:AK$500)+IF($C25="",0,SUMIF('DADOS BRUTOS'!$A$3:$A$500,$C25,'DADOS BRUTOS'!AK$3:AK$500)))</f>
        <v/>
      </c>
      <c r="DL25" s="125">
        <f>IF(OR(DL$4="",$B25=""),0,SUMIF('DADOS BRUTOS'!$A$3:$A$500,$B25,'DADOS BRUTOS'!AL$3:AL$500)+IF($C25="",0,SUMIF('DADOS BRUTOS'!$A$3:$A$500,$C25,'DADOS BRUTOS'!AL$3:AL$500)))</f>
        <v/>
      </c>
      <c r="DM25" s="125">
        <f>IF(OR(DM$4="",$B25=""),0,SUMIF('DADOS BRUTOS'!$A$3:$A$500,$B25,'DADOS BRUTOS'!AM$3:AM$500)+IF($C25="",0,SUMIF('DADOS BRUTOS'!$A$3:$A$500,$C25,'DADOS BRUTOS'!AM$3:AM$500)))</f>
        <v/>
      </c>
      <c r="DN25" s="125">
        <f>IF(OR(DN$4="",$B25=""),0,SUMIF('DADOS BRUTOS'!$A$3:$A$500,$B25,'DADOS BRUTOS'!AN$3:AN$500)+IF($C25="",0,SUMIF('DADOS BRUTOS'!$A$3:$A$500,$C25,'DADOS BRUTOS'!AN$3:AN$500)))</f>
        <v/>
      </c>
      <c r="DO25" s="125">
        <f>IF(OR(DO$4="",$B25=""),0,SUMIF('DADOS BRUTOS'!$A$3:$A$500,$B25,'DADOS BRUTOS'!AO$3:AO$500)+IF($C25="",0,SUMIF('DADOS BRUTOS'!$A$3:$A$500,$C25,'DADOS BRUTOS'!AO$3:AO$500)))</f>
        <v/>
      </c>
      <c r="DP25" s="125">
        <f>IF(OR(DP$4="",$B25=""),0,SUMIF('DADOS BRUTOS'!$A$3:$A$500,$B25,'DADOS BRUTOS'!AP$3:AP$500)+IF($C25="",0,SUMIF('DADOS BRUTOS'!$A$3:$A$500,$C25,'DADOS BRUTOS'!AP$3:AP$500)))</f>
        <v/>
      </c>
      <c r="DQ25" s="125">
        <f>IF(OR(DQ$4="",$B25=""),0,SUMIF('DADOS BRUTOS'!$A$3:$A$500,$B25,'DADOS BRUTOS'!AQ$3:AQ$500)+IF($C25="",0,SUMIF('DADOS BRUTOS'!$A$3:$A$500,$C25,'DADOS BRUTOS'!AQ$3:AQ$500)))</f>
        <v/>
      </c>
      <c r="DR25" s="125">
        <f>IF(OR(DR$4="",$B25=""),0,SUMIF('DADOS BRUTOS'!$A$3:$A$500,$B25,'DADOS BRUTOS'!AR$3:AR$500)+IF($C25="",0,SUMIF('DADOS BRUTOS'!$A$3:$A$500,$C25,'DADOS BRUTOS'!AR$3:AR$500)))</f>
        <v/>
      </c>
      <c r="DS25" s="125">
        <f>IF(OR(DS$4="",$B25=""),0,SUMIF('DADOS BRUTOS'!$A$3:$A$500,$B25,'DADOS BRUTOS'!AS$3:AS$500)+IF($C25="",0,SUMIF('DADOS BRUTOS'!$A$3:$A$500,$C25,'DADOS BRUTOS'!AS$3:AS$500)))</f>
        <v/>
      </c>
      <c r="DT25" s="125">
        <f>IF(OR(DT$4="",$B25=""),0,SUMIF('DADOS BRUTOS'!$A$3:$A$500,$B25,'DADOS BRUTOS'!AT$3:AT$500)+IF($C25="",0,SUMIF('DADOS BRUTOS'!$A$3:$A$500,$C25,'DADOS BRUTOS'!AT$3:AT$500)))</f>
        <v/>
      </c>
      <c r="DU25" s="125">
        <f>IF(OR(DU$4="",$B25=""),0,SUMIF('DADOS BRUTOS'!$A$3:$A$500,$B25,'DADOS BRUTOS'!AU$3:AU$500)+IF($C25="",0,SUMIF('DADOS BRUTOS'!$A$3:$A$500,$C25,'DADOS BRUTOS'!AU$3:AU$500)))</f>
        <v/>
      </c>
      <c r="DV25" s="125">
        <f>IF(OR(DV$4="",$B25=""),0,SUMIF('DADOS BRUTOS'!$A$3:$A$500,$B25,'DADOS BRUTOS'!AV$3:AV$500)+IF($C25="",0,SUMIF('DADOS BRUTOS'!$A$3:$A$500,$C25,'DADOS BRUTOS'!AV$3:AV$500)))</f>
        <v/>
      </c>
      <c r="DW25" s="125">
        <f>IF(OR(DW$4="",$B25=""),0,SUMIF('DADOS BRUTOS'!$A$3:$A$500,$B25,'DADOS BRUTOS'!AW$3:AW$500)+IF($C25="",0,SUMIF('DADOS BRUTOS'!$A$3:$A$500,$C25,'DADOS BRUTOS'!AW$3:AW$500)))</f>
        <v/>
      </c>
      <c r="DX25" s="125">
        <f>IF(OR(DX$4="",$B25=""),0,SUMIF('DADOS BRUTOS'!$A$3:$A$500,$B25,'DADOS BRUTOS'!AX$3:AX$500)+IF($C25="",0,SUMIF('DADOS BRUTOS'!$A$3:$A$500,$C25,'DADOS BRUTOS'!AX$3:AX$500)))</f>
        <v/>
      </c>
      <c r="DY25" s="125">
        <f>IF(OR(DY$4="",$B25=""),0,SUMIF('DADOS BRUTOS'!$A$3:$A$500,$B25,'DADOS BRUTOS'!AY$3:AY$500)+IF($C25="",0,SUMIF('DADOS BRUTOS'!$A$3:$A$500,$C25,'DADOS BRUTOS'!AY$3:AY$500)))</f>
        <v/>
      </c>
      <c r="DZ25" s="125">
        <f>IF(OR(DZ$4="",$B25=""),0,SUMIF('DADOS BRUTOS'!$A$3:$A$500,$B25,'DADOS BRUTOS'!AZ$3:AZ$500)+IF($C25="",0,SUMIF('DADOS BRUTOS'!$A$3:$A$500,$C25,'DADOS BRUTOS'!AZ$3:AZ$500)))</f>
        <v/>
      </c>
      <c r="EA25" s="125">
        <f>IF(OR(EA$4="",$B25=""),0,SUMIF('DADOS BRUTOS'!$A$3:$A$500,$B25,'DADOS BRUTOS'!BA$3:BA$500)+IF($C25="",0,SUMIF('DADOS BRUTOS'!$A$3:$A$500,$C25,'DADOS BRUTOS'!BA$3:BA$500)))</f>
        <v/>
      </c>
      <c r="EB25" s="125">
        <f>IF(OR(EB$4="",$B25=""),0,SUMIF('DADOS BRUTOS'!$A$3:$A$500,$B25,'DADOS BRUTOS'!BB$3:BB$500)+IF($C25="",0,SUMIF('DADOS BRUTOS'!$A$3:$A$500,$C25,'DADOS BRUTOS'!BB$3:BB$500)))</f>
        <v/>
      </c>
      <c r="EC25" s="125">
        <f>IF(OR(EC$4="",$B25=""),0,SUMIF('DADOS BRUTOS'!$A$3:$A$500,$B25,'DADOS BRUTOS'!BC$3:BC$500)+IF($C25="",0,SUMIF('DADOS BRUTOS'!$A$3:$A$500,$C25,'DADOS BRUTOS'!BC$3:BC$500)))</f>
        <v/>
      </c>
      <c r="ED25" s="125">
        <f>IF(OR(ED$4="",$B25=""),0,SUMIF('DADOS BRUTOS'!$A$3:$A$500,$B25,'DADOS BRUTOS'!BD$3:BD$500)+IF($C25="",0,SUMIF('DADOS BRUTOS'!$A$3:$A$500,$C25,'DADOS BRUTOS'!BD$3:BD$500)))</f>
        <v/>
      </c>
      <c r="EE25" s="125">
        <f>IF(OR(EE$4="",$B25=""),0,SUMIF('DADOS BRUTOS'!$A$3:$A$500,$B25,'DADOS BRUTOS'!BE$3:BE$500)+IF($C25="",0,SUMIF('DADOS BRUTOS'!$A$3:$A$500,$C25,'DADOS BRUTOS'!BE$3:BE$500)))</f>
        <v/>
      </c>
      <c r="EF25" s="125">
        <f>IF(OR(EF$4="",$B25=""),0,SUMIF('DADOS BRUTOS'!$A$3:$A$500,$B25,'DADOS BRUTOS'!BF$3:BF$500)+IF($C25="",0,SUMIF('DADOS BRUTOS'!$A$3:$A$500,$C25,'DADOS BRUTOS'!BF$3:BF$500)))</f>
        <v/>
      </c>
      <c r="EG25" s="125">
        <f>IF(OR(EG$4="",$B25=""),0,SUMIF('DADOS BRUTOS'!$A$3:$A$500,$B25,'DADOS BRUTOS'!BG$3:BG$500)+IF($C25="",0,SUMIF('DADOS BRUTOS'!$A$3:$A$500,$C25,'DADOS BRUTOS'!BG$3:BG$500)))</f>
        <v/>
      </c>
      <c r="EH25" s="125">
        <f>IF(OR(EH$4="",$B25=""),0,SUMIF('DADOS BRUTOS'!$A$3:$A$500,$B25,'DADOS BRUTOS'!BH$3:BH$500)+IF($C25="",0,SUMIF('DADOS BRUTOS'!$A$3:$A$500,$C25,'DADOS BRUTOS'!BH$3:BH$500)))</f>
        <v/>
      </c>
      <c r="EI25" s="125">
        <f>IF(OR(EI$4="",$B25=""),0,SUMIF('DADOS BRUTOS'!$A$3:$A$500,$B25,'DADOS BRUTOS'!BI$3:BI$500)+IF($C25="",0,SUMIF('DADOS BRUTOS'!$A$3:$A$500,$C25,'DADOS BRUTOS'!BI$3:BI$500)))</f>
        <v/>
      </c>
      <c r="EJ25" s="125">
        <f>IF(OR(EJ$4="",$B25=""),0,SUMIF('DADOS BRUTOS'!$A$3:$A$500,$B25,'DADOS BRUTOS'!BJ$3:BJ$500)+IF($C25="",0,SUMIF('DADOS BRUTOS'!$A$3:$A$500,$C25,'DADOS BRUTOS'!BJ$3:BJ$500)))</f>
        <v/>
      </c>
      <c r="EK25" s="125">
        <f>IF(OR(EK$4="",$B25=""),0,SUMIF('DADOS BRUTOS'!$A$3:$A$500,$B25,'DADOS BRUTOS'!BK$3:BK$500)+IF($C25="",0,SUMIF('DADOS BRUTOS'!$A$3:$A$500,$C25,'DADOS BRUTOS'!BK$3:BK$500)))</f>
        <v/>
      </c>
      <c r="EL25" s="125">
        <f>IF(OR(EL$4="",$B25=""),0,SUMIF('DADOS BRUTOS'!$A$3:$A$500,$B25,'DADOS BRUTOS'!BL$3:BL$500)+IF($C25="",0,SUMIF('DADOS BRUTOS'!$A$3:$A$500,$C25,'DADOS BRUTOS'!BL$3:BL$500)))</f>
        <v/>
      </c>
      <c r="EM25" s="125">
        <f>IF(OR(EM$4="",$B25=""),0,SUMIF('DADOS BRUTOS'!$A$3:$A$500,$B25,'DADOS BRUTOS'!BM$3:BM$500)+IF($C25="",0,SUMIF('DADOS BRUTOS'!$A$3:$A$500,$C25,'DADOS BRUTOS'!BM$3:BM$500)))</f>
        <v/>
      </c>
      <c r="EN25" s="125">
        <f>IF(OR(EN$4="",$B25=""),0,SUMIF('DADOS BRUTOS'!$A$3:$A$500,$B25,'DADOS BRUTOS'!BN$3:BN$500)+IF($C25="",0,SUMIF('DADOS BRUTOS'!$A$3:$A$500,$C25,'DADOS BRUTOS'!BN$3:BN$500)))</f>
        <v/>
      </c>
      <c r="EO25" s="125">
        <f>IF(OR(EO$4="",$B25=""),0,SUMIF('DADOS BRUTOS'!$A$3:$A$500,$B25,'DADOS BRUTOS'!BO$3:BO$500)+IF($C25="",0,SUMIF('DADOS BRUTOS'!$A$3:$A$500,$C25,'DADOS BRUTOS'!BO$3:BO$500)))</f>
        <v/>
      </c>
      <c r="EP25" s="125">
        <f>IF(OR(EP$4="",$B25=""),0,SUMIF('DADOS BRUTOS'!$A$3:$A$500,$B25,'DADOS BRUTOS'!BP$3:BP$500)+IF($C25="",0,SUMIF('DADOS BRUTOS'!$A$3:$A$500,$C25,'DADOS BRUTOS'!BP$3:BP$500)))</f>
        <v/>
      </c>
      <c r="EQ25" s="125">
        <f>IF(OR(EQ$4="",$B25=""),0,SUMIF('DADOS BRUTOS'!$A$3:$A$500,$B25,'DADOS BRUTOS'!BQ$3:BQ$500)+IF($C25="",0,SUMIF('DADOS BRUTOS'!$A$3:$A$500,$C25,'DADOS BRUTOS'!BQ$3:BQ$500)))</f>
        <v/>
      </c>
      <c r="ER25" s="125">
        <f>IF(OR(ER$4="",$B25=""),0,SUMIF('DADOS BRUTOS'!$A$3:$A$500,$B25,'DADOS BRUTOS'!BR$3:BR$500)+IF($C25="",0,SUMIF('DADOS BRUTOS'!$A$3:$A$500,$C25,'DADOS BRUTOS'!BR$3:BR$500)))</f>
        <v/>
      </c>
      <c r="ES25" s="125">
        <f>IF(OR(ES$4="",$B25=""),0,SUMIF('DADOS BRUTOS'!$A$3:$A$500,$B25,'DADOS BRUTOS'!BS$3:BS$500)+IF($C25="",0,SUMIF('DADOS BRUTOS'!$A$3:$A$500,$C25,'DADOS BRUTOS'!BS$3:BS$500)))</f>
        <v/>
      </c>
      <c r="ET25" s="125">
        <f>IF(OR(ET$4="",$B25=""),0,SUMIF('DADOS BRUTOS'!$A$3:$A$500,$B25,'DADOS BRUTOS'!BT$3:BT$500)+IF($C25="",0,SUMIF('DADOS BRUTOS'!$A$3:$A$500,$C25,'DADOS BRUTOS'!BT$3:BT$500)))</f>
        <v/>
      </c>
      <c r="EU25" s="125">
        <f>IF(OR(EU$4="",$B25=""),0,SUMIF('DADOS BRUTOS'!$A$3:$A$500,$B25,'DADOS BRUTOS'!BU$3:BU$500)+IF($C25="",0,SUMIF('DADOS BRUTOS'!$A$3:$A$500,$C25,'DADOS BRUTOS'!BU$3:BU$500)))</f>
        <v/>
      </c>
      <c r="EV25" s="125">
        <f>IF(OR(EV$4="",$B25=""),0,SUMIF('DADOS BRUTOS'!$A$3:$A$500,$B25,'DADOS BRUTOS'!BV$3:BV$500)+IF($C25="",0,SUMIF('DADOS BRUTOS'!$A$3:$A$500,$C25,'DADOS BRUTOS'!BV$3:BV$500)))</f>
        <v/>
      </c>
      <c r="EW25" s="125">
        <f>IF(OR(EW$4="",$B25=""),0,SUMIF('DADOS BRUTOS'!$A$3:$A$500,$B25,'DADOS BRUTOS'!BW$3:BW$500)+IF($C25="",0,SUMIF('DADOS BRUTOS'!$A$3:$A$500,$C25,'DADOS BRUTOS'!BW$3:BW$500)))</f>
        <v/>
      </c>
      <c r="EX25" s="125">
        <f>IF(OR(EX$4="",$B25=""),0,SUMIF('DADOS BRUTOS'!$A$3:$A$500,$B25,'DADOS BRUTOS'!BX$3:BX$500)+IF($C25="",0,SUMIF('DADOS BRUTOS'!$A$3:$A$500,$C25,'DADOS BRUTOS'!BX$3:BX$500)))</f>
        <v/>
      </c>
      <c r="EY25" s="125">
        <f>IF(OR(EY$4="",$B25=""),0,SUMIF('DADOS BRUTOS'!$A$3:$A$500,$B25,'DADOS BRUTOS'!BY$3:BY$500)+IF($C25="",0,SUMIF('DADOS BRUTOS'!$A$3:$A$500,$C25,'DADOS BRUTOS'!BY$3:BY$500)))</f>
        <v/>
      </c>
      <c r="EZ25" s="125">
        <f>IF(OR(EZ$4="",$B25=""),0,SUMIF('DADOS BRUTOS'!$A$3:$A$500,$B25,'DADOS BRUTOS'!BZ$3:BZ$500)+IF($C25="",0,SUMIF('DADOS BRUTOS'!$A$3:$A$500,$C25,'DADOS BRUTOS'!BZ$3:BZ$500)))</f>
        <v/>
      </c>
      <c r="FA25" s="125">
        <f>IF(OR(FA$4="",$B25=""),0,SUMIF('DADOS BRUTOS'!$A$3:$A$500,$B25,'DADOS BRUTOS'!CA$3:CA$500)+IF($C25="",0,SUMIF('DADOS BRUTOS'!$A$3:$A$500,$C25,'DADOS BRUTOS'!CA$3:CA$500)))</f>
        <v/>
      </c>
      <c r="FB25" s="125">
        <f>IF(OR(FB$4="",$B25=""),0,SUMIF('DADOS BRUTOS'!$A$3:$A$500,$B25,'DADOS BRUTOS'!CB$3:CB$500)+IF($C25="",0,SUMIF('DADOS BRUTOS'!$A$3:$A$500,$C25,'DADOS BRUTOS'!CB$3:CB$500)))</f>
        <v/>
      </c>
      <c r="FC25" s="125">
        <f>IF(OR(FC$4="",$B25=""),0,SUMIF('DADOS BRUTOS'!$A$3:$A$500,$B25,'DADOS BRUTOS'!CC$3:CC$500)+IF($C25="",0,SUMIF('DADOS BRUTOS'!$A$3:$A$500,$C25,'DADOS BRUTOS'!CC$3:CC$500)))</f>
        <v/>
      </c>
      <c r="FD25" s="125">
        <f>IF(OR(FD$4="",$B25=""),0,SUMIF('DADOS BRUTOS'!$A$3:$A$500,$B25,'DADOS BRUTOS'!CD$3:CD$500)+IF($C25="",0,SUMIF('DADOS BRUTOS'!$A$3:$A$500,$C25,'DADOS BRUTOS'!CD$3:CD$500)))</f>
        <v/>
      </c>
      <c r="FE25" s="125">
        <f>IF(OR(FE$4="",$B25=""),0,SUMIF('DADOS BRUTOS'!$A$3:$A$500,$B25,'DADOS BRUTOS'!CE$3:CE$500)+IF($C25="",0,SUMIF('DADOS BRUTOS'!$A$3:$A$500,$C25,'DADOS BRUTOS'!CE$3:CE$500)))</f>
        <v/>
      </c>
      <c r="FF25" s="125">
        <f>IF(OR(FF$4="",$B25=""),0,SUMIF('DADOS BRUTOS'!$A$3:$A$500,$B25,'DADOS BRUTOS'!CF$3:CF$500)+IF($C25="",0,SUMIF('DADOS BRUTOS'!$A$3:$A$500,$C25,'DADOS BRUTOS'!CF$3:CF$500)))</f>
        <v/>
      </c>
      <c r="FG25" s="125">
        <f>IF(OR(FG$4="",$B25=""),0,SUMIF('DADOS BRUTOS'!$A$3:$A$500,$B25,'DADOS BRUTOS'!CG$3:CG$500)+IF($C25="",0,SUMIF('DADOS BRUTOS'!$A$3:$A$500,$C25,'DADOS BRUTOS'!CG$3:CG$500)))</f>
        <v/>
      </c>
      <c r="FH25" s="125">
        <f>IF(OR(FH$4="",$B25=""),0,SUMIF('DADOS BRUTOS'!$A$3:$A$500,$B25,'DADOS BRUTOS'!CH$3:CH$500)+IF($C25="",0,SUMIF('DADOS BRUTOS'!$A$3:$A$500,$C25,'DADOS BRUTOS'!CH$3:CH$500)))</f>
        <v/>
      </c>
      <c r="FI25" s="125">
        <f>IF(OR(FI$4="",$B25=""),0,SUMIF('DADOS BRUTOS'!$A$3:$A$500,$B25,'DADOS BRUTOS'!CI$3:CI$500)+IF($C25="",0,SUMIF('DADOS BRUTOS'!$A$3:$A$500,$C25,'DADOS BRUTOS'!CI$3:CI$500)))</f>
        <v/>
      </c>
      <c r="FJ25" s="125">
        <f>IF(OR(FJ$4="",$B25=""),0,SUMIF('DADOS BRUTOS'!$A$3:$A$500,$B25,'DADOS BRUTOS'!CJ$3:CJ$500)+IF($C25="",0,SUMIF('DADOS BRUTOS'!$A$3:$A$500,$C25,'DADOS BRUTOS'!CJ$3:CJ$500)))</f>
        <v/>
      </c>
      <c r="FK25" s="125">
        <f>IF(OR(FK$4="",$B25=""),0,SUMIF('DADOS BRUTOS'!$A$3:$A$500,$B25,'DADOS BRUTOS'!CK$3:CK$500)+IF($C25="",0,SUMIF('DADOS BRUTOS'!$A$3:$A$500,$C25,'DADOS BRUTOS'!CK$3:CK$500)))</f>
        <v/>
      </c>
      <c r="FL25" s="125">
        <f>IF(OR(FL$4="",$B25=""),0,SUMIF('DADOS BRUTOS'!$A$3:$A$500,$B25,'DADOS BRUTOS'!CL$3:CL$500)+IF($C25="",0,SUMIF('DADOS BRUTOS'!$A$3:$A$500,$C25,'DADOS BRUTOS'!CL$3:CL$500)))</f>
        <v/>
      </c>
      <c r="FM25" s="125">
        <f>IF(OR(FM$4="",$B25=""),0,SUMIF('DADOS BRUTOS'!$A$3:$A$500,$B25,'DADOS BRUTOS'!CM$3:CM$500)+IF($C25="",0,SUMIF('DADOS BRUTOS'!$A$3:$A$500,$C25,'DADOS BRUTOS'!CM$3:CM$500)))</f>
        <v/>
      </c>
      <c r="FN25" s="125">
        <f>IF(OR(FN$4="",$B25=""),0,SUMIF('DADOS BRUTOS'!$A$3:$A$500,$B25,'DADOS BRUTOS'!CN$3:CN$500)+IF($C25="",0,SUMIF('DADOS BRUTOS'!$A$3:$A$500,$C25,'DADOS BRUTOS'!CN$3:CN$500)))</f>
        <v/>
      </c>
      <c r="FO25" s="125">
        <f>IF(OR(FO$4="",$B25=""),0,SUMIF('DADOS BRUTOS'!$A$3:$A$500,$B25,'DADOS BRUTOS'!CO$3:CO$500)+IF($C25="",0,SUMIF('DADOS BRUTOS'!$A$3:$A$500,$C25,'DADOS BRUTOS'!CO$3:CO$500)))</f>
        <v/>
      </c>
      <c r="FP25" s="125">
        <f>IF(OR(FP$4="",$B25=""),0,SUMIF('DADOS BRUTOS'!$A$3:$A$500,$B25,'DADOS BRUTOS'!CP$3:CP$500)+IF($C25="",0,SUMIF('DADOS BRUTOS'!$A$3:$A$500,$C25,'DADOS BRUTOS'!CP$3:CP$500)))</f>
        <v/>
      </c>
      <c r="FQ25" s="125">
        <f>IF(OR(FQ$4="",$B25=""),0,SUMIF('DADOS BRUTOS'!$A$3:$A$500,$B25,'DADOS BRUTOS'!CQ$3:CQ$500)+IF($C25="",0,SUMIF('DADOS BRUTOS'!$A$3:$A$500,$C25,'DADOS BRUTOS'!CQ$3:CQ$500)))</f>
        <v/>
      </c>
      <c r="FR25" s="125">
        <f>IF(OR(FR$4="",$B25=""),0,SUMIF('DADOS BRUTOS'!$A$3:$A$500,$B25,'DADOS BRUTOS'!CR$3:CR$500)+IF($C25="",0,SUMIF('DADOS BRUTOS'!$A$3:$A$500,$C25,'DADOS BRUTOS'!CR$3:CR$500)))</f>
        <v/>
      </c>
      <c r="FS25" s="125">
        <f>IF(OR(FS$4="",$B25=""),0,SUMIF('DADOS BRUTOS'!$A$3:$A$500,$B25,'DADOS BRUTOS'!CS$3:CS$500)+IF($C25="",0,SUMIF('DADOS BRUTOS'!$A$3:$A$500,$C25,'DADOS BRUTOS'!CS$3:CS$500)))</f>
        <v/>
      </c>
      <c r="FT25" s="125">
        <f>IF(OR(FT$4="",$B25=""),0,SUMIF('DADOS BRUTOS'!$A$3:$A$500,$B25,'DADOS BRUTOS'!CT$3:CT$500)+IF($C25="",0,SUMIF('DADOS BRUTOS'!$A$3:$A$500,$C25,'DADOS BRUTOS'!CT$3:CT$500)))</f>
        <v/>
      </c>
      <c r="FU25" s="125">
        <f>IF(OR(FU$4="",$B25=""),0,SUMIF('DADOS BRUTOS'!$A$3:$A$500,$B25,'DADOS BRUTOS'!CU$3:CU$500)+IF($C25="",0,SUMIF('DADOS BRUTOS'!$A$3:$A$500,$C25,'DADOS BRUTOS'!CU$3:CU$500)))</f>
        <v/>
      </c>
      <c r="FV25" s="125">
        <f>IF(OR(FV$4="",$B25=""),0,SUMIF('DADOS BRUTOS'!$A$3:$A$500,$B25,'DADOS BRUTOS'!CV$3:CV$500)+IF($C25="",0,SUMIF('DADOS BRUTOS'!$A$3:$A$500,$C25,'DADOS BRUTOS'!CV$3:CV$500)))</f>
        <v/>
      </c>
      <c r="FW25" s="125">
        <f>IF(OR(FW$4="",$B25=""),0,SUMIF('DADOS BRUTOS'!$A$3:$A$500,$B25,'DADOS BRUTOS'!CW$3:CW$500)+IF($C25="",0,SUMIF('DADOS BRUTOS'!$A$3:$A$500,$C25,'DADOS BRUTOS'!CW$3:CW$500)))</f>
        <v/>
      </c>
      <c r="FX25" s="125">
        <f>IF(OR(FX$4="",$B25=""),0,SUMIF('DADOS BRUTOS'!$A$3:$A$500,$B25,'DADOS BRUTOS'!CX$3:CX$500)+IF($C25="",0,SUMIF('DADOS BRUTOS'!$A$3:$A$500,$C25,'DADOS BRUTOS'!CX$3:CX$500)))</f>
        <v/>
      </c>
      <c r="FY25" s="125">
        <f>IF(OR(FY$4="",$B25=""),0,SUMIF('DADOS BRUTOS'!$A$3:$A$500,$B25,'DADOS BRUTOS'!CY$3:CY$500)+IF($C25="",0,SUMIF('DADOS BRUTOS'!$A$3:$A$500,$C25,'DADOS BRUTOS'!CY$3:CY$500)))</f>
        <v/>
      </c>
      <c r="FZ25" s="125">
        <f>IF(OR(FZ$4="",$B25=""),0,SUMIF('DADOS BRUTOS'!$A$3:$A$500,$B25,'DADOS BRUTOS'!CZ$3:CZ$500)+IF($C25="",0,SUMIF('DADOS BRUTOS'!$A$3:$A$500,$C25,'DADOS BRUTOS'!CZ$3:CZ$500)))</f>
        <v/>
      </c>
      <c r="GA25" s="125">
        <f>IF(OR(GA$4="",$B25=""),0,SUMIF('DADOS BRUTOS'!$A$3:$A$500,$B25,'DADOS BRUTOS'!DA$3:DA$500)+IF($C25="",0,SUMIF('DADOS BRUTOS'!$A$3:$A$500,$C25,'DADOS BRUTOS'!DA$3:DA$500)))</f>
        <v/>
      </c>
      <c r="GB25" s="125">
        <f>IF(OR(GB$4="",$B25=""),0,SUMIF('DADOS BRUTOS'!$A$3:$A$500,$B25,'DADOS BRUTOS'!DB$3:DB$500)+IF($C25="",0,SUMIF('DADOS BRUTOS'!$A$3:$A$500,$C25,'DADOS BRUTOS'!DB$3:DB$500)))</f>
        <v/>
      </c>
      <c r="GC25" s="125">
        <f>IF(OR(GC$4="",$B25=""),0,SUMIF('DADOS BRUTOS'!$A$3:$A$500,$B25,'DADOS BRUTOS'!DC$3:DC$500)+IF($C25="",0,SUMIF('DADOS BRUTOS'!$A$3:$A$500,$C25,'DADOS BRUTOS'!DC$3:DC$500)))</f>
        <v/>
      </c>
      <c r="GD25" s="125">
        <f>IF(OR(GD$4="",$B25=""),0,SUMIF('DADOS BRUTOS'!$A$3:$A$500,$B25,'DADOS BRUTOS'!DD$3:DD$500)+IF($C25="",0,SUMIF('DADOS BRUTOS'!$A$3:$A$500,$C25,'DADOS BRUTOS'!DD$3:DD$500)))</f>
        <v/>
      </c>
      <c r="GE25" s="125">
        <f>IF(OR(GE$4="",$B25=""),0,SUMIF('DADOS BRUTOS'!$A$3:$A$500,$B25,'DADOS BRUTOS'!DE$3:DE$500)+IF($C25="",0,SUMIF('DADOS BRUTOS'!$A$3:$A$500,$C25,'DADOS BRUTOS'!DE$3:DE$500)))</f>
        <v/>
      </c>
      <c r="GF25" s="125">
        <f>IF(OR(GF$4="",$B25=""),0,SUMIF('DADOS BRUTOS'!$A$3:$A$500,$B25,'DADOS BRUTOS'!DF$3:DF$500)+IF($C25="",0,SUMIF('DADOS BRUTOS'!$A$3:$A$500,$C25,'DADOS BRUTOS'!DF$3:DF$500)))</f>
        <v/>
      </c>
      <c r="GG25" s="125">
        <f>IF(OR(GG$4="",$B25=""),0,SUMIF('DADOS BRUTOS'!$A$3:$A$500,$B25,'DADOS BRUTOS'!DG$3:DG$500)+IF($C25="",0,SUMIF('DADOS BRUTOS'!$A$3:$A$500,$C25,'DADOS BRUTOS'!DG$3:DG$500)))</f>
        <v/>
      </c>
      <c r="GH25" s="125">
        <f>IF(OR(GH$4="",$B25=""),0,SUMIF('DADOS BRUTOS'!$A$3:$A$500,$B25,'DADOS BRUTOS'!DH$3:DH$500)+IF($C25="",0,SUMIF('DADOS BRUTOS'!$A$3:$A$500,$C25,'DADOS BRUTOS'!DH$3:DH$500)))</f>
        <v/>
      </c>
      <c r="GI25" s="125">
        <f>IF(OR(GI$4="",$B25=""),0,SUMIF('DADOS BRUTOS'!$A$3:$A$500,$B25,'DADOS BRUTOS'!DI$3:DI$500)+IF($C25="",0,SUMIF('DADOS BRUTOS'!$A$3:$A$500,$C25,'DADOS BRUTOS'!DI$3:DI$500)))</f>
        <v/>
      </c>
      <c r="GJ25" s="125">
        <f>IF(OR(GJ$4="",$B25=""),0,SUMIF('DADOS BRUTOS'!$A$3:$A$500,$B25,'DADOS BRUTOS'!DJ$3:DJ$500)+IF($C25="",0,SUMIF('DADOS BRUTOS'!$A$3:$A$500,$C25,'DADOS BRUTOS'!DJ$3:DJ$500)))</f>
        <v/>
      </c>
      <c r="GK25" s="125">
        <f>IF(OR(GK$4="",$B25=""),0,SUMIF('DADOS BRUTOS'!$A$3:$A$500,$B25,'DADOS BRUTOS'!DK$3:DK$500)+IF($C25="",0,SUMIF('DADOS BRUTOS'!$A$3:$A$500,$C25,'DADOS BRUTOS'!DK$3:DK$500)))</f>
        <v/>
      </c>
      <c r="GL25" s="125">
        <f>IF(OR(GL$4="",$B25=""),0,SUMIF('DADOS BRUTOS'!$A$3:$A$500,$B25,'DADOS BRUTOS'!DL$3:DL$500)+IF($C25="",0,SUMIF('DADOS BRUTOS'!$A$3:$A$500,$C25,'DADOS BRUTOS'!DL$3:DL$500)))</f>
        <v/>
      </c>
      <c r="GM25" s="125">
        <f>IF(OR(GM$4="",$B25=""),0,SUMIF('DADOS BRUTOS'!$A$3:$A$500,$B25,'DADOS BRUTOS'!DM$3:DM$500)+IF($C25="",0,SUMIF('DADOS BRUTOS'!$A$3:$A$500,$C25,'DADOS BRUTOS'!DM$3:DM$500)))</f>
        <v/>
      </c>
      <c r="GN25" s="125">
        <f>IF(OR(GN$4="",$B25=""),0,SUMIF('DADOS BRUTOS'!$A$3:$A$500,$B25,'DADOS BRUTOS'!DN$3:DN$500)+IF($C25="",0,SUMIF('DADOS BRUTOS'!$A$3:$A$500,$C25,'DADOS BRUTOS'!DN$3:DN$500)))</f>
        <v/>
      </c>
      <c r="GO25" s="125">
        <f>IF(OR(GO$4="",$B25=""),0,SUMIF('DADOS BRUTOS'!$A$3:$A$500,$B25,'DADOS BRUTOS'!DO$3:DO$500)+IF($C25="",0,SUMIF('DADOS BRUTOS'!$A$3:$A$500,$C25,'DADOS BRUTOS'!DO$3:DO$500)))</f>
        <v/>
      </c>
      <c r="GP25" s="125">
        <f>IF(OR(GP$4="",$B25=""),0,SUMIF('DADOS BRUTOS'!$A$3:$A$500,$B25,'DADOS BRUTOS'!DP$3:DP$500)+IF($C25="",0,SUMIF('DADOS BRUTOS'!$A$3:$A$500,$C25,'DADOS BRUTOS'!DP$3:DP$500)))</f>
        <v/>
      </c>
      <c r="GQ25" s="125">
        <f>IF(OR(GQ$4="",$B25=""),0,SUMIF('DADOS BRUTOS'!$A$3:$A$500,$B25,'DADOS BRUTOS'!DQ$3:DQ$500)+IF($C25="",0,SUMIF('DADOS BRUTOS'!$A$3:$A$500,$C25,'DADOS BRUTOS'!DQ$3:DQ$500)))</f>
        <v/>
      </c>
      <c r="GR25" s="125">
        <f>IF(OR(GR$4="",$B25=""),0,SUMIF('DADOS BRUTOS'!$A$3:$A$500,$B25,'DADOS BRUTOS'!DR$3:DR$500)+IF($C25="",0,SUMIF('DADOS BRUTOS'!$A$3:$A$500,$C25,'DADOS BRUTOS'!DR$3:DR$500)))</f>
        <v/>
      </c>
      <c r="GS25" s="125">
        <f>IF(OR(GS$4="",$B25=""),0,SUMIF('DADOS BRUTOS'!$A$3:$A$500,$B25,'DADOS BRUTOS'!DS$3:DS$500)+IF($C25="",0,SUMIF('DADOS BRUTOS'!$A$3:$A$500,$C25,'DADOS BRUTOS'!DS$3:DS$500)))</f>
        <v/>
      </c>
      <c r="GT25" s="125">
        <f>IF(OR(GT$4="",$B25=""),0,SUMIF('DADOS BRUTOS'!$A$3:$A$500,$B25,'DADOS BRUTOS'!DT$3:DT$500)+IF($C25="",0,SUMIF('DADOS BRUTOS'!$A$3:$A$500,$C25,'DADOS BRUTOS'!DT$3:DT$500)))</f>
        <v/>
      </c>
      <c r="GU25" s="125">
        <f>IF(OR(GU$4="",$B25=""),0,SUMIF('DADOS BRUTOS'!$A$3:$A$500,$B25,'DADOS BRUTOS'!DU$3:DU$500)+IF($C25="",0,SUMIF('DADOS BRUTOS'!$A$3:$A$500,$C25,'DADOS BRUTOS'!DU$3:DU$500)))</f>
        <v/>
      </c>
      <c r="GV25" s="125">
        <f>IF(OR(GV$4="",$B25=""),0,SUMIF('DADOS BRUTOS'!$A$3:$A$500,$B25,'DADOS BRUTOS'!DV$3:DV$500)+IF($C25="",0,SUMIF('DADOS BRUTOS'!$A$3:$A$500,$C25,'DADOS BRUTOS'!DV$3:DV$500)))</f>
        <v/>
      </c>
      <c r="GW25" s="125">
        <f>IF(OR(GW$4="",$B25=""),0,SUMIF('DADOS BRUTOS'!$A$3:$A$500,$B25,'DADOS BRUTOS'!DW$3:DW$500)+IF($C25="",0,SUMIF('DADOS BRUTOS'!$A$3:$A$500,$C25,'DADOS BRUTOS'!DW$3:DW$500)))</f>
        <v/>
      </c>
      <c r="GX25" s="125">
        <f>IF(OR(GX$4="",$B25=""),0,SUMIF('DADOS BRUTOS'!$A$3:$A$500,$B25,'DADOS BRUTOS'!DX$3:DX$500)+IF($C25="",0,SUMIF('DADOS BRUTOS'!$A$3:$A$500,$C25,'DADOS BRUTOS'!DX$3:DX$500)))</f>
        <v/>
      </c>
      <c r="GY25" s="125">
        <f>IF(OR(GY$4="",$B25=""),0,SUMIF('DADOS BRUTOS'!$A$3:$A$500,$B25,'DADOS BRUTOS'!DY$3:DY$500)+IF($C25="",0,SUMIF('DADOS BRUTOS'!$A$3:$A$500,$C25,'DADOS BRUTOS'!DY$3:DY$500)))</f>
        <v/>
      </c>
      <c r="GZ25" s="125">
        <f>IF(OR(GZ$4="",$B25=""),0,SUMIF('DADOS BRUTOS'!$A$3:$A$500,$B25,'DADOS BRUTOS'!DZ$3:DZ$500)+IF($C25="",0,SUMIF('DADOS BRUTOS'!$A$3:$A$500,$C25,'DADOS BRUTOS'!DZ$3:DZ$500)))</f>
        <v/>
      </c>
      <c r="HA25" s="125">
        <f>IF(OR(HA$4="",$B25=""),0,SUMIF('DADOS BRUTOS'!$A$3:$A$500,$B25,'DADOS BRUTOS'!EA$3:EA$500)+IF($C25="",0,SUMIF('DADOS BRUTOS'!$A$3:$A$500,$C25,'DADOS BRUTOS'!EA$3:EA$500)))</f>
        <v/>
      </c>
      <c r="HB25" s="125">
        <f>IF(OR(HB$4="",$B25=""),0,SUMIF('DADOS BRUTOS'!$A$3:$A$500,$B25,'DADOS BRUTOS'!EB$3:EB$500)+IF($C25="",0,SUMIF('DADOS BRUTOS'!$A$3:$A$500,$C25,'DADOS BRUTOS'!EB$3:EB$500)))</f>
        <v/>
      </c>
      <c r="HC25" s="125">
        <f>IF(OR(HC$4="",$B25=""),0,SUMIF('DADOS BRUTOS'!$A$3:$A$500,$B25,'DADOS BRUTOS'!EC$3:EC$500)+IF($C25="",0,SUMIF('DADOS BRUTOS'!$A$3:$A$500,$C25,'DADOS BRUTOS'!EC$3:EC$500)))</f>
        <v/>
      </c>
      <c r="HD25" s="125">
        <f>IF(OR(HD$4="",$B25=""),0,SUMIF('DADOS BRUTOS'!$A$3:$A$500,$B25,'DADOS BRUTOS'!ED$3:ED$500)+IF($C25="",0,SUMIF('DADOS BRUTOS'!$A$3:$A$500,$C25,'DADOS BRUTOS'!ED$3:ED$500)))</f>
        <v/>
      </c>
      <c r="HE25" s="125">
        <f>IF(OR(HE$4="",$B25=""),0,SUMIF('DADOS BRUTOS'!$A$3:$A$500,$B25,'DADOS BRUTOS'!EE$3:EE$500)+IF($C25="",0,SUMIF('DADOS BRUTOS'!$A$3:$A$500,$C25,'DADOS BRUTOS'!EE$3:EE$500)))</f>
        <v/>
      </c>
      <c r="HF25" s="125">
        <f>IF(OR(HF$4="",$B25=""),0,SUMIF('DADOS BRUTOS'!$A$3:$A$500,$B25,'DADOS BRUTOS'!EF$3:EF$500)+IF($C25="",0,SUMIF('DADOS BRUTOS'!$A$3:$A$500,$C25,'DADOS BRUTOS'!EF$3:EF$500)))</f>
        <v/>
      </c>
      <c r="HG25" s="125">
        <f>IF(OR(HG$4="",$B25=""),0,SUMIF('DADOS BRUTOS'!$A$3:$A$500,$B25,'DADOS BRUTOS'!EG$3:EG$500)+IF($C25="",0,SUMIF('DADOS BRUTOS'!$A$3:$A$500,$C25,'DADOS BRUTOS'!EG$3:EG$500)))</f>
        <v/>
      </c>
      <c r="HH25" s="125">
        <f>IF(OR(HH$4="",$B25=""),0,SUMIF('DADOS BRUTOS'!$A$3:$A$500,$B25,'DADOS BRUTOS'!EH$3:EH$500)+IF($C25="",0,SUMIF('DADOS BRUTOS'!$A$3:$A$500,$C25,'DADOS BRUTOS'!EH$3:EH$500)))</f>
        <v/>
      </c>
      <c r="HI25" s="125">
        <f>IF(OR(HI$4="",$B25=""),0,SUMIF('DADOS BRUTOS'!$A$3:$A$500,$B25,'DADOS BRUTOS'!EI$3:EI$500)+IF($C25="",0,SUMIF('DADOS BRUTOS'!$A$3:$A$500,$C25,'DADOS BRUTOS'!EI$3:EI$500)))</f>
        <v/>
      </c>
      <c r="HJ25" s="125">
        <f>IF(OR(HJ$4="",$B25=""),0,SUMIF('DADOS BRUTOS'!$A$3:$A$500,$B25,'DADOS BRUTOS'!EJ$3:EJ$500)+IF($C25="",0,SUMIF('DADOS BRUTOS'!$A$3:$A$500,$C25,'DADOS BRUTOS'!EJ$3:EJ$500)))</f>
        <v/>
      </c>
      <c r="HK25" s="125">
        <f>IF(OR(HK$4="",$B25=""),0,SUMIF('DADOS BRUTOS'!$A$3:$A$500,$B25,'DADOS BRUTOS'!EK$3:EK$500)+IF($C25="",0,SUMIF('DADOS BRUTOS'!$A$3:$A$500,$C25,'DADOS BRUTOS'!EK$3:EK$500)))</f>
        <v/>
      </c>
      <c r="HL25" s="125">
        <f>IF(OR(HL$4="",$B25=""),0,SUMIF('DADOS BRUTOS'!$A$3:$A$500,$B25,'DADOS BRUTOS'!EL$3:EL$500)+IF($C25="",0,SUMIF('DADOS BRUTOS'!$A$3:$A$500,$C25,'DADOS BRUTOS'!EL$3:EL$500)))</f>
        <v/>
      </c>
      <c r="HM25" s="125">
        <f>IF(OR(HM$4="",$B25=""),0,SUMIF('DADOS BRUTOS'!$A$3:$A$500,$B25,'DADOS BRUTOS'!EM$3:EM$500)+IF($C25="",0,SUMIF('DADOS BRUTOS'!$A$3:$A$500,$C25,'DADOS BRUTOS'!EM$3:EM$500)))</f>
        <v/>
      </c>
      <c r="HN25" s="125">
        <f>IF(OR(HN$4="",$B25=""),0,SUMIF('DADOS BRUTOS'!$A$3:$A$500,$B25,'DADOS BRUTOS'!EN$3:EN$500)+IF($C25="",0,SUMIF('DADOS BRUTOS'!$A$3:$A$500,$C25,'DADOS BRUTOS'!EN$3:EN$500)))</f>
        <v/>
      </c>
      <c r="HO25" s="125">
        <f>IF(OR(HO$4="",$B25=""),0,SUMIF('DADOS BRUTOS'!$A$3:$A$500,$B25,'DADOS BRUTOS'!EO$3:EO$500)+IF($C25="",0,SUMIF('DADOS BRUTOS'!$A$3:$A$500,$C25,'DADOS BRUTOS'!EO$3:EO$500)))</f>
        <v/>
      </c>
      <c r="HP25" s="125">
        <f>IF(OR(HP$4="",$B25=""),0,SUMIF('DADOS BRUTOS'!$A$3:$A$500,$B25,'DADOS BRUTOS'!EP$3:EP$500)+IF($C25="",0,SUMIF('DADOS BRUTOS'!$A$3:$A$500,$C25,'DADOS BRUTOS'!EP$3:EP$500)))</f>
        <v/>
      </c>
      <c r="HQ25" s="125">
        <f>IF(OR(HQ$4="",$B25=""),0,SUMIF('DADOS BRUTOS'!$A$3:$A$500,$B25,'DADOS BRUTOS'!EQ$3:EQ$500)+IF($C25="",0,SUMIF('DADOS BRUTOS'!$A$3:$A$500,$C25,'DADOS BRUTOS'!EQ$3:EQ$500)))</f>
        <v/>
      </c>
      <c r="HR25" s="125">
        <f>IF(OR(HR$4="",$B25=""),0,SUMIF('DADOS BRUTOS'!$A$3:$A$500,$B25,'DADOS BRUTOS'!ER$3:ER$500)+IF($C25="",0,SUMIF('DADOS BRUTOS'!$A$3:$A$500,$C25,'DADOS BRUTOS'!ER$3:ER$500)))</f>
        <v/>
      </c>
      <c r="HS25" s="125">
        <f>IF(OR(HS$4="",$B25=""),0,SUMIF('DADOS BRUTOS'!$A$3:$A$500,$B25,'DADOS BRUTOS'!ES$3:ES$500)+IF($C25="",0,SUMIF('DADOS BRUTOS'!$A$3:$A$500,$C25,'DADOS BRUTOS'!ES$3:ES$500)))</f>
        <v/>
      </c>
      <c r="HT25" s="125">
        <f>IF(OR(HT$4="",$B25=""),0,SUMIF('DADOS BRUTOS'!$A$3:$A$500,$B25,'DADOS BRUTOS'!ET$3:ET$500)+IF($C25="",0,SUMIF('DADOS BRUTOS'!$A$3:$A$500,$C25,'DADOS BRUTOS'!ET$3:ET$500)))</f>
        <v/>
      </c>
      <c r="HU25" s="125">
        <f>IF(OR(HU$4="",$B25=""),0,SUMIF('DADOS BRUTOS'!$A$3:$A$500,$B25,'DADOS BRUTOS'!EU$3:EU$500)+IF($C25="",0,SUMIF('DADOS BRUTOS'!$A$3:$A$500,$C25,'DADOS BRUTOS'!EU$3:EU$500)))</f>
        <v/>
      </c>
      <c r="HV25" s="125">
        <f>IF(OR(HV$4="",$B25=""),0,SUMIF('DADOS BRUTOS'!$A$3:$A$500,$B25,'DADOS BRUTOS'!EV$3:EV$500)+IF($C25="",0,SUMIF('DADOS BRUTOS'!$A$3:$A$500,$C25,'DADOS BRUTOS'!EV$3:EV$500)))</f>
        <v/>
      </c>
      <c r="HW25" s="125">
        <f>IF(OR(HW$4="",$B25=""),0,SUMIF('DADOS BRUTOS'!$A$3:$A$500,$B25,'DADOS BRUTOS'!EW$3:EW$500)+IF($C25="",0,SUMIF('DADOS BRUTOS'!$A$3:$A$500,$C25,'DADOS BRUTOS'!EW$3:EW$500)))</f>
        <v/>
      </c>
      <c r="HX25" s="125">
        <f>IF(OR(HX$4="",$B25=""),0,SUMIF('DADOS BRUTOS'!$A$3:$A$500,$B25,'DADOS BRUTOS'!EX$3:EX$500)+IF($C25="",0,SUMIF('DADOS BRUTOS'!$A$3:$A$500,$C25,'DADOS BRUTOS'!EX$3:EX$500)))</f>
        <v/>
      </c>
      <c r="HY25" s="125">
        <f>IF(OR(HY$4="",$B25=""),0,SUMIF('DADOS BRUTOS'!$A$3:$A$500,$B25,'DADOS BRUTOS'!EY$3:EY$500)+IF($C25="",0,SUMIF('DADOS BRUTOS'!$A$3:$A$500,$C25,'DADOS BRUTOS'!EY$3:EY$500)))</f>
        <v/>
      </c>
      <c r="HZ25" s="125">
        <f>IF(OR(HZ$4="",$B25=""),0,SUMIF('DADOS BRUTOS'!$A$3:$A$500,$B25,'DADOS BRUTOS'!EZ$3:EZ$500)+IF($C25="",0,SUMIF('DADOS BRUTOS'!$A$3:$A$500,$C25,'DADOS BRUTOS'!EZ$3:EZ$500)))</f>
        <v/>
      </c>
      <c r="IA25" s="125">
        <f>IF(OR(IA$4="",$B25=""),0,SUMIF('DADOS BRUTOS'!$A$3:$A$500,$B25,'DADOS BRUTOS'!FA$3:FA$500)+IF($C25="",0,SUMIF('DADOS BRUTOS'!$A$3:$A$500,$C25,'DADOS BRUTOS'!FA$3:FA$500)))</f>
        <v/>
      </c>
      <c r="IB25" s="125">
        <f>IF(OR(IB$4="",$B25=""),0,SUMIF('DADOS BRUTOS'!$A$3:$A$500,$B25,'DADOS BRUTOS'!FB$3:FB$500)+IF($C25="",0,SUMIF('DADOS BRUTOS'!$A$3:$A$500,$C25,'DADOS BRUTOS'!FB$3:FB$500)))</f>
        <v/>
      </c>
      <c r="IC25" s="125">
        <f>IF(OR(IC$4="",$B25=""),0,SUMIF('DADOS BRUTOS'!$A$3:$A$500,$B25,'DADOS BRUTOS'!FC$3:FC$500)+IF($C25="",0,SUMIF('DADOS BRUTOS'!$A$3:$A$500,$C25,'DADOS BRUTOS'!FC$3:FC$500)))</f>
        <v/>
      </c>
      <c r="ID25" s="125">
        <f>IF(OR(ID$4="",$B25=""),0,SUMIF('DADOS BRUTOS'!$A$3:$A$500,$B25,'DADOS BRUTOS'!FD$3:FD$500)+IF($C25="",0,SUMIF('DADOS BRUTOS'!$A$3:$A$500,$C25,'DADOS BRUTOS'!FD$3:FD$500)))</f>
        <v/>
      </c>
      <c r="IE25" s="125">
        <f>IF(OR(IE$4="",$B25=""),0,SUMIF('DADOS BRUTOS'!$A$3:$A$500,$B25,'DADOS BRUTOS'!FE$3:FE$500)+IF($C25="",0,SUMIF('DADOS BRUTOS'!$A$3:$A$500,$C25,'DADOS BRUTOS'!FE$3:FE$500)))</f>
        <v/>
      </c>
      <c r="IF25" s="125">
        <f>IF(OR(IF$4="",$B25=""),0,SUMIF('DADOS BRUTOS'!$A$3:$A$500,$B25,'DADOS BRUTOS'!FF$3:FF$500)+IF($C25="",0,SUMIF('DADOS BRUTOS'!$A$3:$A$500,$C25,'DADOS BRUTOS'!FF$3:FF$500)))</f>
        <v/>
      </c>
      <c r="IG25" s="125">
        <f>IF(OR(IG$4="",$B25=""),0,SUMIF('DADOS BRUTOS'!$A$3:$A$500,$B25,'DADOS BRUTOS'!FG$3:FG$500)+IF($C25="",0,SUMIF('DADOS BRUTOS'!$A$3:$A$500,$C25,'DADOS BRUTOS'!FG$3:FG$500)))</f>
        <v/>
      </c>
      <c r="IH25" s="125">
        <f>IF(OR(IH$4="",$B25=""),0,SUMIF('DADOS BRUTOS'!$A$3:$A$500,$B25,'DADOS BRUTOS'!FH$3:FH$500)+IF($C25="",0,SUMIF('DADOS BRUTOS'!$A$3:$A$500,$C25,'DADOS BRUTOS'!FH$3:FH$500)))</f>
        <v/>
      </c>
      <c r="II25" s="125">
        <f>IF(OR(II$4="",$B25=""),0,SUMIF('DADOS BRUTOS'!$A$3:$A$500,$B25,'DADOS BRUTOS'!FI$3:FI$500)+IF($C25="",0,SUMIF('DADOS BRUTOS'!$A$3:$A$500,$C25,'DADOS BRUTOS'!FI$3:FI$500)))</f>
        <v/>
      </c>
      <c r="IJ25" s="125">
        <f>IF(OR(IJ$4="",$B25=""),0,SUMIF('DADOS BRUTOS'!$A$3:$A$500,$B25,'DADOS BRUTOS'!FJ$3:FJ$500)+IF($C25="",0,SUMIF('DADOS BRUTOS'!$A$3:$A$500,$C25,'DADOS BRUTOS'!FJ$3:FJ$500)))</f>
        <v/>
      </c>
      <c r="IK25" s="125">
        <f>IF(OR(IK$4="",$B25=""),0,SUMIF('DADOS BRUTOS'!$A$3:$A$500,$B25,'DADOS BRUTOS'!FK$3:FK$500)+IF($C25="",0,SUMIF('DADOS BRUTOS'!$A$3:$A$500,$C25,'DADOS BRUTOS'!FK$3:FK$500)))</f>
        <v/>
      </c>
      <c r="IL25" s="125">
        <f>IF(OR(IL$4="",$B25=""),0,SUMIF('DADOS BRUTOS'!$A$3:$A$500,$B25,'DADOS BRUTOS'!FL$3:FL$500)+IF($C25="",0,SUMIF('DADOS BRUTOS'!$A$3:$A$500,$C25,'DADOS BRUTOS'!FL$3:FL$500)))</f>
        <v/>
      </c>
      <c r="IM25" s="125">
        <f>IF(OR(IM$4="",$B25=""),0,SUMIF('DADOS BRUTOS'!$A$3:$A$500,$B25,'DADOS BRUTOS'!FM$3:FM$500)+IF($C25="",0,SUMIF('DADOS BRUTOS'!$A$3:$A$500,$C25,'DADOS BRUTOS'!FM$3:FM$500)))</f>
        <v/>
      </c>
      <c r="IN25" s="125">
        <f>IF(OR(IN$4="",$B25=""),0,SUMIF('DADOS BRUTOS'!$A$3:$A$500,$B25,'DADOS BRUTOS'!FN$3:FN$500)+IF($C25="",0,SUMIF('DADOS BRUTOS'!$A$3:$A$500,$C25,'DADOS BRUTOS'!FN$3:FN$500)))</f>
        <v/>
      </c>
      <c r="IO25" s="125">
        <f>IF(OR(IO$4="",$B25=""),0,SUMIF('DADOS BRUTOS'!$A$3:$A$500,$B25,'DADOS BRUTOS'!FO$3:FO$500)+IF($C25="",0,SUMIF('DADOS BRUTOS'!$A$3:$A$500,$C25,'DADOS BRUTOS'!FO$3:FO$500)))</f>
        <v/>
      </c>
      <c r="IP25" s="125">
        <f>IF(OR(IP$4="",$B25=""),0,SUMIF('DADOS BRUTOS'!$A$3:$A$500,$B25,'DADOS BRUTOS'!FP$3:FP$500)+IF($C25="",0,SUMIF('DADOS BRUTOS'!$A$3:$A$500,$C25,'DADOS BRUTOS'!FP$3:FP$500)))</f>
        <v/>
      </c>
      <c r="IQ25" s="125">
        <f>IF(OR(IQ$4="",$B25=""),0,SUMIF('DADOS BRUTOS'!$A$3:$A$500,$B25,'DADOS BRUTOS'!FQ$3:FQ$500)+IF($C25="",0,SUMIF('DADOS BRUTOS'!$A$3:$A$500,$C25,'DADOS BRUTOS'!FQ$3:FQ$500)))</f>
        <v/>
      </c>
      <c r="IR25" s="125">
        <f>IF(OR(IR$4="",$B25=""),0,SUMIF('DADOS BRUTOS'!$A$3:$A$500,$B25,'DADOS BRUTOS'!FR$3:FR$500)+IF($C25="",0,SUMIF('DADOS BRUTOS'!$A$3:$A$500,$C25,'DADOS BRUTOS'!FR$3:FR$500)))</f>
        <v/>
      </c>
      <c r="IS25" s="125">
        <f>IF(OR(IS$4="",$B25=""),0,SUMIF('DADOS BRUTOS'!$A$3:$A$500,$B25,'DADOS BRUTOS'!FS$3:FS$500)+IF($C25="",0,SUMIF('DADOS BRUTOS'!$A$3:$A$500,$C25,'DADOS BRUTOS'!FS$3:FS$500)))</f>
        <v/>
      </c>
      <c r="IT25" s="125">
        <f>IF(OR(IT$4="",$B25=""),0,SUMIF('DADOS BRUTOS'!$A$3:$A$500,$B25,'DADOS BRUTOS'!FT$3:FT$500)+IF($C25="",0,SUMIF('DADOS BRUTOS'!$A$3:$A$500,$C25,'DADOS BRUTOS'!FT$3:FT$500)))</f>
        <v/>
      </c>
      <c r="IU25" s="125">
        <f>IF(OR(IU$4="",$B25=""),0,SUMIF('DADOS BRUTOS'!$A$3:$A$500,$B25,'DADOS BRUTOS'!FU$3:FU$500)+IF($C25="",0,SUMIF('DADOS BRUTOS'!$A$3:$A$500,$C25,'DADOS BRUTOS'!FU$3:FU$500)))</f>
        <v/>
      </c>
      <c r="IV25" s="125">
        <f>IF(OR(IV$4="",$B25=""),0,SUMIF('DADOS BRUTOS'!$A$3:$A$500,$B25,'DADOS BRUTOS'!FV$3:FV$500)+IF($C25="",0,SUMIF('DADOS BRUTOS'!$A$3:$A$500,$C25,'DADOS BRUTOS'!FV$3:FV$500)))</f>
        <v/>
      </c>
      <c r="IW25" s="125">
        <f>IF(OR(IW$4="",$B25=""),0,SUMIF('DADOS BRUTOS'!$A$3:$A$500,$B25,'DADOS BRUTOS'!FW$3:FW$500)+IF($C25="",0,SUMIF('DADOS BRUTOS'!$A$3:$A$500,$C25,'DADOS BRUTOS'!FW$3:FW$500)))</f>
        <v/>
      </c>
      <c r="IX25" s="125">
        <f>IF(OR(IX$4="",$B25=""),0,SUMIF('DADOS BRUTOS'!$A$3:$A$500,$B25,'DADOS BRUTOS'!FX$3:FX$500)+IF($C25="",0,SUMIF('DADOS BRUTOS'!$A$3:$A$500,$C25,'DADOS BRUTOS'!FX$3:FX$500)))</f>
        <v/>
      </c>
      <c r="IY25" s="125">
        <f>IF(OR(IY$4="",$B25=""),0,SUMIF('DADOS BRUTOS'!$A$3:$A$500,$B25,'DADOS BRUTOS'!FY$3:FY$500)+IF($C25="",0,SUMIF('DADOS BRUTOS'!$A$3:$A$500,$C25,'DADOS BRUTOS'!FY$3:FY$500)))</f>
        <v/>
      </c>
      <c r="IZ25" s="125">
        <f>IF(OR(IZ$4="",$B25=""),0,SUMIF('DADOS BRUTOS'!$A$3:$A$500,$B25,'DADOS BRUTOS'!FZ$3:FZ$500)+IF($C25="",0,SUMIF('DADOS BRUTOS'!$A$3:$A$500,$C25,'DADOS BRUTOS'!FZ$3:FZ$500)))</f>
        <v/>
      </c>
      <c r="JA25" s="125">
        <f>IF(OR(JA$4="",$B25=""),0,SUMIF('DADOS BRUTOS'!$A$3:$A$500,$B25,'DADOS BRUTOS'!GA$3:GA$500)+IF($C25="",0,SUMIF('DADOS BRUTOS'!$A$3:$A$500,$C25,'DADOS BRUTOS'!GA$3:GA$500)))</f>
        <v/>
      </c>
      <c r="JB25" s="125">
        <f>IF(OR(JB$4="",$B25=""),0,SUMIF('DADOS BRUTOS'!$A$3:$A$500,$B25,'DADOS BRUTOS'!GB$3:GB$500)+IF($C25="",0,SUMIF('DADOS BRUTOS'!$A$3:$A$500,$C25,'DADOS BRUTOS'!GB$3:GB$500)))</f>
        <v/>
      </c>
      <c r="JC25" s="125">
        <f>IF(OR(JC$4="",$B25=""),0,SUMIF('DADOS BRUTOS'!$A$3:$A$500,$B25,'DADOS BRUTOS'!GC$3:GC$500)+IF($C25="",0,SUMIF('DADOS BRUTOS'!$A$3:$A$500,$C25,'DADOS BRUTOS'!GC$3:GC$500)))</f>
        <v/>
      </c>
      <c r="JD25" s="125">
        <f>IF(OR(JD$4="",$B25=""),0,SUMIF('DADOS BRUTOS'!$A$3:$A$500,$B25,'DADOS BRUTOS'!GD$3:GD$500)+IF($C25="",0,SUMIF('DADOS BRUTOS'!$A$3:$A$500,$C25,'DADOS BRUTOS'!GD$3:GD$500)))</f>
        <v/>
      </c>
      <c r="JE25" s="125">
        <f>IF(OR(JE$4="",$B25=""),0,SUMIF('DADOS BRUTOS'!$A$3:$A$500,$B25,'DADOS BRUTOS'!GE$3:GE$500)+IF($C25="",0,SUMIF('DADOS BRUTOS'!$A$3:$A$500,$C25,'DADOS BRUTOS'!GE$3:GE$500)))</f>
        <v/>
      </c>
      <c r="JF25" s="125">
        <f>IF(OR(JF$4="",$B25=""),0,SUMIF('DADOS BRUTOS'!$A$3:$A$500,$B25,'DADOS BRUTOS'!GF$3:GF$500)+IF($C25="",0,SUMIF('DADOS BRUTOS'!$A$3:$A$500,$C25,'DADOS BRUTOS'!GF$3:GF$500)))</f>
        <v/>
      </c>
      <c r="JG25" s="125">
        <f>IF(OR(JG$4="",$B25=""),0,SUMIF('DADOS BRUTOS'!$A$3:$A$500,$B25,'DADOS BRUTOS'!GG$3:GG$500)+IF($C25="",0,SUMIF('DADOS BRUTOS'!$A$3:$A$500,$C25,'DADOS BRUTOS'!GG$3:GG$500)))</f>
        <v/>
      </c>
      <c r="JH25" s="125">
        <f>IF(OR(JH$4="",$B25=""),0,SUMIF('DADOS BRUTOS'!$A$3:$A$500,$B25,'DADOS BRUTOS'!GH$3:GH$500)+IF($C25="",0,SUMIF('DADOS BRUTOS'!$A$3:$A$500,$C25,'DADOS BRUTOS'!GH$3:GH$500)))</f>
        <v/>
      </c>
      <c r="JI25" s="125">
        <f>IF(OR(JI$4="",$B25=""),0,SUMIF('DADOS BRUTOS'!$A$3:$A$500,$B25,'DADOS BRUTOS'!GI$3:GI$500)+IF($C25="",0,SUMIF('DADOS BRUTOS'!$A$3:$A$500,$C25,'DADOS BRUTOS'!GI$3:GI$500)))</f>
        <v/>
      </c>
      <c r="JJ25" s="125">
        <f>IF(OR(JJ$4="",$B25=""),0,SUMIF('DADOS BRUTOS'!$A$3:$A$500,$B25,'DADOS BRUTOS'!GJ$3:GJ$500)+IF($C25="",0,SUMIF('DADOS BRUTOS'!$A$3:$A$500,$C25,'DADOS BRUTOS'!GJ$3:GJ$500)))</f>
        <v/>
      </c>
      <c r="JK25" s="125">
        <f>IF(OR(JK$4="",$B25=""),0,SUMIF('DADOS BRUTOS'!$A$3:$A$500,$B25,'DADOS BRUTOS'!GK$3:GK$500)+IF($C25="",0,SUMIF('DADOS BRUTOS'!$A$3:$A$500,$C25,'DADOS BRUTOS'!GK$3:GK$500)))</f>
        <v/>
      </c>
      <c r="JL25" s="125">
        <f>IF(OR(JL$4="",$B25=""),0,SUMIF('DADOS BRUTOS'!$A$3:$A$500,$B25,'DADOS BRUTOS'!GL$3:GL$500)+IF($C25="",0,SUMIF('DADOS BRUTOS'!$A$3:$A$500,$C25,'DADOS BRUTOS'!GL$3:GL$500)))</f>
        <v/>
      </c>
      <c r="JM25" s="125">
        <f>IF(OR(JM$4="",$B25=""),0,SUMIF('DADOS BRUTOS'!$A$3:$A$500,$B25,'DADOS BRUTOS'!GM$3:GM$500)+IF($C25="",0,SUMIF('DADOS BRUTOS'!$A$3:$A$500,$C25,'DADOS BRUTOS'!GM$3:GM$500)))</f>
        <v/>
      </c>
      <c r="JN25" s="125">
        <f>IF(OR(JN$4="",$B25=""),0,SUMIF('DADOS BRUTOS'!$A$3:$A$500,$B25,'DADOS BRUTOS'!GN$3:GN$500)+IF($C25="",0,SUMIF('DADOS BRUTOS'!$A$3:$A$500,$C25,'DADOS BRUTOS'!GN$3:GN$500)))</f>
        <v/>
      </c>
      <c r="JO25" s="125">
        <f>IF(OR(JO$4="",$B25=""),0,SUMIF('DADOS BRUTOS'!$A$3:$A$500,$B25,'DADOS BRUTOS'!GO$3:GO$500)+IF($C25="",0,SUMIF('DADOS BRUTOS'!$A$3:$A$500,$C25,'DADOS BRUTOS'!GO$3:GO$500)))</f>
        <v/>
      </c>
      <c r="JP25" s="125">
        <f>IF(OR(JP$4="",$B25=""),0,SUMIF('DADOS BRUTOS'!$A$3:$A$500,$B25,'DADOS BRUTOS'!GP$3:GP$500)+IF($C25="",0,SUMIF('DADOS BRUTOS'!$A$3:$A$500,$C25,'DADOS BRUTOS'!GP$3:GP$500)))</f>
        <v/>
      </c>
      <c r="JQ25" s="125">
        <f>IF(OR(JQ$4="",$B25=""),0,SUMIF('DADOS BRUTOS'!$A$3:$A$500,$B25,'DADOS BRUTOS'!GQ$3:GQ$500)+IF($C25="",0,SUMIF('DADOS BRUTOS'!$A$3:$A$500,$C25,'DADOS BRUTOS'!GQ$3:GQ$500)))</f>
        <v/>
      </c>
      <c r="JR25" s="125">
        <f>IF(OR(JR$4="",$B25=""),0,SUMIF('DADOS BRUTOS'!$A$3:$A$500,$B25,'DADOS BRUTOS'!GR$3:GR$500)+IF($C25="",0,SUMIF('DADOS BRUTOS'!$A$3:$A$500,$C25,'DADOS BRUTOS'!GR$3:GR$500)))</f>
        <v/>
      </c>
      <c r="JS25" s="125">
        <f>IF(OR(JS$4="",$B25=""),0,SUMIF('DADOS BRUTOS'!$A$3:$A$500,$B25,'DADOS BRUTOS'!GS$3:GS$500)+IF($C25="",0,SUMIF('DADOS BRUTOS'!$A$3:$A$500,$C25,'DADOS BRUTOS'!GS$3:GS$500)))</f>
        <v/>
      </c>
    </row>
    <row r="26">
      <c r="A26" s="61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BZ26" s="49">
        <f>SUMPRODUCT(($CB$4:$JS$4&lt;&gt;"")*($CB$4:$JS$4&lt;=$D$4),$CB26:$JS26,$CB$1:$JS$1)</f>
        <v/>
      </c>
      <c r="CB26" s="125">
        <f>IF(OR(CB$4="",$B26=""),0,SUMIF('DADOS BRUTOS'!$A$3:$A$500,$B26,'DADOS BRUTOS'!B$3:B$500)+IF($C26="",0,SUMIF('DADOS BRUTOS'!$A$3:$A$500,$C26,'DADOS BRUTOS'!B$3:B$500)))</f>
        <v/>
      </c>
      <c r="CC26" s="125">
        <f>IF(OR(CC$4="",$B26=""),0,SUMIF('DADOS BRUTOS'!$A$3:$A$500,$B26,'DADOS BRUTOS'!C$3:C$500)+IF($C26="",0,SUMIF('DADOS BRUTOS'!$A$3:$A$500,$C26,'DADOS BRUTOS'!C$3:C$500)))</f>
        <v/>
      </c>
      <c r="CD26" s="125">
        <f>IF(OR(CD$4="",$B26=""),0,SUMIF('DADOS BRUTOS'!$A$3:$A$500,$B26,'DADOS BRUTOS'!D$3:D$500)+IF($C26="",0,SUMIF('DADOS BRUTOS'!$A$3:$A$500,$C26,'DADOS BRUTOS'!D$3:D$500)))</f>
        <v/>
      </c>
      <c r="CE26" s="125">
        <f>IF(OR(CE$4="",$B26=""),0,SUMIF('DADOS BRUTOS'!$A$3:$A$500,$B26,'DADOS BRUTOS'!E$3:E$500)+IF($C26="",0,SUMIF('DADOS BRUTOS'!$A$3:$A$500,$C26,'DADOS BRUTOS'!E$3:E$500)))</f>
        <v/>
      </c>
      <c r="CF26" s="125">
        <f>IF(OR(CF$4="",$B26=""),0,SUMIF('DADOS BRUTOS'!$A$3:$A$500,$B26,'DADOS BRUTOS'!F$3:F$500)+IF($C26="",0,SUMIF('DADOS BRUTOS'!$A$3:$A$500,$C26,'DADOS BRUTOS'!F$3:F$500)))</f>
        <v/>
      </c>
      <c r="CG26" s="125">
        <f>IF(OR(CG$4="",$B26=""),0,SUMIF('DADOS BRUTOS'!$A$3:$A$500,$B26,'DADOS BRUTOS'!G$3:G$500)+IF($C26="",0,SUMIF('DADOS BRUTOS'!$A$3:$A$500,$C26,'DADOS BRUTOS'!G$3:G$500)))</f>
        <v/>
      </c>
      <c r="CH26" s="125">
        <f>IF(OR(CH$4="",$B26=""),0,SUMIF('DADOS BRUTOS'!$A$3:$A$500,$B26,'DADOS BRUTOS'!H$3:H$500)+IF($C26="",0,SUMIF('DADOS BRUTOS'!$A$3:$A$500,$C26,'DADOS BRUTOS'!H$3:H$500)))</f>
        <v/>
      </c>
      <c r="CI26" s="125">
        <f>IF(OR(CI$4="",$B26=""),0,SUMIF('DADOS BRUTOS'!$A$3:$A$500,$B26,'DADOS BRUTOS'!I$3:I$500)+IF($C26="",0,SUMIF('DADOS BRUTOS'!$A$3:$A$500,$C26,'DADOS BRUTOS'!I$3:I$500)))</f>
        <v/>
      </c>
      <c r="CJ26" s="125">
        <f>IF(OR(CJ$4="",$B26=""),0,SUMIF('DADOS BRUTOS'!$A$3:$A$500,$B26,'DADOS BRUTOS'!J$3:J$500)+IF($C26="",0,SUMIF('DADOS BRUTOS'!$A$3:$A$500,$C26,'DADOS BRUTOS'!J$3:J$500)))</f>
        <v/>
      </c>
      <c r="CK26" s="125">
        <f>IF(OR(CK$4="",$B26=""),0,SUMIF('DADOS BRUTOS'!$A$3:$A$500,$B26,'DADOS BRUTOS'!K$3:K$500)+IF($C26="",0,SUMIF('DADOS BRUTOS'!$A$3:$A$500,$C26,'DADOS BRUTOS'!K$3:K$500)))</f>
        <v/>
      </c>
      <c r="CL26" s="125">
        <f>IF(OR(CL$4="",$B26=""),0,SUMIF('DADOS BRUTOS'!$A$3:$A$500,$B26,'DADOS BRUTOS'!L$3:L$500)+IF($C26="",0,SUMIF('DADOS BRUTOS'!$A$3:$A$500,$C26,'DADOS BRUTOS'!L$3:L$500)))</f>
        <v/>
      </c>
      <c r="CM26" s="125">
        <f>IF(OR(CM$4="",$B26=""),0,SUMIF('DADOS BRUTOS'!$A$3:$A$500,$B26,'DADOS BRUTOS'!M$3:M$500)+IF($C26="",0,SUMIF('DADOS BRUTOS'!$A$3:$A$500,$C26,'DADOS BRUTOS'!M$3:M$500)))</f>
        <v/>
      </c>
      <c r="CN26" s="125">
        <f>IF(OR(CN$4="",$B26=""),0,SUMIF('DADOS BRUTOS'!$A$3:$A$500,$B26,'DADOS BRUTOS'!N$3:N$500)+IF($C26="",0,SUMIF('DADOS BRUTOS'!$A$3:$A$500,$C26,'DADOS BRUTOS'!N$3:N$500)))</f>
        <v/>
      </c>
      <c r="CO26" s="125">
        <f>IF(OR(CO$4="",$B26=""),0,SUMIF('DADOS BRUTOS'!$A$3:$A$500,$B26,'DADOS BRUTOS'!O$3:O$500)+IF($C26="",0,SUMIF('DADOS BRUTOS'!$A$3:$A$500,$C26,'DADOS BRUTOS'!O$3:O$500)))</f>
        <v/>
      </c>
      <c r="CP26" s="125">
        <f>IF(OR(CP$4="",$B26=""),0,SUMIF('DADOS BRUTOS'!$A$3:$A$500,$B26,'DADOS BRUTOS'!P$3:P$500)+IF($C26="",0,SUMIF('DADOS BRUTOS'!$A$3:$A$500,$C26,'DADOS BRUTOS'!P$3:P$500)))</f>
        <v/>
      </c>
      <c r="CQ26" s="125">
        <f>IF(OR(CQ$4="",$B26=""),0,SUMIF('DADOS BRUTOS'!$A$3:$A$500,$B26,'DADOS BRUTOS'!Q$3:Q$500)+IF($C26="",0,SUMIF('DADOS BRUTOS'!$A$3:$A$500,$C26,'DADOS BRUTOS'!Q$3:Q$500)))</f>
        <v/>
      </c>
      <c r="CR26" s="125">
        <f>IF(OR(CR$4="",$B26=""),0,SUMIF('DADOS BRUTOS'!$A$3:$A$500,$B26,'DADOS BRUTOS'!R$3:R$500)+IF($C26="",0,SUMIF('DADOS BRUTOS'!$A$3:$A$500,$C26,'DADOS BRUTOS'!R$3:R$500)))</f>
        <v/>
      </c>
      <c r="CS26" s="125">
        <f>IF(OR(CS$4="",$B26=""),0,SUMIF('DADOS BRUTOS'!$A$3:$A$500,$B26,'DADOS BRUTOS'!S$3:S$500)+IF($C26="",0,SUMIF('DADOS BRUTOS'!$A$3:$A$500,$C26,'DADOS BRUTOS'!S$3:S$500)))</f>
        <v/>
      </c>
      <c r="CT26" s="125">
        <f>IF(OR(CT$4="",$B26=""),0,SUMIF('DADOS BRUTOS'!$A$3:$A$500,$B26,'DADOS BRUTOS'!T$3:T$500)+IF($C26="",0,SUMIF('DADOS BRUTOS'!$A$3:$A$500,$C26,'DADOS BRUTOS'!T$3:T$500)))</f>
        <v/>
      </c>
      <c r="CU26" s="125">
        <f>IF(OR(CU$4="",$B26=""),0,SUMIF('DADOS BRUTOS'!$A$3:$A$500,$B26,'DADOS BRUTOS'!U$3:U$500)+IF($C26="",0,SUMIF('DADOS BRUTOS'!$A$3:$A$500,$C26,'DADOS BRUTOS'!U$3:U$500)))</f>
        <v/>
      </c>
      <c r="CV26" s="125">
        <f>IF(OR(CV$4="",$B26=""),0,SUMIF('DADOS BRUTOS'!$A$3:$A$500,$B26,'DADOS BRUTOS'!V$3:V$500)+IF($C26="",0,SUMIF('DADOS BRUTOS'!$A$3:$A$500,$C26,'DADOS BRUTOS'!V$3:V$500)))</f>
        <v/>
      </c>
      <c r="CW26" s="125">
        <f>IF(OR(CW$4="",$B26=""),0,SUMIF('DADOS BRUTOS'!$A$3:$A$500,$B26,'DADOS BRUTOS'!W$3:W$500)+IF($C26="",0,SUMIF('DADOS BRUTOS'!$A$3:$A$500,$C26,'DADOS BRUTOS'!W$3:W$500)))</f>
        <v/>
      </c>
      <c r="CX26" s="125">
        <f>IF(OR(CX$4="",$B26=""),0,SUMIF('DADOS BRUTOS'!$A$3:$A$500,$B26,'DADOS BRUTOS'!X$3:X$500)+IF($C26="",0,SUMIF('DADOS BRUTOS'!$A$3:$A$500,$C26,'DADOS BRUTOS'!X$3:X$500)))</f>
        <v/>
      </c>
      <c r="CY26" s="125">
        <f>IF(OR(CY$4="",$B26=""),0,SUMIF('DADOS BRUTOS'!$A$3:$A$500,$B26,'DADOS BRUTOS'!Y$3:Y$500)+IF($C26="",0,SUMIF('DADOS BRUTOS'!$A$3:$A$500,$C26,'DADOS BRUTOS'!Y$3:Y$500)))</f>
        <v/>
      </c>
      <c r="CZ26" s="125">
        <f>IF(OR(CZ$4="",$B26=""),0,SUMIF('DADOS BRUTOS'!$A$3:$A$500,$B26,'DADOS BRUTOS'!Z$3:Z$500)+IF($C26="",0,SUMIF('DADOS BRUTOS'!$A$3:$A$500,$C26,'DADOS BRUTOS'!Z$3:Z$500)))</f>
        <v/>
      </c>
      <c r="DA26" s="125">
        <f>IF(OR(DA$4="",$B26=""),0,SUMIF('DADOS BRUTOS'!$A$3:$A$500,$B26,'DADOS BRUTOS'!AA$3:AA$500)+IF($C26="",0,SUMIF('DADOS BRUTOS'!$A$3:$A$500,$C26,'DADOS BRUTOS'!AA$3:AA$500)))</f>
        <v/>
      </c>
      <c r="DB26" s="125">
        <f>IF(OR(DB$4="",$B26=""),0,SUMIF('DADOS BRUTOS'!$A$3:$A$500,$B26,'DADOS BRUTOS'!AB$3:AB$500)+IF($C26="",0,SUMIF('DADOS BRUTOS'!$A$3:$A$500,$C26,'DADOS BRUTOS'!AB$3:AB$500)))</f>
        <v/>
      </c>
      <c r="DC26" s="125">
        <f>IF(OR(DC$4="",$B26=""),0,SUMIF('DADOS BRUTOS'!$A$3:$A$500,$B26,'DADOS BRUTOS'!AC$3:AC$500)+IF($C26="",0,SUMIF('DADOS BRUTOS'!$A$3:$A$500,$C26,'DADOS BRUTOS'!AC$3:AC$500)))</f>
        <v/>
      </c>
      <c r="DD26" s="125">
        <f>IF(OR(DD$4="",$B26=""),0,SUMIF('DADOS BRUTOS'!$A$3:$A$500,$B26,'DADOS BRUTOS'!AD$3:AD$500)+IF($C26="",0,SUMIF('DADOS BRUTOS'!$A$3:$A$500,$C26,'DADOS BRUTOS'!AD$3:AD$500)))</f>
        <v/>
      </c>
      <c r="DE26" s="125">
        <f>IF(OR(DE$4="",$B26=""),0,SUMIF('DADOS BRUTOS'!$A$3:$A$500,$B26,'DADOS BRUTOS'!AE$3:AE$500)+IF($C26="",0,SUMIF('DADOS BRUTOS'!$A$3:$A$500,$C26,'DADOS BRUTOS'!AE$3:AE$500)))</f>
        <v/>
      </c>
      <c r="DF26" s="125">
        <f>IF(OR(DF$4="",$B26=""),0,SUMIF('DADOS BRUTOS'!$A$3:$A$500,$B26,'DADOS BRUTOS'!AF$3:AF$500)+IF($C26="",0,SUMIF('DADOS BRUTOS'!$A$3:$A$500,$C26,'DADOS BRUTOS'!AF$3:AF$500)))</f>
        <v/>
      </c>
      <c r="DG26" s="125">
        <f>IF(OR(DG$4="",$B26=""),0,SUMIF('DADOS BRUTOS'!$A$3:$A$500,$B26,'DADOS BRUTOS'!AG$3:AG$500)+IF($C26="",0,SUMIF('DADOS BRUTOS'!$A$3:$A$500,$C26,'DADOS BRUTOS'!AG$3:AG$500)))</f>
        <v/>
      </c>
      <c r="DH26" s="125">
        <f>IF(OR(DH$4="",$B26=""),0,SUMIF('DADOS BRUTOS'!$A$3:$A$500,$B26,'DADOS BRUTOS'!AH$3:AH$500)+IF($C26="",0,SUMIF('DADOS BRUTOS'!$A$3:$A$500,$C26,'DADOS BRUTOS'!AH$3:AH$500)))</f>
        <v/>
      </c>
      <c r="DI26" s="125">
        <f>IF(OR(DI$4="",$B26=""),0,SUMIF('DADOS BRUTOS'!$A$3:$A$500,$B26,'DADOS BRUTOS'!AI$3:AI$500)+IF($C26="",0,SUMIF('DADOS BRUTOS'!$A$3:$A$500,$C26,'DADOS BRUTOS'!AI$3:AI$500)))</f>
        <v/>
      </c>
      <c r="DJ26" s="125">
        <f>IF(OR(DJ$4="",$B26=""),0,SUMIF('DADOS BRUTOS'!$A$3:$A$500,$B26,'DADOS BRUTOS'!AJ$3:AJ$500)+IF($C26="",0,SUMIF('DADOS BRUTOS'!$A$3:$A$500,$C26,'DADOS BRUTOS'!AJ$3:AJ$500)))</f>
        <v/>
      </c>
      <c r="DK26" s="125">
        <f>IF(OR(DK$4="",$B26=""),0,SUMIF('DADOS BRUTOS'!$A$3:$A$500,$B26,'DADOS BRUTOS'!AK$3:AK$500)+IF($C26="",0,SUMIF('DADOS BRUTOS'!$A$3:$A$500,$C26,'DADOS BRUTOS'!AK$3:AK$500)))</f>
        <v/>
      </c>
      <c r="DL26" s="125">
        <f>IF(OR(DL$4="",$B26=""),0,SUMIF('DADOS BRUTOS'!$A$3:$A$500,$B26,'DADOS BRUTOS'!AL$3:AL$500)+IF($C26="",0,SUMIF('DADOS BRUTOS'!$A$3:$A$500,$C26,'DADOS BRUTOS'!AL$3:AL$500)))</f>
        <v/>
      </c>
      <c r="DM26" s="125">
        <f>IF(OR(DM$4="",$B26=""),0,SUMIF('DADOS BRUTOS'!$A$3:$A$500,$B26,'DADOS BRUTOS'!AM$3:AM$500)+IF($C26="",0,SUMIF('DADOS BRUTOS'!$A$3:$A$500,$C26,'DADOS BRUTOS'!AM$3:AM$500)))</f>
        <v/>
      </c>
      <c r="DN26" s="125">
        <f>IF(OR(DN$4="",$B26=""),0,SUMIF('DADOS BRUTOS'!$A$3:$A$500,$B26,'DADOS BRUTOS'!AN$3:AN$500)+IF($C26="",0,SUMIF('DADOS BRUTOS'!$A$3:$A$500,$C26,'DADOS BRUTOS'!AN$3:AN$500)))</f>
        <v/>
      </c>
      <c r="DO26" s="125">
        <f>IF(OR(DO$4="",$B26=""),0,SUMIF('DADOS BRUTOS'!$A$3:$A$500,$B26,'DADOS BRUTOS'!AO$3:AO$500)+IF($C26="",0,SUMIF('DADOS BRUTOS'!$A$3:$A$500,$C26,'DADOS BRUTOS'!AO$3:AO$500)))</f>
        <v/>
      </c>
      <c r="DP26" s="125">
        <f>IF(OR(DP$4="",$B26=""),0,SUMIF('DADOS BRUTOS'!$A$3:$A$500,$B26,'DADOS BRUTOS'!AP$3:AP$500)+IF($C26="",0,SUMIF('DADOS BRUTOS'!$A$3:$A$500,$C26,'DADOS BRUTOS'!AP$3:AP$500)))</f>
        <v/>
      </c>
      <c r="DQ26" s="125">
        <f>IF(OR(DQ$4="",$B26=""),0,SUMIF('DADOS BRUTOS'!$A$3:$A$500,$B26,'DADOS BRUTOS'!AQ$3:AQ$500)+IF($C26="",0,SUMIF('DADOS BRUTOS'!$A$3:$A$500,$C26,'DADOS BRUTOS'!AQ$3:AQ$500)))</f>
        <v/>
      </c>
      <c r="DR26" s="125">
        <f>IF(OR(DR$4="",$B26=""),0,SUMIF('DADOS BRUTOS'!$A$3:$A$500,$B26,'DADOS BRUTOS'!AR$3:AR$500)+IF($C26="",0,SUMIF('DADOS BRUTOS'!$A$3:$A$500,$C26,'DADOS BRUTOS'!AR$3:AR$500)))</f>
        <v/>
      </c>
      <c r="DS26" s="125">
        <f>IF(OR(DS$4="",$B26=""),0,SUMIF('DADOS BRUTOS'!$A$3:$A$500,$B26,'DADOS BRUTOS'!AS$3:AS$500)+IF($C26="",0,SUMIF('DADOS BRUTOS'!$A$3:$A$500,$C26,'DADOS BRUTOS'!AS$3:AS$500)))</f>
        <v/>
      </c>
      <c r="DT26" s="125">
        <f>IF(OR(DT$4="",$B26=""),0,SUMIF('DADOS BRUTOS'!$A$3:$A$500,$B26,'DADOS BRUTOS'!AT$3:AT$500)+IF($C26="",0,SUMIF('DADOS BRUTOS'!$A$3:$A$500,$C26,'DADOS BRUTOS'!AT$3:AT$500)))</f>
        <v/>
      </c>
      <c r="DU26" s="125">
        <f>IF(OR(DU$4="",$B26=""),0,SUMIF('DADOS BRUTOS'!$A$3:$A$500,$B26,'DADOS BRUTOS'!AU$3:AU$500)+IF($C26="",0,SUMIF('DADOS BRUTOS'!$A$3:$A$500,$C26,'DADOS BRUTOS'!AU$3:AU$500)))</f>
        <v/>
      </c>
      <c r="DV26" s="125">
        <f>IF(OR(DV$4="",$B26=""),0,SUMIF('DADOS BRUTOS'!$A$3:$A$500,$B26,'DADOS BRUTOS'!AV$3:AV$500)+IF($C26="",0,SUMIF('DADOS BRUTOS'!$A$3:$A$500,$C26,'DADOS BRUTOS'!AV$3:AV$500)))</f>
        <v/>
      </c>
      <c r="DW26" s="125">
        <f>IF(OR(DW$4="",$B26=""),0,SUMIF('DADOS BRUTOS'!$A$3:$A$500,$B26,'DADOS BRUTOS'!AW$3:AW$500)+IF($C26="",0,SUMIF('DADOS BRUTOS'!$A$3:$A$500,$C26,'DADOS BRUTOS'!AW$3:AW$500)))</f>
        <v/>
      </c>
      <c r="DX26" s="125">
        <f>IF(OR(DX$4="",$B26=""),0,SUMIF('DADOS BRUTOS'!$A$3:$A$500,$B26,'DADOS BRUTOS'!AX$3:AX$500)+IF($C26="",0,SUMIF('DADOS BRUTOS'!$A$3:$A$500,$C26,'DADOS BRUTOS'!AX$3:AX$500)))</f>
        <v/>
      </c>
      <c r="DY26" s="125">
        <f>IF(OR(DY$4="",$B26=""),0,SUMIF('DADOS BRUTOS'!$A$3:$A$500,$B26,'DADOS BRUTOS'!AY$3:AY$500)+IF($C26="",0,SUMIF('DADOS BRUTOS'!$A$3:$A$500,$C26,'DADOS BRUTOS'!AY$3:AY$500)))</f>
        <v/>
      </c>
      <c r="DZ26" s="125">
        <f>IF(OR(DZ$4="",$B26=""),0,SUMIF('DADOS BRUTOS'!$A$3:$A$500,$B26,'DADOS BRUTOS'!AZ$3:AZ$500)+IF($C26="",0,SUMIF('DADOS BRUTOS'!$A$3:$A$500,$C26,'DADOS BRUTOS'!AZ$3:AZ$500)))</f>
        <v/>
      </c>
      <c r="EA26" s="125">
        <f>IF(OR(EA$4="",$B26=""),0,SUMIF('DADOS BRUTOS'!$A$3:$A$500,$B26,'DADOS BRUTOS'!BA$3:BA$500)+IF($C26="",0,SUMIF('DADOS BRUTOS'!$A$3:$A$500,$C26,'DADOS BRUTOS'!BA$3:BA$500)))</f>
        <v/>
      </c>
      <c r="EB26" s="125">
        <f>IF(OR(EB$4="",$B26=""),0,SUMIF('DADOS BRUTOS'!$A$3:$A$500,$B26,'DADOS BRUTOS'!BB$3:BB$500)+IF($C26="",0,SUMIF('DADOS BRUTOS'!$A$3:$A$500,$C26,'DADOS BRUTOS'!BB$3:BB$500)))</f>
        <v/>
      </c>
      <c r="EC26" s="125">
        <f>IF(OR(EC$4="",$B26=""),0,SUMIF('DADOS BRUTOS'!$A$3:$A$500,$B26,'DADOS BRUTOS'!BC$3:BC$500)+IF($C26="",0,SUMIF('DADOS BRUTOS'!$A$3:$A$500,$C26,'DADOS BRUTOS'!BC$3:BC$500)))</f>
        <v/>
      </c>
      <c r="ED26" s="125">
        <f>IF(OR(ED$4="",$B26=""),0,SUMIF('DADOS BRUTOS'!$A$3:$A$500,$B26,'DADOS BRUTOS'!BD$3:BD$500)+IF($C26="",0,SUMIF('DADOS BRUTOS'!$A$3:$A$500,$C26,'DADOS BRUTOS'!BD$3:BD$500)))</f>
        <v/>
      </c>
      <c r="EE26" s="125">
        <f>IF(OR(EE$4="",$B26=""),0,SUMIF('DADOS BRUTOS'!$A$3:$A$500,$B26,'DADOS BRUTOS'!BE$3:BE$500)+IF($C26="",0,SUMIF('DADOS BRUTOS'!$A$3:$A$500,$C26,'DADOS BRUTOS'!BE$3:BE$500)))</f>
        <v/>
      </c>
      <c r="EF26" s="125">
        <f>IF(OR(EF$4="",$B26=""),0,SUMIF('DADOS BRUTOS'!$A$3:$A$500,$B26,'DADOS BRUTOS'!BF$3:BF$500)+IF($C26="",0,SUMIF('DADOS BRUTOS'!$A$3:$A$500,$C26,'DADOS BRUTOS'!BF$3:BF$500)))</f>
        <v/>
      </c>
      <c r="EG26" s="125">
        <f>IF(OR(EG$4="",$B26=""),0,SUMIF('DADOS BRUTOS'!$A$3:$A$500,$B26,'DADOS BRUTOS'!BG$3:BG$500)+IF($C26="",0,SUMIF('DADOS BRUTOS'!$A$3:$A$500,$C26,'DADOS BRUTOS'!BG$3:BG$500)))</f>
        <v/>
      </c>
      <c r="EH26" s="125">
        <f>IF(OR(EH$4="",$B26=""),0,SUMIF('DADOS BRUTOS'!$A$3:$A$500,$B26,'DADOS BRUTOS'!BH$3:BH$500)+IF($C26="",0,SUMIF('DADOS BRUTOS'!$A$3:$A$500,$C26,'DADOS BRUTOS'!BH$3:BH$500)))</f>
        <v/>
      </c>
      <c r="EI26" s="125">
        <f>IF(OR(EI$4="",$B26=""),0,SUMIF('DADOS BRUTOS'!$A$3:$A$500,$B26,'DADOS BRUTOS'!BI$3:BI$500)+IF($C26="",0,SUMIF('DADOS BRUTOS'!$A$3:$A$500,$C26,'DADOS BRUTOS'!BI$3:BI$500)))</f>
        <v/>
      </c>
      <c r="EJ26" s="125">
        <f>IF(OR(EJ$4="",$B26=""),0,SUMIF('DADOS BRUTOS'!$A$3:$A$500,$B26,'DADOS BRUTOS'!BJ$3:BJ$500)+IF($C26="",0,SUMIF('DADOS BRUTOS'!$A$3:$A$500,$C26,'DADOS BRUTOS'!BJ$3:BJ$500)))</f>
        <v/>
      </c>
      <c r="EK26" s="125">
        <f>IF(OR(EK$4="",$B26=""),0,SUMIF('DADOS BRUTOS'!$A$3:$A$500,$B26,'DADOS BRUTOS'!BK$3:BK$500)+IF($C26="",0,SUMIF('DADOS BRUTOS'!$A$3:$A$500,$C26,'DADOS BRUTOS'!BK$3:BK$500)))</f>
        <v/>
      </c>
      <c r="EL26" s="125">
        <f>IF(OR(EL$4="",$B26=""),0,SUMIF('DADOS BRUTOS'!$A$3:$A$500,$B26,'DADOS BRUTOS'!BL$3:BL$500)+IF($C26="",0,SUMIF('DADOS BRUTOS'!$A$3:$A$500,$C26,'DADOS BRUTOS'!BL$3:BL$500)))</f>
        <v/>
      </c>
      <c r="EM26" s="125">
        <f>IF(OR(EM$4="",$B26=""),0,SUMIF('DADOS BRUTOS'!$A$3:$A$500,$B26,'DADOS BRUTOS'!BM$3:BM$500)+IF($C26="",0,SUMIF('DADOS BRUTOS'!$A$3:$A$500,$C26,'DADOS BRUTOS'!BM$3:BM$500)))</f>
        <v/>
      </c>
      <c r="EN26" s="125">
        <f>IF(OR(EN$4="",$B26=""),0,SUMIF('DADOS BRUTOS'!$A$3:$A$500,$B26,'DADOS BRUTOS'!BN$3:BN$500)+IF($C26="",0,SUMIF('DADOS BRUTOS'!$A$3:$A$500,$C26,'DADOS BRUTOS'!BN$3:BN$500)))</f>
        <v/>
      </c>
      <c r="EO26" s="125">
        <f>IF(OR(EO$4="",$B26=""),0,SUMIF('DADOS BRUTOS'!$A$3:$A$500,$B26,'DADOS BRUTOS'!BO$3:BO$500)+IF($C26="",0,SUMIF('DADOS BRUTOS'!$A$3:$A$500,$C26,'DADOS BRUTOS'!BO$3:BO$500)))</f>
        <v/>
      </c>
      <c r="EP26" s="125">
        <f>IF(OR(EP$4="",$B26=""),0,SUMIF('DADOS BRUTOS'!$A$3:$A$500,$B26,'DADOS BRUTOS'!BP$3:BP$500)+IF($C26="",0,SUMIF('DADOS BRUTOS'!$A$3:$A$500,$C26,'DADOS BRUTOS'!BP$3:BP$500)))</f>
        <v/>
      </c>
      <c r="EQ26" s="125">
        <f>IF(OR(EQ$4="",$B26=""),0,SUMIF('DADOS BRUTOS'!$A$3:$A$500,$B26,'DADOS BRUTOS'!BQ$3:BQ$500)+IF($C26="",0,SUMIF('DADOS BRUTOS'!$A$3:$A$500,$C26,'DADOS BRUTOS'!BQ$3:BQ$500)))</f>
        <v/>
      </c>
      <c r="ER26" s="125">
        <f>IF(OR(ER$4="",$B26=""),0,SUMIF('DADOS BRUTOS'!$A$3:$A$500,$B26,'DADOS BRUTOS'!BR$3:BR$500)+IF($C26="",0,SUMIF('DADOS BRUTOS'!$A$3:$A$500,$C26,'DADOS BRUTOS'!BR$3:BR$500)))</f>
        <v/>
      </c>
      <c r="ES26" s="125">
        <f>IF(OR(ES$4="",$B26=""),0,SUMIF('DADOS BRUTOS'!$A$3:$A$500,$B26,'DADOS BRUTOS'!BS$3:BS$500)+IF($C26="",0,SUMIF('DADOS BRUTOS'!$A$3:$A$500,$C26,'DADOS BRUTOS'!BS$3:BS$500)))</f>
        <v/>
      </c>
      <c r="ET26" s="125">
        <f>IF(OR(ET$4="",$B26=""),0,SUMIF('DADOS BRUTOS'!$A$3:$A$500,$B26,'DADOS BRUTOS'!BT$3:BT$500)+IF($C26="",0,SUMIF('DADOS BRUTOS'!$A$3:$A$500,$C26,'DADOS BRUTOS'!BT$3:BT$500)))</f>
        <v/>
      </c>
      <c r="EU26" s="125">
        <f>IF(OR(EU$4="",$B26=""),0,SUMIF('DADOS BRUTOS'!$A$3:$A$500,$B26,'DADOS BRUTOS'!BU$3:BU$500)+IF($C26="",0,SUMIF('DADOS BRUTOS'!$A$3:$A$500,$C26,'DADOS BRUTOS'!BU$3:BU$500)))</f>
        <v/>
      </c>
      <c r="EV26" s="125">
        <f>IF(OR(EV$4="",$B26=""),0,SUMIF('DADOS BRUTOS'!$A$3:$A$500,$B26,'DADOS BRUTOS'!BV$3:BV$500)+IF($C26="",0,SUMIF('DADOS BRUTOS'!$A$3:$A$500,$C26,'DADOS BRUTOS'!BV$3:BV$500)))</f>
        <v/>
      </c>
      <c r="EW26" s="125">
        <f>IF(OR(EW$4="",$B26=""),0,SUMIF('DADOS BRUTOS'!$A$3:$A$500,$B26,'DADOS BRUTOS'!BW$3:BW$500)+IF($C26="",0,SUMIF('DADOS BRUTOS'!$A$3:$A$500,$C26,'DADOS BRUTOS'!BW$3:BW$500)))</f>
        <v/>
      </c>
      <c r="EX26" s="125">
        <f>IF(OR(EX$4="",$B26=""),0,SUMIF('DADOS BRUTOS'!$A$3:$A$500,$B26,'DADOS BRUTOS'!BX$3:BX$500)+IF($C26="",0,SUMIF('DADOS BRUTOS'!$A$3:$A$500,$C26,'DADOS BRUTOS'!BX$3:BX$500)))</f>
        <v/>
      </c>
      <c r="EY26" s="125">
        <f>IF(OR(EY$4="",$B26=""),0,SUMIF('DADOS BRUTOS'!$A$3:$A$500,$B26,'DADOS BRUTOS'!BY$3:BY$500)+IF($C26="",0,SUMIF('DADOS BRUTOS'!$A$3:$A$500,$C26,'DADOS BRUTOS'!BY$3:BY$500)))</f>
        <v/>
      </c>
      <c r="EZ26" s="125">
        <f>IF(OR(EZ$4="",$B26=""),0,SUMIF('DADOS BRUTOS'!$A$3:$A$500,$B26,'DADOS BRUTOS'!BZ$3:BZ$500)+IF($C26="",0,SUMIF('DADOS BRUTOS'!$A$3:$A$500,$C26,'DADOS BRUTOS'!BZ$3:BZ$500)))</f>
        <v/>
      </c>
      <c r="FA26" s="125">
        <f>IF(OR(FA$4="",$B26=""),0,SUMIF('DADOS BRUTOS'!$A$3:$A$500,$B26,'DADOS BRUTOS'!CA$3:CA$500)+IF($C26="",0,SUMIF('DADOS BRUTOS'!$A$3:$A$500,$C26,'DADOS BRUTOS'!CA$3:CA$500)))</f>
        <v/>
      </c>
      <c r="FB26" s="125">
        <f>IF(OR(FB$4="",$B26=""),0,SUMIF('DADOS BRUTOS'!$A$3:$A$500,$B26,'DADOS BRUTOS'!CB$3:CB$500)+IF($C26="",0,SUMIF('DADOS BRUTOS'!$A$3:$A$500,$C26,'DADOS BRUTOS'!CB$3:CB$500)))</f>
        <v/>
      </c>
      <c r="FC26" s="125">
        <f>IF(OR(FC$4="",$B26=""),0,SUMIF('DADOS BRUTOS'!$A$3:$A$500,$B26,'DADOS BRUTOS'!CC$3:CC$500)+IF($C26="",0,SUMIF('DADOS BRUTOS'!$A$3:$A$500,$C26,'DADOS BRUTOS'!CC$3:CC$500)))</f>
        <v/>
      </c>
      <c r="FD26" s="125">
        <f>IF(OR(FD$4="",$B26=""),0,SUMIF('DADOS BRUTOS'!$A$3:$A$500,$B26,'DADOS BRUTOS'!CD$3:CD$500)+IF($C26="",0,SUMIF('DADOS BRUTOS'!$A$3:$A$500,$C26,'DADOS BRUTOS'!CD$3:CD$500)))</f>
        <v/>
      </c>
      <c r="FE26" s="125">
        <f>IF(OR(FE$4="",$B26=""),0,SUMIF('DADOS BRUTOS'!$A$3:$A$500,$B26,'DADOS BRUTOS'!CE$3:CE$500)+IF($C26="",0,SUMIF('DADOS BRUTOS'!$A$3:$A$500,$C26,'DADOS BRUTOS'!CE$3:CE$500)))</f>
        <v/>
      </c>
      <c r="FF26" s="125">
        <f>IF(OR(FF$4="",$B26=""),0,SUMIF('DADOS BRUTOS'!$A$3:$A$500,$B26,'DADOS BRUTOS'!CF$3:CF$500)+IF($C26="",0,SUMIF('DADOS BRUTOS'!$A$3:$A$500,$C26,'DADOS BRUTOS'!CF$3:CF$500)))</f>
        <v/>
      </c>
      <c r="FG26" s="125">
        <f>IF(OR(FG$4="",$B26=""),0,SUMIF('DADOS BRUTOS'!$A$3:$A$500,$B26,'DADOS BRUTOS'!CG$3:CG$500)+IF($C26="",0,SUMIF('DADOS BRUTOS'!$A$3:$A$500,$C26,'DADOS BRUTOS'!CG$3:CG$500)))</f>
        <v/>
      </c>
      <c r="FH26" s="125">
        <f>IF(OR(FH$4="",$B26=""),0,SUMIF('DADOS BRUTOS'!$A$3:$A$500,$B26,'DADOS BRUTOS'!CH$3:CH$500)+IF($C26="",0,SUMIF('DADOS BRUTOS'!$A$3:$A$500,$C26,'DADOS BRUTOS'!CH$3:CH$500)))</f>
        <v/>
      </c>
      <c r="FI26" s="125">
        <f>IF(OR(FI$4="",$B26=""),0,SUMIF('DADOS BRUTOS'!$A$3:$A$500,$B26,'DADOS BRUTOS'!CI$3:CI$500)+IF($C26="",0,SUMIF('DADOS BRUTOS'!$A$3:$A$500,$C26,'DADOS BRUTOS'!CI$3:CI$500)))</f>
        <v/>
      </c>
      <c r="FJ26" s="125">
        <f>IF(OR(FJ$4="",$B26=""),0,SUMIF('DADOS BRUTOS'!$A$3:$A$500,$B26,'DADOS BRUTOS'!CJ$3:CJ$500)+IF($C26="",0,SUMIF('DADOS BRUTOS'!$A$3:$A$500,$C26,'DADOS BRUTOS'!CJ$3:CJ$500)))</f>
        <v/>
      </c>
      <c r="FK26" s="125">
        <f>IF(OR(FK$4="",$B26=""),0,SUMIF('DADOS BRUTOS'!$A$3:$A$500,$B26,'DADOS BRUTOS'!CK$3:CK$500)+IF($C26="",0,SUMIF('DADOS BRUTOS'!$A$3:$A$500,$C26,'DADOS BRUTOS'!CK$3:CK$500)))</f>
        <v/>
      </c>
      <c r="FL26" s="125">
        <f>IF(OR(FL$4="",$B26=""),0,SUMIF('DADOS BRUTOS'!$A$3:$A$500,$B26,'DADOS BRUTOS'!CL$3:CL$500)+IF($C26="",0,SUMIF('DADOS BRUTOS'!$A$3:$A$500,$C26,'DADOS BRUTOS'!CL$3:CL$500)))</f>
        <v/>
      </c>
      <c r="FM26" s="125">
        <f>IF(OR(FM$4="",$B26=""),0,SUMIF('DADOS BRUTOS'!$A$3:$A$500,$B26,'DADOS BRUTOS'!CM$3:CM$500)+IF($C26="",0,SUMIF('DADOS BRUTOS'!$A$3:$A$500,$C26,'DADOS BRUTOS'!CM$3:CM$500)))</f>
        <v/>
      </c>
      <c r="FN26" s="125">
        <f>IF(OR(FN$4="",$B26=""),0,SUMIF('DADOS BRUTOS'!$A$3:$A$500,$B26,'DADOS BRUTOS'!CN$3:CN$500)+IF($C26="",0,SUMIF('DADOS BRUTOS'!$A$3:$A$500,$C26,'DADOS BRUTOS'!CN$3:CN$500)))</f>
        <v/>
      </c>
      <c r="FO26" s="125">
        <f>IF(OR(FO$4="",$B26=""),0,SUMIF('DADOS BRUTOS'!$A$3:$A$500,$B26,'DADOS BRUTOS'!CO$3:CO$500)+IF($C26="",0,SUMIF('DADOS BRUTOS'!$A$3:$A$500,$C26,'DADOS BRUTOS'!CO$3:CO$500)))</f>
        <v/>
      </c>
      <c r="FP26" s="125">
        <f>IF(OR(FP$4="",$B26=""),0,SUMIF('DADOS BRUTOS'!$A$3:$A$500,$B26,'DADOS BRUTOS'!CP$3:CP$500)+IF($C26="",0,SUMIF('DADOS BRUTOS'!$A$3:$A$500,$C26,'DADOS BRUTOS'!CP$3:CP$500)))</f>
        <v/>
      </c>
      <c r="FQ26" s="125">
        <f>IF(OR(FQ$4="",$B26=""),0,SUMIF('DADOS BRUTOS'!$A$3:$A$500,$B26,'DADOS BRUTOS'!CQ$3:CQ$500)+IF($C26="",0,SUMIF('DADOS BRUTOS'!$A$3:$A$500,$C26,'DADOS BRUTOS'!CQ$3:CQ$500)))</f>
        <v/>
      </c>
      <c r="FR26" s="125">
        <f>IF(OR(FR$4="",$B26=""),0,SUMIF('DADOS BRUTOS'!$A$3:$A$500,$B26,'DADOS BRUTOS'!CR$3:CR$500)+IF($C26="",0,SUMIF('DADOS BRUTOS'!$A$3:$A$500,$C26,'DADOS BRUTOS'!CR$3:CR$500)))</f>
        <v/>
      </c>
      <c r="FS26" s="125">
        <f>IF(OR(FS$4="",$B26=""),0,SUMIF('DADOS BRUTOS'!$A$3:$A$500,$B26,'DADOS BRUTOS'!CS$3:CS$500)+IF($C26="",0,SUMIF('DADOS BRUTOS'!$A$3:$A$500,$C26,'DADOS BRUTOS'!CS$3:CS$500)))</f>
        <v/>
      </c>
      <c r="FT26" s="125">
        <f>IF(OR(FT$4="",$B26=""),0,SUMIF('DADOS BRUTOS'!$A$3:$A$500,$B26,'DADOS BRUTOS'!CT$3:CT$500)+IF($C26="",0,SUMIF('DADOS BRUTOS'!$A$3:$A$500,$C26,'DADOS BRUTOS'!CT$3:CT$500)))</f>
        <v/>
      </c>
      <c r="FU26" s="125">
        <f>IF(OR(FU$4="",$B26=""),0,SUMIF('DADOS BRUTOS'!$A$3:$A$500,$B26,'DADOS BRUTOS'!CU$3:CU$500)+IF($C26="",0,SUMIF('DADOS BRUTOS'!$A$3:$A$500,$C26,'DADOS BRUTOS'!CU$3:CU$500)))</f>
        <v/>
      </c>
      <c r="FV26" s="125">
        <f>IF(OR(FV$4="",$B26=""),0,SUMIF('DADOS BRUTOS'!$A$3:$A$500,$B26,'DADOS BRUTOS'!CV$3:CV$500)+IF($C26="",0,SUMIF('DADOS BRUTOS'!$A$3:$A$500,$C26,'DADOS BRUTOS'!CV$3:CV$500)))</f>
        <v/>
      </c>
      <c r="FW26" s="125">
        <f>IF(OR(FW$4="",$B26=""),0,SUMIF('DADOS BRUTOS'!$A$3:$A$500,$B26,'DADOS BRUTOS'!CW$3:CW$500)+IF($C26="",0,SUMIF('DADOS BRUTOS'!$A$3:$A$500,$C26,'DADOS BRUTOS'!CW$3:CW$500)))</f>
        <v/>
      </c>
      <c r="FX26" s="125">
        <f>IF(OR(FX$4="",$B26=""),0,SUMIF('DADOS BRUTOS'!$A$3:$A$500,$B26,'DADOS BRUTOS'!CX$3:CX$500)+IF($C26="",0,SUMIF('DADOS BRUTOS'!$A$3:$A$500,$C26,'DADOS BRUTOS'!CX$3:CX$500)))</f>
        <v/>
      </c>
      <c r="FY26" s="125">
        <f>IF(OR(FY$4="",$B26=""),0,SUMIF('DADOS BRUTOS'!$A$3:$A$500,$B26,'DADOS BRUTOS'!CY$3:CY$500)+IF($C26="",0,SUMIF('DADOS BRUTOS'!$A$3:$A$500,$C26,'DADOS BRUTOS'!CY$3:CY$500)))</f>
        <v/>
      </c>
      <c r="FZ26" s="125">
        <f>IF(OR(FZ$4="",$B26=""),0,SUMIF('DADOS BRUTOS'!$A$3:$A$500,$B26,'DADOS BRUTOS'!CZ$3:CZ$500)+IF($C26="",0,SUMIF('DADOS BRUTOS'!$A$3:$A$500,$C26,'DADOS BRUTOS'!CZ$3:CZ$500)))</f>
        <v/>
      </c>
      <c r="GA26" s="125">
        <f>IF(OR(GA$4="",$B26=""),0,SUMIF('DADOS BRUTOS'!$A$3:$A$500,$B26,'DADOS BRUTOS'!DA$3:DA$500)+IF($C26="",0,SUMIF('DADOS BRUTOS'!$A$3:$A$500,$C26,'DADOS BRUTOS'!DA$3:DA$500)))</f>
        <v/>
      </c>
      <c r="GB26" s="125">
        <f>IF(OR(GB$4="",$B26=""),0,SUMIF('DADOS BRUTOS'!$A$3:$A$500,$B26,'DADOS BRUTOS'!DB$3:DB$500)+IF($C26="",0,SUMIF('DADOS BRUTOS'!$A$3:$A$500,$C26,'DADOS BRUTOS'!DB$3:DB$500)))</f>
        <v/>
      </c>
      <c r="GC26" s="125">
        <f>IF(OR(GC$4="",$B26=""),0,SUMIF('DADOS BRUTOS'!$A$3:$A$500,$B26,'DADOS BRUTOS'!DC$3:DC$500)+IF($C26="",0,SUMIF('DADOS BRUTOS'!$A$3:$A$500,$C26,'DADOS BRUTOS'!DC$3:DC$500)))</f>
        <v/>
      </c>
      <c r="GD26" s="125">
        <f>IF(OR(GD$4="",$B26=""),0,SUMIF('DADOS BRUTOS'!$A$3:$A$500,$B26,'DADOS BRUTOS'!DD$3:DD$500)+IF($C26="",0,SUMIF('DADOS BRUTOS'!$A$3:$A$500,$C26,'DADOS BRUTOS'!DD$3:DD$500)))</f>
        <v/>
      </c>
      <c r="GE26" s="125">
        <f>IF(OR(GE$4="",$B26=""),0,SUMIF('DADOS BRUTOS'!$A$3:$A$500,$B26,'DADOS BRUTOS'!DE$3:DE$500)+IF($C26="",0,SUMIF('DADOS BRUTOS'!$A$3:$A$500,$C26,'DADOS BRUTOS'!DE$3:DE$500)))</f>
        <v/>
      </c>
      <c r="GF26" s="125">
        <f>IF(OR(GF$4="",$B26=""),0,SUMIF('DADOS BRUTOS'!$A$3:$A$500,$B26,'DADOS BRUTOS'!DF$3:DF$500)+IF($C26="",0,SUMIF('DADOS BRUTOS'!$A$3:$A$500,$C26,'DADOS BRUTOS'!DF$3:DF$500)))</f>
        <v/>
      </c>
      <c r="GG26" s="125">
        <f>IF(OR(GG$4="",$B26=""),0,SUMIF('DADOS BRUTOS'!$A$3:$A$500,$B26,'DADOS BRUTOS'!DG$3:DG$500)+IF($C26="",0,SUMIF('DADOS BRUTOS'!$A$3:$A$500,$C26,'DADOS BRUTOS'!DG$3:DG$500)))</f>
        <v/>
      </c>
      <c r="GH26" s="125">
        <f>IF(OR(GH$4="",$B26=""),0,SUMIF('DADOS BRUTOS'!$A$3:$A$500,$B26,'DADOS BRUTOS'!DH$3:DH$500)+IF($C26="",0,SUMIF('DADOS BRUTOS'!$A$3:$A$500,$C26,'DADOS BRUTOS'!DH$3:DH$500)))</f>
        <v/>
      </c>
      <c r="GI26" s="125">
        <f>IF(OR(GI$4="",$B26=""),0,SUMIF('DADOS BRUTOS'!$A$3:$A$500,$B26,'DADOS BRUTOS'!DI$3:DI$500)+IF($C26="",0,SUMIF('DADOS BRUTOS'!$A$3:$A$500,$C26,'DADOS BRUTOS'!DI$3:DI$500)))</f>
        <v/>
      </c>
      <c r="GJ26" s="125">
        <f>IF(OR(GJ$4="",$B26=""),0,SUMIF('DADOS BRUTOS'!$A$3:$A$500,$B26,'DADOS BRUTOS'!DJ$3:DJ$500)+IF($C26="",0,SUMIF('DADOS BRUTOS'!$A$3:$A$500,$C26,'DADOS BRUTOS'!DJ$3:DJ$500)))</f>
        <v/>
      </c>
      <c r="GK26" s="125">
        <f>IF(OR(GK$4="",$B26=""),0,SUMIF('DADOS BRUTOS'!$A$3:$A$500,$B26,'DADOS BRUTOS'!DK$3:DK$500)+IF($C26="",0,SUMIF('DADOS BRUTOS'!$A$3:$A$500,$C26,'DADOS BRUTOS'!DK$3:DK$500)))</f>
        <v/>
      </c>
      <c r="GL26" s="125">
        <f>IF(OR(GL$4="",$B26=""),0,SUMIF('DADOS BRUTOS'!$A$3:$A$500,$B26,'DADOS BRUTOS'!DL$3:DL$500)+IF($C26="",0,SUMIF('DADOS BRUTOS'!$A$3:$A$500,$C26,'DADOS BRUTOS'!DL$3:DL$500)))</f>
        <v/>
      </c>
      <c r="GM26" s="125">
        <f>IF(OR(GM$4="",$B26=""),0,SUMIF('DADOS BRUTOS'!$A$3:$A$500,$B26,'DADOS BRUTOS'!DM$3:DM$500)+IF($C26="",0,SUMIF('DADOS BRUTOS'!$A$3:$A$500,$C26,'DADOS BRUTOS'!DM$3:DM$500)))</f>
        <v/>
      </c>
      <c r="GN26" s="125">
        <f>IF(OR(GN$4="",$B26=""),0,SUMIF('DADOS BRUTOS'!$A$3:$A$500,$B26,'DADOS BRUTOS'!DN$3:DN$500)+IF($C26="",0,SUMIF('DADOS BRUTOS'!$A$3:$A$500,$C26,'DADOS BRUTOS'!DN$3:DN$500)))</f>
        <v/>
      </c>
      <c r="GO26" s="125">
        <f>IF(OR(GO$4="",$B26=""),0,SUMIF('DADOS BRUTOS'!$A$3:$A$500,$B26,'DADOS BRUTOS'!DO$3:DO$500)+IF($C26="",0,SUMIF('DADOS BRUTOS'!$A$3:$A$500,$C26,'DADOS BRUTOS'!DO$3:DO$500)))</f>
        <v/>
      </c>
      <c r="GP26" s="125">
        <f>IF(OR(GP$4="",$B26=""),0,SUMIF('DADOS BRUTOS'!$A$3:$A$500,$B26,'DADOS BRUTOS'!DP$3:DP$500)+IF($C26="",0,SUMIF('DADOS BRUTOS'!$A$3:$A$500,$C26,'DADOS BRUTOS'!DP$3:DP$500)))</f>
        <v/>
      </c>
      <c r="GQ26" s="125">
        <f>IF(OR(GQ$4="",$B26=""),0,SUMIF('DADOS BRUTOS'!$A$3:$A$500,$B26,'DADOS BRUTOS'!DQ$3:DQ$500)+IF($C26="",0,SUMIF('DADOS BRUTOS'!$A$3:$A$500,$C26,'DADOS BRUTOS'!DQ$3:DQ$500)))</f>
        <v/>
      </c>
      <c r="GR26" s="125">
        <f>IF(OR(GR$4="",$B26=""),0,SUMIF('DADOS BRUTOS'!$A$3:$A$500,$B26,'DADOS BRUTOS'!DR$3:DR$500)+IF($C26="",0,SUMIF('DADOS BRUTOS'!$A$3:$A$500,$C26,'DADOS BRUTOS'!DR$3:DR$500)))</f>
        <v/>
      </c>
      <c r="GS26" s="125">
        <f>IF(OR(GS$4="",$B26=""),0,SUMIF('DADOS BRUTOS'!$A$3:$A$500,$B26,'DADOS BRUTOS'!DS$3:DS$500)+IF($C26="",0,SUMIF('DADOS BRUTOS'!$A$3:$A$500,$C26,'DADOS BRUTOS'!DS$3:DS$500)))</f>
        <v/>
      </c>
      <c r="GT26" s="125">
        <f>IF(OR(GT$4="",$B26=""),0,SUMIF('DADOS BRUTOS'!$A$3:$A$500,$B26,'DADOS BRUTOS'!DT$3:DT$500)+IF($C26="",0,SUMIF('DADOS BRUTOS'!$A$3:$A$500,$C26,'DADOS BRUTOS'!DT$3:DT$500)))</f>
        <v/>
      </c>
      <c r="GU26" s="125">
        <f>IF(OR(GU$4="",$B26=""),0,SUMIF('DADOS BRUTOS'!$A$3:$A$500,$B26,'DADOS BRUTOS'!DU$3:DU$500)+IF($C26="",0,SUMIF('DADOS BRUTOS'!$A$3:$A$500,$C26,'DADOS BRUTOS'!DU$3:DU$500)))</f>
        <v/>
      </c>
      <c r="GV26" s="125">
        <f>IF(OR(GV$4="",$B26=""),0,SUMIF('DADOS BRUTOS'!$A$3:$A$500,$B26,'DADOS BRUTOS'!DV$3:DV$500)+IF($C26="",0,SUMIF('DADOS BRUTOS'!$A$3:$A$500,$C26,'DADOS BRUTOS'!DV$3:DV$500)))</f>
        <v/>
      </c>
      <c r="GW26" s="125">
        <f>IF(OR(GW$4="",$B26=""),0,SUMIF('DADOS BRUTOS'!$A$3:$A$500,$B26,'DADOS BRUTOS'!DW$3:DW$500)+IF($C26="",0,SUMIF('DADOS BRUTOS'!$A$3:$A$500,$C26,'DADOS BRUTOS'!DW$3:DW$500)))</f>
        <v/>
      </c>
      <c r="GX26" s="125">
        <f>IF(OR(GX$4="",$B26=""),0,SUMIF('DADOS BRUTOS'!$A$3:$A$500,$B26,'DADOS BRUTOS'!DX$3:DX$500)+IF($C26="",0,SUMIF('DADOS BRUTOS'!$A$3:$A$500,$C26,'DADOS BRUTOS'!DX$3:DX$500)))</f>
        <v/>
      </c>
      <c r="GY26" s="125">
        <f>IF(OR(GY$4="",$B26=""),0,SUMIF('DADOS BRUTOS'!$A$3:$A$500,$B26,'DADOS BRUTOS'!DY$3:DY$500)+IF($C26="",0,SUMIF('DADOS BRUTOS'!$A$3:$A$500,$C26,'DADOS BRUTOS'!DY$3:DY$500)))</f>
        <v/>
      </c>
      <c r="GZ26" s="125">
        <f>IF(OR(GZ$4="",$B26=""),0,SUMIF('DADOS BRUTOS'!$A$3:$A$500,$B26,'DADOS BRUTOS'!DZ$3:DZ$500)+IF($C26="",0,SUMIF('DADOS BRUTOS'!$A$3:$A$500,$C26,'DADOS BRUTOS'!DZ$3:DZ$500)))</f>
        <v/>
      </c>
      <c r="HA26" s="125">
        <f>IF(OR(HA$4="",$B26=""),0,SUMIF('DADOS BRUTOS'!$A$3:$A$500,$B26,'DADOS BRUTOS'!EA$3:EA$500)+IF($C26="",0,SUMIF('DADOS BRUTOS'!$A$3:$A$500,$C26,'DADOS BRUTOS'!EA$3:EA$500)))</f>
        <v/>
      </c>
      <c r="HB26" s="125">
        <f>IF(OR(HB$4="",$B26=""),0,SUMIF('DADOS BRUTOS'!$A$3:$A$500,$B26,'DADOS BRUTOS'!EB$3:EB$500)+IF($C26="",0,SUMIF('DADOS BRUTOS'!$A$3:$A$500,$C26,'DADOS BRUTOS'!EB$3:EB$500)))</f>
        <v/>
      </c>
      <c r="HC26" s="125">
        <f>IF(OR(HC$4="",$B26=""),0,SUMIF('DADOS BRUTOS'!$A$3:$A$500,$B26,'DADOS BRUTOS'!EC$3:EC$500)+IF($C26="",0,SUMIF('DADOS BRUTOS'!$A$3:$A$500,$C26,'DADOS BRUTOS'!EC$3:EC$500)))</f>
        <v/>
      </c>
      <c r="HD26" s="125">
        <f>IF(OR(HD$4="",$B26=""),0,SUMIF('DADOS BRUTOS'!$A$3:$A$500,$B26,'DADOS BRUTOS'!ED$3:ED$500)+IF($C26="",0,SUMIF('DADOS BRUTOS'!$A$3:$A$500,$C26,'DADOS BRUTOS'!ED$3:ED$500)))</f>
        <v/>
      </c>
      <c r="HE26" s="125">
        <f>IF(OR(HE$4="",$B26=""),0,SUMIF('DADOS BRUTOS'!$A$3:$A$500,$B26,'DADOS BRUTOS'!EE$3:EE$500)+IF($C26="",0,SUMIF('DADOS BRUTOS'!$A$3:$A$500,$C26,'DADOS BRUTOS'!EE$3:EE$500)))</f>
        <v/>
      </c>
      <c r="HF26" s="125">
        <f>IF(OR(HF$4="",$B26=""),0,SUMIF('DADOS BRUTOS'!$A$3:$A$500,$B26,'DADOS BRUTOS'!EF$3:EF$500)+IF($C26="",0,SUMIF('DADOS BRUTOS'!$A$3:$A$500,$C26,'DADOS BRUTOS'!EF$3:EF$500)))</f>
        <v/>
      </c>
      <c r="HG26" s="125">
        <f>IF(OR(HG$4="",$B26=""),0,SUMIF('DADOS BRUTOS'!$A$3:$A$500,$B26,'DADOS BRUTOS'!EG$3:EG$500)+IF($C26="",0,SUMIF('DADOS BRUTOS'!$A$3:$A$500,$C26,'DADOS BRUTOS'!EG$3:EG$500)))</f>
        <v/>
      </c>
      <c r="HH26" s="125">
        <f>IF(OR(HH$4="",$B26=""),0,SUMIF('DADOS BRUTOS'!$A$3:$A$500,$B26,'DADOS BRUTOS'!EH$3:EH$500)+IF($C26="",0,SUMIF('DADOS BRUTOS'!$A$3:$A$500,$C26,'DADOS BRUTOS'!EH$3:EH$500)))</f>
        <v/>
      </c>
      <c r="HI26" s="125">
        <f>IF(OR(HI$4="",$B26=""),0,SUMIF('DADOS BRUTOS'!$A$3:$A$500,$B26,'DADOS BRUTOS'!EI$3:EI$500)+IF($C26="",0,SUMIF('DADOS BRUTOS'!$A$3:$A$500,$C26,'DADOS BRUTOS'!EI$3:EI$500)))</f>
        <v/>
      </c>
      <c r="HJ26" s="125">
        <f>IF(OR(HJ$4="",$B26=""),0,SUMIF('DADOS BRUTOS'!$A$3:$A$500,$B26,'DADOS BRUTOS'!EJ$3:EJ$500)+IF($C26="",0,SUMIF('DADOS BRUTOS'!$A$3:$A$500,$C26,'DADOS BRUTOS'!EJ$3:EJ$500)))</f>
        <v/>
      </c>
      <c r="HK26" s="125">
        <f>IF(OR(HK$4="",$B26=""),0,SUMIF('DADOS BRUTOS'!$A$3:$A$500,$B26,'DADOS BRUTOS'!EK$3:EK$500)+IF($C26="",0,SUMIF('DADOS BRUTOS'!$A$3:$A$500,$C26,'DADOS BRUTOS'!EK$3:EK$500)))</f>
        <v/>
      </c>
      <c r="HL26" s="125">
        <f>IF(OR(HL$4="",$B26=""),0,SUMIF('DADOS BRUTOS'!$A$3:$A$500,$B26,'DADOS BRUTOS'!EL$3:EL$500)+IF($C26="",0,SUMIF('DADOS BRUTOS'!$A$3:$A$500,$C26,'DADOS BRUTOS'!EL$3:EL$500)))</f>
        <v/>
      </c>
      <c r="HM26" s="125">
        <f>IF(OR(HM$4="",$B26=""),0,SUMIF('DADOS BRUTOS'!$A$3:$A$500,$B26,'DADOS BRUTOS'!EM$3:EM$500)+IF($C26="",0,SUMIF('DADOS BRUTOS'!$A$3:$A$500,$C26,'DADOS BRUTOS'!EM$3:EM$500)))</f>
        <v/>
      </c>
      <c r="HN26" s="125">
        <f>IF(OR(HN$4="",$B26=""),0,SUMIF('DADOS BRUTOS'!$A$3:$A$500,$B26,'DADOS BRUTOS'!EN$3:EN$500)+IF($C26="",0,SUMIF('DADOS BRUTOS'!$A$3:$A$500,$C26,'DADOS BRUTOS'!EN$3:EN$500)))</f>
        <v/>
      </c>
      <c r="HO26" s="125">
        <f>IF(OR(HO$4="",$B26=""),0,SUMIF('DADOS BRUTOS'!$A$3:$A$500,$B26,'DADOS BRUTOS'!EO$3:EO$500)+IF($C26="",0,SUMIF('DADOS BRUTOS'!$A$3:$A$500,$C26,'DADOS BRUTOS'!EO$3:EO$500)))</f>
        <v/>
      </c>
      <c r="HP26" s="125">
        <f>IF(OR(HP$4="",$B26=""),0,SUMIF('DADOS BRUTOS'!$A$3:$A$500,$B26,'DADOS BRUTOS'!EP$3:EP$500)+IF($C26="",0,SUMIF('DADOS BRUTOS'!$A$3:$A$500,$C26,'DADOS BRUTOS'!EP$3:EP$500)))</f>
        <v/>
      </c>
      <c r="HQ26" s="125">
        <f>IF(OR(HQ$4="",$B26=""),0,SUMIF('DADOS BRUTOS'!$A$3:$A$500,$B26,'DADOS BRUTOS'!EQ$3:EQ$500)+IF($C26="",0,SUMIF('DADOS BRUTOS'!$A$3:$A$500,$C26,'DADOS BRUTOS'!EQ$3:EQ$500)))</f>
        <v/>
      </c>
      <c r="HR26" s="125">
        <f>IF(OR(HR$4="",$B26=""),0,SUMIF('DADOS BRUTOS'!$A$3:$A$500,$B26,'DADOS BRUTOS'!ER$3:ER$500)+IF($C26="",0,SUMIF('DADOS BRUTOS'!$A$3:$A$500,$C26,'DADOS BRUTOS'!ER$3:ER$500)))</f>
        <v/>
      </c>
      <c r="HS26" s="125">
        <f>IF(OR(HS$4="",$B26=""),0,SUMIF('DADOS BRUTOS'!$A$3:$A$500,$B26,'DADOS BRUTOS'!ES$3:ES$500)+IF($C26="",0,SUMIF('DADOS BRUTOS'!$A$3:$A$500,$C26,'DADOS BRUTOS'!ES$3:ES$500)))</f>
        <v/>
      </c>
      <c r="HT26" s="125">
        <f>IF(OR(HT$4="",$B26=""),0,SUMIF('DADOS BRUTOS'!$A$3:$A$500,$B26,'DADOS BRUTOS'!ET$3:ET$500)+IF($C26="",0,SUMIF('DADOS BRUTOS'!$A$3:$A$500,$C26,'DADOS BRUTOS'!ET$3:ET$500)))</f>
        <v/>
      </c>
      <c r="HU26" s="125">
        <f>IF(OR(HU$4="",$B26=""),0,SUMIF('DADOS BRUTOS'!$A$3:$A$500,$B26,'DADOS BRUTOS'!EU$3:EU$500)+IF($C26="",0,SUMIF('DADOS BRUTOS'!$A$3:$A$500,$C26,'DADOS BRUTOS'!EU$3:EU$500)))</f>
        <v/>
      </c>
      <c r="HV26" s="125">
        <f>IF(OR(HV$4="",$B26=""),0,SUMIF('DADOS BRUTOS'!$A$3:$A$500,$B26,'DADOS BRUTOS'!EV$3:EV$500)+IF($C26="",0,SUMIF('DADOS BRUTOS'!$A$3:$A$500,$C26,'DADOS BRUTOS'!EV$3:EV$500)))</f>
        <v/>
      </c>
      <c r="HW26" s="125">
        <f>IF(OR(HW$4="",$B26=""),0,SUMIF('DADOS BRUTOS'!$A$3:$A$500,$B26,'DADOS BRUTOS'!EW$3:EW$500)+IF($C26="",0,SUMIF('DADOS BRUTOS'!$A$3:$A$500,$C26,'DADOS BRUTOS'!EW$3:EW$500)))</f>
        <v/>
      </c>
      <c r="HX26" s="125">
        <f>IF(OR(HX$4="",$B26=""),0,SUMIF('DADOS BRUTOS'!$A$3:$A$500,$B26,'DADOS BRUTOS'!EX$3:EX$500)+IF($C26="",0,SUMIF('DADOS BRUTOS'!$A$3:$A$500,$C26,'DADOS BRUTOS'!EX$3:EX$500)))</f>
        <v/>
      </c>
      <c r="HY26" s="125">
        <f>IF(OR(HY$4="",$B26=""),0,SUMIF('DADOS BRUTOS'!$A$3:$A$500,$B26,'DADOS BRUTOS'!EY$3:EY$500)+IF($C26="",0,SUMIF('DADOS BRUTOS'!$A$3:$A$500,$C26,'DADOS BRUTOS'!EY$3:EY$500)))</f>
        <v/>
      </c>
      <c r="HZ26" s="125">
        <f>IF(OR(HZ$4="",$B26=""),0,SUMIF('DADOS BRUTOS'!$A$3:$A$500,$B26,'DADOS BRUTOS'!EZ$3:EZ$500)+IF($C26="",0,SUMIF('DADOS BRUTOS'!$A$3:$A$500,$C26,'DADOS BRUTOS'!EZ$3:EZ$500)))</f>
        <v/>
      </c>
      <c r="IA26" s="125">
        <f>IF(OR(IA$4="",$B26=""),0,SUMIF('DADOS BRUTOS'!$A$3:$A$500,$B26,'DADOS BRUTOS'!FA$3:FA$500)+IF($C26="",0,SUMIF('DADOS BRUTOS'!$A$3:$A$500,$C26,'DADOS BRUTOS'!FA$3:FA$500)))</f>
        <v/>
      </c>
      <c r="IB26" s="125">
        <f>IF(OR(IB$4="",$B26=""),0,SUMIF('DADOS BRUTOS'!$A$3:$A$500,$B26,'DADOS BRUTOS'!FB$3:FB$500)+IF($C26="",0,SUMIF('DADOS BRUTOS'!$A$3:$A$500,$C26,'DADOS BRUTOS'!FB$3:FB$500)))</f>
        <v/>
      </c>
      <c r="IC26" s="125">
        <f>IF(OR(IC$4="",$B26=""),0,SUMIF('DADOS BRUTOS'!$A$3:$A$500,$B26,'DADOS BRUTOS'!FC$3:FC$500)+IF($C26="",0,SUMIF('DADOS BRUTOS'!$A$3:$A$500,$C26,'DADOS BRUTOS'!FC$3:FC$500)))</f>
        <v/>
      </c>
      <c r="ID26" s="125">
        <f>IF(OR(ID$4="",$B26=""),0,SUMIF('DADOS BRUTOS'!$A$3:$A$500,$B26,'DADOS BRUTOS'!FD$3:FD$500)+IF($C26="",0,SUMIF('DADOS BRUTOS'!$A$3:$A$500,$C26,'DADOS BRUTOS'!FD$3:FD$500)))</f>
        <v/>
      </c>
      <c r="IE26" s="125">
        <f>IF(OR(IE$4="",$B26=""),0,SUMIF('DADOS BRUTOS'!$A$3:$A$500,$B26,'DADOS BRUTOS'!FE$3:FE$500)+IF($C26="",0,SUMIF('DADOS BRUTOS'!$A$3:$A$500,$C26,'DADOS BRUTOS'!FE$3:FE$500)))</f>
        <v/>
      </c>
      <c r="IF26" s="125">
        <f>IF(OR(IF$4="",$B26=""),0,SUMIF('DADOS BRUTOS'!$A$3:$A$500,$B26,'DADOS BRUTOS'!FF$3:FF$500)+IF($C26="",0,SUMIF('DADOS BRUTOS'!$A$3:$A$500,$C26,'DADOS BRUTOS'!FF$3:FF$500)))</f>
        <v/>
      </c>
      <c r="IG26" s="125">
        <f>IF(OR(IG$4="",$B26=""),0,SUMIF('DADOS BRUTOS'!$A$3:$A$500,$B26,'DADOS BRUTOS'!FG$3:FG$500)+IF($C26="",0,SUMIF('DADOS BRUTOS'!$A$3:$A$500,$C26,'DADOS BRUTOS'!FG$3:FG$500)))</f>
        <v/>
      </c>
      <c r="IH26" s="125">
        <f>IF(OR(IH$4="",$B26=""),0,SUMIF('DADOS BRUTOS'!$A$3:$A$500,$B26,'DADOS BRUTOS'!FH$3:FH$500)+IF($C26="",0,SUMIF('DADOS BRUTOS'!$A$3:$A$500,$C26,'DADOS BRUTOS'!FH$3:FH$500)))</f>
        <v/>
      </c>
      <c r="II26" s="125">
        <f>IF(OR(II$4="",$B26=""),0,SUMIF('DADOS BRUTOS'!$A$3:$A$500,$B26,'DADOS BRUTOS'!FI$3:FI$500)+IF($C26="",0,SUMIF('DADOS BRUTOS'!$A$3:$A$500,$C26,'DADOS BRUTOS'!FI$3:FI$500)))</f>
        <v/>
      </c>
      <c r="IJ26" s="125">
        <f>IF(OR(IJ$4="",$B26=""),0,SUMIF('DADOS BRUTOS'!$A$3:$A$500,$B26,'DADOS BRUTOS'!FJ$3:FJ$500)+IF($C26="",0,SUMIF('DADOS BRUTOS'!$A$3:$A$500,$C26,'DADOS BRUTOS'!FJ$3:FJ$500)))</f>
        <v/>
      </c>
      <c r="IK26" s="125">
        <f>IF(OR(IK$4="",$B26=""),0,SUMIF('DADOS BRUTOS'!$A$3:$A$500,$B26,'DADOS BRUTOS'!FK$3:FK$500)+IF($C26="",0,SUMIF('DADOS BRUTOS'!$A$3:$A$500,$C26,'DADOS BRUTOS'!FK$3:FK$500)))</f>
        <v/>
      </c>
      <c r="IL26" s="125">
        <f>IF(OR(IL$4="",$B26=""),0,SUMIF('DADOS BRUTOS'!$A$3:$A$500,$B26,'DADOS BRUTOS'!FL$3:FL$500)+IF($C26="",0,SUMIF('DADOS BRUTOS'!$A$3:$A$500,$C26,'DADOS BRUTOS'!FL$3:FL$500)))</f>
        <v/>
      </c>
      <c r="IM26" s="125">
        <f>IF(OR(IM$4="",$B26=""),0,SUMIF('DADOS BRUTOS'!$A$3:$A$500,$B26,'DADOS BRUTOS'!FM$3:FM$500)+IF($C26="",0,SUMIF('DADOS BRUTOS'!$A$3:$A$500,$C26,'DADOS BRUTOS'!FM$3:FM$500)))</f>
        <v/>
      </c>
      <c r="IN26" s="125">
        <f>IF(OR(IN$4="",$B26=""),0,SUMIF('DADOS BRUTOS'!$A$3:$A$500,$B26,'DADOS BRUTOS'!FN$3:FN$500)+IF($C26="",0,SUMIF('DADOS BRUTOS'!$A$3:$A$500,$C26,'DADOS BRUTOS'!FN$3:FN$500)))</f>
        <v/>
      </c>
      <c r="IO26" s="125">
        <f>IF(OR(IO$4="",$B26=""),0,SUMIF('DADOS BRUTOS'!$A$3:$A$500,$B26,'DADOS BRUTOS'!FO$3:FO$500)+IF($C26="",0,SUMIF('DADOS BRUTOS'!$A$3:$A$500,$C26,'DADOS BRUTOS'!FO$3:FO$500)))</f>
        <v/>
      </c>
      <c r="IP26" s="125">
        <f>IF(OR(IP$4="",$B26=""),0,SUMIF('DADOS BRUTOS'!$A$3:$A$500,$B26,'DADOS BRUTOS'!FP$3:FP$500)+IF($C26="",0,SUMIF('DADOS BRUTOS'!$A$3:$A$500,$C26,'DADOS BRUTOS'!FP$3:FP$500)))</f>
        <v/>
      </c>
      <c r="IQ26" s="125">
        <f>IF(OR(IQ$4="",$B26=""),0,SUMIF('DADOS BRUTOS'!$A$3:$A$500,$B26,'DADOS BRUTOS'!FQ$3:FQ$500)+IF($C26="",0,SUMIF('DADOS BRUTOS'!$A$3:$A$500,$C26,'DADOS BRUTOS'!FQ$3:FQ$500)))</f>
        <v/>
      </c>
      <c r="IR26" s="125">
        <f>IF(OR(IR$4="",$B26=""),0,SUMIF('DADOS BRUTOS'!$A$3:$A$500,$B26,'DADOS BRUTOS'!FR$3:FR$500)+IF($C26="",0,SUMIF('DADOS BRUTOS'!$A$3:$A$500,$C26,'DADOS BRUTOS'!FR$3:FR$500)))</f>
        <v/>
      </c>
      <c r="IS26" s="125">
        <f>IF(OR(IS$4="",$B26=""),0,SUMIF('DADOS BRUTOS'!$A$3:$A$500,$B26,'DADOS BRUTOS'!FS$3:FS$500)+IF($C26="",0,SUMIF('DADOS BRUTOS'!$A$3:$A$500,$C26,'DADOS BRUTOS'!FS$3:FS$500)))</f>
        <v/>
      </c>
      <c r="IT26" s="125">
        <f>IF(OR(IT$4="",$B26=""),0,SUMIF('DADOS BRUTOS'!$A$3:$A$500,$B26,'DADOS BRUTOS'!FT$3:FT$500)+IF($C26="",0,SUMIF('DADOS BRUTOS'!$A$3:$A$500,$C26,'DADOS BRUTOS'!FT$3:FT$500)))</f>
        <v/>
      </c>
      <c r="IU26" s="125">
        <f>IF(OR(IU$4="",$B26=""),0,SUMIF('DADOS BRUTOS'!$A$3:$A$500,$B26,'DADOS BRUTOS'!FU$3:FU$500)+IF($C26="",0,SUMIF('DADOS BRUTOS'!$A$3:$A$500,$C26,'DADOS BRUTOS'!FU$3:FU$500)))</f>
        <v/>
      </c>
      <c r="IV26" s="125">
        <f>IF(OR(IV$4="",$B26=""),0,SUMIF('DADOS BRUTOS'!$A$3:$A$500,$B26,'DADOS BRUTOS'!FV$3:FV$500)+IF($C26="",0,SUMIF('DADOS BRUTOS'!$A$3:$A$500,$C26,'DADOS BRUTOS'!FV$3:FV$500)))</f>
        <v/>
      </c>
      <c r="IW26" s="125">
        <f>IF(OR(IW$4="",$B26=""),0,SUMIF('DADOS BRUTOS'!$A$3:$A$500,$B26,'DADOS BRUTOS'!FW$3:FW$500)+IF($C26="",0,SUMIF('DADOS BRUTOS'!$A$3:$A$500,$C26,'DADOS BRUTOS'!FW$3:FW$500)))</f>
        <v/>
      </c>
      <c r="IX26" s="125">
        <f>IF(OR(IX$4="",$B26=""),0,SUMIF('DADOS BRUTOS'!$A$3:$A$500,$B26,'DADOS BRUTOS'!FX$3:FX$500)+IF($C26="",0,SUMIF('DADOS BRUTOS'!$A$3:$A$500,$C26,'DADOS BRUTOS'!FX$3:FX$500)))</f>
        <v/>
      </c>
      <c r="IY26" s="125">
        <f>IF(OR(IY$4="",$B26=""),0,SUMIF('DADOS BRUTOS'!$A$3:$A$500,$B26,'DADOS BRUTOS'!FY$3:FY$500)+IF($C26="",0,SUMIF('DADOS BRUTOS'!$A$3:$A$500,$C26,'DADOS BRUTOS'!FY$3:FY$500)))</f>
        <v/>
      </c>
      <c r="IZ26" s="125">
        <f>IF(OR(IZ$4="",$B26=""),0,SUMIF('DADOS BRUTOS'!$A$3:$A$500,$B26,'DADOS BRUTOS'!FZ$3:FZ$500)+IF($C26="",0,SUMIF('DADOS BRUTOS'!$A$3:$A$500,$C26,'DADOS BRUTOS'!FZ$3:FZ$500)))</f>
        <v/>
      </c>
      <c r="JA26" s="125">
        <f>IF(OR(JA$4="",$B26=""),0,SUMIF('DADOS BRUTOS'!$A$3:$A$500,$B26,'DADOS BRUTOS'!GA$3:GA$500)+IF($C26="",0,SUMIF('DADOS BRUTOS'!$A$3:$A$500,$C26,'DADOS BRUTOS'!GA$3:GA$500)))</f>
        <v/>
      </c>
      <c r="JB26" s="125">
        <f>IF(OR(JB$4="",$B26=""),0,SUMIF('DADOS BRUTOS'!$A$3:$A$500,$B26,'DADOS BRUTOS'!GB$3:GB$500)+IF($C26="",0,SUMIF('DADOS BRUTOS'!$A$3:$A$500,$C26,'DADOS BRUTOS'!GB$3:GB$500)))</f>
        <v/>
      </c>
      <c r="JC26" s="125">
        <f>IF(OR(JC$4="",$B26=""),0,SUMIF('DADOS BRUTOS'!$A$3:$A$500,$B26,'DADOS BRUTOS'!GC$3:GC$500)+IF($C26="",0,SUMIF('DADOS BRUTOS'!$A$3:$A$500,$C26,'DADOS BRUTOS'!GC$3:GC$500)))</f>
        <v/>
      </c>
      <c r="JD26" s="125">
        <f>IF(OR(JD$4="",$B26=""),0,SUMIF('DADOS BRUTOS'!$A$3:$A$500,$B26,'DADOS BRUTOS'!GD$3:GD$500)+IF($C26="",0,SUMIF('DADOS BRUTOS'!$A$3:$A$500,$C26,'DADOS BRUTOS'!GD$3:GD$500)))</f>
        <v/>
      </c>
      <c r="JE26" s="125">
        <f>IF(OR(JE$4="",$B26=""),0,SUMIF('DADOS BRUTOS'!$A$3:$A$500,$B26,'DADOS BRUTOS'!GE$3:GE$500)+IF($C26="",0,SUMIF('DADOS BRUTOS'!$A$3:$A$500,$C26,'DADOS BRUTOS'!GE$3:GE$500)))</f>
        <v/>
      </c>
      <c r="JF26" s="125">
        <f>IF(OR(JF$4="",$B26=""),0,SUMIF('DADOS BRUTOS'!$A$3:$A$500,$B26,'DADOS BRUTOS'!GF$3:GF$500)+IF($C26="",0,SUMIF('DADOS BRUTOS'!$A$3:$A$500,$C26,'DADOS BRUTOS'!GF$3:GF$500)))</f>
        <v/>
      </c>
      <c r="JG26" s="125">
        <f>IF(OR(JG$4="",$B26=""),0,SUMIF('DADOS BRUTOS'!$A$3:$A$500,$B26,'DADOS BRUTOS'!GG$3:GG$500)+IF($C26="",0,SUMIF('DADOS BRUTOS'!$A$3:$A$500,$C26,'DADOS BRUTOS'!GG$3:GG$500)))</f>
        <v/>
      </c>
      <c r="JH26" s="125">
        <f>IF(OR(JH$4="",$B26=""),0,SUMIF('DADOS BRUTOS'!$A$3:$A$500,$B26,'DADOS BRUTOS'!GH$3:GH$500)+IF($C26="",0,SUMIF('DADOS BRUTOS'!$A$3:$A$500,$C26,'DADOS BRUTOS'!GH$3:GH$500)))</f>
        <v/>
      </c>
      <c r="JI26" s="125">
        <f>IF(OR(JI$4="",$B26=""),0,SUMIF('DADOS BRUTOS'!$A$3:$A$500,$B26,'DADOS BRUTOS'!GI$3:GI$500)+IF($C26="",0,SUMIF('DADOS BRUTOS'!$A$3:$A$500,$C26,'DADOS BRUTOS'!GI$3:GI$500)))</f>
        <v/>
      </c>
      <c r="JJ26" s="125">
        <f>IF(OR(JJ$4="",$B26=""),0,SUMIF('DADOS BRUTOS'!$A$3:$A$500,$B26,'DADOS BRUTOS'!GJ$3:GJ$500)+IF($C26="",0,SUMIF('DADOS BRUTOS'!$A$3:$A$500,$C26,'DADOS BRUTOS'!GJ$3:GJ$500)))</f>
        <v/>
      </c>
      <c r="JK26" s="125">
        <f>IF(OR(JK$4="",$B26=""),0,SUMIF('DADOS BRUTOS'!$A$3:$A$500,$B26,'DADOS BRUTOS'!GK$3:GK$500)+IF($C26="",0,SUMIF('DADOS BRUTOS'!$A$3:$A$500,$C26,'DADOS BRUTOS'!GK$3:GK$500)))</f>
        <v/>
      </c>
      <c r="JL26" s="125">
        <f>IF(OR(JL$4="",$B26=""),0,SUMIF('DADOS BRUTOS'!$A$3:$A$500,$B26,'DADOS BRUTOS'!GL$3:GL$500)+IF($C26="",0,SUMIF('DADOS BRUTOS'!$A$3:$A$500,$C26,'DADOS BRUTOS'!GL$3:GL$500)))</f>
        <v/>
      </c>
      <c r="JM26" s="125">
        <f>IF(OR(JM$4="",$B26=""),0,SUMIF('DADOS BRUTOS'!$A$3:$A$500,$B26,'DADOS BRUTOS'!GM$3:GM$500)+IF($C26="",0,SUMIF('DADOS BRUTOS'!$A$3:$A$500,$C26,'DADOS BRUTOS'!GM$3:GM$500)))</f>
        <v/>
      </c>
      <c r="JN26" s="125">
        <f>IF(OR(JN$4="",$B26=""),0,SUMIF('DADOS BRUTOS'!$A$3:$A$500,$B26,'DADOS BRUTOS'!GN$3:GN$500)+IF($C26="",0,SUMIF('DADOS BRUTOS'!$A$3:$A$500,$C26,'DADOS BRUTOS'!GN$3:GN$500)))</f>
        <v/>
      </c>
      <c r="JO26" s="125">
        <f>IF(OR(JO$4="",$B26=""),0,SUMIF('DADOS BRUTOS'!$A$3:$A$500,$B26,'DADOS BRUTOS'!GO$3:GO$500)+IF($C26="",0,SUMIF('DADOS BRUTOS'!$A$3:$A$500,$C26,'DADOS BRUTOS'!GO$3:GO$500)))</f>
        <v/>
      </c>
      <c r="JP26" s="125">
        <f>IF(OR(JP$4="",$B26=""),0,SUMIF('DADOS BRUTOS'!$A$3:$A$500,$B26,'DADOS BRUTOS'!GP$3:GP$500)+IF($C26="",0,SUMIF('DADOS BRUTOS'!$A$3:$A$500,$C26,'DADOS BRUTOS'!GP$3:GP$500)))</f>
        <v/>
      </c>
      <c r="JQ26" s="125">
        <f>IF(OR(JQ$4="",$B26=""),0,SUMIF('DADOS BRUTOS'!$A$3:$A$500,$B26,'DADOS BRUTOS'!GQ$3:GQ$500)+IF($C26="",0,SUMIF('DADOS BRUTOS'!$A$3:$A$500,$C26,'DADOS BRUTOS'!GQ$3:GQ$500)))</f>
        <v/>
      </c>
      <c r="JR26" s="125">
        <f>IF(OR(JR$4="",$B26=""),0,SUMIF('DADOS BRUTOS'!$A$3:$A$500,$B26,'DADOS BRUTOS'!GR$3:GR$500)+IF($C26="",0,SUMIF('DADOS BRUTOS'!$A$3:$A$500,$C26,'DADOS BRUTOS'!GR$3:GR$500)))</f>
        <v/>
      </c>
      <c r="JS26" s="125">
        <f>IF(OR(JS$4="",$B26=""),0,SUMIF('DADOS BRUTOS'!$A$3:$A$500,$B26,'DADOS BRUTOS'!GS$3:GS$500)+IF($C26="",0,SUMIF('DADOS BRUTOS'!$A$3:$A$500,$C26,'DADOS BRUTOS'!GS$3:GS$500)))</f>
        <v/>
      </c>
    </row>
    <row r="27">
      <c r="A27" s="61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BZ27" s="49">
        <f>SUMPRODUCT(($CB$4:$JS$4&lt;&gt;"")*($CB$4:$JS$4&lt;=$D$4),$CB27:$JS27,$CB$1:$JS$1)</f>
        <v/>
      </c>
      <c r="CB27" s="125">
        <f>IF(OR(CB$4="",$B27=""),0,SUMIF('DADOS BRUTOS'!$A$3:$A$500,$B27,'DADOS BRUTOS'!B$3:B$500)+IF($C27="",0,SUMIF('DADOS BRUTOS'!$A$3:$A$500,$C27,'DADOS BRUTOS'!B$3:B$500)))</f>
        <v/>
      </c>
      <c r="CC27" s="125">
        <f>IF(OR(CC$4="",$B27=""),0,SUMIF('DADOS BRUTOS'!$A$3:$A$500,$B27,'DADOS BRUTOS'!C$3:C$500)+IF($C27="",0,SUMIF('DADOS BRUTOS'!$A$3:$A$500,$C27,'DADOS BRUTOS'!C$3:C$500)))</f>
        <v/>
      </c>
      <c r="CD27" s="125">
        <f>IF(OR(CD$4="",$B27=""),0,SUMIF('DADOS BRUTOS'!$A$3:$A$500,$B27,'DADOS BRUTOS'!D$3:D$500)+IF($C27="",0,SUMIF('DADOS BRUTOS'!$A$3:$A$500,$C27,'DADOS BRUTOS'!D$3:D$500)))</f>
        <v/>
      </c>
      <c r="CE27" s="125">
        <f>IF(OR(CE$4="",$B27=""),0,SUMIF('DADOS BRUTOS'!$A$3:$A$500,$B27,'DADOS BRUTOS'!E$3:E$500)+IF($C27="",0,SUMIF('DADOS BRUTOS'!$A$3:$A$500,$C27,'DADOS BRUTOS'!E$3:E$500)))</f>
        <v/>
      </c>
      <c r="CF27" s="125">
        <f>IF(OR(CF$4="",$B27=""),0,SUMIF('DADOS BRUTOS'!$A$3:$A$500,$B27,'DADOS BRUTOS'!F$3:F$500)+IF($C27="",0,SUMIF('DADOS BRUTOS'!$A$3:$A$500,$C27,'DADOS BRUTOS'!F$3:F$500)))</f>
        <v/>
      </c>
      <c r="CG27" s="125">
        <f>IF(OR(CG$4="",$B27=""),0,SUMIF('DADOS BRUTOS'!$A$3:$A$500,$B27,'DADOS BRUTOS'!G$3:G$500)+IF($C27="",0,SUMIF('DADOS BRUTOS'!$A$3:$A$500,$C27,'DADOS BRUTOS'!G$3:G$500)))</f>
        <v/>
      </c>
      <c r="CH27" s="125">
        <f>IF(OR(CH$4="",$B27=""),0,SUMIF('DADOS BRUTOS'!$A$3:$A$500,$B27,'DADOS BRUTOS'!H$3:H$500)+IF($C27="",0,SUMIF('DADOS BRUTOS'!$A$3:$A$500,$C27,'DADOS BRUTOS'!H$3:H$500)))</f>
        <v/>
      </c>
      <c r="CI27" s="125">
        <f>IF(OR(CI$4="",$B27=""),0,SUMIF('DADOS BRUTOS'!$A$3:$A$500,$B27,'DADOS BRUTOS'!I$3:I$500)+IF($C27="",0,SUMIF('DADOS BRUTOS'!$A$3:$A$500,$C27,'DADOS BRUTOS'!I$3:I$500)))</f>
        <v/>
      </c>
      <c r="CJ27" s="125">
        <f>IF(OR(CJ$4="",$B27=""),0,SUMIF('DADOS BRUTOS'!$A$3:$A$500,$B27,'DADOS BRUTOS'!J$3:J$500)+IF($C27="",0,SUMIF('DADOS BRUTOS'!$A$3:$A$500,$C27,'DADOS BRUTOS'!J$3:J$500)))</f>
        <v/>
      </c>
      <c r="CK27" s="125">
        <f>IF(OR(CK$4="",$B27=""),0,SUMIF('DADOS BRUTOS'!$A$3:$A$500,$B27,'DADOS BRUTOS'!K$3:K$500)+IF($C27="",0,SUMIF('DADOS BRUTOS'!$A$3:$A$500,$C27,'DADOS BRUTOS'!K$3:K$500)))</f>
        <v/>
      </c>
      <c r="CL27" s="125">
        <f>IF(OR(CL$4="",$B27=""),0,SUMIF('DADOS BRUTOS'!$A$3:$A$500,$B27,'DADOS BRUTOS'!L$3:L$500)+IF($C27="",0,SUMIF('DADOS BRUTOS'!$A$3:$A$500,$C27,'DADOS BRUTOS'!L$3:L$500)))</f>
        <v/>
      </c>
      <c r="CM27" s="125">
        <f>IF(OR(CM$4="",$B27=""),0,SUMIF('DADOS BRUTOS'!$A$3:$A$500,$B27,'DADOS BRUTOS'!M$3:M$500)+IF($C27="",0,SUMIF('DADOS BRUTOS'!$A$3:$A$500,$C27,'DADOS BRUTOS'!M$3:M$500)))</f>
        <v/>
      </c>
      <c r="CN27" s="125">
        <f>IF(OR(CN$4="",$B27=""),0,SUMIF('DADOS BRUTOS'!$A$3:$A$500,$B27,'DADOS BRUTOS'!N$3:N$500)+IF($C27="",0,SUMIF('DADOS BRUTOS'!$A$3:$A$500,$C27,'DADOS BRUTOS'!N$3:N$500)))</f>
        <v/>
      </c>
      <c r="CO27" s="125">
        <f>IF(OR(CO$4="",$B27=""),0,SUMIF('DADOS BRUTOS'!$A$3:$A$500,$B27,'DADOS BRUTOS'!O$3:O$500)+IF($C27="",0,SUMIF('DADOS BRUTOS'!$A$3:$A$500,$C27,'DADOS BRUTOS'!O$3:O$500)))</f>
        <v/>
      </c>
      <c r="CP27" s="125">
        <f>IF(OR(CP$4="",$B27=""),0,SUMIF('DADOS BRUTOS'!$A$3:$A$500,$B27,'DADOS BRUTOS'!P$3:P$500)+IF($C27="",0,SUMIF('DADOS BRUTOS'!$A$3:$A$500,$C27,'DADOS BRUTOS'!P$3:P$500)))</f>
        <v/>
      </c>
      <c r="CQ27" s="125">
        <f>IF(OR(CQ$4="",$B27=""),0,SUMIF('DADOS BRUTOS'!$A$3:$A$500,$B27,'DADOS BRUTOS'!Q$3:Q$500)+IF($C27="",0,SUMIF('DADOS BRUTOS'!$A$3:$A$500,$C27,'DADOS BRUTOS'!Q$3:Q$500)))</f>
        <v/>
      </c>
      <c r="CR27" s="125">
        <f>IF(OR(CR$4="",$B27=""),0,SUMIF('DADOS BRUTOS'!$A$3:$A$500,$B27,'DADOS BRUTOS'!R$3:R$500)+IF($C27="",0,SUMIF('DADOS BRUTOS'!$A$3:$A$500,$C27,'DADOS BRUTOS'!R$3:R$500)))</f>
        <v/>
      </c>
      <c r="CS27" s="125">
        <f>IF(OR(CS$4="",$B27=""),0,SUMIF('DADOS BRUTOS'!$A$3:$A$500,$B27,'DADOS BRUTOS'!S$3:S$500)+IF($C27="",0,SUMIF('DADOS BRUTOS'!$A$3:$A$500,$C27,'DADOS BRUTOS'!S$3:S$500)))</f>
        <v/>
      </c>
      <c r="CT27" s="125">
        <f>IF(OR(CT$4="",$B27=""),0,SUMIF('DADOS BRUTOS'!$A$3:$A$500,$B27,'DADOS BRUTOS'!T$3:T$500)+IF($C27="",0,SUMIF('DADOS BRUTOS'!$A$3:$A$500,$C27,'DADOS BRUTOS'!T$3:T$500)))</f>
        <v/>
      </c>
      <c r="CU27" s="125">
        <f>IF(OR(CU$4="",$B27=""),0,SUMIF('DADOS BRUTOS'!$A$3:$A$500,$B27,'DADOS BRUTOS'!U$3:U$500)+IF($C27="",0,SUMIF('DADOS BRUTOS'!$A$3:$A$500,$C27,'DADOS BRUTOS'!U$3:U$500)))</f>
        <v/>
      </c>
      <c r="CV27" s="125">
        <f>IF(OR(CV$4="",$B27=""),0,SUMIF('DADOS BRUTOS'!$A$3:$A$500,$B27,'DADOS BRUTOS'!V$3:V$500)+IF($C27="",0,SUMIF('DADOS BRUTOS'!$A$3:$A$500,$C27,'DADOS BRUTOS'!V$3:V$500)))</f>
        <v/>
      </c>
      <c r="CW27" s="125">
        <f>IF(OR(CW$4="",$B27=""),0,SUMIF('DADOS BRUTOS'!$A$3:$A$500,$B27,'DADOS BRUTOS'!W$3:W$500)+IF($C27="",0,SUMIF('DADOS BRUTOS'!$A$3:$A$500,$C27,'DADOS BRUTOS'!W$3:W$500)))</f>
        <v/>
      </c>
      <c r="CX27" s="125">
        <f>IF(OR(CX$4="",$B27=""),0,SUMIF('DADOS BRUTOS'!$A$3:$A$500,$B27,'DADOS BRUTOS'!X$3:X$500)+IF($C27="",0,SUMIF('DADOS BRUTOS'!$A$3:$A$500,$C27,'DADOS BRUTOS'!X$3:X$500)))</f>
        <v/>
      </c>
      <c r="CY27" s="125">
        <f>IF(OR(CY$4="",$B27=""),0,SUMIF('DADOS BRUTOS'!$A$3:$A$500,$B27,'DADOS BRUTOS'!Y$3:Y$500)+IF($C27="",0,SUMIF('DADOS BRUTOS'!$A$3:$A$500,$C27,'DADOS BRUTOS'!Y$3:Y$500)))</f>
        <v/>
      </c>
      <c r="CZ27" s="125">
        <f>IF(OR(CZ$4="",$B27=""),0,SUMIF('DADOS BRUTOS'!$A$3:$A$500,$B27,'DADOS BRUTOS'!Z$3:Z$500)+IF($C27="",0,SUMIF('DADOS BRUTOS'!$A$3:$A$500,$C27,'DADOS BRUTOS'!Z$3:Z$500)))</f>
        <v/>
      </c>
      <c r="DA27" s="125">
        <f>IF(OR(DA$4="",$B27=""),0,SUMIF('DADOS BRUTOS'!$A$3:$A$500,$B27,'DADOS BRUTOS'!AA$3:AA$500)+IF($C27="",0,SUMIF('DADOS BRUTOS'!$A$3:$A$500,$C27,'DADOS BRUTOS'!AA$3:AA$500)))</f>
        <v/>
      </c>
      <c r="DB27" s="125">
        <f>IF(OR(DB$4="",$B27=""),0,SUMIF('DADOS BRUTOS'!$A$3:$A$500,$B27,'DADOS BRUTOS'!AB$3:AB$500)+IF($C27="",0,SUMIF('DADOS BRUTOS'!$A$3:$A$500,$C27,'DADOS BRUTOS'!AB$3:AB$500)))</f>
        <v/>
      </c>
      <c r="DC27" s="125">
        <f>IF(OR(DC$4="",$B27=""),0,SUMIF('DADOS BRUTOS'!$A$3:$A$500,$B27,'DADOS BRUTOS'!AC$3:AC$500)+IF($C27="",0,SUMIF('DADOS BRUTOS'!$A$3:$A$500,$C27,'DADOS BRUTOS'!AC$3:AC$500)))</f>
        <v/>
      </c>
      <c r="DD27" s="125">
        <f>IF(OR(DD$4="",$B27=""),0,SUMIF('DADOS BRUTOS'!$A$3:$A$500,$B27,'DADOS BRUTOS'!AD$3:AD$500)+IF($C27="",0,SUMIF('DADOS BRUTOS'!$A$3:$A$500,$C27,'DADOS BRUTOS'!AD$3:AD$500)))</f>
        <v/>
      </c>
      <c r="DE27" s="125">
        <f>IF(OR(DE$4="",$B27=""),0,SUMIF('DADOS BRUTOS'!$A$3:$A$500,$B27,'DADOS BRUTOS'!AE$3:AE$500)+IF($C27="",0,SUMIF('DADOS BRUTOS'!$A$3:$A$500,$C27,'DADOS BRUTOS'!AE$3:AE$500)))</f>
        <v/>
      </c>
      <c r="DF27" s="125">
        <f>IF(OR(DF$4="",$B27=""),0,SUMIF('DADOS BRUTOS'!$A$3:$A$500,$B27,'DADOS BRUTOS'!AF$3:AF$500)+IF($C27="",0,SUMIF('DADOS BRUTOS'!$A$3:$A$500,$C27,'DADOS BRUTOS'!AF$3:AF$500)))</f>
        <v/>
      </c>
      <c r="DG27" s="125">
        <f>IF(OR(DG$4="",$B27=""),0,SUMIF('DADOS BRUTOS'!$A$3:$A$500,$B27,'DADOS BRUTOS'!AG$3:AG$500)+IF($C27="",0,SUMIF('DADOS BRUTOS'!$A$3:$A$500,$C27,'DADOS BRUTOS'!AG$3:AG$500)))</f>
        <v/>
      </c>
      <c r="DH27" s="125">
        <f>IF(OR(DH$4="",$B27=""),0,SUMIF('DADOS BRUTOS'!$A$3:$A$500,$B27,'DADOS BRUTOS'!AH$3:AH$500)+IF($C27="",0,SUMIF('DADOS BRUTOS'!$A$3:$A$500,$C27,'DADOS BRUTOS'!AH$3:AH$500)))</f>
        <v/>
      </c>
      <c r="DI27" s="125">
        <f>IF(OR(DI$4="",$B27=""),0,SUMIF('DADOS BRUTOS'!$A$3:$A$500,$B27,'DADOS BRUTOS'!AI$3:AI$500)+IF($C27="",0,SUMIF('DADOS BRUTOS'!$A$3:$A$500,$C27,'DADOS BRUTOS'!AI$3:AI$500)))</f>
        <v/>
      </c>
      <c r="DJ27" s="125">
        <f>IF(OR(DJ$4="",$B27=""),0,SUMIF('DADOS BRUTOS'!$A$3:$A$500,$B27,'DADOS BRUTOS'!AJ$3:AJ$500)+IF($C27="",0,SUMIF('DADOS BRUTOS'!$A$3:$A$500,$C27,'DADOS BRUTOS'!AJ$3:AJ$500)))</f>
        <v/>
      </c>
      <c r="DK27" s="125">
        <f>IF(OR(DK$4="",$B27=""),0,SUMIF('DADOS BRUTOS'!$A$3:$A$500,$B27,'DADOS BRUTOS'!AK$3:AK$500)+IF($C27="",0,SUMIF('DADOS BRUTOS'!$A$3:$A$500,$C27,'DADOS BRUTOS'!AK$3:AK$500)))</f>
        <v/>
      </c>
      <c r="DL27" s="125">
        <f>IF(OR(DL$4="",$B27=""),0,SUMIF('DADOS BRUTOS'!$A$3:$A$500,$B27,'DADOS BRUTOS'!AL$3:AL$500)+IF($C27="",0,SUMIF('DADOS BRUTOS'!$A$3:$A$500,$C27,'DADOS BRUTOS'!AL$3:AL$500)))</f>
        <v/>
      </c>
      <c r="DM27" s="125">
        <f>IF(OR(DM$4="",$B27=""),0,SUMIF('DADOS BRUTOS'!$A$3:$A$500,$B27,'DADOS BRUTOS'!AM$3:AM$500)+IF($C27="",0,SUMIF('DADOS BRUTOS'!$A$3:$A$500,$C27,'DADOS BRUTOS'!AM$3:AM$500)))</f>
        <v/>
      </c>
      <c r="DN27" s="125">
        <f>IF(OR(DN$4="",$B27=""),0,SUMIF('DADOS BRUTOS'!$A$3:$A$500,$B27,'DADOS BRUTOS'!AN$3:AN$500)+IF($C27="",0,SUMIF('DADOS BRUTOS'!$A$3:$A$500,$C27,'DADOS BRUTOS'!AN$3:AN$500)))</f>
        <v/>
      </c>
      <c r="DO27" s="125">
        <f>IF(OR(DO$4="",$B27=""),0,SUMIF('DADOS BRUTOS'!$A$3:$A$500,$B27,'DADOS BRUTOS'!AO$3:AO$500)+IF($C27="",0,SUMIF('DADOS BRUTOS'!$A$3:$A$500,$C27,'DADOS BRUTOS'!AO$3:AO$500)))</f>
        <v/>
      </c>
      <c r="DP27" s="125">
        <f>IF(OR(DP$4="",$B27=""),0,SUMIF('DADOS BRUTOS'!$A$3:$A$500,$B27,'DADOS BRUTOS'!AP$3:AP$500)+IF($C27="",0,SUMIF('DADOS BRUTOS'!$A$3:$A$500,$C27,'DADOS BRUTOS'!AP$3:AP$500)))</f>
        <v/>
      </c>
      <c r="DQ27" s="125">
        <f>IF(OR(DQ$4="",$B27=""),0,SUMIF('DADOS BRUTOS'!$A$3:$A$500,$B27,'DADOS BRUTOS'!AQ$3:AQ$500)+IF($C27="",0,SUMIF('DADOS BRUTOS'!$A$3:$A$500,$C27,'DADOS BRUTOS'!AQ$3:AQ$500)))</f>
        <v/>
      </c>
      <c r="DR27" s="125">
        <f>IF(OR(DR$4="",$B27=""),0,SUMIF('DADOS BRUTOS'!$A$3:$A$500,$B27,'DADOS BRUTOS'!AR$3:AR$500)+IF($C27="",0,SUMIF('DADOS BRUTOS'!$A$3:$A$500,$C27,'DADOS BRUTOS'!AR$3:AR$500)))</f>
        <v/>
      </c>
      <c r="DS27" s="125">
        <f>IF(OR(DS$4="",$B27=""),0,SUMIF('DADOS BRUTOS'!$A$3:$A$500,$B27,'DADOS BRUTOS'!AS$3:AS$500)+IF($C27="",0,SUMIF('DADOS BRUTOS'!$A$3:$A$500,$C27,'DADOS BRUTOS'!AS$3:AS$500)))</f>
        <v/>
      </c>
      <c r="DT27" s="125">
        <f>IF(OR(DT$4="",$B27=""),0,SUMIF('DADOS BRUTOS'!$A$3:$A$500,$B27,'DADOS BRUTOS'!AT$3:AT$500)+IF($C27="",0,SUMIF('DADOS BRUTOS'!$A$3:$A$500,$C27,'DADOS BRUTOS'!AT$3:AT$500)))</f>
        <v/>
      </c>
      <c r="DU27" s="125">
        <f>IF(OR(DU$4="",$B27=""),0,SUMIF('DADOS BRUTOS'!$A$3:$A$500,$B27,'DADOS BRUTOS'!AU$3:AU$500)+IF($C27="",0,SUMIF('DADOS BRUTOS'!$A$3:$A$500,$C27,'DADOS BRUTOS'!AU$3:AU$500)))</f>
        <v/>
      </c>
      <c r="DV27" s="125">
        <f>IF(OR(DV$4="",$B27=""),0,SUMIF('DADOS BRUTOS'!$A$3:$A$500,$B27,'DADOS BRUTOS'!AV$3:AV$500)+IF($C27="",0,SUMIF('DADOS BRUTOS'!$A$3:$A$500,$C27,'DADOS BRUTOS'!AV$3:AV$500)))</f>
        <v/>
      </c>
      <c r="DW27" s="125">
        <f>IF(OR(DW$4="",$B27=""),0,SUMIF('DADOS BRUTOS'!$A$3:$A$500,$B27,'DADOS BRUTOS'!AW$3:AW$500)+IF($C27="",0,SUMIF('DADOS BRUTOS'!$A$3:$A$500,$C27,'DADOS BRUTOS'!AW$3:AW$500)))</f>
        <v/>
      </c>
      <c r="DX27" s="125">
        <f>IF(OR(DX$4="",$B27=""),0,SUMIF('DADOS BRUTOS'!$A$3:$A$500,$B27,'DADOS BRUTOS'!AX$3:AX$500)+IF($C27="",0,SUMIF('DADOS BRUTOS'!$A$3:$A$500,$C27,'DADOS BRUTOS'!AX$3:AX$500)))</f>
        <v/>
      </c>
      <c r="DY27" s="125">
        <f>IF(OR(DY$4="",$B27=""),0,SUMIF('DADOS BRUTOS'!$A$3:$A$500,$B27,'DADOS BRUTOS'!AY$3:AY$500)+IF($C27="",0,SUMIF('DADOS BRUTOS'!$A$3:$A$500,$C27,'DADOS BRUTOS'!AY$3:AY$500)))</f>
        <v/>
      </c>
      <c r="DZ27" s="125">
        <f>IF(OR(DZ$4="",$B27=""),0,SUMIF('DADOS BRUTOS'!$A$3:$A$500,$B27,'DADOS BRUTOS'!AZ$3:AZ$500)+IF($C27="",0,SUMIF('DADOS BRUTOS'!$A$3:$A$500,$C27,'DADOS BRUTOS'!AZ$3:AZ$500)))</f>
        <v/>
      </c>
      <c r="EA27" s="125">
        <f>IF(OR(EA$4="",$B27=""),0,SUMIF('DADOS BRUTOS'!$A$3:$A$500,$B27,'DADOS BRUTOS'!BA$3:BA$500)+IF($C27="",0,SUMIF('DADOS BRUTOS'!$A$3:$A$500,$C27,'DADOS BRUTOS'!BA$3:BA$500)))</f>
        <v/>
      </c>
      <c r="EB27" s="125">
        <f>IF(OR(EB$4="",$B27=""),0,SUMIF('DADOS BRUTOS'!$A$3:$A$500,$B27,'DADOS BRUTOS'!BB$3:BB$500)+IF($C27="",0,SUMIF('DADOS BRUTOS'!$A$3:$A$500,$C27,'DADOS BRUTOS'!BB$3:BB$500)))</f>
        <v/>
      </c>
      <c r="EC27" s="125">
        <f>IF(OR(EC$4="",$B27=""),0,SUMIF('DADOS BRUTOS'!$A$3:$A$500,$B27,'DADOS BRUTOS'!BC$3:BC$500)+IF($C27="",0,SUMIF('DADOS BRUTOS'!$A$3:$A$500,$C27,'DADOS BRUTOS'!BC$3:BC$500)))</f>
        <v/>
      </c>
      <c r="ED27" s="125">
        <f>IF(OR(ED$4="",$B27=""),0,SUMIF('DADOS BRUTOS'!$A$3:$A$500,$B27,'DADOS BRUTOS'!BD$3:BD$500)+IF($C27="",0,SUMIF('DADOS BRUTOS'!$A$3:$A$500,$C27,'DADOS BRUTOS'!BD$3:BD$500)))</f>
        <v/>
      </c>
      <c r="EE27" s="125">
        <f>IF(OR(EE$4="",$B27=""),0,SUMIF('DADOS BRUTOS'!$A$3:$A$500,$B27,'DADOS BRUTOS'!BE$3:BE$500)+IF($C27="",0,SUMIF('DADOS BRUTOS'!$A$3:$A$500,$C27,'DADOS BRUTOS'!BE$3:BE$500)))</f>
        <v/>
      </c>
      <c r="EF27" s="125">
        <f>IF(OR(EF$4="",$B27=""),0,SUMIF('DADOS BRUTOS'!$A$3:$A$500,$B27,'DADOS BRUTOS'!BF$3:BF$500)+IF($C27="",0,SUMIF('DADOS BRUTOS'!$A$3:$A$500,$C27,'DADOS BRUTOS'!BF$3:BF$500)))</f>
        <v/>
      </c>
      <c r="EG27" s="125">
        <f>IF(OR(EG$4="",$B27=""),0,SUMIF('DADOS BRUTOS'!$A$3:$A$500,$B27,'DADOS BRUTOS'!BG$3:BG$500)+IF($C27="",0,SUMIF('DADOS BRUTOS'!$A$3:$A$500,$C27,'DADOS BRUTOS'!BG$3:BG$500)))</f>
        <v/>
      </c>
      <c r="EH27" s="125">
        <f>IF(OR(EH$4="",$B27=""),0,SUMIF('DADOS BRUTOS'!$A$3:$A$500,$B27,'DADOS BRUTOS'!BH$3:BH$500)+IF($C27="",0,SUMIF('DADOS BRUTOS'!$A$3:$A$500,$C27,'DADOS BRUTOS'!BH$3:BH$500)))</f>
        <v/>
      </c>
      <c r="EI27" s="125">
        <f>IF(OR(EI$4="",$B27=""),0,SUMIF('DADOS BRUTOS'!$A$3:$A$500,$B27,'DADOS BRUTOS'!BI$3:BI$500)+IF($C27="",0,SUMIF('DADOS BRUTOS'!$A$3:$A$500,$C27,'DADOS BRUTOS'!BI$3:BI$500)))</f>
        <v/>
      </c>
      <c r="EJ27" s="125">
        <f>IF(OR(EJ$4="",$B27=""),0,SUMIF('DADOS BRUTOS'!$A$3:$A$500,$B27,'DADOS BRUTOS'!BJ$3:BJ$500)+IF($C27="",0,SUMIF('DADOS BRUTOS'!$A$3:$A$500,$C27,'DADOS BRUTOS'!BJ$3:BJ$500)))</f>
        <v/>
      </c>
      <c r="EK27" s="125">
        <f>IF(OR(EK$4="",$B27=""),0,SUMIF('DADOS BRUTOS'!$A$3:$A$500,$B27,'DADOS BRUTOS'!BK$3:BK$500)+IF($C27="",0,SUMIF('DADOS BRUTOS'!$A$3:$A$500,$C27,'DADOS BRUTOS'!BK$3:BK$500)))</f>
        <v/>
      </c>
      <c r="EL27" s="125">
        <f>IF(OR(EL$4="",$B27=""),0,SUMIF('DADOS BRUTOS'!$A$3:$A$500,$B27,'DADOS BRUTOS'!BL$3:BL$500)+IF($C27="",0,SUMIF('DADOS BRUTOS'!$A$3:$A$500,$C27,'DADOS BRUTOS'!BL$3:BL$500)))</f>
        <v/>
      </c>
      <c r="EM27" s="125">
        <f>IF(OR(EM$4="",$B27=""),0,SUMIF('DADOS BRUTOS'!$A$3:$A$500,$B27,'DADOS BRUTOS'!BM$3:BM$500)+IF($C27="",0,SUMIF('DADOS BRUTOS'!$A$3:$A$500,$C27,'DADOS BRUTOS'!BM$3:BM$500)))</f>
        <v/>
      </c>
      <c r="EN27" s="125">
        <f>IF(OR(EN$4="",$B27=""),0,SUMIF('DADOS BRUTOS'!$A$3:$A$500,$B27,'DADOS BRUTOS'!BN$3:BN$500)+IF($C27="",0,SUMIF('DADOS BRUTOS'!$A$3:$A$500,$C27,'DADOS BRUTOS'!BN$3:BN$500)))</f>
        <v/>
      </c>
      <c r="EO27" s="125">
        <f>IF(OR(EO$4="",$B27=""),0,SUMIF('DADOS BRUTOS'!$A$3:$A$500,$B27,'DADOS BRUTOS'!BO$3:BO$500)+IF($C27="",0,SUMIF('DADOS BRUTOS'!$A$3:$A$500,$C27,'DADOS BRUTOS'!BO$3:BO$500)))</f>
        <v/>
      </c>
      <c r="EP27" s="125">
        <f>IF(OR(EP$4="",$B27=""),0,SUMIF('DADOS BRUTOS'!$A$3:$A$500,$B27,'DADOS BRUTOS'!BP$3:BP$500)+IF($C27="",0,SUMIF('DADOS BRUTOS'!$A$3:$A$500,$C27,'DADOS BRUTOS'!BP$3:BP$500)))</f>
        <v/>
      </c>
      <c r="EQ27" s="125">
        <f>IF(OR(EQ$4="",$B27=""),0,SUMIF('DADOS BRUTOS'!$A$3:$A$500,$B27,'DADOS BRUTOS'!BQ$3:BQ$500)+IF($C27="",0,SUMIF('DADOS BRUTOS'!$A$3:$A$500,$C27,'DADOS BRUTOS'!BQ$3:BQ$500)))</f>
        <v/>
      </c>
      <c r="ER27" s="125">
        <f>IF(OR(ER$4="",$B27=""),0,SUMIF('DADOS BRUTOS'!$A$3:$A$500,$B27,'DADOS BRUTOS'!BR$3:BR$500)+IF($C27="",0,SUMIF('DADOS BRUTOS'!$A$3:$A$500,$C27,'DADOS BRUTOS'!BR$3:BR$500)))</f>
        <v/>
      </c>
      <c r="ES27" s="125">
        <f>IF(OR(ES$4="",$B27=""),0,SUMIF('DADOS BRUTOS'!$A$3:$A$500,$B27,'DADOS BRUTOS'!BS$3:BS$500)+IF($C27="",0,SUMIF('DADOS BRUTOS'!$A$3:$A$500,$C27,'DADOS BRUTOS'!BS$3:BS$500)))</f>
        <v/>
      </c>
      <c r="ET27" s="125">
        <f>IF(OR(ET$4="",$B27=""),0,SUMIF('DADOS BRUTOS'!$A$3:$A$500,$B27,'DADOS BRUTOS'!BT$3:BT$500)+IF($C27="",0,SUMIF('DADOS BRUTOS'!$A$3:$A$500,$C27,'DADOS BRUTOS'!BT$3:BT$500)))</f>
        <v/>
      </c>
      <c r="EU27" s="125">
        <f>IF(OR(EU$4="",$B27=""),0,SUMIF('DADOS BRUTOS'!$A$3:$A$500,$B27,'DADOS BRUTOS'!BU$3:BU$500)+IF($C27="",0,SUMIF('DADOS BRUTOS'!$A$3:$A$500,$C27,'DADOS BRUTOS'!BU$3:BU$500)))</f>
        <v/>
      </c>
      <c r="EV27" s="125">
        <f>IF(OR(EV$4="",$B27=""),0,SUMIF('DADOS BRUTOS'!$A$3:$A$500,$B27,'DADOS BRUTOS'!BV$3:BV$500)+IF($C27="",0,SUMIF('DADOS BRUTOS'!$A$3:$A$500,$C27,'DADOS BRUTOS'!BV$3:BV$500)))</f>
        <v/>
      </c>
      <c r="EW27" s="125">
        <f>IF(OR(EW$4="",$B27=""),0,SUMIF('DADOS BRUTOS'!$A$3:$A$500,$B27,'DADOS BRUTOS'!BW$3:BW$500)+IF($C27="",0,SUMIF('DADOS BRUTOS'!$A$3:$A$500,$C27,'DADOS BRUTOS'!BW$3:BW$500)))</f>
        <v/>
      </c>
      <c r="EX27" s="125">
        <f>IF(OR(EX$4="",$B27=""),0,SUMIF('DADOS BRUTOS'!$A$3:$A$500,$B27,'DADOS BRUTOS'!BX$3:BX$500)+IF($C27="",0,SUMIF('DADOS BRUTOS'!$A$3:$A$500,$C27,'DADOS BRUTOS'!BX$3:BX$500)))</f>
        <v/>
      </c>
      <c r="EY27" s="125">
        <f>IF(OR(EY$4="",$B27=""),0,SUMIF('DADOS BRUTOS'!$A$3:$A$500,$B27,'DADOS BRUTOS'!BY$3:BY$500)+IF($C27="",0,SUMIF('DADOS BRUTOS'!$A$3:$A$500,$C27,'DADOS BRUTOS'!BY$3:BY$500)))</f>
        <v/>
      </c>
      <c r="EZ27" s="125">
        <f>IF(OR(EZ$4="",$B27=""),0,SUMIF('DADOS BRUTOS'!$A$3:$A$500,$B27,'DADOS BRUTOS'!BZ$3:BZ$500)+IF($C27="",0,SUMIF('DADOS BRUTOS'!$A$3:$A$500,$C27,'DADOS BRUTOS'!BZ$3:BZ$500)))</f>
        <v/>
      </c>
      <c r="FA27" s="125">
        <f>IF(OR(FA$4="",$B27=""),0,SUMIF('DADOS BRUTOS'!$A$3:$A$500,$B27,'DADOS BRUTOS'!CA$3:CA$500)+IF($C27="",0,SUMIF('DADOS BRUTOS'!$A$3:$A$500,$C27,'DADOS BRUTOS'!CA$3:CA$500)))</f>
        <v/>
      </c>
      <c r="FB27" s="125">
        <f>IF(OR(FB$4="",$B27=""),0,SUMIF('DADOS BRUTOS'!$A$3:$A$500,$B27,'DADOS BRUTOS'!CB$3:CB$500)+IF($C27="",0,SUMIF('DADOS BRUTOS'!$A$3:$A$500,$C27,'DADOS BRUTOS'!CB$3:CB$500)))</f>
        <v/>
      </c>
      <c r="FC27" s="125">
        <f>IF(OR(FC$4="",$B27=""),0,SUMIF('DADOS BRUTOS'!$A$3:$A$500,$B27,'DADOS BRUTOS'!CC$3:CC$500)+IF($C27="",0,SUMIF('DADOS BRUTOS'!$A$3:$A$500,$C27,'DADOS BRUTOS'!CC$3:CC$500)))</f>
        <v/>
      </c>
      <c r="FD27" s="125">
        <f>IF(OR(FD$4="",$B27=""),0,SUMIF('DADOS BRUTOS'!$A$3:$A$500,$B27,'DADOS BRUTOS'!CD$3:CD$500)+IF($C27="",0,SUMIF('DADOS BRUTOS'!$A$3:$A$500,$C27,'DADOS BRUTOS'!CD$3:CD$500)))</f>
        <v/>
      </c>
      <c r="FE27" s="125">
        <f>IF(OR(FE$4="",$B27=""),0,SUMIF('DADOS BRUTOS'!$A$3:$A$500,$B27,'DADOS BRUTOS'!CE$3:CE$500)+IF($C27="",0,SUMIF('DADOS BRUTOS'!$A$3:$A$500,$C27,'DADOS BRUTOS'!CE$3:CE$500)))</f>
        <v/>
      </c>
      <c r="FF27" s="125">
        <f>IF(OR(FF$4="",$B27=""),0,SUMIF('DADOS BRUTOS'!$A$3:$A$500,$B27,'DADOS BRUTOS'!CF$3:CF$500)+IF($C27="",0,SUMIF('DADOS BRUTOS'!$A$3:$A$500,$C27,'DADOS BRUTOS'!CF$3:CF$500)))</f>
        <v/>
      </c>
      <c r="FG27" s="125">
        <f>IF(OR(FG$4="",$B27=""),0,SUMIF('DADOS BRUTOS'!$A$3:$A$500,$B27,'DADOS BRUTOS'!CG$3:CG$500)+IF($C27="",0,SUMIF('DADOS BRUTOS'!$A$3:$A$500,$C27,'DADOS BRUTOS'!CG$3:CG$500)))</f>
        <v/>
      </c>
      <c r="FH27" s="125">
        <f>IF(OR(FH$4="",$B27=""),0,SUMIF('DADOS BRUTOS'!$A$3:$A$500,$B27,'DADOS BRUTOS'!CH$3:CH$500)+IF($C27="",0,SUMIF('DADOS BRUTOS'!$A$3:$A$500,$C27,'DADOS BRUTOS'!CH$3:CH$500)))</f>
        <v/>
      </c>
      <c r="FI27" s="125">
        <f>IF(OR(FI$4="",$B27=""),0,SUMIF('DADOS BRUTOS'!$A$3:$A$500,$B27,'DADOS BRUTOS'!CI$3:CI$500)+IF($C27="",0,SUMIF('DADOS BRUTOS'!$A$3:$A$500,$C27,'DADOS BRUTOS'!CI$3:CI$500)))</f>
        <v/>
      </c>
      <c r="FJ27" s="125">
        <f>IF(OR(FJ$4="",$B27=""),0,SUMIF('DADOS BRUTOS'!$A$3:$A$500,$B27,'DADOS BRUTOS'!CJ$3:CJ$500)+IF($C27="",0,SUMIF('DADOS BRUTOS'!$A$3:$A$500,$C27,'DADOS BRUTOS'!CJ$3:CJ$500)))</f>
        <v/>
      </c>
      <c r="FK27" s="125">
        <f>IF(OR(FK$4="",$B27=""),0,SUMIF('DADOS BRUTOS'!$A$3:$A$500,$B27,'DADOS BRUTOS'!CK$3:CK$500)+IF($C27="",0,SUMIF('DADOS BRUTOS'!$A$3:$A$500,$C27,'DADOS BRUTOS'!CK$3:CK$500)))</f>
        <v/>
      </c>
      <c r="FL27" s="125">
        <f>IF(OR(FL$4="",$B27=""),0,SUMIF('DADOS BRUTOS'!$A$3:$A$500,$B27,'DADOS BRUTOS'!CL$3:CL$500)+IF($C27="",0,SUMIF('DADOS BRUTOS'!$A$3:$A$500,$C27,'DADOS BRUTOS'!CL$3:CL$500)))</f>
        <v/>
      </c>
      <c r="FM27" s="125">
        <f>IF(OR(FM$4="",$B27=""),0,SUMIF('DADOS BRUTOS'!$A$3:$A$500,$B27,'DADOS BRUTOS'!CM$3:CM$500)+IF($C27="",0,SUMIF('DADOS BRUTOS'!$A$3:$A$500,$C27,'DADOS BRUTOS'!CM$3:CM$500)))</f>
        <v/>
      </c>
      <c r="FN27" s="125">
        <f>IF(OR(FN$4="",$B27=""),0,SUMIF('DADOS BRUTOS'!$A$3:$A$500,$B27,'DADOS BRUTOS'!CN$3:CN$500)+IF($C27="",0,SUMIF('DADOS BRUTOS'!$A$3:$A$500,$C27,'DADOS BRUTOS'!CN$3:CN$500)))</f>
        <v/>
      </c>
      <c r="FO27" s="125">
        <f>IF(OR(FO$4="",$B27=""),0,SUMIF('DADOS BRUTOS'!$A$3:$A$500,$B27,'DADOS BRUTOS'!CO$3:CO$500)+IF($C27="",0,SUMIF('DADOS BRUTOS'!$A$3:$A$500,$C27,'DADOS BRUTOS'!CO$3:CO$500)))</f>
        <v/>
      </c>
      <c r="FP27" s="125">
        <f>IF(OR(FP$4="",$B27=""),0,SUMIF('DADOS BRUTOS'!$A$3:$A$500,$B27,'DADOS BRUTOS'!CP$3:CP$500)+IF($C27="",0,SUMIF('DADOS BRUTOS'!$A$3:$A$500,$C27,'DADOS BRUTOS'!CP$3:CP$500)))</f>
        <v/>
      </c>
      <c r="FQ27" s="125">
        <f>IF(OR(FQ$4="",$B27=""),0,SUMIF('DADOS BRUTOS'!$A$3:$A$500,$B27,'DADOS BRUTOS'!CQ$3:CQ$500)+IF($C27="",0,SUMIF('DADOS BRUTOS'!$A$3:$A$500,$C27,'DADOS BRUTOS'!CQ$3:CQ$500)))</f>
        <v/>
      </c>
      <c r="FR27" s="125">
        <f>IF(OR(FR$4="",$B27=""),0,SUMIF('DADOS BRUTOS'!$A$3:$A$500,$B27,'DADOS BRUTOS'!CR$3:CR$500)+IF($C27="",0,SUMIF('DADOS BRUTOS'!$A$3:$A$500,$C27,'DADOS BRUTOS'!CR$3:CR$500)))</f>
        <v/>
      </c>
      <c r="FS27" s="125">
        <f>IF(OR(FS$4="",$B27=""),0,SUMIF('DADOS BRUTOS'!$A$3:$A$500,$B27,'DADOS BRUTOS'!CS$3:CS$500)+IF($C27="",0,SUMIF('DADOS BRUTOS'!$A$3:$A$500,$C27,'DADOS BRUTOS'!CS$3:CS$500)))</f>
        <v/>
      </c>
      <c r="FT27" s="125">
        <f>IF(OR(FT$4="",$B27=""),0,SUMIF('DADOS BRUTOS'!$A$3:$A$500,$B27,'DADOS BRUTOS'!CT$3:CT$500)+IF($C27="",0,SUMIF('DADOS BRUTOS'!$A$3:$A$500,$C27,'DADOS BRUTOS'!CT$3:CT$500)))</f>
        <v/>
      </c>
      <c r="FU27" s="125">
        <f>IF(OR(FU$4="",$B27=""),0,SUMIF('DADOS BRUTOS'!$A$3:$A$500,$B27,'DADOS BRUTOS'!CU$3:CU$500)+IF($C27="",0,SUMIF('DADOS BRUTOS'!$A$3:$A$500,$C27,'DADOS BRUTOS'!CU$3:CU$500)))</f>
        <v/>
      </c>
      <c r="FV27" s="125">
        <f>IF(OR(FV$4="",$B27=""),0,SUMIF('DADOS BRUTOS'!$A$3:$A$500,$B27,'DADOS BRUTOS'!CV$3:CV$500)+IF($C27="",0,SUMIF('DADOS BRUTOS'!$A$3:$A$500,$C27,'DADOS BRUTOS'!CV$3:CV$500)))</f>
        <v/>
      </c>
      <c r="FW27" s="125">
        <f>IF(OR(FW$4="",$B27=""),0,SUMIF('DADOS BRUTOS'!$A$3:$A$500,$B27,'DADOS BRUTOS'!CW$3:CW$500)+IF($C27="",0,SUMIF('DADOS BRUTOS'!$A$3:$A$500,$C27,'DADOS BRUTOS'!CW$3:CW$500)))</f>
        <v/>
      </c>
      <c r="FX27" s="125">
        <f>IF(OR(FX$4="",$B27=""),0,SUMIF('DADOS BRUTOS'!$A$3:$A$500,$B27,'DADOS BRUTOS'!CX$3:CX$500)+IF($C27="",0,SUMIF('DADOS BRUTOS'!$A$3:$A$500,$C27,'DADOS BRUTOS'!CX$3:CX$500)))</f>
        <v/>
      </c>
      <c r="FY27" s="125">
        <f>IF(OR(FY$4="",$B27=""),0,SUMIF('DADOS BRUTOS'!$A$3:$A$500,$B27,'DADOS BRUTOS'!CY$3:CY$500)+IF($C27="",0,SUMIF('DADOS BRUTOS'!$A$3:$A$500,$C27,'DADOS BRUTOS'!CY$3:CY$500)))</f>
        <v/>
      </c>
      <c r="FZ27" s="125">
        <f>IF(OR(FZ$4="",$B27=""),0,SUMIF('DADOS BRUTOS'!$A$3:$A$500,$B27,'DADOS BRUTOS'!CZ$3:CZ$500)+IF($C27="",0,SUMIF('DADOS BRUTOS'!$A$3:$A$500,$C27,'DADOS BRUTOS'!CZ$3:CZ$500)))</f>
        <v/>
      </c>
      <c r="GA27" s="125">
        <f>IF(OR(GA$4="",$B27=""),0,SUMIF('DADOS BRUTOS'!$A$3:$A$500,$B27,'DADOS BRUTOS'!DA$3:DA$500)+IF($C27="",0,SUMIF('DADOS BRUTOS'!$A$3:$A$500,$C27,'DADOS BRUTOS'!DA$3:DA$500)))</f>
        <v/>
      </c>
      <c r="GB27" s="125">
        <f>IF(OR(GB$4="",$B27=""),0,SUMIF('DADOS BRUTOS'!$A$3:$A$500,$B27,'DADOS BRUTOS'!DB$3:DB$500)+IF($C27="",0,SUMIF('DADOS BRUTOS'!$A$3:$A$500,$C27,'DADOS BRUTOS'!DB$3:DB$500)))</f>
        <v/>
      </c>
      <c r="GC27" s="125">
        <f>IF(OR(GC$4="",$B27=""),0,SUMIF('DADOS BRUTOS'!$A$3:$A$500,$B27,'DADOS BRUTOS'!DC$3:DC$500)+IF($C27="",0,SUMIF('DADOS BRUTOS'!$A$3:$A$500,$C27,'DADOS BRUTOS'!DC$3:DC$500)))</f>
        <v/>
      </c>
      <c r="GD27" s="125">
        <f>IF(OR(GD$4="",$B27=""),0,SUMIF('DADOS BRUTOS'!$A$3:$A$500,$B27,'DADOS BRUTOS'!DD$3:DD$500)+IF($C27="",0,SUMIF('DADOS BRUTOS'!$A$3:$A$500,$C27,'DADOS BRUTOS'!DD$3:DD$500)))</f>
        <v/>
      </c>
      <c r="GE27" s="125">
        <f>IF(OR(GE$4="",$B27=""),0,SUMIF('DADOS BRUTOS'!$A$3:$A$500,$B27,'DADOS BRUTOS'!DE$3:DE$500)+IF($C27="",0,SUMIF('DADOS BRUTOS'!$A$3:$A$500,$C27,'DADOS BRUTOS'!DE$3:DE$500)))</f>
        <v/>
      </c>
      <c r="GF27" s="125">
        <f>IF(OR(GF$4="",$B27=""),0,SUMIF('DADOS BRUTOS'!$A$3:$A$500,$B27,'DADOS BRUTOS'!DF$3:DF$500)+IF($C27="",0,SUMIF('DADOS BRUTOS'!$A$3:$A$500,$C27,'DADOS BRUTOS'!DF$3:DF$500)))</f>
        <v/>
      </c>
      <c r="GG27" s="125">
        <f>IF(OR(GG$4="",$B27=""),0,SUMIF('DADOS BRUTOS'!$A$3:$A$500,$B27,'DADOS BRUTOS'!DG$3:DG$500)+IF($C27="",0,SUMIF('DADOS BRUTOS'!$A$3:$A$500,$C27,'DADOS BRUTOS'!DG$3:DG$500)))</f>
        <v/>
      </c>
      <c r="GH27" s="125">
        <f>IF(OR(GH$4="",$B27=""),0,SUMIF('DADOS BRUTOS'!$A$3:$A$500,$B27,'DADOS BRUTOS'!DH$3:DH$500)+IF($C27="",0,SUMIF('DADOS BRUTOS'!$A$3:$A$500,$C27,'DADOS BRUTOS'!DH$3:DH$500)))</f>
        <v/>
      </c>
      <c r="GI27" s="125">
        <f>IF(OR(GI$4="",$B27=""),0,SUMIF('DADOS BRUTOS'!$A$3:$A$500,$B27,'DADOS BRUTOS'!DI$3:DI$500)+IF($C27="",0,SUMIF('DADOS BRUTOS'!$A$3:$A$500,$C27,'DADOS BRUTOS'!DI$3:DI$500)))</f>
        <v/>
      </c>
      <c r="GJ27" s="125">
        <f>IF(OR(GJ$4="",$B27=""),0,SUMIF('DADOS BRUTOS'!$A$3:$A$500,$B27,'DADOS BRUTOS'!DJ$3:DJ$500)+IF($C27="",0,SUMIF('DADOS BRUTOS'!$A$3:$A$500,$C27,'DADOS BRUTOS'!DJ$3:DJ$500)))</f>
        <v/>
      </c>
      <c r="GK27" s="125">
        <f>IF(OR(GK$4="",$B27=""),0,SUMIF('DADOS BRUTOS'!$A$3:$A$500,$B27,'DADOS BRUTOS'!DK$3:DK$500)+IF($C27="",0,SUMIF('DADOS BRUTOS'!$A$3:$A$500,$C27,'DADOS BRUTOS'!DK$3:DK$500)))</f>
        <v/>
      </c>
      <c r="GL27" s="125">
        <f>IF(OR(GL$4="",$B27=""),0,SUMIF('DADOS BRUTOS'!$A$3:$A$500,$B27,'DADOS BRUTOS'!DL$3:DL$500)+IF($C27="",0,SUMIF('DADOS BRUTOS'!$A$3:$A$500,$C27,'DADOS BRUTOS'!DL$3:DL$500)))</f>
        <v/>
      </c>
      <c r="GM27" s="125">
        <f>IF(OR(GM$4="",$B27=""),0,SUMIF('DADOS BRUTOS'!$A$3:$A$500,$B27,'DADOS BRUTOS'!DM$3:DM$500)+IF($C27="",0,SUMIF('DADOS BRUTOS'!$A$3:$A$500,$C27,'DADOS BRUTOS'!DM$3:DM$500)))</f>
        <v/>
      </c>
      <c r="GN27" s="125">
        <f>IF(OR(GN$4="",$B27=""),0,SUMIF('DADOS BRUTOS'!$A$3:$A$500,$B27,'DADOS BRUTOS'!DN$3:DN$500)+IF($C27="",0,SUMIF('DADOS BRUTOS'!$A$3:$A$500,$C27,'DADOS BRUTOS'!DN$3:DN$500)))</f>
        <v/>
      </c>
      <c r="GO27" s="125">
        <f>IF(OR(GO$4="",$B27=""),0,SUMIF('DADOS BRUTOS'!$A$3:$A$500,$B27,'DADOS BRUTOS'!DO$3:DO$500)+IF($C27="",0,SUMIF('DADOS BRUTOS'!$A$3:$A$500,$C27,'DADOS BRUTOS'!DO$3:DO$500)))</f>
        <v/>
      </c>
      <c r="GP27" s="125">
        <f>IF(OR(GP$4="",$B27=""),0,SUMIF('DADOS BRUTOS'!$A$3:$A$500,$B27,'DADOS BRUTOS'!DP$3:DP$500)+IF($C27="",0,SUMIF('DADOS BRUTOS'!$A$3:$A$500,$C27,'DADOS BRUTOS'!DP$3:DP$500)))</f>
        <v/>
      </c>
      <c r="GQ27" s="125">
        <f>IF(OR(GQ$4="",$B27=""),0,SUMIF('DADOS BRUTOS'!$A$3:$A$500,$B27,'DADOS BRUTOS'!DQ$3:DQ$500)+IF($C27="",0,SUMIF('DADOS BRUTOS'!$A$3:$A$500,$C27,'DADOS BRUTOS'!DQ$3:DQ$500)))</f>
        <v/>
      </c>
      <c r="GR27" s="125">
        <f>IF(OR(GR$4="",$B27=""),0,SUMIF('DADOS BRUTOS'!$A$3:$A$500,$B27,'DADOS BRUTOS'!DR$3:DR$500)+IF($C27="",0,SUMIF('DADOS BRUTOS'!$A$3:$A$500,$C27,'DADOS BRUTOS'!DR$3:DR$500)))</f>
        <v/>
      </c>
      <c r="GS27" s="125">
        <f>IF(OR(GS$4="",$B27=""),0,SUMIF('DADOS BRUTOS'!$A$3:$A$500,$B27,'DADOS BRUTOS'!DS$3:DS$500)+IF($C27="",0,SUMIF('DADOS BRUTOS'!$A$3:$A$500,$C27,'DADOS BRUTOS'!DS$3:DS$500)))</f>
        <v/>
      </c>
      <c r="GT27" s="125">
        <f>IF(OR(GT$4="",$B27=""),0,SUMIF('DADOS BRUTOS'!$A$3:$A$500,$B27,'DADOS BRUTOS'!DT$3:DT$500)+IF($C27="",0,SUMIF('DADOS BRUTOS'!$A$3:$A$500,$C27,'DADOS BRUTOS'!DT$3:DT$500)))</f>
        <v/>
      </c>
      <c r="GU27" s="125">
        <f>IF(OR(GU$4="",$B27=""),0,SUMIF('DADOS BRUTOS'!$A$3:$A$500,$B27,'DADOS BRUTOS'!DU$3:DU$500)+IF($C27="",0,SUMIF('DADOS BRUTOS'!$A$3:$A$500,$C27,'DADOS BRUTOS'!DU$3:DU$500)))</f>
        <v/>
      </c>
      <c r="GV27" s="125">
        <f>IF(OR(GV$4="",$B27=""),0,SUMIF('DADOS BRUTOS'!$A$3:$A$500,$B27,'DADOS BRUTOS'!DV$3:DV$500)+IF($C27="",0,SUMIF('DADOS BRUTOS'!$A$3:$A$500,$C27,'DADOS BRUTOS'!DV$3:DV$500)))</f>
        <v/>
      </c>
      <c r="GW27" s="125">
        <f>IF(OR(GW$4="",$B27=""),0,SUMIF('DADOS BRUTOS'!$A$3:$A$500,$B27,'DADOS BRUTOS'!DW$3:DW$500)+IF($C27="",0,SUMIF('DADOS BRUTOS'!$A$3:$A$500,$C27,'DADOS BRUTOS'!DW$3:DW$500)))</f>
        <v/>
      </c>
      <c r="GX27" s="125">
        <f>IF(OR(GX$4="",$B27=""),0,SUMIF('DADOS BRUTOS'!$A$3:$A$500,$B27,'DADOS BRUTOS'!DX$3:DX$500)+IF($C27="",0,SUMIF('DADOS BRUTOS'!$A$3:$A$500,$C27,'DADOS BRUTOS'!DX$3:DX$500)))</f>
        <v/>
      </c>
      <c r="GY27" s="125">
        <f>IF(OR(GY$4="",$B27=""),0,SUMIF('DADOS BRUTOS'!$A$3:$A$500,$B27,'DADOS BRUTOS'!DY$3:DY$500)+IF($C27="",0,SUMIF('DADOS BRUTOS'!$A$3:$A$500,$C27,'DADOS BRUTOS'!DY$3:DY$500)))</f>
        <v/>
      </c>
      <c r="GZ27" s="125">
        <f>IF(OR(GZ$4="",$B27=""),0,SUMIF('DADOS BRUTOS'!$A$3:$A$500,$B27,'DADOS BRUTOS'!DZ$3:DZ$500)+IF($C27="",0,SUMIF('DADOS BRUTOS'!$A$3:$A$500,$C27,'DADOS BRUTOS'!DZ$3:DZ$500)))</f>
        <v/>
      </c>
      <c r="HA27" s="125">
        <f>IF(OR(HA$4="",$B27=""),0,SUMIF('DADOS BRUTOS'!$A$3:$A$500,$B27,'DADOS BRUTOS'!EA$3:EA$500)+IF($C27="",0,SUMIF('DADOS BRUTOS'!$A$3:$A$500,$C27,'DADOS BRUTOS'!EA$3:EA$500)))</f>
        <v/>
      </c>
      <c r="HB27" s="125">
        <f>IF(OR(HB$4="",$B27=""),0,SUMIF('DADOS BRUTOS'!$A$3:$A$500,$B27,'DADOS BRUTOS'!EB$3:EB$500)+IF($C27="",0,SUMIF('DADOS BRUTOS'!$A$3:$A$500,$C27,'DADOS BRUTOS'!EB$3:EB$500)))</f>
        <v/>
      </c>
      <c r="HC27" s="125">
        <f>IF(OR(HC$4="",$B27=""),0,SUMIF('DADOS BRUTOS'!$A$3:$A$500,$B27,'DADOS BRUTOS'!EC$3:EC$500)+IF($C27="",0,SUMIF('DADOS BRUTOS'!$A$3:$A$500,$C27,'DADOS BRUTOS'!EC$3:EC$500)))</f>
        <v/>
      </c>
      <c r="HD27" s="125">
        <f>IF(OR(HD$4="",$B27=""),0,SUMIF('DADOS BRUTOS'!$A$3:$A$500,$B27,'DADOS BRUTOS'!ED$3:ED$500)+IF($C27="",0,SUMIF('DADOS BRUTOS'!$A$3:$A$500,$C27,'DADOS BRUTOS'!ED$3:ED$500)))</f>
        <v/>
      </c>
      <c r="HE27" s="125">
        <f>IF(OR(HE$4="",$B27=""),0,SUMIF('DADOS BRUTOS'!$A$3:$A$500,$B27,'DADOS BRUTOS'!EE$3:EE$500)+IF($C27="",0,SUMIF('DADOS BRUTOS'!$A$3:$A$500,$C27,'DADOS BRUTOS'!EE$3:EE$500)))</f>
        <v/>
      </c>
      <c r="HF27" s="125">
        <f>IF(OR(HF$4="",$B27=""),0,SUMIF('DADOS BRUTOS'!$A$3:$A$500,$B27,'DADOS BRUTOS'!EF$3:EF$500)+IF($C27="",0,SUMIF('DADOS BRUTOS'!$A$3:$A$500,$C27,'DADOS BRUTOS'!EF$3:EF$500)))</f>
        <v/>
      </c>
      <c r="HG27" s="125">
        <f>IF(OR(HG$4="",$B27=""),0,SUMIF('DADOS BRUTOS'!$A$3:$A$500,$B27,'DADOS BRUTOS'!EG$3:EG$500)+IF($C27="",0,SUMIF('DADOS BRUTOS'!$A$3:$A$500,$C27,'DADOS BRUTOS'!EG$3:EG$500)))</f>
        <v/>
      </c>
      <c r="HH27" s="125">
        <f>IF(OR(HH$4="",$B27=""),0,SUMIF('DADOS BRUTOS'!$A$3:$A$500,$B27,'DADOS BRUTOS'!EH$3:EH$500)+IF($C27="",0,SUMIF('DADOS BRUTOS'!$A$3:$A$500,$C27,'DADOS BRUTOS'!EH$3:EH$500)))</f>
        <v/>
      </c>
      <c r="HI27" s="125">
        <f>IF(OR(HI$4="",$B27=""),0,SUMIF('DADOS BRUTOS'!$A$3:$A$500,$B27,'DADOS BRUTOS'!EI$3:EI$500)+IF($C27="",0,SUMIF('DADOS BRUTOS'!$A$3:$A$500,$C27,'DADOS BRUTOS'!EI$3:EI$500)))</f>
        <v/>
      </c>
      <c r="HJ27" s="125">
        <f>IF(OR(HJ$4="",$B27=""),0,SUMIF('DADOS BRUTOS'!$A$3:$A$500,$B27,'DADOS BRUTOS'!EJ$3:EJ$500)+IF($C27="",0,SUMIF('DADOS BRUTOS'!$A$3:$A$500,$C27,'DADOS BRUTOS'!EJ$3:EJ$500)))</f>
        <v/>
      </c>
      <c r="HK27" s="125">
        <f>IF(OR(HK$4="",$B27=""),0,SUMIF('DADOS BRUTOS'!$A$3:$A$500,$B27,'DADOS BRUTOS'!EK$3:EK$500)+IF($C27="",0,SUMIF('DADOS BRUTOS'!$A$3:$A$500,$C27,'DADOS BRUTOS'!EK$3:EK$500)))</f>
        <v/>
      </c>
      <c r="HL27" s="125">
        <f>IF(OR(HL$4="",$B27=""),0,SUMIF('DADOS BRUTOS'!$A$3:$A$500,$B27,'DADOS BRUTOS'!EL$3:EL$500)+IF($C27="",0,SUMIF('DADOS BRUTOS'!$A$3:$A$500,$C27,'DADOS BRUTOS'!EL$3:EL$500)))</f>
        <v/>
      </c>
      <c r="HM27" s="125">
        <f>IF(OR(HM$4="",$B27=""),0,SUMIF('DADOS BRUTOS'!$A$3:$A$500,$B27,'DADOS BRUTOS'!EM$3:EM$500)+IF($C27="",0,SUMIF('DADOS BRUTOS'!$A$3:$A$500,$C27,'DADOS BRUTOS'!EM$3:EM$500)))</f>
        <v/>
      </c>
      <c r="HN27" s="125">
        <f>IF(OR(HN$4="",$B27=""),0,SUMIF('DADOS BRUTOS'!$A$3:$A$500,$B27,'DADOS BRUTOS'!EN$3:EN$500)+IF($C27="",0,SUMIF('DADOS BRUTOS'!$A$3:$A$500,$C27,'DADOS BRUTOS'!EN$3:EN$500)))</f>
        <v/>
      </c>
      <c r="HO27" s="125">
        <f>IF(OR(HO$4="",$B27=""),0,SUMIF('DADOS BRUTOS'!$A$3:$A$500,$B27,'DADOS BRUTOS'!EO$3:EO$500)+IF($C27="",0,SUMIF('DADOS BRUTOS'!$A$3:$A$500,$C27,'DADOS BRUTOS'!EO$3:EO$500)))</f>
        <v/>
      </c>
      <c r="HP27" s="125">
        <f>IF(OR(HP$4="",$B27=""),0,SUMIF('DADOS BRUTOS'!$A$3:$A$500,$B27,'DADOS BRUTOS'!EP$3:EP$500)+IF($C27="",0,SUMIF('DADOS BRUTOS'!$A$3:$A$500,$C27,'DADOS BRUTOS'!EP$3:EP$500)))</f>
        <v/>
      </c>
      <c r="HQ27" s="125">
        <f>IF(OR(HQ$4="",$B27=""),0,SUMIF('DADOS BRUTOS'!$A$3:$A$500,$B27,'DADOS BRUTOS'!EQ$3:EQ$500)+IF($C27="",0,SUMIF('DADOS BRUTOS'!$A$3:$A$500,$C27,'DADOS BRUTOS'!EQ$3:EQ$500)))</f>
        <v/>
      </c>
      <c r="HR27" s="125">
        <f>IF(OR(HR$4="",$B27=""),0,SUMIF('DADOS BRUTOS'!$A$3:$A$500,$B27,'DADOS BRUTOS'!ER$3:ER$500)+IF($C27="",0,SUMIF('DADOS BRUTOS'!$A$3:$A$500,$C27,'DADOS BRUTOS'!ER$3:ER$500)))</f>
        <v/>
      </c>
      <c r="HS27" s="125">
        <f>IF(OR(HS$4="",$B27=""),0,SUMIF('DADOS BRUTOS'!$A$3:$A$500,$B27,'DADOS BRUTOS'!ES$3:ES$500)+IF($C27="",0,SUMIF('DADOS BRUTOS'!$A$3:$A$500,$C27,'DADOS BRUTOS'!ES$3:ES$500)))</f>
        <v/>
      </c>
      <c r="HT27" s="125">
        <f>IF(OR(HT$4="",$B27=""),0,SUMIF('DADOS BRUTOS'!$A$3:$A$500,$B27,'DADOS BRUTOS'!ET$3:ET$500)+IF($C27="",0,SUMIF('DADOS BRUTOS'!$A$3:$A$500,$C27,'DADOS BRUTOS'!ET$3:ET$500)))</f>
        <v/>
      </c>
      <c r="HU27" s="125">
        <f>IF(OR(HU$4="",$B27=""),0,SUMIF('DADOS BRUTOS'!$A$3:$A$500,$B27,'DADOS BRUTOS'!EU$3:EU$500)+IF($C27="",0,SUMIF('DADOS BRUTOS'!$A$3:$A$500,$C27,'DADOS BRUTOS'!EU$3:EU$500)))</f>
        <v/>
      </c>
      <c r="HV27" s="125">
        <f>IF(OR(HV$4="",$B27=""),0,SUMIF('DADOS BRUTOS'!$A$3:$A$500,$B27,'DADOS BRUTOS'!EV$3:EV$500)+IF($C27="",0,SUMIF('DADOS BRUTOS'!$A$3:$A$500,$C27,'DADOS BRUTOS'!EV$3:EV$500)))</f>
        <v/>
      </c>
      <c r="HW27" s="125">
        <f>IF(OR(HW$4="",$B27=""),0,SUMIF('DADOS BRUTOS'!$A$3:$A$500,$B27,'DADOS BRUTOS'!EW$3:EW$500)+IF($C27="",0,SUMIF('DADOS BRUTOS'!$A$3:$A$500,$C27,'DADOS BRUTOS'!EW$3:EW$500)))</f>
        <v/>
      </c>
      <c r="HX27" s="125">
        <f>IF(OR(HX$4="",$B27=""),0,SUMIF('DADOS BRUTOS'!$A$3:$A$500,$B27,'DADOS BRUTOS'!EX$3:EX$500)+IF($C27="",0,SUMIF('DADOS BRUTOS'!$A$3:$A$500,$C27,'DADOS BRUTOS'!EX$3:EX$500)))</f>
        <v/>
      </c>
      <c r="HY27" s="125">
        <f>IF(OR(HY$4="",$B27=""),0,SUMIF('DADOS BRUTOS'!$A$3:$A$500,$B27,'DADOS BRUTOS'!EY$3:EY$500)+IF($C27="",0,SUMIF('DADOS BRUTOS'!$A$3:$A$500,$C27,'DADOS BRUTOS'!EY$3:EY$500)))</f>
        <v/>
      </c>
      <c r="HZ27" s="125">
        <f>IF(OR(HZ$4="",$B27=""),0,SUMIF('DADOS BRUTOS'!$A$3:$A$500,$B27,'DADOS BRUTOS'!EZ$3:EZ$500)+IF($C27="",0,SUMIF('DADOS BRUTOS'!$A$3:$A$500,$C27,'DADOS BRUTOS'!EZ$3:EZ$500)))</f>
        <v/>
      </c>
      <c r="IA27" s="125">
        <f>IF(OR(IA$4="",$B27=""),0,SUMIF('DADOS BRUTOS'!$A$3:$A$500,$B27,'DADOS BRUTOS'!FA$3:FA$500)+IF($C27="",0,SUMIF('DADOS BRUTOS'!$A$3:$A$500,$C27,'DADOS BRUTOS'!FA$3:FA$500)))</f>
        <v/>
      </c>
      <c r="IB27" s="125">
        <f>IF(OR(IB$4="",$B27=""),0,SUMIF('DADOS BRUTOS'!$A$3:$A$500,$B27,'DADOS BRUTOS'!FB$3:FB$500)+IF($C27="",0,SUMIF('DADOS BRUTOS'!$A$3:$A$500,$C27,'DADOS BRUTOS'!FB$3:FB$500)))</f>
        <v/>
      </c>
      <c r="IC27" s="125">
        <f>IF(OR(IC$4="",$B27=""),0,SUMIF('DADOS BRUTOS'!$A$3:$A$500,$B27,'DADOS BRUTOS'!FC$3:FC$500)+IF($C27="",0,SUMIF('DADOS BRUTOS'!$A$3:$A$500,$C27,'DADOS BRUTOS'!FC$3:FC$500)))</f>
        <v/>
      </c>
      <c r="ID27" s="125">
        <f>IF(OR(ID$4="",$B27=""),0,SUMIF('DADOS BRUTOS'!$A$3:$A$500,$B27,'DADOS BRUTOS'!FD$3:FD$500)+IF($C27="",0,SUMIF('DADOS BRUTOS'!$A$3:$A$500,$C27,'DADOS BRUTOS'!FD$3:FD$500)))</f>
        <v/>
      </c>
      <c r="IE27" s="125">
        <f>IF(OR(IE$4="",$B27=""),0,SUMIF('DADOS BRUTOS'!$A$3:$A$500,$B27,'DADOS BRUTOS'!FE$3:FE$500)+IF($C27="",0,SUMIF('DADOS BRUTOS'!$A$3:$A$500,$C27,'DADOS BRUTOS'!FE$3:FE$500)))</f>
        <v/>
      </c>
      <c r="IF27" s="125">
        <f>IF(OR(IF$4="",$B27=""),0,SUMIF('DADOS BRUTOS'!$A$3:$A$500,$B27,'DADOS BRUTOS'!FF$3:FF$500)+IF($C27="",0,SUMIF('DADOS BRUTOS'!$A$3:$A$500,$C27,'DADOS BRUTOS'!FF$3:FF$500)))</f>
        <v/>
      </c>
      <c r="IG27" s="125">
        <f>IF(OR(IG$4="",$B27=""),0,SUMIF('DADOS BRUTOS'!$A$3:$A$500,$B27,'DADOS BRUTOS'!FG$3:FG$500)+IF($C27="",0,SUMIF('DADOS BRUTOS'!$A$3:$A$500,$C27,'DADOS BRUTOS'!FG$3:FG$500)))</f>
        <v/>
      </c>
      <c r="IH27" s="125">
        <f>IF(OR(IH$4="",$B27=""),0,SUMIF('DADOS BRUTOS'!$A$3:$A$500,$B27,'DADOS BRUTOS'!FH$3:FH$500)+IF($C27="",0,SUMIF('DADOS BRUTOS'!$A$3:$A$500,$C27,'DADOS BRUTOS'!FH$3:FH$500)))</f>
        <v/>
      </c>
      <c r="II27" s="125">
        <f>IF(OR(II$4="",$B27=""),0,SUMIF('DADOS BRUTOS'!$A$3:$A$500,$B27,'DADOS BRUTOS'!FI$3:FI$500)+IF($C27="",0,SUMIF('DADOS BRUTOS'!$A$3:$A$500,$C27,'DADOS BRUTOS'!FI$3:FI$500)))</f>
        <v/>
      </c>
      <c r="IJ27" s="125">
        <f>IF(OR(IJ$4="",$B27=""),0,SUMIF('DADOS BRUTOS'!$A$3:$A$500,$B27,'DADOS BRUTOS'!FJ$3:FJ$500)+IF($C27="",0,SUMIF('DADOS BRUTOS'!$A$3:$A$500,$C27,'DADOS BRUTOS'!FJ$3:FJ$500)))</f>
        <v/>
      </c>
      <c r="IK27" s="125">
        <f>IF(OR(IK$4="",$B27=""),0,SUMIF('DADOS BRUTOS'!$A$3:$A$500,$B27,'DADOS BRUTOS'!FK$3:FK$500)+IF($C27="",0,SUMIF('DADOS BRUTOS'!$A$3:$A$500,$C27,'DADOS BRUTOS'!FK$3:FK$500)))</f>
        <v/>
      </c>
      <c r="IL27" s="125">
        <f>IF(OR(IL$4="",$B27=""),0,SUMIF('DADOS BRUTOS'!$A$3:$A$500,$B27,'DADOS BRUTOS'!FL$3:FL$500)+IF($C27="",0,SUMIF('DADOS BRUTOS'!$A$3:$A$500,$C27,'DADOS BRUTOS'!FL$3:FL$500)))</f>
        <v/>
      </c>
      <c r="IM27" s="125">
        <f>IF(OR(IM$4="",$B27=""),0,SUMIF('DADOS BRUTOS'!$A$3:$A$500,$B27,'DADOS BRUTOS'!FM$3:FM$500)+IF($C27="",0,SUMIF('DADOS BRUTOS'!$A$3:$A$500,$C27,'DADOS BRUTOS'!FM$3:FM$500)))</f>
        <v/>
      </c>
      <c r="IN27" s="125">
        <f>IF(OR(IN$4="",$B27=""),0,SUMIF('DADOS BRUTOS'!$A$3:$A$500,$B27,'DADOS BRUTOS'!FN$3:FN$500)+IF($C27="",0,SUMIF('DADOS BRUTOS'!$A$3:$A$500,$C27,'DADOS BRUTOS'!FN$3:FN$500)))</f>
        <v/>
      </c>
      <c r="IO27" s="125">
        <f>IF(OR(IO$4="",$B27=""),0,SUMIF('DADOS BRUTOS'!$A$3:$A$500,$B27,'DADOS BRUTOS'!FO$3:FO$500)+IF($C27="",0,SUMIF('DADOS BRUTOS'!$A$3:$A$500,$C27,'DADOS BRUTOS'!FO$3:FO$500)))</f>
        <v/>
      </c>
      <c r="IP27" s="125">
        <f>IF(OR(IP$4="",$B27=""),0,SUMIF('DADOS BRUTOS'!$A$3:$A$500,$B27,'DADOS BRUTOS'!FP$3:FP$500)+IF($C27="",0,SUMIF('DADOS BRUTOS'!$A$3:$A$500,$C27,'DADOS BRUTOS'!FP$3:FP$500)))</f>
        <v/>
      </c>
      <c r="IQ27" s="125">
        <f>IF(OR(IQ$4="",$B27=""),0,SUMIF('DADOS BRUTOS'!$A$3:$A$500,$B27,'DADOS BRUTOS'!FQ$3:FQ$500)+IF($C27="",0,SUMIF('DADOS BRUTOS'!$A$3:$A$500,$C27,'DADOS BRUTOS'!FQ$3:FQ$500)))</f>
        <v/>
      </c>
      <c r="IR27" s="125">
        <f>IF(OR(IR$4="",$B27=""),0,SUMIF('DADOS BRUTOS'!$A$3:$A$500,$B27,'DADOS BRUTOS'!FR$3:FR$500)+IF($C27="",0,SUMIF('DADOS BRUTOS'!$A$3:$A$500,$C27,'DADOS BRUTOS'!FR$3:FR$500)))</f>
        <v/>
      </c>
      <c r="IS27" s="125">
        <f>IF(OR(IS$4="",$B27=""),0,SUMIF('DADOS BRUTOS'!$A$3:$A$500,$B27,'DADOS BRUTOS'!FS$3:FS$500)+IF($C27="",0,SUMIF('DADOS BRUTOS'!$A$3:$A$500,$C27,'DADOS BRUTOS'!FS$3:FS$500)))</f>
        <v/>
      </c>
      <c r="IT27" s="125">
        <f>IF(OR(IT$4="",$B27=""),0,SUMIF('DADOS BRUTOS'!$A$3:$A$500,$B27,'DADOS BRUTOS'!FT$3:FT$500)+IF($C27="",0,SUMIF('DADOS BRUTOS'!$A$3:$A$500,$C27,'DADOS BRUTOS'!FT$3:FT$500)))</f>
        <v/>
      </c>
      <c r="IU27" s="125">
        <f>IF(OR(IU$4="",$B27=""),0,SUMIF('DADOS BRUTOS'!$A$3:$A$500,$B27,'DADOS BRUTOS'!FU$3:FU$500)+IF($C27="",0,SUMIF('DADOS BRUTOS'!$A$3:$A$500,$C27,'DADOS BRUTOS'!FU$3:FU$500)))</f>
        <v/>
      </c>
      <c r="IV27" s="125">
        <f>IF(OR(IV$4="",$B27=""),0,SUMIF('DADOS BRUTOS'!$A$3:$A$500,$B27,'DADOS BRUTOS'!FV$3:FV$500)+IF($C27="",0,SUMIF('DADOS BRUTOS'!$A$3:$A$500,$C27,'DADOS BRUTOS'!FV$3:FV$500)))</f>
        <v/>
      </c>
      <c r="IW27" s="125">
        <f>IF(OR(IW$4="",$B27=""),0,SUMIF('DADOS BRUTOS'!$A$3:$A$500,$B27,'DADOS BRUTOS'!FW$3:FW$500)+IF($C27="",0,SUMIF('DADOS BRUTOS'!$A$3:$A$500,$C27,'DADOS BRUTOS'!FW$3:FW$500)))</f>
        <v/>
      </c>
      <c r="IX27" s="125">
        <f>IF(OR(IX$4="",$B27=""),0,SUMIF('DADOS BRUTOS'!$A$3:$A$500,$B27,'DADOS BRUTOS'!FX$3:FX$500)+IF($C27="",0,SUMIF('DADOS BRUTOS'!$A$3:$A$500,$C27,'DADOS BRUTOS'!FX$3:FX$500)))</f>
        <v/>
      </c>
      <c r="IY27" s="125">
        <f>IF(OR(IY$4="",$B27=""),0,SUMIF('DADOS BRUTOS'!$A$3:$A$500,$B27,'DADOS BRUTOS'!FY$3:FY$500)+IF($C27="",0,SUMIF('DADOS BRUTOS'!$A$3:$A$500,$C27,'DADOS BRUTOS'!FY$3:FY$500)))</f>
        <v/>
      </c>
      <c r="IZ27" s="125">
        <f>IF(OR(IZ$4="",$B27=""),0,SUMIF('DADOS BRUTOS'!$A$3:$A$500,$B27,'DADOS BRUTOS'!FZ$3:FZ$500)+IF($C27="",0,SUMIF('DADOS BRUTOS'!$A$3:$A$500,$C27,'DADOS BRUTOS'!FZ$3:FZ$500)))</f>
        <v/>
      </c>
      <c r="JA27" s="125">
        <f>IF(OR(JA$4="",$B27=""),0,SUMIF('DADOS BRUTOS'!$A$3:$A$500,$B27,'DADOS BRUTOS'!GA$3:GA$500)+IF($C27="",0,SUMIF('DADOS BRUTOS'!$A$3:$A$500,$C27,'DADOS BRUTOS'!GA$3:GA$500)))</f>
        <v/>
      </c>
      <c r="JB27" s="125">
        <f>IF(OR(JB$4="",$B27=""),0,SUMIF('DADOS BRUTOS'!$A$3:$A$500,$B27,'DADOS BRUTOS'!GB$3:GB$500)+IF($C27="",0,SUMIF('DADOS BRUTOS'!$A$3:$A$500,$C27,'DADOS BRUTOS'!GB$3:GB$500)))</f>
        <v/>
      </c>
      <c r="JC27" s="125">
        <f>IF(OR(JC$4="",$B27=""),0,SUMIF('DADOS BRUTOS'!$A$3:$A$500,$B27,'DADOS BRUTOS'!GC$3:GC$500)+IF($C27="",0,SUMIF('DADOS BRUTOS'!$A$3:$A$500,$C27,'DADOS BRUTOS'!GC$3:GC$500)))</f>
        <v/>
      </c>
      <c r="JD27" s="125">
        <f>IF(OR(JD$4="",$B27=""),0,SUMIF('DADOS BRUTOS'!$A$3:$A$500,$B27,'DADOS BRUTOS'!GD$3:GD$500)+IF($C27="",0,SUMIF('DADOS BRUTOS'!$A$3:$A$500,$C27,'DADOS BRUTOS'!GD$3:GD$500)))</f>
        <v/>
      </c>
      <c r="JE27" s="125">
        <f>IF(OR(JE$4="",$B27=""),0,SUMIF('DADOS BRUTOS'!$A$3:$A$500,$B27,'DADOS BRUTOS'!GE$3:GE$500)+IF($C27="",0,SUMIF('DADOS BRUTOS'!$A$3:$A$500,$C27,'DADOS BRUTOS'!GE$3:GE$500)))</f>
        <v/>
      </c>
      <c r="JF27" s="125">
        <f>IF(OR(JF$4="",$B27=""),0,SUMIF('DADOS BRUTOS'!$A$3:$A$500,$B27,'DADOS BRUTOS'!GF$3:GF$500)+IF($C27="",0,SUMIF('DADOS BRUTOS'!$A$3:$A$500,$C27,'DADOS BRUTOS'!GF$3:GF$500)))</f>
        <v/>
      </c>
      <c r="JG27" s="125">
        <f>IF(OR(JG$4="",$B27=""),0,SUMIF('DADOS BRUTOS'!$A$3:$A$500,$B27,'DADOS BRUTOS'!GG$3:GG$500)+IF($C27="",0,SUMIF('DADOS BRUTOS'!$A$3:$A$500,$C27,'DADOS BRUTOS'!GG$3:GG$500)))</f>
        <v/>
      </c>
      <c r="JH27" s="125">
        <f>IF(OR(JH$4="",$B27=""),0,SUMIF('DADOS BRUTOS'!$A$3:$A$500,$B27,'DADOS BRUTOS'!GH$3:GH$500)+IF($C27="",0,SUMIF('DADOS BRUTOS'!$A$3:$A$500,$C27,'DADOS BRUTOS'!GH$3:GH$500)))</f>
        <v/>
      </c>
      <c r="JI27" s="125">
        <f>IF(OR(JI$4="",$B27=""),0,SUMIF('DADOS BRUTOS'!$A$3:$A$500,$B27,'DADOS BRUTOS'!GI$3:GI$500)+IF($C27="",0,SUMIF('DADOS BRUTOS'!$A$3:$A$500,$C27,'DADOS BRUTOS'!GI$3:GI$500)))</f>
        <v/>
      </c>
      <c r="JJ27" s="125">
        <f>IF(OR(JJ$4="",$B27=""),0,SUMIF('DADOS BRUTOS'!$A$3:$A$500,$B27,'DADOS BRUTOS'!GJ$3:GJ$500)+IF($C27="",0,SUMIF('DADOS BRUTOS'!$A$3:$A$500,$C27,'DADOS BRUTOS'!GJ$3:GJ$500)))</f>
        <v/>
      </c>
      <c r="JK27" s="125">
        <f>IF(OR(JK$4="",$B27=""),0,SUMIF('DADOS BRUTOS'!$A$3:$A$500,$B27,'DADOS BRUTOS'!GK$3:GK$500)+IF($C27="",0,SUMIF('DADOS BRUTOS'!$A$3:$A$500,$C27,'DADOS BRUTOS'!GK$3:GK$500)))</f>
        <v/>
      </c>
      <c r="JL27" s="125">
        <f>IF(OR(JL$4="",$B27=""),0,SUMIF('DADOS BRUTOS'!$A$3:$A$500,$B27,'DADOS BRUTOS'!GL$3:GL$500)+IF($C27="",0,SUMIF('DADOS BRUTOS'!$A$3:$A$500,$C27,'DADOS BRUTOS'!GL$3:GL$500)))</f>
        <v/>
      </c>
      <c r="JM27" s="125">
        <f>IF(OR(JM$4="",$B27=""),0,SUMIF('DADOS BRUTOS'!$A$3:$A$500,$B27,'DADOS BRUTOS'!GM$3:GM$500)+IF($C27="",0,SUMIF('DADOS BRUTOS'!$A$3:$A$500,$C27,'DADOS BRUTOS'!GM$3:GM$500)))</f>
        <v/>
      </c>
      <c r="JN27" s="125">
        <f>IF(OR(JN$4="",$B27=""),0,SUMIF('DADOS BRUTOS'!$A$3:$A$500,$B27,'DADOS BRUTOS'!GN$3:GN$500)+IF($C27="",0,SUMIF('DADOS BRUTOS'!$A$3:$A$500,$C27,'DADOS BRUTOS'!GN$3:GN$500)))</f>
        <v/>
      </c>
      <c r="JO27" s="125">
        <f>IF(OR(JO$4="",$B27=""),0,SUMIF('DADOS BRUTOS'!$A$3:$A$500,$B27,'DADOS BRUTOS'!GO$3:GO$500)+IF($C27="",0,SUMIF('DADOS BRUTOS'!$A$3:$A$500,$C27,'DADOS BRUTOS'!GO$3:GO$500)))</f>
        <v/>
      </c>
      <c r="JP27" s="125">
        <f>IF(OR(JP$4="",$B27=""),0,SUMIF('DADOS BRUTOS'!$A$3:$A$500,$B27,'DADOS BRUTOS'!GP$3:GP$500)+IF($C27="",0,SUMIF('DADOS BRUTOS'!$A$3:$A$500,$C27,'DADOS BRUTOS'!GP$3:GP$500)))</f>
        <v/>
      </c>
      <c r="JQ27" s="125">
        <f>IF(OR(JQ$4="",$B27=""),0,SUMIF('DADOS BRUTOS'!$A$3:$A$500,$B27,'DADOS BRUTOS'!GQ$3:GQ$500)+IF($C27="",0,SUMIF('DADOS BRUTOS'!$A$3:$A$500,$C27,'DADOS BRUTOS'!GQ$3:GQ$500)))</f>
        <v/>
      </c>
      <c r="JR27" s="125">
        <f>IF(OR(JR$4="",$B27=""),0,SUMIF('DADOS BRUTOS'!$A$3:$A$500,$B27,'DADOS BRUTOS'!GR$3:GR$500)+IF($C27="",0,SUMIF('DADOS BRUTOS'!$A$3:$A$500,$C27,'DADOS BRUTOS'!GR$3:GR$500)))</f>
        <v/>
      </c>
      <c r="JS27" s="125">
        <f>IF(OR(JS$4="",$B27=""),0,SUMIF('DADOS BRUTOS'!$A$3:$A$500,$B27,'DADOS BRUTOS'!GS$3:GS$500)+IF($C27="",0,SUMIF('DADOS BRUTOS'!$A$3:$A$500,$C27,'DADOS BRUTOS'!GS$3:GS$500)))</f>
        <v/>
      </c>
    </row>
    <row r="28">
      <c r="A28" s="61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BZ28" s="49">
        <f>SUMPRODUCT(($CB$4:$JS$4&lt;&gt;"")*($CB$4:$JS$4&lt;=$D$4),$CB28:$JS28,$CB$1:$JS$1)</f>
        <v/>
      </c>
      <c r="CB28" s="125">
        <f>IF(OR(CB$4="",$B28=""),0,SUMIF('DADOS BRUTOS'!$A$3:$A$500,$B28,'DADOS BRUTOS'!B$3:B$500)+IF($C28="",0,SUMIF('DADOS BRUTOS'!$A$3:$A$500,$C28,'DADOS BRUTOS'!B$3:B$500)))</f>
        <v/>
      </c>
      <c r="CC28" s="125">
        <f>IF(OR(CC$4="",$B28=""),0,SUMIF('DADOS BRUTOS'!$A$3:$A$500,$B28,'DADOS BRUTOS'!C$3:C$500)+IF($C28="",0,SUMIF('DADOS BRUTOS'!$A$3:$A$500,$C28,'DADOS BRUTOS'!C$3:C$500)))</f>
        <v/>
      </c>
      <c r="CD28" s="125">
        <f>IF(OR(CD$4="",$B28=""),0,SUMIF('DADOS BRUTOS'!$A$3:$A$500,$B28,'DADOS BRUTOS'!D$3:D$500)+IF($C28="",0,SUMIF('DADOS BRUTOS'!$A$3:$A$500,$C28,'DADOS BRUTOS'!D$3:D$500)))</f>
        <v/>
      </c>
      <c r="CE28" s="125">
        <f>IF(OR(CE$4="",$B28=""),0,SUMIF('DADOS BRUTOS'!$A$3:$A$500,$B28,'DADOS BRUTOS'!E$3:E$500)+IF($C28="",0,SUMIF('DADOS BRUTOS'!$A$3:$A$500,$C28,'DADOS BRUTOS'!E$3:E$500)))</f>
        <v/>
      </c>
      <c r="CF28" s="125">
        <f>IF(OR(CF$4="",$B28=""),0,SUMIF('DADOS BRUTOS'!$A$3:$A$500,$B28,'DADOS BRUTOS'!F$3:F$500)+IF($C28="",0,SUMIF('DADOS BRUTOS'!$A$3:$A$500,$C28,'DADOS BRUTOS'!F$3:F$500)))</f>
        <v/>
      </c>
      <c r="CG28" s="125">
        <f>IF(OR(CG$4="",$B28=""),0,SUMIF('DADOS BRUTOS'!$A$3:$A$500,$B28,'DADOS BRUTOS'!G$3:G$500)+IF($C28="",0,SUMIF('DADOS BRUTOS'!$A$3:$A$500,$C28,'DADOS BRUTOS'!G$3:G$500)))</f>
        <v/>
      </c>
      <c r="CH28" s="125">
        <f>IF(OR(CH$4="",$B28=""),0,SUMIF('DADOS BRUTOS'!$A$3:$A$500,$B28,'DADOS BRUTOS'!H$3:H$500)+IF($C28="",0,SUMIF('DADOS BRUTOS'!$A$3:$A$500,$C28,'DADOS BRUTOS'!H$3:H$500)))</f>
        <v/>
      </c>
      <c r="CI28" s="125">
        <f>IF(OR(CI$4="",$B28=""),0,SUMIF('DADOS BRUTOS'!$A$3:$A$500,$B28,'DADOS BRUTOS'!I$3:I$500)+IF($C28="",0,SUMIF('DADOS BRUTOS'!$A$3:$A$500,$C28,'DADOS BRUTOS'!I$3:I$500)))</f>
        <v/>
      </c>
      <c r="CJ28" s="125">
        <f>IF(OR(CJ$4="",$B28=""),0,SUMIF('DADOS BRUTOS'!$A$3:$A$500,$B28,'DADOS BRUTOS'!J$3:J$500)+IF($C28="",0,SUMIF('DADOS BRUTOS'!$A$3:$A$500,$C28,'DADOS BRUTOS'!J$3:J$500)))</f>
        <v/>
      </c>
      <c r="CK28" s="125">
        <f>IF(OR(CK$4="",$B28=""),0,SUMIF('DADOS BRUTOS'!$A$3:$A$500,$B28,'DADOS BRUTOS'!K$3:K$500)+IF($C28="",0,SUMIF('DADOS BRUTOS'!$A$3:$A$500,$C28,'DADOS BRUTOS'!K$3:K$500)))</f>
        <v/>
      </c>
      <c r="CL28" s="125">
        <f>IF(OR(CL$4="",$B28=""),0,SUMIF('DADOS BRUTOS'!$A$3:$A$500,$B28,'DADOS BRUTOS'!L$3:L$500)+IF($C28="",0,SUMIF('DADOS BRUTOS'!$A$3:$A$500,$C28,'DADOS BRUTOS'!L$3:L$500)))</f>
        <v/>
      </c>
      <c r="CM28" s="125">
        <f>IF(OR(CM$4="",$B28=""),0,SUMIF('DADOS BRUTOS'!$A$3:$A$500,$B28,'DADOS BRUTOS'!M$3:M$500)+IF($C28="",0,SUMIF('DADOS BRUTOS'!$A$3:$A$500,$C28,'DADOS BRUTOS'!M$3:M$500)))</f>
        <v/>
      </c>
      <c r="CN28" s="125">
        <f>IF(OR(CN$4="",$B28=""),0,SUMIF('DADOS BRUTOS'!$A$3:$A$500,$B28,'DADOS BRUTOS'!N$3:N$500)+IF($C28="",0,SUMIF('DADOS BRUTOS'!$A$3:$A$500,$C28,'DADOS BRUTOS'!N$3:N$500)))</f>
        <v/>
      </c>
      <c r="CO28" s="125">
        <f>IF(OR(CO$4="",$B28=""),0,SUMIF('DADOS BRUTOS'!$A$3:$A$500,$B28,'DADOS BRUTOS'!O$3:O$500)+IF($C28="",0,SUMIF('DADOS BRUTOS'!$A$3:$A$500,$C28,'DADOS BRUTOS'!O$3:O$500)))</f>
        <v/>
      </c>
      <c r="CP28" s="125">
        <f>IF(OR(CP$4="",$B28=""),0,SUMIF('DADOS BRUTOS'!$A$3:$A$500,$B28,'DADOS BRUTOS'!P$3:P$500)+IF($C28="",0,SUMIF('DADOS BRUTOS'!$A$3:$A$500,$C28,'DADOS BRUTOS'!P$3:P$500)))</f>
        <v/>
      </c>
      <c r="CQ28" s="125">
        <f>IF(OR(CQ$4="",$B28=""),0,SUMIF('DADOS BRUTOS'!$A$3:$A$500,$B28,'DADOS BRUTOS'!Q$3:Q$500)+IF($C28="",0,SUMIF('DADOS BRUTOS'!$A$3:$A$500,$C28,'DADOS BRUTOS'!Q$3:Q$500)))</f>
        <v/>
      </c>
      <c r="CR28" s="125">
        <f>IF(OR(CR$4="",$B28=""),0,SUMIF('DADOS BRUTOS'!$A$3:$A$500,$B28,'DADOS BRUTOS'!R$3:R$500)+IF($C28="",0,SUMIF('DADOS BRUTOS'!$A$3:$A$500,$C28,'DADOS BRUTOS'!R$3:R$500)))</f>
        <v/>
      </c>
      <c r="CS28" s="125">
        <f>IF(OR(CS$4="",$B28=""),0,SUMIF('DADOS BRUTOS'!$A$3:$A$500,$B28,'DADOS BRUTOS'!S$3:S$500)+IF($C28="",0,SUMIF('DADOS BRUTOS'!$A$3:$A$500,$C28,'DADOS BRUTOS'!S$3:S$500)))</f>
        <v/>
      </c>
      <c r="CT28" s="125">
        <f>IF(OR(CT$4="",$B28=""),0,SUMIF('DADOS BRUTOS'!$A$3:$A$500,$B28,'DADOS BRUTOS'!T$3:T$500)+IF($C28="",0,SUMIF('DADOS BRUTOS'!$A$3:$A$500,$C28,'DADOS BRUTOS'!T$3:T$500)))</f>
        <v/>
      </c>
      <c r="CU28" s="125">
        <f>IF(OR(CU$4="",$B28=""),0,SUMIF('DADOS BRUTOS'!$A$3:$A$500,$B28,'DADOS BRUTOS'!U$3:U$500)+IF($C28="",0,SUMIF('DADOS BRUTOS'!$A$3:$A$500,$C28,'DADOS BRUTOS'!U$3:U$500)))</f>
        <v/>
      </c>
      <c r="CV28" s="125">
        <f>IF(OR(CV$4="",$B28=""),0,SUMIF('DADOS BRUTOS'!$A$3:$A$500,$B28,'DADOS BRUTOS'!V$3:V$500)+IF($C28="",0,SUMIF('DADOS BRUTOS'!$A$3:$A$500,$C28,'DADOS BRUTOS'!V$3:V$500)))</f>
        <v/>
      </c>
      <c r="CW28" s="125">
        <f>IF(OR(CW$4="",$B28=""),0,SUMIF('DADOS BRUTOS'!$A$3:$A$500,$B28,'DADOS BRUTOS'!W$3:W$500)+IF($C28="",0,SUMIF('DADOS BRUTOS'!$A$3:$A$500,$C28,'DADOS BRUTOS'!W$3:W$500)))</f>
        <v/>
      </c>
      <c r="CX28" s="125">
        <f>IF(OR(CX$4="",$B28=""),0,SUMIF('DADOS BRUTOS'!$A$3:$A$500,$B28,'DADOS BRUTOS'!X$3:X$500)+IF($C28="",0,SUMIF('DADOS BRUTOS'!$A$3:$A$500,$C28,'DADOS BRUTOS'!X$3:X$500)))</f>
        <v/>
      </c>
      <c r="CY28" s="125">
        <f>IF(OR(CY$4="",$B28=""),0,SUMIF('DADOS BRUTOS'!$A$3:$A$500,$B28,'DADOS BRUTOS'!Y$3:Y$500)+IF($C28="",0,SUMIF('DADOS BRUTOS'!$A$3:$A$500,$C28,'DADOS BRUTOS'!Y$3:Y$500)))</f>
        <v/>
      </c>
      <c r="CZ28" s="125">
        <f>IF(OR(CZ$4="",$B28=""),0,SUMIF('DADOS BRUTOS'!$A$3:$A$500,$B28,'DADOS BRUTOS'!Z$3:Z$500)+IF($C28="",0,SUMIF('DADOS BRUTOS'!$A$3:$A$500,$C28,'DADOS BRUTOS'!Z$3:Z$500)))</f>
        <v/>
      </c>
      <c r="DA28" s="125">
        <f>IF(OR(DA$4="",$B28=""),0,SUMIF('DADOS BRUTOS'!$A$3:$A$500,$B28,'DADOS BRUTOS'!AA$3:AA$500)+IF($C28="",0,SUMIF('DADOS BRUTOS'!$A$3:$A$500,$C28,'DADOS BRUTOS'!AA$3:AA$500)))</f>
        <v/>
      </c>
      <c r="DB28" s="125">
        <f>IF(OR(DB$4="",$B28=""),0,SUMIF('DADOS BRUTOS'!$A$3:$A$500,$B28,'DADOS BRUTOS'!AB$3:AB$500)+IF($C28="",0,SUMIF('DADOS BRUTOS'!$A$3:$A$500,$C28,'DADOS BRUTOS'!AB$3:AB$500)))</f>
        <v/>
      </c>
      <c r="DC28" s="125">
        <f>IF(OR(DC$4="",$B28=""),0,SUMIF('DADOS BRUTOS'!$A$3:$A$500,$B28,'DADOS BRUTOS'!AC$3:AC$500)+IF($C28="",0,SUMIF('DADOS BRUTOS'!$A$3:$A$500,$C28,'DADOS BRUTOS'!AC$3:AC$500)))</f>
        <v/>
      </c>
      <c r="DD28" s="125">
        <f>IF(OR(DD$4="",$B28=""),0,SUMIF('DADOS BRUTOS'!$A$3:$A$500,$B28,'DADOS BRUTOS'!AD$3:AD$500)+IF($C28="",0,SUMIF('DADOS BRUTOS'!$A$3:$A$500,$C28,'DADOS BRUTOS'!AD$3:AD$500)))</f>
        <v/>
      </c>
      <c r="DE28" s="125">
        <f>IF(OR(DE$4="",$B28=""),0,SUMIF('DADOS BRUTOS'!$A$3:$A$500,$B28,'DADOS BRUTOS'!AE$3:AE$500)+IF($C28="",0,SUMIF('DADOS BRUTOS'!$A$3:$A$500,$C28,'DADOS BRUTOS'!AE$3:AE$500)))</f>
        <v/>
      </c>
      <c r="DF28" s="125">
        <f>IF(OR(DF$4="",$B28=""),0,SUMIF('DADOS BRUTOS'!$A$3:$A$500,$B28,'DADOS BRUTOS'!AF$3:AF$500)+IF($C28="",0,SUMIF('DADOS BRUTOS'!$A$3:$A$500,$C28,'DADOS BRUTOS'!AF$3:AF$500)))</f>
        <v/>
      </c>
      <c r="DG28" s="125">
        <f>IF(OR(DG$4="",$B28=""),0,SUMIF('DADOS BRUTOS'!$A$3:$A$500,$B28,'DADOS BRUTOS'!AG$3:AG$500)+IF($C28="",0,SUMIF('DADOS BRUTOS'!$A$3:$A$500,$C28,'DADOS BRUTOS'!AG$3:AG$500)))</f>
        <v/>
      </c>
      <c r="DH28" s="125">
        <f>IF(OR(DH$4="",$B28=""),0,SUMIF('DADOS BRUTOS'!$A$3:$A$500,$B28,'DADOS BRUTOS'!AH$3:AH$500)+IF($C28="",0,SUMIF('DADOS BRUTOS'!$A$3:$A$500,$C28,'DADOS BRUTOS'!AH$3:AH$500)))</f>
        <v/>
      </c>
      <c r="DI28" s="125">
        <f>IF(OR(DI$4="",$B28=""),0,SUMIF('DADOS BRUTOS'!$A$3:$A$500,$B28,'DADOS BRUTOS'!AI$3:AI$500)+IF($C28="",0,SUMIF('DADOS BRUTOS'!$A$3:$A$500,$C28,'DADOS BRUTOS'!AI$3:AI$500)))</f>
        <v/>
      </c>
      <c r="DJ28" s="125">
        <f>IF(OR(DJ$4="",$B28=""),0,SUMIF('DADOS BRUTOS'!$A$3:$A$500,$B28,'DADOS BRUTOS'!AJ$3:AJ$500)+IF($C28="",0,SUMIF('DADOS BRUTOS'!$A$3:$A$500,$C28,'DADOS BRUTOS'!AJ$3:AJ$500)))</f>
        <v/>
      </c>
      <c r="DK28" s="125">
        <f>IF(OR(DK$4="",$B28=""),0,SUMIF('DADOS BRUTOS'!$A$3:$A$500,$B28,'DADOS BRUTOS'!AK$3:AK$500)+IF($C28="",0,SUMIF('DADOS BRUTOS'!$A$3:$A$500,$C28,'DADOS BRUTOS'!AK$3:AK$500)))</f>
        <v/>
      </c>
      <c r="DL28" s="125">
        <f>IF(OR(DL$4="",$B28=""),0,SUMIF('DADOS BRUTOS'!$A$3:$A$500,$B28,'DADOS BRUTOS'!AL$3:AL$500)+IF($C28="",0,SUMIF('DADOS BRUTOS'!$A$3:$A$500,$C28,'DADOS BRUTOS'!AL$3:AL$500)))</f>
        <v/>
      </c>
      <c r="DM28" s="125">
        <f>IF(OR(DM$4="",$B28=""),0,SUMIF('DADOS BRUTOS'!$A$3:$A$500,$B28,'DADOS BRUTOS'!AM$3:AM$500)+IF($C28="",0,SUMIF('DADOS BRUTOS'!$A$3:$A$500,$C28,'DADOS BRUTOS'!AM$3:AM$500)))</f>
        <v/>
      </c>
      <c r="DN28" s="125">
        <f>IF(OR(DN$4="",$B28=""),0,SUMIF('DADOS BRUTOS'!$A$3:$A$500,$B28,'DADOS BRUTOS'!AN$3:AN$500)+IF($C28="",0,SUMIF('DADOS BRUTOS'!$A$3:$A$500,$C28,'DADOS BRUTOS'!AN$3:AN$500)))</f>
        <v/>
      </c>
      <c r="DO28" s="125">
        <f>IF(OR(DO$4="",$B28=""),0,SUMIF('DADOS BRUTOS'!$A$3:$A$500,$B28,'DADOS BRUTOS'!AO$3:AO$500)+IF($C28="",0,SUMIF('DADOS BRUTOS'!$A$3:$A$500,$C28,'DADOS BRUTOS'!AO$3:AO$500)))</f>
        <v/>
      </c>
      <c r="DP28" s="125">
        <f>IF(OR(DP$4="",$B28=""),0,SUMIF('DADOS BRUTOS'!$A$3:$A$500,$B28,'DADOS BRUTOS'!AP$3:AP$500)+IF($C28="",0,SUMIF('DADOS BRUTOS'!$A$3:$A$500,$C28,'DADOS BRUTOS'!AP$3:AP$500)))</f>
        <v/>
      </c>
      <c r="DQ28" s="125">
        <f>IF(OR(DQ$4="",$B28=""),0,SUMIF('DADOS BRUTOS'!$A$3:$A$500,$B28,'DADOS BRUTOS'!AQ$3:AQ$500)+IF($C28="",0,SUMIF('DADOS BRUTOS'!$A$3:$A$500,$C28,'DADOS BRUTOS'!AQ$3:AQ$500)))</f>
        <v/>
      </c>
      <c r="DR28" s="125">
        <f>IF(OR(DR$4="",$B28=""),0,SUMIF('DADOS BRUTOS'!$A$3:$A$500,$B28,'DADOS BRUTOS'!AR$3:AR$500)+IF($C28="",0,SUMIF('DADOS BRUTOS'!$A$3:$A$500,$C28,'DADOS BRUTOS'!AR$3:AR$500)))</f>
        <v/>
      </c>
      <c r="DS28" s="125">
        <f>IF(OR(DS$4="",$B28=""),0,SUMIF('DADOS BRUTOS'!$A$3:$A$500,$B28,'DADOS BRUTOS'!AS$3:AS$500)+IF($C28="",0,SUMIF('DADOS BRUTOS'!$A$3:$A$500,$C28,'DADOS BRUTOS'!AS$3:AS$500)))</f>
        <v/>
      </c>
      <c r="DT28" s="125">
        <f>IF(OR(DT$4="",$B28=""),0,SUMIF('DADOS BRUTOS'!$A$3:$A$500,$B28,'DADOS BRUTOS'!AT$3:AT$500)+IF($C28="",0,SUMIF('DADOS BRUTOS'!$A$3:$A$500,$C28,'DADOS BRUTOS'!AT$3:AT$500)))</f>
        <v/>
      </c>
      <c r="DU28" s="125">
        <f>IF(OR(DU$4="",$B28=""),0,SUMIF('DADOS BRUTOS'!$A$3:$A$500,$B28,'DADOS BRUTOS'!AU$3:AU$500)+IF($C28="",0,SUMIF('DADOS BRUTOS'!$A$3:$A$500,$C28,'DADOS BRUTOS'!AU$3:AU$500)))</f>
        <v/>
      </c>
      <c r="DV28" s="125">
        <f>IF(OR(DV$4="",$B28=""),0,SUMIF('DADOS BRUTOS'!$A$3:$A$500,$B28,'DADOS BRUTOS'!AV$3:AV$500)+IF($C28="",0,SUMIF('DADOS BRUTOS'!$A$3:$A$500,$C28,'DADOS BRUTOS'!AV$3:AV$500)))</f>
        <v/>
      </c>
      <c r="DW28" s="125">
        <f>IF(OR(DW$4="",$B28=""),0,SUMIF('DADOS BRUTOS'!$A$3:$A$500,$B28,'DADOS BRUTOS'!AW$3:AW$500)+IF($C28="",0,SUMIF('DADOS BRUTOS'!$A$3:$A$500,$C28,'DADOS BRUTOS'!AW$3:AW$500)))</f>
        <v/>
      </c>
      <c r="DX28" s="125">
        <f>IF(OR(DX$4="",$B28=""),0,SUMIF('DADOS BRUTOS'!$A$3:$A$500,$B28,'DADOS BRUTOS'!AX$3:AX$500)+IF($C28="",0,SUMIF('DADOS BRUTOS'!$A$3:$A$500,$C28,'DADOS BRUTOS'!AX$3:AX$500)))</f>
        <v/>
      </c>
      <c r="DY28" s="125">
        <f>IF(OR(DY$4="",$B28=""),0,SUMIF('DADOS BRUTOS'!$A$3:$A$500,$B28,'DADOS BRUTOS'!AY$3:AY$500)+IF($C28="",0,SUMIF('DADOS BRUTOS'!$A$3:$A$500,$C28,'DADOS BRUTOS'!AY$3:AY$500)))</f>
        <v/>
      </c>
      <c r="DZ28" s="125">
        <f>IF(OR(DZ$4="",$B28=""),0,SUMIF('DADOS BRUTOS'!$A$3:$A$500,$B28,'DADOS BRUTOS'!AZ$3:AZ$500)+IF($C28="",0,SUMIF('DADOS BRUTOS'!$A$3:$A$500,$C28,'DADOS BRUTOS'!AZ$3:AZ$500)))</f>
        <v/>
      </c>
      <c r="EA28" s="125">
        <f>IF(OR(EA$4="",$B28=""),0,SUMIF('DADOS BRUTOS'!$A$3:$A$500,$B28,'DADOS BRUTOS'!BA$3:BA$500)+IF($C28="",0,SUMIF('DADOS BRUTOS'!$A$3:$A$500,$C28,'DADOS BRUTOS'!BA$3:BA$500)))</f>
        <v/>
      </c>
      <c r="EB28" s="125">
        <f>IF(OR(EB$4="",$B28=""),0,SUMIF('DADOS BRUTOS'!$A$3:$A$500,$B28,'DADOS BRUTOS'!BB$3:BB$500)+IF($C28="",0,SUMIF('DADOS BRUTOS'!$A$3:$A$500,$C28,'DADOS BRUTOS'!BB$3:BB$500)))</f>
        <v/>
      </c>
      <c r="EC28" s="125">
        <f>IF(OR(EC$4="",$B28=""),0,SUMIF('DADOS BRUTOS'!$A$3:$A$500,$B28,'DADOS BRUTOS'!BC$3:BC$500)+IF($C28="",0,SUMIF('DADOS BRUTOS'!$A$3:$A$500,$C28,'DADOS BRUTOS'!BC$3:BC$500)))</f>
        <v/>
      </c>
      <c r="ED28" s="125">
        <f>IF(OR(ED$4="",$B28=""),0,SUMIF('DADOS BRUTOS'!$A$3:$A$500,$B28,'DADOS BRUTOS'!BD$3:BD$500)+IF($C28="",0,SUMIF('DADOS BRUTOS'!$A$3:$A$500,$C28,'DADOS BRUTOS'!BD$3:BD$500)))</f>
        <v/>
      </c>
      <c r="EE28" s="125">
        <f>IF(OR(EE$4="",$B28=""),0,SUMIF('DADOS BRUTOS'!$A$3:$A$500,$B28,'DADOS BRUTOS'!BE$3:BE$500)+IF($C28="",0,SUMIF('DADOS BRUTOS'!$A$3:$A$500,$C28,'DADOS BRUTOS'!BE$3:BE$500)))</f>
        <v/>
      </c>
      <c r="EF28" s="125">
        <f>IF(OR(EF$4="",$B28=""),0,SUMIF('DADOS BRUTOS'!$A$3:$A$500,$B28,'DADOS BRUTOS'!BF$3:BF$500)+IF($C28="",0,SUMIF('DADOS BRUTOS'!$A$3:$A$500,$C28,'DADOS BRUTOS'!BF$3:BF$500)))</f>
        <v/>
      </c>
      <c r="EG28" s="125">
        <f>IF(OR(EG$4="",$B28=""),0,SUMIF('DADOS BRUTOS'!$A$3:$A$500,$B28,'DADOS BRUTOS'!BG$3:BG$500)+IF($C28="",0,SUMIF('DADOS BRUTOS'!$A$3:$A$500,$C28,'DADOS BRUTOS'!BG$3:BG$500)))</f>
        <v/>
      </c>
      <c r="EH28" s="125">
        <f>IF(OR(EH$4="",$B28=""),0,SUMIF('DADOS BRUTOS'!$A$3:$A$500,$B28,'DADOS BRUTOS'!BH$3:BH$500)+IF($C28="",0,SUMIF('DADOS BRUTOS'!$A$3:$A$500,$C28,'DADOS BRUTOS'!BH$3:BH$500)))</f>
        <v/>
      </c>
      <c r="EI28" s="125">
        <f>IF(OR(EI$4="",$B28=""),0,SUMIF('DADOS BRUTOS'!$A$3:$A$500,$B28,'DADOS BRUTOS'!BI$3:BI$500)+IF($C28="",0,SUMIF('DADOS BRUTOS'!$A$3:$A$500,$C28,'DADOS BRUTOS'!BI$3:BI$500)))</f>
        <v/>
      </c>
      <c r="EJ28" s="125">
        <f>IF(OR(EJ$4="",$B28=""),0,SUMIF('DADOS BRUTOS'!$A$3:$A$500,$B28,'DADOS BRUTOS'!BJ$3:BJ$500)+IF($C28="",0,SUMIF('DADOS BRUTOS'!$A$3:$A$500,$C28,'DADOS BRUTOS'!BJ$3:BJ$500)))</f>
        <v/>
      </c>
      <c r="EK28" s="125">
        <f>IF(OR(EK$4="",$B28=""),0,SUMIF('DADOS BRUTOS'!$A$3:$A$500,$B28,'DADOS BRUTOS'!BK$3:BK$500)+IF($C28="",0,SUMIF('DADOS BRUTOS'!$A$3:$A$500,$C28,'DADOS BRUTOS'!BK$3:BK$500)))</f>
        <v/>
      </c>
      <c r="EL28" s="125">
        <f>IF(OR(EL$4="",$B28=""),0,SUMIF('DADOS BRUTOS'!$A$3:$A$500,$B28,'DADOS BRUTOS'!BL$3:BL$500)+IF($C28="",0,SUMIF('DADOS BRUTOS'!$A$3:$A$500,$C28,'DADOS BRUTOS'!BL$3:BL$500)))</f>
        <v/>
      </c>
      <c r="EM28" s="125">
        <f>IF(OR(EM$4="",$B28=""),0,SUMIF('DADOS BRUTOS'!$A$3:$A$500,$B28,'DADOS BRUTOS'!BM$3:BM$500)+IF($C28="",0,SUMIF('DADOS BRUTOS'!$A$3:$A$500,$C28,'DADOS BRUTOS'!BM$3:BM$500)))</f>
        <v/>
      </c>
      <c r="EN28" s="125">
        <f>IF(OR(EN$4="",$B28=""),0,SUMIF('DADOS BRUTOS'!$A$3:$A$500,$B28,'DADOS BRUTOS'!BN$3:BN$500)+IF($C28="",0,SUMIF('DADOS BRUTOS'!$A$3:$A$500,$C28,'DADOS BRUTOS'!BN$3:BN$500)))</f>
        <v/>
      </c>
      <c r="EO28" s="125">
        <f>IF(OR(EO$4="",$B28=""),0,SUMIF('DADOS BRUTOS'!$A$3:$A$500,$B28,'DADOS BRUTOS'!BO$3:BO$500)+IF($C28="",0,SUMIF('DADOS BRUTOS'!$A$3:$A$500,$C28,'DADOS BRUTOS'!BO$3:BO$500)))</f>
        <v/>
      </c>
      <c r="EP28" s="125">
        <f>IF(OR(EP$4="",$B28=""),0,SUMIF('DADOS BRUTOS'!$A$3:$A$500,$B28,'DADOS BRUTOS'!BP$3:BP$500)+IF($C28="",0,SUMIF('DADOS BRUTOS'!$A$3:$A$500,$C28,'DADOS BRUTOS'!BP$3:BP$500)))</f>
        <v/>
      </c>
      <c r="EQ28" s="125">
        <f>IF(OR(EQ$4="",$B28=""),0,SUMIF('DADOS BRUTOS'!$A$3:$A$500,$B28,'DADOS BRUTOS'!BQ$3:BQ$500)+IF($C28="",0,SUMIF('DADOS BRUTOS'!$A$3:$A$500,$C28,'DADOS BRUTOS'!BQ$3:BQ$500)))</f>
        <v/>
      </c>
      <c r="ER28" s="125">
        <f>IF(OR(ER$4="",$B28=""),0,SUMIF('DADOS BRUTOS'!$A$3:$A$500,$B28,'DADOS BRUTOS'!BR$3:BR$500)+IF($C28="",0,SUMIF('DADOS BRUTOS'!$A$3:$A$500,$C28,'DADOS BRUTOS'!BR$3:BR$500)))</f>
        <v/>
      </c>
      <c r="ES28" s="125">
        <f>IF(OR(ES$4="",$B28=""),0,SUMIF('DADOS BRUTOS'!$A$3:$A$500,$B28,'DADOS BRUTOS'!BS$3:BS$500)+IF($C28="",0,SUMIF('DADOS BRUTOS'!$A$3:$A$500,$C28,'DADOS BRUTOS'!BS$3:BS$500)))</f>
        <v/>
      </c>
      <c r="ET28" s="125">
        <f>IF(OR(ET$4="",$B28=""),0,SUMIF('DADOS BRUTOS'!$A$3:$A$500,$B28,'DADOS BRUTOS'!BT$3:BT$500)+IF($C28="",0,SUMIF('DADOS BRUTOS'!$A$3:$A$500,$C28,'DADOS BRUTOS'!BT$3:BT$500)))</f>
        <v/>
      </c>
      <c r="EU28" s="125">
        <f>IF(OR(EU$4="",$B28=""),0,SUMIF('DADOS BRUTOS'!$A$3:$A$500,$B28,'DADOS BRUTOS'!BU$3:BU$500)+IF($C28="",0,SUMIF('DADOS BRUTOS'!$A$3:$A$500,$C28,'DADOS BRUTOS'!BU$3:BU$500)))</f>
        <v/>
      </c>
      <c r="EV28" s="125">
        <f>IF(OR(EV$4="",$B28=""),0,SUMIF('DADOS BRUTOS'!$A$3:$A$500,$B28,'DADOS BRUTOS'!BV$3:BV$500)+IF($C28="",0,SUMIF('DADOS BRUTOS'!$A$3:$A$500,$C28,'DADOS BRUTOS'!BV$3:BV$500)))</f>
        <v/>
      </c>
      <c r="EW28" s="125">
        <f>IF(OR(EW$4="",$B28=""),0,SUMIF('DADOS BRUTOS'!$A$3:$A$500,$B28,'DADOS BRUTOS'!BW$3:BW$500)+IF($C28="",0,SUMIF('DADOS BRUTOS'!$A$3:$A$500,$C28,'DADOS BRUTOS'!BW$3:BW$500)))</f>
        <v/>
      </c>
      <c r="EX28" s="125">
        <f>IF(OR(EX$4="",$B28=""),0,SUMIF('DADOS BRUTOS'!$A$3:$A$500,$B28,'DADOS BRUTOS'!BX$3:BX$500)+IF($C28="",0,SUMIF('DADOS BRUTOS'!$A$3:$A$500,$C28,'DADOS BRUTOS'!BX$3:BX$500)))</f>
        <v/>
      </c>
      <c r="EY28" s="125">
        <f>IF(OR(EY$4="",$B28=""),0,SUMIF('DADOS BRUTOS'!$A$3:$A$500,$B28,'DADOS BRUTOS'!BY$3:BY$500)+IF($C28="",0,SUMIF('DADOS BRUTOS'!$A$3:$A$500,$C28,'DADOS BRUTOS'!BY$3:BY$500)))</f>
        <v/>
      </c>
      <c r="EZ28" s="125">
        <f>IF(OR(EZ$4="",$B28=""),0,SUMIF('DADOS BRUTOS'!$A$3:$A$500,$B28,'DADOS BRUTOS'!BZ$3:BZ$500)+IF($C28="",0,SUMIF('DADOS BRUTOS'!$A$3:$A$500,$C28,'DADOS BRUTOS'!BZ$3:BZ$500)))</f>
        <v/>
      </c>
      <c r="FA28" s="125">
        <f>IF(OR(FA$4="",$B28=""),0,SUMIF('DADOS BRUTOS'!$A$3:$A$500,$B28,'DADOS BRUTOS'!CA$3:CA$500)+IF($C28="",0,SUMIF('DADOS BRUTOS'!$A$3:$A$500,$C28,'DADOS BRUTOS'!CA$3:CA$500)))</f>
        <v/>
      </c>
      <c r="FB28" s="125">
        <f>IF(OR(FB$4="",$B28=""),0,SUMIF('DADOS BRUTOS'!$A$3:$A$500,$B28,'DADOS BRUTOS'!CB$3:CB$500)+IF($C28="",0,SUMIF('DADOS BRUTOS'!$A$3:$A$500,$C28,'DADOS BRUTOS'!CB$3:CB$500)))</f>
        <v/>
      </c>
      <c r="FC28" s="125">
        <f>IF(OR(FC$4="",$B28=""),0,SUMIF('DADOS BRUTOS'!$A$3:$A$500,$B28,'DADOS BRUTOS'!CC$3:CC$500)+IF($C28="",0,SUMIF('DADOS BRUTOS'!$A$3:$A$500,$C28,'DADOS BRUTOS'!CC$3:CC$500)))</f>
        <v/>
      </c>
      <c r="FD28" s="125">
        <f>IF(OR(FD$4="",$B28=""),0,SUMIF('DADOS BRUTOS'!$A$3:$A$500,$B28,'DADOS BRUTOS'!CD$3:CD$500)+IF($C28="",0,SUMIF('DADOS BRUTOS'!$A$3:$A$500,$C28,'DADOS BRUTOS'!CD$3:CD$500)))</f>
        <v/>
      </c>
      <c r="FE28" s="125">
        <f>IF(OR(FE$4="",$B28=""),0,SUMIF('DADOS BRUTOS'!$A$3:$A$500,$B28,'DADOS BRUTOS'!CE$3:CE$500)+IF($C28="",0,SUMIF('DADOS BRUTOS'!$A$3:$A$500,$C28,'DADOS BRUTOS'!CE$3:CE$500)))</f>
        <v/>
      </c>
      <c r="FF28" s="125">
        <f>IF(OR(FF$4="",$B28=""),0,SUMIF('DADOS BRUTOS'!$A$3:$A$500,$B28,'DADOS BRUTOS'!CF$3:CF$500)+IF($C28="",0,SUMIF('DADOS BRUTOS'!$A$3:$A$500,$C28,'DADOS BRUTOS'!CF$3:CF$500)))</f>
        <v/>
      </c>
      <c r="FG28" s="125">
        <f>IF(OR(FG$4="",$B28=""),0,SUMIF('DADOS BRUTOS'!$A$3:$A$500,$B28,'DADOS BRUTOS'!CG$3:CG$500)+IF($C28="",0,SUMIF('DADOS BRUTOS'!$A$3:$A$500,$C28,'DADOS BRUTOS'!CG$3:CG$500)))</f>
        <v/>
      </c>
      <c r="FH28" s="125">
        <f>IF(OR(FH$4="",$B28=""),0,SUMIF('DADOS BRUTOS'!$A$3:$A$500,$B28,'DADOS BRUTOS'!CH$3:CH$500)+IF($C28="",0,SUMIF('DADOS BRUTOS'!$A$3:$A$500,$C28,'DADOS BRUTOS'!CH$3:CH$500)))</f>
        <v/>
      </c>
      <c r="FI28" s="125">
        <f>IF(OR(FI$4="",$B28=""),0,SUMIF('DADOS BRUTOS'!$A$3:$A$500,$B28,'DADOS BRUTOS'!CI$3:CI$500)+IF($C28="",0,SUMIF('DADOS BRUTOS'!$A$3:$A$500,$C28,'DADOS BRUTOS'!CI$3:CI$500)))</f>
        <v/>
      </c>
      <c r="FJ28" s="125">
        <f>IF(OR(FJ$4="",$B28=""),0,SUMIF('DADOS BRUTOS'!$A$3:$A$500,$B28,'DADOS BRUTOS'!CJ$3:CJ$500)+IF($C28="",0,SUMIF('DADOS BRUTOS'!$A$3:$A$500,$C28,'DADOS BRUTOS'!CJ$3:CJ$500)))</f>
        <v/>
      </c>
      <c r="FK28" s="125">
        <f>IF(OR(FK$4="",$B28=""),0,SUMIF('DADOS BRUTOS'!$A$3:$A$500,$B28,'DADOS BRUTOS'!CK$3:CK$500)+IF($C28="",0,SUMIF('DADOS BRUTOS'!$A$3:$A$500,$C28,'DADOS BRUTOS'!CK$3:CK$500)))</f>
        <v/>
      </c>
      <c r="FL28" s="125">
        <f>IF(OR(FL$4="",$B28=""),0,SUMIF('DADOS BRUTOS'!$A$3:$A$500,$B28,'DADOS BRUTOS'!CL$3:CL$500)+IF($C28="",0,SUMIF('DADOS BRUTOS'!$A$3:$A$500,$C28,'DADOS BRUTOS'!CL$3:CL$500)))</f>
        <v/>
      </c>
      <c r="FM28" s="125">
        <f>IF(OR(FM$4="",$B28=""),0,SUMIF('DADOS BRUTOS'!$A$3:$A$500,$B28,'DADOS BRUTOS'!CM$3:CM$500)+IF($C28="",0,SUMIF('DADOS BRUTOS'!$A$3:$A$500,$C28,'DADOS BRUTOS'!CM$3:CM$500)))</f>
        <v/>
      </c>
      <c r="FN28" s="125">
        <f>IF(OR(FN$4="",$B28=""),0,SUMIF('DADOS BRUTOS'!$A$3:$A$500,$B28,'DADOS BRUTOS'!CN$3:CN$500)+IF($C28="",0,SUMIF('DADOS BRUTOS'!$A$3:$A$500,$C28,'DADOS BRUTOS'!CN$3:CN$500)))</f>
        <v/>
      </c>
      <c r="FO28" s="125">
        <f>IF(OR(FO$4="",$B28=""),0,SUMIF('DADOS BRUTOS'!$A$3:$A$500,$B28,'DADOS BRUTOS'!CO$3:CO$500)+IF($C28="",0,SUMIF('DADOS BRUTOS'!$A$3:$A$500,$C28,'DADOS BRUTOS'!CO$3:CO$500)))</f>
        <v/>
      </c>
      <c r="FP28" s="125">
        <f>IF(OR(FP$4="",$B28=""),0,SUMIF('DADOS BRUTOS'!$A$3:$A$500,$B28,'DADOS BRUTOS'!CP$3:CP$500)+IF($C28="",0,SUMIF('DADOS BRUTOS'!$A$3:$A$500,$C28,'DADOS BRUTOS'!CP$3:CP$500)))</f>
        <v/>
      </c>
      <c r="FQ28" s="125">
        <f>IF(OR(FQ$4="",$B28=""),0,SUMIF('DADOS BRUTOS'!$A$3:$A$500,$B28,'DADOS BRUTOS'!CQ$3:CQ$500)+IF($C28="",0,SUMIF('DADOS BRUTOS'!$A$3:$A$500,$C28,'DADOS BRUTOS'!CQ$3:CQ$500)))</f>
        <v/>
      </c>
      <c r="FR28" s="125">
        <f>IF(OR(FR$4="",$B28=""),0,SUMIF('DADOS BRUTOS'!$A$3:$A$500,$B28,'DADOS BRUTOS'!CR$3:CR$500)+IF($C28="",0,SUMIF('DADOS BRUTOS'!$A$3:$A$500,$C28,'DADOS BRUTOS'!CR$3:CR$500)))</f>
        <v/>
      </c>
      <c r="FS28" s="125">
        <f>IF(OR(FS$4="",$B28=""),0,SUMIF('DADOS BRUTOS'!$A$3:$A$500,$B28,'DADOS BRUTOS'!CS$3:CS$500)+IF($C28="",0,SUMIF('DADOS BRUTOS'!$A$3:$A$500,$C28,'DADOS BRUTOS'!CS$3:CS$500)))</f>
        <v/>
      </c>
      <c r="FT28" s="125">
        <f>IF(OR(FT$4="",$B28=""),0,SUMIF('DADOS BRUTOS'!$A$3:$A$500,$B28,'DADOS BRUTOS'!CT$3:CT$500)+IF($C28="",0,SUMIF('DADOS BRUTOS'!$A$3:$A$500,$C28,'DADOS BRUTOS'!CT$3:CT$500)))</f>
        <v/>
      </c>
      <c r="FU28" s="125">
        <f>IF(OR(FU$4="",$B28=""),0,SUMIF('DADOS BRUTOS'!$A$3:$A$500,$B28,'DADOS BRUTOS'!CU$3:CU$500)+IF($C28="",0,SUMIF('DADOS BRUTOS'!$A$3:$A$500,$C28,'DADOS BRUTOS'!CU$3:CU$500)))</f>
        <v/>
      </c>
      <c r="FV28" s="125">
        <f>IF(OR(FV$4="",$B28=""),0,SUMIF('DADOS BRUTOS'!$A$3:$A$500,$B28,'DADOS BRUTOS'!CV$3:CV$500)+IF($C28="",0,SUMIF('DADOS BRUTOS'!$A$3:$A$500,$C28,'DADOS BRUTOS'!CV$3:CV$500)))</f>
        <v/>
      </c>
      <c r="FW28" s="125">
        <f>IF(OR(FW$4="",$B28=""),0,SUMIF('DADOS BRUTOS'!$A$3:$A$500,$B28,'DADOS BRUTOS'!CW$3:CW$500)+IF($C28="",0,SUMIF('DADOS BRUTOS'!$A$3:$A$500,$C28,'DADOS BRUTOS'!CW$3:CW$500)))</f>
        <v/>
      </c>
      <c r="FX28" s="125">
        <f>IF(OR(FX$4="",$B28=""),0,SUMIF('DADOS BRUTOS'!$A$3:$A$500,$B28,'DADOS BRUTOS'!CX$3:CX$500)+IF($C28="",0,SUMIF('DADOS BRUTOS'!$A$3:$A$500,$C28,'DADOS BRUTOS'!CX$3:CX$500)))</f>
        <v/>
      </c>
      <c r="FY28" s="125">
        <f>IF(OR(FY$4="",$B28=""),0,SUMIF('DADOS BRUTOS'!$A$3:$A$500,$B28,'DADOS BRUTOS'!CY$3:CY$500)+IF($C28="",0,SUMIF('DADOS BRUTOS'!$A$3:$A$500,$C28,'DADOS BRUTOS'!CY$3:CY$500)))</f>
        <v/>
      </c>
      <c r="FZ28" s="125">
        <f>IF(OR(FZ$4="",$B28=""),0,SUMIF('DADOS BRUTOS'!$A$3:$A$500,$B28,'DADOS BRUTOS'!CZ$3:CZ$500)+IF($C28="",0,SUMIF('DADOS BRUTOS'!$A$3:$A$500,$C28,'DADOS BRUTOS'!CZ$3:CZ$500)))</f>
        <v/>
      </c>
      <c r="GA28" s="125">
        <f>IF(OR(GA$4="",$B28=""),0,SUMIF('DADOS BRUTOS'!$A$3:$A$500,$B28,'DADOS BRUTOS'!DA$3:DA$500)+IF($C28="",0,SUMIF('DADOS BRUTOS'!$A$3:$A$500,$C28,'DADOS BRUTOS'!DA$3:DA$500)))</f>
        <v/>
      </c>
      <c r="GB28" s="125">
        <f>IF(OR(GB$4="",$B28=""),0,SUMIF('DADOS BRUTOS'!$A$3:$A$500,$B28,'DADOS BRUTOS'!DB$3:DB$500)+IF($C28="",0,SUMIF('DADOS BRUTOS'!$A$3:$A$500,$C28,'DADOS BRUTOS'!DB$3:DB$500)))</f>
        <v/>
      </c>
      <c r="GC28" s="125">
        <f>IF(OR(GC$4="",$B28=""),0,SUMIF('DADOS BRUTOS'!$A$3:$A$500,$B28,'DADOS BRUTOS'!DC$3:DC$500)+IF($C28="",0,SUMIF('DADOS BRUTOS'!$A$3:$A$500,$C28,'DADOS BRUTOS'!DC$3:DC$500)))</f>
        <v/>
      </c>
      <c r="GD28" s="125">
        <f>IF(OR(GD$4="",$B28=""),0,SUMIF('DADOS BRUTOS'!$A$3:$A$500,$B28,'DADOS BRUTOS'!DD$3:DD$500)+IF($C28="",0,SUMIF('DADOS BRUTOS'!$A$3:$A$500,$C28,'DADOS BRUTOS'!DD$3:DD$500)))</f>
        <v/>
      </c>
      <c r="GE28" s="125">
        <f>IF(OR(GE$4="",$B28=""),0,SUMIF('DADOS BRUTOS'!$A$3:$A$500,$B28,'DADOS BRUTOS'!DE$3:DE$500)+IF($C28="",0,SUMIF('DADOS BRUTOS'!$A$3:$A$500,$C28,'DADOS BRUTOS'!DE$3:DE$500)))</f>
        <v/>
      </c>
      <c r="GF28" s="125">
        <f>IF(OR(GF$4="",$B28=""),0,SUMIF('DADOS BRUTOS'!$A$3:$A$500,$B28,'DADOS BRUTOS'!DF$3:DF$500)+IF($C28="",0,SUMIF('DADOS BRUTOS'!$A$3:$A$500,$C28,'DADOS BRUTOS'!DF$3:DF$500)))</f>
        <v/>
      </c>
      <c r="GG28" s="125">
        <f>IF(OR(GG$4="",$B28=""),0,SUMIF('DADOS BRUTOS'!$A$3:$A$500,$B28,'DADOS BRUTOS'!DG$3:DG$500)+IF($C28="",0,SUMIF('DADOS BRUTOS'!$A$3:$A$500,$C28,'DADOS BRUTOS'!DG$3:DG$500)))</f>
        <v/>
      </c>
      <c r="GH28" s="125">
        <f>IF(OR(GH$4="",$B28=""),0,SUMIF('DADOS BRUTOS'!$A$3:$A$500,$B28,'DADOS BRUTOS'!DH$3:DH$500)+IF($C28="",0,SUMIF('DADOS BRUTOS'!$A$3:$A$500,$C28,'DADOS BRUTOS'!DH$3:DH$500)))</f>
        <v/>
      </c>
      <c r="GI28" s="125">
        <f>IF(OR(GI$4="",$B28=""),0,SUMIF('DADOS BRUTOS'!$A$3:$A$500,$B28,'DADOS BRUTOS'!DI$3:DI$500)+IF($C28="",0,SUMIF('DADOS BRUTOS'!$A$3:$A$500,$C28,'DADOS BRUTOS'!DI$3:DI$500)))</f>
        <v/>
      </c>
      <c r="GJ28" s="125">
        <f>IF(OR(GJ$4="",$B28=""),0,SUMIF('DADOS BRUTOS'!$A$3:$A$500,$B28,'DADOS BRUTOS'!DJ$3:DJ$500)+IF($C28="",0,SUMIF('DADOS BRUTOS'!$A$3:$A$500,$C28,'DADOS BRUTOS'!DJ$3:DJ$500)))</f>
        <v/>
      </c>
      <c r="GK28" s="125">
        <f>IF(OR(GK$4="",$B28=""),0,SUMIF('DADOS BRUTOS'!$A$3:$A$500,$B28,'DADOS BRUTOS'!DK$3:DK$500)+IF($C28="",0,SUMIF('DADOS BRUTOS'!$A$3:$A$500,$C28,'DADOS BRUTOS'!DK$3:DK$500)))</f>
        <v/>
      </c>
      <c r="GL28" s="125">
        <f>IF(OR(GL$4="",$B28=""),0,SUMIF('DADOS BRUTOS'!$A$3:$A$500,$B28,'DADOS BRUTOS'!DL$3:DL$500)+IF($C28="",0,SUMIF('DADOS BRUTOS'!$A$3:$A$500,$C28,'DADOS BRUTOS'!DL$3:DL$500)))</f>
        <v/>
      </c>
      <c r="GM28" s="125">
        <f>IF(OR(GM$4="",$B28=""),0,SUMIF('DADOS BRUTOS'!$A$3:$A$500,$B28,'DADOS BRUTOS'!DM$3:DM$500)+IF($C28="",0,SUMIF('DADOS BRUTOS'!$A$3:$A$500,$C28,'DADOS BRUTOS'!DM$3:DM$500)))</f>
        <v/>
      </c>
      <c r="GN28" s="125">
        <f>IF(OR(GN$4="",$B28=""),0,SUMIF('DADOS BRUTOS'!$A$3:$A$500,$B28,'DADOS BRUTOS'!DN$3:DN$500)+IF($C28="",0,SUMIF('DADOS BRUTOS'!$A$3:$A$500,$C28,'DADOS BRUTOS'!DN$3:DN$500)))</f>
        <v/>
      </c>
      <c r="GO28" s="125">
        <f>IF(OR(GO$4="",$B28=""),0,SUMIF('DADOS BRUTOS'!$A$3:$A$500,$B28,'DADOS BRUTOS'!DO$3:DO$500)+IF($C28="",0,SUMIF('DADOS BRUTOS'!$A$3:$A$500,$C28,'DADOS BRUTOS'!DO$3:DO$500)))</f>
        <v/>
      </c>
      <c r="GP28" s="125">
        <f>IF(OR(GP$4="",$B28=""),0,SUMIF('DADOS BRUTOS'!$A$3:$A$500,$B28,'DADOS BRUTOS'!DP$3:DP$500)+IF($C28="",0,SUMIF('DADOS BRUTOS'!$A$3:$A$500,$C28,'DADOS BRUTOS'!DP$3:DP$500)))</f>
        <v/>
      </c>
      <c r="GQ28" s="125">
        <f>IF(OR(GQ$4="",$B28=""),0,SUMIF('DADOS BRUTOS'!$A$3:$A$500,$B28,'DADOS BRUTOS'!DQ$3:DQ$500)+IF($C28="",0,SUMIF('DADOS BRUTOS'!$A$3:$A$500,$C28,'DADOS BRUTOS'!DQ$3:DQ$500)))</f>
        <v/>
      </c>
      <c r="GR28" s="125">
        <f>IF(OR(GR$4="",$B28=""),0,SUMIF('DADOS BRUTOS'!$A$3:$A$500,$B28,'DADOS BRUTOS'!DR$3:DR$500)+IF($C28="",0,SUMIF('DADOS BRUTOS'!$A$3:$A$500,$C28,'DADOS BRUTOS'!DR$3:DR$500)))</f>
        <v/>
      </c>
      <c r="GS28" s="125">
        <f>IF(OR(GS$4="",$B28=""),0,SUMIF('DADOS BRUTOS'!$A$3:$A$500,$B28,'DADOS BRUTOS'!DS$3:DS$500)+IF($C28="",0,SUMIF('DADOS BRUTOS'!$A$3:$A$500,$C28,'DADOS BRUTOS'!DS$3:DS$500)))</f>
        <v/>
      </c>
      <c r="GT28" s="125">
        <f>IF(OR(GT$4="",$B28=""),0,SUMIF('DADOS BRUTOS'!$A$3:$A$500,$B28,'DADOS BRUTOS'!DT$3:DT$500)+IF($C28="",0,SUMIF('DADOS BRUTOS'!$A$3:$A$500,$C28,'DADOS BRUTOS'!DT$3:DT$500)))</f>
        <v/>
      </c>
      <c r="GU28" s="125">
        <f>IF(OR(GU$4="",$B28=""),0,SUMIF('DADOS BRUTOS'!$A$3:$A$500,$B28,'DADOS BRUTOS'!DU$3:DU$500)+IF($C28="",0,SUMIF('DADOS BRUTOS'!$A$3:$A$500,$C28,'DADOS BRUTOS'!DU$3:DU$500)))</f>
        <v/>
      </c>
      <c r="GV28" s="125">
        <f>IF(OR(GV$4="",$B28=""),0,SUMIF('DADOS BRUTOS'!$A$3:$A$500,$B28,'DADOS BRUTOS'!DV$3:DV$500)+IF($C28="",0,SUMIF('DADOS BRUTOS'!$A$3:$A$500,$C28,'DADOS BRUTOS'!DV$3:DV$500)))</f>
        <v/>
      </c>
      <c r="GW28" s="125">
        <f>IF(OR(GW$4="",$B28=""),0,SUMIF('DADOS BRUTOS'!$A$3:$A$500,$B28,'DADOS BRUTOS'!DW$3:DW$500)+IF($C28="",0,SUMIF('DADOS BRUTOS'!$A$3:$A$500,$C28,'DADOS BRUTOS'!DW$3:DW$500)))</f>
        <v/>
      </c>
      <c r="GX28" s="125">
        <f>IF(OR(GX$4="",$B28=""),0,SUMIF('DADOS BRUTOS'!$A$3:$A$500,$B28,'DADOS BRUTOS'!DX$3:DX$500)+IF($C28="",0,SUMIF('DADOS BRUTOS'!$A$3:$A$500,$C28,'DADOS BRUTOS'!DX$3:DX$500)))</f>
        <v/>
      </c>
      <c r="GY28" s="125">
        <f>IF(OR(GY$4="",$B28=""),0,SUMIF('DADOS BRUTOS'!$A$3:$A$500,$B28,'DADOS BRUTOS'!DY$3:DY$500)+IF($C28="",0,SUMIF('DADOS BRUTOS'!$A$3:$A$500,$C28,'DADOS BRUTOS'!DY$3:DY$500)))</f>
        <v/>
      </c>
      <c r="GZ28" s="125">
        <f>IF(OR(GZ$4="",$B28=""),0,SUMIF('DADOS BRUTOS'!$A$3:$A$500,$B28,'DADOS BRUTOS'!DZ$3:DZ$500)+IF($C28="",0,SUMIF('DADOS BRUTOS'!$A$3:$A$500,$C28,'DADOS BRUTOS'!DZ$3:DZ$500)))</f>
        <v/>
      </c>
      <c r="HA28" s="125">
        <f>IF(OR(HA$4="",$B28=""),0,SUMIF('DADOS BRUTOS'!$A$3:$A$500,$B28,'DADOS BRUTOS'!EA$3:EA$500)+IF($C28="",0,SUMIF('DADOS BRUTOS'!$A$3:$A$500,$C28,'DADOS BRUTOS'!EA$3:EA$500)))</f>
        <v/>
      </c>
      <c r="HB28" s="125">
        <f>IF(OR(HB$4="",$B28=""),0,SUMIF('DADOS BRUTOS'!$A$3:$A$500,$B28,'DADOS BRUTOS'!EB$3:EB$500)+IF($C28="",0,SUMIF('DADOS BRUTOS'!$A$3:$A$500,$C28,'DADOS BRUTOS'!EB$3:EB$500)))</f>
        <v/>
      </c>
      <c r="HC28" s="125">
        <f>IF(OR(HC$4="",$B28=""),0,SUMIF('DADOS BRUTOS'!$A$3:$A$500,$B28,'DADOS BRUTOS'!EC$3:EC$500)+IF($C28="",0,SUMIF('DADOS BRUTOS'!$A$3:$A$500,$C28,'DADOS BRUTOS'!EC$3:EC$500)))</f>
        <v/>
      </c>
      <c r="HD28" s="125">
        <f>IF(OR(HD$4="",$B28=""),0,SUMIF('DADOS BRUTOS'!$A$3:$A$500,$B28,'DADOS BRUTOS'!ED$3:ED$500)+IF($C28="",0,SUMIF('DADOS BRUTOS'!$A$3:$A$500,$C28,'DADOS BRUTOS'!ED$3:ED$500)))</f>
        <v/>
      </c>
      <c r="HE28" s="125">
        <f>IF(OR(HE$4="",$B28=""),0,SUMIF('DADOS BRUTOS'!$A$3:$A$500,$B28,'DADOS BRUTOS'!EE$3:EE$500)+IF($C28="",0,SUMIF('DADOS BRUTOS'!$A$3:$A$500,$C28,'DADOS BRUTOS'!EE$3:EE$500)))</f>
        <v/>
      </c>
      <c r="HF28" s="125">
        <f>IF(OR(HF$4="",$B28=""),0,SUMIF('DADOS BRUTOS'!$A$3:$A$500,$B28,'DADOS BRUTOS'!EF$3:EF$500)+IF($C28="",0,SUMIF('DADOS BRUTOS'!$A$3:$A$500,$C28,'DADOS BRUTOS'!EF$3:EF$500)))</f>
        <v/>
      </c>
      <c r="HG28" s="125">
        <f>IF(OR(HG$4="",$B28=""),0,SUMIF('DADOS BRUTOS'!$A$3:$A$500,$B28,'DADOS BRUTOS'!EG$3:EG$500)+IF($C28="",0,SUMIF('DADOS BRUTOS'!$A$3:$A$500,$C28,'DADOS BRUTOS'!EG$3:EG$500)))</f>
        <v/>
      </c>
      <c r="HH28" s="125">
        <f>IF(OR(HH$4="",$B28=""),0,SUMIF('DADOS BRUTOS'!$A$3:$A$500,$B28,'DADOS BRUTOS'!EH$3:EH$500)+IF($C28="",0,SUMIF('DADOS BRUTOS'!$A$3:$A$500,$C28,'DADOS BRUTOS'!EH$3:EH$500)))</f>
        <v/>
      </c>
      <c r="HI28" s="125">
        <f>IF(OR(HI$4="",$B28=""),0,SUMIF('DADOS BRUTOS'!$A$3:$A$500,$B28,'DADOS BRUTOS'!EI$3:EI$500)+IF($C28="",0,SUMIF('DADOS BRUTOS'!$A$3:$A$500,$C28,'DADOS BRUTOS'!EI$3:EI$500)))</f>
        <v/>
      </c>
      <c r="HJ28" s="125">
        <f>IF(OR(HJ$4="",$B28=""),0,SUMIF('DADOS BRUTOS'!$A$3:$A$500,$B28,'DADOS BRUTOS'!EJ$3:EJ$500)+IF($C28="",0,SUMIF('DADOS BRUTOS'!$A$3:$A$500,$C28,'DADOS BRUTOS'!EJ$3:EJ$500)))</f>
        <v/>
      </c>
      <c r="HK28" s="125">
        <f>IF(OR(HK$4="",$B28=""),0,SUMIF('DADOS BRUTOS'!$A$3:$A$500,$B28,'DADOS BRUTOS'!EK$3:EK$500)+IF($C28="",0,SUMIF('DADOS BRUTOS'!$A$3:$A$500,$C28,'DADOS BRUTOS'!EK$3:EK$500)))</f>
        <v/>
      </c>
      <c r="HL28" s="125">
        <f>IF(OR(HL$4="",$B28=""),0,SUMIF('DADOS BRUTOS'!$A$3:$A$500,$B28,'DADOS BRUTOS'!EL$3:EL$500)+IF($C28="",0,SUMIF('DADOS BRUTOS'!$A$3:$A$500,$C28,'DADOS BRUTOS'!EL$3:EL$500)))</f>
        <v/>
      </c>
      <c r="HM28" s="125">
        <f>IF(OR(HM$4="",$B28=""),0,SUMIF('DADOS BRUTOS'!$A$3:$A$500,$B28,'DADOS BRUTOS'!EM$3:EM$500)+IF($C28="",0,SUMIF('DADOS BRUTOS'!$A$3:$A$500,$C28,'DADOS BRUTOS'!EM$3:EM$500)))</f>
        <v/>
      </c>
      <c r="HN28" s="125">
        <f>IF(OR(HN$4="",$B28=""),0,SUMIF('DADOS BRUTOS'!$A$3:$A$500,$B28,'DADOS BRUTOS'!EN$3:EN$500)+IF($C28="",0,SUMIF('DADOS BRUTOS'!$A$3:$A$500,$C28,'DADOS BRUTOS'!EN$3:EN$500)))</f>
        <v/>
      </c>
      <c r="HO28" s="125">
        <f>IF(OR(HO$4="",$B28=""),0,SUMIF('DADOS BRUTOS'!$A$3:$A$500,$B28,'DADOS BRUTOS'!EO$3:EO$500)+IF($C28="",0,SUMIF('DADOS BRUTOS'!$A$3:$A$500,$C28,'DADOS BRUTOS'!EO$3:EO$500)))</f>
        <v/>
      </c>
      <c r="HP28" s="125">
        <f>IF(OR(HP$4="",$B28=""),0,SUMIF('DADOS BRUTOS'!$A$3:$A$500,$B28,'DADOS BRUTOS'!EP$3:EP$500)+IF($C28="",0,SUMIF('DADOS BRUTOS'!$A$3:$A$500,$C28,'DADOS BRUTOS'!EP$3:EP$500)))</f>
        <v/>
      </c>
      <c r="HQ28" s="125">
        <f>IF(OR(HQ$4="",$B28=""),0,SUMIF('DADOS BRUTOS'!$A$3:$A$500,$B28,'DADOS BRUTOS'!EQ$3:EQ$500)+IF($C28="",0,SUMIF('DADOS BRUTOS'!$A$3:$A$500,$C28,'DADOS BRUTOS'!EQ$3:EQ$500)))</f>
        <v/>
      </c>
      <c r="HR28" s="125">
        <f>IF(OR(HR$4="",$B28=""),0,SUMIF('DADOS BRUTOS'!$A$3:$A$500,$B28,'DADOS BRUTOS'!ER$3:ER$500)+IF($C28="",0,SUMIF('DADOS BRUTOS'!$A$3:$A$500,$C28,'DADOS BRUTOS'!ER$3:ER$500)))</f>
        <v/>
      </c>
      <c r="HS28" s="125">
        <f>IF(OR(HS$4="",$B28=""),0,SUMIF('DADOS BRUTOS'!$A$3:$A$500,$B28,'DADOS BRUTOS'!ES$3:ES$500)+IF($C28="",0,SUMIF('DADOS BRUTOS'!$A$3:$A$500,$C28,'DADOS BRUTOS'!ES$3:ES$500)))</f>
        <v/>
      </c>
      <c r="HT28" s="125">
        <f>IF(OR(HT$4="",$B28=""),0,SUMIF('DADOS BRUTOS'!$A$3:$A$500,$B28,'DADOS BRUTOS'!ET$3:ET$500)+IF($C28="",0,SUMIF('DADOS BRUTOS'!$A$3:$A$500,$C28,'DADOS BRUTOS'!ET$3:ET$500)))</f>
        <v/>
      </c>
      <c r="HU28" s="125">
        <f>IF(OR(HU$4="",$B28=""),0,SUMIF('DADOS BRUTOS'!$A$3:$A$500,$B28,'DADOS BRUTOS'!EU$3:EU$500)+IF($C28="",0,SUMIF('DADOS BRUTOS'!$A$3:$A$500,$C28,'DADOS BRUTOS'!EU$3:EU$500)))</f>
        <v/>
      </c>
      <c r="HV28" s="125">
        <f>IF(OR(HV$4="",$B28=""),0,SUMIF('DADOS BRUTOS'!$A$3:$A$500,$B28,'DADOS BRUTOS'!EV$3:EV$500)+IF($C28="",0,SUMIF('DADOS BRUTOS'!$A$3:$A$500,$C28,'DADOS BRUTOS'!EV$3:EV$500)))</f>
        <v/>
      </c>
      <c r="HW28" s="125">
        <f>IF(OR(HW$4="",$B28=""),0,SUMIF('DADOS BRUTOS'!$A$3:$A$500,$B28,'DADOS BRUTOS'!EW$3:EW$500)+IF($C28="",0,SUMIF('DADOS BRUTOS'!$A$3:$A$500,$C28,'DADOS BRUTOS'!EW$3:EW$500)))</f>
        <v/>
      </c>
      <c r="HX28" s="125">
        <f>IF(OR(HX$4="",$B28=""),0,SUMIF('DADOS BRUTOS'!$A$3:$A$500,$B28,'DADOS BRUTOS'!EX$3:EX$500)+IF($C28="",0,SUMIF('DADOS BRUTOS'!$A$3:$A$500,$C28,'DADOS BRUTOS'!EX$3:EX$500)))</f>
        <v/>
      </c>
      <c r="HY28" s="125">
        <f>IF(OR(HY$4="",$B28=""),0,SUMIF('DADOS BRUTOS'!$A$3:$A$500,$B28,'DADOS BRUTOS'!EY$3:EY$500)+IF($C28="",0,SUMIF('DADOS BRUTOS'!$A$3:$A$500,$C28,'DADOS BRUTOS'!EY$3:EY$500)))</f>
        <v/>
      </c>
      <c r="HZ28" s="125">
        <f>IF(OR(HZ$4="",$B28=""),0,SUMIF('DADOS BRUTOS'!$A$3:$A$500,$B28,'DADOS BRUTOS'!EZ$3:EZ$500)+IF($C28="",0,SUMIF('DADOS BRUTOS'!$A$3:$A$500,$C28,'DADOS BRUTOS'!EZ$3:EZ$500)))</f>
        <v/>
      </c>
      <c r="IA28" s="125">
        <f>IF(OR(IA$4="",$B28=""),0,SUMIF('DADOS BRUTOS'!$A$3:$A$500,$B28,'DADOS BRUTOS'!FA$3:FA$500)+IF($C28="",0,SUMIF('DADOS BRUTOS'!$A$3:$A$500,$C28,'DADOS BRUTOS'!FA$3:FA$500)))</f>
        <v/>
      </c>
      <c r="IB28" s="125">
        <f>IF(OR(IB$4="",$B28=""),0,SUMIF('DADOS BRUTOS'!$A$3:$A$500,$B28,'DADOS BRUTOS'!FB$3:FB$500)+IF($C28="",0,SUMIF('DADOS BRUTOS'!$A$3:$A$500,$C28,'DADOS BRUTOS'!FB$3:FB$500)))</f>
        <v/>
      </c>
      <c r="IC28" s="125">
        <f>IF(OR(IC$4="",$B28=""),0,SUMIF('DADOS BRUTOS'!$A$3:$A$500,$B28,'DADOS BRUTOS'!FC$3:FC$500)+IF($C28="",0,SUMIF('DADOS BRUTOS'!$A$3:$A$500,$C28,'DADOS BRUTOS'!FC$3:FC$500)))</f>
        <v/>
      </c>
      <c r="ID28" s="125">
        <f>IF(OR(ID$4="",$B28=""),0,SUMIF('DADOS BRUTOS'!$A$3:$A$500,$B28,'DADOS BRUTOS'!FD$3:FD$500)+IF($C28="",0,SUMIF('DADOS BRUTOS'!$A$3:$A$500,$C28,'DADOS BRUTOS'!FD$3:FD$500)))</f>
        <v/>
      </c>
      <c r="IE28" s="125">
        <f>IF(OR(IE$4="",$B28=""),0,SUMIF('DADOS BRUTOS'!$A$3:$A$500,$B28,'DADOS BRUTOS'!FE$3:FE$500)+IF($C28="",0,SUMIF('DADOS BRUTOS'!$A$3:$A$500,$C28,'DADOS BRUTOS'!FE$3:FE$500)))</f>
        <v/>
      </c>
      <c r="IF28" s="125">
        <f>IF(OR(IF$4="",$B28=""),0,SUMIF('DADOS BRUTOS'!$A$3:$A$500,$B28,'DADOS BRUTOS'!FF$3:FF$500)+IF($C28="",0,SUMIF('DADOS BRUTOS'!$A$3:$A$500,$C28,'DADOS BRUTOS'!FF$3:FF$500)))</f>
        <v/>
      </c>
      <c r="IG28" s="125">
        <f>IF(OR(IG$4="",$B28=""),0,SUMIF('DADOS BRUTOS'!$A$3:$A$500,$B28,'DADOS BRUTOS'!FG$3:FG$500)+IF($C28="",0,SUMIF('DADOS BRUTOS'!$A$3:$A$500,$C28,'DADOS BRUTOS'!FG$3:FG$500)))</f>
        <v/>
      </c>
      <c r="IH28" s="125">
        <f>IF(OR(IH$4="",$B28=""),0,SUMIF('DADOS BRUTOS'!$A$3:$A$500,$B28,'DADOS BRUTOS'!FH$3:FH$500)+IF($C28="",0,SUMIF('DADOS BRUTOS'!$A$3:$A$500,$C28,'DADOS BRUTOS'!FH$3:FH$500)))</f>
        <v/>
      </c>
      <c r="II28" s="125">
        <f>IF(OR(II$4="",$B28=""),0,SUMIF('DADOS BRUTOS'!$A$3:$A$500,$B28,'DADOS BRUTOS'!FI$3:FI$500)+IF($C28="",0,SUMIF('DADOS BRUTOS'!$A$3:$A$500,$C28,'DADOS BRUTOS'!FI$3:FI$500)))</f>
        <v/>
      </c>
      <c r="IJ28" s="125">
        <f>IF(OR(IJ$4="",$B28=""),0,SUMIF('DADOS BRUTOS'!$A$3:$A$500,$B28,'DADOS BRUTOS'!FJ$3:FJ$500)+IF($C28="",0,SUMIF('DADOS BRUTOS'!$A$3:$A$500,$C28,'DADOS BRUTOS'!FJ$3:FJ$500)))</f>
        <v/>
      </c>
      <c r="IK28" s="125">
        <f>IF(OR(IK$4="",$B28=""),0,SUMIF('DADOS BRUTOS'!$A$3:$A$500,$B28,'DADOS BRUTOS'!FK$3:FK$500)+IF($C28="",0,SUMIF('DADOS BRUTOS'!$A$3:$A$500,$C28,'DADOS BRUTOS'!FK$3:FK$500)))</f>
        <v/>
      </c>
      <c r="IL28" s="125">
        <f>IF(OR(IL$4="",$B28=""),0,SUMIF('DADOS BRUTOS'!$A$3:$A$500,$B28,'DADOS BRUTOS'!FL$3:FL$500)+IF($C28="",0,SUMIF('DADOS BRUTOS'!$A$3:$A$500,$C28,'DADOS BRUTOS'!FL$3:FL$500)))</f>
        <v/>
      </c>
      <c r="IM28" s="125">
        <f>IF(OR(IM$4="",$B28=""),0,SUMIF('DADOS BRUTOS'!$A$3:$A$500,$B28,'DADOS BRUTOS'!FM$3:FM$500)+IF($C28="",0,SUMIF('DADOS BRUTOS'!$A$3:$A$500,$C28,'DADOS BRUTOS'!FM$3:FM$500)))</f>
        <v/>
      </c>
      <c r="IN28" s="125">
        <f>IF(OR(IN$4="",$B28=""),0,SUMIF('DADOS BRUTOS'!$A$3:$A$500,$B28,'DADOS BRUTOS'!FN$3:FN$500)+IF($C28="",0,SUMIF('DADOS BRUTOS'!$A$3:$A$500,$C28,'DADOS BRUTOS'!FN$3:FN$500)))</f>
        <v/>
      </c>
      <c r="IO28" s="125">
        <f>IF(OR(IO$4="",$B28=""),0,SUMIF('DADOS BRUTOS'!$A$3:$A$500,$B28,'DADOS BRUTOS'!FO$3:FO$500)+IF($C28="",0,SUMIF('DADOS BRUTOS'!$A$3:$A$500,$C28,'DADOS BRUTOS'!FO$3:FO$500)))</f>
        <v/>
      </c>
      <c r="IP28" s="125">
        <f>IF(OR(IP$4="",$B28=""),0,SUMIF('DADOS BRUTOS'!$A$3:$A$500,$B28,'DADOS BRUTOS'!FP$3:FP$500)+IF($C28="",0,SUMIF('DADOS BRUTOS'!$A$3:$A$500,$C28,'DADOS BRUTOS'!FP$3:FP$500)))</f>
        <v/>
      </c>
      <c r="IQ28" s="125">
        <f>IF(OR(IQ$4="",$B28=""),0,SUMIF('DADOS BRUTOS'!$A$3:$A$500,$B28,'DADOS BRUTOS'!FQ$3:FQ$500)+IF($C28="",0,SUMIF('DADOS BRUTOS'!$A$3:$A$500,$C28,'DADOS BRUTOS'!FQ$3:FQ$500)))</f>
        <v/>
      </c>
      <c r="IR28" s="125">
        <f>IF(OR(IR$4="",$B28=""),0,SUMIF('DADOS BRUTOS'!$A$3:$A$500,$B28,'DADOS BRUTOS'!FR$3:FR$500)+IF($C28="",0,SUMIF('DADOS BRUTOS'!$A$3:$A$500,$C28,'DADOS BRUTOS'!FR$3:FR$500)))</f>
        <v/>
      </c>
      <c r="IS28" s="125">
        <f>IF(OR(IS$4="",$B28=""),0,SUMIF('DADOS BRUTOS'!$A$3:$A$500,$B28,'DADOS BRUTOS'!FS$3:FS$500)+IF($C28="",0,SUMIF('DADOS BRUTOS'!$A$3:$A$500,$C28,'DADOS BRUTOS'!FS$3:FS$500)))</f>
        <v/>
      </c>
      <c r="IT28" s="125">
        <f>IF(OR(IT$4="",$B28=""),0,SUMIF('DADOS BRUTOS'!$A$3:$A$500,$B28,'DADOS BRUTOS'!FT$3:FT$500)+IF($C28="",0,SUMIF('DADOS BRUTOS'!$A$3:$A$500,$C28,'DADOS BRUTOS'!FT$3:FT$500)))</f>
        <v/>
      </c>
      <c r="IU28" s="125">
        <f>IF(OR(IU$4="",$B28=""),0,SUMIF('DADOS BRUTOS'!$A$3:$A$500,$B28,'DADOS BRUTOS'!FU$3:FU$500)+IF($C28="",0,SUMIF('DADOS BRUTOS'!$A$3:$A$500,$C28,'DADOS BRUTOS'!FU$3:FU$500)))</f>
        <v/>
      </c>
      <c r="IV28" s="125">
        <f>IF(OR(IV$4="",$B28=""),0,SUMIF('DADOS BRUTOS'!$A$3:$A$500,$B28,'DADOS BRUTOS'!FV$3:FV$500)+IF($C28="",0,SUMIF('DADOS BRUTOS'!$A$3:$A$500,$C28,'DADOS BRUTOS'!FV$3:FV$500)))</f>
        <v/>
      </c>
      <c r="IW28" s="125">
        <f>IF(OR(IW$4="",$B28=""),0,SUMIF('DADOS BRUTOS'!$A$3:$A$500,$B28,'DADOS BRUTOS'!FW$3:FW$500)+IF($C28="",0,SUMIF('DADOS BRUTOS'!$A$3:$A$500,$C28,'DADOS BRUTOS'!FW$3:FW$500)))</f>
        <v/>
      </c>
      <c r="IX28" s="125">
        <f>IF(OR(IX$4="",$B28=""),0,SUMIF('DADOS BRUTOS'!$A$3:$A$500,$B28,'DADOS BRUTOS'!FX$3:FX$500)+IF($C28="",0,SUMIF('DADOS BRUTOS'!$A$3:$A$500,$C28,'DADOS BRUTOS'!FX$3:FX$500)))</f>
        <v/>
      </c>
      <c r="IY28" s="125">
        <f>IF(OR(IY$4="",$B28=""),0,SUMIF('DADOS BRUTOS'!$A$3:$A$500,$B28,'DADOS BRUTOS'!FY$3:FY$500)+IF($C28="",0,SUMIF('DADOS BRUTOS'!$A$3:$A$500,$C28,'DADOS BRUTOS'!FY$3:FY$500)))</f>
        <v/>
      </c>
      <c r="IZ28" s="125">
        <f>IF(OR(IZ$4="",$B28=""),0,SUMIF('DADOS BRUTOS'!$A$3:$A$500,$B28,'DADOS BRUTOS'!FZ$3:FZ$500)+IF($C28="",0,SUMIF('DADOS BRUTOS'!$A$3:$A$500,$C28,'DADOS BRUTOS'!FZ$3:FZ$500)))</f>
        <v/>
      </c>
      <c r="JA28" s="125">
        <f>IF(OR(JA$4="",$B28=""),0,SUMIF('DADOS BRUTOS'!$A$3:$A$500,$B28,'DADOS BRUTOS'!GA$3:GA$500)+IF($C28="",0,SUMIF('DADOS BRUTOS'!$A$3:$A$500,$C28,'DADOS BRUTOS'!GA$3:GA$500)))</f>
        <v/>
      </c>
      <c r="JB28" s="125">
        <f>IF(OR(JB$4="",$B28=""),0,SUMIF('DADOS BRUTOS'!$A$3:$A$500,$B28,'DADOS BRUTOS'!GB$3:GB$500)+IF($C28="",0,SUMIF('DADOS BRUTOS'!$A$3:$A$500,$C28,'DADOS BRUTOS'!GB$3:GB$500)))</f>
        <v/>
      </c>
      <c r="JC28" s="125">
        <f>IF(OR(JC$4="",$B28=""),0,SUMIF('DADOS BRUTOS'!$A$3:$A$500,$B28,'DADOS BRUTOS'!GC$3:GC$500)+IF($C28="",0,SUMIF('DADOS BRUTOS'!$A$3:$A$500,$C28,'DADOS BRUTOS'!GC$3:GC$500)))</f>
        <v/>
      </c>
      <c r="JD28" s="125">
        <f>IF(OR(JD$4="",$B28=""),0,SUMIF('DADOS BRUTOS'!$A$3:$A$500,$B28,'DADOS BRUTOS'!GD$3:GD$500)+IF($C28="",0,SUMIF('DADOS BRUTOS'!$A$3:$A$500,$C28,'DADOS BRUTOS'!GD$3:GD$500)))</f>
        <v/>
      </c>
      <c r="JE28" s="125">
        <f>IF(OR(JE$4="",$B28=""),0,SUMIF('DADOS BRUTOS'!$A$3:$A$500,$B28,'DADOS BRUTOS'!GE$3:GE$500)+IF($C28="",0,SUMIF('DADOS BRUTOS'!$A$3:$A$500,$C28,'DADOS BRUTOS'!GE$3:GE$500)))</f>
        <v/>
      </c>
      <c r="JF28" s="125">
        <f>IF(OR(JF$4="",$B28=""),0,SUMIF('DADOS BRUTOS'!$A$3:$A$500,$B28,'DADOS BRUTOS'!GF$3:GF$500)+IF($C28="",0,SUMIF('DADOS BRUTOS'!$A$3:$A$500,$C28,'DADOS BRUTOS'!GF$3:GF$500)))</f>
        <v/>
      </c>
      <c r="JG28" s="125">
        <f>IF(OR(JG$4="",$B28=""),0,SUMIF('DADOS BRUTOS'!$A$3:$A$500,$B28,'DADOS BRUTOS'!GG$3:GG$500)+IF($C28="",0,SUMIF('DADOS BRUTOS'!$A$3:$A$500,$C28,'DADOS BRUTOS'!GG$3:GG$500)))</f>
        <v/>
      </c>
      <c r="JH28" s="125">
        <f>IF(OR(JH$4="",$B28=""),0,SUMIF('DADOS BRUTOS'!$A$3:$A$500,$B28,'DADOS BRUTOS'!GH$3:GH$500)+IF($C28="",0,SUMIF('DADOS BRUTOS'!$A$3:$A$500,$C28,'DADOS BRUTOS'!GH$3:GH$500)))</f>
        <v/>
      </c>
      <c r="JI28" s="125">
        <f>IF(OR(JI$4="",$B28=""),0,SUMIF('DADOS BRUTOS'!$A$3:$A$500,$B28,'DADOS BRUTOS'!GI$3:GI$500)+IF($C28="",0,SUMIF('DADOS BRUTOS'!$A$3:$A$500,$C28,'DADOS BRUTOS'!GI$3:GI$500)))</f>
        <v/>
      </c>
      <c r="JJ28" s="125">
        <f>IF(OR(JJ$4="",$B28=""),0,SUMIF('DADOS BRUTOS'!$A$3:$A$500,$B28,'DADOS BRUTOS'!GJ$3:GJ$500)+IF($C28="",0,SUMIF('DADOS BRUTOS'!$A$3:$A$500,$C28,'DADOS BRUTOS'!GJ$3:GJ$500)))</f>
        <v/>
      </c>
      <c r="JK28" s="125">
        <f>IF(OR(JK$4="",$B28=""),0,SUMIF('DADOS BRUTOS'!$A$3:$A$500,$B28,'DADOS BRUTOS'!GK$3:GK$500)+IF($C28="",0,SUMIF('DADOS BRUTOS'!$A$3:$A$500,$C28,'DADOS BRUTOS'!GK$3:GK$500)))</f>
        <v/>
      </c>
      <c r="JL28" s="125">
        <f>IF(OR(JL$4="",$B28=""),0,SUMIF('DADOS BRUTOS'!$A$3:$A$500,$B28,'DADOS BRUTOS'!GL$3:GL$500)+IF($C28="",0,SUMIF('DADOS BRUTOS'!$A$3:$A$500,$C28,'DADOS BRUTOS'!GL$3:GL$500)))</f>
        <v/>
      </c>
      <c r="JM28" s="125">
        <f>IF(OR(JM$4="",$B28=""),0,SUMIF('DADOS BRUTOS'!$A$3:$A$500,$B28,'DADOS BRUTOS'!GM$3:GM$500)+IF($C28="",0,SUMIF('DADOS BRUTOS'!$A$3:$A$500,$C28,'DADOS BRUTOS'!GM$3:GM$500)))</f>
        <v/>
      </c>
      <c r="JN28" s="125">
        <f>IF(OR(JN$4="",$B28=""),0,SUMIF('DADOS BRUTOS'!$A$3:$A$500,$B28,'DADOS BRUTOS'!GN$3:GN$500)+IF($C28="",0,SUMIF('DADOS BRUTOS'!$A$3:$A$500,$C28,'DADOS BRUTOS'!GN$3:GN$500)))</f>
        <v/>
      </c>
      <c r="JO28" s="125">
        <f>IF(OR(JO$4="",$B28=""),0,SUMIF('DADOS BRUTOS'!$A$3:$A$500,$B28,'DADOS BRUTOS'!GO$3:GO$500)+IF($C28="",0,SUMIF('DADOS BRUTOS'!$A$3:$A$500,$C28,'DADOS BRUTOS'!GO$3:GO$500)))</f>
        <v/>
      </c>
      <c r="JP28" s="125">
        <f>IF(OR(JP$4="",$B28=""),0,SUMIF('DADOS BRUTOS'!$A$3:$A$500,$B28,'DADOS BRUTOS'!GP$3:GP$500)+IF($C28="",0,SUMIF('DADOS BRUTOS'!$A$3:$A$500,$C28,'DADOS BRUTOS'!GP$3:GP$500)))</f>
        <v/>
      </c>
      <c r="JQ28" s="125">
        <f>IF(OR(JQ$4="",$B28=""),0,SUMIF('DADOS BRUTOS'!$A$3:$A$500,$B28,'DADOS BRUTOS'!GQ$3:GQ$500)+IF($C28="",0,SUMIF('DADOS BRUTOS'!$A$3:$A$500,$C28,'DADOS BRUTOS'!GQ$3:GQ$500)))</f>
        <v/>
      </c>
      <c r="JR28" s="125">
        <f>IF(OR(JR$4="",$B28=""),0,SUMIF('DADOS BRUTOS'!$A$3:$A$500,$B28,'DADOS BRUTOS'!GR$3:GR$500)+IF($C28="",0,SUMIF('DADOS BRUTOS'!$A$3:$A$500,$C28,'DADOS BRUTOS'!GR$3:GR$500)))</f>
        <v/>
      </c>
      <c r="JS28" s="125">
        <f>IF(OR(JS$4="",$B28=""),0,SUMIF('DADOS BRUTOS'!$A$3:$A$500,$B28,'DADOS BRUTOS'!GS$3:GS$500)+IF($C28="",0,SUMIF('DADOS BRUTOS'!$A$3:$A$500,$C28,'DADOS BRUTOS'!GS$3:GS$500)))</f>
        <v/>
      </c>
    </row>
    <row r="29">
      <c r="A29" s="61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BZ29" s="49">
        <f>SUMPRODUCT(($CB$4:$JS$4&lt;&gt;"")*($CB$4:$JS$4&lt;=$D$4),$CB29:$JS29,$CB$1:$JS$1)</f>
        <v/>
      </c>
      <c r="CB29" s="125">
        <f>IF(OR(CB$4="",$B29=""),0,SUMIF('DADOS BRUTOS'!$A$3:$A$500,$B29,'DADOS BRUTOS'!B$3:B$500)+IF($C29="",0,SUMIF('DADOS BRUTOS'!$A$3:$A$500,$C29,'DADOS BRUTOS'!B$3:B$500)))</f>
        <v/>
      </c>
      <c r="CC29" s="125">
        <f>IF(OR(CC$4="",$B29=""),0,SUMIF('DADOS BRUTOS'!$A$3:$A$500,$B29,'DADOS BRUTOS'!C$3:C$500)+IF($C29="",0,SUMIF('DADOS BRUTOS'!$A$3:$A$500,$C29,'DADOS BRUTOS'!C$3:C$500)))</f>
        <v/>
      </c>
      <c r="CD29" s="125">
        <f>IF(OR(CD$4="",$B29=""),0,SUMIF('DADOS BRUTOS'!$A$3:$A$500,$B29,'DADOS BRUTOS'!D$3:D$500)+IF($C29="",0,SUMIF('DADOS BRUTOS'!$A$3:$A$500,$C29,'DADOS BRUTOS'!D$3:D$500)))</f>
        <v/>
      </c>
      <c r="CE29" s="125">
        <f>IF(OR(CE$4="",$B29=""),0,SUMIF('DADOS BRUTOS'!$A$3:$A$500,$B29,'DADOS BRUTOS'!E$3:E$500)+IF($C29="",0,SUMIF('DADOS BRUTOS'!$A$3:$A$500,$C29,'DADOS BRUTOS'!E$3:E$500)))</f>
        <v/>
      </c>
      <c r="CF29" s="125">
        <f>IF(OR(CF$4="",$B29=""),0,SUMIF('DADOS BRUTOS'!$A$3:$A$500,$B29,'DADOS BRUTOS'!F$3:F$500)+IF($C29="",0,SUMIF('DADOS BRUTOS'!$A$3:$A$500,$C29,'DADOS BRUTOS'!F$3:F$500)))</f>
        <v/>
      </c>
      <c r="CG29" s="125">
        <f>IF(OR(CG$4="",$B29=""),0,SUMIF('DADOS BRUTOS'!$A$3:$A$500,$B29,'DADOS BRUTOS'!G$3:G$500)+IF($C29="",0,SUMIF('DADOS BRUTOS'!$A$3:$A$500,$C29,'DADOS BRUTOS'!G$3:G$500)))</f>
        <v/>
      </c>
      <c r="CH29" s="125">
        <f>IF(OR(CH$4="",$B29=""),0,SUMIF('DADOS BRUTOS'!$A$3:$A$500,$B29,'DADOS BRUTOS'!H$3:H$500)+IF($C29="",0,SUMIF('DADOS BRUTOS'!$A$3:$A$500,$C29,'DADOS BRUTOS'!H$3:H$500)))</f>
        <v/>
      </c>
      <c r="CI29" s="125">
        <f>IF(OR(CI$4="",$B29=""),0,SUMIF('DADOS BRUTOS'!$A$3:$A$500,$B29,'DADOS BRUTOS'!I$3:I$500)+IF($C29="",0,SUMIF('DADOS BRUTOS'!$A$3:$A$500,$C29,'DADOS BRUTOS'!I$3:I$500)))</f>
        <v/>
      </c>
      <c r="CJ29" s="125">
        <f>IF(OR(CJ$4="",$B29=""),0,SUMIF('DADOS BRUTOS'!$A$3:$A$500,$B29,'DADOS BRUTOS'!J$3:J$500)+IF($C29="",0,SUMIF('DADOS BRUTOS'!$A$3:$A$500,$C29,'DADOS BRUTOS'!J$3:J$500)))</f>
        <v/>
      </c>
      <c r="CK29" s="125">
        <f>IF(OR(CK$4="",$B29=""),0,SUMIF('DADOS BRUTOS'!$A$3:$A$500,$B29,'DADOS BRUTOS'!K$3:K$500)+IF($C29="",0,SUMIF('DADOS BRUTOS'!$A$3:$A$500,$C29,'DADOS BRUTOS'!K$3:K$500)))</f>
        <v/>
      </c>
      <c r="CL29" s="125">
        <f>IF(OR(CL$4="",$B29=""),0,SUMIF('DADOS BRUTOS'!$A$3:$A$500,$B29,'DADOS BRUTOS'!L$3:L$500)+IF($C29="",0,SUMIF('DADOS BRUTOS'!$A$3:$A$500,$C29,'DADOS BRUTOS'!L$3:L$500)))</f>
        <v/>
      </c>
      <c r="CM29" s="125">
        <f>IF(OR(CM$4="",$B29=""),0,SUMIF('DADOS BRUTOS'!$A$3:$A$500,$B29,'DADOS BRUTOS'!M$3:M$500)+IF($C29="",0,SUMIF('DADOS BRUTOS'!$A$3:$A$500,$C29,'DADOS BRUTOS'!M$3:M$500)))</f>
        <v/>
      </c>
      <c r="CN29" s="125">
        <f>IF(OR(CN$4="",$B29=""),0,SUMIF('DADOS BRUTOS'!$A$3:$A$500,$B29,'DADOS BRUTOS'!N$3:N$500)+IF($C29="",0,SUMIF('DADOS BRUTOS'!$A$3:$A$500,$C29,'DADOS BRUTOS'!N$3:N$500)))</f>
        <v/>
      </c>
      <c r="CO29" s="125">
        <f>IF(OR(CO$4="",$B29=""),0,SUMIF('DADOS BRUTOS'!$A$3:$A$500,$B29,'DADOS BRUTOS'!O$3:O$500)+IF($C29="",0,SUMIF('DADOS BRUTOS'!$A$3:$A$500,$C29,'DADOS BRUTOS'!O$3:O$500)))</f>
        <v/>
      </c>
      <c r="CP29" s="125">
        <f>IF(OR(CP$4="",$B29=""),0,SUMIF('DADOS BRUTOS'!$A$3:$A$500,$B29,'DADOS BRUTOS'!P$3:P$500)+IF($C29="",0,SUMIF('DADOS BRUTOS'!$A$3:$A$500,$C29,'DADOS BRUTOS'!P$3:P$500)))</f>
        <v/>
      </c>
      <c r="CQ29" s="125">
        <f>IF(OR(CQ$4="",$B29=""),0,SUMIF('DADOS BRUTOS'!$A$3:$A$500,$B29,'DADOS BRUTOS'!Q$3:Q$500)+IF($C29="",0,SUMIF('DADOS BRUTOS'!$A$3:$A$500,$C29,'DADOS BRUTOS'!Q$3:Q$500)))</f>
        <v/>
      </c>
      <c r="CR29" s="125">
        <f>IF(OR(CR$4="",$B29=""),0,SUMIF('DADOS BRUTOS'!$A$3:$A$500,$B29,'DADOS BRUTOS'!R$3:R$500)+IF($C29="",0,SUMIF('DADOS BRUTOS'!$A$3:$A$500,$C29,'DADOS BRUTOS'!R$3:R$500)))</f>
        <v/>
      </c>
      <c r="CS29" s="125">
        <f>IF(OR(CS$4="",$B29=""),0,SUMIF('DADOS BRUTOS'!$A$3:$A$500,$B29,'DADOS BRUTOS'!S$3:S$500)+IF($C29="",0,SUMIF('DADOS BRUTOS'!$A$3:$A$500,$C29,'DADOS BRUTOS'!S$3:S$500)))</f>
        <v/>
      </c>
      <c r="CT29" s="125">
        <f>IF(OR(CT$4="",$B29=""),0,SUMIF('DADOS BRUTOS'!$A$3:$A$500,$B29,'DADOS BRUTOS'!T$3:T$500)+IF($C29="",0,SUMIF('DADOS BRUTOS'!$A$3:$A$500,$C29,'DADOS BRUTOS'!T$3:T$500)))</f>
        <v/>
      </c>
      <c r="CU29" s="125">
        <f>IF(OR(CU$4="",$B29=""),0,SUMIF('DADOS BRUTOS'!$A$3:$A$500,$B29,'DADOS BRUTOS'!U$3:U$500)+IF($C29="",0,SUMIF('DADOS BRUTOS'!$A$3:$A$500,$C29,'DADOS BRUTOS'!U$3:U$500)))</f>
        <v/>
      </c>
      <c r="CV29" s="125">
        <f>IF(OR(CV$4="",$B29=""),0,SUMIF('DADOS BRUTOS'!$A$3:$A$500,$B29,'DADOS BRUTOS'!V$3:V$500)+IF($C29="",0,SUMIF('DADOS BRUTOS'!$A$3:$A$500,$C29,'DADOS BRUTOS'!V$3:V$500)))</f>
        <v/>
      </c>
      <c r="CW29" s="125">
        <f>IF(OR(CW$4="",$B29=""),0,SUMIF('DADOS BRUTOS'!$A$3:$A$500,$B29,'DADOS BRUTOS'!W$3:W$500)+IF($C29="",0,SUMIF('DADOS BRUTOS'!$A$3:$A$500,$C29,'DADOS BRUTOS'!W$3:W$500)))</f>
        <v/>
      </c>
      <c r="CX29" s="125">
        <f>IF(OR(CX$4="",$B29=""),0,SUMIF('DADOS BRUTOS'!$A$3:$A$500,$B29,'DADOS BRUTOS'!X$3:X$500)+IF($C29="",0,SUMIF('DADOS BRUTOS'!$A$3:$A$500,$C29,'DADOS BRUTOS'!X$3:X$500)))</f>
        <v/>
      </c>
      <c r="CY29" s="125">
        <f>IF(OR(CY$4="",$B29=""),0,SUMIF('DADOS BRUTOS'!$A$3:$A$500,$B29,'DADOS BRUTOS'!Y$3:Y$500)+IF($C29="",0,SUMIF('DADOS BRUTOS'!$A$3:$A$500,$C29,'DADOS BRUTOS'!Y$3:Y$500)))</f>
        <v/>
      </c>
      <c r="CZ29" s="125">
        <f>IF(OR(CZ$4="",$B29=""),0,SUMIF('DADOS BRUTOS'!$A$3:$A$500,$B29,'DADOS BRUTOS'!Z$3:Z$500)+IF($C29="",0,SUMIF('DADOS BRUTOS'!$A$3:$A$500,$C29,'DADOS BRUTOS'!Z$3:Z$500)))</f>
        <v/>
      </c>
      <c r="DA29" s="125">
        <f>IF(OR(DA$4="",$B29=""),0,SUMIF('DADOS BRUTOS'!$A$3:$A$500,$B29,'DADOS BRUTOS'!AA$3:AA$500)+IF($C29="",0,SUMIF('DADOS BRUTOS'!$A$3:$A$500,$C29,'DADOS BRUTOS'!AA$3:AA$500)))</f>
        <v/>
      </c>
      <c r="DB29" s="125">
        <f>IF(OR(DB$4="",$B29=""),0,SUMIF('DADOS BRUTOS'!$A$3:$A$500,$B29,'DADOS BRUTOS'!AB$3:AB$500)+IF($C29="",0,SUMIF('DADOS BRUTOS'!$A$3:$A$500,$C29,'DADOS BRUTOS'!AB$3:AB$500)))</f>
        <v/>
      </c>
      <c r="DC29" s="125">
        <f>IF(OR(DC$4="",$B29=""),0,SUMIF('DADOS BRUTOS'!$A$3:$A$500,$B29,'DADOS BRUTOS'!AC$3:AC$500)+IF($C29="",0,SUMIF('DADOS BRUTOS'!$A$3:$A$500,$C29,'DADOS BRUTOS'!AC$3:AC$500)))</f>
        <v/>
      </c>
      <c r="DD29" s="125">
        <f>IF(OR(DD$4="",$B29=""),0,SUMIF('DADOS BRUTOS'!$A$3:$A$500,$B29,'DADOS BRUTOS'!AD$3:AD$500)+IF($C29="",0,SUMIF('DADOS BRUTOS'!$A$3:$A$500,$C29,'DADOS BRUTOS'!AD$3:AD$500)))</f>
        <v/>
      </c>
      <c r="DE29" s="125">
        <f>IF(OR(DE$4="",$B29=""),0,SUMIF('DADOS BRUTOS'!$A$3:$A$500,$B29,'DADOS BRUTOS'!AE$3:AE$500)+IF($C29="",0,SUMIF('DADOS BRUTOS'!$A$3:$A$500,$C29,'DADOS BRUTOS'!AE$3:AE$500)))</f>
        <v/>
      </c>
      <c r="DF29" s="125">
        <f>IF(OR(DF$4="",$B29=""),0,SUMIF('DADOS BRUTOS'!$A$3:$A$500,$B29,'DADOS BRUTOS'!AF$3:AF$500)+IF($C29="",0,SUMIF('DADOS BRUTOS'!$A$3:$A$500,$C29,'DADOS BRUTOS'!AF$3:AF$500)))</f>
        <v/>
      </c>
      <c r="DG29" s="125">
        <f>IF(OR(DG$4="",$B29=""),0,SUMIF('DADOS BRUTOS'!$A$3:$A$500,$B29,'DADOS BRUTOS'!AG$3:AG$500)+IF($C29="",0,SUMIF('DADOS BRUTOS'!$A$3:$A$500,$C29,'DADOS BRUTOS'!AG$3:AG$500)))</f>
        <v/>
      </c>
      <c r="DH29" s="125">
        <f>IF(OR(DH$4="",$B29=""),0,SUMIF('DADOS BRUTOS'!$A$3:$A$500,$B29,'DADOS BRUTOS'!AH$3:AH$500)+IF($C29="",0,SUMIF('DADOS BRUTOS'!$A$3:$A$500,$C29,'DADOS BRUTOS'!AH$3:AH$500)))</f>
        <v/>
      </c>
      <c r="DI29" s="125">
        <f>IF(OR(DI$4="",$B29=""),0,SUMIF('DADOS BRUTOS'!$A$3:$A$500,$B29,'DADOS BRUTOS'!AI$3:AI$500)+IF($C29="",0,SUMIF('DADOS BRUTOS'!$A$3:$A$500,$C29,'DADOS BRUTOS'!AI$3:AI$500)))</f>
        <v/>
      </c>
      <c r="DJ29" s="125">
        <f>IF(OR(DJ$4="",$B29=""),0,SUMIF('DADOS BRUTOS'!$A$3:$A$500,$B29,'DADOS BRUTOS'!AJ$3:AJ$500)+IF($C29="",0,SUMIF('DADOS BRUTOS'!$A$3:$A$500,$C29,'DADOS BRUTOS'!AJ$3:AJ$500)))</f>
        <v/>
      </c>
      <c r="DK29" s="125">
        <f>IF(OR(DK$4="",$B29=""),0,SUMIF('DADOS BRUTOS'!$A$3:$A$500,$B29,'DADOS BRUTOS'!AK$3:AK$500)+IF($C29="",0,SUMIF('DADOS BRUTOS'!$A$3:$A$500,$C29,'DADOS BRUTOS'!AK$3:AK$500)))</f>
        <v/>
      </c>
      <c r="DL29" s="125">
        <f>IF(OR(DL$4="",$B29=""),0,SUMIF('DADOS BRUTOS'!$A$3:$A$500,$B29,'DADOS BRUTOS'!AL$3:AL$500)+IF($C29="",0,SUMIF('DADOS BRUTOS'!$A$3:$A$500,$C29,'DADOS BRUTOS'!AL$3:AL$500)))</f>
        <v/>
      </c>
      <c r="DM29" s="125">
        <f>IF(OR(DM$4="",$B29=""),0,SUMIF('DADOS BRUTOS'!$A$3:$A$500,$B29,'DADOS BRUTOS'!AM$3:AM$500)+IF($C29="",0,SUMIF('DADOS BRUTOS'!$A$3:$A$500,$C29,'DADOS BRUTOS'!AM$3:AM$500)))</f>
        <v/>
      </c>
      <c r="DN29" s="125">
        <f>IF(OR(DN$4="",$B29=""),0,SUMIF('DADOS BRUTOS'!$A$3:$A$500,$B29,'DADOS BRUTOS'!AN$3:AN$500)+IF($C29="",0,SUMIF('DADOS BRUTOS'!$A$3:$A$500,$C29,'DADOS BRUTOS'!AN$3:AN$500)))</f>
        <v/>
      </c>
      <c r="DO29" s="125">
        <f>IF(OR(DO$4="",$B29=""),0,SUMIF('DADOS BRUTOS'!$A$3:$A$500,$B29,'DADOS BRUTOS'!AO$3:AO$500)+IF($C29="",0,SUMIF('DADOS BRUTOS'!$A$3:$A$500,$C29,'DADOS BRUTOS'!AO$3:AO$500)))</f>
        <v/>
      </c>
      <c r="DP29" s="125">
        <f>IF(OR(DP$4="",$B29=""),0,SUMIF('DADOS BRUTOS'!$A$3:$A$500,$B29,'DADOS BRUTOS'!AP$3:AP$500)+IF($C29="",0,SUMIF('DADOS BRUTOS'!$A$3:$A$500,$C29,'DADOS BRUTOS'!AP$3:AP$500)))</f>
        <v/>
      </c>
      <c r="DQ29" s="125">
        <f>IF(OR(DQ$4="",$B29=""),0,SUMIF('DADOS BRUTOS'!$A$3:$A$500,$B29,'DADOS BRUTOS'!AQ$3:AQ$500)+IF($C29="",0,SUMIF('DADOS BRUTOS'!$A$3:$A$500,$C29,'DADOS BRUTOS'!AQ$3:AQ$500)))</f>
        <v/>
      </c>
      <c r="DR29" s="125">
        <f>IF(OR(DR$4="",$B29=""),0,SUMIF('DADOS BRUTOS'!$A$3:$A$500,$B29,'DADOS BRUTOS'!AR$3:AR$500)+IF($C29="",0,SUMIF('DADOS BRUTOS'!$A$3:$A$500,$C29,'DADOS BRUTOS'!AR$3:AR$500)))</f>
        <v/>
      </c>
      <c r="DS29" s="125">
        <f>IF(OR(DS$4="",$B29=""),0,SUMIF('DADOS BRUTOS'!$A$3:$A$500,$B29,'DADOS BRUTOS'!AS$3:AS$500)+IF($C29="",0,SUMIF('DADOS BRUTOS'!$A$3:$A$500,$C29,'DADOS BRUTOS'!AS$3:AS$500)))</f>
        <v/>
      </c>
      <c r="DT29" s="125">
        <f>IF(OR(DT$4="",$B29=""),0,SUMIF('DADOS BRUTOS'!$A$3:$A$500,$B29,'DADOS BRUTOS'!AT$3:AT$500)+IF($C29="",0,SUMIF('DADOS BRUTOS'!$A$3:$A$500,$C29,'DADOS BRUTOS'!AT$3:AT$500)))</f>
        <v/>
      </c>
      <c r="DU29" s="125">
        <f>IF(OR(DU$4="",$B29=""),0,SUMIF('DADOS BRUTOS'!$A$3:$A$500,$B29,'DADOS BRUTOS'!AU$3:AU$500)+IF($C29="",0,SUMIF('DADOS BRUTOS'!$A$3:$A$500,$C29,'DADOS BRUTOS'!AU$3:AU$500)))</f>
        <v/>
      </c>
      <c r="DV29" s="125">
        <f>IF(OR(DV$4="",$B29=""),0,SUMIF('DADOS BRUTOS'!$A$3:$A$500,$B29,'DADOS BRUTOS'!AV$3:AV$500)+IF($C29="",0,SUMIF('DADOS BRUTOS'!$A$3:$A$500,$C29,'DADOS BRUTOS'!AV$3:AV$500)))</f>
        <v/>
      </c>
      <c r="DW29" s="125">
        <f>IF(OR(DW$4="",$B29=""),0,SUMIF('DADOS BRUTOS'!$A$3:$A$500,$B29,'DADOS BRUTOS'!AW$3:AW$500)+IF($C29="",0,SUMIF('DADOS BRUTOS'!$A$3:$A$500,$C29,'DADOS BRUTOS'!AW$3:AW$500)))</f>
        <v/>
      </c>
      <c r="DX29" s="125">
        <f>IF(OR(DX$4="",$B29=""),0,SUMIF('DADOS BRUTOS'!$A$3:$A$500,$B29,'DADOS BRUTOS'!AX$3:AX$500)+IF($C29="",0,SUMIF('DADOS BRUTOS'!$A$3:$A$500,$C29,'DADOS BRUTOS'!AX$3:AX$500)))</f>
        <v/>
      </c>
      <c r="DY29" s="125">
        <f>IF(OR(DY$4="",$B29=""),0,SUMIF('DADOS BRUTOS'!$A$3:$A$500,$B29,'DADOS BRUTOS'!AY$3:AY$500)+IF($C29="",0,SUMIF('DADOS BRUTOS'!$A$3:$A$500,$C29,'DADOS BRUTOS'!AY$3:AY$500)))</f>
        <v/>
      </c>
      <c r="DZ29" s="125">
        <f>IF(OR(DZ$4="",$B29=""),0,SUMIF('DADOS BRUTOS'!$A$3:$A$500,$B29,'DADOS BRUTOS'!AZ$3:AZ$500)+IF($C29="",0,SUMIF('DADOS BRUTOS'!$A$3:$A$500,$C29,'DADOS BRUTOS'!AZ$3:AZ$500)))</f>
        <v/>
      </c>
      <c r="EA29" s="125">
        <f>IF(OR(EA$4="",$B29=""),0,SUMIF('DADOS BRUTOS'!$A$3:$A$500,$B29,'DADOS BRUTOS'!BA$3:BA$500)+IF($C29="",0,SUMIF('DADOS BRUTOS'!$A$3:$A$500,$C29,'DADOS BRUTOS'!BA$3:BA$500)))</f>
        <v/>
      </c>
      <c r="EB29" s="125">
        <f>IF(OR(EB$4="",$B29=""),0,SUMIF('DADOS BRUTOS'!$A$3:$A$500,$B29,'DADOS BRUTOS'!BB$3:BB$500)+IF($C29="",0,SUMIF('DADOS BRUTOS'!$A$3:$A$500,$C29,'DADOS BRUTOS'!BB$3:BB$500)))</f>
        <v/>
      </c>
      <c r="EC29" s="125">
        <f>IF(OR(EC$4="",$B29=""),0,SUMIF('DADOS BRUTOS'!$A$3:$A$500,$B29,'DADOS BRUTOS'!BC$3:BC$500)+IF($C29="",0,SUMIF('DADOS BRUTOS'!$A$3:$A$500,$C29,'DADOS BRUTOS'!BC$3:BC$500)))</f>
        <v/>
      </c>
      <c r="ED29" s="125">
        <f>IF(OR(ED$4="",$B29=""),0,SUMIF('DADOS BRUTOS'!$A$3:$A$500,$B29,'DADOS BRUTOS'!BD$3:BD$500)+IF($C29="",0,SUMIF('DADOS BRUTOS'!$A$3:$A$500,$C29,'DADOS BRUTOS'!BD$3:BD$500)))</f>
        <v/>
      </c>
      <c r="EE29" s="125">
        <f>IF(OR(EE$4="",$B29=""),0,SUMIF('DADOS BRUTOS'!$A$3:$A$500,$B29,'DADOS BRUTOS'!BE$3:BE$500)+IF($C29="",0,SUMIF('DADOS BRUTOS'!$A$3:$A$500,$C29,'DADOS BRUTOS'!BE$3:BE$500)))</f>
        <v/>
      </c>
      <c r="EF29" s="125">
        <f>IF(OR(EF$4="",$B29=""),0,SUMIF('DADOS BRUTOS'!$A$3:$A$500,$B29,'DADOS BRUTOS'!BF$3:BF$500)+IF($C29="",0,SUMIF('DADOS BRUTOS'!$A$3:$A$500,$C29,'DADOS BRUTOS'!BF$3:BF$500)))</f>
        <v/>
      </c>
      <c r="EG29" s="125">
        <f>IF(OR(EG$4="",$B29=""),0,SUMIF('DADOS BRUTOS'!$A$3:$A$500,$B29,'DADOS BRUTOS'!BG$3:BG$500)+IF($C29="",0,SUMIF('DADOS BRUTOS'!$A$3:$A$500,$C29,'DADOS BRUTOS'!BG$3:BG$500)))</f>
        <v/>
      </c>
      <c r="EH29" s="125">
        <f>IF(OR(EH$4="",$B29=""),0,SUMIF('DADOS BRUTOS'!$A$3:$A$500,$B29,'DADOS BRUTOS'!BH$3:BH$500)+IF($C29="",0,SUMIF('DADOS BRUTOS'!$A$3:$A$500,$C29,'DADOS BRUTOS'!BH$3:BH$500)))</f>
        <v/>
      </c>
      <c r="EI29" s="125">
        <f>IF(OR(EI$4="",$B29=""),0,SUMIF('DADOS BRUTOS'!$A$3:$A$500,$B29,'DADOS BRUTOS'!BI$3:BI$500)+IF($C29="",0,SUMIF('DADOS BRUTOS'!$A$3:$A$500,$C29,'DADOS BRUTOS'!BI$3:BI$500)))</f>
        <v/>
      </c>
      <c r="EJ29" s="125">
        <f>IF(OR(EJ$4="",$B29=""),0,SUMIF('DADOS BRUTOS'!$A$3:$A$500,$B29,'DADOS BRUTOS'!BJ$3:BJ$500)+IF($C29="",0,SUMIF('DADOS BRUTOS'!$A$3:$A$500,$C29,'DADOS BRUTOS'!BJ$3:BJ$500)))</f>
        <v/>
      </c>
      <c r="EK29" s="125">
        <f>IF(OR(EK$4="",$B29=""),0,SUMIF('DADOS BRUTOS'!$A$3:$A$500,$B29,'DADOS BRUTOS'!BK$3:BK$500)+IF($C29="",0,SUMIF('DADOS BRUTOS'!$A$3:$A$500,$C29,'DADOS BRUTOS'!BK$3:BK$500)))</f>
        <v/>
      </c>
      <c r="EL29" s="125">
        <f>IF(OR(EL$4="",$B29=""),0,SUMIF('DADOS BRUTOS'!$A$3:$A$500,$B29,'DADOS BRUTOS'!BL$3:BL$500)+IF($C29="",0,SUMIF('DADOS BRUTOS'!$A$3:$A$500,$C29,'DADOS BRUTOS'!BL$3:BL$500)))</f>
        <v/>
      </c>
      <c r="EM29" s="125">
        <f>IF(OR(EM$4="",$B29=""),0,SUMIF('DADOS BRUTOS'!$A$3:$A$500,$B29,'DADOS BRUTOS'!BM$3:BM$500)+IF($C29="",0,SUMIF('DADOS BRUTOS'!$A$3:$A$500,$C29,'DADOS BRUTOS'!BM$3:BM$500)))</f>
        <v/>
      </c>
      <c r="EN29" s="125">
        <f>IF(OR(EN$4="",$B29=""),0,SUMIF('DADOS BRUTOS'!$A$3:$A$500,$B29,'DADOS BRUTOS'!BN$3:BN$500)+IF($C29="",0,SUMIF('DADOS BRUTOS'!$A$3:$A$500,$C29,'DADOS BRUTOS'!BN$3:BN$500)))</f>
        <v/>
      </c>
      <c r="EO29" s="125">
        <f>IF(OR(EO$4="",$B29=""),0,SUMIF('DADOS BRUTOS'!$A$3:$A$500,$B29,'DADOS BRUTOS'!BO$3:BO$500)+IF($C29="",0,SUMIF('DADOS BRUTOS'!$A$3:$A$500,$C29,'DADOS BRUTOS'!BO$3:BO$500)))</f>
        <v/>
      </c>
      <c r="EP29" s="125">
        <f>IF(OR(EP$4="",$B29=""),0,SUMIF('DADOS BRUTOS'!$A$3:$A$500,$B29,'DADOS BRUTOS'!BP$3:BP$500)+IF($C29="",0,SUMIF('DADOS BRUTOS'!$A$3:$A$500,$C29,'DADOS BRUTOS'!BP$3:BP$500)))</f>
        <v/>
      </c>
      <c r="EQ29" s="125">
        <f>IF(OR(EQ$4="",$B29=""),0,SUMIF('DADOS BRUTOS'!$A$3:$A$500,$B29,'DADOS BRUTOS'!BQ$3:BQ$500)+IF($C29="",0,SUMIF('DADOS BRUTOS'!$A$3:$A$500,$C29,'DADOS BRUTOS'!BQ$3:BQ$500)))</f>
        <v/>
      </c>
      <c r="ER29" s="125">
        <f>IF(OR(ER$4="",$B29=""),0,SUMIF('DADOS BRUTOS'!$A$3:$A$500,$B29,'DADOS BRUTOS'!BR$3:BR$500)+IF($C29="",0,SUMIF('DADOS BRUTOS'!$A$3:$A$500,$C29,'DADOS BRUTOS'!BR$3:BR$500)))</f>
        <v/>
      </c>
      <c r="ES29" s="125">
        <f>IF(OR(ES$4="",$B29=""),0,SUMIF('DADOS BRUTOS'!$A$3:$A$500,$B29,'DADOS BRUTOS'!BS$3:BS$500)+IF($C29="",0,SUMIF('DADOS BRUTOS'!$A$3:$A$500,$C29,'DADOS BRUTOS'!BS$3:BS$500)))</f>
        <v/>
      </c>
      <c r="ET29" s="125">
        <f>IF(OR(ET$4="",$B29=""),0,SUMIF('DADOS BRUTOS'!$A$3:$A$500,$B29,'DADOS BRUTOS'!BT$3:BT$500)+IF($C29="",0,SUMIF('DADOS BRUTOS'!$A$3:$A$500,$C29,'DADOS BRUTOS'!BT$3:BT$500)))</f>
        <v/>
      </c>
      <c r="EU29" s="125">
        <f>IF(OR(EU$4="",$B29=""),0,SUMIF('DADOS BRUTOS'!$A$3:$A$500,$B29,'DADOS BRUTOS'!BU$3:BU$500)+IF($C29="",0,SUMIF('DADOS BRUTOS'!$A$3:$A$500,$C29,'DADOS BRUTOS'!BU$3:BU$500)))</f>
        <v/>
      </c>
      <c r="EV29" s="125">
        <f>IF(OR(EV$4="",$B29=""),0,SUMIF('DADOS BRUTOS'!$A$3:$A$500,$B29,'DADOS BRUTOS'!BV$3:BV$500)+IF($C29="",0,SUMIF('DADOS BRUTOS'!$A$3:$A$500,$C29,'DADOS BRUTOS'!BV$3:BV$500)))</f>
        <v/>
      </c>
      <c r="EW29" s="125">
        <f>IF(OR(EW$4="",$B29=""),0,SUMIF('DADOS BRUTOS'!$A$3:$A$500,$B29,'DADOS BRUTOS'!BW$3:BW$500)+IF($C29="",0,SUMIF('DADOS BRUTOS'!$A$3:$A$500,$C29,'DADOS BRUTOS'!BW$3:BW$500)))</f>
        <v/>
      </c>
      <c r="EX29" s="125">
        <f>IF(OR(EX$4="",$B29=""),0,SUMIF('DADOS BRUTOS'!$A$3:$A$500,$B29,'DADOS BRUTOS'!BX$3:BX$500)+IF($C29="",0,SUMIF('DADOS BRUTOS'!$A$3:$A$500,$C29,'DADOS BRUTOS'!BX$3:BX$500)))</f>
        <v/>
      </c>
      <c r="EY29" s="125">
        <f>IF(OR(EY$4="",$B29=""),0,SUMIF('DADOS BRUTOS'!$A$3:$A$500,$B29,'DADOS BRUTOS'!BY$3:BY$500)+IF($C29="",0,SUMIF('DADOS BRUTOS'!$A$3:$A$500,$C29,'DADOS BRUTOS'!BY$3:BY$500)))</f>
        <v/>
      </c>
      <c r="EZ29" s="125">
        <f>IF(OR(EZ$4="",$B29=""),0,SUMIF('DADOS BRUTOS'!$A$3:$A$500,$B29,'DADOS BRUTOS'!BZ$3:BZ$500)+IF($C29="",0,SUMIF('DADOS BRUTOS'!$A$3:$A$500,$C29,'DADOS BRUTOS'!BZ$3:BZ$500)))</f>
        <v/>
      </c>
      <c r="FA29" s="125">
        <f>IF(OR(FA$4="",$B29=""),0,SUMIF('DADOS BRUTOS'!$A$3:$A$500,$B29,'DADOS BRUTOS'!CA$3:CA$500)+IF($C29="",0,SUMIF('DADOS BRUTOS'!$A$3:$A$500,$C29,'DADOS BRUTOS'!CA$3:CA$500)))</f>
        <v/>
      </c>
      <c r="FB29" s="125">
        <f>IF(OR(FB$4="",$B29=""),0,SUMIF('DADOS BRUTOS'!$A$3:$A$500,$B29,'DADOS BRUTOS'!CB$3:CB$500)+IF($C29="",0,SUMIF('DADOS BRUTOS'!$A$3:$A$500,$C29,'DADOS BRUTOS'!CB$3:CB$500)))</f>
        <v/>
      </c>
      <c r="FC29" s="125">
        <f>IF(OR(FC$4="",$B29=""),0,SUMIF('DADOS BRUTOS'!$A$3:$A$500,$B29,'DADOS BRUTOS'!CC$3:CC$500)+IF($C29="",0,SUMIF('DADOS BRUTOS'!$A$3:$A$500,$C29,'DADOS BRUTOS'!CC$3:CC$500)))</f>
        <v/>
      </c>
      <c r="FD29" s="125">
        <f>IF(OR(FD$4="",$B29=""),0,SUMIF('DADOS BRUTOS'!$A$3:$A$500,$B29,'DADOS BRUTOS'!CD$3:CD$500)+IF($C29="",0,SUMIF('DADOS BRUTOS'!$A$3:$A$500,$C29,'DADOS BRUTOS'!CD$3:CD$500)))</f>
        <v/>
      </c>
      <c r="FE29" s="125">
        <f>IF(OR(FE$4="",$B29=""),0,SUMIF('DADOS BRUTOS'!$A$3:$A$500,$B29,'DADOS BRUTOS'!CE$3:CE$500)+IF($C29="",0,SUMIF('DADOS BRUTOS'!$A$3:$A$500,$C29,'DADOS BRUTOS'!CE$3:CE$500)))</f>
        <v/>
      </c>
      <c r="FF29" s="125">
        <f>IF(OR(FF$4="",$B29=""),0,SUMIF('DADOS BRUTOS'!$A$3:$A$500,$B29,'DADOS BRUTOS'!CF$3:CF$500)+IF($C29="",0,SUMIF('DADOS BRUTOS'!$A$3:$A$500,$C29,'DADOS BRUTOS'!CF$3:CF$500)))</f>
        <v/>
      </c>
      <c r="FG29" s="125">
        <f>IF(OR(FG$4="",$B29=""),0,SUMIF('DADOS BRUTOS'!$A$3:$A$500,$B29,'DADOS BRUTOS'!CG$3:CG$500)+IF($C29="",0,SUMIF('DADOS BRUTOS'!$A$3:$A$500,$C29,'DADOS BRUTOS'!CG$3:CG$500)))</f>
        <v/>
      </c>
      <c r="FH29" s="125">
        <f>IF(OR(FH$4="",$B29=""),0,SUMIF('DADOS BRUTOS'!$A$3:$A$500,$B29,'DADOS BRUTOS'!CH$3:CH$500)+IF($C29="",0,SUMIF('DADOS BRUTOS'!$A$3:$A$500,$C29,'DADOS BRUTOS'!CH$3:CH$500)))</f>
        <v/>
      </c>
      <c r="FI29" s="125">
        <f>IF(OR(FI$4="",$B29=""),0,SUMIF('DADOS BRUTOS'!$A$3:$A$500,$B29,'DADOS BRUTOS'!CI$3:CI$500)+IF($C29="",0,SUMIF('DADOS BRUTOS'!$A$3:$A$500,$C29,'DADOS BRUTOS'!CI$3:CI$500)))</f>
        <v/>
      </c>
      <c r="FJ29" s="125">
        <f>IF(OR(FJ$4="",$B29=""),0,SUMIF('DADOS BRUTOS'!$A$3:$A$500,$B29,'DADOS BRUTOS'!CJ$3:CJ$500)+IF($C29="",0,SUMIF('DADOS BRUTOS'!$A$3:$A$500,$C29,'DADOS BRUTOS'!CJ$3:CJ$500)))</f>
        <v/>
      </c>
      <c r="FK29" s="125">
        <f>IF(OR(FK$4="",$B29=""),0,SUMIF('DADOS BRUTOS'!$A$3:$A$500,$B29,'DADOS BRUTOS'!CK$3:CK$500)+IF($C29="",0,SUMIF('DADOS BRUTOS'!$A$3:$A$500,$C29,'DADOS BRUTOS'!CK$3:CK$500)))</f>
        <v/>
      </c>
      <c r="FL29" s="125">
        <f>IF(OR(FL$4="",$B29=""),0,SUMIF('DADOS BRUTOS'!$A$3:$A$500,$B29,'DADOS BRUTOS'!CL$3:CL$500)+IF($C29="",0,SUMIF('DADOS BRUTOS'!$A$3:$A$500,$C29,'DADOS BRUTOS'!CL$3:CL$500)))</f>
        <v/>
      </c>
      <c r="FM29" s="125">
        <f>IF(OR(FM$4="",$B29=""),0,SUMIF('DADOS BRUTOS'!$A$3:$A$500,$B29,'DADOS BRUTOS'!CM$3:CM$500)+IF($C29="",0,SUMIF('DADOS BRUTOS'!$A$3:$A$500,$C29,'DADOS BRUTOS'!CM$3:CM$500)))</f>
        <v/>
      </c>
      <c r="FN29" s="125">
        <f>IF(OR(FN$4="",$B29=""),0,SUMIF('DADOS BRUTOS'!$A$3:$A$500,$B29,'DADOS BRUTOS'!CN$3:CN$500)+IF($C29="",0,SUMIF('DADOS BRUTOS'!$A$3:$A$500,$C29,'DADOS BRUTOS'!CN$3:CN$500)))</f>
        <v/>
      </c>
      <c r="FO29" s="125">
        <f>IF(OR(FO$4="",$B29=""),0,SUMIF('DADOS BRUTOS'!$A$3:$A$500,$B29,'DADOS BRUTOS'!CO$3:CO$500)+IF($C29="",0,SUMIF('DADOS BRUTOS'!$A$3:$A$500,$C29,'DADOS BRUTOS'!CO$3:CO$500)))</f>
        <v/>
      </c>
      <c r="FP29" s="125">
        <f>IF(OR(FP$4="",$B29=""),0,SUMIF('DADOS BRUTOS'!$A$3:$A$500,$B29,'DADOS BRUTOS'!CP$3:CP$500)+IF($C29="",0,SUMIF('DADOS BRUTOS'!$A$3:$A$500,$C29,'DADOS BRUTOS'!CP$3:CP$500)))</f>
        <v/>
      </c>
      <c r="FQ29" s="125">
        <f>IF(OR(FQ$4="",$B29=""),0,SUMIF('DADOS BRUTOS'!$A$3:$A$500,$B29,'DADOS BRUTOS'!CQ$3:CQ$500)+IF($C29="",0,SUMIF('DADOS BRUTOS'!$A$3:$A$500,$C29,'DADOS BRUTOS'!CQ$3:CQ$500)))</f>
        <v/>
      </c>
      <c r="FR29" s="125">
        <f>IF(OR(FR$4="",$B29=""),0,SUMIF('DADOS BRUTOS'!$A$3:$A$500,$B29,'DADOS BRUTOS'!CR$3:CR$500)+IF($C29="",0,SUMIF('DADOS BRUTOS'!$A$3:$A$500,$C29,'DADOS BRUTOS'!CR$3:CR$500)))</f>
        <v/>
      </c>
      <c r="FS29" s="125">
        <f>IF(OR(FS$4="",$B29=""),0,SUMIF('DADOS BRUTOS'!$A$3:$A$500,$B29,'DADOS BRUTOS'!CS$3:CS$500)+IF($C29="",0,SUMIF('DADOS BRUTOS'!$A$3:$A$500,$C29,'DADOS BRUTOS'!CS$3:CS$500)))</f>
        <v/>
      </c>
      <c r="FT29" s="125">
        <f>IF(OR(FT$4="",$B29=""),0,SUMIF('DADOS BRUTOS'!$A$3:$A$500,$B29,'DADOS BRUTOS'!CT$3:CT$500)+IF($C29="",0,SUMIF('DADOS BRUTOS'!$A$3:$A$500,$C29,'DADOS BRUTOS'!CT$3:CT$500)))</f>
        <v/>
      </c>
      <c r="FU29" s="125">
        <f>IF(OR(FU$4="",$B29=""),0,SUMIF('DADOS BRUTOS'!$A$3:$A$500,$B29,'DADOS BRUTOS'!CU$3:CU$500)+IF($C29="",0,SUMIF('DADOS BRUTOS'!$A$3:$A$500,$C29,'DADOS BRUTOS'!CU$3:CU$500)))</f>
        <v/>
      </c>
      <c r="FV29" s="125">
        <f>IF(OR(FV$4="",$B29=""),0,SUMIF('DADOS BRUTOS'!$A$3:$A$500,$B29,'DADOS BRUTOS'!CV$3:CV$500)+IF($C29="",0,SUMIF('DADOS BRUTOS'!$A$3:$A$500,$C29,'DADOS BRUTOS'!CV$3:CV$500)))</f>
        <v/>
      </c>
      <c r="FW29" s="125">
        <f>IF(OR(FW$4="",$B29=""),0,SUMIF('DADOS BRUTOS'!$A$3:$A$500,$B29,'DADOS BRUTOS'!CW$3:CW$500)+IF($C29="",0,SUMIF('DADOS BRUTOS'!$A$3:$A$500,$C29,'DADOS BRUTOS'!CW$3:CW$500)))</f>
        <v/>
      </c>
      <c r="FX29" s="125">
        <f>IF(OR(FX$4="",$B29=""),0,SUMIF('DADOS BRUTOS'!$A$3:$A$500,$B29,'DADOS BRUTOS'!CX$3:CX$500)+IF($C29="",0,SUMIF('DADOS BRUTOS'!$A$3:$A$500,$C29,'DADOS BRUTOS'!CX$3:CX$500)))</f>
        <v/>
      </c>
      <c r="FY29" s="125">
        <f>IF(OR(FY$4="",$B29=""),0,SUMIF('DADOS BRUTOS'!$A$3:$A$500,$B29,'DADOS BRUTOS'!CY$3:CY$500)+IF($C29="",0,SUMIF('DADOS BRUTOS'!$A$3:$A$500,$C29,'DADOS BRUTOS'!CY$3:CY$500)))</f>
        <v/>
      </c>
      <c r="FZ29" s="125">
        <f>IF(OR(FZ$4="",$B29=""),0,SUMIF('DADOS BRUTOS'!$A$3:$A$500,$B29,'DADOS BRUTOS'!CZ$3:CZ$500)+IF($C29="",0,SUMIF('DADOS BRUTOS'!$A$3:$A$500,$C29,'DADOS BRUTOS'!CZ$3:CZ$500)))</f>
        <v/>
      </c>
      <c r="GA29" s="125">
        <f>IF(OR(GA$4="",$B29=""),0,SUMIF('DADOS BRUTOS'!$A$3:$A$500,$B29,'DADOS BRUTOS'!DA$3:DA$500)+IF($C29="",0,SUMIF('DADOS BRUTOS'!$A$3:$A$500,$C29,'DADOS BRUTOS'!DA$3:DA$500)))</f>
        <v/>
      </c>
      <c r="GB29" s="125">
        <f>IF(OR(GB$4="",$B29=""),0,SUMIF('DADOS BRUTOS'!$A$3:$A$500,$B29,'DADOS BRUTOS'!DB$3:DB$500)+IF($C29="",0,SUMIF('DADOS BRUTOS'!$A$3:$A$500,$C29,'DADOS BRUTOS'!DB$3:DB$500)))</f>
        <v/>
      </c>
      <c r="GC29" s="125">
        <f>IF(OR(GC$4="",$B29=""),0,SUMIF('DADOS BRUTOS'!$A$3:$A$500,$B29,'DADOS BRUTOS'!DC$3:DC$500)+IF($C29="",0,SUMIF('DADOS BRUTOS'!$A$3:$A$500,$C29,'DADOS BRUTOS'!DC$3:DC$500)))</f>
        <v/>
      </c>
      <c r="GD29" s="125">
        <f>IF(OR(GD$4="",$B29=""),0,SUMIF('DADOS BRUTOS'!$A$3:$A$500,$B29,'DADOS BRUTOS'!DD$3:DD$500)+IF($C29="",0,SUMIF('DADOS BRUTOS'!$A$3:$A$500,$C29,'DADOS BRUTOS'!DD$3:DD$500)))</f>
        <v/>
      </c>
      <c r="GE29" s="125">
        <f>IF(OR(GE$4="",$B29=""),0,SUMIF('DADOS BRUTOS'!$A$3:$A$500,$B29,'DADOS BRUTOS'!DE$3:DE$500)+IF($C29="",0,SUMIF('DADOS BRUTOS'!$A$3:$A$500,$C29,'DADOS BRUTOS'!DE$3:DE$500)))</f>
        <v/>
      </c>
      <c r="GF29" s="125">
        <f>IF(OR(GF$4="",$B29=""),0,SUMIF('DADOS BRUTOS'!$A$3:$A$500,$B29,'DADOS BRUTOS'!DF$3:DF$500)+IF($C29="",0,SUMIF('DADOS BRUTOS'!$A$3:$A$500,$C29,'DADOS BRUTOS'!DF$3:DF$500)))</f>
        <v/>
      </c>
      <c r="GG29" s="125">
        <f>IF(OR(GG$4="",$B29=""),0,SUMIF('DADOS BRUTOS'!$A$3:$A$500,$B29,'DADOS BRUTOS'!DG$3:DG$500)+IF($C29="",0,SUMIF('DADOS BRUTOS'!$A$3:$A$500,$C29,'DADOS BRUTOS'!DG$3:DG$500)))</f>
        <v/>
      </c>
      <c r="GH29" s="125">
        <f>IF(OR(GH$4="",$B29=""),0,SUMIF('DADOS BRUTOS'!$A$3:$A$500,$B29,'DADOS BRUTOS'!DH$3:DH$500)+IF($C29="",0,SUMIF('DADOS BRUTOS'!$A$3:$A$500,$C29,'DADOS BRUTOS'!DH$3:DH$500)))</f>
        <v/>
      </c>
      <c r="GI29" s="125">
        <f>IF(OR(GI$4="",$B29=""),0,SUMIF('DADOS BRUTOS'!$A$3:$A$500,$B29,'DADOS BRUTOS'!DI$3:DI$500)+IF($C29="",0,SUMIF('DADOS BRUTOS'!$A$3:$A$500,$C29,'DADOS BRUTOS'!DI$3:DI$500)))</f>
        <v/>
      </c>
      <c r="GJ29" s="125">
        <f>IF(OR(GJ$4="",$B29=""),0,SUMIF('DADOS BRUTOS'!$A$3:$A$500,$B29,'DADOS BRUTOS'!DJ$3:DJ$500)+IF($C29="",0,SUMIF('DADOS BRUTOS'!$A$3:$A$500,$C29,'DADOS BRUTOS'!DJ$3:DJ$500)))</f>
        <v/>
      </c>
      <c r="GK29" s="125">
        <f>IF(OR(GK$4="",$B29=""),0,SUMIF('DADOS BRUTOS'!$A$3:$A$500,$B29,'DADOS BRUTOS'!DK$3:DK$500)+IF($C29="",0,SUMIF('DADOS BRUTOS'!$A$3:$A$500,$C29,'DADOS BRUTOS'!DK$3:DK$500)))</f>
        <v/>
      </c>
      <c r="GL29" s="125">
        <f>IF(OR(GL$4="",$B29=""),0,SUMIF('DADOS BRUTOS'!$A$3:$A$500,$B29,'DADOS BRUTOS'!DL$3:DL$500)+IF($C29="",0,SUMIF('DADOS BRUTOS'!$A$3:$A$500,$C29,'DADOS BRUTOS'!DL$3:DL$500)))</f>
        <v/>
      </c>
      <c r="GM29" s="125">
        <f>IF(OR(GM$4="",$B29=""),0,SUMIF('DADOS BRUTOS'!$A$3:$A$500,$B29,'DADOS BRUTOS'!DM$3:DM$500)+IF($C29="",0,SUMIF('DADOS BRUTOS'!$A$3:$A$500,$C29,'DADOS BRUTOS'!DM$3:DM$500)))</f>
        <v/>
      </c>
      <c r="GN29" s="125">
        <f>IF(OR(GN$4="",$B29=""),0,SUMIF('DADOS BRUTOS'!$A$3:$A$500,$B29,'DADOS BRUTOS'!DN$3:DN$500)+IF($C29="",0,SUMIF('DADOS BRUTOS'!$A$3:$A$500,$C29,'DADOS BRUTOS'!DN$3:DN$500)))</f>
        <v/>
      </c>
      <c r="GO29" s="125">
        <f>IF(OR(GO$4="",$B29=""),0,SUMIF('DADOS BRUTOS'!$A$3:$A$500,$B29,'DADOS BRUTOS'!DO$3:DO$500)+IF($C29="",0,SUMIF('DADOS BRUTOS'!$A$3:$A$500,$C29,'DADOS BRUTOS'!DO$3:DO$500)))</f>
        <v/>
      </c>
      <c r="GP29" s="125">
        <f>IF(OR(GP$4="",$B29=""),0,SUMIF('DADOS BRUTOS'!$A$3:$A$500,$B29,'DADOS BRUTOS'!DP$3:DP$500)+IF($C29="",0,SUMIF('DADOS BRUTOS'!$A$3:$A$500,$C29,'DADOS BRUTOS'!DP$3:DP$500)))</f>
        <v/>
      </c>
      <c r="GQ29" s="125">
        <f>IF(OR(GQ$4="",$B29=""),0,SUMIF('DADOS BRUTOS'!$A$3:$A$500,$B29,'DADOS BRUTOS'!DQ$3:DQ$500)+IF($C29="",0,SUMIF('DADOS BRUTOS'!$A$3:$A$500,$C29,'DADOS BRUTOS'!DQ$3:DQ$500)))</f>
        <v/>
      </c>
      <c r="GR29" s="125">
        <f>IF(OR(GR$4="",$B29=""),0,SUMIF('DADOS BRUTOS'!$A$3:$A$500,$B29,'DADOS BRUTOS'!DR$3:DR$500)+IF($C29="",0,SUMIF('DADOS BRUTOS'!$A$3:$A$500,$C29,'DADOS BRUTOS'!DR$3:DR$500)))</f>
        <v/>
      </c>
      <c r="GS29" s="125">
        <f>IF(OR(GS$4="",$B29=""),0,SUMIF('DADOS BRUTOS'!$A$3:$A$500,$B29,'DADOS BRUTOS'!DS$3:DS$500)+IF($C29="",0,SUMIF('DADOS BRUTOS'!$A$3:$A$500,$C29,'DADOS BRUTOS'!DS$3:DS$500)))</f>
        <v/>
      </c>
      <c r="GT29" s="125">
        <f>IF(OR(GT$4="",$B29=""),0,SUMIF('DADOS BRUTOS'!$A$3:$A$500,$B29,'DADOS BRUTOS'!DT$3:DT$500)+IF($C29="",0,SUMIF('DADOS BRUTOS'!$A$3:$A$500,$C29,'DADOS BRUTOS'!DT$3:DT$500)))</f>
        <v/>
      </c>
      <c r="GU29" s="125">
        <f>IF(OR(GU$4="",$B29=""),0,SUMIF('DADOS BRUTOS'!$A$3:$A$500,$B29,'DADOS BRUTOS'!DU$3:DU$500)+IF($C29="",0,SUMIF('DADOS BRUTOS'!$A$3:$A$500,$C29,'DADOS BRUTOS'!DU$3:DU$500)))</f>
        <v/>
      </c>
      <c r="GV29" s="125">
        <f>IF(OR(GV$4="",$B29=""),0,SUMIF('DADOS BRUTOS'!$A$3:$A$500,$B29,'DADOS BRUTOS'!DV$3:DV$500)+IF($C29="",0,SUMIF('DADOS BRUTOS'!$A$3:$A$500,$C29,'DADOS BRUTOS'!DV$3:DV$500)))</f>
        <v/>
      </c>
      <c r="GW29" s="125">
        <f>IF(OR(GW$4="",$B29=""),0,SUMIF('DADOS BRUTOS'!$A$3:$A$500,$B29,'DADOS BRUTOS'!DW$3:DW$500)+IF($C29="",0,SUMIF('DADOS BRUTOS'!$A$3:$A$500,$C29,'DADOS BRUTOS'!DW$3:DW$500)))</f>
        <v/>
      </c>
      <c r="GX29" s="125">
        <f>IF(OR(GX$4="",$B29=""),0,SUMIF('DADOS BRUTOS'!$A$3:$A$500,$B29,'DADOS BRUTOS'!DX$3:DX$500)+IF($C29="",0,SUMIF('DADOS BRUTOS'!$A$3:$A$500,$C29,'DADOS BRUTOS'!DX$3:DX$500)))</f>
        <v/>
      </c>
      <c r="GY29" s="125">
        <f>IF(OR(GY$4="",$B29=""),0,SUMIF('DADOS BRUTOS'!$A$3:$A$500,$B29,'DADOS BRUTOS'!DY$3:DY$500)+IF($C29="",0,SUMIF('DADOS BRUTOS'!$A$3:$A$500,$C29,'DADOS BRUTOS'!DY$3:DY$500)))</f>
        <v/>
      </c>
      <c r="GZ29" s="125">
        <f>IF(OR(GZ$4="",$B29=""),0,SUMIF('DADOS BRUTOS'!$A$3:$A$500,$B29,'DADOS BRUTOS'!DZ$3:DZ$500)+IF($C29="",0,SUMIF('DADOS BRUTOS'!$A$3:$A$500,$C29,'DADOS BRUTOS'!DZ$3:DZ$500)))</f>
        <v/>
      </c>
      <c r="HA29" s="125">
        <f>IF(OR(HA$4="",$B29=""),0,SUMIF('DADOS BRUTOS'!$A$3:$A$500,$B29,'DADOS BRUTOS'!EA$3:EA$500)+IF($C29="",0,SUMIF('DADOS BRUTOS'!$A$3:$A$500,$C29,'DADOS BRUTOS'!EA$3:EA$500)))</f>
        <v/>
      </c>
      <c r="HB29" s="125">
        <f>IF(OR(HB$4="",$B29=""),0,SUMIF('DADOS BRUTOS'!$A$3:$A$500,$B29,'DADOS BRUTOS'!EB$3:EB$500)+IF($C29="",0,SUMIF('DADOS BRUTOS'!$A$3:$A$500,$C29,'DADOS BRUTOS'!EB$3:EB$500)))</f>
        <v/>
      </c>
      <c r="HC29" s="125">
        <f>IF(OR(HC$4="",$B29=""),0,SUMIF('DADOS BRUTOS'!$A$3:$A$500,$B29,'DADOS BRUTOS'!EC$3:EC$500)+IF($C29="",0,SUMIF('DADOS BRUTOS'!$A$3:$A$500,$C29,'DADOS BRUTOS'!EC$3:EC$500)))</f>
        <v/>
      </c>
      <c r="HD29" s="125">
        <f>IF(OR(HD$4="",$B29=""),0,SUMIF('DADOS BRUTOS'!$A$3:$A$500,$B29,'DADOS BRUTOS'!ED$3:ED$500)+IF($C29="",0,SUMIF('DADOS BRUTOS'!$A$3:$A$500,$C29,'DADOS BRUTOS'!ED$3:ED$500)))</f>
        <v/>
      </c>
      <c r="HE29" s="125">
        <f>IF(OR(HE$4="",$B29=""),0,SUMIF('DADOS BRUTOS'!$A$3:$A$500,$B29,'DADOS BRUTOS'!EE$3:EE$500)+IF($C29="",0,SUMIF('DADOS BRUTOS'!$A$3:$A$500,$C29,'DADOS BRUTOS'!EE$3:EE$500)))</f>
        <v/>
      </c>
      <c r="HF29" s="125">
        <f>IF(OR(HF$4="",$B29=""),0,SUMIF('DADOS BRUTOS'!$A$3:$A$500,$B29,'DADOS BRUTOS'!EF$3:EF$500)+IF($C29="",0,SUMIF('DADOS BRUTOS'!$A$3:$A$500,$C29,'DADOS BRUTOS'!EF$3:EF$500)))</f>
        <v/>
      </c>
      <c r="HG29" s="125">
        <f>IF(OR(HG$4="",$B29=""),0,SUMIF('DADOS BRUTOS'!$A$3:$A$500,$B29,'DADOS BRUTOS'!EG$3:EG$500)+IF($C29="",0,SUMIF('DADOS BRUTOS'!$A$3:$A$500,$C29,'DADOS BRUTOS'!EG$3:EG$500)))</f>
        <v/>
      </c>
      <c r="HH29" s="125">
        <f>IF(OR(HH$4="",$B29=""),0,SUMIF('DADOS BRUTOS'!$A$3:$A$500,$B29,'DADOS BRUTOS'!EH$3:EH$500)+IF($C29="",0,SUMIF('DADOS BRUTOS'!$A$3:$A$500,$C29,'DADOS BRUTOS'!EH$3:EH$500)))</f>
        <v/>
      </c>
      <c r="HI29" s="125">
        <f>IF(OR(HI$4="",$B29=""),0,SUMIF('DADOS BRUTOS'!$A$3:$A$500,$B29,'DADOS BRUTOS'!EI$3:EI$500)+IF($C29="",0,SUMIF('DADOS BRUTOS'!$A$3:$A$500,$C29,'DADOS BRUTOS'!EI$3:EI$500)))</f>
        <v/>
      </c>
      <c r="HJ29" s="125">
        <f>IF(OR(HJ$4="",$B29=""),0,SUMIF('DADOS BRUTOS'!$A$3:$A$500,$B29,'DADOS BRUTOS'!EJ$3:EJ$500)+IF($C29="",0,SUMIF('DADOS BRUTOS'!$A$3:$A$500,$C29,'DADOS BRUTOS'!EJ$3:EJ$500)))</f>
        <v/>
      </c>
      <c r="HK29" s="125">
        <f>IF(OR(HK$4="",$B29=""),0,SUMIF('DADOS BRUTOS'!$A$3:$A$500,$B29,'DADOS BRUTOS'!EK$3:EK$500)+IF($C29="",0,SUMIF('DADOS BRUTOS'!$A$3:$A$500,$C29,'DADOS BRUTOS'!EK$3:EK$500)))</f>
        <v/>
      </c>
      <c r="HL29" s="125">
        <f>IF(OR(HL$4="",$B29=""),0,SUMIF('DADOS BRUTOS'!$A$3:$A$500,$B29,'DADOS BRUTOS'!EL$3:EL$500)+IF($C29="",0,SUMIF('DADOS BRUTOS'!$A$3:$A$500,$C29,'DADOS BRUTOS'!EL$3:EL$500)))</f>
        <v/>
      </c>
      <c r="HM29" s="125">
        <f>IF(OR(HM$4="",$B29=""),0,SUMIF('DADOS BRUTOS'!$A$3:$A$500,$B29,'DADOS BRUTOS'!EM$3:EM$500)+IF($C29="",0,SUMIF('DADOS BRUTOS'!$A$3:$A$500,$C29,'DADOS BRUTOS'!EM$3:EM$500)))</f>
        <v/>
      </c>
      <c r="HN29" s="125">
        <f>IF(OR(HN$4="",$B29=""),0,SUMIF('DADOS BRUTOS'!$A$3:$A$500,$B29,'DADOS BRUTOS'!EN$3:EN$500)+IF($C29="",0,SUMIF('DADOS BRUTOS'!$A$3:$A$500,$C29,'DADOS BRUTOS'!EN$3:EN$500)))</f>
        <v/>
      </c>
      <c r="HO29" s="125">
        <f>IF(OR(HO$4="",$B29=""),0,SUMIF('DADOS BRUTOS'!$A$3:$A$500,$B29,'DADOS BRUTOS'!EO$3:EO$500)+IF($C29="",0,SUMIF('DADOS BRUTOS'!$A$3:$A$500,$C29,'DADOS BRUTOS'!EO$3:EO$500)))</f>
        <v/>
      </c>
      <c r="HP29" s="125">
        <f>IF(OR(HP$4="",$B29=""),0,SUMIF('DADOS BRUTOS'!$A$3:$A$500,$B29,'DADOS BRUTOS'!EP$3:EP$500)+IF($C29="",0,SUMIF('DADOS BRUTOS'!$A$3:$A$500,$C29,'DADOS BRUTOS'!EP$3:EP$500)))</f>
        <v/>
      </c>
      <c r="HQ29" s="125">
        <f>IF(OR(HQ$4="",$B29=""),0,SUMIF('DADOS BRUTOS'!$A$3:$A$500,$B29,'DADOS BRUTOS'!EQ$3:EQ$500)+IF($C29="",0,SUMIF('DADOS BRUTOS'!$A$3:$A$500,$C29,'DADOS BRUTOS'!EQ$3:EQ$500)))</f>
        <v/>
      </c>
      <c r="HR29" s="125">
        <f>IF(OR(HR$4="",$B29=""),0,SUMIF('DADOS BRUTOS'!$A$3:$A$500,$B29,'DADOS BRUTOS'!ER$3:ER$500)+IF($C29="",0,SUMIF('DADOS BRUTOS'!$A$3:$A$500,$C29,'DADOS BRUTOS'!ER$3:ER$500)))</f>
        <v/>
      </c>
      <c r="HS29" s="125">
        <f>IF(OR(HS$4="",$B29=""),0,SUMIF('DADOS BRUTOS'!$A$3:$A$500,$B29,'DADOS BRUTOS'!ES$3:ES$500)+IF($C29="",0,SUMIF('DADOS BRUTOS'!$A$3:$A$500,$C29,'DADOS BRUTOS'!ES$3:ES$500)))</f>
        <v/>
      </c>
      <c r="HT29" s="125">
        <f>IF(OR(HT$4="",$B29=""),0,SUMIF('DADOS BRUTOS'!$A$3:$A$500,$B29,'DADOS BRUTOS'!ET$3:ET$500)+IF($C29="",0,SUMIF('DADOS BRUTOS'!$A$3:$A$500,$C29,'DADOS BRUTOS'!ET$3:ET$500)))</f>
        <v/>
      </c>
      <c r="HU29" s="125">
        <f>IF(OR(HU$4="",$B29=""),0,SUMIF('DADOS BRUTOS'!$A$3:$A$500,$B29,'DADOS BRUTOS'!EU$3:EU$500)+IF($C29="",0,SUMIF('DADOS BRUTOS'!$A$3:$A$500,$C29,'DADOS BRUTOS'!EU$3:EU$500)))</f>
        <v/>
      </c>
      <c r="HV29" s="125">
        <f>IF(OR(HV$4="",$B29=""),0,SUMIF('DADOS BRUTOS'!$A$3:$A$500,$B29,'DADOS BRUTOS'!EV$3:EV$500)+IF($C29="",0,SUMIF('DADOS BRUTOS'!$A$3:$A$500,$C29,'DADOS BRUTOS'!EV$3:EV$500)))</f>
        <v/>
      </c>
      <c r="HW29" s="125">
        <f>IF(OR(HW$4="",$B29=""),0,SUMIF('DADOS BRUTOS'!$A$3:$A$500,$B29,'DADOS BRUTOS'!EW$3:EW$500)+IF($C29="",0,SUMIF('DADOS BRUTOS'!$A$3:$A$500,$C29,'DADOS BRUTOS'!EW$3:EW$500)))</f>
        <v/>
      </c>
      <c r="HX29" s="125">
        <f>IF(OR(HX$4="",$B29=""),0,SUMIF('DADOS BRUTOS'!$A$3:$A$500,$B29,'DADOS BRUTOS'!EX$3:EX$500)+IF($C29="",0,SUMIF('DADOS BRUTOS'!$A$3:$A$500,$C29,'DADOS BRUTOS'!EX$3:EX$500)))</f>
        <v/>
      </c>
      <c r="HY29" s="125">
        <f>IF(OR(HY$4="",$B29=""),0,SUMIF('DADOS BRUTOS'!$A$3:$A$500,$B29,'DADOS BRUTOS'!EY$3:EY$500)+IF($C29="",0,SUMIF('DADOS BRUTOS'!$A$3:$A$500,$C29,'DADOS BRUTOS'!EY$3:EY$500)))</f>
        <v/>
      </c>
      <c r="HZ29" s="125">
        <f>IF(OR(HZ$4="",$B29=""),0,SUMIF('DADOS BRUTOS'!$A$3:$A$500,$B29,'DADOS BRUTOS'!EZ$3:EZ$500)+IF($C29="",0,SUMIF('DADOS BRUTOS'!$A$3:$A$500,$C29,'DADOS BRUTOS'!EZ$3:EZ$500)))</f>
        <v/>
      </c>
      <c r="IA29" s="125">
        <f>IF(OR(IA$4="",$B29=""),0,SUMIF('DADOS BRUTOS'!$A$3:$A$500,$B29,'DADOS BRUTOS'!FA$3:FA$500)+IF($C29="",0,SUMIF('DADOS BRUTOS'!$A$3:$A$500,$C29,'DADOS BRUTOS'!FA$3:FA$500)))</f>
        <v/>
      </c>
      <c r="IB29" s="125">
        <f>IF(OR(IB$4="",$B29=""),0,SUMIF('DADOS BRUTOS'!$A$3:$A$500,$B29,'DADOS BRUTOS'!FB$3:FB$500)+IF($C29="",0,SUMIF('DADOS BRUTOS'!$A$3:$A$500,$C29,'DADOS BRUTOS'!FB$3:FB$500)))</f>
        <v/>
      </c>
      <c r="IC29" s="125">
        <f>IF(OR(IC$4="",$B29=""),0,SUMIF('DADOS BRUTOS'!$A$3:$A$500,$B29,'DADOS BRUTOS'!FC$3:FC$500)+IF($C29="",0,SUMIF('DADOS BRUTOS'!$A$3:$A$500,$C29,'DADOS BRUTOS'!FC$3:FC$500)))</f>
        <v/>
      </c>
      <c r="ID29" s="125">
        <f>IF(OR(ID$4="",$B29=""),0,SUMIF('DADOS BRUTOS'!$A$3:$A$500,$B29,'DADOS BRUTOS'!FD$3:FD$500)+IF($C29="",0,SUMIF('DADOS BRUTOS'!$A$3:$A$500,$C29,'DADOS BRUTOS'!FD$3:FD$500)))</f>
        <v/>
      </c>
      <c r="IE29" s="125">
        <f>IF(OR(IE$4="",$B29=""),0,SUMIF('DADOS BRUTOS'!$A$3:$A$500,$B29,'DADOS BRUTOS'!FE$3:FE$500)+IF($C29="",0,SUMIF('DADOS BRUTOS'!$A$3:$A$500,$C29,'DADOS BRUTOS'!FE$3:FE$500)))</f>
        <v/>
      </c>
      <c r="IF29" s="125">
        <f>IF(OR(IF$4="",$B29=""),0,SUMIF('DADOS BRUTOS'!$A$3:$A$500,$B29,'DADOS BRUTOS'!FF$3:FF$500)+IF($C29="",0,SUMIF('DADOS BRUTOS'!$A$3:$A$500,$C29,'DADOS BRUTOS'!FF$3:FF$500)))</f>
        <v/>
      </c>
      <c r="IG29" s="125">
        <f>IF(OR(IG$4="",$B29=""),0,SUMIF('DADOS BRUTOS'!$A$3:$A$500,$B29,'DADOS BRUTOS'!FG$3:FG$500)+IF($C29="",0,SUMIF('DADOS BRUTOS'!$A$3:$A$500,$C29,'DADOS BRUTOS'!FG$3:FG$500)))</f>
        <v/>
      </c>
      <c r="IH29" s="125">
        <f>IF(OR(IH$4="",$B29=""),0,SUMIF('DADOS BRUTOS'!$A$3:$A$500,$B29,'DADOS BRUTOS'!FH$3:FH$500)+IF($C29="",0,SUMIF('DADOS BRUTOS'!$A$3:$A$500,$C29,'DADOS BRUTOS'!FH$3:FH$500)))</f>
        <v/>
      </c>
      <c r="II29" s="125">
        <f>IF(OR(II$4="",$B29=""),0,SUMIF('DADOS BRUTOS'!$A$3:$A$500,$B29,'DADOS BRUTOS'!FI$3:FI$500)+IF($C29="",0,SUMIF('DADOS BRUTOS'!$A$3:$A$500,$C29,'DADOS BRUTOS'!FI$3:FI$500)))</f>
        <v/>
      </c>
      <c r="IJ29" s="125">
        <f>IF(OR(IJ$4="",$B29=""),0,SUMIF('DADOS BRUTOS'!$A$3:$A$500,$B29,'DADOS BRUTOS'!FJ$3:FJ$500)+IF($C29="",0,SUMIF('DADOS BRUTOS'!$A$3:$A$500,$C29,'DADOS BRUTOS'!FJ$3:FJ$500)))</f>
        <v/>
      </c>
      <c r="IK29" s="125">
        <f>IF(OR(IK$4="",$B29=""),0,SUMIF('DADOS BRUTOS'!$A$3:$A$500,$B29,'DADOS BRUTOS'!FK$3:FK$500)+IF($C29="",0,SUMIF('DADOS BRUTOS'!$A$3:$A$500,$C29,'DADOS BRUTOS'!FK$3:FK$500)))</f>
        <v/>
      </c>
      <c r="IL29" s="125">
        <f>IF(OR(IL$4="",$B29=""),0,SUMIF('DADOS BRUTOS'!$A$3:$A$500,$B29,'DADOS BRUTOS'!FL$3:FL$500)+IF($C29="",0,SUMIF('DADOS BRUTOS'!$A$3:$A$500,$C29,'DADOS BRUTOS'!FL$3:FL$500)))</f>
        <v/>
      </c>
      <c r="IM29" s="125">
        <f>IF(OR(IM$4="",$B29=""),0,SUMIF('DADOS BRUTOS'!$A$3:$A$500,$B29,'DADOS BRUTOS'!FM$3:FM$500)+IF($C29="",0,SUMIF('DADOS BRUTOS'!$A$3:$A$500,$C29,'DADOS BRUTOS'!FM$3:FM$500)))</f>
        <v/>
      </c>
      <c r="IN29" s="125">
        <f>IF(OR(IN$4="",$B29=""),0,SUMIF('DADOS BRUTOS'!$A$3:$A$500,$B29,'DADOS BRUTOS'!FN$3:FN$500)+IF($C29="",0,SUMIF('DADOS BRUTOS'!$A$3:$A$500,$C29,'DADOS BRUTOS'!FN$3:FN$500)))</f>
        <v/>
      </c>
      <c r="IO29" s="125">
        <f>IF(OR(IO$4="",$B29=""),0,SUMIF('DADOS BRUTOS'!$A$3:$A$500,$B29,'DADOS BRUTOS'!FO$3:FO$500)+IF($C29="",0,SUMIF('DADOS BRUTOS'!$A$3:$A$500,$C29,'DADOS BRUTOS'!FO$3:FO$500)))</f>
        <v/>
      </c>
      <c r="IP29" s="125">
        <f>IF(OR(IP$4="",$B29=""),0,SUMIF('DADOS BRUTOS'!$A$3:$A$500,$B29,'DADOS BRUTOS'!FP$3:FP$500)+IF($C29="",0,SUMIF('DADOS BRUTOS'!$A$3:$A$500,$C29,'DADOS BRUTOS'!FP$3:FP$500)))</f>
        <v/>
      </c>
      <c r="IQ29" s="125">
        <f>IF(OR(IQ$4="",$B29=""),0,SUMIF('DADOS BRUTOS'!$A$3:$A$500,$B29,'DADOS BRUTOS'!FQ$3:FQ$500)+IF($C29="",0,SUMIF('DADOS BRUTOS'!$A$3:$A$500,$C29,'DADOS BRUTOS'!FQ$3:FQ$500)))</f>
        <v/>
      </c>
      <c r="IR29" s="125">
        <f>IF(OR(IR$4="",$B29=""),0,SUMIF('DADOS BRUTOS'!$A$3:$A$500,$B29,'DADOS BRUTOS'!FR$3:FR$500)+IF($C29="",0,SUMIF('DADOS BRUTOS'!$A$3:$A$500,$C29,'DADOS BRUTOS'!FR$3:FR$500)))</f>
        <v/>
      </c>
      <c r="IS29" s="125">
        <f>IF(OR(IS$4="",$B29=""),0,SUMIF('DADOS BRUTOS'!$A$3:$A$500,$B29,'DADOS BRUTOS'!FS$3:FS$500)+IF($C29="",0,SUMIF('DADOS BRUTOS'!$A$3:$A$500,$C29,'DADOS BRUTOS'!FS$3:FS$500)))</f>
        <v/>
      </c>
      <c r="IT29" s="125">
        <f>IF(OR(IT$4="",$B29=""),0,SUMIF('DADOS BRUTOS'!$A$3:$A$500,$B29,'DADOS BRUTOS'!FT$3:FT$500)+IF($C29="",0,SUMIF('DADOS BRUTOS'!$A$3:$A$500,$C29,'DADOS BRUTOS'!FT$3:FT$500)))</f>
        <v/>
      </c>
      <c r="IU29" s="125">
        <f>IF(OR(IU$4="",$B29=""),0,SUMIF('DADOS BRUTOS'!$A$3:$A$500,$B29,'DADOS BRUTOS'!FU$3:FU$500)+IF($C29="",0,SUMIF('DADOS BRUTOS'!$A$3:$A$500,$C29,'DADOS BRUTOS'!FU$3:FU$500)))</f>
        <v/>
      </c>
      <c r="IV29" s="125">
        <f>IF(OR(IV$4="",$B29=""),0,SUMIF('DADOS BRUTOS'!$A$3:$A$500,$B29,'DADOS BRUTOS'!FV$3:FV$500)+IF($C29="",0,SUMIF('DADOS BRUTOS'!$A$3:$A$500,$C29,'DADOS BRUTOS'!FV$3:FV$500)))</f>
        <v/>
      </c>
      <c r="IW29" s="125">
        <f>IF(OR(IW$4="",$B29=""),0,SUMIF('DADOS BRUTOS'!$A$3:$A$500,$B29,'DADOS BRUTOS'!FW$3:FW$500)+IF($C29="",0,SUMIF('DADOS BRUTOS'!$A$3:$A$500,$C29,'DADOS BRUTOS'!FW$3:FW$500)))</f>
        <v/>
      </c>
      <c r="IX29" s="125">
        <f>IF(OR(IX$4="",$B29=""),0,SUMIF('DADOS BRUTOS'!$A$3:$A$500,$B29,'DADOS BRUTOS'!FX$3:FX$500)+IF($C29="",0,SUMIF('DADOS BRUTOS'!$A$3:$A$500,$C29,'DADOS BRUTOS'!FX$3:FX$500)))</f>
        <v/>
      </c>
      <c r="IY29" s="125">
        <f>IF(OR(IY$4="",$B29=""),0,SUMIF('DADOS BRUTOS'!$A$3:$A$500,$B29,'DADOS BRUTOS'!FY$3:FY$500)+IF($C29="",0,SUMIF('DADOS BRUTOS'!$A$3:$A$500,$C29,'DADOS BRUTOS'!FY$3:FY$500)))</f>
        <v/>
      </c>
      <c r="IZ29" s="125">
        <f>IF(OR(IZ$4="",$B29=""),0,SUMIF('DADOS BRUTOS'!$A$3:$A$500,$B29,'DADOS BRUTOS'!FZ$3:FZ$500)+IF($C29="",0,SUMIF('DADOS BRUTOS'!$A$3:$A$500,$C29,'DADOS BRUTOS'!FZ$3:FZ$500)))</f>
        <v/>
      </c>
      <c r="JA29" s="125">
        <f>IF(OR(JA$4="",$B29=""),0,SUMIF('DADOS BRUTOS'!$A$3:$A$500,$B29,'DADOS BRUTOS'!GA$3:GA$500)+IF($C29="",0,SUMIF('DADOS BRUTOS'!$A$3:$A$500,$C29,'DADOS BRUTOS'!GA$3:GA$500)))</f>
        <v/>
      </c>
      <c r="JB29" s="125">
        <f>IF(OR(JB$4="",$B29=""),0,SUMIF('DADOS BRUTOS'!$A$3:$A$500,$B29,'DADOS BRUTOS'!GB$3:GB$500)+IF($C29="",0,SUMIF('DADOS BRUTOS'!$A$3:$A$500,$C29,'DADOS BRUTOS'!GB$3:GB$500)))</f>
        <v/>
      </c>
      <c r="JC29" s="125">
        <f>IF(OR(JC$4="",$B29=""),0,SUMIF('DADOS BRUTOS'!$A$3:$A$500,$B29,'DADOS BRUTOS'!GC$3:GC$500)+IF($C29="",0,SUMIF('DADOS BRUTOS'!$A$3:$A$500,$C29,'DADOS BRUTOS'!GC$3:GC$500)))</f>
        <v/>
      </c>
      <c r="JD29" s="125">
        <f>IF(OR(JD$4="",$B29=""),0,SUMIF('DADOS BRUTOS'!$A$3:$A$500,$B29,'DADOS BRUTOS'!GD$3:GD$500)+IF($C29="",0,SUMIF('DADOS BRUTOS'!$A$3:$A$500,$C29,'DADOS BRUTOS'!GD$3:GD$500)))</f>
        <v/>
      </c>
      <c r="JE29" s="125">
        <f>IF(OR(JE$4="",$B29=""),0,SUMIF('DADOS BRUTOS'!$A$3:$A$500,$B29,'DADOS BRUTOS'!GE$3:GE$500)+IF($C29="",0,SUMIF('DADOS BRUTOS'!$A$3:$A$500,$C29,'DADOS BRUTOS'!GE$3:GE$500)))</f>
        <v/>
      </c>
      <c r="JF29" s="125">
        <f>IF(OR(JF$4="",$B29=""),0,SUMIF('DADOS BRUTOS'!$A$3:$A$500,$B29,'DADOS BRUTOS'!GF$3:GF$500)+IF($C29="",0,SUMIF('DADOS BRUTOS'!$A$3:$A$500,$C29,'DADOS BRUTOS'!GF$3:GF$500)))</f>
        <v/>
      </c>
      <c r="JG29" s="125">
        <f>IF(OR(JG$4="",$B29=""),0,SUMIF('DADOS BRUTOS'!$A$3:$A$500,$B29,'DADOS BRUTOS'!GG$3:GG$500)+IF($C29="",0,SUMIF('DADOS BRUTOS'!$A$3:$A$500,$C29,'DADOS BRUTOS'!GG$3:GG$500)))</f>
        <v/>
      </c>
      <c r="JH29" s="125">
        <f>IF(OR(JH$4="",$B29=""),0,SUMIF('DADOS BRUTOS'!$A$3:$A$500,$B29,'DADOS BRUTOS'!GH$3:GH$500)+IF($C29="",0,SUMIF('DADOS BRUTOS'!$A$3:$A$500,$C29,'DADOS BRUTOS'!GH$3:GH$500)))</f>
        <v/>
      </c>
      <c r="JI29" s="125">
        <f>IF(OR(JI$4="",$B29=""),0,SUMIF('DADOS BRUTOS'!$A$3:$A$500,$B29,'DADOS BRUTOS'!GI$3:GI$500)+IF($C29="",0,SUMIF('DADOS BRUTOS'!$A$3:$A$500,$C29,'DADOS BRUTOS'!GI$3:GI$500)))</f>
        <v/>
      </c>
      <c r="JJ29" s="125">
        <f>IF(OR(JJ$4="",$B29=""),0,SUMIF('DADOS BRUTOS'!$A$3:$A$500,$B29,'DADOS BRUTOS'!GJ$3:GJ$500)+IF($C29="",0,SUMIF('DADOS BRUTOS'!$A$3:$A$500,$C29,'DADOS BRUTOS'!GJ$3:GJ$500)))</f>
        <v/>
      </c>
      <c r="JK29" s="125">
        <f>IF(OR(JK$4="",$B29=""),0,SUMIF('DADOS BRUTOS'!$A$3:$A$500,$B29,'DADOS BRUTOS'!GK$3:GK$500)+IF($C29="",0,SUMIF('DADOS BRUTOS'!$A$3:$A$500,$C29,'DADOS BRUTOS'!GK$3:GK$500)))</f>
        <v/>
      </c>
      <c r="JL29" s="125">
        <f>IF(OR(JL$4="",$B29=""),0,SUMIF('DADOS BRUTOS'!$A$3:$A$500,$B29,'DADOS BRUTOS'!GL$3:GL$500)+IF($C29="",0,SUMIF('DADOS BRUTOS'!$A$3:$A$500,$C29,'DADOS BRUTOS'!GL$3:GL$500)))</f>
        <v/>
      </c>
      <c r="JM29" s="125">
        <f>IF(OR(JM$4="",$B29=""),0,SUMIF('DADOS BRUTOS'!$A$3:$A$500,$B29,'DADOS BRUTOS'!GM$3:GM$500)+IF($C29="",0,SUMIF('DADOS BRUTOS'!$A$3:$A$500,$C29,'DADOS BRUTOS'!GM$3:GM$500)))</f>
        <v/>
      </c>
      <c r="JN29" s="125">
        <f>IF(OR(JN$4="",$B29=""),0,SUMIF('DADOS BRUTOS'!$A$3:$A$500,$B29,'DADOS BRUTOS'!GN$3:GN$500)+IF($C29="",0,SUMIF('DADOS BRUTOS'!$A$3:$A$500,$C29,'DADOS BRUTOS'!GN$3:GN$500)))</f>
        <v/>
      </c>
      <c r="JO29" s="125">
        <f>IF(OR(JO$4="",$B29=""),0,SUMIF('DADOS BRUTOS'!$A$3:$A$500,$B29,'DADOS BRUTOS'!GO$3:GO$500)+IF($C29="",0,SUMIF('DADOS BRUTOS'!$A$3:$A$500,$C29,'DADOS BRUTOS'!GO$3:GO$500)))</f>
        <v/>
      </c>
      <c r="JP29" s="125">
        <f>IF(OR(JP$4="",$B29=""),0,SUMIF('DADOS BRUTOS'!$A$3:$A$500,$B29,'DADOS BRUTOS'!GP$3:GP$500)+IF($C29="",0,SUMIF('DADOS BRUTOS'!$A$3:$A$500,$C29,'DADOS BRUTOS'!GP$3:GP$500)))</f>
        <v/>
      </c>
      <c r="JQ29" s="125">
        <f>IF(OR(JQ$4="",$B29=""),0,SUMIF('DADOS BRUTOS'!$A$3:$A$500,$B29,'DADOS BRUTOS'!GQ$3:GQ$500)+IF($C29="",0,SUMIF('DADOS BRUTOS'!$A$3:$A$500,$C29,'DADOS BRUTOS'!GQ$3:GQ$500)))</f>
        <v/>
      </c>
      <c r="JR29" s="125">
        <f>IF(OR(JR$4="",$B29=""),0,SUMIF('DADOS BRUTOS'!$A$3:$A$500,$B29,'DADOS BRUTOS'!GR$3:GR$500)+IF($C29="",0,SUMIF('DADOS BRUTOS'!$A$3:$A$500,$C29,'DADOS BRUTOS'!GR$3:GR$500)))</f>
        <v/>
      </c>
      <c r="JS29" s="125">
        <f>IF(OR(JS$4="",$B29=""),0,SUMIF('DADOS BRUTOS'!$A$3:$A$500,$B29,'DADOS BRUTOS'!GS$3:GS$500)+IF($C29="",0,SUMIF('DADOS BRUTOS'!$A$3:$A$500,$C29,'DADOS BRUTOS'!GS$3:GS$500)))</f>
        <v/>
      </c>
    </row>
    <row r="30">
      <c r="A30" s="61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BZ30" s="49">
        <f>SUMPRODUCT(($CB$4:$JS$4&lt;&gt;"")*($CB$4:$JS$4&lt;=$D$4),$CB30:$JS30,$CB$1:$JS$1)</f>
        <v/>
      </c>
      <c r="CB30" s="125">
        <f>IF(OR(CB$4="",$B30=""),0,SUMIF('DADOS BRUTOS'!$A$3:$A$500,$B30,'DADOS BRUTOS'!B$3:B$500)+IF($C30="",0,SUMIF('DADOS BRUTOS'!$A$3:$A$500,$C30,'DADOS BRUTOS'!B$3:B$500)))</f>
        <v/>
      </c>
      <c r="CC30" s="125">
        <f>IF(OR(CC$4="",$B30=""),0,SUMIF('DADOS BRUTOS'!$A$3:$A$500,$B30,'DADOS BRUTOS'!C$3:C$500)+IF($C30="",0,SUMIF('DADOS BRUTOS'!$A$3:$A$500,$C30,'DADOS BRUTOS'!C$3:C$500)))</f>
        <v/>
      </c>
      <c r="CD30" s="125">
        <f>IF(OR(CD$4="",$B30=""),0,SUMIF('DADOS BRUTOS'!$A$3:$A$500,$B30,'DADOS BRUTOS'!D$3:D$500)+IF($C30="",0,SUMIF('DADOS BRUTOS'!$A$3:$A$500,$C30,'DADOS BRUTOS'!D$3:D$500)))</f>
        <v/>
      </c>
      <c r="CE30" s="125">
        <f>IF(OR(CE$4="",$B30=""),0,SUMIF('DADOS BRUTOS'!$A$3:$A$500,$B30,'DADOS BRUTOS'!E$3:E$500)+IF($C30="",0,SUMIF('DADOS BRUTOS'!$A$3:$A$500,$C30,'DADOS BRUTOS'!E$3:E$500)))</f>
        <v/>
      </c>
      <c r="CF30" s="125">
        <f>IF(OR(CF$4="",$B30=""),0,SUMIF('DADOS BRUTOS'!$A$3:$A$500,$B30,'DADOS BRUTOS'!F$3:F$500)+IF($C30="",0,SUMIF('DADOS BRUTOS'!$A$3:$A$500,$C30,'DADOS BRUTOS'!F$3:F$500)))</f>
        <v/>
      </c>
      <c r="CG30" s="125">
        <f>IF(OR(CG$4="",$B30=""),0,SUMIF('DADOS BRUTOS'!$A$3:$A$500,$B30,'DADOS BRUTOS'!G$3:G$500)+IF($C30="",0,SUMIF('DADOS BRUTOS'!$A$3:$A$500,$C30,'DADOS BRUTOS'!G$3:G$500)))</f>
        <v/>
      </c>
      <c r="CH30" s="125">
        <f>IF(OR(CH$4="",$B30=""),0,SUMIF('DADOS BRUTOS'!$A$3:$A$500,$B30,'DADOS BRUTOS'!H$3:H$500)+IF($C30="",0,SUMIF('DADOS BRUTOS'!$A$3:$A$500,$C30,'DADOS BRUTOS'!H$3:H$500)))</f>
        <v/>
      </c>
      <c r="CI30" s="125">
        <f>IF(OR(CI$4="",$B30=""),0,SUMIF('DADOS BRUTOS'!$A$3:$A$500,$B30,'DADOS BRUTOS'!I$3:I$500)+IF($C30="",0,SUMIF('DADOS BRUTOS'!$A$3:$A$500,$C30,'DADOS BRUTOS'!I$3:I$500)))</f>
        <v/>
      </c>
      <c r="CJ30" s="125">
        <f>IF(OR(CJ$4="",$B30=""),0,SUMIF('DADOS BRUTOS'!$A$3:$A$500,$B30,'DADOS BRUTOS'!J$3:J$500)+IF($C30="",0,SUMIF('DADOS BRUTOS'!$A$3:$A$500,$C30,'DADOS BRUTOS'!J$3:J$500)))</f>
        <v/>
      </c>
      <c r="CK30" s="125">
        <f>IF(OR(CK$4="",$B30=""),0,SUMIF('DADOS BRUTOS'!$A$3:$A$500,$B30,'DADOS BRUTOS'!K$3:K$500)+IF($C30="",0,SUMIF('DADOS BRUTOS'!$A$3:$A$500,$C30,'DADOS BRUTOS'!K$3:K$500)))</f>
        <v/>
      </c>
      <c r="CL30" s="125">
        <f>IF(OR(CL$4="",$B30=""),0,SUMIF('DADOS BRUTOS'!$A$3:$A$500,$B30,'DADOS BRUTOS'!L$3:L$500)+IF($C30="",0,SUMIF('DADOS BRUTOS'!$A$3:$A$500,$C30,'DADOS BRUTOS'!L$3:L$500)))</f>
        <v/>
      </c>
      <c r="CM30" s="125">
        <f>IF(OR(CM$4="",$B30=""),0,SUMIF('DADOS BRUTOS'!$A$3:$A$500,$B30,'DADOS BRUTOS'!M$3:M$500)+IF($C30="",0,SUMIF('DADOS BRUTOS'!$A$3:$A$500,$C30,'DADOS BRUTOS'!M$3:M$500)))</f>
        <v/>
      </c>
      <c r="CN30" s="125">
        <f>IF(OR(CN$4="",$B30=""),0,SUMIF('DADOS BRUTOS'!$A$3:$A$500,$B30,'DADOS BRUTOS'!N$3:N$500)+IF($C30="",0,SUMIF('DADOS BRUTOS'!$A$3:$A$500,$C30,'DADOS BRUTOS'!N$3:N$500)))</f>
        <v/>
      </c>
      <c r="CO30" s="125">
        <f>IF(OR(CO$4="",$B30=""),0,SUMIF('DADOS BRUTOS'!$A$3:$A$500,$B30,'DADOS BRUTOS'!O$3:O$500)+IF($C30="",0,SUMIF('DADOS BRUTOS'!$A$3:$A$500,$C30,'DADOS BRUTOS'!O$3:O$500)))</f>
        <v/>
      </c>
      <c r="CP30" s="125">
        <f>IF(OR(CP$4="",$B30=""),0,SUMIF('DADOS BRUTOS'!$A$3:$A$500,$B30,'DADOS BRUTOS'!P$3:P$500)+IF($C30="",0,SUMIF('DADOS BRUTOS'!$A$3:$A$500,$C30,'DADOS BRUTOS'!P$3:P$500)))</f>
        <v/>
      </c>
      <c r="CQ30" s="125">
        <f>IF(OR(CQ$4="",$B30=""),0,SUMIF('DADOS BRUTOS'!$A$3:$A$500,$B30,'DADOS BRUTOS'!Q$3:Q$500)+IF($C30="",0,SUMIF('DADOS BRUTOS'!$A$3:$A$500,$C30,'DADOS BRUTOS'!Q$3:Q$500)))</f>
        <v/>
      </c>
      <c r="CR30" s="125">
        <f>IF(OR(CR$4="",$B30=""),0,SUMIF('DADOS BRUTOS'!$A$3:$A$500,$B30,'DADOS BRUTOS'!R$3:R$500)+IF($C30="",0,SUMIF('DADOS BRUTOS'!$A$3:$A$500,$C30,'DADOS BRUTOS'!R$3:R$500)))</f>
        <v/>
      </c>
      <c r="CS30" s="125">
        <f>IF(OR(CS$4="",$B30=""),0,SUMIF('DADOS BRUTOS'!$A$3:$A$500,$B30,'DADOS BRUTOS'!S$3:S$500)+IF($C30="",0,SUMIF('DADOS BRUTOS'!$A$3:$A$500,$C30,'DADOS BRUTOS'!S$3:S$500)))</f>
        <v/>
      </c>
      <c r="CT30" s="125">
        <f>IF(OR(CT$4="",$B30=""),0,SUMIF('DADOS BRUTOS'!$A$3:$A$500,$B30,'DADOS BRUTOS'!T$3:T$500)+IF($C30="",0,SUMIF('DADOS BRUTOS'!$A$3:$A$500,$C30,'DADOS BRUTOS'!T$3:T$500)))</f>
        <v/>
      </c>
      <c r="CU30" s="125">
        <f>IF(OR(CU$4="",$B30=""),0,SUMIF('DADOS BRUTOS'!$A$3:$A$500,$B30,'DADOS BRUTOS'!U$3:U$500)+IF($C30="",0,SUMIF('DADOS BRUTOS'!$A$3:$A$500,$C30,'DADOS BRUTOS'!U$3:U$500)))</f>
        <v/>
      </c>
      <c r="CV30" s="125">
        <f>IF(OR(CV$4="",$B30=""),0,SUMIF('DADOS BRUTOS'!$A$3:$A$500,$B30,'DADOS BRUTOS'!V$3:V$500)+IF($C30="",0,SUMIF('DADOS BRUTOS'!$A$3:$A$500,$C30,'DADOS BRUTOS'!V$3:V$500)))</f>
        <v/>
      </c>
      <c r="CW30" s="125">
        <f>IF(OR(CW$4="",$B30=""),0,SUMIF('DADOS BRUTOS'!$A$3:$A$500,$B30,'DADOS BRUTOS'!W$3:W$500)+IF($C30="",0,SUMIF('DADOS BRUTOS'!$A$3:$A$500,$C30,'DADOS BRUTOS'!W$3:W$500)))</f>
        <v/>
      </c>
      <c r="CX30" s="125">
        <f>IF(OR(CX$4="",$B30=""),0,SUMIF('DADOS BRUTOS'!$A$3:$A$500,$B30,'DADOS BRUTOS'!X$3:X$500)+IF($C30="",0,SUMIF('DADOS BRUTOS'!$A$3:$A$500,$C30,'DADOS BRUTOS'!X$3:X$500)))</f>
        <v/>
      </c>
      <c r="CY30" s="125">
        <f>IF(OR(CY$4="",$B30=""),0,SUMIF('DADOS BRUTOS'!$A$3:$A$500,$B30,'DADOS BRUTOS'!Y$3:Y$500)+IF($C30="",0,SUMIF('DADOS BRUTOS'!$A$3:$A$500,$C30,'DADOS BRUTOS'!Y$3:Y$500)))</f>
        <v/>
      </c>
      <c r="CZ30" s="125">
        <f>IF(OR(CZ$4="",$B30=""),0,SUMIF('DADOS BRUTOS'!$A$3:$A$500,$B30,'DADOS BRUTOS'!Z$3:Z$500)+IF($C30="",0,SUMIF('DADOS BRUTOS'!$A$3:$A$500,$C30,'DADOS BRUTOS'!Z$3:Z$500)))</f>
        <v/>
      </c>
      <c r="DA30" s="125">
        <f>IF(OR(DA$4="",$B30=""),0,SUMIF('DADOS BRUTOS'!$A$3:$A$500,$B30,'DADOS BRUTOS'!AA$3:AA$500)+IF($C30="",0,SUMIF('DADOS BRUTOS'!$A$3:$A$500,$C30,'DADOS BRUTOS'!AA$3:AA$500)))</f>
        <v/>
      </c>
      <c r="DB30" s="125">
        <f>IF(OR(DB$4="",$B30=""),0,SUMIF('DADOS BRUTOS'!$A$3:$A$500,$B30,'DADOS BRUTOS'!AB$3:AB$500)+IF($C30="",0,SUMIF('DADOS BRUTOS'!$A$3:$A$500,$C30,'DADOS BRUTOS'!AB$3:AB$500)))</f>
        <v/>
      </c>
      <c r="DC30" s="125">
        <f>IF(OR(DC$4="",$B30=""),0,SUMIF('DADOS BRUTOS'!$A$3:$A$500,$B30,'DADOS BRUTOS'!AC$3:AC$500)+IF($C30="",0,SUMIF('DADOS BRUTOS'!$A$3:$A$500,$C30,'DADOS BRUTOS'!AC$3:AC$500)))</f>
        <v/>
      </c>
      <c r="DD30" s="125">
        <f>IF(OR(DD$4="",$B30=""),0,SUMIF('DADOS BRUTOS'!$A$3:$A$500,$B30,'DADOS BRUTOS'!AD$3:AD$500)+IF($C30="",0,SUMIF('DADOS BRUTOS'!$A$3:$A$500,$C30,'DADOS BRUTOS'!AD$3:AD$500)))</f>
        <v/>
      </c>
      <c r="DE30" s="125">
        <f>IF(OR(DE$4="",$B30=""),0,SUMIF('DADOS BRUTOS'!$A$3:$A$500,$B30,'DADOS BRUTOS'!AE$3:AE$500)+IF($C30="",0,SUMIF('DADOS BRUTOS'!$A$3:$A$500,$C30,'DADOS BRUTOS'!AE$3:AE$500)))</f>
        <v/>
      </c>
      <c r="DF30" s="125">
        <f>IF(OR(DF$4="",$B30=""),0,SUMIF('DADOS BRUTOS'!$A$3:$A$500,$B30,'DADOS BRUTOS'!AF$3:AF$500)+IF($C30="",0,SUMIF('DADOS BRUTOS'!$A$3:$A$500,$C30,'DADOS BRUTOS'!AF$3:AF$500)))</f>
        <v/>
      </c>
      <c r="DG30" s="125">
        <f>IF(OR(DG$4="",$B30=""),0,SUMIF('DADOS BRUTOS'!$A$3:$A$500,$B30,'DADOS BRUTOS'!AG$3:AG$500)+IF($C30="",0,SUMIF('DADOS BRUTOS'!$A$3:$A$500,$C30,'DADOS BRUTOS'!AG$3:AG$500)))</f>
        <v/>
      </c>
      <c r="DH30" s="125">
        <f>IF(OR(DH$4="",$B30=""),0,SUMIF('DADOS BRUTOS'!$A$3:$A$500,$B30,'DADOS BRUTOS'!AH$3:AH$500)+IF($C30="",0,SUMIF('DADOS BRUTOS'!$A$3:$A$500,$C30,'DADOS BRUTOS'!AH$3:AH$500)))</f>
        <v/>
      </c>
      <c r="DI30" s="125">
        <f>IF(OR(DI$4="",$B30=""),0,SUMIF('DADOS BRUTOS'!$A$3:$A$500,$B30,'DADOS BRUTOS'!AI$3:AI$500)+IF($C30="",0,SUMIF('DADOS BRUTOS'!$A$3:$A$500,$C30,'DADOS BRUTOS'!AI$3:AI$500)))</f>
        <v/>
      </c>
      <c r="DJ30" s="125">
        <f>IF(OR(DJ$4="",$B30=""),0,SUMIF('DADOS BRUTOS'!$A$3:$A$500,$B30,'DADOS BRUTOS'!AJ$3:AJ$500)+IF($C30="",0,SUMIF('DADOS BRUTOS'!$A$3:$A$500,$C30,'DADOS BRUTOS'!AJ$3:AJ$500)))</f>
        <v/>
      </c>
      <c r="DK30" s="125">
        <f>IF(OR(DK$4="",$B30=""),0,SUMIF('DADOS BRUTOS'!$A$3:$A$500,$B30,'DADOS BRUTOS'!AK$3:AK$500)+IF($C30="",0,SUMIF('DADOS BRUTOS'!$A$3:$A$500,$C30,'DADOS BRUTOS'!AK$3:AK$500)))</f>
        <v/>
      </c>
      <c r="DL30" s="125">
        <f>IF(OR(DL$4="",$B30=""),0,SUMIF('DADOS BRUTOS'!$A$3:$A$500,$B30,'DADOS BRUTOS'!AL$3:AL$500)+IF($C30="",0,SUMIF('DADOS BRUTOS'!$A$3:$A$500,$C30,'DADOS BRUTOS'!AL$3:AL$500)))</f>
        <v/>
      </c>
      <c r="DM30" s="125">
        <f>IF(OR(DM$4="",$B30=""),0,SUMIF('DADOS BRUTOS'!$A$3:$A$500,$B30,'DADOS BRUTOS'!AM$3:AM$500)+IF($C30="",0,SUMIF('DADOS BRUTOS'!$A$3:$A$500,$C30,'DADOS BRUTOS'!AM$3:AM$500)))</f>
        <v/>
      </c>
      <c r="DN30" s="125">
        <f>IF(OR(DN$4="",$B30=""),0,SUMIF('DADOS BRUTOS'!$A$3:$A$500,$B30,'DADOS BRUTOS'!AN$3:AN$500)+IF($C30="",0,SUMIF('DADOS BRUTOS'!$A$3:$A$500,$C30,'DADOS BRUTOS'!AN$3:AN$500)))</f>
        <v/>
      </c>
      <c r="DO30" s="125">
        <f>IF(OR(DO$4="",$B30=""),0,SUMIF('DADOS BRUTOS'!$A$3:$A$500,$B30,'DADOS BRUTOS'!AO$3:AO$500)+IF($C30="",0,SUMIF('DADOS BRUTOS'!$A$3:$A$500,$C30,'DADOS BRUTOS'!AO$3:AO$500)))</f>
        <v/>
      </c>
      <c r="DP30" s="125">
        <f>IF(OR(DP$4="",$B30=""),0,SUMIF('DADOS BRUTOS'!$A$3:$A$500,$B30,'DADOS BRUTOS'!AP$3:AP$500)+IF($C30="",0,SUMIF('DADOS BRUTOS'!$A$3:$A$500,$C30,'DADOS BRUTOS'!AP$3:AP$500)))</f>
        <v/>
      </c>
      <c r="DQ30" s="125">
        <f>IF(OR(DQ$4="",$B30=""),0,SUMIF('DADOS BRUTOS'!$A$3:$A$500,$B30,'DADOS BRUTOS'!AQ$3:AQ$500)+IF($C30="",0,SUMIF('DADOS BRUTOS'!$A$3:$A$500,$C30,'DADOS BRUTOS'!AQ$3:AQ$500)))</f>
        <v/>
      </c>
      <c r="DR30" s="125">
        <f>IF(OR(DR$4="",$B30=""),0,SUMIF('DADOS BRUTOS'!$A$3:$A$500,$B30,'DADOS BRUTOS'!AR$3:AR$500)+IF($C30="",0,SUMIF('DADOS BRUTOS'!$A$3:$A$500,$C30,'DADOS BRUTOS'!AR$3:AR$500)))</f>
        <v/>
      </c>
      <c r="DS30" s="125">
        <f>IF(OR(DS$4="",$B30=""),0,SUMIF('DADOS BRUTOS'!$A$3:$A$500,$B30,'DADOS BRUTOS'!AS$3:AS$500)+IF($C30="",0,SUMIF('DADOS BRUTOS'!$A$3:$A$500,$C30,'DADOS BRUTOS'!AS$3:AS$500)))</f>
        <v/>
      </c>
      <c r="DT30" s="125">
        <f>IF(OR(DT$4="",$B30=""),0,SUMIF('DADOS BRUTOS'!$A$3:$A$500,$B30,'DADOS BRUTOS'!AT$3:AT$500)+IF($C30="",0,SUMIF('DADOS BRUTOS'!$A$3:$A$500,$C30,'DADOS BRUTOS'!AT$3:AT$500)))</f>
        <v/>
      </c>
      <c r="DU30" s="125">
        <f>IF(OR(DU$4="",$B30=""),0,SUMIF('DADOS BRUTOS'!$A$3:$A$500,$B30,'DADOS BRUTOS'!AU$3:AU$500)+IF($C30="",0,SUMIF('DADOS BRUTOS'!$A$3:$A$500,$C30,'DADOS BRUTOS'!AU$3:AU$500)))</f>
        <v/>
      </c>
      <c r="DV30" s="125">
        <f>IF(OR(DV$4="",$B30=""),0,SUMIF('DADOS BRUTOS'!$A$3:$A$500,$B30,'DADOS BRUTOS'!AV$3:AV$500)+IF($C30="",0,SUMIF('DADOS BRUTOS'!$A$3:$A$500,$C30,'DADOS BRUTOS'!AV$3:AV$500)))</f>
        <v/>
      </c>
      <c r="DW30" s="125">
        <f>IF(OR(DW$4="",$B30=""),0,SUMIF('DADOS BRUTOS'!$A$3:$A$500,$B30,'DADOS BRUTOS'!AW$3:AW$500)+IF($C30="",0,SUMIF('DADOS BRUTOS'!$A$3:$A$500,$C30,'DADOS BRUTOS'!AW$3:AW$500)))</f>
        <v/>
      </c>
      <c r="DX30" s="125">
        <f>IF(OR(DX$4="",$B30=""),0,SUMIF('DADOS BRUTOS'!$A$3:$A$500,$B30,'DADOS BRUTOS'!AX$3:AX$500)+IF($C30="",0,SUMIF('DADOS BRUTOS'!$A$3:$A$500,$C30,'DADOS BRUTOS'!AX$3:AX$500)))</f>
        <v/>
      </c>
      <c r="DY30" s="125">
        <f>IF(OR(DY$4="",$B30=""),0,SUMIF('DADOS BRUTOS'!$A$3:$A$500,$B30,'DADOS BRUTOS'!AY$3:AY$500)+IF($C30="",0,SUMIF('DADOS BRUTOS'!$A$3:$A$500,$C30,'DADOS BRUTOS'!AY$3:AY$500)))</f>
        <v/>
      </c>
      <c r="DZ30" s="125">
        <f>IF(OR(DZ$4="",$B30=""),0,SUMIF('DADOS BRUTOS'!$A$3:$A$500,$B30,'DADOS BRUTOS'!AZ$3:AZ$500)+IF($C30="",0,SUMIF('DADOS BRUTOS'!$A$3:$A$500,$C30,'DADOS BRUTOS'!AZ$3:AZ$500)))</f>
        <v/>
      </c>
      <c r="EA30" s="125">
        <f>IF(OR(EA$4="",$B30=""),0,SUMIF('DADOS BRUTOS'!$A$3:$A$500,$B30,'DADOS BRUTOS'!BA$3:BA$500)+IF($C30="",0,SUMIF('DADOS BRUTOS'!$A$3:$A$500,$C30,'DADOS BRUTOS'!BA$3:BA$500)))</f>
        <v/>
      </c>
      <c r="EB30" s="125">
        <f>IF(OR(EB$4="",$B30=""),0,SUMIF('DADOS BRUTOS'!$A$3:$A$500,$B30,'DADOS BRUTOS'!BB$3:BB$500)+IF($C30="",0,SUMIF('DADOS BRUTOS'!$A$3:$A$500,$C30,'DADOS BRUTOS'!BB$3:BB$500)))</f>
        <v/>
      </c>
      <c r="EC30" s="125">
        <f>IF(OR(EC$4="",$B30=""),0,SUMIF('DADOS BRUTOS'!$A$3:$A$500,$B30,'DADOS BRUTOS'!BC$3:BC$500)+IF($C30="",0,SUMIF('DADOS BRUTOS'!$A$3:$A$500,$C30,'DADOS BRUTOS'!BC$3:BC$500)))</f>
        <v/>
      </c>
      <c r="ED30" s="125">
        <f>IF(OR(ED$4="",$B30=""),0,SUMIF('DADOS BRUTOS'!$A$3:$A$500,$B30,'DADOS BRUTOS'!BD$3:BD$500)+IF($C30="",0,SUMIF('DADOS BRUTOS'!$A$3:$A$500,$C30,'DADOS BRUTOS'!BD$3:BD$500)))</f>
        <v/>
      </c>
      <c r="EE30" s="125">
        <f>IF(OR(EE$4="",$B30=""),0,SUMIF('DADOS BRUTOS'!$A$3:$A$500,$B30,'DADOS BRUTOS'!BE$3:BE$500)+IF($C30="",0,SUMIF('DADOS BRUTOS'!$A$3:$A$500,$C30,'DADOS BRUTOS'!BE$3:BE$500)))</f>
        <v/>
      </c>
      <c r="EF30" s="125">
        <f>IF(OR(EF$4="",$B30=""),0,SUMIF('DADOS BRUTOS'!$A$3:$A$500,$B30,'DADOS BRUTOS'!BF$3:BF$500)+IF($C30="",0,SUMIF('DADOS BRUTOS'!$A$3:$A$500,$C30,'DADOS BRUTOS'!BF$3:BF$500)))</f>
        <v/>
      </c>
      <c r="EG30" s="125">
        <f>IF(OR(EG$4="",$B30=""),0,SUMIF('DADOS BRUTOS'!$A$3:$A$500,$B30,'DADOS BRUTOS'!BG$3:BG$500)+IF($C30="",0,SUMIF('DADOS BRUTOS'!$A$3:$A$500,$C30,'DADOS BRUTOS'!BG$3:BG$500)))</f>
        <v/>
      </c>
      <c r="EH30" s="125">
        <f>IF(OR(EH$4="",$B30=""),0,SUMIF('DADOS BRUTOS'!$A$3:$A$500,$B30,'DADOS BRUTOS'!BH$3:BH$500)+IF($C30="",0,SUMIF('DADOS BRUTOS'!$A$3:$A$500,$C30,'DADOS BRUTOS'!BH$3:BH$500)))</f>
        <v/>
      </c>
      <c r="EI30" s="125">
        <f>IF(OR(EI$4="",$B30=""),0,SUMIF('DADOS BRUTOS'!$A$3:$A$500,$B30,'DADOS BRUTOS'!BI$3:BI$500)+IF($C30="",0,SUMIF('DADOS BRUTOS'!$A$3:$A$500,$C30,'DADOS BRUTOS'!BI$3:BI$500)))</f>
        <v/>
      </c>
      <c r="EJ30" s="125">
        <f>IF(OR(EJ$4="",$B30=""),0,SUMIF('DADOS BRUTOS'!$A$3:$A$500,$B30,'DADOS BRUTOS'!BJ$3:BJ$500)+IF($C30="",0,SUMIF('DADOS BRUTOS'!$A$3:$A$500,$C30,'DADOS BRUTOS'!BJ$3:BJ$500)))</f>
        <v/>
      </c>
      <c r="EK30" s="125">
        <f>IF(OR(EK$4="",$B30=""),0,SUMIF('DADOS BRUTOS'!$A$3:$A$500,$B30,'DADOS BRUTOS'!BK$3:BK$500)+IF($C30="",0,SUMIF('DADOS BRUTOS'!$A$3:$A$500,$C30,'DADOS BRUTOS'!BK$3:BK$500)))</f>
        <v/>
      </c>
      <c r="EL30" s="125">
        <f>IF(OR(EL$4="",$B30=""),0,SUMIF('DADOS BRUTOS'!$A$3:$A$500,$B30,'DADOS BRUTOS'!BL$3:BL$500)+IF($C30="",0,SUMIF('DADOS BRUTOS'!$A$3:$A$500,$C30,'DADOS BRUTOS'!BL$3:BL$500)))</f>
        <v/>
      </c>
      <c r="EM30" s="125">
        <f>IF(OR(EM$4="",$B30=""),0,SUMIF('DADOS BRUTOS'!$A$3:$A$500,$B30,'DADOS BRUTOS'!BM$3:BM$500)+IF($C30="",0,SUMIF('DADOS BRUTOS'!$A$3:$A$500,$C30,'DADOS BRUTOS'!BM$3:BM$500)))</f>
        <v/>
      </c>
      <c r="EN30" s="125">
        <f>IF(OR(EN$4="",$B30=""),0,SUMIF('DADOS BRUTOS'!$A$3:$A$500,$B30,'DADOS BRUTOS'!BN$3:BN$500)+IF($C30="",0,SUMIF('DADOS BRUTOS'!$A$3:$A$500,$C30,'DADOS BRUTOS'!BN$3:BN$500)))</f>
        <v/>
      </c>
      <c r="EO30" s="125">
        <f>IF(OR(EO$4="",$B30=""),0,SUMIF('DADOS BRUTOS'!$A$3:$A$500,$B30,'DADOS BRUTOS'!BO$3:BO$500)+IF($C30="",0,SUMIF('DADOS BRUTOS'!$A$3:$A$500,$C30,'DADOS BRUTOS'!BO$3:BO$500)))</f>
        <v/>
      </c>
      <c r="EP30" s="125">
        <f>IF(OR(EP$4="",$B30=""),0,SUMIF('DADOS BRUTOS'!$A$3:$A$500,$B30,'DADOS BRUTOS'!BP$3:BP$500)+IF($C30="",0,SUMIF('DADOS BRUTOS'!$A$3:$A$500,$C30,'DADOS BRUTOS'!BP$3:BP$500)))</f>
        <v/>
      </c>
      <c r="EQ30" s="125">
        <f>IF(OR(EQ$4="",$B30=""),0,SUMIF('DADOS BRUTOS'!$A$3:$A$500,$B30,'DADOS BRUTOS'!BQ$3:BQ$500)+IF($C30="",0,SUMIF('DADOS BRUTOS'!$A$3:$A$500,$C30,'DADOS BRUTOS'!BQ$3:BQ$500)))</f>
        <v/>
      </c>
      <c r="ER30" s="125">
        <f>IF(OR(ER$4="",$B30=""),0,SUMIF('DADOS BRUTOS'!$A$3:$A$500,$B30,'DADOS BRUTOS'!BR$3:BR$500)+IF($C30="",0,SUMIF('DADOS BRUTOS'!$A$3:$A$500,$C30,'DADOS BRUTOS'!BR$3:BR$500)))</f>
        <v/>
      </c>
      <c r="ES30" s="125">
        <f>IF(OR(ES$4="",$B30=""),0,SUMIF('DADOS BRUTOS'!$A$3:$A$500,$B30,'DADOS BRUTOS'!BS$3:BS$500)+IF($C30="",0,SUMIF('DADOS BRUTOS'!$A$3:$A$500,$C30,'DADOS BRUTOS'!BS$3:BS$500)))</f>
        <v/>
      </c>
      <c r="ET30" s="125">
        <f>IF(OR(ET$4="",$B30=""),0,SUMIF('DADOS BRUTOS'!$A$3:$A$500,$B30,'DADOS BRUTOS'!BT$3:BT$500)+IF($C30="",0,SUMIF('DADOS BRUTOS'!$A$3:$A$500,$C30,'DADOS BRUTOS'!BT$3:BT$500)))</f>
        <v/>
      </c>
      <c r="EU30" s="125">
        <f>IF(OR(EU$4="",$B30=""),0,SUMIF('DADOS BRUTOS'!$A$3:$A$500,$B30,'DADOS BRUTOS'!BU$3:BU$500)+IF($C30="",0,SUMIF('DADOS BRUTOS'!$A$3:$A$500,$C30,'DADOS BRUTOS'!BU$3:BU$500)))</f>
        <v/>
      </c>
      <c r="EV30" s="125">
        <f>IF(OR(EV$4="",$B30=""),0,SUMIF('DADOS BRUTOS'!$A$3:$A$500,$B30,'DADOS BRUTOS'!BV$3:BV$500)+IF($C30="",0,SUMIF('DADOS BRUTOS'!$A$3:$A$500,$C30,'DADOS BRUTOS'!BV$3:BV$500)))</f>
        <v/>
      </c>
      <c r="EW30" s="125">
        <f>IF(OR(EW$4="",$B30=""),0,SUMIF('DADOS BRUTOS'!$A$3:$A$500,$B30,'DADOS BRUTOS'!BW$3:BW$500)+IF($C30="",0,SUMIF('DADOS BRUTOS'!$A$3:$A$500,$C30,'DADOS BRUTOS'!BW$3:BW$500)))</f>
        <v/>
      </c>
      <c r="EX30" s="125">
        <f>IF(OR(EX$4="",$B30=""),0,SUMIF('DADOS BRUTOS'!$A$3:$A$500,$B30,'DADOS BRUTOS'!BX$3:BX$500)+IF($C30="",0,SUMIF('DADOS BRUTOS'!$A$3:$A$500,$C30,'DADOS BRUTOS'!BX$3:BX$500)))</f>
        <v/>
      </c>
      <c r="EY30" s="125">
        <f>IF(OR(EY$4="",$B30=""),0,SUMIF('DADOS BRUTOS'!$A$3:$A$500,$B30,'DADOS BRUTOS'!BY$3:BY$500)+IF($C30="",0,SUMIF('DADOS BRUTOS'!$A$3:$A$500,$C30,'DADOS BRUTOS'!BY$3:BY$500)))</f>
        <v/>
      </c>
      <c r="EZ30" s="125">
        <f>IF(OR(EZ$4="",$B30=""),0,SUMIF('DADOS BRUTOS'!$A$3:$A$500,$B30,'DADOS BRUTOS'!BZ$3:BZ$500)+IF($C30="",0,SUMIF('DADOS BRUTOS'!$A$3:$A$500,$C30,'DADOS BRUTOS'!BZ$3:BZ$500)))</f>
        <v/>
      </c>
      <c r="FA30" s="125">
        <f>IF(OR(FA$4="",$B30=""),0,SUMIF('DADOS BRUTOS'!$A$3:$A$500,$B30,'DADOS BRUTOS'!CA$3:CA$500)+IF($C30="",0,SUMIF('DADOS BRUTOS'!$A$3:$A$500,$C30,'DADOS BRUTOS'!CA$3:CA$500)))</f>
        <v/>
      </c>
      <c r="FB30" s="125">
        <f>IF(OR(FB$4="",$B30=""),0,SUMIF('DADOS BRUTOS'!$A$3:$A$500,$B30,'DADOS BRUTOS'!CB$3:CB$500)+IF($C30="",0,SUMIF('DADOS BRUTOS'!$A$3:$A$500,$C30,'DADOS BRUTOS'!CB$3:CB$500)))</f>
        <v/>
      </c>
      <c r="FC30" s="125">
        <f>IF(OR(FC$4="",$B30=""),0,SUMIF('DADOS BRUTOS'!$A$3:$A$500,$B30,'DADOS BRUTOS'!CC$3:CC$500)+IF($C30="",0,SUMIF('DADOS BRUTOS'!$A$3:$A$500,$C30,'DADOS BRUTOS'!CC$3:CC$500)))</f>
        <v/>
      </c>
      <c r="FD30" s="125">
        <f>IF(OR(FD$4="",$B30=""),0,SUMIF('DADOS BRUTOS'!$A$3:$A$500,$B30,'DADOS BRUTOS'!CD$3:CD$500)+IF($C30="",0,SUMIF('DADOS BRUTOS'!$A$3:$A$500,$C30,'DADOS BRUTOS'!CD$3:CD$500)))</f>
        <v/>
      </c>
      <c r="FE30" s="125">
        <f>IF(OR(FE$4="",$B30=""),0,SUMIF('DADOS BRUTOS'!$A$3:$A$500,$B30,'DADOS BRUTOS'!CE$3:CE$500)+IF($C30="",0,SUMIF('DADOS BRUTOS'!$A$3:$A$500,$C30,'DADOS BRUTOS'!CE$3:CE$500)))</f>
        <v/>
      </c>
      <c r="FF30" s="125">
        <f>IF(OR(FF$4="",$B30=""),0,SUMIF('DADOS BRUTOS'!$A$3:$A$500,$B30,'DADOS BRUTOS'!CF$3:CF$500)+IF($C30="",0,SUMIF('DADOS BRUTOS'!$A$3:$A$500,$C30,'DADOS BRUTOS'!CF$3:CF$500)))</f>
        <v/>
      </c>
      <c r="FG30" s="125">
        <f>IF(OR(FG$4="",$B30=""),0,SUMIF('DADOS BRUTOS'!$A$3:$A$500,$B30,'DADOS BRUTOS'!CG$3:CG$500)+IF($C30="",0,SUMIF('DADOS BRUTOS'!$A$3:$A$500,$C30,'DADOS BRUTOS'!CG$3:CG$500)))</f>
        <v/>
      </c>
      <c r="FH30" s="125">
        <f>IF(OR(FH$4="",$B30=""),0,SUMIF('DADOS BRUTOS'!$A$3:$A$500,$B30,'DADOS BRUTOS'!CH$3:CH$500)+IF($C30="",0,SUMIF('DADOS BRUTOS'!$A$3:$A$500,$C30,'DADOS BRUTOS'!CH$3:CH$500)))</f>
        <v/>
      </c>
      <c r="FI30" s="125">
        <f>IF(OR(FI$4="",$B30=""),0,SUMIF('DADOS BRUTOS'!$A$3:$A$500,$B30,'DADOS BRUTOS'!CI$3:CI$500)+IF($C30="",0,SUMIF('DADOS BRUTOS'!$A$3:$A$500,$C30,'DADOS BRUTOS'!CI$3:CI$500)))</f>
        <v/>
      </c>
      <c r="FJ30" s="125">
        <f>IF(OR(FJ$4="",$B30=""),0,SUMIF('DADOS BRUTOS'!$A$3:$A$500,$B30,'DADOS BRUTOS'!CJ$3:CJ$500)+IF($C30="",0,SUMIF('DADOS BRUTOS'!$A$3:$A$500,$C30,'DADOS BRUTOS'!CJ$3:CJ$500)))</f>
        <v/>
      </c>
      <c r="FK30" s="125">
        <f>IF(OR(FK$4="",$B30=""),0,SUMIF('DADOS BRUTOS'!$A$3:$A$500,$B30,'DADOS BRUTOS'!CK$3:CK$500)+IF($C30="",0,SUMIF('DADOS BRUTOS'!$A$3:$A$500,$C30,'DADOS BRUTOS'!CK$3:CK$500)))</f>
        <v/>
      </c>
      <c r="FL30" s="125">
        <f>IF(OR(FL$4="",$B30=""),0,SUMIF('DADOS BRUTOS'!$A$3:$A$500,$B30,'DADOS BRUTOS'!CL$3:CL$500)+IF($C30="",0,SUMIF('DADOS BRUTOS'!$A$3:$A$500,$C30,'DADOS BRUTOS'!CL$3:CL$500)))</f>
        <v/>
      </c>
      <c r="FM30" s="125">
        <f>IF(OR(FM$4="",$B30=""),0,SUMIF('DADOS BRUTOS'!$A$3:$A$500,$B30,'DADOS BRUTOS'!CM$3:CM$500)+IF($C30="",0,SUMIF('DADOS BRUTOS'!$A$3:$A$500,$C30,'DADOS BRUTOS'!CM$3:CM$500)))</f>
        <v/>
      </c>
      <c r="FN30" s="125">
        <f>IF(OR(FN$4="",$B30=""),0,SUMIF('DADOS BRUTOS'!$A$3:$A$500,$B30,'DADOS BRUTOS'!CN$3:CN$500)+IF($C30="",0,SUMIF('DADOS BRUTOS'!$A$3:$A$500,$C30,'DADOS BRUTOS'!CN$3:CN$500)))</f>
        <v/>
      </c>
      <c r="FO30" s="125">
        <f>IF(OR(FO$4="",$B30=""),0,SUMIF('DADOS BRUTOS'!$A$3:$A$500,$B30,'DADOS BRUTOS'!CO$3:CO$500)+IF($C30="",0,SUMIF('DADOS BRUTOS'!$A$3:$A$500,$C30,'DADOS BRUTOS'!CO$3:CO$500)))</f>
        <v/>
      </c>
      <c r="FP30" s="125">
        <f>IF(OR(FP$4="",$B30=""),0,SUMIF('DADOS BRUTOS'!$A$3:$A$500,$B30,'DADOS BRUTOS'!CP$3:CP$500)+IF($C30="",0,SUMIF('DADOS BRUTOS'!$A$3:$A$500,$C30,'DADOS BRUTOS'!CP$3:CP$500)))</f>
        <v/>
      </c>
      <c r="FQ30" s="125">
        <f>IF(OR(FQ$4="",$B30=""),0,SUMIF('DADOS BRUTOS'!$A$3:$A$500,$B30,'DADOS BRUTOS'!CQ$3:CQ$500)+IF($C30="",0,SUMIF('DADOS BRUTOS'!$A$3:$A$500,$C30,'DADOS BRUTOS'!CQ$3:CQ$500)))</f>
        <v/>
      </c>
      <c r="FR30" s="125">
        <f>IF(OR(FR$4="",$B30=""),0,SUMIF('DADOS BRUTOS'!$A$3:$A$500,$B30,'DADOS BRUTOS'!CR$3:CR$500)+IF($C30="",0,SUMIF('DADOS BRUTOS'!$A$3:$A$500,$C30,'DADOS BRUTOS'!CR$3:CR$500)))</f>
        <v/>
      </c>
      <c r="FS30" s="125">
        <f>IF(OR(FS$4="",$B30=""),0,SUMIF('DADOS BRUTOS'!$A$3:$A$500,$B30,'DADOS BRUTOS'!CS$3:CS$500)+IF($C30="",0,SUMIF('DADOS BRUTOS'!$A$3:$A$500,$C30,'DADOS BRUTOS'!CS$3:CS$500)))</f>
        <v/>
      </c>
      <c r="FT30" s="125">
        <f>IF(OR(FT$4="",$B30=""),0,SUMIF('DADOS BRUTOS'!$A$3:$A$500,$B30,'DADOS BRUTOS'!CT$3:CT$500)+IF($C30="",0,SUMIF('DADOS BRUTOS'!$A$3:$A$500,$C30,'DADOS BRUTOS'!CT$3:CT$500)))</f>
        <v/>
      </c>
      <c r="FU30" s="125">
        <f>IF(OR(FU$4="",$B30=""),0,SUMIF('DADOS BRUTOS'!$A$3:$A$500,$B30,'DADOS BRUTOS'!CU$3:CU$500)+IF($C30="",0,SUMIF('DADOS BRUTOS'!$A$3:$A$500,$C30,'DADOS BRUTOS'!CU$3:CU$500)))</f>
        <v/>
      </c>
      <c r="FV30" s="125">
        <f>IF(OR(FV$4="",$B30=""),0,SUMIF('DADOS BRUTOS'!$A$3:$A$500,$B30,'DADOS BRUTOS'!CV$3:CV$500)+IF($C30="",0,SUMIF('DADOS BRUTOS'!$A$3:$A$500,$C30,'DADOS BRUTOS'!CV$3:CV$500)))</f>
        <v/>
      </c>
      <c r="FW30" s="125">
        <f>IF(OR(FW$4="",$B30=""),0,SUMIF('DADOS BRUTOS'!$A$3:$A$500,$B30,'DADOS BRUTOS'!CW$3:CW$500)+IF($C30="",0,SUMIF('DADOS BRUTOS'!$A$3:$A$500,$C30,'DADOS BRUTOS'!CW$3:CW$500)))</f>
        <v/>
      </c>
      <c r="FX30" s="125">
        <f>IF(OR(FX$4="",$B30=""),0,SUMIF('DADOS BRUTOS'!$A$3:$A$500,$B30,'DADOS BRUTOS'!CX$3:CX$500)+IF($C30="",0,SUMIF('DADOS BRUTOS'!$A$3:$A$500,$C30,'DADOS BRUTOS'!CX$3:CX$500)))</f>
        <v/>
      </c>
      <c r="FY30" s="125">
        <f>IF(OR(FY$4="",$B30=""),0,SUMIF('DADOS BRUTOS'!$A$3:$A$500,$B30,'DADOS BRUTOS'!CY$3:CY$500)+IF($C30="",0,SUMIF('DADOS BRUTOS'!$A$3:$A$500,$C30,'DADOS BRUTOS'!CY$3:CY$500)))</f>
        <v/>
      </c>
      <c r="FZ30" s="125">
        <f>IF(OR(FZ$4="",$B30=""),0,SUMIF('DADOS BRUTOS'!$A$3:$A$500,$B30,'DADOS BRUTOS'!CZ$3:CZ$500)+IF($C30="",0,SUMIF('DADOS BRUTOS'!$A$3:$A$500,$C30,'DADOS BRUTOS'!CZ$3:CZ$500)))</f>
        <v/>
      </c>
      <c r="GA30" s="125">
        <f>IF(OR(GA$4="",$B30=""),0,SUMIF('DADOS BRUTOS'!$A$3:$A$500,$B30,'DADOS BRUTOS'!DA$3:DA$500)+IF($C30="",0,SUMIF('DADOS BRUTOS'!$A$3:$A$500,$C30,'DADOS BRUTOS'!DA$3:DA$500)))</f>
        <v/>
      </c>
      <c r="GB30" s="125">
        <f>IF(OR(GB$4="",$B30=""),0,SUMIF('DADOS BRUTOS'!$A$3:$A$500,$B30,'DADOS BRUTOS'!DB$3:DB$500)+IF($C30="",0,SUMIF('DADOS BRUTOS'!$A$3:$A$500,$C30,'DADOS BRUTOS'!DB$3:DB$500)))</f>
        <v/>
      </c>
      <c r="GC30" s="125">
        <f>IF(OR(GC$4="",$B30=""),0,SUMIF('DADOS BRUTOS'!$A$3:$A$500,$B30,'DADOS BRUTOS'!DC$3:DC$500)+IF($C30="",0,SUMIF('DADOS BRUTOS'!$A$3:$A$500,$C30,'DADOS BRUTOS'!DC$3:DC$500)))</f>
        <v/>
      </c>
      <c r="GD30" s="125">
        <f>IF(OR(GD$4="",$B30=""),0,SUMIF('DADOS BRUTOS'!$A$3:$A$500,$B30,'DADOS BRUTOS'!DD$3:DD$500)+IF($C30="",0,SUMIF('DADOS BRUTOS'!$A$3:$A$500,$C30,'DADOS BRUTOS'!DD$3:DD$500)))</f>
        <v/>
      </c>
      <c r="GE30" s="125">
        <f>IF(OR(GE$4="",$B30=""),0,SUMIF('DADOS BRUTOS'!$A$3:$A$500,$B30,'DADOS BRUTOS'!DE$3:DE$500)+IF($C30="",0,SUMIF('DADOS BRUTOS'!$A$3:$A$500,$C30,'DADOS BRUTOS'!DE$3:DE$500)))</f>
        <v/>
      </c>
      <c r="GF30" s="125">
        <f>IF(OR(GF$4="",$B30=""),0,SUMIF('DADOS BRUTOS'!$A$3:$A$500,$B30,'DADOS BRUTOS'!DF$3:DF$500)+IF($C30="",0,SUMIF('DADOS BRUTOS'!$A$3:$A$500,$C30,'DADOS BRUTOS'!DF$3:DF$500)))</f>
        <v/>
      </c>
      <c r="GG30" s="125">
        <f>IF(OR(GG$4="",$B30=""),0,SUMIF('DADOS BRUTOS'!$A$3:$A$500,$B30,'DADOS BRUTOS'!DG$3:DG$500)+IF($C30="",0,SUMIF('DADOS BRUTOS'!$A$3:$A$500,$C30,'DADOS BRUTOS'!DG$3:DG$500)))</f>
        <v/>
      </c>
      <c r="GH30" s="125">
        <f>IF(OR(GH$4="",$B30=""),0,SUMIF('DADOS BRUTOS'!$A$3:$A$500,$B30,'DADOS BRUTOS'!DH$3:DH$500)+IF($C30="",0,SUMIF('DADOS BRUTOS'!$A$3:$A$500,$C30,'DADOS BRUTOS'!DH$3:DH$500)))</f>
        <v/>
      </c>
      <c r="GI30" s="125">
        <f>IF(OR(GI$4="",$B30=""),0,SUMIF('DADOS BRUTOS'!$A$3:$A$500,$B30,'DADOS BRUTOS'!DI$3:DI$500)+IF($C30="",0,SUMIF('DADOS BRUTOS'!$A$3:$A$500,$C30,'DADOS BRUTOS'!DI$3:DI$500)))</f>
        <v/>
      </c>
      <c r="GJ30" s="125">
        <f>IF(OR(GJ$4="",$B30=""),0,SUMIF('DADOS BRUTOS'!$A$3:$A$500,$B30,'DADOS BRUTOS'!DJ$3:DJ$500)+IF($C30="",0,SUMIF('DADOS BRUTOS'!$A$3:$A$500,$C30,'DADOS BRUTOS'!DJ$3:DJ$500)))</f>
        <v/>
      </c>
      <c r="GK30" s="125">
        <f>IF(OR(GK$4="",$B30=""),0,SUMIF('DADOS BRUTOS'!$A$3:$A$500,$B30,'DADOS BRUTOS'!DK$3:DK$500)+IF($C30="",0,SUMIF('DADOS BRUTOS'!$A$3:$A$500,$C30,'DADOS BRUTOS'!DK$3:DK$500)))</f>
        <v/>
      </c>
      <c r="GL30" s="125">
        <f>IF(OR(GL$4="",$B30=""),0,SUMIF('DADOS BRUTOS'!$A$3:$A$500,$B30,'DADOS BRUTOS'!DL$3:DL$500)+IF($C30="",0,SUMIF('DADOS BRUTOS'!$A$3:$A$500,$C30,'DADOS BRUTOS'!DL$3:DL$500)))</f>
        <v/>
      </c>
      <c r="GM30" s="125">
        <f>IF(OR(GM$4="",$B30=""),0,SUMIF('DADOS BRUTOS'!$A$3:$A$500,$B30,'DADOS BRUTOS'!DM$3:DM$500)+IF($C30="",0,SUMIF('DADOS BRUTOS'!$A$3:$A$500,$C30,'DADOS BRUTOS'!DM$3:DM$500)))</f>
        <v/>
      </c>
      <c r="GN30" s="125">
        <f>IF(OR(GN$4="",$B30=""),0,SUMIF('DADOS BRUTOS'!$A$3:$A$500,$B30,'DADOS BRUTOS'!DN$3:DN$500)+IF($C30="",0,SUMIF('DADOS BRUTOS'!$A$3:$A$500,$C30,'DADOS BRUTOS'!DN$3:DN$500)))</f>
        <v/>
      </c>
      <c r="GO30" s="125">
        <f>IF(OR(GO$4="",$B30=""),0,SUMIF('DADOS BRUTOS'!$A$3:$A$500,$B30,'DADOS BRUTOS'!DO$3:DO$500)+IF($C30="",0,SUMIF('DADOS BRUTOS'!$A$3:$A$500,$C30,'DADOS BRUTOS'!DO$3:DO$500)))</f>
        <v/>
      </c>
      <c r="GP30" s="125">
        <f>IF(OR(GP$4="",$B30=""),0,SUMIF('DADOS BRUTOS'!$A$3:$A$500,$B30,'DADOS BRUTOS'!DP$3:DP$500)+IF($C30="",0,SUMIF('DADOS BRUTOS'!$A$3:$A$500,$C30,'DADOS BRUTOS'!DP$3:DP$500)))</f>
        <v/>
      </c>
      <c r="GQ30" s="125">
        <f>IF(OR(GQ$4="",$B30=""),0,SUMIF('DADOS BRUTOS'!$A$3:$A$500,$B30,'DADOS BRUTOS'!DQ$3:DQ$500)+IF($C30="",0,SUMIF('DADOS BRUTOS'!$A$3:$A$500,$C30,'DADOS BRUTOS'!DQ$3:DQ$500)))</f>
        <v/>
      </c>
      <c r="GR30" s="125">
        <f>IF(OR(GR$4="",$B30=""),0,SUMIF('DADOS BRUTOS'!$A$3:$A$500,$B30,'DADOS BRUTOS'!DR$3:DR$500)+IF($C30="",0,SUMIF('DADOS BRUTOS'!$A$3:$A$500,$C30,'DADOS BRUTOS'!DR$3:DR$500)))</f>
        <v/>
      </c>
      <c r="GS30" s="125">
        <f>IF(OR(GS$4="",$B30=""),0,SUMIF('DADOS BRUTOS'!$A$3:$A$500,$B30,'DADOS BRUTOS'!DS$3:DS$500)+IF($C30="",0,SUMIF('DADOS BRUTOS'!$A$3:$A$500,$C30,'DADOS BRUTOS'!DS$3:DS$500)))</f>
        <v/>
      </c>
      <c r="GT30" s="125">
        <f>IF(OR(GT$4="",$B30=""),0,SUMIF('DADOS BRUTOS'!$A$3:$A$500,$B30,'DADOS BRUTOS'!DT$3:DT$500)+IF($C30="",0,SUMIF('DADOS BRUTOS'!$A$3:$A$500,$C30,'DADOS BRUTOS'!DT$3:DT$500)))</f>
        <v/>
      </c>
      <c r="GU30" s="125">
        <f>IF(OR(GU$4="",$B30=""),0,SUMIF('DADOS BRUTOS'!$A$3:$A$500,$B30,'DADOS BRUTOS'!DU$3:DU$500)+IF($C30="",0,SUMIF('DADOS BRUTOS'!$A$3:$A$500,$C30,'DADOS BRUTOS'!DU$3:DU$500)))</f>
        <v/>
      </c>
      <c r="GV30" s="125">
        <f>IF(OR(GV$4="",$B30=""),0,SUMIF('DADOS BRUTOS'!$A$3:$A$500,$B30,'DADOS BRUTOS'!DV$3:DV$500)+IF($C30="",0,SUMIF('DADOS BRUTOS'!$A$3:$A$500,$C30,'DADOS BRUTOS'!DV$3:DV$500)))</f>
        <v/>
      </c>
      <c r="GW30" s="125">
        <f>IF(OR(GW$4="",$B30=""),0,SUMIF('DADOS BRUTOS'!$A$3:$A$500,$B30,'DADOS BRUTOS'!DW$3:DW$500)+IF($C30="",0,SUMIF('DADOS BRUTOS'!$A$3:$A$500,$C30,'DADOS BRUTOS'!DW$3:DW$500)))</f>
        <v/>
      </c>
      <c r="GX30" s="125">
        <f>IF(OR(GX$4="",$B30=""),0,SUMIF('DADOS BRUTOS'!$A$3:$A$500,$B30,'DADOS BRUTOS'!DX$3:DX$500)+IF($C30="",0,SUMIF('DADOS BRUTOS'!$A$3:$A$500,$C30,'DADOS BRUTOS'!DX$3:DX$500)))</f>
        <v/>
      </c>
      <c r="GY30" s="125">
        <f>IF(OR(GY$4="",$B30=""),0,SUMIF('DADOS BRUTOS'!$A$3:$A$500,$B30,'DADOS BRUTOS'!DY$3:DY$500)+IF($C30="",0,SUMIF('DADOS BRUTOS'!$A$3:$A$500,$C30,'DADOS BRUTOS'!DY$3:DY$500)))</f>
        <v/>
      </c>
      <c r="GZ30" s="125">
        <f>IF(OR(GZ$4="",$B30=""),0,SUMIF('DADOS BRUTOS'!$A$3:$A$500,$B30,'DADOS BRUTOS'!DZ$3:DZ$500)+IF($C30="",0,SUMIF('DADOS BRUTOS'!$A$3:$A$500,$C30,'DADOS BRUTOS'!DZ$3:DZ$500)))</f>
        <v/>
      </c>
      <c r="HA30" s="125">
        <f>IF(OR(HA$4="",$B30=""),0,SUMIF('DADOS BRUTOS'!$A$3:$A$500,$B30,'DADOS BRUTOS'!EA$3:EA$500)+IF($C30="",0,SUMIF('DADOS BRUTOS'!$A$3:$A$500,$C30,'DADOS BRUTOS'!EA$3:EA$500)))</f>
        <v/>
      </c>
      <c r="HB30" s="125">
        <f>IF(OR(HB$4="",$B30=""),0,SUMIF('DADOS BRUTOS'!$A$3:$A$500,$B30,'DADOS BRUTOS'!EB$3:EB$500)+IF($C30="",0,SUMIF('DADOS BRUTOS'!$A$3:$A$500,$C30,'DADOS BRUTOS'!EB$3:EB$500)))</f>
        <v/>
      </c>
      <c r="HC30" s="125">
        <f>IF(OR(HC$4="",$B30=""),0,SUMIF('DADOS BRUTOS'!$A$3:$A$500,$B30,'DADOS BRUTOS'!EC$3:EC$500)+IF($C30="",0,SUMIF('DADOS BRUTOS'!$A$3:$A$500,$C30,'DADOS BRUTOS'!EC$3:EC$500)))</f>
        <v/>
      </c>
      <c r="HD30" s="125">
        <f>IF(OR(HD$4="",$B30=""),0,SUMIF('DADOS BRUTOS'!$A$3:$A$500,$B30,'DADOS BRUTOS'!ED$3:ED$500)+IF($C30="",0,SUMIF('DADOS BRUTOS'!$A$3:$A$500,$C30,'DADOS BRUTOS'!ED$3:ED$500)))</f>
        <v/>
      </c>
      <c r="HE30" s="125">
        <f>IF(OR(HE$4="",$B30=""),0,SUMIF('DADOS BRUTOS'!$A$3:$A$500,$B30,'DADOS BRUTOS'!EE$3:EE$500)+IF($C30="",0,SUMIF('DADOS BRUTOS'!$A$3:$A$500,$C30,'DADOS BRUTOS'!EE$3:EE$500)))</f>
        <v/>
      </c>
      <c r="HF30" s="125">
        <f>IF(OR(HF$4="",$B30=""),0,SUMIF('DADOS BRUTOS'!$A$3:$A$500,$B30,'DADOS BRUTOS'!EF$3:EF$500)+IF($C30="",0,SUMIF('DADOS BRUTOS'!$A$3:$A$500,$C30,'DADOS BRUTOS'!EF$3:EF$500)))</f>
        <v/>
      </c>
      <c r="HG30" s="125">
        <f>IF(OR(HG$4="",$B30=""),0,SUMIF('DADOS BRUTOS'!$A$3:$A$500,$B30,'DADOS BRUTOS'!EG$3:EG$500)+IF($C30="",0,SUMIF('DADOS BRUTOS'!$A$3:$A$500,$C30,'DADOS BRUTOS'!EG$3:EG$500)))</f>
        <v/>
      </c>
      <c r="HH30" s="125">
        <f>IF(OR(HH$4="",$B30=""),0,SUMIF('DADOS BRUTOS'!$A$3:$A$500,$B30,'DADOS BRUTOS'!EH$3:EH$500)+IF($C30="",0,SUMIF('DADOS BRUTOS'!$A$3:$A$500,$C30,'DADOS BRUTOS'!EH$3:EH$500)))</f>
        <v/>
      </c>
      <c r="HI30" s="125">
        <f>IF(OR(HI$4="",$B30=""),0,SUMIF('DADOS BRUTOS'!$A$3:$A$500,$B30,'DADOS BRUTOS'!EI$3:EI$500)+IF($C30="",0,SUMIF('DADOS BRUTOS'!$A$3:$A$500,$C30,'DADOS BRUTOS'!EI$3:EI$500)))</f>
        <v/>
      </c>
      <c r="HJ30" s="125">
        <f>IF(OR(HJ$4="",$B30=""),0,SUMIF('DADOS BRUTOS'!$A$3:$A$500,$B30,'DADOS BRUTOS'!EJ$3:EJ$500)+IF($C30="",0,SUMIF('DADOS BRUTOS'!$A$3:$A$500,$C30,'DADOS BRUTOS'!EJ$3:EJ$500)))</f>
        <v/>
      </c>
      <c r="HK30" s="125">
        <f>IF(OR(HK$4="",$B30=""),0,SUMIF('DADOS BRUTOS'!$A$3:$A$500,$B30,'DADOS BRUTOS'!EK$3:EK$500)+IF($C30="",0,SUMIF('DADOS BRUTOS'!$A$3:$A$500,$C30,'DADOS BRUTOS'!EK$3:EK$500)))</f>
        <v/>
      </c>
      <c r="HL30" s="125">
        <f>IF(OR(HL$4="",$B30=""),0,SUMIF('DADOS BRUTOS'!$A$3:$A$500,$B30,'DADOS BRUTOS'!EL$3:EL$500)+IF($C30="",0,SUMIF('DADOS BRUTOS'!$A$3:$A$500,$C30,'DADOS BRUTOS'!EL$3:EL$500)))</f>
        <v/>
      </c>
      <c r="HM30" s="125">
        <f>IF(OR(HM$4="",$B30=""),0,SUMIF('DADOS BRUTOS'!$A$3:$A$500,$B30,'DADOS BRUTOS'!EM$3:EM$500)+IF($C30="",0,SUMIF('DADOS BRUTOS'!$A$3:$A$500,$C30,'DADOS BRUTOS'!EM$3:EM$500)))</f>
        <v/>
      </c>
      <c r="HN30" s="125">
        <f>IF(OR(HN$4="",$B30=""),0,SUMIF('DADOS BRUTOS'!$A$3:$A$500,$B30,'DADOS BRUTOS'!EN$3:EN$500)+IF($C30="",0,SUMIF('DADOS BRUTOS'!$A$3:$A$500,$C30,'DADOS BRUTOS'!EN$3:EN$500)))</f>
        <v/>
      </c>
      <c r="HO30" s="125">
        <f>IF(OR(HO$4="",$B30=""),0,SUMIF('DADOS BRUTOS'!$A$3:$A$500,$B30,'DADOS BRUTOS'!EO$3:EO$500)+IF($C30="",0,SUMIF('DADOS BRUTOS'!$A$3:$A$500,$C30,'DADOS BRUTOS'!EO$3:EO$500)))</f>
        <v/>
      </c>
      <c r="HP30" s="125">
        <f>IF(OR(HP$4="",$B30=""),0,SUMIF('DADOS BRUTOS'!$A$3:$A$500,$B30,'DADOS BRUTOS'!EP$3:EP$500)+IF($C30="",0,SUMIF('DADOS BRUTOS'!$A$3:$A$500,$C30,'DADOS BRUTOS'!EP$3:EP$500)))</f>
        <v/>
      </c>
      <c r="HQ30" s="125">
        <f>IF(OR(HQ$4="",$B30=""),0,SUMIF('DADOS BRUTOS'!$A$3:$A$500,$B30,'DADOS BRUTOS'!EQ$3:EQ$500)+IF($C30="",0,SUMIF('DADOS BRUTOS'!$A$3:$A$500,$C30,'DADOS BRUTOS'!EQ$3:EQ$500)))</f>
        <v/>
      </c>
      <c r="HR30" s="125">
        <f>IF(OR(HR$4="",$B30=""),0,SUMIF('DADOS BRUTOS'!$A$3:$A$500,$B30,'DADOS BRUTOS'!ER$3:ER$500)+IF($C30="",0,SUMIF('DADOS BRUTOS'!$A$3:$A$500,$C30,'DADOS BRUTOS'!ER$3:ER$500)))</f>
        <v/>
      </c>
      <c r="HS30" s="125">
        <f>IF(OR(HS$4="",$B30=""),0,SUMIF('DADOS BRUTOS'!$A$3:$A$500,$B30,'DADOS BRUTOS'!ES$3:ES$500)+IF($C30="",0,SUMIF('DADOS BRUTOS'!$A$3:$A$500,$C30,'DADOS BRUTOS'!ES$3:ES$500)))</f>
        <v/>
      </c>
      <c r="HT30" s="125">
        <f>IF(OR(HT$4="",$B30=""),0,SUMIF('DADOS BRUTOS'!$A$3:$A$500,$B30,'DADOS BRUTOS'!ET$3:ET$500)+IF($C30="",0,SUMIF('DADOS BRUTOS'!$A$3:$A$500,$C30,'DADOS BRUTOS'!ET$3:ET$500)))</f>
        <v/>
      </c>
      <c r="HU30" s="125">
        <f>IF(OR(HU$4="",$B30=""),0,SUMIF('DADOS BRUTOS'!$A$3:$A$500,$B30,'DADOS BRUTOS'!EU$3:EU$500)+IF($C30="",0,SUMIF('DADOS BRUTOS'!$A$3:$A$500,$C30,'DADOS BRUTOS'!EU$3:EU$500)))</f>
        <v/>
      </c>
      <c r="HV30" s="125">
        <f>IF(OR(HV$4="",$B30=""),0,SUMIF('DADOS BRUTOS'!$A$3:$A$500,$B30,'DADOS BRUTOS'!EV$3:EV$500)+IF($C30="",0,SUMIF('DADOS BRUTOS'!$A$3:$A$500,$C30,'DADOS BRUTOS'!EV$3:EV$500)))</f>
        <v/>
      </c>
      <c r="HW30" s="125">
        <f>IF(OR(HW$4="",$B30=""),0,SUMIF('DADOS BRUTOS'!$A$3:$A$500,$B30,'DADOS BRUTOS'!EW$3:EW$500)+IF($C30="",0,SUMIF('DADOS BRUTOS'!$A$3:$A$500,$C30,'DADOS BRUTOS'!EW$3:EW$500)))</f>
        <v/>
      </c>
      <c r="HX30" s="125">
        <f>IF(OR(HX$4="",$B30=""),0,SUMIF('DADOS BRUTOS'!$A$3:$A$500,$B30,'DADOS BRUTOS'!EX$3:EX$500)+IF($C30="",0,SUMIF('DADOS BRUTOS'!$A$3:$A$500,$C30,'DADOS BRUTOS'!EX$3:EX$500)))</f>
        <v/>
      </c>
      <c r="HY30" s="125">
        <f>IF(OR(HY$4="",$B30=""),0,SUMIF('DADOS BRUTOS'!$A$3:$A$500,$B30,'DADOS BRUTOS'!EY$3:EY$500)+IF($C30="",0,SUMIF('DADOS BRUTOS'!$A$3:$A$500,$C30,'DADOS BRUTOS'!EY$3:EY$500)))</f>
        <v/>
      </c>
      <c r="HZ30" s="125">
        <f>IF(OR(HZ$4="",$B30=""),0,SUMIF('DADOS BRUTOS'!$A$3:$A$500,$B30,'DADOS BRUTOS'!EZ$3:EZ$500)+IF($C30="",0,SUMIF('DADOS BRUTOS'!$A$3:$A$500,$C30,'DADOS BRUTOS'!EZ$3:EZ$500)))</f>
        <v/>
      </c>
      <c r="IA30" s="125">
        <f>IF(OR(IA$4="",$B30=""),0,SUMIF('DADOS BRUTOS'!$A$3:$A$500,$B30,'DADOS BRUTOS'!FA$3:FA$500)+IF($C30="",0,SUMIF('DADOS BRUTOS'!$A$3:$A$500,$C30,'DADOS BRUTOS'!FA$3:FA$500)))</f>
        <v/>
      </c>
      <c r="IB30" s="125">
        <f>IF(OR(IB$4="",$B30=""),0,SUMIF('DADOS BRUTOS'!$A$3:$A$500,$B30,'DADOS BRUTOS'!FB$3:FB$500)+IF($C30="",0,SUMIF('DADOS BRUTOS'!$A$3:$A$500,$C30,'DADOS BRUTOS'!FB$3:FB$500)))</f>
        <v/>
      </c>
      <c r="IC30" s="125">
        <f>IF(OR(IC$4="",$B30=""),0,SUMIF('DADOS BRUTOS'!$A$3:$A$500,$B30,'DADOS BRUTOS'!FC$3:FC$500)+IF($C30="",0,SUMIF('DADOS BRUTOS'!$A$3:$A$500,$C30,'DADOS BRUTOS'!FC$3:FC$500)))</f>
        <v/>
      </c>
      <c r="ID30" s="125">
        <f>IF(OR(ID$4="",$B30=""),0,SUMIF('DADOS BRUTOS'!$A$3:$A$500,$B30,'DADOS BRUTOS'!FD$3:FD$500)+IF($C30="",0,SUMIF('DADOS BRUTOS'!$A$3:$A$500,$C30,'DADOS BRUTOS'!FD$3:FD$500)))</f>
        <v/>
      </c>
      <c r="IE30" s="125">
        <f>IF(OR(IE$4="",$B30=""),0,SUMIF('DADOS BRUTOS'!$A$3:$A$500,$B30,'DADOS BRUTOS'!FE$3:FE$500)+IF($C30="",0,SUMIF('DADOS BRUTOS'!$A$3:$A$500,$C30,'DADOS BRUTOS'!FE$3:FE$500)))</f>
        <v/>
      </c>
      <c r="IF30" s="125">
        <f>IF(OR(IF$4="",$B30=""),0,SUMIF('DADOS BRUTOS'!$A$3:$A$500,$B30,'DADOS BRUTOS'!FF$3:FF$500)+IF($C30="",0,SUMIF('DADOS BRUTOS'!$A$3:$A$500,$C30,'DADOS BRUTOS'!FF$3:FF$500)))</f>
        <v/>
      </c>
      <c r="IG30" s="125">
        <f>IF(OR(IG$4="",$B30=""),0,SUMIF('DADOS BRUTOS'!$A$3:$A$500,$B30,'DADOS BRUTOS'!FG$3:FG$500)+IF($C30="",0,SUMIF('DADOS BRUTOS'!$A$3:$A$500,$C30,'DADOS BRUTOS'!FG$3:FG$500)))</f>
        <v/>
      </c>
      <c r="IH30" s="125">
        <f>IF(OR(IH$4="",$B30=""),0,SUMIF('DADOS BRUTOS'!$A$3:$A$500,$B30,'DADOS BRUTOS'!FH$3:FH$500)+IF($C30="",0,SUMIF('DADOS BRUTOS'!$A$3:$A$500,$C30,'DADOS BRUTOS'!FH$3:FH$500)))</f>
        <v/>
      </c>
      <c r="II30" s="125">
        <f>IF(OR(II$4="",$B30=""),0,SUMIF('DADOS BRUTOS'!$A$3:$A$500,$B30,'DADOS BRUTOS'!FI$3:FI$500)+IF($C30="",0,SUMIF('DADOS BRUTOS'!$A$3:$A$500,$C30,'DADOS BRUTOS'!FI$3:FI$500)))</f>
        <v/>
      </c>
      <c r="IJ30" s="125">
        <f>IF(OR(IJ$4="",$B30=""),0,SUMIF('DADOS BRUTOS'!$A$3:$A$500,$B30,'DADOS BRUTOS'!FJ$3:FJ$500)+IF($C30="",0,SUMIF('DADOS BRUTOS'!$A$3:$A$500,$C30,'DADOS BRUTOS'!FJ$3:FJ$500)))</f>
        <v/>
      </c>
      <c r="IK30" s="125">
        <f>IF(OR(IK$4="",$B30=""),0,SUMIF('DADOS BRUTOS'!$A$3:$A$500,$B30,'DADOS BRUTOS'!FK$3:FK$500)+IF($C30="",0,SUMIF('DADOS BRUTOS'!$A$3:$A$500,$C30,'DADOS BRUTOS'!FK$3:FK$500)))</f>
        <v/>
      </c>
      <c r="IL30" s="125">
        <f>IF(OR(IL$4="",$B30=""),0,SUMIF('DADOS BRUTOS'!$A$3:$A$500,$B30,'DADOS BRUTOS'!FL$3:FL$500)+IF($C30="",0,SUMIF('DADOS BRUTOS'!$A$3:$A$500,$C30,'DADOS BRUTOS'!FL$3:FL$500)))</f>
        <v/>
      </c>
      <c r="IM30" s="125">
        <f>IF(OR(IM$4="",$B30=""),0,SUMIF('DADOS BRUTOS'!$A$3:$A$500,$B30,'DADOS BRUTOS'!FM$3:FM$500)+IF($C30="",0,SUMIF('DADOS BRUTOS'!$A$3:$A$500,$C30,'DADOS BRUTOS'!FM$3:FM$500)))</f>
        <v/>
      </c>
      <c r="IN30" s="125">
        <f>IF(OR(IN$4="",$B30=""),0,SUMIF('DADOS BRUTOS'!$A$3:$A$500,$B30,'DADOS BRUTOS'!FN$3:FN$500)+IF($C30="",0,SUMIF('DADOS BRUTOS'!$A$3:$A$500,$C30,'DADOS BRUTOS'!FN$3:FN$500)))</f>
        <v/>
      </c>
      <c r="IO30" s="125">
        <f>IF(OR(IO$4="",$B30=""),0,SUMIF('DADOS BRUTOS'!$A$3:$A$500,$B30,'DADOS BRUTOS'!FO$3:FO$500)+IF($C30="",0,SUMIF('DADOS BRUTOS'!$A$3:$A$500,$C30,'DADOS BRUTOS'!FO$3:FO$500)))</f>
        <v/>
      </c>
      <c r="IP30" s="125">
        <f>IF(OR(IP$4="",$B30=""),0,SUMIF('DADOS BRUTOS'!$A$3:$A$500,$B30,'DADOS BRUTOS'!FP$3:FP$500)+IF($C30="",0,SUMIF('DADOS BRUTOS'!$A$3:$A$500,$C30,'DADOS BRUTOS'!FP$3:FP$500)))</f>
        <v/>
      </c>
      <c r="IQ30" s="125">
        <f>IF(OR(IQ$4="",$B30=""),0,SUMIF('DADOS BRUTOS'!$A$3:$A$500,$B30,'DADOS BRUTOS'!FQ$3:FQ$500)+IF($C30="",0,SUMIF('DADOS BRUTOS'!$A$3:$A$500,$C30,'DADOS BRUTOS'!FQ$3:FQ$500)))</f>
        <v/>
      </c>
      <c r="IR30" s="125">
        <f>IF(OR(IR$4="",$B30=""),0,SUMIF('DADOS BRUTOS'!$A$3:$A$500,$B30,'DADOS BRUTOS'!FR$3:FR$500)+IF($C30="",0,SUMIF('DADOS BRUTOS'!$A$3:$A$500,$C30,'DADOS BRUTOS'!FR$3:FR$500)))</f>
        <v/>
      </c>
      <c r="IS30" s="125">
        <f>IF(OR(IS$4="",$B30=""),0,SUMIF('DADOS BRUTOS'!$A$3:$A$500,$B30,'DADOS BRUTOS'!FS$3:FS$500)+IF($C30="",0,SUMIF('DADOS BRUTOS'!$A$3:$A$500,$C30,'DADOS BRUTOS'!FS$3:FS$500)))</f>
        <v/>
      </c>
      <c r="IT30" s="125">
        <f>IF(OR(IT$4="",$B30=""),0,SUMIF('DADOS BRUTOS'!$A$3:$A$500,$B30,'DADOS BRUTOS'!FT$3:FT$500)+IF($C30="",0,SUMIF('DADOS BRUTOS'!$A$3:$A$500,$C30,'DADOS BRUTOS'!FT$3:FT$500)))</f>
        <v/>
      </c>
      <c r="IU30" s="125">
        <f>IF(OR(IU$4="",$B30=""),0,SUMIF('DADOS BRUTOS'!$A$3:$A$500,$B30,'DADOS BRUTOS'!FU$3:FU$500)+IF($C30="",0,SUMIF('DADOS BRUTOS'!$A$3:$A$500,$C30,'DADOS BRUTOS'!FU$3:FU$500)))</f>
        <v/>
      </c>
      <c r="IV30" s="125">
        <f>IF(OR(IV$4="",$B30=""),0,SUMIF('DADOS BRUTOS'!$A$3:$A$500,$B30,'DADOS BRUTOS'!FV$3:FV$500)+IF($C30="",0,SUMIF('DADOS BRUTOS'!$A$3:$A$500,$C30,'DADOS BRUTOS'!FV$3:FV$500)))</f>
        <v/>
      </c>
      <c r="IW30" s="125">
        <f>IF(OR(IW$4="",$B30=""),0,SUMIF('DADOS BRUTOS'!$A$3:$A$500,$B30,'DADOS BRUTOS'!FW$3:FW$500)+IF($C30="",0,SUMIF('DADOS BRUTOS'!$A$3:$A$500,$C30,'DADOS BRUTOS'!FW$3:FW$500)))</f>
        <v/>
      </c>
      <c r="IX30" s="125">
        <f>IF(OR(IX$4="",$B30=""),0,SUMIF('DADOS BRUTOS'!$A$3:$A$500,$B30,'DADOS BRUTOS'!FX$3:FX$500)+IF($C30="",0,SUMIF('DADOS BRUTOS'!$A$3:$A$500,$C30,'DADOS BRUTOS'!FX$3:FX$500)))</f>
        <v/>
      </c>
      <c r="IY30" s="125">
        <f>IF(OR(IY$4="",$B30=""),0,SUMIF('DADOS BRUTOS'!$A$3:$A$500,$B30,'DADOS BRUTOS'!FY$3:FY$500)+IF($C30="",0,SUMIF('DADOS BRUTOS'!$A$3:$A$500,$C30,'DADOS BRUTOS'!FY$3:FY$500)))</f>
        <v/>
      </c>
      <c r="IZ30" s="125">
        <f>IF(OR(IZ$4="",$B30=""),0,SUMIF('DADOS BRUTOS'!$A$3:$A$500,$B30,'DADOS BRUTOS'!FZ$3:FZ$500)+IF($C30="",0,SUMIF('DADOS BRUTOS'!$A$3:$A$500,$C30,'DADOS BRUTOS'!FZ$3:FZ$500)))</f>
        <v/>
      </c>
      <c r="JA30" s="125">
        <f>IF(OR(JA$4="",$B30=""),0,SUMIF('DADOS BRUTOS'!$A$3:$A$500,$B30,'DADOS BRUTOS'!GA$3:GA$500)+IF($C30="",0,SUMIF('DADOS BRUTOS'!$A$3:$A$500,$C30,'DADOS BRUTOS'!GA$3:GA$500)))</f>
        <v/>
      </c>
      <c r="JB30" s="125">
        <f>IF(OR(JB$4="",$B30=""),0,SUMIF('DADOS BRUTOS'!$A$3:$A$500,$B30,'DADOS BRUTOS'!GB$3:GB$500)+IF($C30="",0,SUMIF('DADOS BRUTOS'!$A$3:$A$500,$C30,'DADOS BRUTOS'!GB$3:GB$500)))</f>
        <v/>
      </c>
      <c r="JC30" s="125">
        <f>IF(OR(JC$4="",$B30=""),0,SUMIF('DADOS BRUTOS'!$A$3:$A$500,$B30,'DADOS BRUTOS'!GC$3:GC$500)+IF($C30="",0,SUMIF('DADOS BRUTOS'!$A$3:$A$500,$C30,'DADOS BRUTOS'!GC$3:GC$500)))</f>
        <v/>
      </c>
      <c r="JD30" s="125">
        <f>IF(OR(JD$4="",$B30=""),0,SUMIF('DADOS BRUTOS'!$A$3:$A$500,$B30,'DADOS BRUTOS'!GD$3:GD$500)+IF($C30="",0,SUMIF('DADOS BRUTOS'!$A$3:$A$500,$C30,'DADOS BRUTOS'!GD$3:GD$500)))</f>
        <v/>
      </c>
      <c r="JE30" s="125">
        <f>IF(OR(JE$4="",$B30=""),0,SUMIF('DADOS BRUTOS'!$A$3:$A$500,$B30,'DADOS BRUTOS'!GE$3:GE$500)+IF($C30="",0,SUMIF('DADOS BRUTOS'!$A$3:$A$500,$C30,'DADOS BRUTOS'!GE$3:GE$500)))</f>
        <v/>
      </c>
      <c r="JF30" s="125">
        <f>IF(OR(JF$4="",$B30=""),0,SUMIF('DADOS BRUTOS'!$A$3:$A$500,$B30,'DADOS BRUTOS'!GF$3:GF$500)+IF($C30="",0,SUMIF('DADOS BRUTOS'!$A$3:$A$500,$C30,'DADOS BRUTOS'!GF$3:GF$500)))</f>
        <v/>
      </c>
      <c r="JG30" s="125">
        <f>IF(OR(JG$4="",$B30=""),0,SUMIF('DADOS BRUTOS'!$A$3:$A$500,$B30,'DADOS BRUTOS'!GG$3:GG$500)+IF($C30="",0,SUMIF('DADOS BRUTOS'!$A$3:$A$500,$C30,'DADOS BRUTOS'!GG$3:GG$500)))</f>
        <v/>
      </c>
      <c r="JH30" s="125">
        <f>IF(OR(JH$4="",$B30=""),0,SUMIF('DADOS BRUTOS'!$A$3:$A$500,$B30,'DADOS BRUTOS'!GH$3:GH$500)+IF($C30="",0,SUMIF('DADOS BRUTOS'!$A$3:$A$500,$C30,'DADOS BRUTOS'!GH$3:GH$500)))</f>
        <v/>
      </c>
      <c r="JI30" s="125">
        <f>IF(OR(JI$4="",$B30=""),0,SUMIF('DADOS BRUTOS'!$A$3:$A$500,$B30,'DADOS BRUTOS'!GI$3:GI$500)+IF($C30="",0,SUMIF('DADOS BRUTOS'!$A$3:$A$500,$C30,'DADOS BRUTOS'!GI$3:GI$500)))</f>
        <v/>
      </c>
      <c r="JJ30" s="125">
        <f>IF(OR(JJ$4="",$B30=""),0,SUMIF('DADOS BRUTOS'!$A$3:$A$500,$B30,'DADOS BRUTOS'!GJ$3:GJ$500)+IF($C30="",0,SUMIF('DADOS BRUTOS'!$A$3:$A$500,$C30,'DADOS BRUTOS'!GJ$3:GJ$500)))</f>
        <v/>
      </c>
      <c r="JK30" s="125">
        <f>IF(OR(JK$4="",$B30=""),0,SUMIF('DADOS BRUTOS'!$A$3:$A$500,$B30,'DADOS BRUTOS'!GK$3:GK$500)+IF($C30="",0,SUMIF('DADOS BRUTOS'!$A$3:$A$500,$C30,'DADOS BRUTOS'!GK$3:GK$500)))</f>
        <v/>
      </c>
      <c r="JL30" s="125">
        <f>IF(OR(JL$4="",$B30=""),0,SUMIF('DADOS BRUTOS'!$A$3:$A$500,$B30,'DADOS BRUTOS'!GL$3:GL$500)+IF($C30="",0,SUMIF('DADOS BRUTOS'!$A$3:$A$500,$C30,'DADOS BRUTOS'!GL$3:GL$500)))</f>
        <v/>
      </c>
      <c r="JM30" s="125">
        <f>IF(OR(JM$4="",$B30=""),0,SUMIF('DADOS BRUTOS'!$A$3:$A$500,$B30,'DADOS BRUTOS'!GM$3:GM$500)+IF($C30="",0,SUMIF('DADOS BRUTOS'!$A$3:$A$500,$C30,'DADOS BRUTOS'!GM$3:GM$500)))</f>
        <v/>
      </c>
      <c r="JN30" s="125">
        <f>IF(OR(JN$4="",$B30=""),0,SUMIF('DADOS BRUTOS'!$A$3:$A$500,$B30,'DADOS BRUTOS'!GN$3:GN$500)+IF($C30="",0,SUMIF('DADOS BRUTOS'!$A$3:$A$500,$C30,'DADOS BRUTOS'!GN$3:GN$500)))</f>
        <v/>
      </c>
      <c r="JO30" s="125">
        <f>IF(OR(JO$4="",$B30=""),0,SUMIF('DADOS BRUTOS'!$A$3:$A$500,$B30,'DADOS BRUTOS'!GO$3:GO$500)+IF($C30="",0,SUMIF('DADOS BRUTOS'!$A$3:$A$500,$C30,'DADOS BRUTOS'!GO$3:GO$500)))</f>
        <v/>
      </c>
      <c r="JP30" s="125">
        <f>IF(OR(JP$4="",$B30=""),0,SUMIF('DADOS BRUTOS'!$A$3:$A$500,$B30,'DADOS BRUTOS'!GP$3:GP$500)+IF($C30="",0,SUMIF('DADOS BRUTOS'!$A$3:$A$500,$C30,'DADOS BRUTOS'!GP$3:GP$500)))</f>
        <v/>
      </c>
      <c r="JQ30" s="125">
        <f>IF(OR(JQ$4="",$B30=""),0,SUMIF('DADOS BRUTOS'!$A$3:$A$500,$B30,'DADOS BRUTOS'!GQ$3:GQ$500)+IF($C30="",0,SUMIF('DADOS BRUTOS'!$A$3:$A$500,$C30,'DADOS BRUTOS'!GQ$3:GQ$500)))</f>
        <v/>
      </c>
      <c r="JR30" s="125">
        <f>IF(OR(JR$4="",$B30=""),0,SUMIF('DADOS BRUTOS'!$A$3:$A$500,$B30,'DADOS BRUTOS'!GR$3:GR$500)+IF($C30="",0,SUMIF('DADOS BRUTOS'!$A$3:$A$500,$C30,'DADOS BRUTOS'!GR$3:GR$500)))</f>
        <v/>
      </c>
      <c r="JS30" s="125">
        <f>IF(OR(JS$4="",$B30=""),0,SUMIF('DADOS BRUTOS'!$A$3:$A$500,$B30,'DADOS BRUTOS'!GS$3:GS$500)+IF($C30="",0,SUMIF('DADOS BRUTOS'!$A$3:$A$500,$C30,'DADOS BRUTOS'!GS$3:GS$500)))</f>
        <v/>
      </c>
    </row>
    <row r="31">
      <c r="A31" s="61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BZ31" s="49">
        <f>SUMPRODUCT(($CB$4:$JS$4&lt;&gt;"")*($CB$4:$JS$4&lt;=$D$4),$CB31:$JS31,$CB$1:$JS$1)</f>
        <v/>
      </c>
      <c r="CB31" s="125">
        <f>IF(OR(CB$4="",$B31=""),0,SUMIF('DADOS BRUTOS'!$A$3:$A$500,$B31,'DADOS BRUTOS'!B$3:B$500)+IF($C31="",0,SUMIF('DADOS BRUTOS'!$A$3:$A$500,$C31,'DADOS BRUTOS'!B$3:B$500)))</f>
        <v/>
      </c>
      <c r="CC31" s="125">
        <f>IF(OR(CC$4="",$B31=""),0,SUMIF('DADOS BRUTOS'!$A$3:$A$500,$B31,'DADOS BRUTOS'!C$3:C$500)+IF($C31="",0,SUMIF('DADOS BRUTOS'!$A$3:$A$500,$C31,'DADOS BRUTOS'!C$3:C$500)))</f>
        <v/>
      </c>
      <c r="CD31" s="125">
        <f>IF(OR(CD$4="",$B31=""),0,SUMIF('DADOS BRUTOS'!$A$3:$A$500,$B31,'DADOS BRUTOS'!D$3:D$500)+IF($C31="",0,SUMIF('DADOS BRUTOS'!$A$3:$A$500,$C31,'DADOS BRUTOS'!D$3:D$500)))</f>
        <v/>
      </c>
      <c r="CE31" s="125">
        <f>IF(OR(CE$4="",$B31=""),0,SUMIF('DADOS BRUTOS'!$A$3:$A$500,$B31,'DADOS BRUTOS'!E$3:E$500)+IF($C31="",0,SUMIF('DADOS BRUTOS'!$A$3:$A$500,$C31,'DADOS BRUTOS'!E$3:E$500)))</f>
        <v/>
      </c>
      <c r="CF31" s="125">
        <f>IF(OR(CF$4="",$B31=""),0,SUMIF('DADOS BRUTOS'!$A$3:$A$500,$B31,'DADOS BRUTOS'!F$3:F$500)+IF($C31="",0,SUMIF('DADOS BRUTOS'!$A$3:$A$500,$C31,'DADOS BRUTOS'!F$3:F$500)))</f>
        <v/>
      </c>
      <c r="CG31" s="125">
        <f>IF(OR(CG$4="",$B31=""),0,SUMIF('DADOS BRUTOS'!$A$3:$A$500,$B31,'DADOS BRUTOS'!G$3:G$500)+IF($C31="",0,SUMIF('DADOS BRUTOS'!$A$3:$A$500,$C31,'DADOS BRUTOS'!G$3:G$500)))</f>
        <v/>
      </c>
      <c r="CH31" s="125">
        <f>IF(OR(CH$4="",$B31=""),0,SUMIF('DADOS BRUTOS'!$A$3:$A$500,$B31,'DADOS BRUTOS'!H$3:H$500)+IF($C31="",0,SUMIF('DADOS BRUTOS'!$A$3:$A$500,$C31,'DADOS BRUTOS'!H$3:H$500)))</f>
        <v/>
      </c>
      <c r="CI31" s="125">
        <f>IF(OR(CI$4="",$B31=""),0,SUMIF('DADOS BRUTOS'!$A$3:$A$500,$B31,'DADOS BRUTOS'!I$3:I$500)+IF($C31="",0,SUMIF('DADOS BRUTOS'!$A$3:$A$500,$C31,'DADOS BRUTOS'!I$3:I$500)))</f>
        <v/>
      </c>
      <c r="CJ31" s="125">
        <f>IF(OR(CJ$4="",$B31=""),0,SUMIF('DADOS BRUTOS'!$A$3:$A$500,$B31,'DADOS BRUTOS'!J$3:J$500)+IF($C31="",0,SUMIF('DADOS BRUTOS'!$A$3:$A$500,$C31,'DADOS BRUTOS'!J$3:J$500)))</f>
        <v/>
      </c>
      <c r="CK31" s="125">
        <f>IF(OR(CK$4="",$B31=""),0,SUMIF('DADOS BRUTOS'!$A$3:$A$500,$B31,'DADOS BRUTOS'!K$3:K$500)+IF($C31="",0,SUMIF('DADOS BRUTOS'!$A$3:$A$500,$C31,'DADOS BRUTOS'!K$3:K$500)))</f>
        <v/>
      </c>
      <c r="CL31" s="125">
        <f>IF(OR(CL$4="",$B31=""),0,SUMIF('DADOS BRUTOS'!$A$3:$A$500,$B31,'DADOS BRUTOS'!L$3:L$500)+IF($C31="",0,SUMIF('DADOS BRUTOS'!$A$3:$A$500,$C31,'DADOS BRUTOS'!L$3:L$500)))</f>
        <v/>
      </c>
      <c r="CM31" s="125">
        <f>IF(OR(CM$4="",$B31=""),0,SUMIF('DADOS BRUTOS'!$A$3:$A$500,$B31,'DADOS BRUTOS'!M$3:M$500)+IF($C31="",0,SUMIF('DADOS BRUTOS'!$A$3:$A$500,$C31,'DADOS BRUTOS'!M$3:M$500)))</f>
        <v/>
      </c>
      <c r="CN31" s="125">
        <f>IF(OR(CN$4="",$B31=""),0,SUMIF('DADOS BRUTOS'!$A$3:$A$500,$B31,'DADOS BRUTOS'!N$3:N$500)+IF($C31="",0,SUMIF('DADOS BRUTOS'!$A$3:$A$500,$C31,'DADOS BRUTOS'!N$3:N$500)))</f>
        <v/>
      </c>
      <c r="CO31" s="125">
        <f>IF(OR(CO$4="",$B31=""),0,SUMIF('DADOS BRUTOS'!$A$3:$A$500,$B31,'DADOS BRUTOS'!O$3:O$500)+IF($C31="",0,SUMIF('DADOS BRUTOS'!$A$3:$A$500,$C31,'DADOS BRUTOS'!O$3:O$500)))</f>
        <v/>
      </c>
      <c r="CP31" s="125">
        <f>IF(OR(CP$4="",$B31=""),0,SUMIF('DADOS BRUTOS'!$A$3:$A$500,$B31,'DADOS BRUTOS'!P$3:P$500)+IF($C31="",0,SUMIF('DADOS BRUTOS'!$A$3:$A$500,$C31,'DADOS BRUTOS'!P$3:P$500)))</f>
        <v/>
      </c>
      <c r="CQ31" s="125">
        <f>IF(OR(CQ$4="",$B31=""),0,SUMIF('DADOS BRUTOS'!$A$3:$A$500,$B31,'DADOS BRUTOS'!Q$3:Q$500)+IF($C31="",0,SUMIF('DADOS BRUTOS'!$A$3:$A$500,$C31,'DADOS BRUTOS'!Q$3:Q$500)))</f>
        <v/>
      </c>
      <c r="CR31" s="125">
        <f>IF(OR(CR$4="",$B31=""),0,SUMIF('DADOS BRUTOS'!$A$3:$A$500,$B31,'DADOS BRUTOS'!R$3:R$500)+IF($C31="",0,SUMIF('DADOS BRUTOS'!$A$3:$A$500,$C31,'DADOS BRUTOS'!R$3:R$500)))</f>
        <v/>
      </c>
      <c r="CS31" s="125">
        <f>IF(OR(CS$4="",$B31=""),0,SUMIF('DADOS BRUTOS'!$A$3:$A$500,$B31,'DADOS BRUTOS'!S$3:S$500)+IF($C31="",0,SUMIF('DADOS BRUTOS'!$A$3:$A$500,$C31,'DADOS BRUTOS'!S$3:S$500)))</f>
        <v/>
      </c>
      <c r="CT31" s="125">
        <f>IF(OR(CT$4="",$B31=""),0,SUMIF('DADOS BRUTOS'!$A$3:$A$500,$B31,'DADOS BRUTOS'!T$3:T$500)+IF($C31="",0,SUMIF('DADOS BRUTOS'!$A$3:$A$500,$C31,'DADOS BRUTOS'!T$3:T$500)))</f>
        <v/>
      </c>
      <c r="CU31" s="125">
        <f>IF(OR(CU$4="",$B31=""),0,SUMIF('DADOS BRUTOS'!$A$3:$A$500,$B31,'DADOS BRUTOS'!U$3:U$500)+IF($C31="",0,SUMIF('DADOS BRUTOS'!$A$3:$A$500,$C31,'DADOS BRUTOS'!U$3:U$500)))</f>
        <v/>
      </c>
      <c r="CV31" s="125">
        <f>IF(OR(CV$4="",$B31=""),0,SUMIF('DADOS BRUTOS'!$A$3:$A$500,$B31,'DADOS BRUTOS'!V$3:V$500)+IF($C31="",0,SUMIF('DADOS BRUTOS'!$A$3:$A$500,$C31,'DADOS BRUTOS'!V$3:V$500)))</f>
        <v/>
      </c>
      <c r="CW31" s="125">
        <f>IF(OR(CW$4="",$B31=""),0,SUMIF('DADOS BRUTOS'!$A$3:$A$500,$B31,'DADOS BRUTOS'!W$3:W$500)+IF($C31="",0,SUMIF('DADOS BRUTOS'!$A$3:$A$500,$C31,'DADOS BRUTOS'!W$3:W$500)))</f>
        <v/>
      </c>
      <c r="CX31" s="125">
        <f>IF(OR(CX$4="",$B31=""),0,SUMIF('DADOS BRUTOS'!$A$3:$A$500,$B31,'DADOS BRUTOS'!X$3:X$500)+IF($C31="",0,SUMIF('DADOS BRUTOS'!$A$3:$A$500,$C31,'DADOS BRUTOS'!X$3:X$500)))</f>
        <v/>
      </c>
      <c r="CY31" s="125">
        <f>IF(OR(CY$4="",$B31=""),0,SUMIF('DADOS BRUTOS'!$A$3:$A$500,$B31,'DADOS BRUTOS'!Y$3:Y$500)+IF($C31="",0,SUMIF('DADOS BRUTOS'!$A$3:$A$500,$C31,'DADOS BRUTOS'!Y$3:Y$500)))</f>
        <v/>
      </c>
      <c r="CZ31" s="125">
        <f>IF(OR(CZ$4="",$B31=""),0,SUMIF('DADOS BRUTOS'!$A$3:$A$500,$B31,'DADOS BRUTOS'!Z$3:Z$500)+IF($C31="",0,SUMIF('DADOS BRUTOS'!$A$3:$A$500,$C31,'DADOS BRUTOS'!Z$3:Z$500)))</f>
        <v/>
      </c>
      <c r="DA31" s="125">
        <f>IF(OR(DA$4="",$B31=""),0,SUMIF('DADOS BRUTOS'!$A$3:$A$500,$B31,'DADOS BRUTOS'!AA$3:AA$500)+IF($C31="",0,SUMIF('DADOS BRUTOS'!$A$3:$A$500,$C31,'DADOS BRUTOS'!AA$3:AA$500)))</f>
        <v/>
      </c>
      <c r="DB31" s="125">
        <f>IF(OR(DB$4="",$B31=""),0,SUMIF('DADOS BRUTOS'!$A$3:$A$500,$B31,'DADOS BRUTOS'!AB$3:AB$500)+IF($C31="",0,SUMIF('DADOS BRUTOS'!$A$3:$A$500,$C31,'DADOS BRUTOS'!AB$3:AB$500)))</f>
        <v/>
      </c>
      <c r="DC31" s="125">
        <f>IF(OR(DC$4="",$B31=""),0,SUMIF('DADOS BRUTOS'!$A$3:$A$500,$B31,'DADOS BRUTOS'!AC$3:AC$500)+IF($C31="",0,SUMIF('DADOS BRUTOS'!$A$3:$A$500,$C31,'DADOS BRUTOS'!AC$3:AC$500)))</f>
        <v/>
      </c>
      <c r="DD31" s="125">
        <f>IF(OR(DD$4="",$B31=""),0,SUMIF('DADOS BRUTOS'!$A$3:$A$500,$B31,'DADOS BRUTOS'!AD$3:AD$500)+IF($C31="",0,SUMIF('DADOS BRUTOS'!$A$3:$A$500,$C31,'DADOS BRUTOS'!AD$3:AD$500)))</f>
        <v/>
      </c>
      <c r="DE31" s="125">
        <f>IF(OR(DE$4="",$B31=""),0,SUMIF('DADOS BRUTOS'!$A$3:$A$500,$B31,'DADOS BRUTOS'!AE$3:AE$500)+IF($C31="",0,SUMIF('DADOS BRUTOS'!$A$3:$A$500,$C31,'DADOS BRUTOS'!AE$3:AE$500)))</f>
        <v/>
      </c>
      <c r="DF31" s="125">
        <f>IF(OR(DF$4="",$B31=""),0,SUMIF('DADOS BRUTOS'!$A$3:$A$500,$B31,'DADOS BRUTOS'!AF$3:AF$500)+IF($C31="",0,SUMIF('DADOS BRUTOS'!$A$3:$A$500,$C31,'DADOS BRUTOS'!AF$3:AF$500)))</f>
        <v/>
      </c>
      <c r="DG31" s="125">
        <f>IF(OR(DG$4="",$B31=""),0,SUMIF('DADOS BRUTOS'!$A$3:$A$500,$B31,'DADOS BRUTOS'!AG$3:AG$500)+IF($C31="",0,SUMIF('DADOS BRUTOS'!$A$3:$A$500,$C31,'DADOS BRUTOS'!AG$3:AG$500)))</f>
        <v/>
      </c>
      <c r="DH31" s="125">
        <f>IF(OR(DH$4="",$B31=""),0,SUMIF('DADOS BRUTOS'!$A$3:$A$500,$B31,'DADOS BRUTOS'!AH$3:AH$500)+IF($C31="",0,SUMIF('DADOS BRUTOS'!$A$3:$A$500,$C31,'DADOS BRUTOS'!AH$3:AH$500)))</f>
        <v/>
      </c>
      <c r="DI31" s="125">
        <f>IF(OR(DI$4="",$B31=""),0,SUMIF('DADOS BRUTOS'!$A$3:$A$500,$B31,'DADOS BRUTOS'!AI$3:AI$500)+IF($C31="",0,SUMIF('DADOS BRUTOS'!$A$3:$A$500,$C31,'DADOS BRUTOS'!AI$3:AI$500)))</f>
        <v/>
      </c>
      <c r="DJ31" s="125">
        <f>IF(OR(DJ$4="",$B31=""),0,SUMIF('DADOS BRUTOS'!$A$3:$A$500,$B31,'DADOS BRUTOS'!AJ$3:AJ$500)+IF($C31="",0,SUMIF('DADOS BRUTOS'!$A$3:$A$500,$C31,'DADOS BRUTOS'!AJ$3:AJ$500)))</f>
        <v/>
      </c>
      <c r="DK31" s="125">
        <f>IF(OR(DK$4="",$B31=""),0,SUMIF('DADOS BRUTOS'!$A$3:$A$500,$B31,'DADOS BRUTOS'!AK$3:AK$500)+IF($C31="",0,SUMIF('DADOS BRUTOS'!$A$3:$A$500,$C31,'DADOS BRUTOS'!AK$3:AK$500)))</f>
        <v/>
      </c>
      <c r="DL31" s="125">
        <f>IF(OR(DL$4="",$B31=""),0,SUMIF('DADOS BRUTOS'!$A$3:$A$500,$B31,'DADOS BRUTOS'!AL$3:AL$500)+IF($C31="",0,SUMIF('DADOS BRUTOS'!$A$3:$A$500,$C31,'DADOS BRUTOS'!AL$3:AL$500)))</f>
        <v/>
      </c>
      <c r="DM31" s="125">
        <f>IF(OR(DM$4="",$B31=""),0,SUMIF('DADOS BRUTOS'!$A$3:$A$500,$B31,'DADOS BRUTOS'!AM$3:AM$500)+IF($C31="",0,SUMIF('DADOS BRUTOS'!$A$3:$A$500,$C31,'DADOS BRUTOS'!AM$3:AM$500)))</f>
        <v/>
      </c>
      <c r="DN31" s="125">
        <f>IF(OR(DN$4="",$B31=""),0,SUMIF('DADOS BRUTOS'!$A$3:$A$500,$B31,'DADOS BRUTOS'!AN$3:AN$500)+IF($C31="",0,SUMIF('DADOS BRUTOS'!$A$3:$A$500,$C31,'DADOS BRUTOS'!AN$3:AN$500)))</f>
        <v/>
      </c>
      <c r="DO31" s="125">
        <f>IF(OR(DO$4="",$B31=""),0,SUMIF('DADOS BRUTOS'!$A$3:$A$500,$B31,'DADOS BRUTOS'!AO$3:AO$500)+IF($C31="",0,SUMIF('DADOS BRUTOS'!$A$3:$A$500,$C31,'DADOS BRUTOS'!AO$3:AO$500)))</f>
        <v/>
      </c>
      <c r="DP31" s="125">
        <f>IF(OR(DP$4="",$B31=""),0,SUMIF('DADOS BRUTOS'!$A$3:$A$500,$B31,'DADOS BRUTOS'!AP$3:AP$500)+IF($C31="",0,SUMIF('DADOS BRUTOS'!$A$3:$A$500,$C31,'DADOS BRUTOS'!AP$3:AP$500)))</f>
        <v/>
      </c>
      <c r="DQ31" s="125">
        <f>IF(OR(DQ$4="",$B31=""),0,SUMIF('DADOS BRUTOS'!$A$3:$A$500,$B31,'DADOS BRUTOS'!AQ$3:AQ$500)+IF($C31="",0,SUMIF('DADOS BRUTOS'!$A$3:$A$500,$C31,'DADOS BRUTOS'!AQ$3:AQ$500)))</f>
        <v/>
      </c>
      <c r="DR31" s="125">
        <f>IF(OR(DR$4="",$B31=""),0,SUMIF('DADOS BRUTOS'!$A$3:$A$500,$B31,'DADOS BRUTOS'!AR$3:AR$500)+IF($C31="",0,SUMIF('DADOS BRUTOS'!$A$3:$A$500,$C31,'DADOS BRUTOS'!AR$3:AR$500)))</f>
        <v/>
      </c>
      <c r="DS31" s="125">
        <f>IF(OR(DS$4="",$B31=""),0,SUMIF('DADOS BRUTOS'!$A$3:$A$500,$B31,'DADOS BRUTOS'!AS$3:AS$500)+IF($C31="",0,SUMIF('DADOS BRUTOS'!$A$3:$A$500,$C31,'DADOS BRUTOS'!AS$3:AS$500)))</f>
        <v/>
      </c>
      <c r="DT31" s="125">
        <f>IF(OR(DT$4="",$B31=""),0,SUMIF('DADOS BRUTOS'!$A$3:$A$500,$B31,'DADOS BRUTOS'!AT$3:AT$500)+IF($C31="",0,SUMIF('DADOS BRUTOS'!$A$3:$A$500,$C31,'DADOS BRUTOS'!AT$3:AT$500)))</f>
        <v/>
      </c>
      <c r="DU31" s="125">
        <f>IF(OR(DU$4="",$B31=""),0,SUMIF('DADOS BRUTOS'!$A$3:$A$500,$B31,'DADOS BRUTOS'!AU$3:AU$500)+IF($C31="",0,SUMIF('DADOS BRUTOS'!$A$3:$A$500,$C31,'DADOS BRUTOS'!AU$3:AU$500)))</f>
        <v/>
      </c>
      <c r="DV31" s="125">
        <f>IF(OR(DV$4="",$B31=""),0,SUMIF('DADOS BRUTOS'!$A$3:$A$500,$B31,'DADOS BRUTOS'!AV$3:AV$500)+IF($C31="",0,SUMIF('DADOS BRUTOS'!$A$3:$A$500,$C31,'DADOS BRUTOS'!AV$3:AV$500)))</f>
        <v/>
      </c>
      <c r="DW31" s="125">
        <f>IF(OR(DW$4="",$B31=""),0,SUMIF('DADOS BRUTOS'!$A$3:$A$500,$B31,'DADOS BRUTOS'!AW$3:AW$500)+IF($C31="",0,SUMIF('DADOS BRUTOS'!$A$3:$A$500,$C31,'DADOS BRUTOS'!AW$3:AW$500)))</f>
        <v/>
      </c>
      <c r="DX31" s="125">
        <f>IF(OR(DX$4="",$B31=""),0,SUMIF('DADOS BRUTOS'!$A$3:$A$500,$B31,'DADOS BRUTOS'!AX$3:AX$500)+IF($C31="",0,SUMIF('DADOS BRUTOS'!$A$3:$A$500,$C31,'DADOS BRUTOS'!AX$3:AX$500)))</f>
        <v/>
      </c>
      <c r="DY31" s="125">
        <f>IF(OR(DY$4="",$B31=""),0,SUMIF('DADOS BRUTOS'!$A$3:$A$500,$B31,'DADOS BRUTOS'!AY$3:AY$500)+IF($C31="",0,SUMIF('DADOS BRUTOS'!$A$3:$A$500,$C31,'DADOS BRUTOS'!AY$3:AY$500)))</f>
        <v/>
      </c>
      <c r="DZ31" s="125">
        <f>IF(OR(DZ$4="",$B31=""),0,SUMIF('DADOS BRUTOS'!$A$3:$A$500,$B31,'DADOS BRUTOS'!AZ$3:AZ$500)+IF($C31="",0,SUMIF('DADOS BRUTOS'!$A$3:$A$500,$C31,'DADOS BRUTOS'!AZ$3:AZ$500)))</f>
        <v/>
      </c>
      <c r="EA31" s="125">
        <f>IF(OR(EA$4="",$B31=""),0,SUMIF('DADOS BRUTOS'!$A$3:$A$500,$B31,'DADOS BRUTOS'!BA$3:BA$500)+IF($C31="",0,SUMIF('DADOS BRUTOS'!$A$3:$A$500,$C31,'DADOS BRUTOS'!BA$3:BA$500)))</f>
        <v/>
      </c>
      <c r="EB31" s="125">
        <f>IF(OR(EB$4="",$B31=""),0,SUMIF('DADOS BRUTOS'!$A$3:$A$500,$B31,'DADOS BRUTOS'!BB$3:BB$500)+IF($C31="",0,SUMIF('DADOS BRUTOS'!$A$3:$A$500,$C31,'DADOS BRUTOS'!BB$3:BB$500)))</f>
        <v/>
      </c>
      <c r="EC31" s="125">
        <f>IF(OR(EC$4="",$B31=""),0,SUMIF('DADOS BRUTOS'!$A$3:$A$500,$B31,'DADOS BRUTOS'!BC$3:BC$500)+IF($C31="",0,SUMIF('DADOS BRUTOS'!$A$3:$A$500,$C31,'DADOS BRUTOS'!BC$3:BC$500)))</f>
        <v/>
      </c>
      <c r="ED31" s="125">
        <f>IF(OR(ED$4="",$B31=""),0,SUMIF('DADOS BRUTOS'!$A$3:$A$500,$B31,'DADOS BRUTOS'!BD$3:BD$500)+IF($C31="",0,SUMIF('DADOS BRUTOS'!$A$3:$A$500,$C31,'DADOS BRUTOS'!BD$3:BD$500)))</f>
        <v/>
      </c>
      <c r="EE31" s="125">
        <f>IF(OR(EE$4="",$B31=""),0,SUMIF('DADOS BRUTOS'!$A$3:$A$500,$B31,'DADOS BRUTOS'!BE$3:BE$500)+IF($C31="",0,SUMIF('DADOS BRUTOS'!$A$3:$A$500,$C31,'DADOS BRUTOS'!BE$3:BE$500)))</f>
        <v/>
      </c>
      <c r="EF31" s="125">
        <f>IF(OR(EF$4="",$B31=""),0,SUMIF('DADOS BRUTOS'!$A$3:$A$500,$B31,'DADOS BRUTOS'!BF$3:BF$500)+IF($C31="",0,SUMIF('DADOS BRUTOS'!$A$3:$A$500,$C31,'DADOS BRUTOS'!BF$3:BF$500)))</f>
        <v/>
      </c>
      <c r="EG31" s="125">
        <f>IF(OR(EG$4="",$B31=""),0,SUMIF('DADOS BRUTOS'!$A$3:$A$500,$B31,'DADOS BRUTOS'!BG$3:BG$500)+IF($C31="",0,SUMIF('DADOS BRUTOS'!$A$3:$A$500,$C31,'DADOS BRUTOS'!BG$3:BG$500)))</f>
        <v/>
      </c>
      <c r="EH31" s="125">
        <f>IF(OR(EH$4="",$B31=""),0,SUMIF('DADOS BRUTOS'!$A$3:$A$500,$B31,'DADOS BRUTOS'!BH$3:BH$500)+IF($C31="",0,SUMIF('DADOS BRUTOS'!$A$3:$A$500,$C31,'DADOS BRUTOS'!BH$3:BH$500)))</f>
        <v/>
      </c>
      <c r="EI31" s="125">
        <f>IF(OR(EI$4="",$B31=""),0,SUMIF('DADOS BRUTOS'!$A$3:$A$500,$B31,'DADOS BRUTOS'!BI$3:BI$500)+IF($C31="",0,SUMIF('DADOS BRUTOS'!$A$3:$A$500,$C31,'DADOS BRUTOS'!BI$3:BI$500)))</f>
        <v/>
      </c>
      <c r="EJ31" s="125">
        <f>IF(OR(EJ$4="",$B31=""),0,SUMIF('DADOS BRUTOS'!$A$3:$A$500,$B31,'DADOS BRUTOS'!BJ$3:BJ$500)+IF($C31="",0,SUMIF('DADOS BRUTOS'!$A$3:$A$500,$C31,'DADOS BRUTOS'!BJ$3:BJ$500)))</f>
        <v/>
      </c>
      <c r="EK31" s="125">
        <f>IF(OR(EK$4="",$B31=""),0,SUMIF('DADOS BRUTOS'!$A$3:$A$500,$B31,'DADOS BRUTOS'!BK$3:BK$500)+IF($C31="",0,SUMIF('DADOS BRUTOS'!$A$3:$A$500,$C31,'DADOS BRUTOS'!BK$3:BK$500)))</f>
        <v/>
      </c>
      <c r="EL31" s="125">
        <f>IF(OR(EL$4="",$B31=""),0,SUMIF('DADOS BRUTOS'!$A$3:$A$500,$B31,'DADOS BRUTOS'!BL$3:BL$500)+IF($C31="",0,SUMIF('DADOS BRUTOS'!$A$3:$A$500,$C31,'DADOS BRUTOS'!BL$3:BL$500)))</f>
        <v/>
      </c>
      <c r="EM31" s="125">
        <f>IF(OR(EM$4="",$B31=""),0,SUMIF('DADOS BRUTOS'!$A$3:$A$500,$B31,'DADOS BRUTOS'!BM$3:BM$500)+IF($C31="",0,SUMIF('DADOS BRUTOS'!$A$3:$A$500,$C31,'DADOS BRUTOS'!BM$3:BM$500)))</f>
        <v/>
      </c>
      <c r="EN31" s="125">
        <f>IF(OR(EN$4="",$B31=""),0,SUMIF('DADOS BRUTOS'!$A$3:$A$500,$B31,'DADOS BRUTOS'!BN$3:BN$500)+IF($C31="",0,SUMIF('DADOS BRUTOS'!$A$3:$A$500,$C31,'DADOS BRUTOS'!BN$3:BN$500)))</f>
        <v/>
      </c>
      <c r="EO31" s="125">
        <f>IF(OR(EO$4="",$B31=""),0,SUMIF('DADOS BRUTOS'!$A$3:$A$500,$B31,'DADOS BRUTOS'!BO$3:BO$500)+IF($C31="",0,SUMIF('DADOS BRUTOS'!$A$3:$A$500,$C31,'DADOS BRUTOS'!BO$3:BO$500)))</f>
        <v/>
      </c>
      <c r="EP31" s="125">
        <f>IF(OR(EP$4="",$B31=""),0,SUMIF('DADOS BRUTOS'!$A$3:$A$500,$B31,'DADOS BRUTOS'!BP$3:BP$500)+IF($C31="",0,SUMIF('DADOS BRUTOS'!$A$3:$A$500,$C31,'DADOS BRUTOS'!BP$3:BP$500)))</f>
        <v/>
      </c>
      <c r="EQ31" s="125">
        <f>IF(OR(EQ$4="",$B31=""),0,SUMIF('DADOS BRUTOS'!$A$3:$A$500,$B31,'DADOS BRUTOS'!BQ$3:BQ$500)+IF($C31="",0,SUMIF('DADOS BRUTOS'!$A$3:$A$500,$C31,'DADOS BRUTOS'!BQ$3:BQ$500)))</f>
        <v/>
      </c>
      <c r="ER31" s="125">
        <f>IF(OR(ER$4="",$B31=""),0,SUMIF('DADOS BRUTOS'!$A$3:$A$500,$B31,'DADOS BRUTOS'!BR$3:BR$500)+IF($C31="",0,SUMIF('DADOS BRUTOS'!$A$3:$A$500,$C31,'DADOS BRUTOS'!BR$3:BR$500)))</f>
        <v/>
      </c>
      <c r="ES31" s="125">
        <f>IF(OR(ES$4="",$B31=""),0,SUMIF('DADOS BRUTOS'!$A$3:$A$500,$B31,'DADOS BRUTOS'!BS$3:BS$500)+IF($C31="",0,SUMIF('DADOS BRUTOS'!$A$3:$A$500,$C31,'DADOS BRUTOS'!BS$3:BS$500)))</f>
        <v/>
      </c>
      <c r="ET31" s="125">
        <f>IF(OR(ET$4="",$B31=""),0,SUMIF('DADOS BRUTOS'!$A$3:$A$500,$B31,'DADOS BRUTOS'!BT$3:BT$500)+IF($C31="",0,SUMIF('DADOS BRUTOS'!$A$3:$A$500,$C31,'DADOS BRUTOS'!BT$3:BT$500)))</f>
        <v/>
      </c>
      <c r="EU31" s="125">
        <f>IF(OR(EU$4="",$B31=""),0,SUMIF('DADOS BRUTOS'!$A$3:$A$500,$B31,'DADOS BRUTOS'!BU$3:BU$500)+IF($C31="",0,SUMIF('DADOS BRUTOS'!$A$3:$A$500,$C31,'DADOS BRUTOS'!BU$3:BU$500)))</f>
        <v/>
      </c>
      <c r="EV31" s="125">
        <f>IF(OR(EV$4="",$B31=""),0,SUMIF('DADOS BRUTOS'!$A$3:$A$500,$B31,'DADOS BRUTOS'!BV$3:BV$500)+IF($C31="",0,SUMIF('DADOS BRUTOS'!$A$3:$A$500,$C31,'DADOS BRUTOS'!BV$3:BV$500)))</f>
        <v/>
      </c>
      <c r="EW31" s="125">
        <f>IF(OR(EW$4="",$B31=""),0,SUMIF('DADOS BRUTOS'!$A$3:$A$500,$B31,'DADOS BRUTOS'!BW$3:BW$500)+IF($C31="",0,SUMIF('DADOS BRUTOS'!$A$3:$A$500,$C31,'DADOS BRUTOS'!BW$3:BW$500)))</f>
        <v/>
      </c>
      <c r="EX31" s="125">
        <f>IF(OR(EX$4="",$B31=""),0,SUMIF('DADOS BRUTOS'!$A$3:$A$500,$B31,'DADOS BRUTOS'!BX$3:BX$500)+IF($C31="",0,SUMIF('DADOS BRUTOS'!$A$3:$A$500,$C31,'DADOS BRUTOS'!BX$3:BX$500)))</f>
        <v/>
      </c>
      <c r="EY31" s="125">
        <f>IF(OR(EY$4="",$B31=""),0,SUMIF('DADOS BRUTOS'!$A$3:$A$500,$B31,'DADOS BRUTOS'!BY$3:BY$500)+IF($C31="",0,SUMIF('DADOS BRUTOS'!$A$3:$A$500,$C31,'DADOS BRUTOS'!BY$3:BY$500)))</f>
        <v/>
      </c>
      <c r="EZ31" s="125">
        <f>IF(OR(EZ$4="",$B31=""),0,SUMIF('DADOS BRUTOS'!$A$3:$A$500,$B31,'DADOS BRUTOS'!BZ$3:BZ$500)+IF($C31="",0,SUMIF('DADOS BRUTOS'!$A$3:$A$500,$C31,'DADOS BRUTOS'!BZ$3:BZ$500)))</f>
        <v/>
      </c>
      <c r="FA31" s="125">
        <f>IF(OR(FA$4="",$B31=""),0,SUMIF('DADOS BRUTOS'!$A$3:$A$500,$B31,'DADOS BRUTOS'!CA$3:CA$500)+IF($C31="",0,SUMIF('DADOS BRUTOS'!$A$3:$A$500,$C31,'DADOS BRUTOS'!CA$3:CA$500)))</f>
        <v/>
      </c>
      <c r="FB31" s="125">
        <f>IF(OR(FB$4="",$B31=""),0,SUMIF('DADOS BRUTOS'!$A$3:$A$500,$B31,'DADOS BRUTOS'!CB$3:CB$500)+IF($C31="",0,SUMIF('DADOS BRUTOS'!$A$3:$A$500,$C31,'DADOS BRUTOS'!CB$3:CB$500)))</f>
        <v/>
      </c>
      <c r="FC31" s="125">
        <f>IF(OR(FC$4="",$B31=""),0,SUMIF('DADOS BRUTOS'!$A$3:$A$500,$B31,'DADOS BRUTOS'!CC$3:CC$500)+IF($C31="",0,SUMIF('DADOS BRUTOS'!$A$3:$A$500,$C31,'DADOS BRUTOS'!CC$3:CC$500)))</f>
        <v/>
      </c>
      <c r="FD31" s="125">
        <f>IF(OR(FD$4="",$B31=""),0,SUMIF('DADOS BRUTOS'!$A$3:$A$500,$B31,'DADOS BRUTOS'!CD$3:CD$500)+IF($C31="",0,SUMIF('DADOS BRUTOS'!$A$3:$A$500,$C31,'DADOS BRUTOS'!CD$3:CD$500)))</f>
        <v/>
      </c>
      <c r="FE31" s="125">
        <f>IF(OR(FE$4="",$B31=""),0,SUMIF('DADOS BRUTOS'!$A$3:$A$500,$B31,'DADOS BRUTOS'!CE$3:CE$500)+IF($C31="",0,SUMIF('DADOS BRUTOS'!$A$3:$A$500,$C31,'DADOS BRUTOS'!CE$3:CE$500)))</f>
        <v/>
      </c>
      <c r="FF31" s="125">
        <f>IF(OR(FF$4="",$B31=""),0,SUMIF('DADOS BRUTOS'!$A$3:$A$500,$B31,'DADOS BRUTOS'!CF$3:CF$500)+IF($C31="",0,SUMIF('DADOS BRUTOS'!$A$3:$A$500,$C31,'DADOS BRUTOS'!CF$3:CF$500)))</f>
        <v/>
      </c>
      <c r="FG31" s="125">
        <f>IF(OR(FG$4="",$B31=""),0,SUMIF('DADOS BRUTOS'!$A$3:$A$500,$B31,'DADOS BRUTOS'!CG$3:CG$500)+IF($C31="",0,SUMIF('DADOS BRUTOS'!$A$3:$A$500,$C31,'DADOS BRUTOS'!CG$3:CG$500)))</f>
        <v/>
      </c>
      <c r="FH31" s="125">
        <f>IF(OR(FH$4="",$B31=""),0,SUMIF('DADOS BRUTOS'!$A$3:$A$500,$B31,'DADOS BRUTOS'!CH$3:CH$500)+IF($C31="",0,SUMIF('DADOS BRUTOS'!$A$3:$A$500,$C31,'DADOS BRUTOS'!CH$3:CH$500)))</f>
        <v/>
      </c>
      <c r="FI31" s="125">
        <f>IF(OR(FI$4="",$B31=""),0,SUMIF('DADOS BRUTOS'!$A$3:$A$500,$B31,'DADOS BRUTOS'!CI$3:CI$500)+IF($C31="",0,SUMIF('DADOS BRUTOS'!$A$3:$A$500,$C31,'DADOS BRUTOS'!CI$3:CI$500)))</f>
        <v/>
      </c>
      <c r="FJ31" s="125">
        <f>IF(OR(FJ$4="",$B31=""),0,SUMIF('DADOS BRUTOS'!$A$3:$A$500,$B31,'DADOS BRUTOS'!CJ$3:CJ$500)+IF($C31="",0,SUMIF('DADOS BRUTOS'!$A$3:$A$500,$C31,'DADOS BRUTOS'!CJ$3:CJ$500)))</f>
        <v/>
      </c>
      <c r="FK31" s="125">
        <f>IF(OR(FK$4="",$B31=""),0,SUMIF('DADOS BRUTOS'!$A$3:$A$500,$B31,'DADOS BRUTOS'!CK$3:CK$500)+IF($C31="",0,SUMIF('DADOS BRUTOS'!$A$3:$A$500,$C31,'DADOS BRUTOS'!CK$3:CK$500)))</f>
        <v/>
      </c>
      <c r="FL31" s="125">
        <f>IF(OR(FL$4="",$B31=""),0,SUMIF('DADOS BRUTOS'!$A$3:$A$500,$B31,'DADOS BRUTOS'!CL$3:CL$500)+IF($C31="",0,SUMIF('DADOS BRUTOS'!$A$3:$A$500,$C31,'DADOS BRUTOS'!CL$3:CL$500)))</f>
        <v/>
      </c>
      <c r="FM31" s="125">
        <f>IF(OR(FM$4="",$B31=""),0,SUMIF('DADOS BRUTOS'!$A$3:$A$500,$B31,'DADOS BRUTOS'!CM$3:CM$500)+IF($C31="",0,SUMIF('DADOS BRUTOS'!$A$3:$A$500,$C31,'DADOS BRUTOS'!CM$3:CM$500)))</f>
        <v/>
      </c>
      <c r="FN31" s="125">
        <f>IF(OR(FN$4="",$B31=""),0,SUMIF('DADOS BRUTOS'!$A$3:$A$500,$B31,'DADOS BRUTOS'!CN$3:CN$500)+IF($C31="",0,SUMIF('DADOS BRUTOS'!$A$3:$A$500,$C31,'DADOS BRUTOS'!CN$3:CN$500)))</f>
        <v/>
      </c>
      <c r="FO31" s="125">
        <f>IF(OR(FO$4="",$B31=""),0,SUMIF('DADOS BRUTOS'!$A$3:$A$500,$B31,'DADOS BRUTOS'!CO$3:CO$500)+IF($C31="",0,SUMIF('DADOS BRUTOS'!$A$3:$A$500,$C31,'DADOS BRUTOS'!CO$3:CO$500)))</f>
        <v/>
      </c>
      <c r="FP31" s="125">
        <f>IF(OR(FP$4="",$B31=""),0,SUMIF('DADOS BRUTOS'!$A$3:$A$500,$B31,'DADOS BRUTOS'!CP$3:CP$500)+IF($C31="",0,SUMIF('DADOS BRUTOS'!$A$3:$A$500,$C31,'DADOS BRUTOS'!CP$3:CP$500)))</f>
        <v/>
      </c>
      <c r="FQ31" s="125">
        <f>IF(OR(FQ$4="",$B31=""),0,SUMIF('DADOS BRUTOS'!$A$3:$A$500,$B31,'DADOS BRUTOS'!CQ$3:CQ$500)+IF($C31="",0,SUMIF('DADOS BRUTOS'!$A$3:$A$500,$C31,'DADOS BRUTOS'!CQ$3:CQ$500)))</f>
        <v/>
      </c>
      <c r="FR31" s="125">
        <f>IF(OR(FR$4="",$B31=""),0,SUMIF('DADOS BRUTOS'!$A$3:$A$500,$B31,'DADOS BRUTOS'!CR$3:CR$500)+IF($C31="",0,SUMIF('DADOS BRUTOS'!$A$3:$A$500,$C31,'DADOS BRUTOS'!CR$3:CR$500)))</f>
        <v/>
      </c>
      <c r="FS31" s="125">
        <f>IF(OR(FS$4="",$B31=""),0,SUMIF('DADOS BRUTOS'!$A$3:$A$500,$B31,'DADOS BRUTOS'!CS$3:CS$500)+IF($C31="",0,SUMIF('DADOS BRUTOS'!$A$3:$A$500,$C31,'DADOS BRUTOS'!CS$3:CS$500)))</f>
        <v/>
      </c>
      <c r="FT31" s="125">
        <f>IF(OR(FT$4="",$B31=""),0,SUMIF('DADOS BRUTOS'!$A$3:$A$500,$B31,'DADOS BRUTOS'!CT$3:CT$500)+IF($C31="",0,SUMIF('DADOS BRUTOS'!$A$3:$A$500,$C31,'DADOS BRUTOS'!CT$3:CT$500)))</f>
        <v/>
      </c>
      <c r="FU31" s="125">
        <f>IF(OR(FU$4="",$B31=""),0,SUMIF('DADOS BRUTOS'!$A$3:$A$500,$B31,'DADOS BRUTOS'!CU$3:CU$500)+IF($C31="",0,SUMIF('DADOS BRUTOS'!$A$3:$A$500,$C31,'DADOS BRUTOS'!CU$3:CU$500)))</f>
        <v/>
      </c>
      <c r="FV31" s="125">
        <f>IF(OR(FV$4="",$B31=""),0,SUMIF('DADOS BRUTOS'!$A$3:$A$500,$B31,'DADOS BRUTOS'!CV$3:CV$500)+IF($C31="",0,SUMIF('DADOS BRUTOS'!$A$3:$A$500,$C31,'DADOS BRUTOS'!CV$3:CV$500)))</f>
        <v/>
      </c>
      <c r="FW31" s="125">
        <f>IF(OR(FW$4="",$B31=""),0,SUMIF('DADOS BRUTOS'!$A$3:$A$500,$B31,'DADOS BRUTOS'!CW$3:CW$500)+IF($C31="",0,SUMIF('DADOS BRUTOS'!$A$3:$A$500,$C31,'DADOS BRUTOS'!CW$3:CW$500)))</f>
        <v/>
      </c>
      <c r="FX31" s="125">
        <f>IF(OR(FX$4="",$B31=""),0,SUMIF('DADOS BRUTOS'!$A$3:$A$500,$B31,'DADOS BRUTOS'!CX$3:CX$500)+IF($C31="",0,SUMIF('DADOS BRUTOS'!$A$3:$A$500,$C31,'DADOS BRUTOS'!CX$3:CX$500)))</f>
        <v/>
      </c>
      <c r="FY31" s="125">
        <f>IF(OR(FY$4="",$B31=""),0,SUMIF('DADOS BRUTOS'!$A$3:$A$500,$B31,'DADOS BRUTOS'!CY$3:CY$500)+IF($C31="",0,SUMIF('DADOS BRUTOS'!$A$3:$A$500,$C31,'DADOS BRUTOS'!CY$3:CY$500)))</f>
        <v/>
      </c>
      <c r="FZ31" s="125">
        <f>IF(OR(FZ$4="",$B31=""),0,SUMIF('DADOS BRUTOS'!$A$3:$A$500,$B31,'DADOS BRUTOS'!CZ$3:CZ$500)+IF($C31="",0,SUMIF('DADOS BRUTOS'!$A$3:$A$500,$C31,'DADOS BRUTOS'!CZ$3:CZ$500)))</f>
        <v/>
      </c>
      <c r="GA31" s="125">
        <f>IF(OR(GA$4="",$B31=""),0,SUMIF('DADOS BRUTOS'!$A$3:$A$500,$B31,'DADOS BRUTOS'!DA$3:DA$500)+IF($C31="",0,SUMIF('DADOS BRUTOS'!$A$3:$A$500,$C31,'DADOS BRUTOS'!DA$3:DA$500)))</f>
        <v/>
      </c>
      <c r="GB31" s="125">
        <f>IF(OR(GB$4="",$B31=""),0,SUMIF('DADOS BRUTOS'!$A$3:$A$500,$B31,'DADOS BRUTOS'!DB$3:DB$500)+IF($C31="",0,SUMIF('DADOS BRUTOS'!$A$3:$A$500,$C31,'DADOS BRUTOS'!DB$3:DB$500)))</f>
        <v/>
      </c>
      <c r="GC31" s="125">
        <f>IF(OR(GC$4="",$B31=""),0,SUMIF('DADOS BRUTOS'!$A$3:$A$500,$B31,'DADOS BRUTOS'!DC$3:DC$500)+IF($C31="",0,SUMIF('DADOS BRUTOS'!$A$3:$A$500,$C31,'DADOS BRUTOS'!DC$3:DC$500)))</f>
        <v/>
      </c>
      <c r="GD31" s="125">
        <f>IF(OR(GD$4="",$B31=""),0,SUMIF('DADOS BRUTOS'!$A$3:$A$500,$B31,'DADOS BRUTOS'!DD$3:DD$500)+IF($C31="",0,SUMIF('DADOS BRUTOS'!$A$3:$A$500,$C31,'DADOS BRUTOS'!DD$3:DD$500)))</f>
        <v/>
      </c>
      <c r="GE31" s="125">
        <f>IF(OR(GE$4="",$B31=""),0,SUMIF('DADOS BRUTOS'!$A$3:$A$500,$B31,'DADOS BRUTOS'!DE$3:DE$500)+IF($C31="",0,SUMIF('DADOS BRUTOS'!$A$3:$A$500,$C31,'DADOS BRUTOS'!DE$3:DE$500)))</f>
        <v/>
      </c>
      <c r="GF31" s="125">
        <f>IF(OR(GF$4="",$B31=""),0,SUMIF('DADOS BRUTOS'!$A$3:$A$500,$B31,'DADOS BRUTOS'!DF$3:DF$500)+IF($C31="",0,SUMIF('DADOS BRUTOS'!$A$3:$A$500,$C31,'DADOS BRUTOS'!DF$3:DF$500)))</f>
        <v/>
      </c>
      <c r="GG31" s="125">
        <f>IF(OR(GG$4="",$B31=""),0,SUMIF('DADOS BRUTOS'!$A$3:$A$500,$B31,'DADOS BRUTOS'!DG$3:DG$500)+IF($C31="",0,SUMIF('DADOS BRUTOS'!$A$3:$A$500,$C31,'DADOS BRUTOS'!DG$3:DG$500)))</f>
        <v/>
      </c>
      <c r="GH31" s="125">
        <f>IF(OR(GH$4="",$B31=""),0,SUMIF('DADOS BRUTOS'!$A$3:$A$500,$B31,'DADOS BRUTOS'!DH$3:DH$500)+IF($C31="",0,SUMIF('DADOS BRUTOS'!$A$3:$A$500,$C31,'DADOS BRUTOS'!DH$3:DH$500)))</f>
        <v/>
      </c>
      <c r="GI31" s="125">
        <f>IF(OR(GI$4="",$B31=""),0,SUMIF('DADOS BRUTOS'!$A$3:$A$500,$B31,'DADOS BRUTOS'!DI$3:DI$500)+IF($C31="",0,SUMIF('DADOS BRUTOS'!$A$3:$A$500,$C31,'DADOS BRUTOS'!DI$3:DI$500)))</f>
        <v/>
      </c>
      <c r="GJ31" s="125">
        <f>IF(OR(GJ$4="",$B31=""),0,SUMIF('DADOS BRUTOS'!$A$3:$A$500,$B31,'DADOS BRUTOS'!DJ$3:DJ$500)+IF($C31="",0,SUMIF('DADOS BRUTOS'!$A$3:$A$500,$C31,'DADOS BRUTOS'!DJ$3:DJ$500)))</f>
        <v/>
      </c>
      <c r="GK31" s="125">
        <f>IF(OR(GK$4="",$B31=""),0,SUMIF('DADOS BRUTOS'!$A$3:$A$500,$B31,'DADOS BRUTOS'!DK$3:DK$500)+IF($C31="",0,SUMIF('DADOS BRUTOS'!$A$3:$A$500,$C31,'DADOS BRUTOS'!DK$3:DK$500)))</f>
        <v/>
      </c>
      <c r="GL31" s="125">
        <f>IF(OR(GL$4="",$B31=""),0,SUMIF('DADOS BRUTOS'!$A$3:$A$500,$B31,'DADOS BRUTOS'!DL$3:DL$500)+IF($C31="",0,SUMIF('DADOS BRUTOS'!$A$3:$A$500,$C31,'DADOS BRUTOS'!DL$3:DL$500)))</f>
        <v/>
      </c>
      <c r="GM31" s="125">
        <f>IF(OR(GM$4="",$B31=""),0,SUMIF('DADOS BRUTOS'!$A$3:$A$500,$B31,'DADOS BRUTOS'!DM$3:DM$500)+IF($C31="",0,SUMIF('DADOS BRUTOS'!$A$3:$A$500,$C31,'DADOS BRUTOS'!DM$3:DM$500)))</f>
        <v/>
      </c>
      <c r="GN31" s="125">
        <f>IF(OR(GN$4="",$B31=""),0,SUMIF('DADOS BRUTOS'!$A$3:$A$500,$B31,'DADOS BRUTOS'!DN$3:DN$500)+IF($C31="",0,SUMIF('DADOS BRUTOS'!$A$3:$A$500,$C31,'DADOS BRUTOS'!DN$3:DN$500)))</f>
        <v/>
      </c>
      <c r="GO31" s="125">
        <f>IF(OR(GO$4="",$B31=""),0,SUMIF('DADOS BRUTOS'!$A$3:$A$500,$B31,'DADOS BRUTOS'!DO$3:DO$500)+IF($C31="",0,SUMIF('DADOS BRUTOS'!$A$3:$A$500,$C31,'DADOS BRUTOS'!DO$3:DO$500)))</f>
        <v/>
      </c>
      <c r="GP31" s="125">
        <f>IF(OR(GP$4="",$B31=""),0,SUMIF('DADOS BRUTOS'!$A$3:$A$500,$B31,'DADOS BRUTOS'!DP$3:DP$500)+IF($C31="",0,SUMIF('DADOS BRUTOS'!$A$3:$A$500,$C31,'DADOS BRUTOS'!DP$3:DP$500)))</f>
        <v/>
      </c>
      <c r="GQ31" s="125">
        <f>IF(OR(GQ$4="",$B31=""),0,SUMIF('DADOS BRUTOS'!$A$3:$A$500,$B31,'DADOS BRUTOS'!DQ$3:DQ$500)+IF($C31="",0,SUMIF('DADOS BRUTOS'!$A$3:$A$500,$C31,'DADOS BRUTOS'!DQ$3:DQ$500)))</f>
        <v/>
      </c>
      <c r="GR31" s="125">
        <f>IF(OR(GR$4="",$B31=""),0,SUMIF('DADOS BRUTOS'!$A$3:$A$500,$B31,'DADOS BRUTOS'!DR$3:DR$500)+IF($C31="",0,SUMIF('DADOS BRUTOS'!$A$3:$A$500,$C31,'DADOS BRUTOS'!DR$3:DR$500)))</f>
        <v/>
      </c>
      <c r="GS31" s="125">
        <f>IF(OR(GS$4="",$B31=""),0,SUMIF('DADOS BRUTOS'!$A$3:$A$500,$B31,'DADOS BRUTOS'!DS$3:DS$500)+IF($C31="",0,SUMIF('DADOS BRUTOS'!$A$3:$A$500,$C31,'DADOS BRUTOS'!DS$3:DS$500)))</f>
        <v/>
      </c>
      <c r="GT31" s="125">
        <f>IF(OR(GT$4="",$B31=""),0,SUMIF('DADOS BRUTOS'!$A$3:$A$500,$B31,'DADOS BRUTOS'!DT$3:DT$500)+IF($C31="",0,SUMIF('DADOS BRUTOS'!$A$3:$A$500,$C31,'DADOS BRUTOS'!DT$3:DT$500)))</f>
        <v/>
      </c>
      <c r="GU31" s="125">
        <f>IF(OR(GU$4="",$B31=""),0,SUMIF('DADOS BRUTOS'!$A$3:$A$500,$B31,'DADOS BRUTOS'!DU$3:DU$500)+IF($C31="",0,SUMIF('DADOS BRUTOS'!$A$3:$A$500,$C31,'DADOS BRUTOS'!DU$3:DU$500)))</f>
        <v/>
      </c>
      <c r="GV31" s="125">
        <f>IF(OR(GV$4="",$B31=""),0,SUMIF('DADOS BRUTOS'!$A$3:$A$500,$B31,'DADOS BRUTOS'!DV$3:DV$500)+IF($C31="",0,SUMIF('DADOS BRUTOS'!$A$3:$A$500,$C31,'DADOS BRUTOS'!DV$3:DV$500)))</f>
        <v/>
      </c>
      <c r="GW31" s="125">
        <f>IF(OR(GW$4="",$B31=""),0,SUMIF('DADOS BRUTOS'!$A$3:$A$500,$B31,'DADOS BRUTOS'!DW$3:DW$500)+IF($C31="",0,SUMIF('DADOS BRUTOS'!$A$3:$A$500,$C31,'DADOS BRUTOS'!DW$3:DW$500)))</f>
        <v/>
      </c>
      <c r="GX31" s="125">
        <f>IF(OR(GX$4="",$B31=""),0,SUMIF('DADOS BRUTOS'!$A$3:$A$500,$B31,'DADOS BRUTOS'!DX$3:DX$500)+IF($C31="",0,SUMIF('DADOS BRUTOS'!$A$3:$A$500,$C31,'DADOS BRUTOS'!DX$3:DX$500)))</f>
        <v/>
      </c>
      <c r="GY31" s="125">
        <f>IF(OR(GY$4="",$B31=""),0,SUMIF('DADOS BRUTOS'!$A$3:$A$500,$B31,'DADOS BRUTOS'!DY$3:DY$500)+IF($C31="",0,SUMIF('DADOS BRUTOS'!$A$3:$A$500,$C31,'DADOS BRUTOS'!DY$3:DY$500)))</f>
        <v/>
      </c>
      <c r="GZ31" s="125">
        <f>IF(OR(GZ$4="",$B31=""),0,SUMIF('DADOS BRUTOS'!$A$3:$A$500,$B31,'DADOS BRUTOS'!DZ$3:DZ$500)+IF($C31="",0,SUMIF('DADOS BRUTOS'!$A$3:$A$500,$C31,'DADOS BRUTOS'!DZ$3:DZ$500)))</f>
        <v/>
      </c>
      <c r="HA31" s="125">
        <f>IF(OR(HA$4="",$B31=""),0,SUMIF('DADOS BRUTOS'!$A$3:$A$500,$B31,'DADOS BRUTOS'!EA$3:EA$500)+IF($C31="",0,SUMIF('DADOS BRUTOS'!$A$3:$A$500,$C31,'DADOS BRUTOS'!EA$3:EA$500)))</f>
        <v/>
      </c>
      <c r="HB31" s="125">
        <f>IF(OR(HB$4="",$B31=""),0,SUMIF('DADOS BRUTOS'!$A$3:$A$500,$B31,'DADOS BRUTOS'!EB$3:EB$500)+IF($C31="",0,SUMIF('DADOS BRUTOS'!$A$3:$A$500,$C31,'DADOS BRUTOS'!EB$3:EB$500)))</f>
        <v/>
      </c>
      <c r="HC31" s="125">
        <f>IF(OR(HC$4="",$B31=""),0,SUMIF('DADOS BRUTOS'!$A$3:$A$500,$B31,'DADOS BRUTOS'!EC$3:EC$500)+IF($C31="",0,SUMIF('DADOS BRUTOS'!$A$3:$A$500,$C31,'DADOS BRUTOS'!EC$3:EC$500)))</f>
        <v/>
      </c>
      <c r="HD31" s="125">
        <f>IF(OR(HD$4="",$B31=""),0,SUMIF('DADOS BRUTOS'!$A$3:$A$500,$B31,'DADOS BRUTOS'!ED$3:ED$500)+IF($C31="",0,SUMIF('DADOS BRUTOS'!$A$3:$A$500,$C31,'DADOS BRUTOS'!ED$3:ED$500)))</f>
        <v/>
      </c>
      <c r="HE31" s="125">
        <f>IF(OR(HE$4="",$B31=""),0,SUMIF('DADOS BRUTOS'!$A$3:$A$500,$B31,'DADOS BRUTOS'!EE$3:EE$500)+IF($C31="",0,SUMIF('DADOS BRUTOS'!$A$3:$A$500,$C31,'DADOS BRUTOS'!EE$3:EE$500)))</f>
        <v/>
      </c>
      <c r="HF31" s="125">
        <f>IF(OR(HF$4="",$B31=""),0,SUMIF('DADOS BRUTOS'!$A$3:$A$500,$B31,'DADOS BRUTOS'!EF$3:EF$500)+IF($C31="",0,SUMIF('DADOS BRUTOS'!$A$3:$A$500,$C31,'DADOS BRUTOS'!EF$3:EF$500)))</f>
        <v/>
      </c>
      <c r="HG31" s="125">
        <f>IF(OR(HG$4="",$B31=""),0,SUMIF('DADOS BRUTOS'!$A$3:$A$500,$B31,'DADOS BRUTOS'!EG$3:EG$500)+IF($C31="",0,SUMIF('DADOS BRUTOS'!$A$3:$A$500,$C31,'DADOS BRUTOS'!EG$3:EG$500)))</f>
        <v/>
      </c>
      <c r="HH31" s="125">
        <f>IF(OR(HH$4="",$B31=""),0,SUMIF('DADOS BRUTOS'!$A$3:$A$500,$B31,'DADOS BRUTOS'!EH$3:EH$500)+IF($C31="",0,SUMIF('DADOS BRUTOS'!$A$3:$A$500,$C31,'DADOS BRUTOS'!EH$3:EH$500)))</f>
        <v/>
      </c>
      <c r="HI31" s="125">
        <f>IF(OR(HI$4="",$B31=""),0,SUMIF('DADOS BRUTOS'!$A$3:$A$500,$B31,'DADOS BRUTOS'!EI$3:EI$500)+IF($C31="",0,SUMIF('DADOS BRUTOS'!$A$3:$A$500,$C31,'DADOS BRUTOS'!EI$3:EI$500)))</f>
        <v/>
      </c>
      <c r="HJ31" s="125">
        <f>IF(OR(HJ$4="",$B31=""),0,SUMIF('DADOS BRUTOS'!$A$3:$A$500,$B31,'DADOS BRUTOS'!EJ$3:EJ$500)+IF($C31="",0,SUMIF('DADOS BRUTOS'!$A$3:$A$500,$C31,'DADOS BRUTOS'!EJ$3:EJ$500)))</f>
        <v/>
      </c>
      <c r="HK31" s="125">
        <f>IF(OR(HK$4="",$B31=""),0,SUMIF('DADOS BRUTOS'!$A$3:$A$500,$B31,'DADOS BRUTOS'!EK$3:EK$500)+IF($C31="",0,SUMIF('DADOS BRUTOS'!$A$3:$A$500,$C31,'DADOS BRUTOS'!EK$3:EK$500)))</f>
        <v/>
      </c>
      <c r="HL31" s="125">
        <f>IF(OR(HL$4="",$B31=""),0,SUMIF('DADOS BRUTOS'!$A$3:$A$500,$B31,'DADOS BRUTOS'!EL$3:EL$500)+IF($C31="",0,SUMIF('DADOS BRUTOS'!$A$3:$A$500,$C31,'DADOS BRUTOS'!EL$3:EL$500)))</f>
        <v/>
      </c>
      <c r="HM31" s="125">
        <f>IF(OR(HM$4="",$B31=""),0,SUMIF('DADOS BRUTOS'!$A$3:$A$500,$B31,'DADOS BRUTOS'!EM$3:EM$500)+IF($C31="",0,SUMIF('DADOS BRUTOS'!$A$3:$A$500,$C31,'DADOS BRUTOS'!EM$3:EM$500)))</f>
        <v/>
      </c>
      <c r="HN31" s="125">
        <f>IF(OR(HN$4="",$B31=""),0,SUMIF('DADOS BRUTOS'!$A$3:$A$500,$B31,'DADOS BRUTOS'!EN$3:EN$500)+IF($C31="",0,SUMIF('DADOS BRUTOS'!$A$3:$A$500,$C31,'DADOS BRUTOS'!EN$3:EN$500)))</f>
        <v/>
      </c>
      <c r="HO31" s="125">
        <f>IF(OR(HO$4="",$B31=""),0,SUMIF('DADOS BRUTOS'!$A$3:$A$500,$B31,'DADOS BRUTOS'!EO$3:EO$500)+IF($C31="",0,SUMIF('DADOS BRUTOS'!$A$3:$A$500,$C31,'DADOS BRUTOS'!EO$3:EO$500)))</f>
        <v/>
      </c>
      <c r="HP31" s="125">
        <f>IF(OR(HP$4="",$B31=""),0,SUMIF('DADOS BRUTOS'!$A$3:$A$500,$B31,'DADOS BRUTOS'!EP$3:EP$500)+IF($C31="",0,SUMIF('DADOS BRUTOS'!$A$3:$A$500,$C31,'DADOS BRUTOS'!EP$3:EP$500)))</f>
        <v/>
      </c>
      <c r="HQ31" s="125">
        <f>IF(OR(HQ$4="",$B31=""),0,SUMIF('DADOS BRUTOS'!$A$3:$A$500,$B31,'DADOS BRUTOS'!EQ$3:EQ$500)+IF($C31="",0,SUMIF('DADOS BRUTOS'!$A$3:$A$500,$C31,'DADOS BRUTOS'!EQ$3:EQ$500)))</f>
        <v/>
      </c>
      <c r="HR31" s="125">
        <f>IF(OR(HR$4="",$B31=""),0,SUMIF('DADOS BRUTOS'!$A$3:$A$500,$B31,'DADOS BRUTOS'!ER$3:ER$500)+IF($C31="",0,SUMIF('DADOS BRUTOS'!$A$3:$A$500,$C31,'DADOS BRUTOS'!ER$3:ER$500)))</f>
        <v/>
      </c>
      <c r="HS31" s="125">
        <f>IF(OR(HS$4="",$B31=""),0,SUMIF('DADOS BRUTOS'!$A$3:$A$500,$B31,'DADOS BRUTOS'!ES$3:ES$500)+IF($C31="",0,SUMIF('DADOS BRUTOS'!$A$3:$A$500,$C31,'DADOS BRUTOS'!ES$3:ES$500)))</f>
        <v/>
      </c>
      <c r="HT31" s="125">
        <f>IF(OR(HT$4="",$B31=""),0,SUMIF('DADOS BRUTOS'!$A$3:$A$500,$B31,'DADOS BRUTOS'!ET$3:ET$500)+IF($C31="",0,SUMIF('DADOS BRUTOS'!$A$3:$A$500,$C31,'DADOS BRUTOS'!ET$3:ET$500)))</f>
        <v/>
      </c>
      <c r="HU31" s="125">
        <f>IF(OR(HU$4="",$B31=""),0,SUMIF('DADOS BRUTOS'!$A$3:$A$500,$B31,'DADOS BRUTOS'!EU$3:EU$500)+IF($C31="",0,SUMIF('DADOS BRUTOS'!$A$3:$A$500,$C31,'DADOS BRUTOS'!EU$3:EU$500)))</f>
        <v/>
      </c>
      <c r="HV31" s="125">
        <f>IF(OR(HV$4="",$B31=""),0,SUMIF('DADOS BRUTOS'!$A$3:$A$500,$B31,'DADOS BRUTOS'!EV$3:EV$500)+IF($C31="",0,SUMIF('DADOS BRUTOS'!$A$3:$A$500,$C31,'DADOS BRUTOS'!EV$3:EV$500)))</f>
        <v/>
      </c>
      <c r="HW31" s="125">
        <f>IF(OR(HW$4="",$B31=""),0,SUMIF('DADOS BRUTOS'!$A$3:$A$500,$B31,'DADOS BRUTOS'!EW$3:EW$500)+IF($C31="",0,SUMIF('DADOS BRUTOS'!$A$3:$A$500,$C31,'DADOS BRUTOS'!EW$3:EW$500)))</f>
        <v/>
      </c>
      <c r="HX31" s="125">
        <f>IF(OR(HX$4="",$B31=""),0,SUMIF('DADOS BRUTOS'!$A$3:$A$500,$B31,'DADOS BRUTOS'!EX$3:EX$500)+IF($C31="",0,SUMIF('DADOS BRUTOS'!$A$3:$A$500,$C31,'DADOS BRUTOS'!EX$3:EX$500)))</f>
        <v/>
      </c>
      <c r="HY31" s="125">
        <f>IF(OR(HY$4="",$B31=""),0,SUMIF('DADOS BRUTOS'!$A$3:$A$500,$B31,'DADOS BRUTOS'!EY$3:EY$500)+IF($C31="",0,SUMIF('DADOS BRUTOS'!$A$3:$A$500,$C31,'DADOS BRUTOS'!EY$3:EY$500)))</f>
        <v/>
      </c>
      <c r="HZ31" s="125">
        <f>IF(OR(HZ$4="",$B31=""),0,SUMIF('DADOS BRUTOS'!$A$3:$A$500,$B31,'DADOS BRUTOS'!EZ$3:EZ$500)+IF($C31="",0,SUMIF('DADOS BRUTOS'!$A$3:$A$500,$C31,'DADOS BRUTOS'!EZ$3:EZ$500)))</f>
        <v/>
      </c>
      <c r="IA31" s="125">
        <f>IF(OR(IA$4="",$B31=""),0,SUMIF('DADOS BRUTOS'!$A$3:$A$500,$B31,'DADOS BRUTOS'!FA$3:FA$500)+IF($C31="",0,SUMIF('DADOS BRUTOS'!$A$3:$A$500,$C31,'DADOS BRUTOS'!FA$3:FA$500)))</f>
        <v/>
      </c>
      <c r="IB31" s="125">
        <f>IF(OR(IB$4="",$B31=""),0,SUMIF('DADOS BRUTOS'!$A$3:$A$500,$B31,'DADOS BRUTOS'!FB$3:FB$500)+IF($C31="",0,SUMIF('DADOS BRUTOS'!$A$3:$A$500,$C31,'DADOS BRUTOS'!FB$3:FB$500)))</f>
        <v/>
      </c>
      <c r="IC31" s="125">
        <f>IF(OR(IC$4="",$B31=""),0,SUMIF('DADOS BRUTOS'!$A$3:$A$500,$B31,'DADOS BRUTOS'!FC$3:FC$500)+IF($C31="",0,SUMIF('DADOS BRUTOS'!$A$3:$A$500,$C31,'DADOS BRUTOS'!FC$3:FC$500)))</f>
        <v/>
      </c>
      <c r="ID31" s="125">
        <f>IF(OR(ID$4="",$B31=""),0,SUMIF('DADOS BRUTOS'!$A$3:$A$500,$B31,'DADOS BRUTOS'!FD$3:FD$500)+IF($C31="",0,SUMIF('DADOS BRUTOS'!$A$3:$A$500,$C31,'DADOS BRUTOS'!FD$3:FD$500)))</f>
        <v/>
      </c>
      <c r="IE31" s="125">
        <f>IF(OR(IE$4="",$B31=""),0,SUMIF('DADOS BRUTOS'!$A$3:$A$500,$B31,'DADOS BRUTOS'!FE$3:FE$500)+IF($C31="",0,SUMIF('DADOS BRUTOS'!$A$3:$A$500,$C31,'DADOS BRUTOS'!FE$3:FE$500)))</f>
        <v/>
      </c>
      <c r="IF31" s="125">
        <f>IF(OR(IF$4="",$B31=""),0,SUMIF('DADOS BRUTOS'!$A$3:$A$500,$B31,'DADOS BRUTOS'!FF$3:FF$500)+IF($C31="",0,SUMIF('DADOS BRUTOS'!$A$3:$A$500,$C31,'DADOS BRUTOS'!FF$3:FF$500)))</f>
        <v/>
      </c>
      <c r="IG31" s="125">
        <f>IF(OR(IG$4="",$B31=""),0,SUMIF('DADOS BRUTOS'!$A$3:$A$500,$B31,'DADOS BRUTOS'!FG$3:FG$500)+IF($C31="",0,SUMIF('DADOS BRUTOS'!$A$3:$A$500,$C31,'DADOS BRUTOS'!FG$3:FG$500)))</f>
        <v/>
      </c>
      <c r="IH31" s="125">
        <f>IF(OR(IH$4="",$B31=""),0,SUMIF('DADOS BRUTOS'!$A$3:$A$500,$B31,'DADOS BRUTOS'!FH$3:FH$500)+IF($C31="",0,SUMIF('DADOS BRUTOS'!$A$3:$A$500,$C31,'DADOS BRUTOS'!FH$3:FH$500)))</f>
        <v/>
      </c>
      <c r="II31" s="125">
        <f>IF(OR(II$4="",$B31=""),0,SUMIF('DADOS BRUTOS'!$A$3:$A$500,$B31,'DADOS BRUTOS'!FI$3:FI$500)+IF($C31="",0,SUMIF('DADOS BRUTOS'!$A$3:$A$500,$C31,'DADOS BRUTOS'!FI$3:FI$500)))</f>
        <v/>
      </c>
      <c r="IJ31" s="125">
        <f>IF(OR(IJ$4="",$B31=""),0,SUMIF('DADOS BRUTOS'!$A$3:$A$500,$B31,'DADOS BRUTOS'!FJ$3:FJ$500)+IF($C31="",0,SUMIF('DADOS BRUTOS'!$A$3:$A$500,$C31,'DADOS BRUTOS'!FJ$3:FJ$500)))</f>
        <v/>
      </c>
      <c r="IK31" s="125">
        <f>IF(OR(IK$4="",$B31=""),0,SUMIF('DADOS BRUTOS'!$A$3:$A$500,$B31,'DADOS BRUTOS'!FK$3:FK$500)+IF($C31="",0,SUMIF('DADOS BRUTOS'!$A$3:$A$500,$C31,'DADOS BRUTOS'!FK$3:FK$500)))</f>
        <v/>
      </c>
      <c r="IL31" s="125">
        <f>IF(OR(IL$4="",$B31=""),0,SUMIF('DADOS BRUTOS'!$A$3:$A$500,$B31,'DADOS BRUTOS'!FL$3:FL$500)+IF($C31="",0,SUMIF('DADOS BRUTOS'!$A$3:$A$500,$C31,'DADOS BRUTOS'!FL$3:FL$500)))</f>
        <v/>
      </c>
      <c r="IM31" s="125">
        <f>IF(OR(IM$4="",$B31=""),0,SUMIF('DADOS BRUTOS'!$A$3:$A$500,$B31,'DADOS BRUTOS'!FM$3:FM$500)+IF($C31="",0,SUMIF('DADOS BRUTOS'!$A$3:$A$500,$C31,'DADOS BRUTOS'!FM$3:FM$500)))</f>
        <v/>
      </c>
      <c r="IN31" s="125">
        <f>IF(OR(IN$4="",$B31=""),0,SUMIF('DADOS BRUTOS'!$A$3:$A$500,$B31,'DADOS BRUTOS'!FN$3:FN$500)+IF($C31="",0,SUMIF('DADOS BRUTOS'!$A$3:$A$500,$C31,'DADOS BRUTOS'!FN$3:FN$500)))</f>
        <v/>
      </c>
      <c r="IO31" s="125">
        <f>IF(OR(IO$4="",$B31=""),0,SUMIF('DADOS BRUTOS'!$A$3:$A$500,$B31,'DADOS BRUTOS'!FO$3:FO$500)+IF($C31="",0,SUMIF('DADOS BRUTOS'!$A$3:$A$500,$C31,'DADOS BRUTOS'!FO$3:FO$500)))</f>
        <v/>
      </c>
      <c r="IP31" s="125">
        <f>IF(OR(IP$4="",$B31=""),0,SUMIF('DADOS BRUTOS'!$A$3:$A$500,$B31,'DADOS BRUTOS'!FP$3:FP$500)+IF($C31="",0,SUMIF('DADOS BRUTOS'!$A$3:$A$500,$C31,'DADOS BRUTOS'!FP$3:FP$500)))</f>
        <v/>
      </c>
      <c r="IQ31" s="125">
        <f>IF(OR(IQ$4="",$B31=""),0,SUMIF('DADOS BRUTOS'!$A$3:$A$500,$B31,'DADOS BRUTOS'!FQ$3:FQ$500)+IF($C31="",0,SUMIF('DADOS BRUTOS'!$A$3:$A$500,$C31,'DADOS BRUTOS'!FQ$3:FQ$500)))</f>
        <v/>
      </c>
      <c r="IR31" s="125">
        <f>IF(OR(IR$4="",$B31=""),0,SUMIF('DADOS BRUTOS'!$A$3:$A$500,$B31,'DADOS BRUTOS'!FR$3:FR$500)+IF($C31="",0,SUMIF('DADOS BRUTOS'!$A$3:$A$500,$C31,'DADOS BRUTOS'!FR$3:FR$500)))</f>
        <v/>
      </c>
      <c r="IS31" s="125">
        <f>IF(OR(IS$4="",$B31=""),0,SUMIF('DADOS BRUTOS'!$A$3:$A$500,$B31,'DADOS BRUTOS'!FS$3:FS$500)+IF($C31="",0,SUMIF('DADOS BRUTOS'!$A$3:$A$500,$C31,'DADOS BRUTOS'!FS$3:FS$500)))</f>
        <v/>
      </c>
      <c r="IT31" s="125">
        <f>IF(OR(IT$4="",$B31=""),0,SUMIF('DADOS BRUTOS'!$A$3:$A$500,$B31,'DADOS BRUTOS'!FT$3:FT$500)+IF($C31="",0,SUMIF('DADOS BRUTOS'!$A$3:$A$500,$C31,'DADOS BRUTOS'!FT$3:FT$500)))</f>
        <v/>
      </c>
      <c r="IU31" s="125">
        <f>IF(OR(IU$4="",$B31=""),0,SUMIF('DADOS BRUTOS'!$A$3:$A$500,$B31,'DADOS BRUTOS'!FU$3:FU$500)+IF($C31="",0,SUMIF('DADOS BRUTOS'!$A$3:$A$500,$C31,'DADOS BRUTOS'!FU$3:FU$500)))</f>
        <v/>
      </c>
      <c r="IV31" s="125">
        <f>IF(OR(IV$4="",$B31=""),0,SUMIF('DADOS BRUTOS'!$A$3:$A$500,$B31,'DADOS BRUTOS'!FV$3:FV$500)+IF($C31="",0,SUMIF('DADOS BRUTOS'!$A$3:$A$500,$C31,'DADOS BRUTOS'!FV$3:FV$500)))</f>
        <v/>
      </c>
      <c r="IW31" s="125">
        <f>IF(OR(IW$4="",$B31=""),0,SUMIF('DADOS BRUTOS'!$A$3:$A$500,$B31,'DADOS BRUTOS'!FW$3:FW$500)+IF($C31="",0,SUMIF('DADOS BRUTOS'!$A$3:$A$500,$C31,'DADOS BRUTOS'!FW$3:FW$500)))</f>
        <v/>
      </c>
      <c r="IX31" s="125">
        <f>IF(OR(IX$4="",$B31=""),0,SUMIF('DADOS BRUTOS'!$A$3:$A$500,$B31,'DADOS BRUTOS'!FX$3:FX$500)+IF($C31="",0,SUMIF('DADOS BRUTOS'!$A$3:$A$500,$C31,'DADOS BRUTOS'!FX$3:FX$500)))</f>
        <v/>
      </c>
      <c r="IY31" s="125">
        <f>IF(OR(IY$4="",$B31=""),0,SUMIF('DADOS BRUTOS'!$A$3:$A$500,$B31,'DADOS BRUTOS'!FY$3:FY$500)+IF($C31="",0,SUMIF('DADOS BRUTOS'!$A$3:$A$500,$C31,'DADOS BRUTOS'!FY$3:FY$500)))</f>
        <v/>
      </c>
      <c r="IZ31" s="125">
        <f>IF(OR(IZ$4="",$B31=""),0,SUMIF('DADOS BRUTOS'!$A$3:$A$500,$B31,'DADOS BRUTOS'!FZ$3:FZ$500)+IF($C31="",0,SUMIF('DADOS BRUTOS'!$A$3:$A$500,$C31,'DADOS BRUTOS'!FZ$3:FZ$500)))</f>
        <v/>
      </c>
      <c r="JA31" s="125">
        <f>IF(OR(JA$4="",$B31=""),0,SUMIF('DADOS BRUTOS'!$A$3:$A$500,$B31,'DADOS BRUTOS'!GA$3:GA$500)+IF($C31="",0,SUMIF('DADOS BRUTOS'!$A$3:$A$500,$C31,'DADOS BRUTOS'!GA$3:GA$500)))</f>
        <v/>
      </c>
      <c r="JB31" s="125">
        <f>IF(OR(JB$4="",$B31=""),0,SUMIF('DADOS BRUTOS'!$A$3:$A$500,$B31,'DADOS BRUTOS'!GB$3:GB$500)+IF($C31="",0,SUMIF('DADOS BRUTOS'!$A$3:$A$500,$C31,'DADOS BRUTOS'!GB$3:GB$500)))</f>
        <v/>
      </c>
      <c r="JC31" s="125">
        <f>IF(OR(JC$4="",$B31=""),0,SUMIF('DADOS BRUTOS'!$A$3:$A$500,$B31,'DADOS BRUTOS'!GC$3:GC$500)+IF($C31="",0,SUMIF('DADOS BRUTOS'!$A$3:$A$500,$C31,'DADOS BRUTOS'!GC$3:GC$500)))</f>
        <v/>
      </c>
      <c r="JD31" s="125">
        <f>IF(OR(JD$4="",$B31=""),0,SUMIF('DADOS BRUTOS'!$A$3:$A$500,$B31,'DADOS BRUTOS'!GD$3:GD$500)+IF($C31="",0,SUMIF('DADOS BRUTOS'!$A$3:$A$500,$C31,'DADOS BRUTOS'!GD$3:GD$500)))</f>
        <v/>
      </c>
      <c r="JE31" s="125">
        <f>IF(OR(JE$4="",$B31=""),0,SUMIF('DADOS BRUTOS'!$A$3:$A$500,$B31,'DADOS BRUTOS'!GE$3:GE$500)+IF($C31="",0,SUMIF('DADOS BRUTOS'!$A$3:$A$500,$C31,'DADOS BRUTOS'!GE$3:GE$500)))</f>
        <v/>
      </c>
      <c r="JF31" s="125">
        <f>IF(OR(JF$4="",$B31=""),0,SUMIF('DADOS BRUTOS'!$A$3:$A$500,$B31,'DADOS BRUTOS'!GF$3:GF$500)+IF($C31="",0,SUMIF('DADOS BRUTOS'!$A$3:$A$500,$C31,'DADOS BRUTOS'!GF$3:GF$500)))</f>
        <v/>
      </c>
      <c r="JG31" s="125">
        <f>IF(OR(JG$4="",$B31=""),0,SUMIF('DADOS BRUTOS'!$A$3:$A$500,$B31,'DADOS BRUTOS'!GG$3:GG$500)+IF($C31="",0,SUMIF('DADOS BRUTOS'!$A$3:$A$500,$C31,'DADOS BRUTOS'!GG$3:GG$500)))</f>
        <v/>
      </c>
      <c r="JH31" s="125">
        <f>IF(OR(JH$4="",$B31=""),0,SUMIF('DADOS BRUTOS'!$A$3:$A$500,$B31,'DADOS BRUTOS'!GH$3:GH$500)+IF($C31="",0,SUMIF('DADOS BRUTOS'!$A$3:$A$500,$C31,'DADOS BRUTOS'!GH$3:GH$500)))</f>
        <v/>
      </c>
      <c r="JI31" s="125">
        <f>IF(OR(JI$4="",$B31=""),0,SUMIF('DADOS BRUTOS'!$A$3:$A$500,$B31,'DADOS BRUTOS'!GI$3:GI$500)+IF($C31="",0,SUMIF('DADOS BRUTOS'!$A$3:$A$500,$C31,'DADOS BRUTOS'!GI$3:GI$500)))</f>
        <v/>
      </c>
      <c r="JJ31" s="125">
        <f>IF(OR(JJ$4="",$B31=""),0,SUMIF('DADOS BRUTOS'!$A$3:$A$500,$B31,'DADOS BRUTOS'!GJ$3:GJ$500)+IF($C31="",0,SUMIF('DADOS BRUTOS'!$A$3:$A$500,$C31,'DADOS BRUTOS'!GJ$3:GJ$500)))</f>
        <v/>
      </c>
      <c r="JK31" s="125">
        <f>IF(OR(JK$4="",$B31=""),0,SUMIF('DADOS BRUTOS'!$A$3:$A$500,$B31,'DADOS BRUTOS'!GK$3:GK$500)+IF($C31="",0,SUMIF('DADOS BRUTOS'!$A$3:$A$500,$C31,'DADOS BRUTOS'!GK$3:GK$500)))</f>
        <v/>
      </c>
      <c r="JL31" s="125">
        <f>IF(OR(JL$4="",$B31=""),0,SUMIF('DADOS BRUTOS'!$A$3:$A$500,$B31,'DADOS BRUTOS'!GL$3:GL$500)+IF($C31="",0,SUMIF('DADOS BRUTOS'!$A$3:$A$500,$C31,'DADOS BRUTOS'!GL$3:GL$500)))</f>
        <v/>
      </c>
      <c r="JM31" s="125">
        <f>IF(OR(JM$4="",$B31=""),0,SUMIF('DADOS BRUTOS'!$A$3:$A$500,$B31,'DADOS BRUTOS'!GM$3:GM$500)+IF($C31="",0,SUMIF('DADOS BRUTOS'!$A$3:$A$500,$C31,'DADOS BRUTOS'!GM$3:GM$500)))</f>
        <v/>
      </c>
      <c r="JN31" s="125">
        <f>IF(OR(JN$4="",$B31=""),0,SUMIF('DADOS BRUTOS'!$A$3:$A$500,$B31,'DADOS BRUTOS'!GN$3:GN$500)+IF($C31="",0,SUMIF('DADOS BRUTOS'!$A$3:$A$500,$C31,'DADOS BRUTOS'!GN$3:GN$500)))</f>
        <v/>
      </c>
      <c r="JO31" s="125">
        <f>IF(OR(JO$4="",$B31=""),0,SUMIF('DADOS BRUTOS'!$A$3:$A$500,$B31,'DADOS BRUTOS'!GO$3:GO$500)+IF($C31="",0,SUMIF('DADOS BRUTOS'!$A$3:$A$500,$C31,'DADOS BRUTOS'!GO$3:GO$500)))</f>
        <v/>
      </c>
      <c r="JP31" s="125">
        <f>IF(OR(JP$4="",$B31=""),0,SUMIF('DADOS BRUTOS'!$A$3:$A$500,$B31,'DADOS BRUTOS'!GP$3:GP$500)+IF($C31="",0,SUMIF('DADOS BRUTOS'!$A$3:$A$500,$C31,'DADOS BRUTOS'!GP$3:GP$500)))</f>
        <v/>
      </c>
      <c r="JQ31" s="125">
        <f>IF(OR(JQ$4="",$B31=""),0,SUMIF('DADOS BRUTOS'!$A$3:$A$500,$B31,'DADOS BRUTOS'!GQ$3:GQ$500)+IF($C31="",0,SUMIF('DADOS BRUTOS'!$A$3:$A$500,$C31,'DADOS BRUTOS'!GQ$3:GQ$500)))</f>
        <v/>
      </c>
      <c r="JR31" s="125">
        <f>IF(OR(JR$4="",$B31=""),0,SUMIF('DADOS BRUTOS'!$A$3:$A$500,$B31,'DADOS BRUTOS'!GR$3:GR$500)+IF($C31="",0,SUMIF('DADOS BRUTOS'!$A$3:$A$500,$C31,'DADOS BRUTOS'!GR$3:GR$500)))</f>
        <v/>
      </c>
      <c r="JS31" s="125">
        <f>IF(OR(JS$4="",$B31=""),0,SUMIF('DADOS BRUTOS'!$A$3:$A$500,$B31,'DADOS BRUTOS'!GS$3:GS$500)+IF($C31="",0,SUMIF('DADOS BRUTOS'!$A$3:$A$500,$C31,'DADOS BRUTOS'!GS$3:GS$500)))</f>
        <v/>
      </c>
    </row>
    <row r="32">
      <c r="A32" s="61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BZ32" s="49">
        <f>SUMPRODUCT(($CB$4:$JS$4&lt;&gt;"")*($CB$4:$JS$4&lt;=$D$4),$CB32:$JS32,$CB$1:$JS$1)</f>
        <v/>
      </c>
      <c r="CB32" s="125">
        <f>IF(OR(CB$4="",$B32=""),0,SUMIF('DADOS BRUTOS'!$A$3:$A$500,$B32,'DADOS BRUTOS'!B$3:B$500)+IF($C32="",0,SUMIF('DADOS BRUTOS'!$A$3:$A$500,$C32,'DADOS BRUTOS'!B$3:B$500)))</f>
        <v/>
      </c>
      <c r="CC32" s="125">
        <f>IF(OR(CC$4="",$B32=""),0,SUMIF('DADOS BRUTOS'!$A$3:$A$500,$B32,'DADOS BRUTOS'!C$3:C$500)+IF($C32="",0,SUMIF('DADOS BRUTOS'!$A$3:$A$500,$C32,'DADOS BRUTOS'!C$3:C$500)))</f>
        <v/>
      </c>
      <c r="CD32" s="125">
        <f>IF(OR(CD$4="",$B32=""),0,SUMIF('DADOS BRUTOS'!$A$3:$A$500,$B32,'DADOS BRUTOS'!D$3:D$500)+IF($C32="",0,SUMIF('DADOS BRUTOS'!$A$3:$A$500,$C32,'DADOS BRUTOS'!D$3:D$500)))</f>
        <v/>
      </c>
      <c r="CE32" s="125">
        <f>IF(OR(CE$4="",$B32=""),0,SUMIF('DADOS BRUTOS'!$A$3:$A$500,$B32,'DADOS BRUTOS'!E$3:E$500)+IF($C32="",0,SUMIF('DADOS BRUTOS'!$A$3:$A$500,$C32,'DADOS BRUTOS'!E$3:E$500)))</f>
        <v/>
      </c>
      <c r="CF32" s="125">
        <f>IF(OR(CF$4="",$B32=""),0,SUMIF('DADOS BRUTOS'!$A$3:$A$500,$B32,'DADOS BRUTOS'!F$3:F$500)+IF($C32="",0,SUMIF('DADOS BRUTOS'!$A$3:$A$500,$C32,'DADOS BRUTOS'!F$3:F$500)))</f>
        <v/>
      </c>
      <c r="CG32" s="125">
        <f>IF(OR(CG$4="",$B32=""),0,SUMIF('DADOS BRUTOS'!$A$3:$A$500,$B32,'DADOS BRUTOS'!G$3:G$500)+IF($C32="",0,SUMIF('DADOS BRUTOS'!$A$3:$A$500,$C32,'DADOS BRUTOS'!G$3:G$500)))</f>
        <v/>
      </c>
      <c r="CH32" s="125">
        <f>IF(OR(CH$4="",$B32=""),0,SUMIF('DADOS BRUTOS'!$A$3:$A$500,$B32,'DADOS BRUTOS'!H$3:H$500)+IF($C32="",0,SUMIF('DADOS BRUTOS'!$A$3:$A$500,$C32,'DADOS BRUTOS'!H$3:H$500)))</f>
        <v/>
      </c>
      <c r="CI32" s="125">
        <f>IF(OR(CI$4="",$B32=""),0,SUMIF('DADOS BRUTOS'!$A$3:$A$500,$B32,'DADOS BRUTOS'!I$3:I$500)+IF($C32="",0,SUMIF('DADOS BRUTOS'!$A$3:$A$500,$C32,'DADOS BRUTOS'!I$3:I$500)))</f>
        <v/>
      </c>
      <c r="CJ32" s="125">
        <f>IF(OR(CJ$4="",$B32=""),0,SUMIF('DADOS BRUTOS'!$A$3:$A$500,$B32,'DADOS BRUTOS'!J$3:J$500)+IF($C32="",0,SUMIF('DADOS BRUTOS'!$A$3:$A$500,$C32,'DADOS BRUTOS'!J$3:J$500)))</f>
        <v/>
      </c>
      <c r="CK32" s="125">
        <f>IF(OR(CK$4="",$B32=""),0,SUMIF('DADOS BRUTOS'!$A$3:$A$500,$B32,'DADOS BRUTOS'!K$3:K$500)+IF($C32="",0,SUMIF('DADOS BRUTOS'!$A$3:$A$500,$C32,'DADOS BRUTOS'!K$3:K$500)))</f>
        <v/>
      </c>
      <c r="CL32" s="125">
        <f>IF(OR(CL$4="",$B32=""),0,SUMIF('DADOS BRUTOS'!$A$3:$A$500,$B32,'DADOS BRUTOS'!L$3:L$500)+IF($C32="",0,SUMIF('DADOS BRUTOS'!$A$3:$A$500,$C32,'DADOS BRUTOS'!L$3:L$500)))</f>
        <v/>
      </c>
      <c r="CM32" s="125">
        <f>IF(OR(CM$4="",$B32=""),0,SUMIF('DADOS BRUTOS'!$A$3:$A$500,$B32,'DADOS BRUTOS'!M$3:M$500)+IF($C32="",0,SUMIF('DADOS BRUTOS'!$A$3:$A$500,$C32,'DADOS BRUTOS'!M$3:M$500)))</f>
        <v/>
      </c>
      <c r="CN32" s="125">
        <f>IF(OR(CN$4="",$B32=""),0,SUMIF('DADOS BRUTOS'!$A$3:$A$500,$B32,'DADOS BRUTOS'!N$3:N$500)+IF($C32="",0,SUMIF('DADOS BRUTOS'!$A$3:$A$500,$C32,'DADOS BRUTOS'!N$3:N$500)))</f>
        <v/>
      </c>
      <c r="CO32" s="125">
        <f>IF(OR(CO$4="",$B32=""),0,SUMIF('DADOS BRUTOS'!$A$3:$A$500,$B32,'DADOS BRUTOS'!O$3:O$500)+IF($C32="",0,SUMIF('DADOS BRUTOS'!$A$3:$A$500,$C32,'DADOS BRUTOS'!O$3:O$500)))</f>
        <v/>
      </c>
      <c r="CP32" s="125">
        <f>IF(OR(CP$4="",$B32=""),0,SUMIF('DADOS BRUTOS'!$A$3:$A$500,$B32,'DADOS BRUTOS'!P$3:P$500)+IF($C32="",0,SUMIF('DADOS BRUTOS'!$A$3:$A$500,$C32,'DADOS BRUTOS'!P$3:P$500)))</f>
        <v/>
      </c>
      <c r="CQ32" s="125">
        <f>IF(OR(CQ$4="",$B32=""),0,SUMIF('DADOS BRUTOS'!$A$3:$A$500,$B32,'DADOS BRUTOS'!Q$3:Q$500)+IF($C32="",0,SUMIF('DADOS BRUTOS'!$A$3:$A$500,$C32,'DADOS BRUTOS'!Q$3:Q$500)))</f>
        <v/>
      </c>
      <c r="CR32" s="125">
        <f>IF(OR(CR$4="",$B32=""),0,SUMIF('DADOS BRUTOS'!$A$3:$A$500,$B32,'DADOS BRUTOS'!R$3:R$500)+IF($C32="",0,SUMIF('DADOS BRUTOS'!$A$3:$A$500,$C32,'DADOS BRUTOS'!R$3:R$500)))</f>
        <v/>
      </c>
      <c r="CS32" s="125">
        <f>IF(OR(CS$4="",$B32=""),0,SUMIF('DADOS BRUTOS'!$A$3:$A$500,$B32,'DADOS BRUTOS'!S$3:S$500)+IF($C32="",0,SUMIF('DADOS BRUTOS'!$A$3:$A$500,$C32,'DADOS BRUTOS'!S$3:S$500)))</f>
        <v/>
      </c>
      <c r="CT32" s="125">
        <f>IF(OR(CT$4="",$B32=""),0,SUMIF('DADOS BRUTOS'!$A$3:$A$500,$B32,'DADOS BRUTOS'!T$3:T$500)+IF($C32="",0,SUMIF('DADOS BRUTOS'!$A$3:$A$500,$C32,'DADOS BRUTOS'!T$3:T$500)))</f>
        <v/>
      </c>
      <c r="CU32" s="125">
        <f>IF(OR(CU$4="",$B32=""),0,SUMIF('DADOS BRUTOS'!$A$3:$A$500,$B32,'DADOS BRUTOS'!U$3:U$500)+IF($C32="",0,SUMIF('DADOS BRUTOS'!$A$3:$A$500,$C32,'DADOS BRUTOS'!U$3:U$500)))</f>
        <v/>
      </c>
      <c r="CV32" s="125">
        <f>IF(OR(CV$4="",$B32=""),0,SUMIF('DADOS BRUTOS'!$A$3:$A$500,$B32,'DADOS BRUTOS'!V$3:V$500)+IF($C32="",0,SUMIF('DADOS BRUTOS'!$A$3:$A$500,$C32,'DADOS BRUTOS'!V$3:V$500)))</f>
        <v/>
      </c>
      <c r="CW32" s="125">
        <f>IF(OR(CW$4="",$B32=""),0,SUMIF('DADOS BRUTOS'!$A$3:$A$500,$B32,'DADOS BRUTOS'!W$3:W$500)+IF($C32="",0,SUMIF('DADOS BRUTOS'!$A$3:$A$500,$C32,'DADOS BRUTOS'!W$3:W$500)))</f>
        <v/>
      </c>
      <c r="CX32" s="125">
        <f>IF(OR(CX$4="",$B32=""),0,SUMIF('DADOS BRUTOS'!$A$3:$A$500,$B32,'DADOS BRUTOS'!X$3:X$500)+IF($C32="",0,SUMIF('DADOS BRUTOS'!$A$3:$A$500,$C32,'DADOS BRUTOS'!X$3:X$500)))</f>
        <v/>
      </c>
      <c r="CY32" s="125">
        <f>IF(OR(CY$4="",$B32=""),0,SUMIF('DADOS BRUTOS'!$A$3:$A$500,$B32,'DADOS BRUTOS'!Y$3:Y$500)+IF($C32="",0,SUMIF('DADOS BRUTOS'!$A$3:$A$500,$C32,'DADOS BRUTOS'!Y$3:Y$500)))</f>
        <v/>
      </c>
      <c r="CZ32" s="125">
        <f>IF(OR(CZ$4="",$B32=""),0,SUMIF('DADOS BRUTOS'!$A$3:$A$500,$B32,'DADOS BRUTOS'!Z$3:Z$500)+IF($C32="",0,SUMIF('DADOS BRUTOS'!$A$3:$A$500,$C32,'DADOS BRUTOS'!Z$3:Z$500)))</f>
        <v/>
      </c>
      <c r="DA32" s="125">
        <f>IF(OR(DA$4="",$B32=""),0,SUMIF('DADOS BRUTOS'!$A$3:$A$500,$B32,'DADOS BRUTOS'!AA$3:AA$500)+IF($C32="",0,SUMIF('DADOS BRUTOS'!$A$3:$A$500,$C32,'DADOS BRUTOS'!AA$3:AA$500)))</f>
        <v/>
      </c>
      <c r="DB32" s="125">
        <f>IF(OR(DB$4="",$B32=""),0,SUMIF('DADOS BRUTOS'!$A$3:$A$500,$B32,'DADOS BRUTOS'!AB$3:AB$500)+IF($C32="",0,SUMIF('DADOS BRUTOS'!$A$3:$A$500,$C32,'DADOS BRUTOS'!AB$3:AB$500)))</f>
        <v/>
      </c>
      <c r="DC32" s="125">
        <f>IF(OR(DC$4="",$B32=""),0,SUMIF('DADOS BRUTOS'!$A$3:$A$500,$B32,'DADOS BRUTOS'!AC$3:AC$500)+IF($C32="",0,SUMIF('DADOS BRUTOS'!$A$3:$A$500,$C32,'DADOS BRUTOS'!AC$3:AC$500)))</f>
        <v/>
      </c>
      <c r="DD32" s="125">
        <f>IF(OR(DD$4="",$B32=""),0,SUMIF('DADOS BRUTOS'!$A$3:$A$500,$B32,'DADOS BRUTOS'!AD$3:AD$500)+IF($C32="",0,SUMIF('DADOS BRUTOS'!$A$3:$A$500,$C32,'DADOS BRUTOS'!AD$3:AD$500)))</f>
        <v/>
      </c>
      <c r="DE32" s="125">
        <f>IF(OR(DE$4="",$B32=""),0,SUMIF('DADOS BRUTOS'!$A$3:$A$500,$B32,'DADOS BRUTOS'!AE$3:AE$500)+IF($C32="",0,SUMIF('DADOS BRUTOS'!$A$3:$A$500,$C32,'DADOS BRUTOS'!AE$3:AE$500)))</f>
        <v/>
      </c>
      <c r="DF32" s="125">
        <f>IF(OR(DF$4="",$B32=""),0,SUMIF('DADOS BRUTOS'!$A$3:$A$500,$B32,'DADOS BRUTOS'!AF$3:AF$500)+IF($C32="",0,SUMIF('DADOS BRUTOS'!$A$3:$A$500,$C32,'DADOS BRUTOS'!AF$3:AF$500)))</f>
        <v/>
      </c>
      <c r="DG32" s="125">
        <f>IF(OR(DG$4="",$B32=""),0,SUMIF('DADOS BRUTOS'!$A$3:$A$500,$B32,'DADOS BRUTOS'!AG$3:AG$500)+IF($C32="",0,SUMIF('DADOS BRUTOS'!$A$3:$A$500,$C32,'DADOS BRUTOS'!AG$3:AG$500)))</f>
        <v/>
      </c>
      <c r="DH32" s="125">
        <f>IF(OR(DH$4="",$B32=""),0,SUMIF('DADOS BRUTOS'!$A$3:$A$500,$B32,'DADOS BRUTOS'!AH$3:AH$500)+IF($C32="",0,SUMIF('DADOS BRUTOS'!$A$3:$A$500,$C32,'DADOS BRUTOS'!AH$3:AH$500)))</f>
        <v/>
      </c>
      <c r="DI32" s="125">
        <f>IF(OR(DI$4="",$B32=""),0,SUMIF('DADOS BRUTOS'!$A$3:$A$500,$B32,'DADOS BRUTOS'!AI$3:AI$500)+IF($C32="",0,SUMIF('DADOS BRUTOS'!$A$3:$A$500,$C32,'DADOS BRUTOS'!AI$3:AI$500)))</f>
        <v/>
      </c>
      <c r="DJ32" s="125">
        <f>IF(OR(DJ$4="",$B32=""),0,SUMIF('DADOS BRUTOS'!$A$3:$A$500,$B32,'DADOS BRUTOS'!AJ$3:AJ$500)+IF($C32="",0,SUMIF('DADOS BRUTOS'!$A$3:$A$500,$C32,'DADOS BRUTOS'!AJ$3:AJ$500)))</f>
        <v/>
      </c>
      <c r="DK32" s="125">
        <f>IF(OR(DK$4="",$B32=""),0,SUMIF('DADOS BRUTOS'!$A$3:$A$500,$B32,'DADOS BRUTOS'!AK$3:AK$500)+IF($C32="",0,SUMIF('DADOS BRUTOS'!$A$3:$A$500,$C32,'DADOS BRUTOS'!AK$3:AK$500)))</f>
        <v/>
      </c>
      <c r="DL32" s="125">
        <f>IF(OR(DL$4="",$B32=""),0,SUMIF('DADOS BRUTOS'!$A$3:$A$500,$B32,'DADOS BRUTOS'!AL$3:AL$500)+IF($C32="",0,SUMIF('DADOS BRUTOS'!$A$3:$A$500,$C32,'DADOS BRUTOS'!AL$3:AL$500)))</f>
        <v/>
      </c>
      <c r="DM32" s="125">
        <f>IF(OR(DM$4="",$B32=""),0,SUMIF('DADOS BRUTOS'!$A$3:$A$500,$B32,'DADOS BRUTOS'!AM$3:AM$500)+IF($C32="",0,SUMIF('DADOS BRUTOS'!$A$3:$A$500,$C32,'DADOS BRUTOS'!AM$3:AM$500)))</f>
        <v/>
      </c>
      <c r="DN32" s="125">
        <f>IF(OR(DN$4="",$B32=""),0,SUMIF('DADOS BRUTOS'!$A$3:$A$500,$B32,'DADOS BRUTOS'!AN$3:AN$500)+IF($C32="",0,SUMIF('DADOS BRUTOS'!$A$3:$A$500,$C32,'DADOS BRUTOS'!AN$3:AN$500)))</f>
        <v/>
      </c>
      <c r="DO32" s="125">
        <f>IF(OR(DO$4="",$B32=""),0,SUMIF('DADOS BRUTOS'!$A$3:$A$500,$B32,'DADOS BRUTOS'!AO$3:AO$500)+IF($C32="",0,SUMIF('DADOS BRUTOS'!$A$3:$A$500,$C32,'DADOS BRUTOS'!AO$3:AO$500)))</f>
        <v/>
      </c>
      <c r="DP32" s="125">
        <f>IF(OR(DP$4="",$B32=""),0,SUMIF('DADOS BRUTOS'!$A$3:$A$500,$B32,'DADOS BRUTOS'!AP$3:AP$500)+IF($C32="",0,SUMIF('DADOS BRUTOS'!$A$3:$A$500,$C32,'DADOS BRUTOS'!AP$3:AP$500)))</f>
        <v/>
      </c>
      <c r="DQ32" s="125">
        <f>IF(OR(DQ$4="",$B32=""),0,SUMIF('DADOS BRUTOS'!$A$3:$A$500,$B32,'DADOS BRUTOS'!AQ$3:AQ$500)+IF($C32="",0,SUMIF('DADOS BRUTOS'!$A$3:$A$500,$C32,'DADOS BRUTOS'!AQ$3:AQ$500)))</f>
        <v/>
      </c>
      <c r="DR32" s="125">
        <f>IF(OR(DR$4="",$B32=""),0,SUMIF('DADOS BRUTOS'!$A$3:$A$500,$B32,'DADOS BRUTOS'!AR$3:AR$500)+IF($C32="",0,SUMIF('DADOS BRUTOS'!$A$3:$A$500,$C32,'DADOS BRUTOS'!AR$3:AR$500)))</f>
        <v/>
      </c>
      <c r="DS32" s="125">
        <f>IF(OR(DS$4="",$B32=""),0,SUMIF('DADOS BRUTOS'!$A$3:$A$500,$B32,'DADOS BRUTOS'!AS$3:AS$500)+IF($C32="",0,SUMIF('DADOS BRUTOS'!$A$3:$A$500,$C32,'DADOS BRUTOS'!AS$3:AS$500)))</f>
        <v/>
      </c>
      <c r="DT32" s="125">
        <f>IF(OR(DT$4="",$B32=""),0,SUMIF('DADOS BRUTOS'!$A$3:$A$500,$B32,'DADOS BRUTOS'!AT$3:AT$500)+IF($C32="",0,SUMIF('DADOS BRUTOS'!$A$3:$A$500,$C32,'DADOS BRUTOS'!AT$3:AT$500)))</f>
        <v/>
      </c>
      <c r="DU32" s="125">
        <f>IF(OR(DU$4="",$B32=""),0,SUMIF('DADOS BRUTOS'!$A$3:$A$500,$B32,'DADOS BRUTOS'!AU$3:AU$500)+IF($C32="",0,SUMIF('DADOS BRUTOS'!$A$3:$A$500,$C32,'DADOS BRUTOS'!AU$3:AU$500)))</f>
        <v/>
      </c>
      <c r="DV32" s="125">
        <f>IF(OR(DV$4="",$B32=""),0,SUMIF('DADOS BRUTOS'!$A$3:$A$500,$B32,'DADOS BRUTOS'!AV$3:AV$500)+IF($C32="",0,SUMIF('DADOS BRUTOS'!$A$3:$A$500,$C32,'DADOS BRUTOS'!AV$3:AV$500)))</f>
        <v/>
      </c>
      <c r="DW32" s="125">
        <f>IF(OR(DW$4="",$B32=""),0,SUMIF('DADOS BRUTOS'!$A$3:$A$500,$B32,'DADOS BRUTOS'!AW$3:AW$500)+IF($C32="",0,SUMIF('DADOS BRUTOS'!$A$3:$A$500,$C32,'DADOS BRUTOS'!AW$3:AW$500)))</f>
        <v/>
      </c>
      <c r="DX32" s="125">
        <f>IF(OR(DX$4="",$B32=""),0,SUMIF('DADOS BRUTOS'!$A$3:$A$500,$B32,'DADOS BRUTOS'!AX$3:AX$500)+IF($C32="",0,SUMIF('DADOS BRUTOS'!$A$3:$A$500,$C32,'DADOS BRUTOS'!AX$3:AX$500)))</f>
        <v/>
      </c>
      <c r="DY32" s="125">
        <f>IF(OR(DY$4="",$B32=""),0,SUMIF('DADOS BRUTOS'!$A$3:$A$500,$B32,'DADOS BRUTOS'!AY$3:AY$500)+IF($C32="",0,SUMIF('DADOS BRUTOS'!$A$3:$A$500,$C32,'DADOS BRUTOS'!AY$3:AY$500)))</f>
        <v/>
      </c>
      <c r="DZ32" s="125">
        <f>IF(OR(DZ$4="",$B32=""),0,SUMIF('DADOS BRUTOS'!$A$3:$A$500,$B32,'DADOS BRUTOS'!AZ$3:AZ$500)+IF($C32="",0,SUMIF('DADOS BRUTOS'!$A$3:$A$500,$C32,'DADOS BRUTOS'!AZ$3:AZ$500)))</f>
        <v/>
      </c>
      <c r="EA32" s="125">
        <f>IF(OR(EA$4="",$B32=""),0,SUMIF('DADOS BRUTOS'!$A$3:$A$500,$B32,'DADOS BRUTOS'!BA$3:BA$500)+IF($C32="",0,SUMIF('DADOS BRUTOS'!$A$3:$A$500,$C32,'DADOS BRUTOS'!BA$3:BA$500)))</f>
        <v/>
      </c>
      <c r="EB32" s="125">
        <f>IF(OR(EB$4="",$B32=""),0,SUMIF('DADOS BRUTOS'!$A$3:$A$500,$B32,'DADOS BRUTOS'!BB$3:BB$500)+IF($C32="",0,SUMIF('DADOS BRUTOS'!$A$3:$A$500,$C32,'DADOS BRUTOS'!BB$3:BB$500)))</f>
        <v/>
      </c>
      <c r="EC32" s="125">
        <f>IF(OR(EC$4="",$B32=""),0,SUMIF('DADOS BRUTOS'!$A$3:$A$500,$B32,'DADOS BRUTOS'!BC$3:BC$500)+IF($C32="",0,SUMIF('DADOS BRUTOS'!$A$3:$A$500,$C32,'DADOS BRUTOS'!BC$3:BC$500)))</f>
        <v/>
      </c>
      <c r="ED32" s="125">
        <f>IF(OR(ED$4="",$B32=""),0,SUMIF('DADOS BRUTOS'!$A$3:$A$500,$B32,'DADOS BRUTOS'!BD$3:BD$500)+IF($C32="",0,SUMIF('DADOS BRUTOS'!$A$3:$A$500,$C32,'DADOS BRUTOS'!BD$3:BD$500)))</f>
        <v/>
      </c>
      <c r="EE32" s="125">
        <f>IF(OR(EE$4="",$B32=""),0,SUMIF('DADOS BRUTOS'!$A$3:$A$500,$B32,'DADOS BRUTOS'!BE$3:BE$500)+IF($C32="",0,SUMIF('DADOS BRUTOS'!$A$3:$A$500,$C32,'DADOS BRUTOS'!BE$3:BE$500)))</f>
        <v/>
      </c>
      <c r="EF32" s="125">
        <f>IF(OR(EF$4="",$B32=""),0,SUMIF('DADOS BRUTOS'!$A$3:$A$500,$B32,'DADOS BRUTOS'!BF$3:BF$500)+IF($C32="",0,SUMIF('DADOS BRUTOS'!$A$3:$A$500,$C32,'DADOS BRUTOS'!BF$3:BF$500)))</f>
        <v/>
      </c>
      <c r="EG32" s="125">
        <f>IF(OR(EG$4="",$B32=""),0,SUMIF('DADOS BRUTOS'!$A$3:$A$500,$B32,'DADOS BRUTOS'!BG$3:BG$500)+IF($C32="",0,SUMIF('DADOS BRUTOS'!$A$3:$A$500,$C32,'DADOS BRUTOS'!BG$3:BG$500)))</f>
        <v/>
      </c>
      <c r="EH32" s="125">
        <f>IF(OR(EH$4="",$B32=""),0,SUMIF('DADOS BRUTOS'!$A$3:$A$500,$B32,'DADOS BRUTOS'!BH$3:BH$500)+IF($C32="",0,SUMIF('DADOS BRUTOS'!$A$3:$A$500,$C32,'DADOS BRUTOS'!BH$3:BH$500)))</f>
        <v/>
      </c>
      <c r="EI32" s="125">
        <f>IF(OR(EI$4="",$B32=""),0,SUMIF('DADOS BRUTOS'!$A$3:$A$500,$B32,'DADOS BRUTOS'!BI$3:BI$500)+IF($C32="",0,SUMIF('DADOS BRUTOS'!$A$3:$A$500,$C32,'DADOS BRUTOS'!BI$3:BI$500)))</f>
        <v/>
      </c>
      <c r="EJ32" s="125">
        <f>IF(OR(EJ$4="",$B32=""),0,SUMIF('DADOS BRUTOS'!$A$3:$A$500,$B32,'DADOS BRUTOS'!BJ$3:BJ$500)+IF($C32="",0,SUMIF('DADOS BRUTOS'!$A$3:$A$500,$C32,'DADOS BRUTOS'!BJ$3:BJ$500)))</f>
        <v/>
      </c>
      <c r="EK32" s="125">
        <f>IF(OR(EK$4="",$B32=""),0,SUMIF('DADOS BRUTOS'!$A$3:$A$500,$B32,'DADOS BRUTOS'!BK$3:BK$500)+IF($C32="",0,SUMIF('DADOS BRUTOS'!$A$3:$A$500,$C32,'DADOS BRUTOS'!BK$3:BK$500)))</f>
        <v/>
      </c>
      <c r="EL32" s="125">
        <f>IF(OR(EL$4="",$B32=""),0,SUMIF('DADOS BRUTOS'!$A$3:$A$500,$B32,'DADOS BRUTOS'!BL$3:BL$500)+IF($C32="",0,SUMIF('DADOS BRUTOS'!$A$3:$A$500,$C32,'DADOS BRUTOS'!BL$3:BL$500)))</f>
        <v/>
      </c>
      <c r="EM32" s="125">
        <f>IF(OR(EM$4="",$B32=""),0,SUMIF('DADOS BRUTOS'!$A$3:$A$500,$B32,'DADOS BRUTOS'!BM$3:BM$500)+IF($C32="",0,SUMIF('DADOS BRUTOS'!$A$3:$A$500,$C32,'DADOS BRUTOS'!BM$3:BM$500)))</f>
        <v/>
      </c>
      <c r="EN32" s="125">
        <f>IF(OR(EN$4="",$B32=""),0,SUMIF('DADOS BRUTOS'!$A$3:$A$500,$B32,'DADOS BRUTOS'!BN$3:BN$500)+IF($C32="",0,SUMIF('DADOS BRUTOS'!$A$3:$A$500,$C32,'DADOS BRUTOS'!BN$3:BN$500)))</f>
        <v/>
      </c>
      <c r="EO32" s="125">
        <f>IF(OR(EO$4="",$B32=""),0,SUMIF('DADOS BRUTOS'!$A$3:$A$500,$B32,'DADOS BRUTOS'!BO$3:BO$500)+IF($C32="",0,SUMIF('DADOS BRUTOS'!$A$3:$A$500,$C32,'DADOS BRUTOS'!BO$3:BO$500)))</f>
        <v/>
      </c>
      <c r="EP32" s="125">
        <f>IF(OR(EP$4="",$B32=""),0,SUMIF('DADOS BRUTOS'!$A$3:$A$500,$B32,'DADOS BRUTOS'!BP$3:BP$500)+IF($C32="",0,SUMIF('DADOS BRUTOS'!$A$3:$A$500,$C32,'DADOS BRUTOS'!BP$3:BP$500)))</f>
        <v/>
      </c>
      <c r="EQ32" s="125">
        <f>IF(OR(EQ$4="",$B32=""),0,SUMIF('DADOS BRUTOS'!$A$3:$A$500,$B32,'DADOS BRUTOS'!BQ$3:BQ$500)+IF($C32="",0,SUMIF('DADOS BRUTOS'!$A$3:$A$500,$C32,'DADOS BRUTOS'!BQ$3:BQ$500)))</f>
        <v/>
      </c>
      <c r="ER32" s="125">
        <f>IF(OR(ER$4="",$B32=""),0,SUMIF('DADOS BRUTOS'!$A$3:$A$500,$B32,'DADOS BRUTOS'!BR$3:BR$500)+IF($C32="",0,SUMIF('DADOS BRUTOS'!$A$3:$A$500,$C32,'DADOS BRUTOS'!BR$3:BR$500)))</f>
        <v/>
      </c>
      <c r="ES32" s="125">
        <f>IF(OR(ES$4="",$B32=""),0,SUMIF('DADOS BRUTOS'!$A$3:$A$500,$B32,'DADOS BRUTOS'!BS$3:BS$500)+IF($C32="",0,SUMIF('DADOS BRUTOS'!$A$3:$A$500,$C32,'DADOS BRUTOS'!BS$3:BS$500)))</f>
        <v/>
      </c>
      <c r="ET32" s="125">
        <f>IF(OR(ET$4="",$B32=""),0,SUMIF('DADOS BRUTOS'!$A$3:$A$500,$B32,'DADOS BRUTOS'!BT$3:BT$500)+IF($C32="",0,SUMIF('DADOS BRUTOS'!$A$3:$A$500,$C32,'DADOS BRUTOS'!BT$3:BT$500)))</f>
        <v/>
      </c>
      <c r="EU32" s="125">
        <f>IF(OR(EU$4="",$B32=""),0,SUMIF('DADOS BRUTOS'!$A$3:$A$500,$B32,'DADOS BRUTOS'!BU$3:BU$500)+IF($C32="",0,SUMIF('DADOS BRUTOS'!$A$3:$A$500,$C32,'DADOS BRUTOS'!BU$3:BU$500)))</f>
        <v/>
      </c>
      <c r="EV32" s="125">
        <f>IF(OR(EV$4="",$B32=""),0,SUMIF('DADOS BRUTOS'!$A$3:$A$500,$B32,'DADOS BRUTOS'!BV$3:BV$500)+IF($C32="",0,SUMIF('DADOS BRUTOS'!$A$3:$A$500,$C32,'DADOS BRUTOS'!BV$3:BV$500)))</f>
        <v/>
      </c>
      <c r="EW32" s="125">
        <f>IF(OR(EW$4="",$B32=""),0,SUMIF('DADOS BRUTOS'!$A$3:$A$500,$B32,'DADOS BRUTOS'!BW$3:BW$500)+IF($C32="",0,SUMIF('DADOS BRUTOS'!$A$3:$A$500,$C32,'DADOS BRUTOS'!BW$3:BW$500)))</f>
        <v/>
      </c>
      <c r="EX32" s="125">
        <f>IF(OR(EX$4="",$B32=""),0,SUMIF('DADOS BRUTOS'!$A$3:$A$500,$B32,'DADOS BRUTOS'!BX$3:BX$500)+IF($C32="",0,SUMIF('DADOS BRUTOS'!$A$3:$A$500,$C32,'DADOS BRUTOS'!BX$3:BX$500)))</f>
        <v/>
      </c>
      <c r="EY32" s="125">
        <f>IF(OR(EY$4="",$B32=""),0,SUMIF('DADOS BRUTOS'!$A$3:$A$500,$B32,'DADOS BRUTOS'!BY$3:BY$500)+IF($C32="",0,SUMIF('DADOS BRUTOS'!$A$3:$A$500,$C32,'DADOS BRUTOS'!BY$3:BY$500)))</f>
        <v/>
      </c>
      <c r="EZ32" s="125">
        <f>IF(OR(EZ$4="",$B32=""),0,SUMIF('DADOS BRUTOS'!$A$3:$A$500,$B32,'DADOS BRUTOS'!BZ$3:BZ$500)+IF($C32="",0,SUMIF('DADOS BRUTOS'!$A$3:$A$500,$C32,'DADOS BRUTOS'!BZ$3:BZ$500)))</f>
        <v/>
      </c>
      <c r="FA32" s="125">
        <f>IF(OR(FA$4="",$B32=""),0,SUMIF('DADOS BRUTOS'!$A$3:$A$500,$B32,'DADOS BRUTOS'!CA$3:CA$500)+IF($C32="",0,SUMIF('DADOS BRUTOS'!$A$3:$A$500,$C32,'DADOS BRUTOS'!CA$3:CA$500)))</f>
        <v/>
      </c>
      <c r="FB32" s="125">
        <f>IF(OR(FB$4="",$B32=""),0,SUMIF('DADOS BRUTOS'!$A$3:$A$500,$B32,'DADOS BRUTOS'!CB$3:CB$500)+IF($C32="",0,SUMIF('DADOS BRUTOS'!$A$3:$A$500,$C32,'DADOS BRUTOS'!CB$3:CB$500)))</f>
        <v/>
      </c>
      <c r="FC32" s="125">
        <f>IF(OR(FC$4="",$B32=""),0,SUMIF('DADOS BRUTOS'!$A$3:$A$500,$B32,'DADOS BRUTOS'!CC$3:CC$500)+IF($C32="",0,SUMIF('DADOS BRUTOS'!$A$3:$A$500,$C32,'DADOS BRUTOS'!CC$3:CC$500)))</f>
        <v/>
      </c>
      <c r="FD32" s="125">
        <f>IF(OR(FD$4="",$B32=""),0,SUMIF('DADOS BRUTOS'!$A$3:$A$500,$B32,'DADOS BRUTOS'!CD$3:CD$500)+IF($C32="",0,SUMIF('DADOS BRUTOS'!$A$3:$A$500,$C32,'DADOS BRUTOS'!CD$3:CD$500)))</f>
        <v/>
      </c>
      <c r="FE32" s="125">
        <f>IF(OR(FE$4="",$B32=""),0,SUMIF('DADOS BRUTOS'!$A$3:$A$500,$B32,'DADOS BRUTOS'!CE$3:CE$500)+IF($C32="",0,SUMIF('DADOS BRUTOS'!$A$3:$A$500,$C32,'DADOS BRUTOS'!CE$3:CE$500)))</f>
        <v/>
      </c>
      <c r="FF32" s="125">
        <f>IF(OR(FF$4="",$B32=""),0,SUMIF('DADOS BRUTOS'!$A$3:$A$500,$B32,'DADOS BRUTOS'!CF$3:CF$500)+IF($C32="",0,SUMIF('DADOS BRUTOS'!$A$3:$A$500,$C32,'DADOS BRUTOS'!CF$3:CF$500)))</f>
        <v/>
      </c>
      <c r="FG32" s="125">
        <f>IF(OR(FG$4="",$B32=""),0,SUMIF('DADOS BRUTOS'!$A$3:$A$500,$B32,'DADOS BRUTOS'!CG$3:CG$500)+IF($C32="",0,SUMIF('DADOS BRUTOS'!$A$3:$A$500,$C32,'DADOS BRUTOS'!CG$3:CG$500)))</f>
        <v/>
      </c>
      <c r="FH32" s="125">
        <f>IF(OR(FH$4="",$B32=""),0,SUMIF('DADOS BRUTOS'!$A$3:$A$500,$B32,'DADOS BRUTOS'!CH$3:CH$500)+IF($C32="",0,SUMIF('DADOS BRUTOS'!$A$3:$A$500,$C32,'DADOS BRUTOS'!CH$3:CH$500)))</f>
        <v/>
      </c>
      <c r="FI32" s="125">
        <f>IF(OR(FI$4="",$B32=""),0,SUMIF('DADOS BRUTOS'!$A$3:$A$500,$B32,'DADOS BRUTOS'!CI$3:CI$500)+IF($C32="",0,SUMIF('DADOS BRUTOS'!$A$3:$A$500,$C32,'DADOS BRUTOS'!CI$3:CI$500)))</f>
        <v/>
      </c>
      <c r="FJ32" s="125">
        <f>IF(OR(FJ$4="",$B32=""),0,SUMIF('DADOS BRUTOS'!$A$3:$A$500,$B32,'DADOS BRUTOS'!CJ$3:CJ$500)+IF($C32="",0,SUMIF('DADOS BRUTOS'!$A$3:$A$500,$C32,'DADOS BRUTOS'!CJ$3:CJ$500)))</f>
        <v/>
      </c>
      <c r="FK32" s="125">
        <f>IF(OR(FK$4="",$B32=""),0,SUMIF('DADOS BRUTOS'!$A$3:$A$500,$B32,'DADOS BRUTOS'!CK$3:CK$500)+IF($C32="",0,SUMIF('DADOS BRUTOS'!$A$3:$A$500,$C32,'DADOS BRUTOS'!CK$3:CK$500)))</f>
        <v/>
      </c>
      <c r="FL32" s="125">
        <f>IF(OR(FL$4="",$B32=""),0,SUMIF('DADOS BRUTOS'!$A$3:$A$500,$B32,'DADOS BRUTOS'!CL$3:CL$500)+IF($C32="",0,SUMIF('DADOS BRUTOS'!$A$3:$A$500,$C32,'DADOS BRUTOS'!CL$3:CL$500)))</f>
        <v/>
      </c>
      <c r="FM32" s="125">
        <f>IF(OR(FM$4="",$B32=""),0,SUMIF('DADOS BRUTOS'!$A$3:$A$500,$B32,'DADOS BRUTOS'!CM$3:CM$500)+IF($C32="",0,SUMIF('DADOS BRUTOS'!$A$3:$A$500,$C32,'DADOS BRUTOS'!CM$3:CM$500)))</f>
        <v/>
      </c>
      <c r="FN32" s="125">
        <f>IF(OR(FN$4="",$B32=""),0,SUMIF('DADOS BRUTOS'!$A$3:$A$500,$B32,'DADOS BRUTOS'!CN$3:CN$500)+IF($C32="",0,SUMIF('DADOS BRUTOS'!$A$3:$A$500,$C32,'DADOS BRUTOS'!CN$3:CN$500)))</f>
        <v/>
      </c>
      <c r="FO32" s="125">
        <f>IF(OR(FO$4="",$B32=""),0,SUMIF('DADOS BRUTOS'!$A$3:$A$500,$B32,'DADOS BRUTOS'!CO$3:CO$500)+IF($C32="",0,SUMIF('DADOS BRUTOS'!$A$3:$A$500,$C32,'DADOS BRUTOS'!CO$3:CO$500)))</f>
        <v/>
      </c>
      <c r="FP32" s="125">
        <f>IF(OR(FP$4="",$B32=""),0,SUMIF('DADOS BRUTOS'!$A$3:$A$500,$B32,'DADOS BRUTOS'!CP$3:CP$500)+IF($C32="",0,SUMIF('DADOS BRUTOS'!$A$3:$A$500,$C32,'DADOS BRUTOS'!CP$3:CP$500)))</f>
        <v/>
      </c>
      <c r="FQ32" s="125">
        <f>IF(OR(FQ$4="",$B32=""),0,SUMIF('DADOS BRUTOS'!$A$3:$A$500,$B32,'DADOS BRUTOS'!CQ$3:CQ$500)+IF($C32="",0,SUMIF('DADOS BRUTOS'!$A$3:$A$500,$C32,'DADOS BRUTOS'!CQ$3:CQ$500)))</f>
        <v/>
      </c>
      <c r="FR32" s="125">
        <f>IF(OR(FR$4="",$B32=""),0,SUMIF('DADOS BRUTOS'!$A$3:$A$500,$B32,'DADOS BRUTOS'!CR$3:CR$500)+IF($C32="",0,SUMIF('DADOS BRUTOS'!$A$3:$A$500,$C32,'DADOS BRUTOS'!CR$3:CR$500)))</f>
        <v/>
      </c>
      <c r="FS32" s="125">
        <f>IF(OR(FS$4="",$B32=""),0,SUMIF('DADOS BRUTOS'!$A$3:$A$500,$B32,'DADOS BRUTOS'!CS$3:CS$500)+IF($C32="",0,SUMIF('DADOS BRUTOS'!$A$3:$A$500,$C32,'DADOS BRUTOS'!CS$3:CS$500)))</f>
        <v/>
      </c>
      <c r="FT32" s="125">
        <f>IF(OR(FT$4="",$B32=""),0,SUMIF('DADOS BRUTOS'!$A$3:$A$500,$B32,'DADOS BRUTOS'!CT$3:CT$500)+IF($C32="",0,SUMIF('DADOS BRUTOS'!$A$3:$A$500,$C32,'DADOS BRUTOS'!CT$3:CT$500)))</f>
        <v/>
      </c>
      <c r="FU32" s="125">
        <f>IF(OR(FU$4="",$B32=""),0,SUMIF('DADOS BRUTOS'!$A$3:$A$500,$B32,'DADOS BRUTOS'!CU$3:CU$500)+IF($C32="",0,SUMIF('DADOS BRUTOS'!$A$3:$A$500,$C32,'DADOS BRUTOS'!CU$3:CU$500)))</f>
        <v/>
      </c>
      <c r="FV32" s="125">
        <f>IF(OR(FV$4="",$B32=""),0,SUMIF('DADOS BRUTOS'!$A$3:$A$500,$B32,'DADOS BRUTOS'!CV$3:CV$500)+IF($C32="",0,SUMIF('DADOS BRUTOS'!$A$3:$A$500,$C32,'DADOS BRUTOS'!CV$3:CV$500)))</f>
        <v/>
      </c>
      <c r="FW32" s="125">
        <f>IF(OR(FW$4="",$B32=""),0,SUMIF('DADOS BRUTOS'!$A$3:$A$500,$B32,'DADOS BRUTOS'!CW$3:CW$500)+IF($C32="",0,SUMIF('DADOS BRUTOS'!$A$3:$A$500,$C32,'DADOS BRUTOS'!CW$3:CW$500)))</f>
        <v/>
      </c>
      <c r="FX32" s="125">
        <f>IF(OR(FX$4="",$B32=""),0,SUMIF('DADOS BRUTOS'!$A$3:$A$500,$B32,'DADOS BRUTOS'!CX$3:CX$500)+IF($C32="",0,SUMIF('DADOS BRUTOS'!$A$3:$A$500,$C32,'DADOS BRUTOS'!CX$3:CX$500)))</f>
        <v/>
      </c>
      <c r="FY32" s="125">
        <f>IF(OR(FY$4="",$B32=""),0,SUMIF('DADOS BRUTOS'!$A$3:$A$500,$B32,'DADOS BRUTOS'!CY$3:CY$500)+IF($C32="",0,SUMIF('DADOS BRUTOS'!$A$3:$A$500,$C32,'DADOS BRUTOS'!CY$3:CY$500)))</f>
        <v/>
      </c>
      <c r="FZ32" s="125">
        <f>IF(OR(FZ$4="",$B32=""),0,SUMIF('DADOS BRUTOS'!$A$3:$A$500,$B32,'DADOS BRUTOS'!CZ$3:CZ$500)+IF($C32="",0,SUMIF('DADOS BRUTOS'!$A$3:$A$500,$C32,'DADOS BRUTOS'!CZ$3:CZ$500)))</f>
        <v/>
      </c>
      <c r="GA32" s="125">
        <f>IF(OR(GA$4="",$B32=""),0,SUMIF('DADOS BRUTOS'!$A$3:$A$500,$B32,'DADOS BRUTOS'!DA$3:DA$500)+IF($C32="",0,SUMIF('DADOS BRUTOS'!$A$3:$A$500,$C32,'DADOS BRUTOS'!DA$3:DA$500)))</f>
        <v/>
      </c>
      <c r="GB32" s="125">
        <f>IF(OR(GB$4="",$B32=""),0,SUMIF('DADOS BRUTOS'!$A$3:$A$500,$B32,'DADOS BRUTOS'!DB$3:DB$500)+IF($C32="",0,SUMIF('DADOS BRUTOS'!$A$3:$A$500,$C32,'DADOS BRUTOS'!DB$3:DB$500)))</f>
        <v/>
      </c>
      <c r="GC32" s="125">
        <f>IF(OR(GC$4="",$B32=""),0,SUMIF('DADOS BRUTOS'!$A$3:$A$500,$B32,'DADOS BRUTOS'!DC$3:DC$500)+IF($C32="",0,SUMIF('DADOS BRUTOS'!$A$3:$A$500,$C32,'DADOS BRUTOS'!DC$3:DC$500)))</f>
        <v/>
      </c>
      <c r="GD32" s="125">
        <f>IF(OR(GD$4="",$B32=""),0,SUMIF('DADOS BRUTOS'!$A$3:$A$500,$B32,'DADOS BRUTOS'!DD$3:DD$500)+IF($C32="",0,SUMIF('DADOS BRUTOS'!$A$3:$A$500,$C32,'DADOS BRUTOS'!DD$3:DD$500)))</f>
        <v/>
      </c>
      <c r="GE32" s="125">
        <f>IF(OR(GE$4="",$B32=""),0,SUMIF('DADOS BRUTOS'!$A$3:$A$500,$B32,'DADOS BRUTOS'!DE$3:DE$500)+IF($C32="",0,SUMIF('DADOS BRUTOS'!$A$3:$A$500,$C32,'DADOS BRUTOS'!DE$3:DE$500)))</f>
        <v/>
      </c>
      <c r="GF32" s="125">
        <f>IF(OR(GF$4="",$B32=""),0,SUMIF('DADOS BRUTOS'!$A$3:$A$500,$B32,'DADOS BRUTOS'!DF$3:DF$500)+IF($C32="",0,SUMIF('DADOS BRUTOS'!$A$3:$A$500,$C32,'DADOS BRUTOS'!DF$3:DF$500)))</f>
        <v/>
      </c>
      <c r="GG32" s="125">
        <f>IF(OR(GG$4="",$B32=""),0,SUMIF('DADOS BRUTOS'!$A$3:$A$500,$B32,'DADOS BRUTOS'!DG$3:DG$500)+IF($C32="",0,SUMIF('DADOS BRUTOS'!$A$3:$A$500,$C32,'DADOS BRUTOS'!DG$3:DG$500)))</f>
        <v/>
      </c>
      <c r="GH32" s="125">
        <f>IF(OR(GH$4="",$B32=""),0,SUMIF('DADOS BRUTOS'!$A$3:$A$500,$B32,'DADOS BRUTOS'!DH$3:DH$500)+IF($C32="",0,SUMIF('DADOS BRUTOS'!$A$3:$A$500,$C32,'DADOS BRUTOS'!DH$3:DH$500)))</f>
        <v/>
      </c>
      <c r="GI32" s="125">
        <f>IF(OR(GI$4="",$B32=""),0,SUMIF('DADOS BRUTOS'!$A$3:$A$500,$B32,'DADOS BRUTOS'!DI$3:DI$500)+IF($C32="",0,SUMIF('DADOS BRUTOS'!$A$3:$A$500,$C32,'DADOS BRUTOS'!DI$3:DI$500)))</f>
        <v/>
      </c>
      <c r="GJ32" s="125">
        <f>IF(OR(GJ$4="",$B32=""),0,SUMIF('DADOS BRUTOS'!$A$3:$A$500,$B32,'DADOS BRUTOS'!DJ$3:DJ$500)+IF($C32="",0,SUMIF('DADOS BRUTOS'!$A$3:$A$500,$C32,'DADOS BRUTOS'!DJ$3:DJ$500)))</f>
        <v/>
      </c>
      <c r="GK32" s="125">
        <f>IF(OR(GK$4="",$B32=""),0,SUMIF('DADOS BRUTOS'!$A$3:$A$500,$B32,'DADOS BRUTOS'!DK$3:DK$500)+IF($C32="",0,SUMIF('DADOS BRUTOS'!$A$3:$A$500,$C32,'DADOS BRUTOS'!DK$3:DK$500)))</f>
        <v/>
      </c>
      <c r="GL32" s="125">
        <f>IF(OR(GL$4="",$B32=""),0,SUMIF('DADOS BRUTOS'!$A$3:$A$500,$B32,'DADOS BRUTOS'!DL$3:DL$500)+IF($C32="",0,SUMIF('DADOS BRUTOS'!$A$3:$A$500,$C32,'DADOS BRUTOS'!DL$3:DL$500)))</f>
        <v/>
      </c>
      <c r="GM32" s="125">
        <f>IF(OR(GM$4="",$B32=""),0,SUMIF('DADOS BRUTOS'!$A$3:$A$500,$B32,'DADOS BRUTOS'!DM$3:DM$500)+IF($C32="",0,SUMIF('DADOS BRUTOS'!$A$3:$A$500,$C32,'DADOS BRUTOS'!DM$3:DM$500)))</f>
        <v/>
      </c>
      <c r="GN32" s="125">
        <f>IF(OR(GN$4="",$B32=""),0,SUMIF('DADOS BRUTOS'!$A$3:$A$500,$B32,'DADOS BRUTOS'!DN$3:DN$500)+IF($C32="",0,SUMIF('DADOS BRUTOS'!$A$3:$A$500,$C32,'DADOS BRUTOS'!DN$3:DN$500)))</f>
        <v/>
      </c>
      <c r="GO32" s="125">
        <f>IF(OR(GO$4="",$B32=""),0,SUMIF('DADOS BRUTOS'!$A$3:$A$500,$B32,'DADOS BRUTOS'!DO$3:DO$500)+IF($C32="",0,SUMIF('DADOS BRUTOS'!$A$3:$A$500,$C32,'DADOS BRUTOS'!DO$3:DO$500)))</f>
        <v/>
      </c>
      <c r="GP32" s="125">
        <f>IF(OR(GP$4="",$B32=""),0,SUMIF('DADOS BRUTOS'!$A$3:$A$500,$B32,'DADOS BRUTOS'!DP$3:DP$500)+IF($C32="",0,SUMIF('DADOS BRUTOS'!$A$3:$A$500,$C32,'DADOS BRUTOS'!DP$3:DP$500)))</f>
        <v/>
      </c>
      <c r="GQ32" s="125">
        <f>IF(OR(GQ$4="",$B32=""),0,SUMIF('DADOS BRUTOS'!$A$3:$A$500,$B32,'DADOS BRUTOS'!DQ$3:DQ$500)+IF($C32="",0,SUMIF('DADOS BRUTOS'!$A$3:$A$500,$C32,'DADOS BRUTOS'!DQ$3:DQ$500)))</f>
        <v/>
      </c>
      <c r="GR32" s="125">
        <f>IF(OR(GR$4="",$B32=""),0,SUMIF('DADOS BRUTOS'!$A$3:$A$500,$B32,'DADOS BRUTOS'!DR$3:DR$500)+IF($C32="",0,SUMIF('DADOS BRUTOS'!$A$3:$A$500,$C32,'DADOS BRUTOS'!DR$3:DR$500)))</f>
        <v/>
      </c>
      <c r="GS32" s="125">
        <f>IF(OR(GS$4="",$B32=""),0,SUMIF('DADOS BRUTOS'!$A$3:$A$500,$B32,'DADOS BRUTOS'!DS$3:DS$500)+IF($C32="",0,SUMIF('DADOS BRUTOS'!$A$3:$A$500,$C32,'DADOS BRUTOS'!DS$3:DS$500)))</f>
        <v/>
      </c>
      <c r="GT32" s="125">
        <f>IF(OR(GT$4="",$B32=""),0,SUMIF('DADOS BRUTOS'!$A$3:$A$500,$B32,'DADOS BRUTOS'!DT$3:DT$500)+IF($C32="",0,SUMIF('DADOS BRUTOS'!$A$3:$A$500,$C32,'DADOS BRUTOS'!DT$3:DT$500)))</f>
        <v/>
      </c>
      <c r="GU32" s="125">
        <f>IF(OR(GU$4="",$B32=""),0,SUMIF('DADOS BRUTOS'!$A$3:$A$500,$B32,'DADOS BRUTOS'!DU$3:DU$500)+IF($C32="",0,SUMIF('DADOS BRUTOS'!$A$3:$A$500,$C32,'DADOS BRUTOS'!DU$3:DU$500)))</f>
        <v/>
      </c>
      <c r="GV32" s="125">
        <f>IF(OR(GV$4="",$B32=""),0,SUMIF('DADOS BRUTOS'!$A$3:$A$500,$B32,'DADOS BRUTOS'!DV$3:DV$500)+IF($C32="",0,SUMIF('DADOS BRUTOS'!$A$3:$A$500,$C32,'DADOS BRUTOS'!DV$3:DV$500)))</f>
        <v/>
      </c>
      <c r="GW32" s="125">
        <f>IF(OR(GW$4="",$B32=""),0,SUMIF('DADOS BRUTOS'!$A$3:$A$500,$B32,'DADOS BRUTOS'!DW$3:DW$500)+IF($C32="",0,SUMIF('DADOS BRUTOS'!$A$3:$A$500,$C32,'DADOS BRUTOS'!DW$3:DW$500)))</f>
        <v/>
      </c>
      <c r="GX32" s="125">
        <f>IF(OR(GX$4="",$B32=""),0,SUMIF('DADOS BRUTOS'!$A$3:$A$500,$B32,'DADOS BRUTOS'!DX$3:DX$500)+IF($C32="",0,SUMIF('DADOS BRUTOS'!$A$3:$A$500,$C32,'DADOS BRUTOS'!DX$3:DX$500)))</f>
        <v/>
      </c>
      <c r="GY32" s="125">
        <f>IF(OR(GY$4="",$B32=""),0,SUMIF('DADOS BRUTOS'!$A$3:$A$500,$B32,'DADOS BRUTOS'!DY$3:DY$500)+IF($C32="",0,SUMIF('DADOS BRUTOS'!$A$3:$A$500,$C32,'DADOS BRUTOS'!DY$3:DY$500)))</f>
        <v/>
      </c>
      <c r="GZ32" s="125">
        <f>IF(OR(GZ$4="",$B32=""),0,SUMIF('DADOS BRUTOS'!$A$3:$A$500,$B32,'DADOS BRUTOS'!DZ$3:DZ$500)+IF($C32="",0,SUMIF('DADOS BRUTOS'!$A$3:$A$500,$C32,'DADOS BRUTOS'!DZ$3:DZ$500)))</f>
        <v/>
      </c>
      <c r="HA32" s="125">
        <f>IF(OR(HA$4="",$B32=""),0,SUMIF('DADOS BRUTOS'!$A$3:$A$500,$B32,'DADOS BRUTOS'!EA$3:EA$500)+IF($C32="",0,SUMIF('DADOS BRUTOS'!$A$3:$A$500,$C32,'DADOS BRUTOS'!EA$3:EA$500)))</f>
        <v/>
      </c>
      <c r="HB32" s="125">
        <f>IF(OR(HB$4="",$B32=""),0,SUMIF('DADOS BRUTOS'!$A$3:$A$500,$B32,'DADOS BRUTOS'!EB$3:EB$500)+IF($C32="",0,SUMIF('DADOS BRUTOS'!$A$3:$A$500,$C32,'DADOS BRUTOS'!EB$3:EB$500)))</f>
        <v/>
      </c>
      <c r="HC32" s="125">
        <f>IF(OR(HC$4="",$B32=""),0,SUMIF('DADOS BRUTOS'!$A$3:$A$500,$B32,'DADOS BRUTOS'!EC$3:EC$500)+IF($C32="",0,SUMIF('DADOS BRUTOS'!$A$3:$A$500,$C32,'DADOS BRUTOS'!EC$3:EC$500)))</f>
        <v/>
      </c>
      <c r="HD32" s="125">
        <f>IF(OR(HD$4="",$B32=""),0,SUMIF('DADOS BRUTOS'!$A$3:$A$500,$B32,'DADOS BRUTOS'!ED$3:ED$500)+IF($C32="",0,SUMIF('DADOS BRUTOS'!$A$3:$A$500,$C32,'DADOS BRUTOS'!ED$3:ED$500)))</f>
        <v/>
      </c>
      <c r="HE32" s="125">
        <f>IF(OR(HE$4="",$B32=""),0,SUMIF('DADOS BRUTOS'!$A$3:$A$500,$B32,'DADOS BRUTOS'!EE$3:EE$500)+IF($C32="",0,SUMIF('DADOS BRUTOS'!$A$3:$A$500,$C32,'DADOS BRUTOS'!EE$3:EE$500)))</f>
        <v/>
      </c>
      <c r="HF32" s="125">
        <f>IF(OR(HF$4="",$B32=""),0,SUMIF('DADOS BRUTOS'!$A$3:$A$500,$B32,'DADOS BRUTOS'!EF$3:EF$500)+IF($C32="",0,SUMIF('DADOS BRUTOS'!$A$3:$A$500,$C32,'DADOS BRUTOS'!EF$3:EF$500)))</f>
        <v/>
      </c>
      <c r="HG32" s="125">
        <f>IF(OR(HG$4="",$B32=""),0,SUMIF('DADOS BRUTOS'!$A$3:$A$500,$B32,'DADOS BRUTOS'!EG$3:EG$500)+IF($C32="",0,SUMIF('DADOS BRUTOS'!$A$3:$A$500,$C32,'DADOS BRUTOS'!EG$3:EG$500)))</f>
        <v/>
      </c>
      <c r="HH32" s="125">
        <f>IF(OR(HH$4="",$B32=""),0,SUMIF('DADOS BRUTOS'!$A$3:$A$500,$B32,'DADOS BRUTOS'!EH$3:EH$500)+IF($C32="",0,SUMIF('DADOS BRUTOS'!$A$3:$A$500,$C32,'DADOS BRUTOS'!EH$3:EH$500)))</f>
        <v/>
      </c>
      <c r="HI32" s="125">
        <f>IF(OR(HI$4="",$B32=""),0,SUMIF('DADOS BRUTOS'!$A$3:$A$500,$B32,'DADOS BRUTOS'!EI$3:EI$500)+IF($C32="",0,SUMIF('DADOS BRUTOS'!$A$3:$A$500,$C32,'DADOS BRUTOS'!EI$3:EI$500)))</f>
        <v/>
      </c>
      <c r="HJ32" s="125">
        <f>IF(OR(HJ$4="",$B32=""),0,SUMIF('DADOS BRUTOS'!$A$3:$A$500,$B32,'DADOS BRUTOS'!EJ$3:EJ$500)+IF($C32="",0,SUMIF('DADOS BRUTOS'!$A$3:$A$500,$C32,'DADOS BRUTOS'!EJ$3:EJ$500)))</f>
        <v/>
      </c>
      <c r="HK32" s="125">
        <f>IF(OR(HK$4="",$B32=""),0,SUMIF('DADOS BRUTOS'!$A$3:$A$500,$B32,'DADOS BRUTOS'!EK$3:EK$500)+IF($C32="",0,SUMIF('DADOS BRUTOS'!$A$3:$A$500,$C32,'DADOS BRUTOS'!EK$3:EK$500)))</f>
        <v/>
      </c>
      <c r="HL32" s="125">
        <f>IF(OR(HL$4="",$B32=""),0,SUMIF('DADOS BRUTOS'!$A$3:$A$500,$B32,'DADOS BRUTOS'!EL$3:EL$500)+IF($C32="",0,SUMIF('DADOS BRUTOS'!$A$3:$A$500,$C32,'DADOS BRUTOS'!EL$3:EL$500)))</f>
        <v/>
      </c>
      <c r="HM32" s="125">
        <f>IF(OR(HM$4="",$B32=""),0,SUMIF('DADOS BRUTOS'!$A$3:$A$500,$B32,'DADOS BRUTOS'!EM$3:EM$500)+IF($C32="",0,SUMIF('DADOS BRUTOS'!$A$3:$A$500,$C32,'DADOS BRUTOS'!EM$3:EM$500)))</f>
        <v/>
      </c>
      <c r="HN32" s="125">
        <f>IF(OR(HN$4="",$B32=""),0,SUMIF('DADOS BRUTOS'!$A$3:$A$500,$B32,'DADOS BRUTOS'!EN$3:EN$500)+IF($C32="",0,SUMIF('DADOS BRUTOS'!$A$3:$A$500,$C32,'DADOS BRUTOS'!EN$3:EN$500)))</f>
        <v/>
      </c>
      <c r="HO32" s="125">
        <f>IF(OR(HO$4="",$B32=""),0,SUMIF('DADOS BRUTOS'!$A$3:$A$500,$B32,'DADOS BRUTOS'!EO$3:EO$500)+IF($C32="",0,SUMIF('DADOS BRUTOS'!$A$3:$A$500,$C32,'DADOS BRUTOS'!EO$3:EO$500)))</f>
        <v/>
      </c>
      <c r="HP32" s="125">
        <f>IF(OR(HP$4="",$B32=""),0,SUMIF('DADOS BRUTOS'!$A$3:$A$500,$B32,'DADOS BRUTOS'!EP$3:EP$500)+IF($C32="",0,SUMIF('DADOS BRUTOS'!$A$3:$A$500,$C32,'DADOS BRUTOS'!EP$3:EP$500)))</f>
        <v/>
      </c>
      <c r="HQ32" s="125">
        <f>IF(OR(HQ$4="",$B32=""),0,SUMIF('DADOS BRUTOS'!$A$3:$A$500,$B32,'DADOS BRUTOS'!EQ$3:EQ$500)+IF($C32="",0,SUMIF('DADOS BRUTOS'!$A$3:$A$500,$C32,'DADOS BRUTOS'!EQ$3:EQ$500)))</f>
        <v/>
      </c>
      <c r="HR32" s="125">
        <f>IF(OR(HR$4="",$B32=""),0,SUMIF('DADOS BRUTOS'!$A$3:$A$500,$B32,'DADOS BRUTOS'!ER$3:ER$500)+IF($C32="",0,SUMIF('DADOS BRUTOS'!$A$3:$A$500,$C32,'DADOS BRUTOS'!ER$3:ER$500)))</f>
        <v/>
      </c>
      <c r="HS32" s="125">
        <f>IF(OR(HS$4="",$B32=""),0,SUMIF('DADOS BRUTOS'!$A$3:$A$500,$B32,'DADOS BRUTOS'!ES$3:ES$500)+IF($C32="",0,SUMIF('DADOS BRUTOS'!$A$3:$A$500,$C32,'DADOS BRUTOS'!ES$3:ES$500)))</f>
        <v/>
      </c>
      <c r="HT32" s="125">
        <f>IF(OR(HT$4="",$B32=""),0,SUMIF('DADOS BRUTOS'!$A$3:$A$500,$B32,'DADOS BRUTOS'!ET$3:ET$500)+IF($C32="",0,SUMIF('DADOS BRUTOS'!$A$3:$A$500,$C32,'DADOS BRUTOS'!ET$3:ET$500)))</f>
        <v/>
      </c>
      <c r="HU32" s="125">
        <f>IF(OR(HU$4="",$B32=""),0,SUMIF('DADOS BRUTOS'!$A$3:$A$500,$B32,'DADOS BRUTOS'!EU$3:EU$500)+IF($C32="",0,SUMIF('DADOS BRUTOS'!$A$3:$A$500,$C32,'DADOS BRUTOS'!EU$3:EU$500)))</f>
        <v/>
      </c>
      <c r="HV32" s="125">
        <f>IF(OR(HV$4="",$B32=""),0,SUMIF('DADOS BRUTOS'!$A$3:$A$500,$B32,'DADOS BRUTOS'!EV$3:EV$500)+IF($C32="",0,SUMIF('DADOS BRUTOS'!$A$3:$A$500,$C32,'DADOS BRUTOS'!EV$3:EV$500)))</f>
        <v/>
      </c>
      <c r="HW32" s="125">
        <f>IF(OR(HW$4="",$B32=""),0,SUMIF('DADOS BRUTOS'!$A$3:$A$500,$B32,'DADOS BRUTOS'!EW$3:EW$500)+IF($C32="",0,SUMIF('DADOS BRUTOS'!$A$3:$A$500,$C32,'DADOS BRUTOS'!EW$3:EW$500)))</f>
        <v/>
      </c>
      <c r="HX32" s="125">
        <f>IF(OR(HX$4="",$B32=""),0,SUMIF('DADOS BRUTOS'!$A$3:$A$500,$B32,'DADOS BRUTOS'!EX$3:EX$500)+IF($C32="",0,SUMIF('DADOS BRUTOS'!$A$3:$A$500,$C32,'DADOS BRUTOS'!EX$3:EX$500)))</f>
        <v/>
      </c>
      <c r="HY32" s="125">
        <f>IF(OR(HY$4="",$B32=""),0,SUMIF('DADOS BRUTOS'!$A$3:$A$500,$B32,'DADOS BRUTOS'!EY$3:EY$500)+IF($C32="",0,SUMIF('DADOS BRUTOS'!$A$3:$A$500,$C32,'DADOS BRUTOS'!EY$3:EY$500)))</f>
        <v/>
      </c>
      <c r="HZ32" s="125">
        <f>IF(OR(HZ$4="",$B32=""),0,SUMIF('DADOS BRUTOS'!$A$3:$A$500,$B32,'DADOS BRUTOS'!EZ$3:EZ$500)+IF($C32="",0,SUMIF('DADOS BRUTOS'!$A$3:$A$500,$C32,'DADOS BRUTOS'!EZ$3:EZ$500)))</f>
        <v/>
      </c>
      <c r="IA32" s="125">
        <f>IF(OR(IA$4="",$B32=""),0,SUMIF('DADOS BRUTOS'!$A$3:$A$500,$B32,'DADOS BRUTOS'!FA$3:FA$500)+IF($C32="",0,SUMIF('DADOS BRUTOS'!$A$3:$A$500,$C32,'DADOS BRUTOS'!FA$3:FA$500)))</f>
        <v/>
      </c>
      <c r="IB32" s="125">
        <f>IF(OR(IB$4="",$B32=""),0,SUMIF('DADOS BRUTOS'!$A$3:$A$500,$B32,'DADOS BRUTOS'!FB$3:FB$500)+IF($C32="",0,SUMIF('DADOS BRUTOS'!$A$3:$A$500,$C32,'DADOS BRUTOS'!FB$3:FB$500)))</f>
        <v/>
      </c>
      <c r="IC32" s="125">
        <f>IF(OR(IC$4="",$B32=""),0,SUMIF('DADOS BRUTOS'!$A$3:$A$500,$B32,'DADOS BRUTOS'!FC$3:FC$500)+IF($C32="",0,SUMIF('DADOS BRUTOS'!$A$3:$A$500,$C32,'DADOS BRUTOS'!FC$3:FC$500)))</f>
        <v/>
      </c>
      <c r="ID32" s="125">
        <f>IF(OR(ID$4="",$B32=""),0,SUMIF('DADOS BRUTOS'!$A$3:$A$500,$B32,'DADOS BRUTOS'!FD$3:FD$500)+IF($C32="",0,SUMIF('DADOS BRUTOS'!$A$3:$A$500,$C32,'DADOS BRUTOS'!FD$3:FD$500)))</f>
        <v/>
      </c>
      <c r="IE32" s="125">
        <f>IF(OR(IE$4="",$B32=""),0,SUMIF('DADOS BRUTOS'!$A$3:$A$500,$B32,'DADOS BRUTOS'!FE$3:FE$500)+IF($C32="",0,SUMIF('DADOS BRUTOS'!$A$3:$A$500,$C32,'DADOS BRUTOS'!FE$3:FE$500)))</f>
        <v/>
      </c>
      <c r="IF32" s="125">
        <f>IF(OR(IF$4="",$B32=""),0,SUMIF('DADOS BRUTOS'!$A$3:$A$500,$B32,'DADOS BRUTOS'!FF$3:FF$500)+IF($C32="",0,SUMIF('DADOS BRUTOS'!$A$3:$A$500,$C32,'DADOS BRUTOS'!FF$3:FF$500)))</f>
        <v/>
      </c>
      <c r="IG32" s="125">
        <f>IF(OR(IG$4="",$B32=""),0,SUMIF('DADOS BRUTOS'!$A$3:$A$500,$B32,'DADOS BRUTOS'!FG$3:FG$500)+IF($C32="",0,SUMIF('DADOS BRUTOS'!$A$3:$A$500,$C32,'DADOS BRUTOS'!FG$3:FG$500)))</f>
        <v/>
      </c>
      <c r="IH32" s="125">
        <f>IF(OR(IH$4="",$B32=""),0,SUMIF('DADOS BRUTOS'!$A$3:$A$500,$B32,'DADOS BRUTOS'!FH$3:FH$500)+IF($C32="",0,SUMIF('DADOS BRUTOS'!$A$3:$A$500,$C32,'DADOS BRUTOS'!FH$3:FH$500)))</f>
        <v/>
      </c>
      <c r="II32" s="125">
        <f>IF(OR(II$4="",$B32=""),0,SUMIF('DADOS BRUTOS'!$A$3:$A$500,$B32,'DADOS BRUTOS'!FI$3:FI$500)+IF($C32="",0,SUMIF('DADOS BRUTOS'!$A$3:$A$500,$C32,'DADOS BRUTOS'!FI$3:FI$500)))</f>
        <v/>
      </c>
      <c r="IJ32" s="125">
        <f>IF(OR(IJ$4="",$B32=""),0,SUMIF('DADOS BRUTOS'!$A$3:$A$500,$B32,'DADOS BRUTOS'!FJ$3:FJ$500)+IF($C32="",0,SUMIF('DADOS BRUTOS'!$A$3:$A$500,$C32,'DADOS BRUTOS'!FJ$3:FJ$500)))</f>
        <v/>
      </c>
      <c r="IK32" s="125">
        <f>IF(OR(IK$4="",$B32=""),0,SUMIF('DADOS BRUTOS'!$A$3:$A$500,$B32,'DADOS BRUTOS'!FK$3:FK$500)+IF($C32="",0,SUMIF('DADOS BRUTOS'!$A$3:$A$500,$C32,'DADOS BRUTOS'!FK$3:FK$500)))</f>
        <v/>
      </c>
      <c r="IL32" s="125">
        <f>IF(OR(IL$4="",$B32=""),0,SUMIF('DADOS BRUTOS'!$A$3:$A$500,$B32,'DADOS BRUTOS'!FL$3:FL$500)+IF($C32="",0,SUMIF('DADOS BRUTOS'!$A$3:$A$500,$C32,'DADOS BRUTOS'!FL$3:FL$500)))</f>
        <v/>
      </c>
      <c r="IM32" s="125">
        <f>IF(OR(IM$4="",$B32=""),0,SUMIF('DADOS BRUTOS'!$A$3:$A$500,$B32,'DADOS BRUTOS'!FM$3:FM$500)+IF($C32="",0,SUMIF('DADOS BRUTOS'!$A$3:$A$500,$C32,'DADOS BRUTOS'!FM$3:FM$500)))</f>
        <v/>
      </c>
      <c r="IN32" s="125">
        <f>IF(OR(IN$4="",$B32=""),0,SUMIF('DADOS BRUTOS'!$A$3:$A$500,$B32,'DADOS BRUTOS'!FN$3:FN$500)+IF($C32="",0,SUMIF('DADOS BRUTOS'!$A$3:$A$500,$C32,'DADOS BRUTOS'!FN$3:FN$500)))</f>
        <v/>
      </c>
      <c r="IO32" s="125">
        <f>IF(OR(IO$4="",$B32=""),0,SUMIF('DADOS BRUTOS'!$A$3:$A$500,$B32,'DADOS BRUTOS'!FO$3:FO$500)+IF($C32="",0,SUMIF('DADOS BRUTOS'!$A$3:$A$500,$C32,'DADOS BRUTOS'!FO$3:FO$500)))</f>
        <v/>
      </c>
      <c r="IP32" s="125">
        <f>IF(OR(IP$4="",$B32=""),0,SUMIF('DADOS BRUTOS'!$A$3:$A$500,$B32,'DADOS BRUTOS'!FP$3:FP$500)+IF($C32="",0,SUMIF('DADOS BRUTOS'!$A$3:$A$500,$C32,'DADOS BRUTOS'!FP$3:FP$500)))</f>
        <v/>
      </c>
      <c r="IQ32" s="125">
        <f>IF(OR(IQ$4="",$B32=""),0,SUMIF('DADOS BRUTOS'!$A$3:$A$500,$B32,'DADOS BRUTOS'!FQ$3:FQ$500)+IF($C32="",0,SUMIF('DADOS BRUTOS'!$A$3:$A$500,$C32,'DADOS BRUTOS'!FQ$3:FQ$500)))</f>
        <v/>
      </c>
      <c r="IR32" s="125">
        <f>IF(OR(IR$4="",$B32=""),0,SUMIF('DADOS BRUTOS'!$A$3:$A$500,$B32,'DADOS BRUTOS'!FR$3:FR$500)+IF($C32="",0,SUMIF('DADOS BRUTOS'!$A$3:$A$500,$C32,'DADOS BRUTOS'!FR$3:FR$500)))</f>
        <v/>
      </c>
      <c r="IS32" s="125">
        <f>IF(OR(IS$4="",$B32=""),0,SUMIF('DADOS BRUTOS'!$A$3:$A$500,$B32,'DADOS BRUTOS'!FS$3:FS$500)+IF($C32="",0,SUMIF('DADOS BRUTOS'!$A$3:$A$500,$C32,'DADOS BRUTOS'!FS$3:FS$500)))</f>
        <v/>
      </c>
      <c r="IT32" s="125">
        <f>IF(OR(IT$4="",$B32=""),0,SUMIF('DADOS BRUTOS'!$A$3:$A$500,$B32,'DADOS BRUTOS'!FT$3:FT$500)+IF($C32="",0,SUMIF('DADOS BRUTOS'!$A$3:$A$500,$C32,'DADOS BRUTOS'!FT$3:FT$500)))</f>
        <v/>
      </c>
      <c r="IU32" s="125">
        <f>IF(OR(IU$4="",$B32=""),0,SUMIF('DADOS BRUTOS'!$A$3:$A$500,$B32,'DADOS BRUTOS'!FU$3:FU$500)+IF($C32="",0,SUMIF('DADOS BRUTOS'!$A$3:$A$500,$C32,'DADOS BRUTOS'!FU$3:FU$500)))</f>
        <v/>
      </c>
      <c r="IV32" s="125">
        <f>IF(OR(IV$4="",$B32=""),0,SUMIF('DADOS BRUTOS'!$A$3:$A$500,$B32,'DADOS BRUTOS'!FV$3:FV$500)+IF($C32="",0,SUMIF('DADOS BRUTOS'!$A$3:$A$500,$C32,'DADOS BRUTOS'!FV$3:FV$500)))</f>
        <v/>
      </c>
      <c r="IW32" s="125">
        <f>IF(OR(IW$4="",$B32=""),0,SUMIF('DADOS BRUTOS'!$A$3:$A$500,$B32,'DADOS BRUTOS'!FW$3:FW$500)+IF($C32="",0,SUMIF('DADOS BRUTOS'!$A$3:$A$500,$C32,'DADOS BRUTOS'!FW$3:FW$500)))</f>
        <v/>
      </c>
      <c r="IX32" s="125">
        <f>IF(OR(IX$4="",$B32=""),0,SUMIF('DADOS BRUTOS'!$A$3:$A$500,$B32,'DADOS BRUTOS'!FX$3:FX$500)+IF($C32="",0,SUMIF('DADOS BRUTOS'!$A$3:$A$500,$C32,'DADOS BRUTOS'!FX$3:FX$500)))</f>
        <v/>
      </c>
      <c r="IY32" s="125">
        <f>IF(OR(IY$4="",$B32=""),0,SUMIF('DADOS BRUTOS'!$A$3:$A$500,$B32,'DADOS BRUTOS'!FY$3:FY$500)+IF($C32="",0,SUMIF('DADOS BRUTOS'!$A$3:$A$500,$C32,'DADOS BRUTOS'!FY$3:FY$500)))</f>
        <v/>
      </c>
      <c r="IZ32" s="125">
        <f>IF(OR(IZ$4="",$B32=""),0,SUMIF('DADOS BRUTOS'!$A$3:$A$500,$B32,'DADOS BRUTOS'!FZ$3:FZ$500)+IF($C32="",0,SUMIF('DADOS BRUTOS'!$A$3:$A$500,$C32,'DADOS BRUTOS'!FZ$3:FZ$500)))</f>
        <v/>
      </c>
      <c r="JA32" s="125">
        <f>IF(OR(JA$4="",$B32=""),0,SUMIF('DADOS BRUTOS'!$A$3:$A$500,$B32,'DADOS BRUTOS'!GA$3:GA$500)+IF($C32="",0,SUMIF('DADOS BRUTOS'!$A$3:$A$500,$C32,'DADOS BRUTOS'!GA$3:GA$500)))</f>
        <v/>
      </c>
      <c r="JB32" s="125">
        <f>IF(OR(JB$4="",$B32=""),0,SUMIF('DADOS BRUTOS'!$A$3:$A$500,$B32,'DADOS BRUTOS'!GB$3:GB$500)+IF($C32="",0,SUMIF('DADOS BRUTOS'!$A$3:$A$500,$C32,'DADOS BRUTOS'!GB$3:GB$500)))</f>
        <v/>
      </c>
      <c r="JC32" s="125">
        <f>IF(OR(JC$4="",$B32=""),0,SUMIF('DADOS BRUTOS'!$A$3:$A$500,$B32,'DADOS BRUTOS'!GC$3:GC$500)+IF($C32="",0,SUMIF('DADOS BRUTOS'!$A$3:$A$500,$C32,'DADOS BRUTOS'!GC$3:GC$500)))</f>
        <v/>
      </c>
      <c r="JD32" s="125">
        <f>IF(OR(JD$4="",$B32=""),0,SUMIF('DADOS BRUTOS'!$A$3:$A$500,$B32,'DADOS BRUTOS'!GD$3:GD$500)+IF($C32="",0,SUMIF('DADOS BRUTOS'!$A$3:$A$500,$C32,'DADOS BRUTOS'!GD$3:GD$500)))</f>
        <v/>
      </c>
      <c r="JE32" s="125">
        <f>IF(OR(JE$4="",$B32=""),0,SUMIF('DADOS BRUTOS'!$A$3:$A$500,$B32,'DADOS BRUTOS'!GE$3:GE$500)+IF($C32="",0,SUMIF('DADOS BRUTOS'!$A$3:$A$500,$C32,'DADOS BRUTOS'!GE$3:GE$500)))</f>
        <v/>
      </c>
      <c r="JF32" s="125">
        <f>IF(OR(JF$4="",$B32=""),0,SUMIF('DADOS BRUTOS'!$A$3:$A$500,$B32,'DADOS BRUTOS'!GF$3:GF$500)+IF($C32="",0,SUMIF('DADOS BRUTOS'!$A$3:$A$500,$C32,'DADOS BRUTOS'!GF$3:GF$500)))</f>
        <v/>
      </c>
      <c r="JG32" s="125">
        <f>IF(OR(JG$4="",$B32=""),0,SUMIF('DADOS BRUTOS'!$A$3:$A$500,$B32,'DADOS BRUTOS'!GG$3:GG$500)+IF($C32="",0,SUMIF('DADOS BRUTOS'!$A$3:$A$500,$C32,'DADOS BRUTOS'!GG$3:GG$500)))</f>
        <v/>
      </c>
      <c r="JH32" s="125">
        <f>IF(OR(JH$4="",$B32=""),0,SUMIF('DADOS BRUTOS'!$A$3:$A$500,$B32,'DADOS BRUTOS'!GH$3:GH$500)+IF($C32="",0,SUMIF('DADOS BRUTOS'!$A$3:$A$500,$C32,'DADOS BRUTOS'!GH$3:GH$500)))</f>
        <v/>
      </c>
      <c r="JI32" s="125">
        <f>IF(OR(JI$4="",$B32=""),0,SUMIF('DADOS BRUTOS'!$A$3:$A$500,$B32,'DADOS BRUTOS'!GI$3:GI$500)+IF($C32="",0,SUMIF('DADOS BRUTOS'!$A$3:$A$500,$C32,'DADOS BRUTOS'!GI$3:GI$500)))</f>
        <v/>
      </c>
      <c r="JJ32" s="125">
        <f>IF(OR(JJ$4="",$B32=""),0,SUMIF('DADOS BRUTOS'!$A$3:$A$500,$B32,'DADOS BRUTOS'!GJ$3:GJ$500)+IF($C32="",0,SUMIF('DADOS BRUTOS'!$A$3:$A$500,$C32,'DADOS BRUTOS'!GJ$3:GJ$500)))</f>
        <v/>
      </c>
      <c r="JK32" s="125">
        <f>IF(OR(JK$4="",$B32=""),0,SUMIF('DADOS BRUTOS'!$A$3:$A$500,$B32,'DADOS BRUTOS'!GK$3:GK$500)+IF($C32="",0,SUMIF('DADOS BRUTOS'!$A$3:$A$500,$C32,'DADOS BRUTOS'!GK$3:GK$500)))</f>
        <v/>
      </c>
      <c r="JL32" s="125">
        <f>IF(OR(JL$4="",$B32=""),0,SUMIF('DADOS BRUTOS'!$A$3:$A$500,$B32,'DADOS BRUTOS'!GL$3:GL$500)+IF($C32="",0,SUMIF('DADOS BRUTOS'!$A$3:$A$500,$C32,'DADOS BRUTOS'!GL$3:GL$500)))</f>
        <v/>
      </c>
      <c r="JM32" s="125">
        <f>IF(OR(JM$4="",$B32=""),0,SUMIF('DADOS BRUTOS'!$A$3:$A$500,$B32,'DADOS BRUTOS'!GM$3:GM$500)+IF($C32="",0,SUMIF('DADOS BRUTOS'!$A$3:$A$500,$C32,'DADOS BRUTOS'!GM$3:GM$500)))</f>
        <v/>
      </c>
      <c r="JN32" s="125">
        <f>IF(OR(JN$4="",$B32=""),0,SUMIF('DADOS BRUTOS'!$A$3:$A$500,$B32,'DADOS BRUTOS'!GN$3:GN$500)+IF($C32="",0,SUMIF('DADOS BRUTOS'!$A$3:$A$500,$C32,'DADOS BRUTOS'!GN$3:GN$500)))</f>
        <v/>
      </c>
      <c r="JO32" s="125">
        <f>IF(OR(JO$4="",$B32=""),0,SUMIF('DADOS BRUTOS'!$A$3:$A$500,$B32,'DADOS BRUTOS'!GO$3:GO$500)+IF($C32="",0,SUMIF('DADOS BRUTOS'!$A$3:$A$500,$C32,'DADOS BRUTOS'!GO$3:GO$500)))</f>
        <v/>
      </c>
      <c r="JP32" s="125">
        <f>IF(OR(JP$4="",$B32=""),0,SUMIF('DADOS BRUTOS'!$A$3:$A$500,$B32,'DADOS BRUTOS'!GP$3:GP$500)+IF($C32="",0,SUMIF('DADOS BRUTOS'!$A$3:$A$500,$C32,'DADOS BRUTOS'!GP$3:GP$500)))</f>
        <v/>
      </c>
      <c r="JQ32" s="125">
        <f>IF(OR(JQ$4="",$B32=""),0,SUMIF('DADOS BRUTOS'!$A$3:$A$500,$B32,'DADOS BRUTOS'!GQ$3:GQ$500)+IF($C32="",0,SUMIF('DADOS BRUTOS'!$A$3:$A$500,$C32,'DADOS BRUTOS'!GQ$3:GQ$500)))</f>
        <v/>
      </c>
      <c r="JR32" s="125">
        <f>IF(OR(JR$4="",$B32=""),0,SUMIF('DADOS BRUTOS'!$A$3:$A$500,$B32,'DADOS BRUTOS'!GR$3:GR$500)+IF($C32="",0,SUMIF('DADOS BRUTOS'!$A$3:$A$500,$C32,'DADOS BRUTOS'!GR$3:GR$500)))</f>
        <v/>
      </c>
      <c r="JS32" s="125">
        <f>IF(OR(JS$4="",$B32=""),0,SUMIF('DADOS BRUTOS'!$A$3:$A$500,$B32,'DADOS BRUTOS'!GS$3:GS$500)+IF($C32="",0,SUMIF('DADOS BRUTOS'!$A$3:$A$500,$C32,'DADOS BRUTOS'!GS$3:GS$500)))</f>
        <v/>
      </c>
    </row>
    <row r="33">
      <c r="A33" s="61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BZ33" s="49">
        <f>SUMPRODUCT(($CB$4:$JS$4&lt;&gt;"")*($CB$4:$JS$4&lt;=$D$4),$CB33:$JS33,$CB$1:$JS$1)</f>
        <v/>
      </c>
      <c r="CB33" s="125">
        <f>IF(OR(CB$4="",$B33=""),0,SUMIF('DADOS BRUTOS'!$A$3:$A$500,$B33,'DADOS BRUTOS'!B$3:B$500)+IF($C33="",0,SUMIF('DADOS BRUTOS'!$A$3:$A$500,$C33,'DADOS BRUTOS'!B$3:B$500)))</f>
        <v/>
      </c>
      <c r="CC33" s="125">
        <f>IF(OR(CC$4="",$B33=""),0,SUMIF('DADOS BRUTOS'!$A$3:$A$500,$B33,'DADOS BRUTOS'!C$3:C$500)+IF($C33="",0,SUMIF('DADOS BRUTOS'!$A$3:$A$500,$C33,'DADOS BRUTOS'!C$3:C$500)))</f>
        <v/>
      </c>
      <c r="CD33" s="125">
        <f>IF(OR(CD$4="",$B33=""),0,SUMIF('DADOS BRUTOS'!$A$3:$A$500,$B33,'DADOS BRUTOS'!D$3:D$500)+IF($C33="",0,SUMIF('DADOS BRUTOS'!$A$3:$A$500,$C33,'DADOS BRUTOS'!D$3:D$500)))</f>
        <v/>
      </c>
      <c r="CE33" s="125">
        <f>IF(OR(CE$4="",$B33=""),0,SUMIF('DADOS BRUTOS'!$A$3:$A$500,$B33,'DADOS BRUTOS'!E$3:E$500)+IF($C33="",0,SUMIF('DADOS BRUTOS'!$A$3:$A$500,$C33,'DADOS BRUTOS'!E$3:E$500)))</f>
        <v/>
      </c>
      <c r="CF33" s="125">
        <f>IF(OR(CF$4="",$B33=""),0,SUMIF('DADOS BRUTOS'!$A$3:$A$500,$B33,'DADOS BRUTOS'!F$3:F$500)+IF($C33="",0,SUMIF('DADOS BRUTOS'!$A$3:$A$500,$C33,'DADOS BRUTOS'!F$3:F$500)))</f>
        <v/>
      </c>
      <c r="CG33" s="125">
        <f>IF(OR(CG$4="",$B33=""),0,SUMIF('DADOS BRUTOS'!$A$3:$A$500,$B33,'DADOS BRUTOS'!G$3:G$500)+IF($C33="",0,SUMIF('DADOS BRUTOS'!$A$3:$A$500,$C33,'DADOS BRUTOS'!G$3:G$500)))</f>
        <v/>
      </c>
      <c r="CH33" s="125">
        <f>IF(OR(CH$4="",$B33=""),0,SUMIF('DADOS BRUTOS'!$A$3:$A$500,$B33,'DADOS BRUTOS'!H$3:H$500)+IF($C33="",0,SUMIF('DADOS BRUTOS'!$A$3:$A$500,$C33,'DADOS BRUTOS'!H$3:H$500)))</f>
        <v/>
      </c>
      <c r="CI33" s="125">
        <f>IF(OR(CI$4="",$B33=""),0,SUMIF('DADOS BRUTOS'!$A$3:$A$500,$B33,'DADOS BRUTOS'!I$3:I$500)+IF($C33="",0,SUMIF('DADOS BRUTOS'!$A$3:$A$500,$C33,'DADOS BRUTOS'!I$3:I$500)))</f>
        <v/>
      </c>
      <c r="CJ33" s="125">
        <f>IF(OR(CJ$4="",$B33=""),0,SUMIF('DADOS BRUTOS'!$A$3:$A$500,$B33,'DADOS BRUTOS'!J$3:J$500)+IF($C33="",0,SUMIF('DADOS BRUTOS'!$A$3:$A$500,$C33,'DADOS BRUTOS'!J$3:J$500)))</f>
        <v/>
      </c>
      <c r="CK33" s="125">
        <f>IF(OR(CK$4="",$B33=""),0,SUMIF('DADOS BRUTOS'!$A$3:$A$500,$B33,'DADOS BRUTOS'!K$3:K$500)+IF($C33="",0,SUMIF('DADOS BRUTOS'!$A$3:$A$500,$C33,'DADOS BRUTOS'!K$3:K$500)))</f>
        <v/>
      </c>
      <c r="CL33" s="125">
        <f>IF(OR(CL$4="",$B33=""),0,SUMIF('DADOS BRUTOS'!$A$3:$A$500,$B33,'DADOS BRUTOS'!L$3:L$500)+IF($C33="",0,SUMIF('DADOS BRUTOS'!$A$3:$A$500,$C33,'DADOS BRUTOS'!L$3:L$500)))</f>
        <v/>
      </c>
      <c r="CM33" s="125">
        <f>IF(OR(CM$4="",$B33=""),0,SUMIF('DADOS BRUTOS'!$A$3:$A$500,$B33,'DADOS BRUTOS'!M$3:M$500)+IF($C33="",0,SUMIF('DADOS BRUTOS'!$A$3:$A$500,$C33,'DADOS BRUTOS'!M$3:M$500)))</f>
        <v/>
      </c>
      <c r="CN33" s="125">
        <f>IF(OR(CN$4="",$B33=""),0,SUMIF('DADOS BRUTOS'!$A$3:$A$500,$B33,'DADOS BRUTOS'!N$3:N$500)+IF($C33="",0,SUMIF('DADOS BRUTOS'!$A$3:$A$500,$C33,'DADOS BRUTOS'!N$3:N$500)))</f>
        <v/>
      </c>
      <c r="CO33" s="125">
        <f>IF(OR(CO$4="",$B33=""),0,SUMIF('DADOS BRUTOS'!$A$3:$A$500,$B33,'DADOS BRUTOS'!O$3:O$500)+IF($C33="",0,SUMIF('DADOS BRUTOS'!$A$3:$A$500,$C33,'DADOS BRUTOS'!O$3:O$500)))</f>
        <v/>
      </c>
      <c r="CP33" s="125">
        <f>IF(OR(CP$4="",$B33=""),0,SUMIF('DADOS BRUTOS'!$A$3:$A$500,$B33,'DADOS BRUTOS'!P$3:P$500)+IF($C33="",0,SUMIF('DADOS BRUTOS'!$A$3:$A$500,$C33,'DADOS BRUTOS'!P$3:P$500)))</f>
        <v/>
      </c>
      <c r="CQ33" s="125">
        <f>IF(OR(CQ$4="",$B33=""),0,SUMIF('DADOS BRUTOS'!$A$3:$A$500,$B33,'DADOS BRUTOS'!Q$3:Q$500)+IF($C33="",0,SUMIF('DADOS BRUTOS'!$A$3:$A$500,$C33,'DADOS BRUTOS'!Q$3:Q$500)))</f>
        <v/>
      </c>
      <c r="CR33" s="125">
        <f>IF(OR(CR$4="",$B33=""),0,SUMIF('DADOS BRUTOS'!$A$3:$A$500,$B33,'DADOS BRUTOS'!R$3:R$500)+IF($C33="",0,SUMIF('DADOS BRUTOS'!$A$3:$A$500,$C33,'DADOS BRUTOS'!R$3:R$500)))</f>
        <v/>
      </c>
      <c r="CS33" s="125">
        <f>IF(OR(CS$4="",$B33=""),0,SUMIF('DADOS BRUTOS'!$A$3:$A$500,$B33,'DADOS BRUTOS'!S$3:S$500)+IF($C33="",0,SUMIF('DADOS BRUTOS'!$A$3:$A$500,$C33,'DADOS BRUTOS'!S$3:S$500)))</f>
        <v/>
      </c>
      <c r="CT33" s="125">
        <f>IF(OR(CT$4="",$B33=""),0,SUMIF('DADOS BRUTOS'!$A$3:$A$500,$B33,'DADOS BRUTOS'!T$3:T$500)+IF($C33="",0,SUMIF('DADOS BRUTOS'!$A$3:$A$500,$C33,'DADOS BRUTOS'!T$3:T$500)))</f>
        <v/>
      </c>
      <c r="CU33" s="125">
        <f>IF(OR(CU$4="",$B33=""),0,SUMIF('DADOS BRUTOS'!$A$3:$A$500,$B33,'DADOS BRUTOS'!U$3:U$500)+IF($C33="",0,SUMIF('DADOS BRUTOS'!$A$3:$A$500,$C33,'DADOS BRUTOS'!U$3:U$500)))</f>
        <v/>
      </c>
      <c r="CV33" s="125">
        <f>IF(OR(CV$4="",$B33=""),0,SUMIF('DADOS BRUTOS'!$A$3:$A$500,$B33,'DADOS BRUTOS'!V$3:V$500)+IF($C33="",0,SUMIF('DADOS BRUTOS'!$A$3:$A$500,$C33,'DADOS BRUTOS'!V$3:V$500)))</f>
        <v/>
      </c>
      <c r="CW33" s="125">
        <f>IF(OR(CW$4="",$B33=""),0,SUMIF('DADOS BRUTOS'!$A$3:$A$500,$B33,'DADOS BRUTOS'!W$3:W$500)+IF($C33="",0,SUMIF('DADOS BRUTOS'!$A$3:$A$500,$C33,'DADOS BRUTOS'!W$3:W$500)))</f>
        <v/>
      </c>
      <c r="CX33" s="125">
        <f>IF(OR(CX$4="",$B33=""),0,SUMIF('DADOS BRUTOS'!$A$3:$A$500,$B33,'DADOS BRUTOS'!X$3:X$500)+IF($C33="",0,SUMIF('DADOS BRUTOS'!$A$3:$A$500,$C33,'DADOS BRUTOS'!X$3:X$500)))</f>
        <v/>
      </c>
      <c r="CY33" s="125">
        <f>IF(OR(CY$4="",$B33=""),0,SUMIF('DADOS BRUTOS'!$A$3:$A$500,$B33,'DADOS BRUTOS'!Y$3:Y$500)+IF($C33="",0,SUMIF('DADOS BRUTOS'!$A$3:$A$500,$C33,'DADOS BRUTOS'!Y$3:Y$500)))</f>
        <v/>
      </c>
      <c r="CZ33" s="125">
        <f>IF(OR(CZ$4="",$B33=""),0,SUMIF('DADOS BRUTOS'!$A$3:$A$500,$B33,'DADOS BRUTOS'!Z$3:Z$500)+IF($C33="",0,SUMIF('DADOS BRUTOS'!$A$3:$A$500,$C33,'DADOS BRUTOS'!Z$3:Z$500)))</f>
        <v/>
      </c>
      <c r="DA33" s="125">
        <f>IF(OR(DA$4="",$B33=""),0,SUMIF('DADOS BRUTOS'!$A$3:$A$500,$B33,'DADOS BRUTOS'!AA$3:AA$500)+IF($C33="",0,SUMIF('DADOS BRUTOS'!$A$3:$A$500,$C33,'DADOS BRUTOS'!AA$3:AA$500)))</f>
        <v/>
      </c>
      <c r="DB33" s="125">
        <f>IF(OR(DB$4="",$B33=""),0,SUMIF('DADOS BRUTOS'!$A$3:$A$500,$B33,'DADOS BRUTOS'!AB$3:AB$500)+IF($C33="",0,SUMIF('DADOS BRUTOS'!$A$3:$A$500,$C33,'DADOS BRUTOS'!AB$3:AB$500)))</f>
        <v/>
      </c>
      <c r="DC33" s="125">
        <f>IF(OR(DC$4="",$B33=""),0,SUMIF('DADOS BRUTOS'!$A$3:$A$500,$B33,'DADOS BRUTOS'!AC$3:AC$500)+IF($C33="",0,SUMIF('DADOS BRUTOS'!$A$3:$A$500,$C33,'DADOS BRUTOS'!AC$3:AC$500)))</f>
        <v/>
      </c>
      <c r="DD33" s="125">
        <f>IF(OR(DD$4="",$B33=""),0,SUMIF('DADOS BRUTOS'!$A$3:$A$500,$B33,'DADOS BRUTOS'!AD$3:AD$500)+IF($C33="",0,SUMIF('DADOS BRUTOS'!$A$3:$A$500,$C33,'DADOS BRUTOS'!AD$3:AD$500)))</f>
        <v/>
      </c>
      <c r="DE33" s="125">
        <f>IF(OR(DE$4="",$B33=""),0,SUMIF('DADOS BRUTOS'!$A$3:$A$500,$B33,'DADOS BRUTOS'!AE$3:AE$500)+IF($C33="",0,SUMIF('DADOS BRUTOS'!$A$3:$A$500,$C33,'DADOS BRUTOS'!AE$3:AE$500)))</f>
        <v/>
      </c>
      <c r="DF33" s="125">
        <f>IF(OR(DF$4="",$B33=""),0,SUMIF('DADOS BRUTOS'!$A$3:$A$500,$B33,'DADOS BRUTOS'!AF$3:AF$500)+IF($C33="",0,SUMIF('DADOS BRUTOS'!$A$3:$A$500,$C33,'DADOS BRUTOS'!AF$3:AF$500)))</f>
        <v/>
      </c>
      <c r="DG33" s="125">
        <f>IF(OR(DG$4="",$B33=""),0,SUMIF('DADOS BRUTOS'!$A$3:$A$500,$B33,'DADOS BRUTOS'!AG$3:AG$500)+IF($C33="",0,SUMIF('DADOS BRUTOS'!$A$3:$A$500,$C33,'DADOS BRUTOS'!AG$3:AG$500)))</f>
        <v/>
      </c>
      <c r="DH33" s="125">
        <f>IF(OR(DH$4="",$B33=""),0,SUMIF('DADOS BRUTOS'!$A$3:$A$500,$B33,'DADOS BRUTOS'!AH$3:AH$500)+IF($C33="",0,SUMIF('DADOS BRUTOS'!$A$3:$A$500,$C33,'DADOS BRUTOS'!AH$3:AH$500)))</f>
        <v/>
      </c>
      <c r="DI33" s="125">
        <f>IF(OR(DI$4="",$B33=""),0,SUMIF('DADOS BRUTOS'!$A$3:$A$500,$B33,'DADOS BRUTOS'!AI$3:AI$500)+IF($C33="",0,SUMIF('DADOS BRUTOS'!$A$3:$A$500,$C33,'DADOS BRUTOS'!AI$3:AI$500)))</f>
        <v/>
      </c>
      <c r="DJ33" s="125">
        <f>IF(OR(DJ$4="",$B33=""),0,SUMIF('DADOS BRUTOS'!$A$3:$A$500,$B33,'DADOS BRUTOS'!AJ$3:AJ$500)+IF($C33="",0,SUMIF('DADOS BRUTOS'!$A$3:$A$500,$C33,'DADOS BRUTOS'!AJ$3:AJ$500)))</f>
        <v/>
      </c>
      <c r="DK33" s="125">
        <f>IF(OR(DK$4="",$B33=""),0,SUMIF('DADOS BRUTOS'!$A$3:$A$500,$B33,'DADOS BRUTOS'!AK$3:AK$500)+IF($C33="",0,SUMIF('DADOS BRUTOS'!$A$3:$A$500,$C33,'DADOS BRUTOS'!AK$3:AK$500)))</f>
        <v/>
      </c>
      <c r="DL33" s="125">
        <f>IF(OR(DL$4="",$B33=""),0,SUMIF('DADOS BRUTOS'!$A$3:$A$500,$B33,'DADOS BRUTOS'!AL$3:AL$500)+IF($C33="",0,SUMIF('DADOS BRUTOS'!$A$3:$A$500,$C33,'DADOS BRUTOS'!AL$3:AL$500)))</f>
        <v/>
      </c>
      <c r="DM33" s="125">
        <f>IF(OR(DM$4="",$B33=""),0,SUMIF('DADOS BRUTOS'!$A$3:$A$500,$B33,'DADOS BRUTOS'!AM$3:AM$500)+IF($C33="",0,SUMIF('DADOS BRUTOS'!$A$3:$A$500,$C33,'DADOS BRUTOS'!AM$3:AM$500)))</f>
        <v/>
      </c>
      <c r="DN33" s="125">
        <f>IF(OR(DN$4="",$B33=""),0,SUMIF('DADOS BRUTOS'!$A$3:$A$500,$B33,'DADOS BRUTOS'!AN$3:AN$500)+IF($C33="",0,SUMIF('DADOS BRUTOS'!$A$3:$A$500,$C33,'DADOS BRUTOS'!AN$3:AN$500)))</f>
        <v/>
      </c>
      <c r="DO33" s="125">
        <f>IF(OR(DO$4="",$B33=""),0,SUMIF('DADOS BRUTOS'!$A$3:$A$500,$B33,'DADOS BRUTOS'!AO$3:AO$500)+IF($C33="",0,SUMIF('DADOS BRUTOS'!$A$3:$A$500,$C33,'DADOS BRUTOS'!AO$3:AO$500)))</f>
        <v/>
      </c>
      <c r="DP33" s="125">
        <f>IF(OR(DP$4="",$B33=""),0,SUMIF('DADOS BRUTOS'!$A$3:$A$500,$B33,'DADOS BRUTOS'!AP$3:AP$500)+IF($C33="",0,SUMIF('DADOS BRUTOS'!$A$3:$A$500,$C33,'DADOS BRUTOS'!AP$3:AP$500)))</f>
        <v/>
      </c>
      <c r="DQ33" s="125">
        <f>IF(OR(DQ$4="",$B33=""),0,SUMIF('DADOS BRUTOS'!$A$3:$A$500,$B33,'DADOS BRUTOS'!AQ$3:AQ$500)+IF($C33="",0,SUMIF('DADOS BRUTOS'!$A$3:$A$500,$C33,'DADOS BRUTOS'!AQ$3:AQ$500)))</f>
        <v/>
      </c>
      <c r="DR33" s="125">
        <f>IF(OR(DR$4="",$B33=""),0,SUMIF('DADOS BRUTOS'!$A$3:$A$500,$B33,'DADOS BRUTOS'!AR$3:AR$500)+IF($C33="",0,SUMIF('DADOS BRUTOS'!$A$3:$A$500,$C33,'DADOS BRUTOS'!AR$3:AR$500)))</f>
        <v/>
      </c>
      <c r="DS33" s="125">
        <f>IF(OR(DS$4="",$B33=""),0,SUMIF('DADOS BRUTOS'!$A$3:$A$500,$B33,'DADOS BRUTOS'!AS$3:AS$500)+IF($C33="",0,SUMIF('DADOS BRUTOS'!$A$3:$A$500,$C33,'DADOS BRUTOS'!AS$3:AS$500)))</f>
        <v/>
      </c>
      <c r="DT33" s="125">
        <f>IF(OR(DT$4="",$B33=""),0,SUMIF('DADOS BRUTOS'!$A$3:$A$500,$B33,'DADOS BRUTOS'!AT$3:AT$500)+IF($C33="",0,SUMIF('DADOS BRUTOS'!$A$3:$A$500,$C33,'DADOS BRUTOS'!AT$3:AT$500)))</f>
        <v/>
      </c>
      <c r="DU33" s="125">
        <f>IF(OR(DU$4="",$B33=""),0,SUMIF('DADOS BRUTOS'!$A$3:$A$500,$B33,'DADOS BRUTOS'!AU$3:AU$500)+IF($C33="",0,SUMIF('DADOS BRUTOS'!$A$3:$A$500,$C33,'DADOS BRUTOS'!AU$3:AU$500)))</f>
        <v/>
      </c>
      <c r="DV33" s="125">
        <f>IF(OR(DV$4="",$B33=""),0,SUMIF('DADOS BRUTOS'!$A$3:$A$500,$B33,'DADOS BRUTOS'!AV$3:AV$500)+IF($C33="",0,SUMIF('DADOS BRUTOS'!$A$3:$A$500,$C33,'DADOS BRUTOS'!AV$3:AV$500)))</f>
        <v/>
      </c>
      <c r="DW33" s="125">
        <f>IF(OR(DW$4="",$B33=""),0,SUMIF('DADOS BRUTOS'!$A$3:$A$500,$B33,'DADOS BRUTOS'!AW$3:AW$500)+IF($C33="",0,SUMIF('DADOS BRUTOS'!$A$3:$A$500,$C33,'DADOS BRUTOS'!AW$3:AW$500)))</f>
        <v/>
      </c>
      <c r="DX33" s="125">
        <f>IF(OR(DX$4="",$B33=""),0,SUMIF('DADOS BRUTOS'!$A$3:$A$500,$B33,'DADOS BRUTOS'!AX$3:AX$500)+IF($C33="",0,SUMIF('DADOS BRUTOS'!$A$3:$A$500,$C33,'DADOS BRUTOS'!AX$3:AX$500)))</f>
        <v/>
      </c>
      <c r="DY33" s="125">
        <f>IF(OR(DY$4="",$B33=""),0,SUMIF('DADOS BRUTOS'!$A$3:$A$500,$B33,'DADOS BRUTOS'!AY$3:AY$500)+IF($C33="",0,SUMIF('DADOS BRUTOS'!$A$3:$A$500,$C33,'DADOS BRUTOS'!AY$3:AY$500)))</f>
        <v/>
      </c>
      <c r="DZ33" s="125">
        <f>IF(OR(DZ$4="",$B33=""),0,SUMIF('DADOS BRUTOS'!$A$3:$A$500,$B33,'DADOS BRUTOS'!AZ$3:AZ$500)+IF($C33="",0,SUMIF('DADOS BRUTOS'!$A$3:$A$500,$C33,'DADOS BRUTOS'!AZ$3:AZ$500)))</f>
        <v/>
      </c>
      <c r="EA33" s="125">
        <f>IF(OR(EA$4="",$B33=""),0,SUMIF('DADOS BRUTOS'!$A$3:$A$500,$B33,'DADOS BRUTOS'!BA$3:BA$500)+IF($C33="",0,SUMIF('DADOS BRUTOS'!$A$3:$A$500,$C33,'DADOS BRUTOS'!BA$3:BA$500)))</f>
        <v/>
      </c>
      <c r="EB33" s="125">
        <f>IF(OR(EB$4="",$B33=""),0,SUMIF('DADOS BRUTOS'!$A$3:$A$500,$B33,'DADOS BRUTOS'!BB$3:BB$500)+IF($C33="",0,SUMIF('DADOS BRUTOS'!$A$3:$A$500,$C33,'DADOS BRUTOS'!BB$3:BB$500)))</f>
        <v/>
      </c>
      <c r="EC33" s="125">
        <f>IF(OR(EC$4="",$B33=""),0,SUMIF('DADOS BRUTOS'!$A$3:$A$500,$B33,'DADOS BRUTOS'!BC$3:BC$500)+IF($C33="",0,SUMIF('DADOS BRUTOS'!$A$3:$A$500,$C33,'DADOS BRUTOS'!BC$3:BC$500)))</f>
        <v/>
      </c>
      <c r="ED33" s="125">
        <f>IF(OR(ED$4="",$B33=""),0,SUMIF('DADOS BRUTOS'!$A$3:$A$500,$B33,'DADOS BRUTOS'!BD$3:BD$500)+IF($C33="",0,SUMIF('DADOS BRUTOS'!$A$3:$A$500,$C33,'DADOS BRUTOS'!BD$3:BD$500)))</f>
        <v/>
      </c>
      <c r="EE33" s="125">
        <f>IF(OR(EE$4="",$B33=""),0,SUMIF('DADOS BRUTOS'!$A$3:$A$500,$B33,'DADOS BRUTOS'!BE$3:BE$500)+IF($C33="",0,SUMIF('DADOS BRUTOS'!$A$3:$A$500,$C33,'DADOS BRUTOS'!BE$3:BE$500)))</f>
        <v/>
      </c>
      <c r="EF33" s="125">
        <f>IF(OR(EF$4="",$B33=""),0,SUMIF('DADOS BRUTOS'!$A$3:$A$500,$B33,'DADOS BRUTOS'!BF$3:BF$500)+IF($C33="",0,SUMIF('DADOS BRUTOS'!$A$3:$A$500,$C33,'DADOS BRUTOS'!BF$3:BF$500)))</f>
        <v/>
      </c>
      <c r="EG33" s="125">
        <f>IF(OR(EG$4="",$B33=""),0,SUMIF('DADOS BRUTOS'!$A$3:$A$500,$B33,'DADOS BRUTOS'!BG$3:BG$500)+IF($C33="",0,SUMIF('DADOS BRUTOS'!$A$3:$A$500,$C33,'DADOS BRUTOS'!BG$3:BG$500)))</f>
        <v/>
      </c>
      <c r="EH33" s="125">
        <f>IF(OR(EH$4="",$B33=""),0,SUMIF('DADOS BRUTOS'!$A$3:$A$500,$B33,'DADOS BRUTOS'!BH$3:BH$500)+IF($C33="",0,SUMIF('DADOS BRUTOS'!$A$3:$A$500,$C33,'DADOS BRUTOS'!BH$3:BH$500)))</f>
        <v/>
      </c>
      <c r="EI33" s="125">
        <f>IF(OR(EI$4="",$B33=""),0,SUMIF('DADOS BRUTOS'!$A$3:$A$500,$B33,'DADOS BRUTOS'!BI$3:BI$500)+IF($C33="",0,SUMIF('DADOS BRUTOS'!$A$3:$A$500,$C33,'DADOS BRUTOS'!BI$3:BI$500)))</f>
        <v/>
      </c>
      <c r="EJ33" s="125">
        <f>IF(OR(EJ$4="",$B33=""),0,SUMIF('DADOS BRUTOS'!$A$3:$A$500,$B33,'DADOS BRUTOS'!BJ$3:BJ$500)+IF($C33="",0,SUMIF('DADOS BRUTOS'!$A$3:$A$500,$C33,'DADOS BRUTOS'!BJ$3:BJ$500)))</f>
        <v/>
      </c>
      <c r="EK33" s="125">
        <f>IF(OR(EK$4="",$B33=""),0,SUMIF('DADOS BRUTOS'!$A$3:$A$500,$B33,'DADOS BRUTOS'!BK$3:BK$500)+IF($C33="",0,SUMIF('DADOS BRUTOS'!$A$3:$A$500,$C33,'DADOS BRUTOS'!BK$3:BK$500)))</f>
        <v/>
      </c>
      <c r="EL33" s="125">
        <f>IF(OR(EL$4="",$B33=""),0,SUMIF('DADOS BRUTOS'!$A$3:$A$500,$B33,'DADOS BRUTOS'!BL$3:BL$500)+IF($C33="",0,SUMIF('DADOS BRUTOS'!$A$3:$A$500,$C33,'DADOS BRUTOS'!BL$3:BL$500)))</f>
        <v/>
      </c>
      <c r="EM33" s="125">
        <f>IF(OR(EM$4="",$B33=""),0,SUMIF('DADOS BRUTOS'!$A$3:$A$500,$B33,'DADOS BRUTOS'!BM$3:BM$500)+IF($C33="",0,SUMIF('DADOS BRUTOS'!$A$3:$A$500,$C33,'DADOS BRUTOS'!BM$3:BM$500)))</f>
        <v/>
      </c>
      <c r="EN33" s="125">
        <f>IF(OR(EN$4="",$B33=""),0,SUMIF('DADOS BRUTOS'!$A$3:$A$500,$B33,'DADOS BRUTOS'!BN$3:BN$500)+IF($C33="",0,SUMIF('DADOS BRUTOS'!$A$3:$A$500,$C33,'DADOS BRUTOS'!BN$3:BN$500)))</f>
        <v/>
      </c>
      <c r="EO33" s="125">
        <f>IF(OR(EO$4="",$B33=""),0,SUMIF('DADOS BRUTOS'!$A$3:$A$500,$B33,'DADOS BRUTOS'!BO$3:BO$500)+IF($C33="",0,SUMIF('DADOS BRUTOS'!$A$3:$A$500,$C33,'DADOS BRUTOS'!BO$3:BO$500)))</f>
        <v/>
      </c>
      <c r="EP33" s="125">
        <f>IF(OR(EP$4="",$B33=""),0,SUMIF('DADOS BRUTOS'!$A$3:$A$500,$B33,'DADOS BRUTOS'!BP$3:BP$500)+IF($C33="",0,SUMIF('DADOS BRUTOS'!$A$3:$A$500,$C33,'DADOS BRUTOS'!BP$3:BP$500)))</f>
        <v/>
      </c>
      <c r="EQ33" s="125">
        <f>IF(OR(EQ$4="",$B33=""),0,SUMIF('DADOS BRUTOS'!$A$3:$A$500,$B33,'DADOS BRUTOS'!BQ$3:BQ$500)+IF($C33="",0,SUMIF('DADOS BRUTOS'!$A$3:$A$500,$C33,'DADOS BRUTOS'!BQ$3:BQ$500)))</f>
        <v/>
      </c>
      <c r="ER33" s="125">
        <f>IF(OR(ER$4="",$B33=""),0,SUMIF('DADOS BRUTOS'!$A$3:$A$500,$B33,'DADOS BRUTOS'!BR$3:BR$500)+IF($C33="",0,SUMIF('DADOS BRUTOS'!$A$3:$A$500,$C33,'DADOS BRUTOS'!BR$3:BR$500)))</f>
        <v/>
      </c>
      <c r="ES33" s="125">
        <f>IF(OR(ES$4="",$B33=""),0,SUMIF('DADOS BRUTOS'!$A$3:$A$500,$B33,'DADOS BRUTOS'!BS$3:BS$500)+IF($C33="",0,SUMIF('DADOS BRUTOS'!$A$3:$A$500,$C33,'DADOS BRUTOS'!BS$3:BS$500)))</f>
        <v/>
      </c>
      <c r="ET33" s="125">
        <f>IF(OR(ET$4="",$B33=""),0,SUMIF('DADOS BRUTOS'!$A$3:$A$500,$B33,'DADOS BRUTOS'!BT$3:BT$500)+IF($C33="",0,SUMIF('DADOS BRUTOS'!$A$3:$A$500,$C33,'DADOS BRUTOS'!BT$3:BT$500)))</f>
        <v/>
      </c>
      <c r="EU33" s="125">
        <f>IF(OR(EU$4="",$B33=""),0,SUMIF('DADOS BRUTOS'!$A$3:$A$500,$B33,'DADOS BRUTOS'!BU$3:BU$500)+IF($C33="",0,SUMIF('DADOS BRUTOS'!$A$3:$A$500,$C33,'DADOS BRUTOS'!BU$3:BU$500)))</f>
        <v/>
      </c>
      <c r="EV33" s="125">
        <f>IF(OR(EV$4="",$B33=""),0,SUMIF('DADOS BRUTOS'!$A$3:$A$500,$B33,'DADOS BRUTOS'!BV$3:BV$500)+IF($C33="",0,SUMIF('DADOS BRUTOS'!$A$3:$A$500,$C33,'DADOS BRUTOS'!BV$3:BV$500)))</f>
        <v/>
      </c>
      <c r="EW33" s="125">
        <f>IF(OR(EW$4="",$B33=""),0,SUMIF('DADOS BRUTOS'!$A$3:$A$500,$B33,'DADOS BRUTOS'!BW$3:BW$500)+IF($C33="",0,SUMIF('DADOS BRUTOS'!$A$3:$A$500,$C33,'DADOS BRUTOS'!BW$3:BW$500)))</f>
        <v/>
      </c>
      <c r="EX33" s="125">
        <f>IF(OR(EX$4="",$B33=""),0,SUMIF('DADOS BRUTOS'!$A$3:$A$500,$B33,'DADOS BRUTOS'!BX$3:BX$500)+IF($C33="",0,SUMIF('DADOS BRUTOS'!$A$3:$A$500,$C33,'DADOS BRUTOS'!BX$3:BX$500)))</f>
        <v/>
      </c>
      <c r="EY33" s="125">
        <f>IF(OR(EY$4="",$B33=""),0,SUMIF('DADOS BRUTOS'!$A$3:$A$500,$B33,'DADOS BRUTOS'!BY$3:BY$500)+IF($C33="",0,SUMIF('DADOS BRUTOS'!$A$3:$A$500,$C33,'DADOS BRUTOS'!BY$3:BY$500)))</f>
        <v/>
      </c>
      <c r="EZ33" s="125">
        <f>IF(OR(EZ$4="",$B33=""),0,SUMIF('DADOS BRUTOS'!$A$3:$A$500,$B33,'DADOS BRUTOS'!BZ$3:BZ$500)+IF($C33="",0,SUMIF('DADOS BRUTOS'!$A$3:$A$500,$C33,'DADOS BRUTOS'!BZ$3:BZ$500)))</f>
        <v/>
      </c>
      <c r="FA33" s="125">
        <f>IF(OR(FA$4="",$B33=""),0,SUMIF('DADOS BRUTOS'!$A$3:$A$500,$B33,'DADOS BRUTOS'!CA$3:CA$500)+IF($C33="",0,SUMIF('DADOS BRUTOS'!$A$3:$A$500,$C33,'DADOS BRUTOS'!CA$3:CA$500)))</f>
        <v/>
      </c>
      <c r="FB33" s="125">
        <f>IF(OR(FB$4="",$B33=""),0,SUMIF('DADOS BRUTOS'!$A$3:$A$500,$B33,'DADOS BRUTOS'!CB$3:CB$500)+IF($C33="",0,SUMIF('DADOS BRUTOS'!$A$3:$A$500,$C33,'DADOS BRUTOS'!CB$3:CB$500)))</f>
        <v/>
      </c>
      <c r="FC33" s="125">
        <f>IF(OR(FC$4="",$B33=""),0,SUMIF('DADOS BRUTOS'!$A$3:$A$500,$B33,'DADOS BRUTOS'!CC$3:CC$500)+IF($C33="",0,SUMIF('DADOS BRUTOS'!$A$3:$A$500,$C33,'DADOS BRUTOS'!CC$3:CC$500)))</f>
        <v/>
      </c>
      <c r="FD33" s="125">
        <f>IF(OR(FD$4="",$B33=""),0,SUMIF('DADOS BRUTOS'!$A$3:$A$500,$B33,'DADOS BRUTOS'!CD$3:CD$500)+IF($C33="",0,SUMIF('DADOS BRUTOS'!$A$3:$A$500,$C33,'DADOS BRUTOS'!CD$3:CD$500)))</f>
        <v/>
      </c>
      <c r="FE33" s="125">
        <f>IF(OR(FE$4="",$B33=""),0,SUMIF('DADOS BRUTOS'!$A$3:$A$500,$B33,'DADOS BRUTOS'!CE$3:CE$500)+IF($C33="",0,SUMIF('DADOS BRUTOS'!$A$3:$A$500,$C33,'DADOS BRUTOS'!CE$3:CE$500)))</f>
        <v/>
      </c>
      <c r="FF33" s="125">
        <f>IF(OR(FF$4="",$B33=""),0,SUMIF('DADOS BRUTOS'!$A$3:$A$500,$B33,'DADOS BRUTOS'!CF$3:CF$500)+IF($C33="",0,SUMIF('DADOS BRUTOS'!$A$3:$A$500,$C33,'DADOS BRUTOS'!CF$3:CF$500)))</f>
        <v/>
      </c>
      <c r="FG33" s="125">
        <f>IF(OR(FG$4="",$B33=""),0,SUMIF('DADOS BRUTOS'!$A$3:$A$500,$B33,'DADOS BRUTOS'!CG$3:CG$500)+IF($C33="",0,SUMIF('DADOS BRUTOS'!$A$3:$A$500,$C33,'DADOS BRUTOS'!CG$3:CG$500)))</f>
        <v/>
      </c>
      <c r="FH33" s="125">
        <f>IF(OR(FH$4="",$B33=""),0,SUMIF('DADOS BRUTOS'!$A$3:$A$500,$B33,'DADOS BRUTOS'!CH$3:CH$500)+IF($C33="",0,SUMIF('DADOS BRUTOS'!$A$3:$A$500,$C33,'DADOS BRUTOS'!CH$3:CH$500)))</f>
        <v/>
      </c>
      <c r="FI33" s="125">
        <f>IF(OR(FI$4="",$B33=""),0,SUMIF('DADOS BRUTOS'!$A$3:$A$500,$B33,'DADOS BRUTOS'!CI$3:CI$500)+IF($C33="",0,SUMIF('DADOS BRUTOS'!$A$3:$A$500,$C33,'DADOS BRUTOS'!CI$3:CI$500)))</f>
        <v/>
      </c>
      <c r="FJ33" s="125">
        <f>IF(OR(FJ$4="",$B33=""),0,SUMIF('DADOS BRUTOS'!$A$3:$A$500,$B33,'DADOS BRUTOS'!CJ$3:CJ$500)+IF($C33="",0,SUMIF('DADOS BRUTOS'!$A$3:$A$500,$C33,'DADOS BRUTOS'!CJ$3:CJ$500)))</f>
        <v/>
      </c>
      <c r="FK33" s="125">
        <f>IF(OR(FK$4="",$B33=""),0,SUMIF('DADOS BRUTOS'!$A$3:$A$500,$B33,'DADOS BRUTOS'!CK$3:CK$500)+IF($C33="",0,SUMIF('DADOS BRUTOS'!$A$3:$A$500,$C33,'DADOS BRUTOS'!CK$3:CK$500)))</f>
        <v/>
      </c>
      <c r="FL33" s="125">
        <f>IF(OR(FL$4="",$B33=""),0,SUMIF('DADOS BRUTOS'!$A$3:$A$500,$B33,'DADOS BRUTOS'!CL$3:CL$500)+IF($C33="",0,SUMIF('DADOS BRUTOS'!$A$3:$A$500,$C33,'DADOS BRUTOS'!CL$3:CL$500)))</f>
        <v/>
      </c>
      <c r="FM33" s="125">
        <f>IF(OR(FM$4="",$B33=""),0,SUMIF('DADOS BRUTOS'!$A$3:$A$500,$B33,'DADOS BRUTOS'!CM$3:CM$500)+IF($C33="",0,SUMIF('DADOS BRUTOS'!$A$3:$A$500,$C33,'DADOS BRUTOS'!CM$3:CM$500)))</f>
        <v/>
      </c>
      <c r="FN33" s="125">
        <f>IF(OR(FN$4="",$B33=""),0,SUMIF('DADOS BRUTOS'!$A$3:$A$500,$B33,'DADOS BRUTOS'!CN$3:CN$500)+IF($C33="",0,SUMIF('DADOS BRUTOS'!$A$3:$A$500,$C33,'DADOS BRUTOS'!CN$3:CN$500)))</f>
        <v/>
      </c>
      <c r="FO33" s="125">
        <f>IF(OR(FO$4="",$B33=""),0,SUMIF('DADOS BRUTOS'!$A$3:$A$500,$B33,'DADOS BRUTOS'!CO$3:CO$500)+IF($C33="",0,SUMIF('DADOS BRUTOS'!$A$3:$A$500,$C33,'DADOS BRUTOS'!CO$3:CO$500)))</f>
        <v/>
      </c>
      <c r="FP33" s="125">
        <f>IF(OR(FP$4="",$B33=""),0,SUMIF('DADOS BRUTOS'!$A$3:$A$500,$B33,'DADOS BRUTOS'!CP$3:CP$500)+IF($C33="",0,SUMIF('DADOS BRUTOS'!$A$3:$A$500,$C33,'DADOS BRUTOS'!CP$3:CP$500)))</f>
        <v/>
      </c>
      <c r="FQ33" s="125">
        <f>IF(OR(FQ$4="",$B33=""),0,SUMIF('DADOS BRUTOS'!$A$3:$A$500,$B33,'DADOS BRUTOS'!CQ$3:CQ$500)+IF($C33="",0,SUMIF('DADOS BRUTOS'!$A$3:$A$500,$C33,'DADOS BRUTOS'!CQ$3:CQ$500)))</f>
        <v/>
      </c>
      <c r="FR33" s="125">
        <f>IF(OR(FR$4="",$B33=""),0,SUMIF('DADOS BRUTOS'!$A$3:$A$500,$B33,'DADOS BRUTOS'!CR$3:CR$500)+IF($C33="",0,SUMIF('DADOS BRUTOS'!$A$3:$A$500,$C33,'DADOS BRUTOS'!CR$3:CR$500)))</f>
        <v/>
      </c>
      <c r="FS33" s="125">
        <f>IF(OR(FS$4="",$B33=""),0,SUMIF('DADOS BRUTOS'!$A$3:$A$500,$B33,'DADOS BRUTOS'!CS$3:CS$500)+IF($C33="",0,SUMIF('DADOS BRUTOS'!$A$3:$A$500,$C33,'DADOS BRUTOS'!CS$3:CS$500)))</f>
        <v/>
      </c>
      <c r="FT33" s="125">
        <f>IF(OR(FT$4="",$B33=""),0,SUMIF('DADOS BRUTOS'!$A$3:$A$500,$B33,'DADOS BRUTOS'!CT$3:CT$500)+IF($C33="",0,SUMIF('DADOS BRUTOS'!$A$3:$A$500,$C33,'DADOS BRUTOS'!CT$3:CT$500)))</f>
        <v/>
      </c>
      <c r="FU33" s="125">
        <f>IF(OR(FU$4="",$B33=""),0,SUMIF('DADOS BRUTOS'!$A$3:$A$500,$B33,'DADOS BRUTOS'!CU$3:CU$500)+IF($C33="",0,SUMIF('DADOS BRUTOS'!$A$3:$A$500,$C33,'DADOS BRUTOS'!CU$3:CU$500)))</f>
        <v/>
      </c>
      <c r="FV33" s="125">
        <f>IF(OR(FV$4="",$B33=""),0,SUMIF('DADOS BRUTOS'!$A$3:$A$500,$B33,'DADOS BRUTOS'!CV$3:CV$500)+IF($C33="",0,SUMIF('DADOS BRUTOS'!$A$3:$A$500,$C33,'DADOS BRUTOS'!CV$3:CV$500)))</f>
        <v/>
      </c>
      <c r="FW33" s="125">
        <f>IF(OR(FW$4="",$B33=""),0,SUMIF('DADOS BRUTOS'!$A$3:$A$500,$B33,'DADOS BRUTOS'!CW$3:CW$500)+IF($C33="",0,SUMIF('DADOS BRUTOS'!$A$3:$A$500,$C33,'DADOS BRUTOS'!CW$3:CW$500)))</f>
        <v/>
      </c>
      <c r="FX33" s="125">
        <f>IF(OR(FX$4="",$B33=""),0,SUMIF('DADOS BRUTOS'!$A$3:$A$500,$B33,'DADOS BRUTOS'!CX$3:CX$500)+IF($C33="",0,SUMIF('DADOS BRUTOS'!$A$3:$A$500,$C33,'DADOS BRUTOS'!CX$3:CX$500)))</f>
        <v/>
      </c>
      <c r="FY33" s="125">
        <f>IF(OR(FY$4="",$B33=""),0,SUMIF('DADOS BRUTOS'!$A$3:$A$500,$B33,'DADOS BRUTOS'!CY$3:CY$500)+IF($C33="",0,SUMIF('DADOS BRUTOS'!$A$3:$A$500,$C33,'DADOS BRUTOS'!CY$3:CY$500)))</f>
        <v/>
      </c>
      <c r="FZ33" s="125">
        <f>IF(OR(FZ$4="",$B33=""),0,SUMIF('DADOS BRUTOS'!$A$3:$A$500,$B33,'DADOS BRUTOS'!CZ$3:CZ$500)+IF($C33="",0,SUMIF('DADOS BRUTOS'!$A$3:$A$500,$C33,'DADOS BRUTOS'!CZ$3:CZ$500)))</f>
        <v/>
      </c>
      <c r="GA33" s="125">
        <f>IF(OR(GA$4="",$B33=""),0,SUMIF('DADOS BRUTOS'!$A$3:$A$500,$B33,'DADOS BRUTOS'!DA$3:DA$500)+IF($C33="",0,SUMIF('DADOS BRUTOS'!$A$3:$A$500,$C33,'DADOS BRUTOS'!DA$3:DA$500)))</f>
        <v/>
      </c>
      <c r="GB33" s="125">
        <f>IF(OR(GB$4="",$B33=""),0,SUMIF('DADOS BRUTOS'!$A$3:$A$500,$B33,'DADOS BRUTOS'!DB$3:DB$500)+IF($C33="",0,SUMIF('DADOS BRUTOS'!$A$3:$A$500,$C33,'DADOS BRUTOS'!DB$3:DB$500)))</f>
        <v/>
      </c>
      <c r="GC33" s="125">
        <f>IF(OR(GC$4="",$B33=""),0,SUMIF('DADOS BRUTOS'!$A$3:$A$500,$B33,'DADOS BRUTOS'!DC$3:DC$500)+IF($C33="",0,SUMIF('DADOS BRUTOS'!$A$3:$A$500,$C33,'DADOS BRUTOS'!DC$3:DC$500)))</f>
        <v/>
      </c>
      <c r="GD33" s="125">
        <f>IF(OR(GD$4="",$B33=""),0,SUMIF('DADOS BRUTOS'!$A$3:$A$500,$B33,'DADOS BRUTOS'!DD$3:DD$500)+IF($C33="",0,SUMIF('DADOS BRUTOS'!$A$3:$A$500,$C33,'DADOS BRUTOS'!DD$3:DD$500)))</f>
        <v/>
      </c>
      <c r="GE33" s="125">
        <f>IF(OR(GE$4="",$B33=""),0,SUMIF('DADOS BRUTOS'!$A$3:$A$500,$B33,'DADOS BRUTOS'!DE$3:DE$500)+IF($C33="",0,SUMIF('DADOS BRUTOS'!$A$3:$A$500,$C33,'DADOS BRUTOS'!DE$3:DE$500)))</f>
        <v/>
      </c>
      <c r="GF33" s="125">
        <f>IF(OR(GF$4="",$B33=""),0,SUMIF('DADOS BRUTOS'!$A$3:$A$500,$B33,'DADOS BRUTOS'!DF$3:DF$500)+IF($C33="",0,SUMIF('DADOS BRUTOS'!$A$3:$A$500,$C33,'DADOS BRUTOS'!DF$3:DF$500)))</f>
        <v/>
      </c>
      <c r="GG33" s="125">
        <f>IF(OR(GG$4="",$B33=""),0,SUMIF('DADOS BRUTOS'!$A$3:$A$500,$B33,'DADOS BRUTOS'!DG$3:DG$500)+IF($C33="",0,SUMIF('DADOS BRUTOS'!$A$3:$A$500,$C33,'DADOS BRUTOS'!DG$3:DG$500)))</f>
        <v/>
      </c>
      <c r="GH33" s="125">
        <f>IF(OR(GH$4="",$B33=""),0,SUMIF('DADOS BRUTOS'!$A$3:$A$500,$B33,'DADOS BRUTOS'!DH$3:DH$500)+IF($C33="",0,SUMIF('DADOS BRUTOS'!$A$3:$A$500,$C33,'DADOS BRUTOS'!DH$3:DH$500)))</f>
        <v/>
      </c>
      <c r="GI33" s="125">
        <f>IF(OR(GI$4="",$B33=""),0,SUMIF('DADOS BRUTOS'!$A$3:$A$500,$B33,'DADOS BRUTOS'!DI$3:DI$500)+IF($C33="",0,SUMIF('DADOS BRUTOS'!$A$3:$A$500,$C33,'DADOS BRUTOS'!DI$3:DI$500)))</f>
        <v/>
      </c>
      <c r="GJ33" s="125">
        <f>IF(OR(GJ$4="",$B33=""),0,SUMIF('DADOS BRUTOS'!$A$3:$A$500,$B33,'DADOS BRUTOS'!DJ$3:DJ$500)+IF($C33="",0,SUMIF('DADOS BRUTOS'!$A$3:$A$500,$C33,'DADOS BRUTOS'!DJ$3:DJ$500)))</f>
        <v/>
      </c>
      <c r="GK33" s="125">
        <f>IF(OR(GK$4="",$B33=""),0,SUMIF('DADOS BRUTOS'!$A$3:$A$500,$B33,'DADOS BRUTOS'!DK$3:DK$500)+IF($C33="",0,SUMIF('DADOS BRUTOS'!$A$3:$A$500,$C33,'DADOS BRUTOS'!DK$3:DK$500)))</f>
        <v/>
      </c>
      <c r="GL33" s="125">
        <f>IF(OR(GL$4="",$B33=""),0,SUMIF('DADOS BRUTOS'!$A$3:$A$500,$B33,'DADOS BRUTOS'!DL$3:DL$500)+IF($C33="",0,SUMIF('DADOS BRUTOS'!$A$3:$A$500,$C33,'DADOS BRUTOS'!DL$3:DL$500)))</f>
        <v/>
      </c>
      <c r="GM33" s="125">
        <f>IF(OR(GM$4="",$B33=""),0,SUMIF('DADOS BRUTOS'!$A$3:$A$500,$B33,'DADOS BRUTOS'!DM$3:DM$500)+IF($C33="",0,SUMIF('DADOS BRUTOS'!$A$3:$A$500,$C33,'DADOS BRUTOS'!DM$3:DM$500)))</f>
        <v/>
      </c>
      <c r="GN33" s="125">
        <f>IF(OR(GN$4="",$B33=""),0,SUMIF('DADOS BRUTOS'!$A$3:$A$500,$B33,'DADOS BRUTOS'!DN$3:DN$500)+IF($C33="",0,SUMIF('DADOS BRUTOS'!$A$3:$A$500,$C33,'DADOS BRUTOS'!DN$3:DN$500)))</f>
        <v/>
      </c>
      <c r="GO33" s="125">
        <f>IF(OR(GO$4="",$B33=""),0,SUMIF('DADOS BRUTOS'!$A$3:$A$500,$B33,'DADOS BRUTOS'!DO$3:DO$500)+IF($C33="",0,SUMIF('DADOS BRUTOS'!$A$3:$A$500,$C33,'DADOS BRUTOS'!DO$3:DO$500)))</f>
        <v/>
      </c>
      <c r="GP33" s="125">
        <f>IF(OR(GP$4="",$B33=""),0,SUMIF('DADOS BRUTOS'!$A$3:$A$500,$B33,'DADOS BRUTOS'!DP$3:DP$500)+IF($C33="",0,SUMIF('DADOS BRUTOS'!$A$3:$A$500,$C33,'DADOS BRUTOS'!DP$3:DP$500)))</f>
        <v/>
      </c>
      <c r="GQ33" s="125">
        <f>IF(OR(GQ$4="",$B33=""),0,SUMIF('DADOS BRUTOS'!$A$3:$A$500,$B33,'DADOS BRUTOS'!DQ$3:DQ$500)+IF($C33="",0,SUMIF('DADOS BRUTOS'!$A$3:$A$500,$C33,'DADOS BRUTOS'!DQ$3:DQ$500)))</f>
        <v/>
      </c>
      <c r="GR33" s="125">
        <f>IF(OR(GR$4="",$B33=""),0,SUMIF('DADOS BRUTOS'!$A$3:$A$500,$B33,'DADOS BRUTOS'!DR$3:DR$500)+IF($C33="",0,SUMIF('DADOS BRUTOS'!$A$3:$A$500,$C33,'DADOS BRUTOS'!DR$3:DR$500)))</f>
        <v/>
      </c>
      <c r="GS33" s="125">
        <f>IF(OR(GS$4="",$B33=""),0,SUMIF('DADOS BRUTOS'!$A$3:$A$500,$B33,'DADOS BRUTOS'!DS$3:DS$500)+IF($C33="",0,SUMIF('DADOS BRUTOS'!$A$3:$A$500,$C33,'DADOS BRUTOS'!DS$3:DS$500)))</f>
        <v/>
      </c>
      <c r="GT33" s="125">
        <f>IF(OR(GT$4="",$B33=""),0,SUMIF('DADOS BRUTOS'!$A$3:$A$500,$B33,'DADOS BRUTOS'!DT$3:DT$500)+IF($C33="",0,SUMIF('DADOS BRUTOS'!$A$3:$A$500,$C33,'DADOS BRUTOS'!DT$3:DT$500)))</f>
        <v/>
      </c>
      <c r="GU33" s="125">
        <f>IF(OR(GU$4="",$B33=""),0,SUMIF('DADOS BRUTOS'!$A$3:$A$500,$B33,'DADOS BRUTOS'!DU$3:DU$500)+IF($C33="",0,SUMIF('DADOS BRUTOS'!$A$3:$A$500,$C33,'DADOS BRUTOS'!DU$3:DU$500)))</f>
        <v/>
      </c>
      <c r="GV33" s="125">
        <f>IF(OR(GV$4="",$B33=""),0,SUMIF('DADOS BRUTOS'!$A$3:$A$500,$B33,'DADOS BRUTOS'!DV$3:DV$500)+IF($C33="",0,SUMIF('DADOS BRUTOS'!$A$3:$A$500,$C33,'DADOS BRUTOS'!DV$3:DV$500)))</f>
        <v/>
      </c>
      <c r="GW33" s="125">
        <f>IF(OR(GW$4="",$B33=""),0,SUMIF('DADOS BRUTOS'!$A$3:$A$500,$B33,'DADOS BRUTOS'!DW$3:DW$500)+IF($C33="",0,SUMIF('DADOS BRUTOS'!$A$3:$A$500,$C33,'DADOS BRUTOS'!DW$3:DW$500)))</f>
        <v/>
      </c>
      <c r="GX33" s="125">
        <f>IF(OR(GX$4="",$B33=""),0,SUMIF('DADOS BRUTOS'!$A$3:$A$500,$B33,'DADOS BRUTOS'!DX$3:DX$500)+IF($C33="",0,SUMIF('DADOS BRUTOS'!$A$3:$A$500,$C33,'DADOS BRUTOS'!DX$3:DX$500)))</f>
        <v/>
      </c>
      <c r="GY33" s="125">
        <f>IF(OR(GY$4="",$B33=""),0,SUMIF('DADOS BRUTOS'!$A$3:$A$500,$B33,'DADOS BRUTOS'!DY$3:DY$500)+IF($C33="",0,SUMIF('DADOS BRUTOS'!$A$3:$A$500,$C33,'DADOS BRUTOS'!DY$3:DY$500)))</f>
        <v/>
      </c>
      <c r="GZ33" s="125">
        <f>IF(OR(GZ$4="",$B33=""),0,SUMIF('DADOS BRUTOS'!$A$3:$A$500,$B33,'DADOS BRUTOS'!DZ$3:DZ$500)+IF($C33="",0,SUMIF('DADOS BRUTOS'!$A$3:$A$500,$C33,'DADOS BRUTOS'!DZ$3:DZ$500)))</f>
        <v/>
      </c>
      <c r="HA33" s="125">
        <f>IF(OR(HA$4="",$B33=""),0,SUMIF('DADOS BRUTOS'!$A$3:$A$500,$B33,'DADOS BRUTOS'!EA$3:EA$500)+IF($C33="",0,SUMIF('DADOS BRUTOS'!$A$3:$A$500,$C33,'DADOS BRUTOS'!EA$3:EA$500)))</f>
        <v/>
      </c>
      <c r="HB33" s="125">
        <f>IF(OR(HB$4="",$B33=""),0,SUMIF('DADOS BRUTOS'!$A$3:$A$500,$B33,'DADOS BRUTOS'!EB$3:EB$500)+IF($C33="",0,SUMIF('DADOS BRUTOS'!$A$3:$A$500,$C33,'DADOS BRUTOS'!EB$3:EB$500)))</f>
        <v/>
      </c>
      <c r="HC33" s="125">
        <f>IF(OR(HC$4="",$B33=""),0,SUMIF('DADOS BRUTOS'!$A$3:$A$500,$B33,'DADOS BRUTOS'!EC$3:EC$500)+IF($C33="",0,SUMIF('DADOS BRUTOS'!$A$3:$A$500,$C33,'DADOS BRUTOS'!EC$3:EC$500)))</f>
        <v/>
      </c>
      <c r="HD33" s="125">
        <f>IF(OR(HD$4="",$B33=""),0,SUMIF('DADOS BRUTOS'!$A$3:$A$500,$B33,'DADOS BRUTOS'!ED$3:ED$500)+IF($C33="",0,SUMIF('DADOS BRUTOS'!$A$3:$A$500,$C33,'DADOS BRUTOS'!ED$3:ED$500)))</f>
        <v/>
      </c>
      <c r="HE33" s="125">
        <f>IF(OR(HE$4="",$B33=""),0,SUMIF('DADOS BRUTOS'!$A$3:$A$500,$B33,'DADOS BRUTOS'!EE$3:EE$500)+IF($C33="",0,SUMIF('DADOS BRUTOS'!$A$3:$A$500,$C33,'DADOS BRUTOS'!EE$3:EE$500)))</f>
        <v/>
      </c>
      <c r="HF33" s="125">
        <f>IF(OR(HF$4="",$B33=""),0,SUMIF('DADOS BRUTOS'!$A$3:$A$500,$B33,'DADOS BRUTOS'!EF$3:EF$500)+IF($C33="",0,SUMIF('DADOS BRUTOS'!$A$3:$A$500,$C33,'DADOS BRUTOS'!EF$3:EF$500)))</f>
        <v/>
      </c>
      <c r="HG33" s="125">
        <f>IF(OR(HG$4="",$B33=""),0,SUMIF('DADOS BRUTOS'!$A$3:$A$500,$B33,'DADOS BRUTOS'!EG$3:EG$500)+IF($C33="",0,SUMIF('DADOS BRUTOS'!$A$3:$A$500,$C33,'DADOS BRUTOS'!EG$3:EG$500)))</f>
        <v/>
      </c>
      <c r="HH33" s="125">
        <f>IF(OR(HH$4="",$B33=""),0,SUMIF('DADOS BRUTOS'!$A$3:$A$500,$B33,'DADOS BRUTOS'!EH$3:EH$500)+IF($C33="",0,SUMIF('DADOS BRUTOS'!$A$3:$A$500,$C33,'DADOS BRUTOS'!EH$3:EH$500)))</f>
        <v/>
      </c>
      <c r="HI33" s="125">
        <f>IF(OR(HI$4="",$B33=""),0,SUMIF('DADOS BRUTOS'!$A$3:$A$500,$B33,'DADOS BRUTOS'!EI$3:EI$500)+IF($C33="",0,SUMIF('DADOS BRUTOS'!$A$3:$A$500,$C33,'DADOS BRUTOS'!EI$3:EI$500)))</f>
        <v/>
      </c>
      <c r="HJ33" s="125">
        <f>IF(OR(HJ$4="",$B33=""),0,SUMIF('DADOS BRUTOS'!$A$3:$A$500,$B33,'DADOS BRUTOS'!EJ$3:EJ$500)+IF($C33="",0,SUMIF('DADOS BRUTOS'!$A$3:$A$500,$C33,'DADOS BRUTOS'!EJ$3:EJ$500)))</f>
        <v/>
      </c>
      <c r="HK33" s="125">
        <f>IF(OR(HK$4="",$B33=""),0,SUMIF('DADOS BRUTOS'!$A$3:$A$500,$B33,'DADOS BRUTOS'!EK$3:EK$500)+IF($C33="",0,SUMIF('DADOS BRUTOS'!$A$3:$A$500,$C33,'DADOS BRUTOS'!EK$3:EK$500)))</f>
        <v/>
      </c>
      <c r="HL33" s="125">
        <f>IF(OR(HL$4="",$B33=""),0,SUMIF('DADOS BRUTOS'!$A$3:$A$500,$B33,'DADOS BRUTOS'!EL$3:EL$500)+IF($C33="",0,SUMIF('DADOS BRUTOS'!$A$3:$A$500,$C33,'DADOS BRUTOS'!EL$3:EL$500)))</f>
        <v/>
      </c>
      <c r="HM33" s="125">
        <f>IF(OR(HM$4="",$B33=""),0,SUMIF('DADOS BRUTOS'!$A$3:$A$500,$B33,'DADOS BRUTOS'!EM$3:EM$500)+IF($C33="",0,SUMIF('DADOS BRUTOS'!$A$3:$A$500,$C33,'DADOS BRUTOS'!EM$3:EM$500)))</f>
        <v/>
      </c>
      <c r="HN33" s="125">
        <f>IF(OR(HN$4="",$B33=""),0,SUMIF('DADOS BRUTOS'!$A$3:$A$500,$B33,'DADOS BRUTOS'!EN$3:EN$500)+IF($C33="",0,SUMIF('DADOS BRUTOS'!$A$3:$A$500,$C33,'DADOS BRUTOS'!EN$3:EN$500)))</f>
        <v/>
      </c>
      <c r="HO33" s="125">
        <f>IF(OR(HO$4="",$B33=""),0,SUMIF('DADOS BRUTOS'!$A$3:$A$500,$B33,'DADOS BRUTOS'!EO$3:EO$500)+IF($C33="",0,SUMIF('DADOS BRUTOS'!$A$3:$A$500,$C33,'DADOS BRUTOS'!EO$3:EO$500)))</f>
        <v/>
      </c>
      <c r="HP33" s="125">
        <f>IF(OR(HP$4="",$B33=""),0,SUMIF('DADOS BRUTOS'!$A$3:$A$500,$B33,'DADOS BRUTOS'!EP$3:EP$500)+IF($C33="",0,SUMIF('DADOS BRUTOS'!$A$3:$A$500,$C33,'DADOS BRUTOS'!EP$3:EP$500)))</f>
        <v/>
      </c>
      <c r="HQ33" s="125">
        <f>IF(OR(HQ$4="",$B33=""),0,SUMIF('DADOS BRUTOS'!$A$3:$A$500,$B33,'DADOS BRUTOS'!EQ$3:EQ$500)+IF($C33="",0,SUMIF('DADOS BRUTOS'!$A$3:$A$500,$C33,'DADOS BRUTOS'!EQ$3:EQ$500)))</f>
        <v/>
      </c>
      <c r="HR33" s="125">
        <f>IF(OR(HR$4="",$B33=""),0,SUMIF('DADOS BRUTOS'!$A$3:$A$500,$B33,'DADOS BRUTOS'!ER$3:ER$500)+IF($C33="",0,SUMIF('DADOS BRUTOS'!$A$3:$A$500,$C33,'DADOS BRUTOS'!ER$3:ER$500)))</f>
        <v/>
      </c>
      <c r="HS33" s="125">
        <f>IF(OR(HS$4="",$B33=""),0,SUMIF('DADOS BRUTOS'!$A$3:$A$500,$B33,'DADOS BRUTOS'!ES$3:ES$500)+IF($C33="",0,SUMIF('DADOS BRUTOS'!$A$3:$A$500,$C33,'DADOS BRUTOS'!ES$3:ES$500)))</f>
        <v/>
      </c>
      <c r="HT33" s="125">
        <f>IF(OR(HT$4="",$B33=""),0,SUMIF('DADOS BRUTOS'!$A$3:$A$500,$B33,'DADOS BRUTOS'!ET$3:ET$500)+IF($C33="",0,SUMIF('DADOS BRUTOS'!$A$3:$A$500,$C33,'DADOS BRUTOS'!ET$3:ET$500)))</f>
        <v/>
      </c>
      <c r="HU33" s="125">
        <f>IF(OR(HU$4="",$B33=""),0,SUMIF('DADOS BRUTOS'!$A$3:$A$500,$B33,'DADOS BRUTOS'!EU$3:EU$500)+IF($C33="",0,SUMIF('DADOS BRUTOS'!$A$3:$A$500,$C33,'DADOS BRUTOS'!EU$3:EU$500)))</f>
        <v/>
      </c>
      <c r="HV33" s="125">
        <f>IF(OR(HV$4="",$B33=""),0,SUMIF('DADOS BRUTOS'!$A$3:$A$500,$B33,'DADOS BRUTOS'!EV$3:EV$500)+IF($C33="",0,SUMIF('DADOS BRUTOS'!$A$3:$A$500,$C33,'DADOS BRUTOS'!EV$3:EV$500)))</f>
        <v/>
      </c>
      <c r="HW33" s="125">
        <f>IF(OR(HW$4="",$B33=""),0,SUMIF('DADOS BRUTOS'!$A$3:$A$500,$B33,'DADOS BRUTOS'!EW$3:EW$500)+IF($C33="",0,SUMIF('DADOS BRUTOS'!$A$3:$A$500,$C33,'DADOS BRUTOS'!EW$3:EW$500)))</f>
        <v/>
      </c>
      <c r="HX33" s="125">
        <f>IF(OR(HX$4="",$B33=""),0,SUMIF('DADOS BRUTOS'!$A$3:$A$500,$B33,'DADOS BRUTOS'!EX$3:EX$500)+IF($C33="",0,SUMIF('DADOS BRUTOS'!$A$3:$A$500,$C33,'DADOS BRUTOS'!EX$3:EX$500)))</f>
        <v/>
      </c>
      <c r="HY33" s="125">
        <f>IF(OR(HY$4="",$B33=""),0,SUMIF('DADOS BRUTOS'!$A$3:$A$500,$B33,'DADOS BRUTOS'!EY$3:EY$500)+IF($C33="",0,SUMIF('DADOS BRUTOS'!$A$3:$A$500,$C33,'DADOS BRUTOS'!EY$3:EY$500)))</f>
        <v/>
      </c>
      <c r="HZ33" s="125">
        <f>IF(OR(HZ$4="",$B33=""),0,SUMIF('DADOS BRUTOS'!$A$3:$A$500,$B33,'DADOS BRUTOS'!EZ$3:EZ$500)+IF($C33="",0,SUMIF('DADOS BRUTOS'!$A$3:$A$500,$C33,'DADOS BRUTOS'!EZ$3:EZ$500)))</f>
        <v/>
      </c>
      <c r="IA33" s="125">
        <f>IF(OR(IA$4="",$B33=""),0,SUMIF('DADOS BRUTOS'!$A$3:$A$500,$B33,'DADOS BRUTOS'!FA$3:FA$500)+IF($C33="",0,SUMIF('DADOS BRUTOS'!$A$3:$A$500,$C33,'DADOS BRUTOS'!FA$3:FA$500)))</f>
        <v/>
      </c>
      <c r="IB33" s="125">
        <f>IF(OR(IB$4="",$B33=""),0,SUMIF('DADOS BRUTOS'!$A$3:$A$500,$B33,'DADOS BRUTOS'!FB$3:FB$500)+IF($C33="",0,SUMIF('DADOS BRUTOS'!$A$3:$A$500,$C33,'DADOS BRUTOS'!FB$3:FB$500)))</f>
        <v/>
      </c>
      <c r="IC33" s="125">
        <f>IF(OR(IC$4="",$B33=""),0,SUMIF('DADOS BRUTOS'!$A$3:$A$500,$B33,'DADOS BRUTOS'!FC$3:FC$500)+IF($C33="",0,SUMIF('DADOS BRUTOS'!$A$3:$A$500,$C33,'DADOS BRUTOS'!FC$3:FC$500)))</f>
        <v/>
      </c>
      <c r="ID33" s="125">
        <f>IF(OR(ID$4="",$B33=""),0,SUMIF('DADOS BRUTOS'!$A$3:$A$500,$B33,'DADOS BRUTOS'!FD$3:FD$500)+IF($C33="",0,SUMIF('DADOS BRUTOS'!$A$3:$A$500,$C33,'DADOS BRUTOS'!FD$3:FD$500)))</f>
        <v/>
      </c>
      <c r="IE33" s="125">
        <f>IF(OR(IE$4="",$B33=""),0,SUMIF('DADOS BRUTOS'!$A$3:$A$500,$B33,'DADOS BRUTOS'!FE$3:FE$500)+IF($C33="",0,SUMIF('DADOS BRUTOS'!$A$3:$A$500,$C33,'DADOS BRUTOS'!FE$3:FE$500)))</f>
        <v/>
      </c>
      <c r="IF33" s="125">
        <f>IF(OR(IF$4="",$B33=""),0,SUMIF('DADOS BRUTOS'!$A$3:$A$500,$B33,'DADOS BRUTOS'!FF$3:FF$500)+IF($C33="",0,SUMIF('DADOS BRUTOS'!$A$3:$A$500,$C33,'DADOS BRUTOS'!FF$3:FF$500)))</f>
        <v/>
      </c>
      <c r="IG33" s="125">
        <f>IF(OR(IG$4="",$B33=""),0,SUMIF('DADOS BRUTOS'!$A$3:$A$500,$B33,'DADOS BRUTOS'!FG$3:FG$500)+IF($C33="",0,SUMIF('DADOS BRUTOS'!$A$3:$A$500,$C33,'DADOS BRUTOS'!FG$3:FG$500)))</f>
        <v/>
      </c>
      <c r="IH33" s="125">
        <f>IF(OR(IH$4="",$B33=""),0,SUMIF('DADOS BRUTOS'!$A$3:$A$500,$B33,'DADOS BRUTOS'!FH$3:FH$500)+IF($C33="",0,SUMIF('DADOS BRUTOS'!$A$3:$A$500,$C33,'DADOS BRUTOS'!FH$3:FH$500)))</f>
        <v/>
      </c>
      <c r="II33" s="125">
        <f>IF(OR(II$4="",$B33=""),0,SUMIF('DADOS BRUTOS'!$A$3:$A$500,$B33,'DADOS BRUTOS'!FI$3:FI$500)+IF($C33="",0,SUMIF('DADOS BRUTOS'!$A$3:$A$500,$C33,'DADOS BRUTOS'!FI$3:FI$500)))</f>
        <v/>
      </c>
      <c r="IJ33" s="125">
        <f>IF(OR(IJ$4="",$B33=""),0,SUMIF('DADOS BRUTOS'!$A$3:$A$500,$B33,'DADOS BRUTOS'!FJ$3:FJ$500)+IF($C33="",0,SUMIF('DADOS BRUTOS'!$A$3:$A$500,$C33,'DADOS BRUTOS'!FJ$3:FJ$500)))</f>
        <v/>
      </c>
      <c r="IK33" s="125">
        <f>IF(OR(IK$4="",$B33=""),0,SUMIF('DADOS BRUTOS'!$A$3:$A$500,$B33,'DADOS BRUTOS'!FK$3:FK$500)+IF($C33="",0,SUMIF('DADOS BRUTOS'!$A$3:$A$500,$C33,'DADOS BRUTOS'!FK$3:FK$500)))</f>
        <v/>
      </c>
      <c r="IL33" s="125">
        <f>IF(OR(IL$4="",$B33=""),0,SUMIF('DADOS BRUTOS'!$A$3:$A$500,$B33,'DADOS BRUTOS'!FL$3:FL$500)+IF($C33="",0,SUMIF('DADOS BRUTOS'!$A$3:$A$500,$C33,'DADOS BRUTOS'!FL$3:FL$500)))</f>
        <v/>
      </c>
      <c r="IM33" s="125">
        <f>IF(OR(IM$4="",$B33=""),0,SUMIF('DADOS BRUTOS'!$A$3:$A$500,$B33,'DADOS BRUTOS'!FM$3:FM$500)+IF($C33="",0,SUMIF('DADOS BRUTOS'!$A$3:$A$500,$C33,'DADOS BRUTOS'!FM$3:FM$500)))</f>
        <v/>
      </c>
      <c r="IN33" s="125">
        <f>IF(OR(IN$4="",$B33=""),0,SUMIF('DADOS BRUTOS'!$A$3:$A$500,$B33,'DADOS BRUTOS'!FN$3:FN$500)+IF($C33="",0,SUMIF('DADOS BRUTOS'!$A$3:$A$500,$C33,'DADOS BRUTOS'!FN$3:FN$500)))</f>
        <v/>
      </c>
      <c r="IO33" s="125">
        <f>IF(OR(IO$4="",$B33=""),0,SUMIF('DADOS BRUTOS'!$A$3:$A$500,$B33,'DADOS BRUTOS'!FO$3:FO$500)+IF($C33="",0,SUMIF('DADOS BRUTOS'!$A$3:$A$500,$C33,'DADOS BRUTOS'!FO$3:FO$500)))</f>
        <v/>
      </c>
      <c r="IP33" s="125">
        <f>IF(OR(IP$4="",$B33=""),0,SUMIF('DADOS BRUTOS'!$A$3:$A$500,$B33,'DADOS BRUTOS'!FP$3:FP$500)+IF($C33="",0,SUMIF('DADOS BRUTOS'!$A$3:$A$500,$C33,'DADOS BRUTOS'!FP$3:FP$500)))</f>
        <v/>
      </c>
      <c r="IQ33" s="125">
        <f>IF(OR(IQ$4="",$B33=""),0,SUMIF('DADOS BRUTOS'!$A$3:$A$500,$B33,'DADOS BRUTOS'!FQ$3:FQ$500)+IF($C33="",0,SUMIF('DADOS BRUTOS'!$A$3:$A$500,$C33,'DADOS BRUTOS'!FQ$3:FQ$500)))</f>
        <v/>
      </c>
      <c r="IR33" s="125">
        <f>IF(OR(IR$4="",$B33=""),0,SUMIF('DADOS BRUTOS'!$A$3:$A$500,$B33,'DADOS BRUTOS'!FR$3:FR$500)+IF($C33="",0,SUMIF('DADOS BRUTOS'!$A$3:$A$500,$C33,'DADOS BRUTOS'!FR$3:FR$500)))</f>
        <v/>
      </c>
      <c r="IS33" s="125">
        <f>IF(OR(IS$4="",$B33=""),0,SUMIF('DADOS BRUTOS'!$A$3:$A$500,$B33,'DADOS BRUTOS'!FS$3:FS$500)+IF($C33="",0,SUMIF('DADOS BRUTOS'!$A$3:$A$500,$C33,'DADOS BRUTOS'!FS$3:FS$500)))</f>
        <v/>
      </c>
      <c r="IT33" s="125">
        <f>IF(OR(IT$4="",$B33=""),0,SUMIF('DADOS BRUTOS'!$A$3:$A$500,$B33,'DADOS BRUTOS'!FT$3:FT$500)+IF($C33="",0,SUMIF('DADOS BRUTOS'!$A$3:$A$500,$C33,'DADOS BRUTOS'!FT$3:FT$500)))</f>
        <v/>
      </c>
      <c r="IU33" s="125">
        <f>IF(OR(IU$4="",$B33=""),0,SUMIF('DADOS BRUTOS'!$A$3:$A$500,$B33,'DADOS BRUTOS'!FU$3:FU$500)+IF($C33="",0,SUMIF('DADOS BRUTOS'!$A$3:$A$500,$C33,'DADOS BRUTOS'!FU$3:FU$500)))</f>
        <v/>
      </c>
      <c r="IV33" s="125">
        <f>IF(OR(IV$4="",$B33=""),0,SUMIF('DADOS BRUTOS'!$A$3:$A$500,$B33,'DADOS BRUTOS'!FV$3:FV$500)+IF($C33="",0,SUMIF('DADOS BRUTOS'!$A$3:$A$500,$C33,'DADOS BRUTOS'!FV$3:FV$500)))</f>
        <v/>
      </c>
      <c r="IW33" s="125">
        <f>IF(OR(IW$4="",$B33=""),0,SUMIF('DADOS BRUTOS'!$A$3:$A$500,$B33,'DADOS BRUTOS'!FW$3:FW$500)+IF($C33="",0,SUMIF('DADOS BRUTOS'!$A$3:$A$500,$C33,'DADOS BRUTOS'!FW$3:FW$500)))</f>
        <v/>
      </c>
      <c r="IX33" s="125">
        <f>IF(OR(IX$4="",$B33=""),0,SUMIF('DADOS BRUTOS'!$A$3:$A$500,$B33,'DADOS BRUTOS'!FX$3:FX$500)+IF($C33="",0,SUMIF('DADOS BRUTOS'!$A$3:$A$500,$C33,'DADOS BRUTOS'!FX$3:FX$500)))</f>
        <v/>
      </c>
      <c r="IY33" s="125">
        <f>IF(OR(IY$4="",$B33=""),0,SUMIF('DADOS BRUTOS'!$A$3:$A$500,$B33,'DADOS BRUTOS'!FY$3:FY$500)+IF($C33="",0,SUMIF('DADOS BRUTOS'!$A$3:$A$500,$C33,'DADOS BRUTOS'!FY$3:FY$500)))</f>
        <v/>
      </c>
      <c r="IZ33" s="125">
        <f>IF(OR(IZ$4="",$B33=""),0,SUMIF('DADOS BRUTOS'!$A$3:$A$500,$B33,'DADOS BRUTOS'!FZ$3:FZ$500)+IF($C33="",0,SUMIF('DADOS BRUTOS'!$A$3:$A$500,$C33,'DADOS BRUTOS'!FZ$3:FZ$500)))</f>
        <v/>
      </c>
      <c r="JA33" s="125">
        <f>IF(OR(JA$4="",$B33=""),0,SUMIF('DADOS BRUTOS'!$A$3:$A$500,$B33,'DADOS BRUTOS'!GA$3:GA$500)+IF($C33="",0,SUMIF('DADOS BRUTOS'!$A$3:$A$500,$C33,'DADOS BRUTOS'!GA$3:GA$500)))</f>
        <v/>
      </c>
      <c r="JB33" s="125">
        <f>IF(OR(JB$4="",$B33=""),0,SUMIF('DADOS BRUTOS'!$A$3:$A$500,$B33,'DADOS BRUTOS'!GB$3:GB$500)+IF($C33="",0,SUMIF('DADOS BRUTOS'!$A$3:$A$500,$C33,'DADOS BRUTOS'!GB$3:GB$500)))</f>
        <v/>
      </c>
      <c r="JC33" s="125">
        <f>IF(OR(JC$4="",$B33=""),0,SUMIF('DADOS BRUTOS'!$A$3:$A$500,$B33,'DADOS BRUTOS'!GC$3:GC$500)+IF($C33="",0,SUMIF('DADOS BRUTOS'!$A$3:$A$500,$C33,'DADOS BRUTOS'!GC$3:GC$500)))</f>
        <v/>
      </c>
      <c r="JD33" s="125">
        <f>IF(OR(JD$4="",$B33=""),0,SUMIF('DADOS BRUTOS'!$A$3:$A$500,$B33,'DADOS BRUTOS'!GD$3:GD$500)+IF($C33="",0,SUMIF('DADOS BRUTOS'!$A$3:$A$500,$C33,'DADOS BRUTOS'!GD$3:GD$500)))</f>
        <v/>
      </c>
      <c r="JE33" s="125">
        <f>IF(OR(JE$4="",$B33=""),0,SUMIF('DADOS BRUTOS'!$A$3:$A$500,$B33,'DADOS BRUTOS'!GE$3:GE$500)+IF($C33="",0,SUMIF('DADOS BRUTOS'!$A$3:$A$500,$C33,'DADOS BRUTOS'!GE$3:GE$500)))</f>
        <v/>
      </c>
      <c r="JF33" s="125">
        <f>IF(OR(JF$4="",$B33=""),0,SUMIF('DADOS BRUTOS'!$A$3:$A$500,$B33,'DADOS BRUTOS'!GF$3:GF$500)+IF($C33="",0,SUMIF('DADOS BRUTOS'!$A$3:$A$500,$C33,'DADOS BRUTOS'!GF$3:GF$500)))</f>
        <v/>
      </c>
      <c r="JG33" s="125">
        <f>IF(OR(JG$4="",$B33=""),0,SUMIF('DADOS BRUTOS'!$A$3:$A$500,$B33,'DADOS BRUTOS'!GG$3:GG$500)+IF($C33="",0,SUMIF('DADOS BRUTOS'!$A$3:$A$500,$C33,'DADOS BRUTOS'!GG$3:GG$500)))</f>
        <v/>
      </c>
      <c r="JH33" s="125">
        <f>IF(OR(JH$4="",$B33=""),0,SUMIF('DADOS BRUTOS'!$A$3:$A$500,$B33,'DADOS BRUTOS'!GH$3:GH$500)+IF($C33="",0,SUMIF('DADOS BRUTOS'!$A$3:$A$500,$C33,'DADOS BRUTOS'!GH$3:GH$500)))</f>
        <v/>
      </c>
      <c r="JI33" s="125">
        <f>IF(OR(JI$4="",$B33=""),0,SUMIF('DADOS BRUTOS'!$A$3:$A$500,$B33,'DADOS BRUTOS'!GI$3:GI$500)+IF($C33="",0,SUMIF('DADOS BRUTOS'!$A$3:$A$500,$C33,'DADOS BRUTOS'!GI$3:GI$500)))</f>
        <v/>
      </c>
      <c r="JJ33" s="125">
        <f>IF(OR(JJ$4="",$B33=""),0,SUMIF('DADOS BRUTOS'!$A$3:$A$500,$B33,'DADOS BRUTOS'!GJ$3:GJ$500)+IF($C33="",0,SUMIF('DADOS BRUTOS'!$A$3:$A$500,$C33,'DADOS BRUTOS'!GJ$3:GJ$500)))</f>
        <v/>
      </c>
      <c r="JK33" s="125">
        <f>IF(OR(JK$4="",$B33=""),0,SUMIF('DADOS BRUTOS'!$A$3:$A$500,$B33,'DADOS BRUTOS'!GK$3:GK$500)+IF($C33="",0,SUMIF('DADOS BRUTOS'!$A$3:$A$500,$C33,'DADOS BRUTOS'!GK$3:GK$500)))</f>
        <v/>
      </c>
      <c r="JL33" s="125">
        <f>IF(OR(JL$4="",$B33=""),0,SUMIF('DADOS BRUTOS'!$A$3:$A$500,$B33,'DADOS BRUTOS'!GL$3:GL$500)+IF($C33="",0,SUMIF('DADOS BRUTOS'!$A$3:$A$500,$C33,'DADOS BRUTOS'!GL$3:GL$500)))</f>
        <v/>
      </c>
      <c r="JM33" s="125">
        <f>IF(OR(JM$4="",$B33=""),0,SUMIF('DADOS BRUTOS'!$A$3:$A$500,$B33,'DADOS BRUTOS'!GM$3:GM$500)+IF($C33="",0,SUMIF('DADOS BRUTOS'!$A$3:$A$500,$C33,'DADOS BRUTOS'!GM$3:GM$500)))</f>
        <v/>
      </c>
      <c r="JN33" s="125">
        <f>IF(OR(JN$4="",$B33=""),0,SUMIF('DADOS BRUTOS'!$A$3:$A$500,$B33,'DADOS BRUTOS'!GN$3:GN$500)+IF($C33="",0,SUMIF('DADOS BRUTOS'!$A$3:$A$500,$C33,'DADOS BRUTOS'!GN$3:GN$500)))</f>
        <v/>
      </c>
      <c r="JO33" s="125">
        <f>IF(OR(JO$4="",$B33=""),0,SUMIF('DADOS BRUTOS'!$A$3:$A$500,$B33,'DADOS BRUTOS'!GO$3:GO$500)+IF($C33="",0,SUMIF('DADOS BRUTOS'!$A$3:$A$500,$C33,'DADOS BRUTOS'!GO$3:GO$500)))</f>
        <v/>
      </c>
      <c r="JP33" s="125">
        <f>IF(OR(JP$4="",$B33=""),0,SUMIF('DADOS BRUTOS'!$A$3:$A$500,$B33,'DADOS BRUTOS'!GP$3:GP$500)+IF($C33="",0,SUMIF('DADOS BRUTOS'!$A$3:$A$500,$C33,'DADOS BRUTOS'!GP$3:GP$500)))</f>
        <v/>
      </c>
      <c r="JQ33" s="125">
        <f>IF(OR(JQ$4="",$B33=""),0,SUMIF('DADOS BRUTOS'!$A$3:$A$500,$B33,'DADOS BRUTOS'!GQ$3:GQ$500)+IF($C33="",0,SUMIF('DADOS BRUTOS'!$A$3:$A$500,$C33,'DADOS BRUTOS'!GQ$3:GQ$500)))</f>
        <v/>
      </c>
      <c r="JR33" s="125">
        <f>IF(OR(JR$4="",$B33=""),0,SUMIF('DADOS BRUTOS'!$A$3:$A$500,$B33,'DADOS BRUTOS'!GR$3:GR$500)+IF($C33="",0,SUMIF('DADOS BRUTOS'!$A$3:$A$500,$C33,'DADOS BRUTOS'!GR$3:GR$500)))</f>
        <v/>
      </c>
      <c r="JS33" s="125">
        <f>IF(OR(JS$4="",$B33=""),0,SUMIF('DADOS BRUTOS'!$A$3:$A$500,$B33,'DADOS BRUTOS'!GS$3:GS$500)+IF($C33="",0,SUMIF('DADOS BRUTOS'!$A$3:$A$500,$C33,'DADOS BRUTOS'!GS$3:GS$500)))</f>
        <v/>
      </c>
    </row>
    <row r="34">
      <c r="A34" s="61">
        <f>'VALOR POR PL'!D40</f>
        <v/>
      </c>
      <c r="B34" s="59" t="inlineStr">
        <is>
          <t>REVESTIMENTOS</t>
        </is>
      </c>
      <c r="C34" s="59" t="inlineStr">
        <is>
          <t>REVESTIMENTOS DE ACABAMENTO</t>
        </is>
      </c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BZ34" s="49">
        <f>SUMPRODUCT(($CB$4:$JS$4&lt;&gt;"")*($CB$4:$JS$4&lt;=$D$4),$CB34:$JS34,$CB$1:$JS$1)</f>
        <v/>
      </c>
      <c r="CB34" s="125">
        <f>IF(OR(CB$4="",$B34=""),0,SUMIF('DADOS BRUTOS'!$A$3:$A$500,$B34,'DADOS BRUTOS'!B$3:B$500)+IF($C34="",0,SUMIF('DADOS BRUTOS'!$A$3:$A$500,$C34,'DADOS BRUTOS'!B$3:B$500)))</f>
        <v/>
      </c>
      <c r="CC34" s="125">
        <f>IF(OR(CC$4="",$B34=""),0,SUMIF('DADOS BRUTOS'!$A$3:$A$500,$B34,'DADOS BRUTOS'!C$3:C$500)+IF($C34="",0,SUMIF('DADOS BRUTOS'!$A$3:$A$500,$C34,'DADOS BRUTOS'!C$3:C$500)))</f>
        <v/>
      </c>
      <c r="CD34" s="125">
        <f>IF(OR(CD$4="",$B34=""),0,SUMIF('DADOS BRUTOS'!$A$3:$A$500,$B34,'DADOS BRUTOS'!D$3:D$500)+IF($C34="",0,SUMIF('DADOS BRUTOS'!$A$3:$A$500,$C34,'DADOS BRUTOS'!D$3:D$500)))</f>
        <v/>
      </c>
      <c r="CE34" s="125">
        <f>IF(OR(CE$4="",$B34=""),0,SUMIF('DADOS BRUTOS'!$A$3:$A$500,$B34,'DADOS BRUTOS'!E$3:E$500)+IF($C34="",0,SUMIF('DADOS BRUTOS'!$A$3:$A$500,$C34,'DADOS BRUTOS'!E$3:E$500)))</f>
        <v/>
      </c>
      <c r="CF34" s="125">
        <f>IF(OR(CF$4="",$B34=""),0,SUMIF('DADOS BRUTOS'!$A$3:$A$500,$B34,'DADOS BRUTOS'!F$3:F$500)+IF($C34="",0,SUMIF('DADOS BRUTOS'!$A$3:$A$500,$C34,'DADOS BRUTOS'!F$3:F$500)))</f>
        <v/>
      </c>
      <c r="CG34" s="125">
        <f>IF(OR(CG$4="",$B34=""),0,SUMIF('DADOS BRUTOS'!$A$3:$A$500,$B34,'DADOS BRUTOS'!G$3:G$500)+IF($C34="",0,SUMIF('DADOS BRUTOS'!$A$3:$A$500,$C34,'DADOS BRUTOS'!G$3:G$500)))</f>
        <v/>
      </c>
      <c r="CH34" s="125">
        <f>IF(OR(CH$4="",$B34=""),0,SUMIF('DADOS BRUTOS'!$A$3:$A$500,$B34,'DADOS BRUTOS'!H$3:H$500)+IF($C34="",0,SUMIF('DADOS BRUTOS'!$A$3:$A$500,$C34,'DADOS BRUTOS'!H$3:H$500)))</f>
        <v/>
      </c>
      <c r="CI34" s="125">
        <f>IF(OR(CI$4="",$B34=""),0,SUMIF('DADOS BRUTOS'!$A$3:$A$500,$B34,'DADOS BRUTOS'!I$3:I$500)+IF($C34="",0,SUMIF('DADOS BRUTOS'!$A$3:$A$500,$C34,'DADOS BRUTOS'!I$3:I$500)))</f>
        <v/>
      </c>
      <c r="CJ34" s="125">
        <f>IF(OR(CJ$4="",$B34=""),0,SUMIF('DADOS BRUTOS'!$A$3:$A$500,$B34,'DADOS BRUTOS'!J$3:J$500)+IF($C34="",0,SUMIF('DADOS BRUTOS'!$A$3:$A$500,$C34,'DADOS BRUTOS'!J$3:J$500)))</f>
        <v/>
      </c>
      <c r="CK34" s="125">
        <f>IF(OR(CK$4="",$B34=""),0,SUMIF('DADOS BRUTOS'!$A$3:$A$500,$B34,'DADOS BRUTOS'!K$3:K$500)+IF($C34="",0,SUMIF('DADOS BRUTOS'!$A$3:$A$500,$C34,'DADOS BRUTOS'!K$3:K$500)))</f>
        <v/>
      </c>
      <c r="CL34" s="125">
        <f>IF(OR(CL$4="",$B34=""),0,SUMIF('DADOS BRUTOS'!$A$3:$A$500,$B34,'DADOS BRUTOS'!L$3:L$500)+IF($C34="",0,SUMIF('DADOS BRUTOS'!$A$3:$A$500,$C34,'DADOS BRUTOS'!L$3:L$500)))</f>
        <v/>
      </c>
      <c r="CM34" s="125">
        <f>IF(OR(CM$4="",$B34=""),0,SUMIF('DADOS BRUTOS'!$A$3:$A$500,$B34,'DADOS BRUTOS'!M$3:M$500)+IF($C34="",0,SUMIF('DADOS BRUTOS'!$A$3:$A$500,$C34,'DADOS BRUTOS'!M$3:M$500)))</f>
        <v/>
      </c>
      <c r="CN34" s="125">
        <f>IF(OR(CN$4="",$B34=""),0,SUMIF('DADOS BRUTOS'!$A$3:$A$500,$B34,'DADOS BRUTOS'!N$3:N$500)+IF($C34="",0,SUMIF('DADOS BRUTOS'!$A$3:$A$500,$C34,'DADOS BRUTOS'!N$3:N$500)))</f>
        <v/>
      </c>
      <c r="CO34" s="125">
        <f>IF(OR(CO$4="",$B34=""),0,SUMIF('DADOS BRUTOS'!$A$3:$A$500,$B34,'DADOS BRUTOS'!O$3:O$500)+IF($C34="",0,SUMIF('DADOS BRUTOS'!$A$3:$A$500,$C34,'DADOS BRUTOS'!O$3:O$500)))</f>
        <v/>
      </c>
      <c r="CP34" s="125">
        <f>IF(OR(CP$4="",$B34=""),0,SUMIF('DADOS BRUTOS'!$A$3:$A$500,$B34,'DADOS BRUTOS'!P$3:P$500)+IF($C34="",0,SUMIF('DADOS BRUTOS'!$A$3:$A$500,$C34,'DADOS BRUTOS'!P$3:P$500)))</f>
        <v/>
      </c>
      <c r="CQ34" s="125">
        <f>IF(OR(CQ$4="",$B34=""),0,SUMIF('DADOS BRUTOS'!$A$3:$A$500,$B34,'DADOS BRUTOS'!Q$3:Q$500)+IF($C34="",0,SUMIF('DADOS BRUTOS'!$A$3:$A$500,$C34,'DADOS BRUTOS'!Q$3:Q$500)))</f>
        <v/>
      </c>
      <c r="CR34" s="125">
        <f>IF(OR(CR$4="",$B34=""),0,SUMIF('DADOS BRUTOS'!$A$3:$A$500,$B34,'DADOS BRUTOS'!R$3:R$500)+IF($C34="",0,SUMIF('DADOS BRUTOS'!$A$3:$A$500,$C34,'DADOS BRUTOS'!R$3:R$500)))</f>
        <v/>
      </c>
      <c r="CS34" s="125">
        <f>IF(OR(CS$4="",$B34=""),0,SUMIF('DADOS BRUTOS'!$A$3:$A$500,$B34,'DADOS BRUTOS'!S$3:S$500)+IF($C34="",0,SUMIF('DADOS BRUTOS'!$A$3:$A$500,$C34,'DADOS BRUTOS'!S$3:S$500)))</f>
        <v/>
      </c>
      <c r="CT34" s="125">
        <f>IF(OR(CT$4="",$B34=""),0,SUMIF('DADOS BRUTOS'!$A$3:$A$500,$B34,'DADOS BRUTOS'!T$3:T$500)+IF($C34="",0,SUMIF('DADOS BRUTOS'!$A$3:$A$500,$C34,'DADOS BRUTOS'!T$3:T$500)))</f>
        <v/>
      </c>
      <c r="CU34" s="125">
        <f>IF(OR(CU$4="",$B34=""),0,SUMIF('DADOS BRUTOS'!$A$3:$A$500,$B34,'DADOS BRUTOS'!U$3:U$500)+IF($C34="",0,SUMIF('DADOS BRUTOS'!$A$3:$A$500,$C34,'DADOS BRUTOS'!U$3:U$500)))</f>
        <v/>
      </c>
      <c r="CV34" s="125">
        <f>IF(OR(CV$4="",$B34=""),0,SUMIF('DADOS BRUTOS'!$A$3:$A$500,$B34,'DADOS BRUTOS'!V$3:V$500)+IF($C34="",0,SUMIF('DADOS BRUTOS'!$A$3:$A$500,$C34,'DADOS BRUTOS'!V$3:V$500)))</f>
        <v/>
      </c>
      <c r="CW34" s="125">
        <f>IF(OR(CW$4="",$B34=""),0,SUMIF('DADOS BRUTOS'!$A$3:$A$500,$B34,'DADOS BRUTOS'!W$3:W$500)+IF($C34="",0,SUMIF('DADOS BRUTOS'!$A$3:$A$500,$C34,'DADOS BRUTOS'!W$3:W$500)))</f>
        <v/>
      </c>
      <c r="CX34" s="125">
        <f>IF(OR(CX$4="",$B34=""),0,SUMIF('DADOS BRUTOS'!$A$3:$A$500,$B34,'DADOS BRUTOS'!X$3:X$500)+IF($C34="",0,SUMIF('DADOS BRUTOS'!$A$3:$A$500,$C34,'DADOS BRUTOS'!X$3:X$500)))</f>
        <v/>
      </c>
      <c r="CY34" s="125">
        <f>IF(OR(CY$4="",$B34=""),0,SUMIF('DADOS BRUTOS'!$A$3:$A$500,$B34,'DADOS BRUTOS'!Y$3:Y$500)+IF($C34="",0,SUMIF('DADOS BRUTOS'!$A$3:$A$500,$C34,'DADOS BRUTOS'!Y$3:Y$500)))</f>
        <v/>
      </c>
      <c r="CZ34" s="125">
        <f>IF(OR(CZ$4="",$B34=""),0,SUMIF('DADOS BRUTOS'!$A$3:$A$500,$B34,'DADOS BRUTOS'!Z$3:Z$500)+IF($C34="",0,SUMIF('DADOS BRUTOS'!$A$3:$A$500,$C34,'DADOS BRUTOS'!Z$3:Z$500)))</f>
        <v/>
      </c>
      <c r="DA34" s="125">
        <f>IF(OR(DA$4="",$B34=""),0,SUMIF('DADOS BRUTOS'!$A$3:$A$500,$B34,'DADOS BRUTOS'!AA$3:AA$500)+IF($C34="",0,SUMIF('DADOS BRUTOS'!$A$3:$A$500,$C34,'DADOS BRUTOS'!AA$3:AA$500)))</f>
        <v/>
      </c>
      <c r="DB34" s="125">
        <f>IF(OR(DB$4="",$B34=""),0,SUMIF('DADOS BRUTOS'!$A$3:$A$500,$B34,'DADOS BRUTOS'!AB$3:AB$500)+IF($C34="",0,SUMIF('DADOS BRUTOS'!$A$3:$A$500,$C34,'DADOS BRUTOS'!AB$3:AB$500)))</f>
        <v/>
      </c>
      <c r="DC34" s="125">
        <f>IF(OR(DC$4="",$B34=""),0,SUMIF('DADOS BRUTOS'!$A$3:$A$500,$B34,'DADOS BRUTOS'!AC$3:AC$500)+IF($C34="",0,SUMIF('DADOS BRUTOS'!$A$3:$A$500,$C34,'DADOS BRUTOS'!AC$3:AC$500)))</f>
        <v/>
      </c>
      <c r="DD34" s="125">
        <f>IF(OR(DD$4="",$B34=""),0,SUMIF('DADOS BRUTOS'!$A$3:$A$500,$B34,'DADOS BRUTOS'!AD$3:AD$500)+IF($C34="",0,SUMIF('DADOS BRUTOS'!$A$3:$A$500,$C34,'DADOS BRUTOS'!AD$3:AD$500)))</f>
        <v/>
      </c>
      <c r="DE34" s="125">
        <f>IF(OR(DE$4="",$B34=""),0,SUMIF('DADOS BRUTOS'!$A$3:$A$500,$B34,'DADOS BRUTOS'!AE$3:AE$500)+IF($C34="",0,SUMIF('DADOS BRUTOS'!$A$3:$A$500,$C34,'DADOS BRUTOS'!AE$3:AE$500)))</f>
        <v/>
      </c>
      <c r="DF34" s="125">
        <f>IF(OR(DF$4="",$B34=""),0,SUMIF('DADOS BRUTOS'!$A$3:$A$500,$B34,'DADOS BRUTOS'!AF$3:AF$500)+IF($C34="",0,SUMIF('DADOS BRUTOS'!$A$3:$A$500,$C34,'DADOS BRUTOS'!AF$3:AF$500)))</f>
        <v/>
      </c>
      <c r="DG34" s="125">
        <f>IF(OR(DG$4="",$B34=""),0,SUMIF('DADOS BRUTOS'!$A$3:$A$500,$B34,'DADOS BRUTOS'!AG$3:AG$500)+IF($C34="",0,SUMIF('DADOS BRUTOS'!$A$3:$A$500,$C34,'DADOS BRUTOS'!AG$3:AG$500)))</f>
        <v/>
      </c>
      <c r="DH34" s="125">
        <f>IF(OR(DH$4="",$B34=""),0,SUMIF('DADOS BRUTOS'!$A$3:$A$500,$B34,'DADOS BRUTOS'!AH$3:AH$500)+IF($C34="",0,SUMIF('DADOS BRUTOS'!$A$3:$A$500,$C34,'DADOS BRUTOS'!AH$3:AH$500)))</f>
        <v/>
      </c>
      <c r="DI34" s="125">
        <f>IF(OR(DI$4="",$B34=""),0,SUMIF('DADOS BRUTOS'!$A$3:$A$500,$B34,'DADOS BRUTOS'!AI$3:AI$500)+IF($C34="",0,SUMIF('DADOS BRUTOS'!$A$3:$A$500,$C34,'DADOS BRUTOS'!AI$3:AI$500)))</f>
        <v/>
      </c>
      <c r="DJ34" s="125">
        <f>IF(OR(DJ$4="",$B34=""),0,SUMIF('DADOS BRUTOS'!$A$3:$A$500,$B34,'DADOS BRUTOS'!AJ$3:AJ$500)+IF($C34="",0,SUMIF('DADOS BRUTOS'!$A$3:$A$500,$C34,'DADOS BRUTOS'!AJ$3:AJ$500)))</f>
        <v/>
      </c>
      <c r="DK34" s="125">
        <f>IF(OR(DK$4="",$B34=""),0,SUMIF('DADOS BRUTOS'!$A$3:$A$500,$B34,'DADOS BRUTOS'!AK$3:AK$500)+IF($C34="",0,SUMIF('DADOS BRUTOS'!$A$3:$A$500,$C34,'DADOS BRUTOS'!AK$3:AK$500)))</f>
        <v/>
      </c>
      <c r="DL34" s="125">
        <f>IF(OR(DL$4="",$B34=""),0,SUMIF('DADOS BRUTOS'!$A$3:$A$500,$B34,'DADOS BRUTOS'!AL$3:AL$500)+IF($C34="",0,SUMIF('DADOS BRUTOS'!$A$3:$A$500,$C34,'DADOS BRUTOS'!AL$3:AL$500)))</f>
        <v/>
      </c>
      <c r="DM34" s="125">
        <f>IF(OR(DM$4="",$B34=""),0,SUMIF('DADOS BRUTOS'!$A$3:$A$500,$B34,'DADOS BRUTOS'!AM$3:AM$500)+IF($C34="",0,SUMIF('DADOS BRUTOS'!$A$3:$A$500,$C34,'DADOS BRUTOS'!AM$3:AM$500)))</f>
        <v/>
      </c>
      <c r="DN34" s="125">
        <f>IF(OR(DN$4="",$B34=""),0,SUMIF('DADOS BRUTOS'!$A$3:$A$500,$B34,'DADOS BRUTOS'!AN$3:AN$500)+IF($C34="",0,SUMIF('DADOS BRUTOS'!$A$3:$A$500,$C34,'DADOS BRUTOS'!AN$3:AN$500)))</f>
        <v/>
      </c>
      <c r="DO34" s="125">
        <f>IF(OR(DO$4="",$B34=""),0,SUMIF('DADOS BRUTOS'!$A$3:$A$500,$B34,'DADOS BRUTOS'!AO$3:AO$500)+IF($C34="",0,SUMIF('DADOS BRUTOS'!$A$3:$A$500,$C34,'DADOS BRUTOS'!AO$3:AO$500)))</f>
        <v/>
      </c>
      <c r="DP34" s="125">
        <f>IF(OR(DP$4="",$B34=""),0,SUMIF('DADOS BRUTOS'!$A$3:$A$500,$B34,'DADOS BRUTOS'!AP$3:AP$500)+IF($C34="",0,SUMIF('DADOS BRUTOS'!$A$3:$A$500,$C34,'DADOS BRUTOS'!AP$3:AP$500)))</f>
        <v/>
      </c>
      <c r="DQ34" s="125">
        <f>IF(OR(DQ$4="",$B34=""),0,SUMIF('DADOS BRUTOS'!$A$3:$A$500,$B34,'DADOS BRUTOS'!AQ$3:AQ$500)+IF($C34="",0,SUMIF('DADOS BRUTOS'!$A$3:$A$500,$C34,'DADOS BRUTOS'!AQ$3:AQ$500)))</f>
        <v/>
      </c>
      <c r="DR34" s="125">
        <f>IF(OR(DR$4="",$B34=""),0,SUMIF('DADOS BRUTOS'!$A$3:$A$500,$B34,'DADOS BRUTOS'!AR$3:AR$500)+IF($C34="",0,SUMIF('DADOS BRUTOS'!$A$3:$A$500,$C34,'DADOS BRUTOS'!AR$3:AR$500)))</f>
        <v/>
      </c>
      <c r="DS34" s="125">
        <f>IF(OR(DS$4="",$B34=""),0,SUMIF('DADOS BRUTOS'!$A$3:$A$500,$B34,'DADOS BRUTOS'!AS$3:AS$500)+IF($C34="",0,SUMIF('DADOS BRUTOS'!$A$3:$A$500,$C34,'DADOS BRUTOS'!AS$3:AS$500)))</f>
        <v/>
      </c>
      <c r="DT34" s="125">
        <f>IF(OR(DT$4="",$B34=""),0,SUMIF('DADOS BRUTOS'!$A$3:$A$500,$B34,'DADOS BRUTOS'!AT$3:AT$500)+IF($C34="",0,SUMIF('DADOS BRUTOS'!$A$3:$A$500,$C34,'DADOS BRUTOS'!AT$3:AT$500)))</f>
        <v/>
      </c>
      <c r="DU34" s="125">
        <f>IF(OR(DU$4="",$B34=""),0,SUMIF('DADOS BRUTOS'!$A$3:$A$500,$B34,'DADOS BRUTOS'!AU$3:AU$500)+IF($C34="",0,SUMIF('DADOS BRUTOS'!$A$3:$A$500,$C34,'DADOS BRUTOS'!AU$3:AU$500)))</f>
        <v/>
      </c>
      <c r="DV34" s="125">
        <f>IF(OR(DV$4="",$B34=""),0,SUMIF('DADOS BRUTOS'!$A$3:$A$500,$B34,'DADOS BRUTOS'!AV$3:AV$500)+IF($C34="",0,SUMIF('DADOS BRUTOS'!$A$3:$A$500,$C34,'DADOS BRUTOS'!AV$3:AV$500)))</f>
        <v/>
      </c>
      <c r="DW34" s="125">
        <f>IF(OR(DW$4="",$B34=""),0,SUMIF('DADOS BRUTOS'!$A$3:$A$500,$B34,'DADOS BRUTOS'!AW$3:AW$500)+IF($C34="",0,SUMIF('DADOS BRUTOS'!$A$3:$A$500,$C34,'DADOS BRUTOS'!AW$3:AW$500)))</f>
        <v/>
      </c>
      <c r="DX34" s="125">
        <f>IF(OR(DX$4="",$B34=""),0,SUMIF('DADOS BRUTOS'!$A$3:$A$500,$B34,'DADOS BRUTOS'!AX$3:AX$500)+IF($C34="",0,SUMIF('DADOS BRUTOS'!$A$3:$A$500,$C34,'DADOS BRUTOS'!AX$3:AX$500)))</f>
        <v/>
      </c>
      <c r="DY34" s="125">
        <f>IF(OR(DY$4="",$B34=""),0,SUMIF('DADOS BRUTOS'!$A$3:$A$500,$B34,'DADOS BRUTOS'!AY$3:AY$500)+IF($C34="",0,SUMIF('DADOS BRUTOS'!$A$3:$A$500,$C34,'DADOS BRUTOS'!AY$3:AY$500)))</f>
        <v/>
      </c>
      <c r="DZ34" s="125">
        <f>IF(OR(DZ$4="",$B34=""),0,SUMIF('DADOS BRUTOS'!$A$3:$A$500,$B34,'DADOS BRUTOS'!AZ$3:AZ$500)+IF($C34="",0,SUMIF('DADOS BRUTOS'!$A$3:$A$500,$C34,'DADOS BRUTOS'!AZ$3:AZ$500)))</f>
        <v/>
      </c>
      <c r="EA34" s="125">
        <f>IF(OR(EA$4="",$B34=""),0,SUMIF('DADOS BRUTOS'!$A$3:$A$500,$B34,'DADOS BRUTOS'!BA$3:BA$500)+IF($C34="",0,SUMIF('DADOS BRUTOS'!$A$3:$A$500,$C34,'DADOS BRUTOS'!BA$3:BA$500)))</f>
        <v/>
      </c>
      <c r="EB34" s="125">
        <f>IF(OR(EB$4="",$B34=""),0,SUMIF('DADOS BRUTOS'!$A$3:$A$500,$B34,'DADOS BRUTOS'!BB$3:BB$500)+IF($C34="",0,SUMIF('DADOS BRUTOS'!$A$3:$A$500,$C34,'DADOS BRUTOS'!BB$3:BB$500)))</f>
        <v/>
      </c>
      <c r="EC34" s="125">
        <f>IF(OR(EC$4="",$B34=""),0,SUMIF('DADOS BRUTOS'!$A$3:$A$500,$B34,'DADOS BRUTOS'!BC$3:BC$500)+IF($C34="",0,SUMIF('DADOS BRUTOS'!$A$3:$A$500,$C34,'DADOS BRUTOS'!BC$3:BC$500)))</f>
        <v/>
      </c>
      <c r="ED34" s="125">
        <f>IF(OR(ED$4="",$B34=""),0,SUMIF('DADOS BRUTOS'!$A$3:$A$500,$B34,'DADOS BRUTOS'!BD$3:BD$500)+IF($C34="",0,SUMIF('DADOS BRUTOS'!$A$3:$A$500,$C34,'DADOS BRUTOS'!BD$3:BD$500)))</f>
        <v/>
      </c>
      <c r="EE34" s="125">
        <f>IF(OR(EE$4="",$B34=""),0,SUMIF('DADOS BRUTOS'!$A$3:$A$500,$B34,'DADOS BRUTOS'!BE$3:BE$500)+IF($C34="",0,SUMIF('DADOS BRUTOS'!$A$3:$A$500,$C34,'DADOS BRUTOS'!BE$3:BE$500)))</f>
        <v/>
      </c>
      <c r="EF34" s="125">
        <f>IF(OR(EF$4="",$B34=""),0,SUMIF('DADOS BRUTOS'!$A$3:$A$500,$B34,'DADOS BRUTOS'!BF$3:BF$500)+IF($C34="",0,SUMIF('DADOS BRUTOS'!$A$3:$A$500,$C34,'DADOS BRUTOS'!BF$3:BF$500)))</f>
        <v/>
      </c>
      <c r="EG34" s="125">
        <f>IF(OR(EG$4="",$B34=""),0,SUMIF('DADOS BRUTOS'!$A$3:$A$500,$B34,'DADOS BRUTOS'!BG$3:BG$500)+IF($C34="",0,SUMIF('DADOS BRUTOS'!$A$3:$A$500,$C34,'DADOS BRUTOS'!BG$3:BG$500)))</f>
        <v/>
      </c>
      <c r="EH34" s="125">
        <f>IF(OR(EH$4="",$B34=""),0,SUMIF('DADOS BRUTOS'!$A$3:$A$500,$B34,'DADOS BRUTOS'!BH$3:BH$500)+IF($C34="",0,SUMIF('DADOS BRUTOS'!$A$3:$A$500,$C34,'DADOS BRUTOS'!BH$3:BH$500)))</f>
        <v/>
      </c>
      <c r="EI34" s="125">
        <f>IF(OR(EI$4="",$B34=""),0,SUMIF('DADOS BRUTOS'!$A$3:$A$500,$B34,'DADOS BRUTOS'!BI$3:BI$500)+IF($C34="",0,SUMIF('DADOS BRUTOS'!$A$3:$A$500,$C34,'DADOS BRUTOS'!BI$3:BI$500)))</f>
        <v/>
      </c>
      <c r="EJ34" s="125">
        <f>IF(OR(EJ$4="",$B34=""),0,SUMIF('DADOS BRUTOS'!$A$3:$A$500,$B34,'DADOS BRUTOS'!BJ$3:BJ$500)+IF($C34="",0,SUMIF('DADOS BRUTOS'!$A$3:$A$500,$C34,'DADOS BRUTOS'!BJ$3:BJ$500)))</f>
        <v/>
      </c>
      <c r="EK34" s="125">
        <f>IF(OR(EK$4="",$B34=""),0,SUMIF('DADOS BRUTOS'!$A$3:$A$500,$B34,'DADOS BRUTOS'!BK$3:BK$500)+IF($C34="",0,SUMIF('DADOS BRUTOS'!$A$3:$A$500,$C34,'DADOS BRUTOS'!BK$3:BK$500)))</f>
        <v/>
      </c>
      <c r="EL34" s="125">
        <f>IF(OR(EL$4="",$B34=""),0,SUMIF('DADOS BRUTOS'!$A$3:$A$500,$B34,'DADOS BRUTOS'!BL$3:BL$500)+IF($C34="",0,SUMIF('DADOS BRUTOS'!$A$3:$A$500,$C34,'DADOS BRUTOS'!BL$3:BL$500)))</f>
        <v/>
      </c>
      <c r="EM34" s="125">
        <f>IF(OR(EM$4="",$B34=""),0,SUMIF('DADOS BRUTOS'!$A$3:$A$500,$B34,'DADOS BRUTOS'!BM$3:BM$500)+IF($C34="",0,SUMIF('DADOS BRUTOS'!$A$3:$A$500,$C34,'DADOS BRUTOS'!BM$3:BM$500)))</f>
        <v/>
      </c>
      <c r="EN34" s="125">
        <f>IF(OR(EN$4="",$B34=""),0,SUMIF('DADOS BRUTOS'!$A$3:$A$500,$B34,'DADOS BRUTOS'!BN$3:BN$500)+IF($C34="",0,SUMIF('DADOS BRUTOS'!$A$3:$A$500,$C34,'DADOS BRUTOS'!BN$3:BN$500)))</f>
        <v/>
      </c>
      <c r="EO34" s="125">
        <f>IF(OR(EO$4="",$B34=""),0,SUMIF('DADOS BRUTOS'!$A$3:$A$500,$B34,'DADOS BRUTOS'!BO$3:BO$500)+IF($C34="",0,SUMIF('DADOS BRUTOS'!$A$3:$A$500,$C34,'DADOS BRUTOS'!BO$3:BO$500)))</f>
        <v/>
      </c>
      <c r="EP34" s="125">
        <f>IF(OR(EP$4="",$B34=""),0,SUMIF('DADOS BRUTOS'!$A$3:$A$500,$B34,'DADOS BRUTOS'!BP$3:BP$500)+IF($C34="",0,SUMIF('DADOS BRUTOS'!$A$3:$A$500,$C34,'DADOS BRUTOS'!BP$3:BP$500)))</f>
        <v/>
      </c>
      <c r="EQ34" s="125">
        <f>IF(OR(EQ$4="",$B34=""),0,SUMIF('DADOS BRUTOS'!$A$3:$A$500,$B34,'DADOS BRUTOS'!BQ$3:BQ$500)+IF($C34="",0,SUMIF('DADOS BRUTOS'!$A$3:$A$500,$C34,'DADOS BRUTOS'!BQ$3:BQ$500)))</f>
        <v/>
      </c>
      <c r="ER34" s="125">
        <f>IF(OR(ER$4="",$B34=""),0,SUMIF('DADOS BRUTOS'!$A$3:$A$500,$B34,'DADOS BRUTOS'!BR$3:BR$500)+IF($C34="",0,SUMIF('DADOS BRUTOS'!$A$3:$A$500,$C34,'DADOS BRUTOS'!BR$3:BR$500)))</f>
        <v/>
      </c>
      <c r="ES34" s="125">
        <f>IF(OR(ES$4="",$B34=""),0,SUMIF('DADOS BRUTOS'!$A$3:$A$500,$B34,'DADOS BRUTOS'!BS$3:BS$500)+IF($C34="",0,SUMIF('DADOS BRUTOS'!$A$3:$A$500,$C34,'DADOS BRUTOS'!BS$3:BS$500)))</f>
        <v/>
      </c>
      <c r="ET34" s="125">
        <f>IF(OR(ET$4="",$B34=""),0,SUMIF('DADOS BRUTOS'!$A$3:$A$500,$B34,'DADOS BRUTOS'!BT$3:BT$500)+IF($C34="",0,SUMIF('DADOS BRUTOS'!$A$3:$A$500,$C34,'DADOS BRUTOS'!BT$3:BT$500)))</f>
        <v/>
      </c>
      <c r="EU34" s="125">
        <f>IF(OR(EU$4="",$B34=""),0,SUMIF('DADOS BRUTOS'!$A$3:$A$500,$B34,'DADOS BRUTOS'!BU$3:BU$500)+IF($C34="",0,SUMIF('DADOS BRUTOS'!$A$3:$A$500,$C34,'DADOS BRUTOS'!BU$3:BU$500)))</f>
        <v/>
      </c>
      <c r="EV34" s="125">
        <f>IF(OR(EV$4="",$B34=""),0,SUMIF('DADOS BRUTOS'!$A$3:$A$500,$B34,'DADOS BRUTOS'!BV$3:BV$500)+IF($C34="",0,SUMIF('DADOS BRUTOS'!$A$3:$A$500,$C34,'DADOS BRUTOS'!BV$3:BV$500)))</f>
        <v/>
      </c>
      <c r="EW34" s="125">
        <f>IF(OR(EW$4="",$B34=""),0,SUMIF('DADOS BRUTOS'!$A$3:$A$500,$B34,'DADOS BRUTOS'!BW$3:BW$500)+IF($C34="",0,SUMIF('DADOS BRUTOS'!$A$3:$A$500,$C34,'DADOS BRUTOS'!BW$3:BW$500)))</f>
        <v/>
      </c>
      <c r="EX34" s="125">
        <f>IF(OR(EX$4="",$B34=""),0,SUMIF('DADOS BRUTOS'!$A$3:$A$500,$B34,'DADOS BRUTOS'!BX$3:BX$500)+IF($C34="",0,SUMIF('DADOS BRUTOS'!$A$3:$A$500,$C34,'DADOS BRUTOS'!BX$3:BX$500)))</f>
        <v/>
      </c>
      <c r="EY34" s="125">
        <f>IF(OR(EY$4="",$B34=""),0,SUMIF('DADOS BRUTOS'!$A$3:$A$500,$B34,'DADOS BRUTOS'!BY$3:BY$500)+IF($C34="",0,SUMIF('DADOS BRUTOS'!$A$3:$A$500,$C34,'DADOS BRUTOS'!BY$3:BY$500)))</f>
        <v/>
      </c>
      <c r="EZ34" s="125">
        <f>IF(OR(EZ$4="",$B34=""),0,SUMIF('DADOS BRUTOS'!$A$3:$A$500,$B34,'DADOS BRUTOS'!BZ$3:BZ$500)+IF($C34="",0,SUMIF('DADOS BRUTOS'!$A$3:$A$500,$C34,'DADOS BRUTOS'!BZ$3:BZ$500)))</f>
        <v/>
      </c>
      <c r="FA34" s="125">
        <f>IF(OR(FA$4="",$B34=""),0,SUMIF('DADOS BRUTOS'!$A$3:$A$500,$B34,'DADOS BRUTOS'!CA$3:CA$500)+IF($C34="",0,SUMIF('DADOS BRUTOS'!$A$3:$A$500,$C34,'DADOS BRUTOS'!CA$3:CA$500)))</f>
        <v/>
      </c>
      <c r="FB34" s="125">
        <f>IF(OR(FB$4="",$B34=""),0,SUMIF('DADOS BRUTOS'!$A$3:$A$500,$B34,'DADOS BRUTOS'!CB$3:CB$500)+IF($C34="",0,SUMIF('DADOS BRUTOS'!$A$3:$A$500,$C34,'DADOS BRUTOS'!CB$3:CB$500)))</f>
        <v/>
      </c>
      <c r="FC34" s="125">
        <f>IF(OR(FC$4="",$B34=""),0,SUMIF('DADOS BRUTOS'!$A$3:$A$500,$B34,'DADOS BRUTOS'!CC$3:CC$500)+IF($C34="",0,SUMIF('DADOS BRUTOS'!$A$3:$A$500,$C34,'DADOS BRUTOS'!CC$3:CC$500)))</f>
        <v/>
      </c>
      <c r="FD34" s="125">
        <f>IF(OR(FD$4="",$B34=""),0,SUMIF('DADOS BRUTOS'!$A$3:$A$500,$B34,'DADOS BRUTOS'!CD$3:CD$500)+IF($C34="",0,SUMIF('DADOS BRUTOS'!$A$3:$A$500,$C34,'DADOS BRUTOS'!CD$3:CD$500)))</f>
        <v/>
      </c>
      <c r="FE34" s="125">
        <f>IF(OR(FE$4="",$B34=""),0,SUMIF('DADOS BRUTOS'!$A$3:$A$500,$B34,'DADOS BRUTOS'!CE$3:CE$500)+IF($C34="",0,SUMIF('DADOS BRUTOS'!$A$3:$A$500,$C34,'DADOS BRUTOS'!CE$3:CE$500)))</f>
        <v/>
      </c>
      <c r="FF34" s="125">
        <f>IF(OR(FF$4="",$B34=""),0,SUMIF('DADOS BRUTOS'!$A$3:$A$500,$B34,'DADOS BRUTOS'!CF$3:CF$500)+IF($C34="",0,SUMIF('DADOS BRUTOS'!$A$3:$A$500,$C34,'DADOS BRUTOS'!CF$3:CF$500)))</f>
        <v/>
      </c>
      <c r="FG34" s="125">
        <f>IF(OR(FG$4="",$B34=""),0,SUMIF('DADOS BRUTOS'!$A$3:$A$500,$B34,'DADOS BRUTOS'!CG$3:CG$500)+IF($C34="",0,SUMIF('DADOS BRUTOS'!$A$3:$A$500,$C34,'DADOS BRUTOS'!CG$3:CG$500)))</f>
        <v/>
      </c>
      <c r="FH34" s="125">
        <f>IF(OR(FH$4="",$B34=""),0,SUMIF('DADOS BRUTOS'!$A$3:$A$500,$B34,'DADOS BRUTOS'!CH$3:CH$500)+IF($C34="",0,SUMIF('DADOS BRUTOS'!$A$3:$A$500,$C34,'DADOS BRUTOS'!CH$3:CH$500)))</f>
        <v/>
      </c>
      <c r="FI34" s="125">
        <f>IF(OR(FI$4="",$B34=""),0,SUMIF('DADOS BRUTOS'!$A$3:$A$500,$B34,'DADOS BRUTOS'!CI$3:CI$500)+IF($C34="",0,SUMIF('DADOS BRUTOS'!$A$3:$A$500,$C34,'DADOS BRUTOS'!CI$3:CI$500)))</f>
        <v/>
      </c>
      <c r="FJ34" s="125">
        <f>IF(OR(FJ$4="",$B34=""),0,SUMIF('DADOS BRUTOS'!$A$3:$A$500,$B34,'DADOS BRUTOS'!CJ$3:CJ$500)+IF($C34="",0,SUMIF('DADOS BRUTOS'!$A$3:$A$500,$C34,'DADOS BRUTOS'!CJ$3:CJ$500)))</f>
        <v/>
      </c>
      <c r="FK34" s="125">
        <f>IF(OR(FK$4="",$B34=""),0,SUMIF('DADOS BRUTOS'!$A$3:$A$500,$B34,'DADOS BRUTOS'!CK$3:CK$500)+IF($C34="",0,SUMIF('DADOS BRUTOS'!$A$3:$A$500,$C34,'DADOS BRUTOS'!CK$3:CK$500)))</f>
        <v/>
      </c>
      <c r="FL34" s="125">
        <f>IF(OR(FL$4="",$B34=""),0,SUMIF('DADOS BRUTOS'!$A$3:$A$500,$B34,'DADOS BRUTOS'!CL$3:CL$500)+IF($C34="",0,SUMIF('DADOS BRUTOS'!$A$3:$A$500,$C34,'DADOS BRUTOS'!CL$3:CL$500)))</f>
        <v/>
      </c>
      <c r="FM34" s="125">
        <f>IF(OR(FM$4="",$B34=""),0,SUMIF('DADOS BRUTOS'!$A$3:$A$500,$B34,'DADOS BRUTOS'!CM$3:CM$500)+IF($C34="",0,SUMIF('DADOS BRUTOS'!$A$3:$A$500,$C34,'DADOS BRUTOS'!CM$3:CM$500)))</f>
        <v/>
      </c>
      <c r="FN34" s="125">
        <f>IF(OR(FN$4="",$B34=""),0,SUMIF('DADOS BRUTOS'!$A$3:$A$500,$B34,'DADOS BRUTOS'!CN$3:CN$500)+IF($C34="",0,SUMIF('DADOS BRUTOS'!$A$3:$A$500,$C34,'DADOS BRUTOS'!CN$3:CN$500)))</f>
        <v/>
      </c>
      <c r="FO34" s="125">
        <f>IF(OR(FO$4="",$B34=""),0,SUMIF('DADOS BRUTOS'!$A$3:$A$500,$B34,'DADOS BRUTOS'!CO$3:CO$500)+IF($C34="",0,SUMIF('DADOS BRUTOS'!$A$3:$A$500,$C34,'DADOS BRUTOS'!CO$3:CO$500)))</f>
        <v/>
      </c>
      <c r="FP34" s="125">
        <f>IF(OR(FP$4="",$B34=""),0,SUMIF('DADOS BRUTOS'!$A$3:$A$500,$B34,'DADOS BRUTOS'!CP$3:CP$500)+IF($C34="",0,SUMIF('DADOS BRUTOS'!$A$3:$A$500,$C34,'DADOS BRUTOS'!CP$3:CP$500)))</f>
        <v/>
      </c>
      <c r="FQ34" s="125">
        <f>IF(OR(FQ$4="",$B34=""),0,SUMIF('DADOS BRUTOS'!$A$3:$A$500,$B34,'DADOS BRUTOS'!CQ$3:CQ$500)+IF($C34="",0,SUMIF('DADOS BRUTOS'!$A$3:$A$500,$C34,'DADOS BRUTOS'!CQ$3:CQ$500)))</f>
        <v/>
      </c>
      <c r="FR34" s="125">
        <f>IF(OR(FR$4="",$B34=""),0,SUMIF('DADOS BRUTOS'!$A$3:$A$500,$B34,'DADOS BRUTOS'!CR$3:CR$500)+IF($C34="",0,SUMIF('DADOS BRUTOS'!$A$3:$A$500,$C34,'DADOS BRUTOS'!CR$3:CR$500)))</f>
        <v/>
      </c>
      <c r="FS34" s="125">
        <f>IF(OR(FS$4="",$B34=""),0,SUMIF('DADOS BRUTOS'!$A$3:$A$500,$B34,'DADOS BRUTOS'!CS$3:CS$500)+IF($C34="",0,SUMIF('DADOS BRUTOS'!$A$3:$A$500,$C34,'DADOS BRUTOS'!CS$3:CS$500)))</f>
        <v/>
      </c>
      <c r="FT34" s="125">
        <f>IF(OR(FT$4="",$B34=""),0,SUMIF('DADOS BRUTOS'!$A$3:$A$500,$B34,'DADOS BRUTOS'!CT$3:CT$500)+IF($C34="",0,SUMIF('DADOS BRUTOS'!$A$3:$A$500,$C34,'DADOS BRUTOS'!CT$3:CT$500)))</f>
        <v/>
      </c>
      <c r="FU34" s="125">
        <f>IF(OR(FU$4="",$B34=""),0,SUMIF('DADOS BRUTOS'!$A$3:$A$500,$B34,'DADOS BRUTOS'!CU$3:CU$500)+IF($C34="",0,SUMIF('DADOS BRUTOS'!$A$3:$A$500,$C34,'DADOS BRUTOS'!CU$3:CU$500)))</f>
        <v/>
      </c>
      <c r="FV34" s="125">
        <f>IF(OR(FV$4="",$B34=""),0,SUMIF('DADOS BRUTOS'!$A$3:$A$500,$B34,'DADOS BRUTOS'!CV$3:CV$500)+IF($C34="",0,SUMIF('DADOS BRUTOS'!$A$3:$A$500,$C34,'DADOS BRUTOS'!CV$3:CV$500)))</f>
        <v/>
      </c>
      <c r="FW34" s="125">
        <f>IF(OR(FW$4="",$B34=""),0,SUMIF('DADOS BRUTOS'!$A$3:$A$500,$B34,'DADOS BRUTOS'!CW$3:CW$500)+IF($C34="",0,SUMIF('DADOS BRUTOS'!$A$3:$A$500,$C34,'DADOS BRUTOS'!CW$3:CW$500)))</f>
        <v/>
      </c>
      <c r="FX34" s="125">
        <f>IF(OR(FX$4="",$B34=""),0,SUMIF('DADOS BRUTOS'!$A$3:$A$500,$B34,'DADOS BRUTOS'!CX$3:CX$500)+IF($C34="",0,SUMIF('DADOS BRUTOS'!$A$3:$A$500,$C34,'DADOS BRUTOS'!CX$3:CX$500)))</f>
        <v/>
      </c>
      <c r="FY34" s="125">
        <f>IF(OR(FY$4="",$B34=""),0,SUMIF('DADOS BRUTOS'!$A$3:$A$500,$B34,'DADOS BRUTOS'!CY$3:CY$500)+IF($C34="",0,SUMIF('DADOS BRUTOS'!$A$3:$A$500,$C34,'DADOS BRUTOS'!CY$3:CY$500)))</f>
        <v/>
      </c>
      <c r="FZ34" s="125">
        <f>IF(OR(FZ$4="",$B34=""),0,SUMIF('DADOS BRUTOS'!$A$3:$A$500,$B34,'DADOS BRUTOS'!CZ$3:CZ$500)+IF($C34="",0,SUMIF('DADOS BRUTOS'!$A$3:$A$500,$C34,'DADOS BRUTOS'!CZ$3:CZ$500)))</f>
        <v/>
      </c>
      <c r="GA34" s="125">
        <f>IF(OR(GA$4="",$B34=""),0,SUMIF('DADOS BRUTOS'!$A$3:$A$500,$B34,'DADOS BRUTOS'!DA$3:DA$500)+IF($C34="",0,SUMIF('DADOS BRUTOS'!$A$3:$A$500,$C34,'DADOS BRUTOS'!DA$3:DA$500)))</f>
        <v/>
      </c>
      <c r="GB34" s="125">
        <f>IF(OR(GB$4="",$B34=""),0,SUMIF('DADOS BRUTOS'!$A$3:$A$500,$B34,'DADOS BRUTOS'!DB$3:DB$500)+IF($C34="",0,SUMIF('DADOS BRUTOS'!$A$3:$A$500,$C34,'DADOS BRUTOS'!DB$3:DB$500)))</f>
        <v/>
      </c>
      <c r="GC34" s="125">
        <f>IF(OR(GC$4="",$B34=""),0,SUMIF('DADOS BRUTOS'!$A$3:$A$500,$B34,'DADOS BRUTOS'!DC$3:DC$500)+IF($C34="",0,SUMIF('DADOS BRUTOS'!$A$3:$A$500,$C34,'DADOS BRUTOS'!DC$3:DC$500)))</f>
        <v/>
      </c>
      <c r="GD34" s="125">
        <f>IF(OR(GD$4="",$B34=""),0,SUMIF('DADOS BRUTOS'!$A$3:$A$500,$B34,'DADOS BRUTOS'!DD$3:DD$500)+IF($C34="",0,SUMIF('DADOS BRUTOS'!$A$3:$A$500,$C34,'DADOS BRUTOS'!DD$3:DD$500)))</f>
        <v/>
      </c>
      <c r="GE34" s="125">
        <f>IF(OR(GE$4="",$B34=""),0,SUMIF('DADOS BRUTOS'!$A$3:$A$500,$B34,'DADOS BRUTOS'!DE$3:DE$500)+IF($C34="",0,SUMIF('DADOS BRUTOS'!$A$3:$A$500,$C34,'DADOS BRUTOS'!DE$3:DE$500)))</f>
        <v/>
      </c>
      <c r="GF34" s="125">
        <f>IF(OR(GF$4="",$B34=""),0,SUMIF('DADOS BRUTOS'!$A$3:$A$500,$B34,'DADOS BRUTOS'!DF$3:DF$500)+IF($C34="",0,SUMIF('DADOS BRUTOS'!$A$3:$A$500,$C34,'DADOS BRUTOS'!DF$3:DF$500)))</f>
        <v/>
      </c>
      <c r="GG34" s="125">
        <f>IF(OR(GG$4="",$B34=""),0,SUMIF('DADOS BRUTOS'!$A$3:$A$500,$B34,'DADOS BRUTOS'!DG$3:DG$500)+IF($C34="",0,SUMIF('DADOS BRUTOS'!$A$3:$A$500,$C34,'DADOS BRUTOS'!DG$3:DG$500)))</f>
        <v/>
      </c>
      <c r="GH34" s="125">
        <f>IF(OR(GH$4="",$B34=""),0,SUMIF('DADOS BRUTOS'!$A$3:$A$500,$B34,'DADOS BRUTOS'!DH$3:DH$500)+IF($C34="",0,SUMIF('DADOS BRUTOS'!$A$3:$A$500,$C34,'DADOS BRUTOS'!DH$3:DH$500)))</f>
        <v/>
      </c>
      <c r="GI34" s="125">
        <f>IF(OR(GI$4="",$B34=""),0,SUMIF('DADOS BRUTOS'!$A$3:$A$500,$B34,'DADOS BRUTOS'!DI$3:DI$500)+IF($C34="",0,SUMIF('DADOS BRUTOS'!$A$3:$A$500,$C34,'DADOS BRUTOS'!DI$3:DI$500)))</f>
        <v/>
      </c>
      <c r="GJ34" s="125">
        <f>IF(OR(GJ$4="",$B34=""),0,SUMIF('DADOS BRUTOS'!$A$3:$A$500,$B34,'DADOS BRUTOS'!DJ$3:DJ$500)+IF($C34="",0,SUMIF('DADOS BRUTOS'!$A$3:$A$500,$C34,'DADOS BRUTOS'!DJ$3:DJ$500)))</f>
        <v/>
      </c>
      <c r="GK34" s="125">
        <f>IF(OR(GK$4="",$B34=""),0,SUMIF('DADOS BRUTOS'!$A$3:$A$500,$B34,'DADOS BRUTOS'!DK$3:DK$500)+IF($C34="",0,SUMIF('DADOS BRUTOS'!$A$3:$A$500,$C34,'DADOS BRUTOS'!DK$3:DK$500)))</f>
        <v/>
      </c>
      <c r="GL34" s="125">
        <f>IF(OR(GL$4="",$B34=""),0,SUMIF('DADOS BRUTOS'!$A$3:$A$500,$B34,'DADOS BRUTOS'!DL$3:DL$500)+IF($C34="",0,SUMIF('DADOS BRUTOS'!$A$3:$A$500,$C34,'DADOS BRUTOS'!DL$3:DL$500)))</f>
        <v/>
      </c>
      <c r="GM34" s="125">
        <f>IF(OR(GM$4="",$B34=""),0,SUMIF('DADOS BRUTOS'!$A$3:$A$500,$B34,'DADOS BRUTOS'!DM$3:DM$500)+IF($C34="",0,SUMIF('DADOS BRUTOS'!$A$3:$A$500,$C34,'DADOS BRUTOS'!DM$3:DM$500)))</f>
        <v/>
      </c>
      <c r="GN34" s="125">
        <f>IF(OR(GN$4="",$B34=""),0,SUMIF('DADOS BRUTOS'!$A$3:$A$500,$B34,'DADOS BRUTOS'!DN$3:DN$500)+IF($C34="",0,SUMIF('DADOS BRUTOS'!$A$3:$A$500,$C34,'DADOS BRUTOS'!DN$3:DN$500)))</f>
        <v/>
      </c>
      <c r="GO34" s="125">
        <f>IF(OR(GO$4="",$B34=""),0,SUMIF('DADOS BRUTOS'!$A$3:$A$500,$B34,'DADOS BRUTOS'!DO$3:DO$500)+IF($C34="",0,SUMIF('DADOS BRUTOS'!$A$3:$A$500,$C34,'DADOS BRUTOS'!DO$3:DO$500)))</f>
        <v/>
      </c>
      <c r="GP34" s="125">
        <f>IF(OR(GP$4="",$B34=""),0,SUMIF('DADOS BRUTOS'!$A$3:$A$500,$B34,'DADOS BRUTOS'!DP$3:DP$500)+IF($C34="",0,SUMIF('DADOS BRUTOS'!$A$3:$A$500,$C34,'DADOS BRUTOS'!DP$3:DP$500)))</f>
        <v/>
      </c>
      <c r="GQ34" s="125">
        <f>IF(OR(GQ$4="",$B34=""),0,SUMIF('DADOS BRUTOS'!$A$3:$A$500,$B34,'DADOS BRUTOS'!DQ$3:DQ$500)+IF($C34="",0,SUMIF('DADOS BRUTOS'!$A$3:$A$500,$C34,'DADOS BRUTOS'!DQ$3:DQ$500)))</f>
        <v/>
      </c>
      <c r="GR34" s="125">
        <f>IF(OR(GR$4="",$B34=""),0,SUMIF('DADOS BRUTOS'!$A$3:$A$500,$B34,'DADOS BRUTOS'!DR$3:DR$500)+IF($C34="",0,SUMIF('DADOS BRUTOS'!$A$3:$A$500,$C34,'DADOS BRUTOS'!DR$3:DR$500)))</f>
        <v/>
      </c>
      <c r="GS34" s="125">
        <f>IF(OR(GS$4="",$B34=""),0,SUMIF('DADOS BRUTOS'!$A$3:$A$500,$B34,'DADOS BRUTOS'!DS$3:DS$500)+IF($C34="",0,SUMIF('DADOS BRUTOS'!$A$3:$A$500,$C34,'DADOS BRUTOS'!DS$3:DS$500)))</f>
        <v/>
      </c>
      <c r="GT34" s="125">
        <f>IF(OR(GT$4="",$B34=""),0,SUMIF('DADOS BRUTOS'!$A$3:$A$500,$B34,'DADOS BRUTOS'!DT$3:DT$500)+IF($C34="",0,SUMIF('DADOS BRUTOS'!$A$3:$A$500,$C34,'DADOS BRUTOS'!DT$3:DT$500)))</f>
        <v/>
      </c>
      <c r="GU34" s="125">
        <f>IF(OR(GU$4="",$B34=""),0,SUMIF('DADOS BRUTOS'!$A$3:$A$500,$B34,'DADOS BRUTOS'!DU$3:DU$500)+IF($C34="",0,SUMIF('DADOS BRUTOS'!$A$3:$A$500,$C34,'DADOS BRUTOS'!DU$3:DU$500)))</f>
        <v/>
      </c>
      <c r="GV34" s="125">
        <f>IF(OR(GV$4="",$B34=""),0,SUMIF('DADOS BRUTOS'!$A$3:$A$500,$B34,'DADOS BRUTOS'!DV$3:DV$500)+IF($C34="",0,SUMIF('DADOS BRUTOS'!$A$3:$A$500,$C34,'DADOS BRUTOS'!DV$3:DV$500)))</f>
        <v/>
      </c>
      <c r="GW34" s="125">
        <f>IF(OR(GW$4="",$B34=""),0,SUMIF('DADOS BRUTOS'!$A$3:$A$500,$B34,'DADOS BRUTOS'!DW$3:DW$500)+IF($C34="",0,SUMIF('DADOS BRUTOS'!$A$3:$A$500,$C34,'DADOS BRUTOS'!DW$3:DW$500)))</f>
        <v/>
      </c>
      <c r="GX34" s="125">
        <f>IF(OR(GX$4="",$B34=""),0,SUMIF('DADOS BRUTOS'!$A$3:$A$500,$B34,'DADOS BRUTOS'!DX$3:DX$500)+IF($C34="",0,SUMIF('DADOS BRUTOS'!$A$3:$A$500,$C34,'DADOS BRUTOS'!DX$3:DX$500)))</f>
        <v/>
      </c>
      <c r="GY34" s="125">
        <f>IF(OR(GY$4="",$B34=""),0,SUMIF('DADOS BRUTOS'!$A$3:$A$500,$B34,'DADOS BRUTOS'!DY$3:DY$500)+IF($C34="",0,SUMIF('DADOS BRUTOS'!$A$3:$A$500,$C34,'DADOS BRUTOS'!DY$3:DY$500)))</f>
        <v/>
      </c>
      <c r="GZ34" s="125">
        <f>IF(OR(GZ$4="",$B34=""),0,SUMIF('DADOS BRUTOS'!$A$3:$A$500,$B34,'DADOS BRUTOS'!DZ$3:DZ$500)+IF($C34="",0,SUMIF('DADOS BRUTOS'!$A$3:$A$500,$C34,'DADOS BRUTOS'!DZ$3:DZ$500)))</f>
        <v/>
      </c>
      <c r="HA34" s="125">
        <f>IF(OR(HA$4="",$B34=""),0,SUMIF('DADOS BRUTOS'!$A$3:$A$500,$B34,'DADOS BRUTOS'!EA$3:EA$500)+IF($C34="",0,SUMIF('DADOS BRUTOS'!$A$3:$A$500,$C34,'DADOS BRUTOS'!EA$3:EA$500)))</f>
        <v/>
      </c>
      <c r="HB34" s="125">
        <f>IF(OR(HB$4="",$B34=""),0,SUMIF('DADOS BRUTOS'!$A$3:$A$500,$B34,'DADOS BRUTOS'!EB$3:EB$500)+IF($C34="",0,SUMIF('DADOS BRUTOS'!$A$3:$A$500,$C34,'DADOS BRUTOS'!EB$3:EB$500)))</f>
        <v/>
      </c>
      <c r="HC34" s="125">
        <f>IF(OR(HC$4="",$B34=""),0,SUMIF('DADOS BRUTOS'!$A$3:$A$500,$B34,'DADOS BRUTOS'!EC$3:EC$500)+IF($C34="",0,SUMIF('DADOS BRUTOS'!$A$3:$A$500,$C34,'DADOS BRUTOS'!EC$3:EC$500)))</f>
        <v/>
      </c>
      <c r="HD34" s="125">
        <f>IF(OR(HD$4="",$B34=""),0,SUMIF('DADOS BRUTOS'!$A$3:$A$500,$B34,'DADOS BRUTOS'!ED$3:ED$500)+IF($C34="",0,SUMIF('DADOS BRUTOS'!$A$3:$A$500,$C34,'DADOS BRUTOS'!ED$3:ED$500)))</f>
        <v/>
      </c>
      <c r="HE34" s="125">
        <f>IF(OR(HE$4="",$B34=""),0,SUMIF('DADOS BRUTOS'!$A$3:$A$500,$B34,'DADOS BRUTOS'!EE$3:EE$500)+IF($C34="",0,SUMIF('DADOS BRUTOS'!$A$3:$A$500,$C34,'DADOS BRUTOS'!EE$3:EE$500)))</f>
        <v/>
      </c>
      <c r="HF34" s="125">
        <f>IF(OR(HF$4="",$B34=""),0,SUMIF('DADOS BRUTOS'!$A$3:$A$500,$B34,'DADOS BRUTOS'!EF$3:EF$500)+IF($C34="",0,SUMIF('DADOS BRUTOS'!$A$3:$A$500,$C34,'DADOS BRUTOS'!EF$3:EF$500)))</f>
        <v/>
      </c>
      <c r="HG34" s="125">
        <f>IF(OR(HG$4="",$B34=""),0,SUMIF('DADOS BRUTOS'!$A$3:$A$500,$B34,'DADOS BRUTOS'!EG$3:EG$500)+IF($C34="",0,SUMIF('DADOS BRUTOS'!$A$3:$A$500,$C34,'DADOS BRUTOS'!EG$3:EG$500)))</f>
        <v/>
      </c>
      <c r="HH34" s="125">
        <f>IF(OR(HH$4="",$B34=""),0,SUMIF('DADOS BRUTOS'!$A$3:$A$500,$B34,'DADOS BRUTOS'!EH$3:EH$500)+IF($C34="",0,SUMIF('DADOS BRUTOS'!$A$3:$A$500,$C34,'DADOS BRUTOS'!EH$3:EH$500)))</f>
        <v/>
      </c>
      <c r="HI34" s="125">
        <f>IF(OR(HI$4="",$B34=""),0,SUMIF('DADOS BRUTOS'!$A$3:$A$500,$B34,'DADOS BRUTOS'!EI$3:EI$500)+IF($C34="",0,SUMIF('DADOS BRUTOS'!$A$3:$A$500,$C34,'DADOS BRUTOS'!EI$3:EI$500)))</f>
        <v/>
      </c>
      <c r="HJ34" s="125">
        <f>IF(OR(HJ$4="",$B34=""),0,SUMIF('DADOS BRUTOS'!$A$3:$A$500,$B34,'DADOS BRUTOS'!EJ$3:EJ$500)+IF($C34="",0,SUMIF('DADOS BRUTOS'!$A$3:$A$500,$C34,'DADOS BRUTOS'!EJ$3:EJ$500)))</f>
        <v/>
      </c>
      <c r="HK34" s="125">
        <f>IF(OR(HK$4="",$B34=""),0,SUMIF('DADOS BRUTOS'!$A$3:$A$500,$B34,'DADOS BRUTOS'!EK$3:EK$500)+IF($C34="",0,SUMIF('DADOS BRUTOS'!$A$3:$A$500,$C34,'DADOS BRUTOS'!EK$3:EK$500)))</f>
        <v/>
      </c>
      <c r="HL34" s="125">
        <f>IF(OR(HL$4="",$B34=""),0,SUMIF('DADOS BRUTOS'!$A$3:$A$500,$B34,'DADOS BRUTOS'!EL$3:EL$500)+IF($C34="",0,SUMIF('DADOS BRUTOS'!$A$3:$A$500,$C34,'DADOS BRUTOS'!EL$3:EL$500)))</f>
        <v/>
      </c>
      <c r="HM34" s="125">
        <f>IF(OR(HM$4="",$B34=""),0,SUMIF('DADOS BRUTOS'!$A$3:$A$500,$B34,'DADOS BRUTOS'!EM$3:EM$500)+IF($C34="",0,SUMIF('DADOS BRUTOS'!$A$3:$A$500,$C34,'DADOS BRUTOS'!EM$3:EM$500)))</f>
        <v/>
      </c>
      <c r="HN34" s="125">
        <f>IF(OR(HN$4="",$B34=""),0,SUMIF('DADOS BRUTOS'!$A$3:$A$500,$B34,'DADOS BRUTOS'!EN$3:EN$500)+IF($C34="",0,SUMIF('DADOS BRUTOS'!$A$3:$A$500,$C34,'DADOS BRUTOS'!EN$3:EN$500)))</f>
        <v/>
      </c>
      <c r="HO34" s="125">
        <f>IF(OR(HO$4="",$B34=""),0,SUMIF('DADOS BRUTOS'!$A$3:$A$500,$B34,'DADOS BRUTOS'!EO$3:EO$500)+IF($C34="",0,SUMIF('DADOS BRUTOS'!$A$3:$A$500,$C34,'DADOS BRUTOS'!EO$3:EO$500)))</f>
        <v/>
      </c>
      <c r="HP34" s="125">
        <f>IF(OR(HP$4="",$B34=""),0,SUMIF('DADOS BRUTOS'!$A$3:$A$500,$B34,'DADOS BRUTOS'!EP$3:EP$500)+IF($C34="",0,SUMIF('DADOS BRUTOS'!$A$3:$A$500,$C34,'DADOS BRUTOS'!EP$3:EP$500)))</f>
        <v/>
      </c>
      <c r="HQ34" s="125">
        <f>IF(OR(HQ$4="",$B34=""),0,SUMIF('DADOS BRUTOS'!$A$3:$A$500,$B34,'DADOS BRUTOS'!EQ$3:EQ$500)+IF($C34="",0,SUMIF('DADOS BRUTOS'!$A$3:$A$500,$C34,'DADOS BRUTOS'!EQ$3:EQ$500)))</f>
        <v/>
      </c>
      <c r="HR34" s="125">
        <f>IF(OR(HR$4="",$B34=""),0,SUMIF('DADOS BRUTOS'!$A$3:$A$500,$B34,'DADOS BRUTOS'!ER$3:ER$500)+IF($C34="",0,SUMIF('DADOS BRUTOS'!$A$3:$A$500,$C34,'DADOS BRUTOS'!ER$3:ER$500)))</f>
        <v/>
      </c>
      <c r="HS34" s="125">
        <f>IF(OR(HS$4="",$B34=""),0,SUMIF('DADOS BRUTOS'!$A$3:$A$500,$B34,'DADOS BRUTOS'!ES$3:ES$500)+IF($C34="",0,SUMIF('DADOS BRUTOS'!$A$3:$A$500,$C34,'DADOS BRUTOS'!ES$3:ES$500)))</f>
        <v/>
      </c>
      <c r="HT34" s="125">
        <f>IF(OR(HT$4="",$B34=""),0,SUMIF('DADOS BRUTOS'!$A$3:$A$500,$B34,'DADOS BRUTOS'!ET$3:ET$500)+IF($C34="",0,SUMIF('DADOS BRUTOS'!$A$3:$A$500,$C34,'DADOS BRUTOS'!ET$3:ET$500)))</f>
        <v/>
      </c>
      <c r="HU34" s="125">
        <f>IF(OR(HU$4="",$B34=""),0,SUMIF('DADOS BRUTOS'!$A$3:$A$500,$B34,'DADOS BRUTOS'!EU$3:EU$500)+IF($C34="",0,SUMIF('DADOS BRUTOS'!$A$3:$A$500,$C34,'DADOS BRUTOS'!EU$3:EU$500)))</f>
        <v/>
      </c>
      <c r="HV34" s="125">
        <f>IF(OR(HV$4="",$B34=""),0,SUMIF('DADOS BRUTOS'!$A$3:$A$500,$B34,'DADOS BRUTOS'!EV$3:EV$500)+IF($C34="",0,SUMIF('DADOS BRUTOS'!$A$3:$A$500,$C34,'DADOS BRUTOS'!EV$3:EV$500)))</f>
        <v/>
      </c>
      <c r="HW34" s="125">
        <f>IF(OR(HW$4="",$B34=""),0,SUMIF('DADOS BRUTOS'!$A$3:$A$500,$B34,'DADOS BRUTOS'!EW$3:EW$500)+IF($C34="",0,SUMIF('DADOS BRUTOS'!$A$3:$A$500,$C34,'DADOS BRUTOS'!EW$3:EW$500)))</f>
        <v/>
      </c>
      <c r="HX34" s="125">
        <f>IF(OR(HX$4="",$B34=""),0,SUMIF('DADOS BRUTOS'!$A$3:$A$500,$B34,'DADOS BRUTOS'!EX$3:EX$500)+IF($C34="",0,SUMIF('DADOS BRUTOS'!$A$3:$A$500,$C34,'DADOS BRUTOS'!EX$3:EX$500)))</f>
        <v/>
      </c>
      <c r="HY34" s="125">
        <f>IF(OR(HY$4="",$B34=""),0,SUMIF('DADOS BRUTOS'!$A$3:$A$500,$B34,'DADOS BRUTOS'!EY$3:EY$500)+IF($C34="",0,SUMIF('DADOS BRUTOS'!$A$3:$A$500,$C34,'DADOS BRUTOS'!EY$3:EY$500)))</f>
        <v/>
      </c>
      <c r="HZ34" s="125">
        <f>IF(OR(HZ$4="",$B34=""),0,SUMIF('DADOS BRUTOS'!$A$3:$A$500,$B34,'DADOS BRUTOS'!EZ$3:EZ$500)+IF($C34="",0,SUMIF('DADOS BRUTOS'!$A$3:$A$500,$C34,'DADOS BRUTOS'!EZ$3:EZ$500)))</f>
        <v/>
      </c>
      <c r="IA34" s="125">
        <f>IF(OR(IA$4="",$B34=""),0,SUMIF('DADOS BRUTOS'!$A$3:$A$500,$B34,'DADOS BRUTOS'!FA$3:FA$500)+IF($C34="",0,SUMIF('DADOS BRUTOS'!$A$3:$A$500,$C34,'DADOS BRUTOS'!FA$3:FA$500)))</f>
        <v/>
      </c>
      <c r="IB34" s="125">
        <f>IF(OR(IB$4="",$B34=""),0,SUMIF('DADOS BRUTOS'!$A$3:$A$500,$B34,'DADOS BRUTOS'!FB$3:FB$500)+IF($C34="",0,SUMIF('DADOS BRUTOS'!$A$3:$A$500,$C34,'DADOS BRUTOS'!FB$3:FB$500)))</f>
        <v/>
      </c>
      <c r="IC34" s="125">
        <f>IF(OR(IC$4="",$B34=""),0,SUMIF('DADOS BRUTOS'!$A$3:$A$500,$B34,'DADOS BRUTOS'!FC$3:FC$500)+IF($C34="",0,SUMIF('DADOS BRUTOS'!$A$3:$A$500,$C34,'DADOS BRUTOS'!FC$3:FC$500)))</f>
        <v/>
      </c>
      <c r="ID34" s="125">
        <f>IF(OR(ID$4="",$B34=""),0,SUMIF('DADOS BRUTOS'!$A$3:$A$500,$B34,'DADOS BRUTOS'!FD$3:FD$500)+IF($C34="",0,SUMIF('DADOS BRUTOS'!$A$3:$A$500,$C34,'DADOS BRUTOS'!FD$3:FD$500)))</f>
        <v/>
      </c>
      <c r="IE34" s="125">
        <f>IF(OR(IE$4="",$B34=""),0,SUMIF('DADOS BRUTOS'!$A$3:$A$500,$B34,'DADOS BRUTOS'!FE$3:FE$500)+IF($C34="",0,SUMIF('DADOS BRUTOS'!$A$3:$A$500,$C34,'DADOS BRUTOS'!FE$3:FE$500)))</f>
        <v/>
      </c>
      <c r="IF34" s="125">
        <f>IF(OR(IF$4="",$B34=""),0,SUMIF('DADOS BRUTOS'!$A$3:$A$500,$B34,'DADOS BRUTOS'!FF$3:FF$500)+IF($C34="",0,SUMIF('DADOS BRUTOS'!$A$3:$A$500,$C34,'DADOS BRUTOS'!FF$3:FF$500)))</f>
        <v/>
      </c>
      <c r="IG34" s="125">
        <f>IF(OR(IG$4="",$B34=""),0,SUMIF('DADOS BRUTOS'!$A$3:$A$500,$B34,'DADOS BRUTOS'!FG$3:FG$500)+IF($C34="",0,SUMIF('DADOS BRUTOS'!$A$3:$A$500,$C34,'DADOS BRUTOS'!FG$3:FG$500)))</f>
        <v/>
      </c>
      <c r="IH34" s="125">
        <f>IF(OR(IH$4="",$B34=""),0,SUMIF('DADOS BRUTOS'!$A$3:$A$500,$B34,'DADOS BRUTOS'!FH$3:FH$500)+IF($C34="",0,SUMIF('DADOS BRUTOS'!$A$3:$A$500,$C34,'DADOS BRUTOS'!FH$3:FH$500)))</f>
        <v/>
      </c>
      <c r="II34" s="125">
        <f>IF(OR(II$4="",$B34=""),0,SUMIF('DADOS BRUTOS'!$A$3:$A$500,$B34,'DADOS BRUTOS'!FI$3:FI$500)+IF($C34="",0,SUMIF('DADOS BRUTOS'!$A$3:$A$500,$C34,'DADOS BRUTOS'!FI$3:FI$500)))</f>
        <v/>
      </c>
      <c r="IJ34" s="125">
        <f>IF(OR(IJ$4="",$B34=""),0,SUMIF('DADOS BRUTOS'!$A$3:$A$500,$B34,'DADOS BRUTOS'!FJ$3:FJ$500)+IF($C34="",0,SUMIF('DADOS BRUTOS'!$A$3:$A$500,$C34,'DADOS BRUTOS'!FJ$3:FJ$500)))</f>
        <v/>
      </c>
      <c r="IK34" s="125">
        <f>IF(OR(IK$4="",$B34=""),0,SUMIF('DADOS BRUTOS'!$A$3:$A$500,$B34,'DADOS BRUTOS'!FK$3:FK$500)+IF($C34="",0,SUMIF('DADOS BRUTOS'!$A$3:$A$500,$C34,'DADOS BRUTOS'!FK$3:FK$500)))</f>
        <v/>
      </c>
      <c r="IL34" s="125">
        <f>IF(OR(IL$4="",$B34=""),0,SUMIF('DADOS BRUTOS'!$A$3:$A$500,$B34,'DADOS BRUTOS'!FL$3:FL$500)+IF($C34="",0,SUMIF('DADOS BRUTOS'!$A$3:$A$500,$C34,'DADOS BRUTOS'!FL$3:FL$500)))</f>
        <v/>
      </c>
      <c r="IM34" s="125">
        <f>IF(OR(IM$4="",$B34=""),0,SUMIF('DADOS BRUTOS'!$A$3:$A$500,$B34,'DADOS BRUTOS'!FM$3:FM$500)+IF($C34="",0,SUMIF('DADOS BRUTOS'!$A$3:$A$500,$C34,'DADOS BRUTOS'!FM$3:FM$500)))</f>
        <v/>
      </c>
      <c r="IN34" s="125">
        <f>IF(OR(IN$4="",$B34=""),0,SUMIF('DADOS BRUTOS'!$A$3:$A$500,$B34,'DADOS BRUTOS'!FN$3:FN$500)+IF($C34="",0,SUMIF('DADOS BRUTOS'!$A$3:$A$500,$C34,'DADOS BRUTOS'!FN$3:FN$500)))</f>
        <v/>
      </c>
      <c r="IO34" s="125">
        <f>IF(OR(IO$4="",$B34=""),0,SUMIF('DADOS BRUTOS'!$A$3:$A$500,$B34,'DADOS BRUTOS'!FO$3:FO$500)+IF($C34="",0,SUMIF('DADOS BRUTOS'!$A$3:$A$500,$C34,'DADOS BRUTOS'!FO$3:FO$500)))</f>
        <v/>
      </c>
      <c r="IP34" s="125">
        <f>IF(OR(IP$4="",$B34=""),0,SUMIF('DADOS BRUTOS'!$A$3:$A$500,$B34,'DADOS BRUTOS'!FP$3:FP$500)+IF($C34="",0,SUMIF('DADOS BRUTOS'!$A$3:$A$500,$C34,'DADOS BRUTOS'!FP$3:FP$500)))</f>
        <v/>
      </c>
      <c r="IQ34" s="125">
        <f>IF(OR(IQ$4="",$B34=""),0,SUMIF('DADOS BRUTOS'!$A$3:$A$500,$B34,'DADOS BRUTOS'!FQ$3:FQ$500)+IF($C34="",0,SUMIF('DADOS BRUTOS'!$A$3:$A$500,$C34,'DADOS BRUTOS'!FQ$3:FQ$500)))</f>
        <v/>
      </c>
      <c r="IR34" s="125">
        <f>IF(OR(IR$4="",$B34=""),0,SUMIF('DADOS BRUTOS'!$A$3:$A$500,$B34,'DADOS BRUTOS'!FR$3:FR$500)+IF($C34="",0,SUMIF('DADOS BRUTOS'!$A$3:$A$500,$C34,'DADOS BRUTOS'!FR$3:FR$500)))</f>
        <v/>
      </c>
      <c r="IS34" s="125">
        <f>IF(OR(IS$4="",$B34=""),0,SUMIF('DADOS BRUTOS'!$A$3:$A$500,$B34,'DADOS BRUTOS'!FS$3:FS$500)+IF($C34="",0,SUMIF('DADOS BRUTOS'!$A$3:$A$500,$C34,'DADOS BRUTOS'!FS$3:FS$500)))</f>
        <v/>
      </c>
      <c r="IT34" s="125">
        <f>IF(OR(IT$4="",$B34=""),0,SUMIF('DADOS BRUTOS'!$A$3:$A$500,$B34,'DADOS BRUTOS'!FT$3:FT$500)+IF($C34="",0,SUMIF('DADOS BRUTOS'!$A$3:$A$500,$C34,'DADOS BRUTOS'!FT$3:FT$500)))</f>
        <v/>
      </c>
      <c r="IU34" s="125">
        <f>IF(OR(IU$4="",$B34=""),0,SUMIF('DADOS BRUTOS'!$A$3:$A$500,$B34,'DADOS BRUTOS'!FU$3:FU$500)+IF($C34="",0,SUMIF('DADOS BRUTOS'!$A$3:$A$500,$C34,'DADOS BRUTOS'!FU$3:FU$500)))</f>
        <v/>
      </c>
      <c r="IV34" s="125">
        <f>IF(OR(IV$4="",$B34=""),0,SUMIF('DADOS BRUTOS'!$A$3:$A$500,$B34,'DADOS BRUTOS'!FV$3:FV$500)+IF($C34="",0,SUMIF('DADOS BRUTOS'!$A$3:$A$500,$C34,'DADOS BRUTOS'!FV$3:FV$500)))</f>
        <v/>
      </c>
      <c r="IW34" s="125">
        <f>IF(OR(IW$4="",$B34=""),0,SUMIF('DADOS BRUTOS'!$A$3:$A$500,$B34,'DADOS BRUTOS'!FW$3:FW$500)+IF($C34="",0,SUMIF('DADOS BRUTOS'!$A$3:$A$500,$C34,'DADOS BRUTOS'!FW$3:FW$500)))</f>
        <v/>
      </c>
      <c r="IX34" s="125">
        <f>IF(OR(IX$4="",$B34=""),0,SUMIF('DADOS BRUTOS'!$A$3:$A$500,$B34,'DADOS BRUTOS'!FX$3:FX$500)+IF($C34="",0,SUMIF('DADOS BRUTOS'!$A$3:$A$500,$C34,'DADOS BRUTOS'!FX$3:FX$500)))</f>
        <v/>
      </c>
      <c r="IY34" s="125">
        <f>IF(OR(IY$4="",$B34=""),0,SUMIF('DADOS BRUTOS'!$A$3:$A$500,$B34,'DADOS BRUTOS'!FY$3:FY$500)+IF($C34="",0,SUMIF('DADOS BRUTOS'!$A$3:$A$500,$C34,'DADOS BRUTOS'!FY$3:FY$500)))</f>
        <v/>
      </c>
      <c r="IZ34" s="125">
        <f>IF(OR(IZ$4="",$B34=""),0,SUMIF('DADOS BRUTOS'!$A$3:$A$500,$B34,'DADOS BRUTOS'!FZ$3:FZ$500)+IF($C34="",0,SUMIF('DADOS BRUTOS'!$A$3:$A$500,$C34,'DADOS BRUTOS'!FZ$3:FZ$500)))</f>
        <v/>
      </c>
      <c r="JA34" s="125">
        <f>IF(OR(JA$4="",$B34=""),0,SUMIF('DADOS BRUTOS'!$A$3:$A$500,$B34,'DADOS BRUTOS'!GA$3:GA$500)+IF($C34="",0,SUMIF('DADOS BRUTOS'!$A$3:$A$500,$C34,'DADOS BRUTOS'!GA$3:GA$500)))</f>
        <v/>
      </c>
      <c r="JB34" s="125">
        <f>IF(OR(JB$4="",$B34=""),0,SUMIF('DADOS BRUTOS'!$A$3:$A$500,$B34,'DADOS BRUTOS'!GB$3:GB$500)+IF($C34="",0,SUMIF('DADOS BRUTOS'!$A$3:$A$500,$C34,'DADOS BRUTOS'!GB$3:GB$500)))</f>
        <v/>
      </c>
      <c r="JC34" s="125">
        <f>IF(OR(JC$4="",$B34=""),0,SUMIF('DADOS BRUTOS'!$A$3:$A$500,$B34,'DADOS BRUTOS'!GC$3:GC$500)+IF($C34="",0,SUMIF('DADOS BRUTOS'!$A$3:$A$500,$C34,'DADOS BRUTOS'!GC$3:GC$500)))</f>
        <v/>
      </c>
      <c r="JD34" s="125">
        <f>IF(OR(JD$4="",$B34=""),0,SUMIF('DADOS BRUTOS'!$A$3:$A$500,$B34,'DADOS BRUTOS'!GD$3:GD$500)+IF($C34="",0,SUMIF('DADOS BRUTOS'!$A$3:$A$500,$C34,'DADOS BRUTOS'!GD$3:GD$500)))</f>
        <v/>
      </c>
      <c r="JE34" s="125">
        <f>IF(OR(JE$4="",$B34=""),0,SUMIF('DADOS BRUTOS'!$A$3:$A$500,$B34,'DADOS BRUTOS'!GE$3:GE$500)+IF($C34="",0,SUMIF('DADOS BRUTOS'!$A$3:$A$500,$C34,'DADOS BRUTOS'!GE$3:GE$500)))</f>
        <v/>
      </c>
      <c r="JF34" s="125">
        <f>IF(OR(JF$4="",$B34=""),0,SUMIF('DADOS BRUTOS'!$A$3:$A$500,$B34,'DADOS BRUTOS'!GF$3:GF$500)+IF($C34="",0,SUMIF('DADOS BRUTOS'!$A$3:$A$500,$C34,'DADOS BRUTOS'!GF$3:GF$500)))</f>
        <v/>
      </c>
      <c r="JG34" s="125">
        <f>IF(OR(JG$4="",$B34=""),0,SUMIF('DADOS BRUTOS'!$A$3:$A$500,$B34,'DADOS BRUTOS'!GG$3:GG$500)+IF($C34="",0,SUMIF('DADOS BRUTOS'!$A$3:$A$500,$C34,'DADOS BRUTOS'!GG$3:GG$500)))</f>
        <v/>
      </c>
      <c r="JH34" s="125">
        <f>IF(OR(JH$4="",$B34=""),0,SUMIF('DADOS BRUTOS'!$A$3:$A$500,$B34,'DADOS BRUTOS'!GH$3:GH$500)+IF($C34="",0,SUMIF('DADOS BRUTOS'!$A$3:$A$500,$C34,'DADOS BRUTOS'!GH$3:GH$500)))</f>
        <v/>
      </c>
      <c r="JI34" s="125">
        <f>IF(OR(JI$4="",$B34=""),0,SUMIF('DADOS BRUTOS'!$A$3:$A$500,$B34,'DADOS BRUTOS'!GI$3:GI$500)+IF($C34="",0,SUMIF('DADOS BRUTOS'!$A$3:$A$500,$C34,'DADOS BRUTOS'!GI$3:GI$500)))</f>
        <v/>
      </c>
      <c r="JJ34" s="125">
        <f>IF(OR(JJ$4="",$B34=""),0,SUMIF('DADOS BRUTOS'!$A$3:$A$500,$B34,'DADOS BRUTOS'!GJ$3:GJ$500)+IF($C34="",0,SUMIF('DADOS BRUTOS'!$A$3:$A$500,$C34,'DADOS BRUTOS'!GJ$3:GJ$500)))</f>
        <v/>
      </c>
      <c r="JK34" s="125">
        <f>IF(OR(JK$4="",$B34=""),0,SUMIF('DADOS BRUTOS'!$A$3:$A$500,$B34,'DADOS BRUTOS'!GK$3:GK$500)+IF($C34="",0,SUMIF('DADOS BRUTOS'!$A$3:$A$500,$C34,'DADOS BRUTOS'!GK$3:GK$500)))</f>
        <v/>
      </c>
      <c r="JL34" s="125">
        <f>IF(OR(JL$4="",$B34=""),0,SUMIF('DADOS BRUTOS'!$A$3:$A$500,$B34,'DADOS BRUTOS'!GL$3:GL$500)+IF($C34="",0,SUMIF('DADOS BRUTOS'!$A$3:$A$500,$C34,'DADOS BRUTOS'!GL$3:GL$500)))</f>
        <v/>
      </c>
      <c r="JM34" s="125">
        <f>IF(OR(JM$4="",$B34=""),0,SUMIF('DADOS BRUTOS'!$A$3:$A$500,$B34,'DADOS BRUTOS'!GM$3:GM$500)+IF($C34="",0,SUMIF('DADOS BRUTOS'!$A$3:$A$500,$C34,'DADOS BRUTOS'!GM$3:GM$500)))</f>
        <v/>
      </c>
      <c r="JN34" s="125">
        <f>IF(OR(JN$4="",$B34=""),0,SUMIF('DADOS BRUTOS'!$A$3:$A$500,$B34,'DADOS BRUTOS'!GN$3:GN$500)+IF($C34="",0,SUMIF('DADOS BRUTOS'!$A$3:$A$500,$C34,'DADOS BRUTOS'!GN$3:GN$500)))</f>
        <v/>
      </c>
      <c r="JO34" s="125">
        <f>IF(OR(JO$4="",$B34=""),0,SUMIF('DADOS BRUTOS'!$A$3:$A$500,$B34,'DADOS BRUTOS'!GO$3:GO$500)+IF($C34="",0,SUMIF('DADOS BRUTOS'!$A$3:$A$500,$C34,'DADOS BRUTOS'!GO$3:GO$500)))</f>
        <v/>
      </c>
      <c r="JP34" s="125">
        <f>IF(OR(JP$4="",$B34=""),0,SUMIF('DADOS BRUTOS'!$A$3:$A$500,$B34,'DADOS BRUTOS'!GP$3:GP$500)+IF($C34="",0,SUMIF('DADOS BRUTOS'!$A$3:$A$500,$C34,'DADOS BRUTOS'!GP$3:GP$500)))</f>
        <v/>
      </c>
      <c r="JQ34" s="125">
        <f>IF(OR(JQ$4="",$B34=""),0,SUMIF('DADOS BRUTOS'!$A$3:$A$500,$B34,'DADOS BRUTOS'!GQ$3:GQ$500)+IF($C34="",0,SUMIF('DADOS BRUTOS'!$A$3:$A$500,$C34,'DADOS BRUTOS'!GQ$3:GQ$500)))</f>
        <v/>
      </c>
      <c r="JR34" s="125">
        <f>IF(OR(JR$4="",$B34=""),0,SUMIF('DADOS BRUTOS'!$A$3:$A$500,$B34,'DADOS BRUTOS'!GR$3:GR$500)+IF($C34="",0,SUMIF('DADOS BRUTOS'!$A$3:$A$500,$C34,'DADOS BRUTOS'!GR$3:GR$500)))</f>
        <v/>
      </c>
      <c r="JS34" s="125">
        <f>IF(OR(JS$4="",$B34=""),0,SUMIF('DADOS BRUTOS'!$A$3:$A$500,$B34,'DADOS BRUTOS'!GS$3:GS$500)+IF($C34="",0,SUMIF('DADOS BRUTOS'!$A$3:$A$500,$C34,'DADOS BRUTOS'!GS$3:GS$500)))</f>
        <v/>
      </c>
    </row>
    <row r="35">
      <c r="A35" s="61">
        <f>'VALOR POR PL'!D41</f>
        <v/>
      </c>
      <c r="B35" s="59" t="inlineStr">
        <is>
          <t>ESTRUTURA METÁLICA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BZ35" s="49">
        <f>SUMPRODUCT(($CB$4:$JS$4&lt;&gt;"")*($CB$4:$JS$4&lt;=$D$4),$CB35:$JS35,$CB$1:$JS$1)</f>
        <v/>
      </c>
      <c r="CB35" s="125">
        <f>IF(OR(CB$4="",$B35=""),0,SUMIF('DADOS BRUTOS'!$A$3:$A$500,$B35,'DADOS BRUTOS'!B$3:B$500)+IF($C35="",0,SUMIF('DADOS BRUTOS'!$A$3:$A$500,$C35,'DADOS BRUTOS'!B$3:B$500)))</f>
        <v/>
      </c>
      <c r="CC35" s="125">
        <f>IF(OR(CC$4="",$B35=""),0,SUMIF('DADOS BRUTOS'!$A$3:$A$500,$B35,'DADOS BRUTOS'!C$3:C$500)+IF($C35="",0,SUMIF('DADOS BRUTOS'!$A$3:$A$500,$C35,'DADOS BRUTOS'!C$3:C$500)))</f>
        <v/>
      </c>
      <c r="CD35" s="125">
        <f>IF(OR(CD$4="",$B35=""),0,SUMIF('DADOS BRUTOS'!$A$3:$A$500,$B35,'DADOS BRUTOS'!D$3:D$500)+IF($C35="",0,SUMIF('DADOS BRUTOS'!$A$3:$A$500,$C35,'DADOS BRUTOS'!D$3:D$500)))</f>
        <v/>
      </c>
      <c r="CE35" s="125">
        <f>IF(OR(CE$4="",$B35=""),0,SUMIF('DADOS BRUTOS'!$A$3:$A$500,$B35,'DADOS BRUTOS'!E$3:E$500)+IF($C35="",0,SUMIF('DADOS BRUTOS'!$A$3:$A$500,$C35,'DADOS BRUTOS'!E$3:E$500)))</f>
        <v/>
      </c>
      <c r="CF35" s="125">
        <f>IF(OR(CF$4="",$B35=""),0,SUMIF('DADOS BRUTOS'!$A$3:$A$500,$B35,'DADOS BRUTOS'!F$3:F$500)+IF($C35="",0,SUMIF('DADOS BRUTOS'!$A$3:$A$500,$C35,'DADOS BRUTOS'!F$3:F$500)))</f>
        <v/>
      </c>
      <c r="CG35" s="125">
        <f>IF(OR(CG$4="",$B35=""),0,SUMIF('DADOS BRUTOS'!$A$3:$A$500,$B35,'DADOS BRUTOS'!G$3:G$500)+IF($C35="",0,SUMIF('DADOS BRUTOS'!$A$3:$A$500,$C35,'DADOS BRUTOS'!G$3:G$500)))</f>
        <v/>
      </c>
      <c r="CH35" s="125">
        <f>IF(OR(CH$4="",$B35=""),0,SUMIF('DADOS BRUTOS'!$A$3:$A$500,$B35,'DADOS BRUTOS'!H$3:H$500)+IF($C35="",0,SUMIF('DADOS BRUTOS'!$A$3:$A$500,$C35,'DADOS BRUTOS'!H$3:H$500)))</f>
        <v/>
      </c>
      <c r="CI35" s="125">
        <f>IF(OR(CI$4="",$B35=""),0,SUMIF('DADOS BRUTOS'!$A$3:$A$500,$B35,'DADOS BRUTOS'!I$3:I$500)+IF($C35="",0,SUMIF('DADOS BRUTOS'!$A$3:$A$500,$C35,'DADOS BRUTOS'!I$3:I$500)))</f>
        <v/>
      </c>
      <c r="CJ35" s="125">
        <f>IF(OR(CJ$4="",$B35=""),0,SUMIF('DADOS BRUTOS'!$A$3:$A$500,$B35,'DADOS BRUTOS'!J$3:J$500)+IF($C35="",0,SUMIF('DADOS BRUTOS'!$A$3:$A$500,$C35,'DADOS BRUTOS'!J$3:J$500)))</f>
        <v/>
      </c>
      <c r="CK35" s="125">
        <f>IF(OR(CK$4="",$B35=""),0,SUMIF('DADOS BRUTOS'!$A$3:$A$500,$B35,'DADOS BRUTOS'!K$3:K$500)+IF($C35="",0,SUMIF('DADOS BRUTOS'!$A$3:$A$500,$C35,'DADOS BRUTOS'!K$3:K$500)))</f>
        <v/>
      </c>
      <c r="CL35" s="125">
        <f>IF(OR(CL$4="",$B35=""),0,SUMIF('DADOS BRUTOS'!$A$3:$A$500,$B35,'DADOS BRUTOS'!L$3:L$500)+IF($C35="",0,SUMIF('DADOS BRUTOS'!$A$3:$A$500,$C35,'DADOS BRUTOS'!L$3:L$500)))</f>
        <v/>
      </c>
      <c r="CM35" s="125">
        <f>IF(OR(CM$4="",$B35=""),0,SUMIF('DADOS BRUTOS'!$A$3:$A$500,$B35,'DADOS BRUTOS'!M$3:M$500)+IF($C35="",0,SUMIF('DADOS BRUTOS'!$A$3:$A$500,$C35,'DADOS BRUTOS'!M$3:M$500)))</f>
        <v/>
      </c>
      <c r="CN35" s="125">
        <f>IF(OR(CN$4="",$B35=""),0,SUMIF('DADOS BRUTOS'!$A$3:$A$500,$B35,'DADOS BRUTOS'!N$3:N$500)+IF($C35="",0,SUMIF('DADOS BRUTOS'!$A$3:$A$500,$C35,'DADOS BRUTOS'!N$3:N$500)))</f>
        <v/>
      </c>
      <c r="CO35" s="125">
        <f>IF(OR(CO$4="",$B35=""),0,SUMIF('DADOS BRUTOS'!$A$3:$A$500,$B35,'DADOS BRUTOS'!O$3:O$500)+IF($C35="",0,SUMIF('DADOS BRUTOS'!$A$3:$A$500,$C35,'DADOS BRUTOS'!O$3:O$500)))</f>
        <v/>
      </c>
      <c r="CP35" s="125">
        <f>IF(OR(CP$4="",$B35=""),0,SUMIF('DADOS BRUTOS'!$A$3:$A$500,$B35,'DADOS BRUTOS'!P$3:P$500)+IF($C35="",0,SUMIF('DADOS BRUTOS'!$A$3:$A$500,$C35,'DADOS BRUTOS'!P$3:P$500)))</f>
        <v/>
      </c>
      <c r="CQ35" s="125">
        <f>IF(OR(CQ$4="",$B35=""),0,SUMIF('DADOS BRUTOS'!$A$3:$A$500,$B35,'DADOS BRUTOS'!Q$3:Q$500)+IF($C35="",0,SUMIF('DADOS BRUTOS'!$A$3:$A$500,$C35,'DADOS BRUTOS'!Q$3:Q$500)))</f>
        <v/>
      </c>
      <c r="CR35" s="125">
        <f>IF(OR(CR$4="",$B35=""),0,SUMIF('DADOS BRUTOS'!$A$3:$A$500,$B35,'DADOS BRUTOS'!R$3:R$500)+IF($C35="",0,SUMIF('DADOS BRUTOS'!$A$3:$A$500,$C35,'DADOS BRUTOS'!R$3:R$500)))</f>
        <v/>
      </c>
      <c r="CS35" s="125">
        <f>IF(OR(CS$4="",$B35=""),0,SUMIF('DADOS BRUTOS'!$A$3:$A$500,$B35,'DADOS BRUTOS'!S$3:S$500)+IF($C35="",0,SUMIF('DADOS BRUTOS'!$A$3:$A$500,$C35,'DADOS BRUTOS'!S$3:S$500)))</f>
        <v/>
      </c>
      <c r="CT35" s="125">
        <f>IF(OR(CT$4="",$B35=""),0,SUMIF('DADOS BRUTOS'!$A$3:$A$500,$B35,'DADOS BRUTOS'!T$3:T$500)+IF($C35="",0,SUMIF('DADOS BRUTOS'!$A$3:$A$500,$C35,'DADOS BRUTOS'!T$3:T$500)))</f>
        <v/>
      </c>
      <c r="CU35" s="125">
        <f>IF(OR(CU$4="",$B35=""),0,SUMIF('DADOS BRUTOS'!$A$3:$A$500,$B35,'DADOS BRUTOS'!U$3:U$500)+IF($C35="",0,SUMIF('DADOS BRUTOS'!$A$3:$A$500,$C35,'DADOS BRUTOS'!U$3:U$500)))</f>
        <v/>
      </c>
      <c r="CV35" s="125">
        <f>IF(OR(CV$4="",$B35=""),0,SUMIF('DADOS BRUTOS'!$A$3:$A$500,$B35,'DADOS BRUTOS'!V$3:V$500)+IF($C35="",0,SUMIF('DADOS BRUTOS'!$A$3:$A$500,$C35,'DADOS BRUTOS'!V$3:V$500)))</f>
        <v/>
      </c>
      <c r="CW35" s="125">
        <f>IF(OR(CW$4="",$B35=""),0,SUMIF('DADOS BRUTOS'!$A$3:$A$500,$B35,'DADOS BRUTOS'!W$3:W$500)+IF($C35="",0,SUMIF('DADOS BRUTOS'!$A$3:$A$500,$C35,'DADOS BRUTOS'!W$3:W$500)))</f>
        <v/>
      </c>
      <c r="CX35" s="125">
        <f>IF(OR(CX$4="",$B35=""),0,SUMIF('DADOS BRUTOS'!$A$3:$A$500,$B35,'DADOS BRUTOS'!X$3:X$500)+IF($C35="",0,SUMIF('DADOS BRUTOS'!$A$3:$A$500,$C35,'DADOS BRUTOS'!X$3:X$500)))</f>
        <v/>
      </c>
      <c r="CY35" s="125">
        <f>IF(OR(CY$4="",$B35=""),0,SUMIF('DADOS BRUTOS'!$A$3:$A$500,$B35,'DADOS BRUTOS'!Y$3:Y$500)+IF($C35="",0,SUMIF('DADOS BRUTOS'!$A$3:$A$500,$C35,'DADOS BRUTOS'!Y$3:Y$500)))</f>
        <v/>
      </c>
      <c r="CZ35" s="125">
        <f>IF(OR(CZ$4="",$B35=""),0,SUMIF('DADOS BRUTOS'!$A$3:$A$500,$B35,'DADOS BRUTOS'!Z$3:Z$500)+IF($C35="",0,SUMIF('DADOS BRUTOS'!$A$3:$A$500,$C35,'DADOS BRUTOS'!Z$3:Z$500)))</f>
        <v/>
      </c>
      <c r="DA35" s="125">
        <f>IF(OR(DA$4="",$B35=""),0,SUMIF('DADOS BRUTOS'!$A$3:$A$500,$B35,'DADOS BRUTOS'!AA$3:AA$500)+IF($C35="",0,SUMIF('DADOS BRUTOS'!$A$3:$A$500,$C35,'DADOS BRUTOS'!AA$3:AA$500)))</f>
        <v/>
      </c>
      <c r="DB35" s="125">
        <f>IF(OR(DB$4="",$B35=""),0,SUMIF('DADOS BRUTOS'!$A$3:$A$500,$B35,'DADOS BRUTOS'!AB$3:AB$500)+IF($C35="",0,SUMIF('DADOS BRUTOS'!$A$3:$A$500,$C35,'DADOS BRUTOS'!AB$3:AB$500)))</f>
        <v/>
      </c>
      <c r="DC35" s="125">
        <f>IF(OR(DC$4="",$B35=""),0,SUMIF('DADOS BRUTOS'!$A$3:$A$500,$B35,'DADOS BRUTOS'!AC$3:AC$500)+IF($C35="",0,SUMIF('DADOS BRUTOS'!$A$3:$A$500,$C35,'DADOS BRUTOS'!AC$3:AC$500)))</f>
        <v/>
      </c>
      <c r="DD35" s="125">
        <f>IF(OR(DD$4="",$B35=""),0,SUMIF('DADOS BRUTOS'!$A$3:$A$500,$B35,'DADOS BRUTOS'!AD$3:AD$500)+IF($C35="",0,SUMIF('DADOS BRUTOS'!$A$3:$A$500,$C35,'DADOS BRUTOS'!AD$3:AD$500)))</f>
        <v/>
      </c>
      <c r="DE35" s="125">
        <f>IF(OR(DE$4="",$B35=""),0,SUMIF('DADOS BRUTOS'!$A$3:$A$500,$B35,'DADOS BRUTOS'!AE$3:AE$500)+IF($C35="",0,SUMIF('DADOS BRUTOS'!$A$3:$A$500,$C35,'DADOS BRUTOS'!AE$3:AE$500)))</f>
        <v/>
      </c>
      <c r="DF35" s="125">
        <f>IF(OR(DF$4="",$B35=""),0,SUMIF('DADOS BRUTOS'!$A$3:$A$500,$B35,'DADOS BRUTOS'!AF$3:AF$500)+IF($C35="",0,SUMIF('DADOS BRUTOS'!$A$3:$A$500,$C35,'DADOS BRUTOS'!AF$3:AF$500)))</f>
        <v/>
      </c>
      <c r="DG35" s="125">
        <f>IF(OR(DG$4="",$B35=""),0,SUMIF('DADOS BRUTOS'!$A$3:$A$500,$B35,'DADOS BRUTOS'!AG$3:AG$500)+IF($C35="",0,SUMIF('DADOS BRUTOS'!$A$3:$A$500,$C35,'DADOS BRUTOS'!AG$3:AG$500)))</f>
        <v/>
      </c>
      <c r="DH35" s="125">
        <f>IF(OR(DH$4="",$B35=""),0,SUMIF('DADOS BRUTOS'!$A$3:$A$500,$B35,'DADOS BRUTOS'!AH$3:AH$500)+IF($C35="",0,SUMIF('DADOS BRUTOS'!$A$3:$A$500,$C35,'DADOS BRUTOS'!AH$3:AH$500)))</f>
        <v/>
      </c>
      <c r="DI35" s="125">
        <f>IF(OR(DI$4="",$B35=""),0,SUMIF('DADOS BRUTOS'!$A$3:$A$500,$B35,'DADOS BRUTOS'!AI$3:AI$500)+IF($C35="",0,SUMIF('DADOS BRUTOS'!$A$3:$A$500,$C35,'DADOS BRUTOS'!AI$3:AI$500)))</f>
        <v/>
      </c>
      <c r="DJ35" s="125">
        <f>IF(OR(DJ$4="",$B35=""),0,SUMIF('DADOS BRUTOS'!$A$3:$A$500,$B35,'DADOS BRUTOS'!AJ$3:AJ$500)+IF($C35="",0,SUMIF('DADOS BRUTOS'!$A$3:$A$500,$C35,'DADOS BRUTOS'!AJ$3:AJ$500)))</f>
        <v/>
      </c>
      <c r="DK35" s="125">
        <f>IF(OR(DK$4="",$B35=""),0,SUMIF('DADOS BRUTOS'!$A$3:$A$500,$B35,'DADOS BRUTOS'!AK$3:AK$500)+IF($C35="",0,SUMIF('DADOS BRUTOS'!$A$3:$A$500,$C35,'DADOS BRUTOS'!AK$3:AK$500)))</f>
        <v/>
      </c>
      <c r="DL35" s="125">
        <f>IF(OR(DL$4="",$B35=""),0,SUMIF('DADOS BRUTOS'!$A$3:$A$500,$B35,'DADOS BRUTOS'!AL$3:AL$500)+IF($C35="",0,SUMIF('DADOS BRUTOS'!$A$3:$A$500,$C35,'DADOS BRUTOS'!AL$3:AL$500)))</f>
        <v/>
      </c>
      <c r="DM35" s="125">
        <f>IF(OR(DM$4="",$B35=""),0,SUMIF('DADOS BRUTOS'!$A$3:$A$500,$B35,'DADOS BRUTOS'!AM$3:AM$500)+IF($C35="",0,SUMIF('DADOS BRUTOS'!$A$3:$A$500,$C35,'DADOS BRUTOS'!AM$3:AM$500)))</f>
        <v/>
      </c>
      <c r="DN35" s="125">
        <f>IF(OR(DN$4="",$B35=""),0,SUMIF('DADOS BRUTOS'!$A$3:$A$500,$B35,'DADOS BRUTOS'!AN$3:AN$500)+IF($C35="",0,SUMIF('DADOS BRUTOS'!$A$3:$A$500,$C35,'DADOS BRUTOS'!AN$3:AN$500)))</f>
        <v/>
      </c>
      <c r="DO35" s="125">
        <f>IF(OR(DO$4="",$B35=""),0,SUMIF('DADOS BRUTOS'!$A$3:$A$500,$B35,'DADOS BRUTOS'!AO$3:AO$500)+IF($C35="",0,SUMIF('DADOS BRUTOS'!$A$3:$A$500,$C35,'DADOS BRUTOS'!AO$3:AO$500)))</f>
        <v/>
      </c>
      <c r="DP35" s="125">
        <f>IF(OR(DP$4="",$B35=""),0,SUMIF('DADOS BRUTOS'!$A$3:$A$500,$B35,'DADOS BRUTOS'!AP$3:AP$500)+IF($C35="",0,SUMIF('DADOS BRUTOS'!$A$3:$A$500,$C35,'DADOS BRUTOS'!AP$3:AP$500)))</f>
        <v/>
      </c>
      <c r="DQ35" s="125">
        <f>IF(OR(DQ$4="",$B35=""),0,SUMIF('DADOS BRUTOS'!$A$3:$A$500,$B35,'DADOS BRUTOS'!AQ$3:AQ$500)+IF($C35="",0,SUMIF('DADOS BRUTOS'!$A$3:$A$500,$C35,'DADOS BRUTOS'!AQ$3:AQ$500)))</f>
        <v/>
      </c>
      <c r="DR35" s="125">
        <f>IF(OR(DR$4="",$B35=""),0,SUMIF('DADOS BRUTOS'!$A$3:$A$500,$B35,'DADOS BRUTOS'!AR$3:AR$500)+IF($C35="",0,SUMIF('DADOS BRUTOS'!$A$3:$A$500,$C35,'DADOS BRUTOS'!AR$3:AR$500)))</f>
        <v/>
      </c>
      <c r="DS35" s="125">
        <f>IF(OR(DS$4="",$B35=""),0,SUMIF('DADOS BRUTOS'!$A$3:$A$500,$B35,'DADOS BRUTOS'!AS$3:AS$500)+IF($C35="",0,SUMIF('DADOS BRUTOS'!$A$3:$A$500,$C35,'DADOS BRUTOS'!AS$3:AS$500)))</f>
        <v/>
      </c>
      <c r="DT35" s="125">
        <f>IF(OR(DT$4="",$B35=""),0,SUMIF('DADOS BRUTOS'!$A$3:$A$500,$B35,'DADOS BRUTOS'!AT$3:AT$500)+IF($C35="",0,SUMIF('DADOS BRUTOS'!$A$3:$A$500,$C35,'DADOS BRUTOS'!AT$3:AT$500)))</f>
        <v/>
      </c>
      <c r="DU35" s="125">
        <f>IF(OR(DU$4="",$B35=""),0,SUMIF('DADOS BRUTOS'!$A$3:$A$500,$B35,'DADOS BRUTOS'!AU$3:AU$500)+IF($C35="",0,SUMIF('DADOS BRUTOS'!$A$3:$A$500,$C35,'DADOS BRUTOS'!AU$3:AU$500)))</f>
        <v/>
      </c>
      <c r="DV35" s="125">
        <f>IF(OR(DV$4="",$B35=""),0,SUMIF('DADOS BRUTOS'!$A$3:$A$500,$B35,'DADOS BRUTOS'!AV$3:AV$500)+IF($C35="",0,SUMIF('DADOS BRUTOS'!$A$3:$A$500,$C35,'DADOS BRUTOS'!AV$3:AV$500)))</f>
        <v/>
      </c>
      <c r="DW35" s="125">
        <f>IF(OR(DW$4="",$B35=""),0,SUMIF('DADOS BRUTOS'!$A$3:$A$500,$B35,'DADOS BRUTOS'!AW$3:AW$500)+IF($C35="",0,SUMIF('DADOS BRUTOS'!$A$3:$A$500,$C35,'DADOS BRUTOS'!AW$3:AW$500)))</f>
        <v/>
      </c>
      <c r="DX35" s="125">
        <f>IF(OR(DX$4="",$B35=""),0,SUMIF('DADOS BRUTOS'!$A$3:$A$500,$B35,'DADOS BRUTOS'!AX$3:AX$500)+IF($C35="",0,SUMIF('DADOS BRUTOS'!$A$3:$A$500,$C35,'DADOS BRUTOS'!AX$3:AX$500)))</f>
        <v/>
      </c>
      <c r="DY35" s="125">
        <f>IF(OR(DY$4="",$B35=""),0,SUMIF('DADOS BRUTOS'!$A$3:$A$500,$B35,'DADOS BRUTOS'!AY$3:AY$500)+IF($C35="",0,SUMIF('DADOS BRUTOS'!$A$3:$A$500,$C35,'DADOS BRUTOS'!AY$3:AY$500)))</f>
        <v/>
      </c>
      <c r="DZ35" s="125">
        <f>IF(OR(DZ$4="",$B35=""),0,SUMIF('DADOS BRUTOS'!$A$3:$A$500,$B35,'DADOS BRUTOS'!AZ$3:AZ$500)+IF($C35="",0,SUMIF('DADOS BRUTOS'!$A$3:$A$500,$C35,'DADOS BRUTOS'!AZ$3:AZ$500)))</f>
        <v/>
      </c>
      <c r="EA35" s="125">
        <f>IF(OR(EA$4="",$B35=""),0,SUMIF('DADOS BRUTOS'!$A$3:$A$500,$B35,'DADOS BRUTOS'!BA$3:BA$500)+IF($C35="",0,SUMIF('DADOS BRUTOS'!$A$3:$A$500,$C35,'DADOS BRUTOS'!BA$3:BA$500)))</f>
        <v/>
      </c>
      <c r="EB35" s="125">
        <f>IF(OR(EB$4="",$B35=""),0,SUMIF('DADOS BRUTOS'!$A$3:$A$500,$B35,'DADOS BRUTOS'!BB$3:BB$500)+IF($C35="",0,SUMIF('DADOS BRUTOS'!$A$3:$A$500,$C35,'DADOS BRUTOS'!BB$3:BB$500)))</f>
        <v/>
      </c>
      <c r="EC35" s="125">
        <f>IF(OR(EC$4="",$B35=""),0,SUMIF('DADOS BRUTOS'!$A$3:$A$500,$B35,'DADOS BRUTOS'!BC$3:BC$500)+IF($C35="",0,SUMIF('DADOS BRUTOS'!$A$3:$A$500,$C35,'DADOS BRUTOS'!BC$3:BC$500)))</f>
        <v/>
      </c>
      <c r="ED35" s="125">
        <f>IF(OR(ED$4="",$B35=""),0,SUMIF('DADOS BRUTOS'!$A$3:$A$500,$B35,'DADOS BRUTOS'!BD$3:BD$500)+IF($C35="",0,SUMIF('DADOS BRUTOS'!$A$3:$A$500,$C35,'DADOS BRUTOS'!BD$3:BD$500)))</f>
        <v/>
      </c>
      <c r="EE35" s="125">
        <f>IF(OR(EE$4="",$B35=""),0,SUMIF('DADOS BRUTOS'!$A$3:$A$500,$B35,'DADOS BRUTOS'!BE$3:BE$500)+IF($C35="",0,SUMIF('DADOS BRUTOS'!$A$3:$A$500,$C35,'DADOS BRUTOS'!BE$3:BE$500)))</f>
        <v/>
      </c>
      <c r="EF35" s="125">
        <f>IF(OR(EF$4="",$B35=""),0,SUMIF('DADOS BRUTOS'!$A$3:$A$500,$B35,'DADOS BRUTOS'!BF$3:BF$500)+IF($C35="",0,SUMIF('DADOS BRUTOS'!$A$3:$A$500,$C35,'DADOS BRUTOS'!BF$3:BF$500)))</f>
        <v/>
      </c>
      <c r="EG35" s="125">
        <f>IF(OR(EG$4="",$B35=""),0,SUMIF('DADOS BRUTOS'!$A$3:$A$500,$B35,'DADOS BRUTOS'!BG$3:BG$500)+IF($C35="",0,SUMIF('DADOS BRUTOS'!$A$3:$A$500,$C35,'DADOS BRUTOS'!BG$3:BG$500)))</f>
        <v/>
      </c>
      <c r="EH35" s="125">
        <f>IF(OR(EH$4="",$B35=""),0,SUMIF('DADOS BRUTOS'!$A$3:$A$500,$B35,'DADOS BRUTOS'!BH$3:BH$500)+IF($C35="",0,SUMIF('DADOS BRUTOS'!$A$3:$A$500,$C35,'DADOS BRUTOS'!BH$3:BH$500)))</f>
        <v/>
      </c>
      <c r="EI35" s="125">
        <f>IF(OR(EI$4="",$B35=""),0,SUMIF('DADOS BRUTOS'!$A$3:$A$500,$B35,'DADOS BRUTOS'!BI$3:BI$500)+IF($C35="",0,SUMIF('DADOS BRUTOS'!$A$3:$A$500,$C35,'DADOS BRUTOS'!BI$3:BI$500)))</f>
        <v/>
      </c>
      <c r="EJ35" s="125">
        <f>IF(OR(EJ$4="",$B35=""),0,SUMIF('DADOS BRUTOS'!$A$3:$A$500,$B35,'DADOS BRUTOS'!BJ$3:BJ$500)+IF($C35="",0,SUMIF('DADOS BRUTOS'!$A$3:$A$500,$C35,'DADOS BRUTOS'!BJ$3:BJ$500)))</f>
        <v/>
      </c>
      <c r="EK35" s="125">
        <f>IF(OR(EK$4="",$B35=""),0,SUMIF('DADOS BRUTOS'!$A$3:$A$500,$B35,'DADOS BRUTOS'!BK$3:BK$500)+IF($C35="",0,SUMIF('DADOS BRUTOS'!$A$3:$A$500,$C35,'DADOS BRUTOS'!BK$3:BK$500)))</f>
        <v/>
      </c>
      <c r="EL35" s="125">
        <f>IF(OR(EL$4="",$B35=""),0,SUMIF('DADOS BRUTOS'!$A$3:$A$500,$B35,'DADOS BRUTOS'!BL$3:BL$500)+IF($C35="",0,SUMIF('DADOS BRUTOS'!$A$3:$A$500,$C35,'DADOS BRUTOS'!BL$3:BL$500)))</f>
        <v/>
      </c>
      <c r="EM35" s="125">
        <f>IF(OR(EM$4="",$B35=""),0,SUMIF('DADOS BRUTOS'!$A$3:$A$500,$B35,'DADOS BRUTOS'!BM$3:BM$500)+IF($C35="",0,SUMIF('DADOS BRUTOS'!$A$3:$A$500,$C35,'DADOS BRUTOS'!BM$3:BM$500)))</f>
        <v/>
      </c>
      <c r="EN35" s="125">
        <f>IF(OR(EN$4="",$B35=""),0,SUMIF('DADOS BRUTOS'!$A$3:$A$500,$B35,'DADOS BRUTOS'!BN$3:BN$500)+IF($C35="",0,SUMIF('DADOS BRUTOS'!$A$3:$A$500,$C35,'DADOS BRUTOS'!BN$3:BN$500)))</f>
        <v/>
      </c>
      <c r="EO35" s="125">
        <f>IF(OR(EO$4="",$B35=""),0,SUMIF('DADOS BRUTOS'!$A$3:$A$500,$B35,'DADOS BRUTOS'!BO$3:BO$500)+IF($C35="",0,SUMIF('DADOS BRUTOS'!$A$3:$A$500,$C35,'DADOS BRUTOS'!BO$3:BO$500)))</f>
        <v/>
      </c>
      <c r="EP35" s="125">
        <f>IF(OR(EP$4="",$B35=""),0,SUMIF('DADOS BRUTOS'!$A$3:$A$500,$B35,'DADOS BRUTOS'!BP$3:BP$500)+IF($C35="",0,SUMIF('DADOS BRUTOS'!$A$3:$A$500,$C35,'DADOS BRUTOS'!BP$3:BP$500)))</f>
        <v/>
      </c>
      <c r="EQ35" s="125">
        <f>IF(OR(EQ$4="",$B35=""),0,SUMIF('DADOS BRUTOS'!$A$3:$A$500,$B35,'DADOS BRUTOS'!BQ$3:BQ$500)+IF($C35="",0,SUMIF('DADOS BRUTOS'!$A$3:$A$500,$C35,'DADOS BRUTOS'!BQ$3:BQ$500)))</f>
        <v/>
      </c>
      <c r="ER35" s="125">
        <f>IF(OR(ER$4="",$B35=""),0,SUMIF('DADOS BRUTOS'!$A$3:$A$500,$B35,'DADOS BRUTOS'!BR$3:BR$500)+IF($C35="",0,SUMIF('DADOS BRUTOS'!$A$3:$A$500,$C35,'DADOS BRUTOS'!BR$3:BR$500)))</f>
        <v/>
      </c>
      <c r="ES35" s="125">
        <f>IF(OR(ES$4="",$B35=""),0,SUMIF('DADOS BRUTOS'!$A$3:$A$500,$B35,'DADOS BRUTOS'!BS$3:BS$500)+IF($C35="",0,SUMIF('DADOS BRUTOS'!$A$3:$A$500,$C35,'DADOS BRUTOS'!BS$3:BS$500)))</f>
        <v/>
      </c>
      <c r="ET35" s="125">
        <f>IF(OR(ET$4="",$B35=""),0,SUMIF('DADOS BRUTOS'!$A$3:$A$500,$B35,'DADOS BRUTOS'!BT$3:BT$500)+IF($C35="",0,SUMIF('DADOS BRUTOS'!$A$3:$A$500,$C35,'DADOS BRUTOS'!BT$3:BT$500)))</f>
        <v/>
      </c>
      <c r="EU35" s="125">
        <f>IF(OR(EU$4="",$B35=""),0,SUMIF('DADOS BRUTOS'!$A$3:$A$500,$B35,'DADOS BRUTOS'!BU$3:BU$500)+IF($C35="",0,SUMIF('DADOS BRUTOS'!$A$3:$A$500,$C35,'DADOS BRUTOS'!BU$3:BU$500)))</f>
        <v/>
      </c>
      <c r="EV35" s="125">
        <f>IF(OR(EV$4="",$B35=""),0,SUMIF('DADOS BRUTOS'!$A$3:$A$500,$B35,'DADOS BRUTOS'!BV$3:BV$500)+IF($C35="",0,SUMIF('DADOS BRUTOS'!$A$3:$A$500,$C35,'DADOS BRUTOS'!BV$3:BV$500)))</f>
        <v/>
      </c>
      <c r="EW35" s="125">
        <f>IF(OR(EW$4="",$B35=""),0,SUMIF('DADOS BRUTOS'!$A$3:$A$500,$B35,'DADOS BRUTOS'!BW$3:BW$500)+IF($C35="",0,SUMIF('DADOS BRUTOS'!$A$3:$A$500,$C35,'DADOS BRUTOS'!BW$3:BW$500)))</f>
        <v/>
      </c>
      <c r="EX35" s="125">
        <f>IF(OR(EX$4="",$B35=""),0,SUMIF('DADOS BRUTOS'!$A$3:$A$500,$B35,'DADOS BRUTOS'!BX$3:BX$500)+IF($C35="",0,SUMIF('DADOS BRUTOS'!$A$3:$A$500,$C35,'DADOS BRUTOS'!BX$3:BX$500)))</f>
        <v/>
      </c>
      <c r="EY35" s="125">
        <f>IF(OR(EY$4="",$B35=""),0,SUMIF('DADOS BRUTOS'!$A$3:$A$500,$B35,'DADOS BRUTOS'!BY$3:BY$500)+IF($C35="",0,SUMIF('DADOS BRUTOS'!$A$3:$A$500,$C35,'DADOS BRUTOS'!BY$3:BY$500)))</f>
        <v/>
      </c>
      <c r="EZ35" s="125">
        <f>IF(OR(EZ$4="",$B35=""),0,SUMIF('DADOS BRUTOS'!$A$3:$A$500,$B35,'DADOS BRUTOS'!BZ$3:BZ$500)+IF($C35="",0,SUMIF('DADOS BRUTOS'!$A$3:$A$500,$C35,'DADOS BRUTOS'!BZ$3:BZ$500)))</f>
        <v/>
      </c>
      <c r="FA35" s="125">
        <f>IF(OR(FA$4="",$B35=""),0,SUMIF('DADOS BRUTOS'!$A$3:$A$500,$B35,'DADOS BRUTOS'!CA$3:CA$500)+IF($C35="",0,SUMIF('DADOS BRUTOS'!$A$3:$A$500,$C35,'DADOS BRUTOS'!CA$3:CA$500)))</f>
        <v/>
      </c>
      <c r="FB35" s="125">
        <f>IF(OR(FB$4="",$B35=""),0,SUMIF('DADOS BRUTOS'!$A$3:$A$500,$B35,'DADOS BRUTOS'!CB$3:CB$500)+IF($C35="",0,SUMIF('DADOS BRUTOS'!$A$3:$A$500,$C35,'DADOS BRUTOS'!CB$3:CB$500)))</f>
        <v/>
      </c>
      <c r="FC35" s="125">
        <f>IF(OR(FC$4="",$B35=""),0,SUMIF('DADOS BRUTOS'!$A$3:$A$500,$B35,'DADOS BRUTOS'!CC$3:CC$500)+IF($C35="",0,SUMIF('DADOS BRUTOS'!$A$3:$A$500,$C35,'DADOS BRUTOS'!CC$3:CC$500)))</f>
        <v/>
      </c>
      <c r="FD35" s="125">
        <f>IF(OR(FD$4="",$B35=""),0,SUMIF('DADOS BRUTOS'!$A$3:$A$500,$B35,'DADOS BRUTOS'!CD$3:CD$500)+IF($C35="",0,SUMIF('DADOS BRUTOS'!$A$3:$A$500,$C35,'DADOS BRUTOS'!CD$3:CD$500)))</f>
        <v/>
      </c>
      <c r="FE35" s="125">
        <f>IF(OR(FE$4="",$B35=""),0,SUMIF('DADOS BRUTOS'!$A$3:$A$500,$B35,'DADOS BRUTOS'!CE$3:CE$500)+IF($C35="",0,SUMIF('DADOS BRUTOS'!$A$3:$A$500,$C35,'DADOS BRUTOS'!CE$3:CE$500)))</f>
        <v/>
      </c>
      <c r="FF35" s="125">
        <f>IF(OR(FF$4="",$B35=""),0,SUMIF('DADOS BRUTOS'!$A$3:$A$500,$B35,'DADOS BRUTOS'!CF$3:CF$500)+IF($C35="",0,SUMIF('DADOS BRUTOS'!$A$3:$A$500,$C35,'DADOS BRUTOS'!CF$3:CF$500)))</f>
        <v/>
      </c>
      <c r="FG35" s="125">
        <f>IF(OR(FG$4="",$B35=""),0,SUMIF('DADOS BRUTOS'!$A$3:$A$500,$B35,'DADOS BRUTOS'!CG$3:CG$500)+IF($C35="",0,SUMIF('DADOS BRUTOS'!$A$3:$A$500,$C35,'DADOS BRUTOS'!CG$3:CG$500)))</f>
        <v/>
      </c>
      <c r="FH35" s="125">
        <f>IF(OR(FH$4="",$B35=""),0,SUMIF('DADOS BRUTOS'!$A$3:$A$500,$B35,'DADOS BRUTOS'!CH$3:CH$500)+IF($C35="",0,SUMIF('DADOS BRUTOS'!$A$3:$A$500,$C35,'DADOS BRUTOS'!CH$3:CH$500)))</f>
        <v/>
      </c>
      <c r="FI35" s="125">
        <f>IF(OR(FI$4="",$B35=""),0,SUMIF('DADOS BRUTOS'!$A$3:$A$500,$B35,'DADOS BRUTOS'!CI$3:CI$500)+IF($C35="",0,SUMIF('DADOS BRUTOS'!$A$3:$A$500,$C35,'DADOS BRUTOS'!CI$3:CI$500)))</f>
        <v/>
      </c>
      <c r="FJ35" s="125">
        <f>IF(OR(FJ$4="",$B35=""),0,SUMIF('DADOS BRUTOS'!$A$3:$A$500,$B35,'DADOS BRUTOS'!CJ$3:CJ$500)+IF($C35="",0,SUMIF('DADOS BRUTOS'!$A$3:$A$500,$C35,'DADOS BRUTOS'!CJ$3:CJ$500)))</f>
        <v/>
      </c>
      <c r="FK35" s="125">
        <f>IF(OR(FK$4="",$B35=""),0,SUMIF('DADOS BRUTOS'!$A$3:$A$500,$B35,'DADOS BRUTOS'!CK$3:CK$500)+IF($C35="",0,SUMIF('DADOS BRUTOS'!$A$3:$A$500,$C35,'DADOS BRUTOS'!CK$3:CK$500)))</f>
        <v/>
      </c>
      <c r="FL35" s="125">
        <f>IF(OR(FL$4="",$B35=""),0,SUMIF('DADOS BRUTOS'!$A$3:$A$500,$B35,'DADOS BRUTOS'!CL$3:CL$500)+IF($C35="",0,SUMIF('DADOS BRUTOS'!$A$3:$A$500,$C35,'DADOS BRUTOS'!CL$3:CL$500)))</f>
        <v/>
      </c>
      <c r="FM35" s="125">
        <f>IF(OR(FM$4="",$B35=""),0,SUMIF('DADOS BRUTOS'!$A$3:$A$500,$B35,'DADOS BRUTOS'!CM$3:CM$500)+IF($C35="",0,SUMIF('DADOS BRUTOS'!$A$3:$A$500,$C35,'DADOS BRUTOS'!CM$3:CM$500)))</f>
        <v/>
      </c>
      <c r="FN35" s="125">
        <f>IF(OR(FN$4="",$B35=""),0,SUMIF('DADOS BRUTOS'!$A$3:$A$500,$B35,'DADOS BRUTOS'!CN$3:CN$500)+IF($C35="",0,SUMIF('DADOS BRUTOS'!$A$3:$A$500,$C35,'DADOS BRUTOS'!CN$3:CN$500)))</f>
        <v/>
      </c>
      <c r="FO35" s="125">
        <f>IF(OR(FO$4="",$B35=""),0,SUMIF('DADOS BRUTOS'!$A$3:$A$500,$B35,'DADOS BRUTOS'!CO$3:CO$500)+IF($C35="",0,SUMIF('DADOS BRUTOS'!$A$3:$A$500,$C35,'DADOS BRUTOS'!CO$3:CO$500)))</f>
        <v/>
      </c>
      <c r="FP35" s="125">
        <f>IF(OR(FP$4="",$B35=""),0,SUMIF('DADOS BRUTOS'!$A$3:$A$500,$B35,'DADOS BRUTOS'!CP$3:CP$500)+IF($C35="",0,SUMIF('DADOS BRUTOS'!$A$3:$A$500,$C35,'DADOS BRUTOS'!CP$3:CP$500)))</f>
        <v/>
      </c>
      <c r="FQ35" s="125">
        <f>IF(OR(FQ$4="",$B35=""),0,SUMIF('DADOS BRUTOS'!$A$3:$A$500,$B35,'DADOS BRUTOS'!CQ$3:CQ$500)+IF($C35="",0,SUMIF('DADOS BRUTOS'!$A$3:$A$500,$C35,'DADOS BRUTOS'!CQ$3:CQ$500)))</f>
        <v/>
      </c>
      <c r="FR35" s="125">
        <f>IF(OR(FR$4="",$B35=""),0,SUMIF('DADOS BRUTOS'!$A$3:$A$500,$B35,'DADOS BRUTOS'!CR$3:CR$500)+IF($C35="",0,SUMIF('DADOS BRUTOS'!$A$3:$A$500,$C35,'DADOS BRUTOS'!CR$3:CR$500)))</f>
        <v/>
      </c>
      <c r="FS35" s="125">
        <f>IF(OR(FS$4="",$B35=""),0,SUMIF('DADOS BRUTOS'!$A$3:$A$500,$B35,'DADOS BRUTOS'!CS$3:CS$500)+IF($C35="",0,SUMIF('DADOS BRUTOS'!$A$3:$A$500,$C35,'DADOS BRUTOS'!CS$3:CS$500)))</f>
        <v/>
      </c>
      <c r="FT35" s="125">
        <f>IF(OR(FT$4="",$B35=""),0,SUMIF('DADOS BRUTOS'!$A$3:$A$500,$B35,'DADOS BRUTOS'!CT$3:CT$500)+IF($C35="",0,SUMIF('DADOS BRUTOS'!$A$3:$A$500,$C35,'DADOS BRUTOS'!CT$3:CT$500)))</f>
        <v/>
      </c>
      <c r="FU35" s="125">
        <f>IF(OR(FU$4="",$B35=""),0,SUMIF('DADOS BRUTOS'!$A$3:$A$500,$B35,'DADOS BRUTOS'!CU$3:CU$500)+IF($C35="",0,SUMIF('DADOS BRUTOS'!$A$3:$A$500,$C35,'DADOS BRUTOS'!CU$3:CU$500)))</f>
        <v/>
      </c>
      <c r="FV35" s="125">
        <f>IF(OR(FV$4="",$B35=""),0,SUMIF('DADOS BRUTOS'!$A$3:$A$500,$B35,'DADOS BRUTOS'!CV$3:CV$500)+IF($C35="",0,SUMIF('DADOS BRUTOS'!$A$3:$A$500,$C35,'DADOS BRUTOS'!CV$3:CV$500)))</f>
        <v/>
      </c>
      <c r="FW35" s="125">
        <f>IF(OR(FW$4="",$B35=""),0,SUMIF('DADOS BRUTOS'!$A$3:$A$500,$B35,'DADOS BRUTOS'!CW$3:CW$500)+IF($C35="",0,SUMIF('DADOS BRUTOS'!$A$3:$A$500,$C35,'DADOS BRUTOS'!CW$3:CW$500)))</f>
        <v/>
      </c>
      <c r="FX35" s="125">
        <f>IF(OR(FX$4="",$B35=""),0,SUMIF('DADOS BRUTOS'!$A$3:$A$500,$B35,'DADOS BRUTOS'!CX$3:CX$500)+IF($C35="",0,SUMIF('DADOS BRUTOS'!$A$3:$A$500,$C35,'DADOS BRUTOS'!CX$3:CX$500)))</f>
        <v/>
      </c>
      <c r="FY35" s="125">
        <f>IF(OR(FY$4="",$B35=""),0,SUMIF('DADOS BRUTOS'!$A$3:$A$500,$B35,'DADOS BRUTOS'!CY$3:CY$500)+IF($C35="",0,SUMIF('DADOS BRUTOS'!$A$3:$A$500,$C35,'DADOS BRUTOS'!CY$3:CY$500)))</f>
        <v/>
      </c>
      <c r="FZ35" s="125">
        <f>IF(OR(FZ$4="",$B35=""),0,SUMIF('DADOS BRUTOS'!$A$3:$A$500,$B35,'DADOS BRUTOS'!CZ$3:CZ$500)+IF($C35="",0,SUMIF('DADOS BRUTOS'!$A$3:$A$500,$C35,'DADOS BRUTOS'!CZ$3:CZ$500)))</f>
        <v/>
      </c>
      <c r="GA35" s="125">
        <f>IF(OR(GA$4="",$B35=""),0,SUMIF('DADOS BRUTOS'!$A$3:$A$500,$B35,'DADOS BRUTOS'!DA$3:DA$500)+IF($C35="",0,SUMIF('DADOS BRUTOS'!$A$3:$A$500,$C35,'DADOS BRUTOS'!DA$3:DA$500)))</f>
        <v/>
      </c>
      <c r="GB35" s="125">
        <f>IF(OR(GB$4="",$B35=""),0,SUMIF('DADOS BRUTOS'!$A$3:$A$500,$B35,'DADOS BRUTOS'!DB$3:DB$500)+IF($C35="",0,SUMIF('DADOS BRUTOS'!$A$3:$A$500,$C35,'DADOS BRUTOS'!DB$3:DB$500)))</f>
        <v/>
      </c>
      <c r="GC35" s="125">
        <f>IF(OR(GC$4="",$B35=""),0,SUMIF('DADOS BRUTOS'!$A$3:$A$500,$B35,'DADOS BRUTOS'!DC$3:DC$500)+IF($C35="",0,SUMIF('DADOS BRUTOS'!$A$3:$A$500,$C35,'DADOS BRUTOS'!DC$3:DC$500)))</f>
        <v/>
      </c>
      <c r="GD35" s="125">
        <f>IF(OR(GD$4="",$B35=""),0,SUMIF('DADOS BRUTOS'!$A$3:$A$500,$B35,'DADOS BRUTOS'!DD$3:DD$500)+IF($C35="",0,SUMIF('DADOS BRUTOS'!$A$3:$A$500,$C35,'DADOS BRUTOS'!DD$3:DD$500)))</f>
        <v/>
      </c>
      <c r="GE35" s="125">
        <f>IF(OR(GE$4="",$B35=""),0,SUMIF('DADOS BRUTOS'!$A$3:$A$500,$B35,'DADOS BRUTOS'!DE$3:DE$500)+IF($C35="",0,SUMIF('DADOS BRUTOS'!$A$3:$A$500,$C35,'DADOS BRUTOS'!DE$3:DE$500)))</f>
        <v/>
      </c>
      <c r="GF35" s="125">
        <f>IF(OR(GF$4="",$B35=""),0,SUMIF('DADOS BRUTOS'!$A$3:$A$500,$B35,'DADOS BRUTOS'!DF$3:DF$500)+IF($C35="",0,SUMIF('DADOS BRUTOS'!$A$3:$A$500,$C35,'DADOS BRUTOS'!DF$3:DF$500)))</f>
        <v/>
      </c>
      <c r="GG35" s="125">
        <f>IF(OR(GG$4="",$B35=""),0,SUMIF('DADOS BRUTOS'!$A$3:$A$500,$B35,'DADOS BRUTOS'!DG$3:DG$500)+IF($C35="",0,SUMIF('DADOS BRUTOS'!$A$3:$A$500,$C35,'DADOS BRUTOS'!DG$3:DG$500)))</f>
        <v/>
      </c>
      <c r="GH35" s="125">
        <f>IF(OR(GH$4="",$B35=""),0,SUMIF('DADOS BRUTOS'!$A$3:$A$500,$B35,'DADOS BRUTOS'!DH$3:DH$500)+IF($C35="",0,SUMIF('DADOS BRUTOS'!$A$3:$A$500,$C35,'DADOS BRUTOS'!DH$3:DH$500)))</f>
        <v/>
      </c>
      <c r="GI35" s="125">
        <f>IF(OR(GI$4="",$B35=""),0,SUMIF('DADOS BRUTOS'!$A$3:$A$500,$B35,'DADOS BRUTOS'!DI$3:DI$500)+IF($C35="",0,SUMIF('DADOS BRUTOS'!$A$3:$A$500,$C35,'DADOS BRUTOS'!DI$3:DI$500)))</f>
        <v/>
      </c>
      <c r="GJ35" s="125">
        <f>IF(OR(GJ$4="",$B35=""),0,SUMIF('DADOS BRUTOS'!$A$3:$A$500,$B35,'DADOS BRUTOS'!DJ$3:DJ$500)+IF($C35="",0,SUMIF('DADOS BRUTOS'!$A$3:$A$500,$C35,'DADOS BRUTOS'!DJ$3:DJ$500)))</f>
        <v/>
      </c>
      <c r="GK35" s="125">
        <f>IF(OR(GK$4="",$B35=""),0,SUMIF('DADOS BRUTOS'!$A$3:$A$500,$B35,'DADOS BRUTOS'!DK$3:DK$500)+IF($C35="",0,SUMIF('DADOS BRUTOS'!$A$3:$A$500,$C35,'DADOS BRUTOS'!DK$3:DK$500)))</f>
        <v/>
      </c>
      <c r="GL35" s="125">
        <f>IF(OR(GL$4="",$B35=""),0,SUMIF('DADOS BRUTOS'!$A$3:$A$500,$B35,'DADOS BRUTOS'!DL$3:DL$500)+IF($C35="",0,SUMIF('DADOS BRUTOS'!$A$3:$A$500,$C35,'DADOS BRUTOS'!DL$3:DL$500)))</f>
        <v/>
      </c>
      <c r="GM35" s="125">
        <f>IF(OR(GM$4="",$B35=""),0,SUMIF('DADOS BRUTOS'!$A$3:$A$500,$B35,'DADOS BRUTOS'!DM$3:DM$500)+IF($C35="",0,SUMIF('DADOS BRUTOS'!$A$3:$A$500,$C35,'DADOS BRUTOS'!DM$3:DM$500)))</f>
        <v/>
      </c>
      <c r="GN35" s="125">
        <f>IF(OR(GN$4="",$B35=""),0,SUMIF('DADOS BRUTOS'!$A$3:$A$500,$B35,'DADOS BRUTOS'!DN$3:DN$500)+IF($C35="",0,SUMIF('DADOS BRUTOS'!$A$3:$A$500,$C35,'DADOS BRUTOS'!DN$3:DN$500)))</f>
        <v/>
      </c>
      <c r="GO35" s="125">
        <f>IF(OR(GO$4="",$B35=""),0,SUMIF('DADOS BRUTOS'!$A$3:$A$500,$B35,'DADOS BRUTOS'!DO$3:DO$500)+IF($C35="",0,SUMIF('DADOS BRUTOS'!$A$3:$A$500,$C35,'DADOS BRUTOS'!DO$3:DO$500)))</f>
        <v/>
      </c>
      <c r="GP35" s="125">
        <f>IF(OR(GP$4="",$B35=""),0,SUMIF('DADOS BRUTOS'!$A$3:$A$500,$B35,'DADOS BRUTOS'!DP$3:DP$500)+IF($C35="",0,SUMIF('DADOS BRUTOS'!$A$3:$A$500,$C35,'DADOS BRUTOS'!DP$3:DP$500)))</f>
        <v/>
      </c>
      <c r="GQ35" s="125">
        <f>IF(OR(GQ$4="",$B35=""),0,SUMIF('DADOS BRUTOS'!$A$3:$A$500,$B35,'DADOS BRUTOS'!DQ$3:DQ$500)+IF($C35="",0,SUMIF('DADOS BRUTOS'!$A$3:$A$500,$C35,'DADOS BRUTOS'!DQ$3:DQ$500)))</f>
        <v/>
      </c>
      <c r="GR35" s="125">
        <f>IF(OR(GR$4="",$B35=""),0,SUMIF('DADOS BRUTOS'!$A$3:$A$500,$B35,'DADOS BRUTOS'!DR$3:DR$500)+IF($C35="",0,SUMIF('DADOS BRUTOS'!$A$3:$A$500,$C35,'DADOS BRUTOS'!DR$3:DR$500)))</f>
        <v/>
      </c>
      <c r="GS35" s="125">
        <f>IF(OR(GS$4="",$B35=""),0,SUMIF('DADOS BRUTOS'!$A$3:$A$500,$B35,'DADOS BRUTOS'!DS$3:DS$500)+IF($C35="",0,SUMIF('DADOS BRUTOS'!$A$3:$A$500,$C35,'DADOS BRUTOS'!DS$3:DS$500)))</f>
        <v/>
      </c>
      <c r="GT35" s="125">
        <f>IF(OR(GT$4="",$B35=""),0,SUMIF('DADOS BRUTOS'!$A$3:$A$500,$B35,'DADOS BRUTOS'!DT$3:DT$500)+IF($C35="",0,SUMIF('DADOS BRUTOS'!$A$3:$A$500,$C35,'DADOS BRUTOS'!DT$3:DT$500)))</f>
        <v/>
      </c>
      <c r="GU35" s="125">
        <f>IF(OR(GU$4="",$B35=""),0,SUMIF('DADOS BRUTOS'!$A$3:$A$500,$B35,'DADOS BRUTOS'!DU$3:DU$500)+IF($C35="",0,SUMIF('DADOS BRUTOS'!$A$3:$A$500,$C35,'DADOS BRUTOS'!DU$3:DU$500)))</f>
        <v/>
      </c>
      <c r="GV35" s="125">
        <f>IF(OR(GV$4="",$B35=""),0,SUMIF('DADOS BRUTOS'!$A$3:$A$500,$B35,'DADOS BRUTOS'!DV$3:DV$500)+IF($C35="",0,SUMIF('DADOS BRUTOS'!$A$3:$A$500,$C35,'DADOS BRUTOS'!DV$3:DV$500)))</f>
        <v/>
      </c>
      <c r="GW35" s="125">
        <f>IF(OR(GW$4="",$B35=""),0,SUMIF('DADOS BRUTOS'!$A$3:$A$500,$B35,'DADOS BRUTOS'!DW$3:DW$500)+IF($C35="",0,SUMIF('DADOS BRUTOS'!$A$3:$A$500,$C35,'DADOS BRUTOS'!DW$3:DW$500)))</f>
        <v/>
      </c>
      <c r="GX35" s="125">
        <f>IF(OR(GX$4="",$B35=""),0,SUMIF('DADOS BRUTOS'!$A$3:$A$500,$B35,'DADOS BRUTOS'!DX$3:DX$500)+IF($C35="",0,SUMIF('DADOS BRUTOS'!$A$3:$A$500,$C35,'DADOS BRUTOS'!DX$3:DX$500)))</f>
        <v/>
      </c>
      <c r="GY35" s="125">
        <f>IF(OR(GY$4="",$B35=""),0,SUMIF('DADOS BRUTOS'!$A$3:$A$500,$B35,'DADOS BRUTOS'!DY$3:DY$500)+IF($C35="",0,SUMIF('DADOS BRUTOS'!$A$3:$A$500,$C35,'DADOS BRUTOS'!DY$3:DY$500)))</f>
        <v/>
      </c>
      <c r="GZ35" s="125">
        <f>IF(OR(GZ$4="",$B35=""),0,SUMIF('DADOS BRUTOS'!$A$3:$A$500,$B35,'DADOS BRUTOS'!DZ$3:DZ$500)+IF($C35="",0,SUMIF('DADOS BRUTOS'!$A$3:$A$500,$C35,'DADOS BRUTOS'!DZ$3:DZ$500)))</f>
        <v/>
      </c>
      <c r="HA35" s="125">
        <f>IF(OR(HA$4="",$B35=""),0,SUMIF('DADOS BRUTOS'!$A$3:$A$500,$B35,'DADOS BRUTOS'!EA$3:EA$500)+IF($C35="",0,SUMIF('DADOS BRUTOS'!$A$3:$A$500,$C35,'DADOS BRUTOS'!EA$3:EA$500)))</f>
        <v/>
      </c>
      <c r="HB35" s="125">
        <f>IF(OR(HB$4="",$B35=""),0,SUMIF('DADOS BRUTOS'!$A$3:$A$500,$B35,'DADOS BRUTOS'!EB$3:EB$500)+IF($C35="",0,SUMIF('DADOS BRUTOS'!$A$3:$A$500,$C35,'DADOS BRUTOS'!EB$3:EB$500)))</f>
        <v/>
      </c>
      <c r="HC35" s="125">
        <f>IF(OR(HC$4="",$B35=""),0,SUMIF('DADOS BRUTOS'!$A$3:$A$500,$B35,'DADOS BRUTOS'!EC$3:EC$500)+IF($C35="",0,SUMIF('DADOS BRUTOS'!$A$3:$A$500,$C35,'DADOS BRUTOS'!EC$3:EC$500)))</f>
        <v/>
      </c>
      <c r="HD35" s="125">
        <f>IF(OR(HD$4="",$B35=""),0,SUMIF('DADOS BRUTOS'!$A$3:$A$500,$B35,'DADOS BRUTOS'!ED$3:ED$500)+IF($C35="",0,SUMIF('DADOS BRUTOS'!$A$3:$A$500,$C35,'DADOS BRUTOS'!ED$3:ED$500)))</f>
        <v/>
      </c>
      <c r="HE35" s="125">
        <f>IF(OR(HE$4="",$B35=""),0,SUMIF('DADOS BRUTOS'!$A$3:$A$500,$B35,'DADOS BRUTOS'!EE$3:EE$500)+IF($C35="",0,SUMIF('DADOS BRUTOS'!$A$3:$A$500,$C35,'DADOS BRUTOS'!EE$3:EE$500)))</f>
        <v/>
      </c>
      <c r="HF35" s="125">
        <f>IF(OR(HF$4="",$B35=""),0,SUMIF('DADOS BRUTOS'!$A$3:$A$500,$B35,'DADOS BRUTOS'!EF$3:EF$500)+IF($C35="",0,SUMIF('DADOS BRUTOS'!$A$3:$A$500,$C35,'DADOS BRUTOS'!EF$3:EF$500)))</f>
        <v/>
      </c>
      <c r="HG35" s="125">
        <f>IF(OR(HG$4="",$B35=""),0,SUMIF('DADOS BRUTOS'!$A$3:$A$500,$B35,'DADOS BRUTOS'!EG$3:EG$500)+IF($C35="",0,SUMIF('DADOS BRUTOS'!$A$3:$A$500,$C35,'DADOS BRUTOS'!EG$3:EG$500)))</f>
        <v/>
      </c>
      <c r="HH35" s="125">
        <f>IF(OR(HH$4="",$B35=""),0,SUMIF('DADOS BRUTOS'!$A$3:$A$500,$B35,'DADOS BRUTOS'!EH$3:EH$500)+IF($C35="",0,SUMIF('DADOS BRUTOS'!$A$3:$A$500,$C35,'DADOS BRUTOS'!EH$3:EH$500)))</f>
        <v/>
      </c>
      <c r="HI35" s="125">
        <f>IF(OR(HI$4="",$B35=""),0,SUMIF('DADOS BRUTOS'!$A$3:$A$500,$B35,'DADOS BRUTOS'!EI$3:EI$500)+IF($C35="",0,SUMIF('DADOS BRUTOS'!$A$3:$A$500,$C35,'DADOS BRUTOS'!EI$3:EI$500)))</f>
        <v/>
      </c>
      <c r="HJ35" s="125">
        <f>IF(OR(HJ$4="",$B35=""),0,SUMIF('DADOS BRUTOS'!$A$3:$A$500,$B35,'DADOS BRUTOS'!EJ$3:EJ$500)+IF($C35="",0,SUMIF('DADOS BRUTOS'!$A$3:$A$500,$C35,'DADOS BRUTOS'!EJ$3:EJ$500)))</f>
        <v/>
      </c>
      <c r="HK35" s="125">
        <f>IF(OR(HK$4="",$B35=""),0,SUMIF('DADOS BRUTOS'!$A$3:$A$500,$B35,'DADOS BRUTOS'!EK$3:EK$500)+IF($C35="",0,SUMIF('DADOS BRUTOS'!$A$3:$A$500,$C35,'DADOS BRUTOS'!EK$3:EK$500)))</f>
        <v/>
      </c>
      <c r="HL35" s="125">
        <f>IF(OR(HL$4="",$B35=""),0,SUMIF('DADOS BRUTOS'!$A$3:$A$500,$B35,'DADOS BRUTOS'!EL$3:EL$500)+IF($C35="",0,SUMIF('DADOS BRUTOS'!$A$3:$A$500,$C35,'DADOS BRUTOS'!EL$3:EL$500)))</f>
        <v/>
      </c>
      <c r="HM35" s="125">
        <f>IF(OR(HM$4="",$B35=""),0,SUMIF('DADOS BRUTOS'!$A$3:$A$500,$B35,'DADOS BRUTOS'!EM$3:EM$500)+IF($C35="",0,SUMIF('DADOS BRUTOS'!$A$3:$A$500,$C35,'DADOS BRUTOS'!EM$3:EM$500)))</f>
        <v/>
      </c>
      <c r="HN35" s="125">
        <f>IF(OR(HN$4="",$B35=""),0,SUMIF('DADOS BRUTOS'!$A$3:$A$500,$B35,'DADOS BRUTOS'!EN$3:EN$500)+IF($C35="",0,SUMIF('DADOS BRUTOS'!$A$3:$A$500,$C35,'DADOS BRUTOS'!EN$3:EN$500)))</f>
        <v/>
      </c>
      <c r="HO35" s="125">
        <f>IF(OR(HO$4="",$B35=""),0,SUMIF('DADOS BRUTOS'!$A$3:$A$500,$B35,'DADOS BRUTOS'!EO$3:EO$500)+IF($C35="",0,SUMIF('DADOS BRUTOS'!$A$3:$A$500,$C35,'DADOS BRUTOS'!EO$3:EO$500)))</f>
        <v/>
      </c>
      <c r="HP35" s="125">
        <f>IF(OR(HP$4="",$B35=""),0,SUMIF('DADOS BRUTOS'!$A$3:$A$500,$B35,'DADOS BRUTOS'!EP$3:EP$500)+IF($C35="",0,SUMIF('DADOS BRUTOS'!$A$3:$A$500,$C35,'DADOS BRUTOS'!EP$3:EP$500)))</f>
        <v/>
      </c>
      <c r="HQ35" s="125">
        <f>IF(OR(HQ$4="",$B35=""),0,SUMIF('DADOS BRUTOS'!$A$3:$A$500,$B35,'DADOS BRUTOS'!EQ$3:EQ$500)+IF($C35="",0,SUMIF('DADOS BRUTOS'!$A$3:$A$500,$C35,'DADOS BRUTOS'!EQ$3:EQ$500)))</f>
        <v/>
      </c>
      <c r="HR35" s="125">
        <f>IF(OR(HR$4="",$B35=""),0,SUMIF('DADOS BRUTOS'!$A$3:$A$500,$B35,'DADOS BRUTOS'!ER$3:ER$500)+IF($C35="",0,SUMIF('DADOS BRUTOS'!$A$3:$A$500,$C35,'DADOS BRUTOS'!ER$3:ER$500)))</f>
        <v/>
      </c>
      <c r="HS35" s="125">
        <f>IF(OR(HS$4="",$B35=""),0,SUMIF('DADOS BRUTOS'!$A$3:$A$500,$B35,'DADOS BRUTOS'!ES$3:ES$500)+IF($C35="",0,SUMIF('DADOS BRUTOS'!$A$3:$A$500,$C35,'DADOS BRUTOS'!ES$3:ES$500)))</f>
        <v/>
      </c>
      <c r="HT35" s="125">
        <f>IF(OR(HT$4="",$B35=""),0,SUMIF('DADOS BRUTOS'!$A$3:$A$500,$B35,'DADOS BRUTOS'!ET$3:ET$500)+IF($C35="",0,SUMIF('DADOS BRUTOS'!$A$3:$A$500,$C35,'DADOS BRUTOS'!ET$3:ET$500)))</f>
        <v/>
      </c>
      <c r="HU35" s="125">
        <f>IF(OR(HU$4="",$B35=""),0,SUMIF('DADOS BRUTOS'!$A$3:$A$500,$B35,'DADOS BRUTOS'!EU$3:EU$500)+IF($C35="",0,SUMIF('DADOS BRUTOS'!$A$3:$A$500,$C35,'DADOS BRUTOS'!EU$3:EU$500)))</f>
        <v/>
      </c>
      <c r="HV35" s="125">
        <f>IF(OR(HV$4="",$B35=""),0,SUMIF('DADOS BRUTOS'!$A$3:$A$500,$B35,'DADOS BRUTOS'!EV$3:EV$500)+IF($C35="",0,SUMIF('DADOS BRUTOS'!$A$3:$A$500,$C35,'DADOS BRUTOS'!EV$3:EV$500)))</f>
        <v/>
      </c>
      <c r="HW35" s="125">
        <f>IF(OR(HW$4="",$B35=""),0,SUMIF('DADOS BRUTOS'!$A$3:$A$500,$B35,'DADOS BRUTOS'!EW$3:EW$500)+IF($C35="",0,SUMIF('DADOS BRUTOS'!$A$3:$A$500,$C35,'DADOS BRUTOS'!EW$3:EW$500)))</f>
        <v/>
      </c>
      <c r="HX35" s="125">
        <f>IF(OR(HX$4="",$B35=""),0,SUMIF('DADOS BRUTOS'!$A$3:$A$500,$B35,'DADOS BRUTOS'!EX$3:EX$500)+IF($C35="",0,SUMIF('DADOS BRUTOS'!$A$3:$A$500,$C35,'DADOS BRUTOS'!EX$3:EX$500)))</f>
        <v/>
      </c>
      <c r="HY35" s="125">
        <f>IF(OR(HY$4="",$B35=""),0,SUMIF('DADOS BRUTOS'!$A$3:$A$500,$B35,'DADOS BRUTOS'!EY$3:EY$500)+IF($C35="",0,SUMIF('DADOS BRUTOS'!$A$3:$A$500,$C35,'DADOS BRUTOS'!EY$3:EY$500)))</f>
        <v/>
      </c>
      <c r="HZ35" s="125">
        <f>IF(OR(HZ$4="",$B35=""),0,SUMIF('DADOS BRUTOS'!$A$3:$A$500,$B35,'DADOS BRUTOS'!EZ$3:EZ$500)+IF($C35="",0,SUMIF('DADOS BRUTOS'!$A$3:$A$500,$C35,'DADOS BRUTOS'!EZ$3:EZ$500)))</f>
        <v/>
      </c>
      <c r="IA35" s="125">
        <f>IF(OR(IA$4="",$B35=""),0,SUMIF('DADOS BRUTOS'!$A$3:$A$500,$B35,'DADOS BRUTOS'!FA$3:FA$500)+IF($C35="",0,SUMIF('DADOS BRUTOS'!$A$3:$A$500,$C35,'DADOS BRUTOS'!FA$3:FA$500)))</f>
        <v/>
      </c>
      <c r="IB35" s="125">
        <f>IF(OR(IB$4="",$B35=""),0,SUMIF('DADOS BRUTOS'!$A$3:$A$500,$B35,'DADOS BRUTOS'!FB$3:FB$500)+IF($C35="",0,SUMIF('DADOS BRUTOS'!$A$3:$A$500,$C35,'DADOS BRUTOS'!FB$3:FB$500)))</f>
        <v/>
      </c>
      <c r="IC35" s="125">
        <f>IF(OR(IC$4="",$B35=""),0,SUMIF('DADOS BRUTOS'!$A$3:$A$500,$B35,'DADOS BRUTOS'!FC$3:FC$500)+IF($C35="",0,SUMIF('DADOS BRUTOS'!$A$3:$A$500,$C35,'DADOS BRUTOS'!FC$3:FC$500)))</f>
        <v/>
      </c>
      <c r="ID35" s="125">
        <f>IF(OR(ID$4="",$B35=""),0,SUMIF('DADOS BRUTOS'!$A$3:$A$500,$B35,'DADOS BRUTOS'!FD$3:FD$500)+IF($C35="",0,SUMIF('DADOS BRUTOS'!$A$3:$A$500,$C35,'DADOS BRUTOS'!FD$3:FD$500)))</f>
        <v/>
      </c>
      <c r="IE35" s="125">
        <f>IF(OR(IE$4="",$B35=""),0,SUMIF('DADOS BRUTOS'!$A$3:$A$500,$B35,'DADOS BRUTOS'!FE$3:FE$500)+IF($C35="",0,SUMIF('DADOS BRUTOS'!$A$3:$A$500,$C35,'DADOS BRUTOS'!FE$3:FE$500)))</f>
        <v/>
      </c>
      <c r="IF35" s="125">
        <f>IF(OR(IF$4="",$B35=""),0,SUMIF('DADOS BRUTOS'!$A$3:$A$500,$B35,'DADOS BRUTOS'!FF$3:FF$500)+IF($C35="",0,SUMIF('DADOS BRUTOS'!$A$3:$A$500,$C35,'DADOS BRUTOS'!FF$3:FF$500)))</f>
        <v/>
      </c>
      <c r="IG35" s="125">
        <f>IF(OR(IG$4="",$B35=""),0,SUMIF('DADOS BRUTOS'!$A$3:$A$500,$B35,'DADOS BRUTOS'!FG$3:FG$500)+IF($C35="",0,SUMIF('DADOS BRUTOS'!$A$3:$A$500,$C35,'DADOS BRUTOS'!FG$3:FG$500)))</f>
        <v/>
      </c>
      <c r="IH35" s="125">
        <f>IF(OR(IH$4="",$B35=""),0,SUMIF('DADOS BRUTOS'!$A$3:$A$500,$B35,'DADOS BRUTOS'!FH$3:FH$500)+IF($C35="",0,SUMIF('DADOS BRUTOS'!$A$3:$A$500,$C35,'DADOS BRUTOS'!FH$3:FH$500)))</f>
        <v/>
      </c>
      <c r="II35" s="125">
        <f>IF(OR(II$4="",$B35=""),0,SUMIF('DADOS BRUTOS'!$A$3:$A$500,$B35,'DADOS BRUTOS'!FI$3:FI$500)+IF($C35="",0,SUMIF('DADOS BRUTOS'!$A$3:$A$500,$C35,'DADOS BRUTOS'!FI$3:FI$500)))</f>
        <v/>
      </c>
      <c r="IJ35" s="125">
        <f>IF(OR(IJ$4="",$B35=""),0,SUMIF('DADOS BRUTOS'!$A$3:$A$500,$B35,'DADOS BRUTOS'!FJ$3:FJ$500)+IF($C35="",0,SUMIF('DADOS BRUTOS'!$A$3:$A$500,$C35,'DADOS BRUTOS'!FJ$3:FJ$500)))</f>
        <v/>
      </c>
      <c r="IK35" s="125">
        <f>IF(OR(IK$4="",$B35=""),0,SUMIF('DADOS BRUTOS'!$A$3:$A$500,$B35,'DADOS BRUTOS'!FK$3:FK$500)+IF($C35="",0,SUMIF('DADOS BRUTOS'!$A$3:$A$500,$C35,'DADOS BRUTOS'!FK$3:FK$500)))</f>
        <v/>
      </c>
      <c r="IL35" s="125">
        <f>IF(OR(IL$4="",$B35=""),0,SUMIF('DADOS BRUTOS'!$A$3:$A$500,$B35,'DADOS BRUTOS'!FL$3:FL$500)+IF($C35="",0,SUMIF('DADOS BRUTOS'!$A$3:$A$500,$C35,'DADOS BRUTOS'!FL$3:FL$500)))</f>
        <v/>
      </c>
      <c r="IM35" s="125">
        <f>IF(OR(IM$4="",$B35=""),0,SUMIF('DADOS BRUTOS'!$A$3:$A$500,$B35,'DADOS BRUTOS'!FM$3:FM$500)+IF($C35="",0,SUMIF('DADOS BRUTOS'!$A$3:$A$500,$C35,'DADOS BRUTOS'!FM$3:FM$500)))</f>
        <v/>
      </c>
      <c r="IN35" s="125">
        <f>IF(OR(IN$4="",$B35=""),0,SUMIF('DADOS BRUTOS'!$A$3:$A$500,$B35,'DADOS BRUTOS'!FN$3:FN$500)+IF($C35="",0,SUMIF('DADOS BRUTOS'!$A$3:$A$500,$C35,'DADOS BRUTOS'!FN$3:FN$500)))</f>
        <v/>
      </c>
      <c r="IO35" s="125">
        <f>IF(OR(IO$4="",$B35=""),0,SUMIF('DADOS BRUTOS'!$A$3:$A$500,$B35,'DADOS BRUTOS'!FO$3:FO$500)+IF($C35="",0,SUMIF('DADOS BRUTOS'!$A$3:$A$500,$C35,'DADOS BRUTOS'!FO$3:FO$500)))</f>
        <v/>
      </c>
      <c r="IP35" s="125">
        <f>IF(OR(IP$4="",$B35=""),0,SUMIF('DADOS BRUTOS'!$A$3:$A$500,$B35,'DADOS BRUTOS'!FP$3:FP$500)+IF($C35="",0,SUMIF('DADOS BRUTOS'!$A$3:$A$500,$C35,'DADOS BRUTOS'!FP$3:FP$500)))</f>
        <v/>
      </c>
      <c r="IQ35" s="125">
        <f>IF(OR(IQ$4="",$B35=""),0,SUMIF('DADOS BRUTOS'!$A$3:$A$500,$B35,'DADOS BRUTOS'!FQ$3:FQ$500)+IF($C35="",0,SUMIF('DADOS BRUTOS'!$A$3:$A$500,$C35,'DADOS BRUTOS'!FQ$3:FQ$500)))</f>
        <v/>
      </c>
      <c r="IR35" s="125">
        <f>IF(OR(IR$4="",$B35=""),0,SUMIF('DADOS BRUTOS'!$A$3:$A$500,$B35,'DADOS BRUTOS'!FR$3:FR$500)+IF($C35="",0,SUMIF('DADOS BRUTOS'!$A$3:$A$500,$C35,'DADOS BRUTOS'!FR$3:FR$500)))</f>
        <v/>
      </c>
      <c r="IS35" s="125">
        <f>IF(OR(IS$4="",$B35=""),0,SUMIF('DADOS BRUTOS'!$A$3:$A$500,$B35,'DADOS BRUTOS'!FS$3:FS$500)+IF($C35="",0,SUMIF('DADOS BRUTOS'!$A$3:$A$500,$C35,'DADOS BRUTOS'!FS$3:FS$500)))</f>
        <v/>
      </c>
      <c r="IT35" s="125">
        <f>IF(OR(IT$4="",$B35=""),0,SUMIF('DADOS BRUTOS'!$A$3:$A$500,$B35,'DADOS BRUTOS'!FT$3:FT$500)+IF($C35="",0,SUMIF('DADOS BRUTOS'!$A$3:$A$500,$C35,'DADOS BRUTOS'!FT$3:FT$500)))</f>
        <v/>
      </c>
      <c r="IU35" s="125">
        <f>IF(OR(IU$4="",$B35=""),0,SUMIF('DADOS BRUTOS'!$A$3:$A$500,$B35,'DADOS BRUTOS'!FU$3:FU$500)+IF($C35="",0,SUMIF('DADOS BRUTOS'!$A$3:$A$500,$C35,'DADOS BRUTOS'!FU$3:FU$500)))</f>
        <v/>
      </c>
      <c r="IV35" s="125">
        <f>IF(OR(IV$4="",$B35=""),0,SUMIF('DADOS BRUTOS'!$A$3:$A$500,$B35,'DADOS BRUTOS'!FV$3:FV$500)+IF($C35="",0,SUMIF('DADOS BRUTOS'!$A$3:$A$500,$C35,'DADOS BRUTOS'!FV$3:FV$500)))</f>
        <v/>
      </c>
      <c r="IW35" s="125">
        <f>IF(OR(IW$4="",$B35=""),0,SUMIF('DADOS BRUTOS'!$A$3:$A$500,$B35,'DADOS BRUTOS'!FW$3:FW$500)+IF($C35="",0,SUMIF('DADOS BRUTOS'!$A$3:$A$500,$C35,'DADOS BRUTOS'!FW$3:FW$500)))</f>
        <v/>
      </c>
      <c r="IX35" s="125">
        <f>IF(OR(IX$4="",$B35=""),0,SUMIF('DADOS BRUTOS'!$A$3:$A$500,$B35,'DADOS BRUTOS'!FX$3:FX$500)+IF($C35="",0,SUMIF('DADOS BRUTOS'!$A$3:$A$500,$C35,'DADOS BRUTOS'!FX$3:FX$500)))</f>
        <v/>
      </c>
      <c r="IY35" s="125">
        <f>IF(OR(IY$4="",$B35=""),0,SUMIF('DADOS BRUTOS'!$A$3:$A$500,$B35,'DADOS BRUTOS'!FY$3:FY$500)+IF($C35="",0,SUMIF('DADOS BRUTOS'!$A$3:$A$500,$C35,'DADOS BRUTOS'!FY$3:FY$500)))</f>
        <v/>
      </c>
      <c r="IZ35" s="125">
        <f>IF(OR(IZ$4="",$B35=""),0,SUMIF('DADOS BRUTOS'!$A$3:$A$500,$B35,'DADOS BRUTOS'!FZ$3:FZ$500)+IF($C35="",0,SUMIF('DADOS BRUTOS'!$A$3:$A$500,$C35,'DADOS BRUTOS'!FZ$3:FZ$500)))</f>
        <v/>
      </c>
      <c r="JA35" s="125">
        <f>IF(OR(JA$4="",$B35=""),0,SUMIF('DADOS BRUTOS'!$A$3:$A$500,$B35,'DADOS BRUTOS'!GA$3:GA$500)+IF($C35="",0,SUMIF('DADOS BRUTOS'!$A$3:$A$500,$C35,'DADOS BRUTOS'!GA$3:GA$500)))</f>
        <v/>
      </c>
      <c r="JB35" s="125">
        <f>IF(OR(JB$4="",$B35=""),0,SUMIF('DADOS BRUTOS'!$A$3:$A$500,$B35,'DADOS BRUTOS'!GB$3:GB$500)+IF($C35="",0,SUMIF('DADOS BRUTOS'!$A$3:$A$500,$C35,'DADOS BRUTOS'!GB$3:GB$500)))</f>
        <v/>
      </c>
      <c r="JC35" s="125">
        <f>IF(OR(JC$4="",$B35=""),0,SUMIF('DADOS BRUTOS'!$A$3:$A$500,$B35,'DADOS BRUTOS'!GC$3:GC$500)+IF($C35="",0,SUMIF('DADOS BRUTOS'!$A$3:$A$500,$C35,'DADOS BRUTOS'!GC$3:GC$500)))</f>
        <v/>
      </c>
      <c r="JD35" s="125">
        <f>IF(OR(JD$4="",$B35=""),0,SUMIF('DADOS BRUTOS'!$A$3:$A$500,$B35,'DADOS BRUTOS'!GD$3:GD$500)+IF($C35="",0,SUMIF('DADOS BRUTOS'!$A$3:$A$500,$C35,'DADOS BRUTOS'!GD$3:GD$500)))</f>
        <v/>
      </c>
      <c r="JE35" s="125">
        <f>IF(OR(JE$4="",$B35=""),0,SUMIF('DADOS BRUTOS'!$A$3:$A$500,$B35,'DADOS BRUTOS'!GE$3:GE$500)+IF($C35="",0,SUMIF('DADOS BRUTOS'!$A$3:$A$500,$C35,'DADOS BRUTOS'!GE$3:GE$500)))</f>
        <v/>
      </c>
      <c r="JF35" s="125">
        <f>IF(OR(JF$4="",$B35=""),0,SUMIF('DADOS BRUTOS'!$A$3:$A$500,$B35,'DADOS BRUTOS'!GF$3:GF$500)+IF($C35="",0,SUMIF('DADOS BRUTOS'!$A$3:$A$500,$C35,'DADOS BRUTOS'!GF$3:GF$500)))</f>
        <v/>
      </c>
      <c r="JG35" s="125">
        <f>IF(OR(JG$4="",$B35=""),0,SUMIF('DADOS BRUTOS'!$A$3:$A$500,$B35,'DADOS BRUTOS'!GG$3:GG$500)+IF($C35="",0,SUMIF('DADOS BRUTOS'!$A$3:$A$500,$C35,'DADOS BRUTOS'!GG$3:GG$500)))</f>
        <v/>
      </c>
      <c r="JH35" s="125">
        <f>IF(OR(JH$4="",$B35=""),0,SUMIF('DADOS BRUTOS'!$A$3:$A$500,$B35,'DADOS BRUTOS'!GH$3:GH$500)+IF($C35="",0,SUMIF('DADOS BRUTOS'!$A$3:$A$500,$C35,'DADOS BRUTOS'!GH$3:GH$500)))</f>
        <v/>
      </c>
      <c r="JI35" s="125">
        <f>IF(OR(JI$4="",$B35=""),0,SUMIF('DADOS BRUTOS'!$A$3:$A$500,$B35,'DADOS BRUTOS'!GI$3:GI$500)+IF($C35="",0,SUMIF('DADOS BRUTOS'!$A$3:$A$500,$C35,'DADOS BRUTOS'!GI$3:GI$500)))</f>
        <v/>
      </c>
      <c r="JJ35" s="125">
        <f>IF(OR(JJ$4="",$B35=""),0,SUMIF('DADOS BRUTOS'!$A$3:$A$500,$B35,'DADOS BRUTOS'!GJ$3:GJ$500)+IF($C35="",0,SUMIF('DADOS BRUTOS'!$A$3:$A$500,$C35,'DADOS BRUTOS'!GJ$3:GJ$500)))</f>
        <v/>
      </c>
      <c r="JK35" s="125">
        <f>IF(OR(JK$4="",$B35=""),0,SUMIF('DADOS BRUTOS'!$A$3:$A$500,$B35,'DADOS BRUTOS'!GK$3:GK$500)+IF($C35="",0,SUMIF('DADOS BRUTOS'!$A$3:$A$500,$C35,'DADOS BRUTOS'!GK$3:GK$500)))</f>
        <v/>
      </c>
      <c r="JL35" s="125">
        <f>IF(OR(JL$4="",$B35=""),0,SUMIF('DADOS BRUTOS'!$A$3:$A$500,$B35,'DADOS BRUTOS'!GL$3:GL$500)+IF($C35="",0,SUMIF('DADOS BRUTOS'!$A$3:$A$500,$C35,'DADOS BRUTOS'!GL$3:GL$500)))</f>
        <v/>
      </c>
      <c r="JM35" s="125">
        <f>IF(OR(JM$4="",$B35=""),0,SUMIF('DADOS BRUTOS'!$A$3:$A$500,$B35,'DADOS BRUTOS'!GM$3:GM$500)+IF($C35="",0,SUMIF('DADOS BRUTOS'!$A$3:$A$500,$C35,'DADOS BRUTOS'!GM$3:GM$500)))</f>
        <v/>
      </c>
      <c r="JN35" s="125">
        <f>IF(OR(JN$4="",$B35=""),0,SUMIF('DADOS BRUTOS'!$A$3:$A$500,$B35,'DADOS BRUTOS'!GN$3:GN$500)+IF($C35="",0,SUMIF('DADOS BRUTOS'!$A$3:$A$500,$C35,'DADOS BRUTOS'!GN$3:GN$500)))</f>
        <v/>
      </c>
      <c r="JO35" s="125">
        <f>IF(OR(JO$4="",$B35=""),0,SUMIF('DADOS BRUTOS'!$A$3:$A$500,$B35,'DADOS BRUTOS'!GO$3:GO$500)+IF($C35="",0,SUMIF('DADOS BRUTOS'!$A$3:$A$500,$C35,'DADOS BRUTOS'!GO$3:GO$500)))</f>
        <v/>
      </c>
      <c r="JP35" s="125">
        <f>IF(OR(JP$4="",$B35=""),0,SUMIF('DADOS BRUTOS'!$A$3:$A$500,$B35,'DADOS BRUTOS'!GP$3:GP$500)+IF($C35="",0,SUMIF('DADOS BRUTOS'!$A$3:$A$500,$C35,'DADOS BRUTOS'!GP$3:GP$500)))</f>
        <v/>
      </c>
      <c r="JQ35" s="125">
        <f>IF(OR(JQ$4="",$B35=""),0,SUMIF('DADOS BRUTOS'!$A$3:$A$500,$B35,'DADOS BRUTOS'!GQ$3:GQ$500)+IF($C35="",0,SUMIF('DADOS BRUTOS'!$A$3:$A$500,$C35,'DADOS BRUTOS'!GQ$3:GQ$500)))</f>
        <v/>
      </c>
      <c r="JR35" s="125">
        <f>IF(OR(JR$4="",$B35=""),0,SUMIF('DADOS BRUTOS'!$A$3:$A$500,$B35,'DADOS BRUTOS'!GR$3:GR$500)+IF($C35="",0,SUMIF('DADOS BRUTOS'!$A$3:$A$500,$C35,'DADOS BRUTOS'!GR$3:GR$500)))</f>
        <v/>
      </c>
      <c r="JS35" s="125">
        <f>IF(OR(JS$4="",$B35=""),0,SUMIF('DADOS BRUTOS'!$A$3:$A$500,$B35,'DADOS BRUTOS'!GS$3:GS$500)+IF($C35="",0,SUMIF('DADOS BRUTOS'!$A$3:$A$500,$C35,'DADOS BRUTOS'!GS$3:GS$500)))</f>
        <v/>
      </c>
    </row>
    <row r="36">
      <c r="A36" s="61">
        <f>'VALOR POR PL'!D42</f>
        <v/>
      </c>
      <c r="B36" s="59" t="inlineStr">
        <is>
          <t>REVESTIMENTO DIVERSOS   FACHADA</t>
        </is>
      </c>
      <c r="C36" s="59" t="n"/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BZ36" s="49">
        <f>SUMPRODUCT(($CB$4:$JS$4&lt;&gt;"")*($CB$4:$JS$4&lt;=$D$4),$CB36:$JS36,$CB$1:$JS$1)</f>
        <v/>
      </c>
      <c r="CB36" s="125">
        <f>IF(OR(CB$4="",$B36=""),0,SUMIF('DADOS BRUTOS'!$A$3:$A$500,$B36,'DADOS BRUTOS'!B$3:B$500)+IF($C36="",0,SUMIF('DADOS BRUTOS'!$A$3:$A$500,$C36,'DADOS BRUTOS'!B$3:B$500)))</f>
        <v/>
      </c>
      <c r="CC36" s="125">
        <f>IF(OR(CC$4="",$B36=""),0,SUMIF('DADOS BRUTOS'!$A$3:$A$500,$B36,'DADOS BRUTOS'!C$3:C$500)+IF($C36="",0,SUMIF('DADOS BRUTOS'!$A$3:$A$500,$C36,'DADOS BRUTOS'!C$3:C$500)))</f>
        <v/>
      </c>
      <c r="CD36" s="125">
        <f>IF(OR(CD$4="",$B36=""),0,SUMIF('DADOS BRUTOS'!$A$3:$A$500,$B36,'DADOS BRUTOS'!D$3:D$500)+IF($C36="",0,SUMIF('DADOS BRUTOS'!$A$3:$A$500,$C36,'DADOS BRUTOS'!D$3:D$500)))</f>
        <v/>
      </c>
      <c r="CE36" s="125">
        <f>IF(OR(CE$4="",$B36=""),0,SUMIF('DADOS BRUTOS'!$A$3:$A$500,$B36,'DADOS BRUTOS'!E$3:E$500)+IF($C36="",0,SUMIF('DADOS BRUTOS'!$A$3:$A$500,$C36,'DADOS BRUTOS'!E$3:E$500)))</f>
        <v/>
      </c>
      <c r="CF36" s="125">
        <f>IF(OR(CF$4="",$B36=""),0,SUMIF('DADOS BRUTOS'!$A$3:$A$500,$B36,'DADOS BRUTOS'!F$3:F$500)+IF($C36="",0,SUMIF('DADOS BRUTOS'!$A$3:$A$500,$C36,'DADOS BRUTOS'!F$3:F$500)))</f>
        <v/>
      </c>
      <c r="CG36" s="125">
        <f>IF(OR(CG$4="",$B36=""),0,SUMIF('DADOS BRUTOS'!$A$3:$A$500,$B36,'DADOS BRUTOS'!G$3:G$500)+IF($C36="",0,SUMIF('DADOS BRUTOS'!$A$3:$A$500,$C36,'DADOS BRUTOS'!G$3:G$500)))</f>
        <v/>
      </c>
      <c r="CH36" s="125">
        <f>IF(OR(CH$4="",$B36=""),0,SUMIF('DADOS BRUTOS'!$A$3:$A$500,$B36,'DADOS BRUTOS'!H$3:H$500)+IF($C36="",0,SUMIF('DADOS BRUTOS'!$A$3:$A$500,$C36,'DADOS BRUTOS'!H$3:H$500)))</f>
        <v/>
      </c>
      <c r="CI36" s="125">
        <f>IF(OR(CI$4="",$B36=""),0,SUMIF('DADOS BRUTOS'!$A$3:$A$500,$B36,'DADOS BRUTOS'!I$3:I$500)+IF($C36="",0,SUMIF('DADOS BRUTOS'!$A$3:$A$500,$C36,'DADOS BRUTOS'!I$3:I$500)))</f>
        <v/>
      </c>
      <c r="CJ36" s="125">
        <f>IF(OR(CJ$4="",$B36=""),0,SUMIF('DADOS BRUTOS'!$A$3:$A$500,$B36,'DADOS BRUTOS'!J$3:J$500)+IF($C36="",0,SUMIF('DADOS BRUTOS'!$A$3:$A$500,$C36,'DADOS BRUTOS'!J$3:J$500)))</f>
        <v/>
      </c>
      <c r="CK36" s="125">
        <f>IF(OR(CK$4="",$B36=""),0,SUMIF('DADOS BRUTOS'!$A$3:$A$500,$B36,'DADOS BRUTOS'!K$3:K$500)+IF($C36="",0,SUMIF('DADOS BRUTOS'!$A$3:$A$500,$C36,'DADOS BRUTOS'!K$3:K$500)))</f>
        <v/>
      </c>
      <c r="CL36" s="125">
        <f>IF(OR(CL$4="",$B36=""),0,SUMIF('DADOS BRUTOS'!$A$3:$A$500,$B36,'DADOS BRUTOS'!L$3:L$500)+IF($C36="",0,SUMIF('DADOS BRUTOS'!$A$3:$A$500,$C36,'DADOS BRUTOS'!L$3:L$500)))</f>
        <v/>
      </c>
      <c r="CM36" s="125">
        <f>IF(OR(CM$4="",$B36=""),0,SUMIF('DADOS BRUTOS'!$A$3:$A$500,$B36,'DADOS BRUTOS'!M$3:M$500)+IF($C36="",0,SUMIF('DADOS BRUTOS'!$A$3:$A$500,$C36,'DADOS BRUTOS'!M$3:M$500)))</f>
        <v/>
      </c>
      <c r="CN36" s="125">
        <f>IF(OR(CN$4="",$B36=""),0,SUMIF('DADOS BRUTOS'!$A$3:$A$500,$B36,'DADOS BRUTOS'!N$3:N$500)+IF($C36="",0,SUMIF('DADOS BRUTOS'!$A$3:$A$500,$C36,'DADOS BRUTOS'!N$3:N$500)))</f>
        <v/>
      </c>
      <c r="CO36" s="125">
        <f>IF(OR(CO$4="",$B36=""),0,SUMIF('DADOS BRUTOS'!$A$3:$A$500,$B36,'DADOS BRUTOS'!O$3:O$500)+IF($C36="",0,SUMIF('DADOS BRUTOS'!$A$3:$A$500,$C36,'DADOS BRUTOS'!O$3:O$500)))</f>
        <v/>
      </c>
      <c r="CP36" s="125">
        <f>IF(OR(CP$4="",$B36=""),0,SUMIF('DADOS BRUTOS'!$A$3:$A$500,$B36,'DADOS BRUTOS'!P$3:P$500)+IF($C36="",0,SUMIF('DADOS BRUTOS'!$A$3:$A$500,$C36,'DADOS BRUTOS'!P$3:P$500)))</f>
        <v/>
      </c>
      <c r="CQ36" s="125">
        <f>IF(OR(CQ$4="",$B36=""),0,SUMIF('DADOS BRUTOS'!$A$3:$A$500,$B36,'DADOS BRUTOS'!Q$3:Q$500)+IF($C36="",0,SUMIF('DADOS BRUTOS'!$A$3:$A$500,$C36,'DADOS BRUTOS'!Q$3:Q$500)))</f>
        <v/>
      </c>
      <c r="CR36" s="125">
        <f>IF(OR(CR$4="",$B36=""),0,SUMIF('DADOS BRUTOS'!$A$3:$A$500,$B36,'DADOS BRUTOS'!R$3:R$500)+IF($C36="",0,SUMIF('DADOS BRUTOS'!$A$3:$A$500,$C36,'DADOS BRUTOS'!R$3:R$500)))</f>
        <v/>
      </c>
      <c r="CS36" s="125">
        <f>IF(OR(CS$4="",$B36=""),0,SUMIF('DADOS BRUTOS'!$A$3:$A$500,$B36,'DADOS BRUTOS'!S$3:S$500)+IF($C36="",0,SUMIF('DADOS BRUTOS'!$A$3:$A$500,$C36,'DADOS BRUTOS'!S$3:S$500)))</f>
        <v/>
      </c>
      <c r="CT36" s="125">
        <f>IF(OR(CT$4="",$B36=""),0,SUMIF('DADOS BRUTOS'!$A$3:$A$500,$B36,'DADOS BRUTOS'!T$3:T$500)+IF($C36="",0,SUMIF('DADOS BRUTOS'!$A$3:$A$500,$C36,'DADOS BRUTOS'!T$3:T$500)))</f>
        <v/>
      </c>
      <c r="CU36" s="125">
        <f>IF(OR(CU$4="",$B36=""),0,SUMIF('DADOS BRUTOS'!$A$3:$A$500,$B36,'DADOS BRUTOS'!U$3:U$500)+IF($C36="",0,SUMIF('DADOS BRUTOS'!$A$3:$A$500,$C36,'DADOS BRUTOS'!U$3:U$500)))</f>
        <v/>
      </c>
      <c r="CV36" s="125">
        <f>IF(OR(CV$4="",$B36=""),0,SUMIF('DADOS BRUTOS'!$A$3:$A$500,$B36,'DADOS BRUTOS'!V$3:V$500)+IF($C36="",0,SUMIF('DADOS BRUTOS'!$A$3:$A$500,$C36,'DADOS BRUTOS'!V$3:V$500)))</f>
        <v/>
      </c>
      <c r="CW36" s="125">
        <f>IF(OR(CW$4="",$B36=""),0,SUMIF('DADOS BRUTOS'!$A$3:$A$500,$B36,'DADOS BRUTOS'!W$3:W$500)+IF($C36="",0,SUMIF('DADOS BRUTOS'!$A$3:$A$500,$C36,'DADOS BRUTOS'!W$3:W$500)))</f>
        <v/>
      </c>
      <c r="CX36" s="125">
        <f>IF(OR(CX$4="",$B36=""),0,SUMIF('DADOS BRUTOS'!$A$3:$A$500,$B36,'DADOS BRUTOS'!X$3:X$500)+IF($C36="",0,SUMIF('DADOS BRUTOS'!$A$3:$A$500,$C36,'DADOS BRUTOS'!X$3:X$500)))</f>
        <v/>
      </c>
      <c r="CY36" s="125">
        <f>IF(OR(CY$4="",$B36=""),0,SUMIF('DADOS BRUTOS'!$A$3:$A$500,$B36,'DADOS BRUTOS'!Y$3:Y$500)+IF($C36="",0,SUMIF('DADOS BRUTOS'!$A$3:$A$500,$C36,'DADOS BRUTOS'!Y$3:Y$500)))</f>
        <v/>
      </c>
      <c r="CZ36" s="125">
        <f>IF(OR(CZ$4="",$B36=""),0,SUMIF('DADOS BRUTOS'!$A$3:$A$500,$B36,'DADOS BRUTOS'!Z$3:Z$500)+IF($C36="",0,SUMIF('DADOS BRUTOS'!$A$3:$A$500,$C36,'DADOS BRUTOS'!Z$3:Z$500)))</f>
        <v/>
      </c>
      <c r="DA36" s="125">
        <f>IF(OR(DA$4="",$B36=""),0,SUMIF('DADOS BRUTOS'!$A$3:$A$500,$B36,'DADOS BRUTOS'!AA$3:AA$500)+IF($C36="",0,SUMIF('DADOS BRUTOS'!$A$3:$A$500,$C36,'DADOS BRUTOS'!AA$3:AA$500)))</f>
        <v/>
      </c>
      <c r="DB36" s="125">
        <f>IF(OR(DB$4="",$B36=""),0,SUMIF('DADOS BRUTOS'!$A$3:$A$500,$B36,'DADOS BRUTOS'!AB$3:AB$500)+IF($C36="",0,SUMIF('DADOS BRUTOS'!$A$3:$A$500,$C36,'DADOS BRUTOS'!AB$3:AB$500)))</f>
        <v/>
      </c>
      <c r="DC36" s="125">
        <f>IF(OR(DC$4="",$B36=""),0,SUMIF('DADOS BRUTOS'!$A$3:$A$500,$B36,'DADOS BRUTOS'!AC$3:AC$500)+IF($C36="",0,SUMIF('DADOS BRUTOS'!$A$3:$A$500,$C36,'DADOS BRUTOS'!AC$3:AC$500)))</f>
        <v/>
      </c>
      <c r="DD36" s="125">
        <f>IF(OR(DD$4="",$B36=""),0,SUMIF('DADOS BRUTOS'!$A$3:$A$500,$B36,'DADOS BRUTOS'!AD$3:AD$500)+IF($C36="",0,SUMIF('DADOS BRUTOS'!$A$3:$A$500,$C36,'DADOS BRUTOS'!AD$3:AD$500)))</f>
        <v/>
      </c>
      <c r="DE36" s="125">
        <f>IF(OR(DE$4="",$B36=""),0,SUMIF('DADOS BRUTOS'!$A$3:$A$500,$B36,'DADOS BRUTOS'!AE$3:AE$500)+IF($C36="",0,SUMIF('DADOS BRUTOS'!$A$3:$A$500,$C36,'DADOS BRUTOS'!AE$3:AE$500)))</f>
        <v/>
      </c>
      <c r="DF36" s="125">
        <f>IF(OR(DF$4="",$B36=""),0,SUMIF('DADOS BRUTOS'!$A$3:$A$500,$B36,'DADOS BRUTOS'!AF$3:AF$500)+IF($C36="",0,SUMIF('DADOS BRUTOS'!$A$3:$A$500,$C36,'DADOS BRUTOS'!AF$3:AF$500)))</f>
        <v/>
      </c>
      <c r="DG36" s="125">
        <f>IF(OR(DG$4="",$B36=""),0,SUMIF('DADOS BRUTOS'!$A$3:$A$500,$B36,'DADOS BRUTOS'!AG$3:AG$500)+IF($C36="",0,SUMIF('DADOS BRUTOS'!$A$3:$A$500,$C36,'DADOS BRUTOS'!AG$3:AG$500)))</f>
        <v/>
      </c>
      <c r="DH36" s="125">
        <f>IF(OR(DH$4="",$B36=""),0,SUMIF('DADOS BRUTOS'!$A$3:$A$500,$B36,'DADOS BRUTOS'!AH$3:AH$500)+IF($C36="",0,SUMIF('DADOS BRUTOS'!$A$3:$A$500,$C36,'DADOS BRUTOS'!AH$3:AH$500)))</f>
        <v/>
      </c>
      <c r="DI36" s="125">
        <f>IF(OR(DI$4="",$B36=""),0,SUMIF('DADOS BRUTOS'!$A$3:$A$500,$B36,'DADOS BRUTOS'!AI$3:AI$500)+IF($C36="",0,SUMIF('DADOS BRUTOS'!$A$3:$A$500,$C36,'DADOS BRUTOS'!AI$3:AI$500)))</f>
        <v/>
      </c>
      <c r="DJ36" s="125">
        <f>IF(OR(DJ$4="",$B36=""),0,SUMIF('DADOS BRUTOS'!$A$3:$A$500,$B36,'DADOS BRUTOS'!AJ$3:AJ$500)+IF($C36="",0,SUMIF('DADOS BRUTOS'!$A$3:$A$500,$C36,'DADOS BRUTOS'!AJ$3:AJ$500)))</f>
        <v/>
      </c>
      <c r="DK36" s="125">
        <f>IF(OR(DK$4="",$B36=""),0,SUMIF('DADOS BRUTOS'!$A$3:$A$500,$B36,'DADOS BRUTOS'!AK$3:AK$500)+IF($C36="",0,SUMIF('DADOS BRUTOS'!$A$3:$A$500,$C36,'DADOS BRUTOS'!AK$3:AK$500)))</f>
        <v/>
      </c>
      <c r="DL36" s="125">
        <f>IF(OR(DL$4="",$B36=""),0,SUMIF('DADOS BRUTOS'!$A$3:$A$500,$B36,'DADOS BRUTOS'!AL$3:AL$500)+IF($C36="",0,SUMIF('DADOS BRUTOS'!$A$3:$A$500,$C36,'DADOS BRUTOS'!AL$3:AL$500)))</f>
        <v/>
      </c>
      <c r="DM36" s="125">
        <f>IF(OR(DM$4="",$B36=""),0,SUMIF('DADOS BRUTOS'!$A$3:$A$500,$B36,'DADOS BRUTOS'!AM$3:AM$500)+IF($C36="",0,SUMIF('DADOS BRUTOS'!$A$3:$A$500,$C36,'DADOS BRUTOS'!AM$3:AM$500)))</f>
        <v/>
      </c>
      <c r="DN36" s="125">
        <f>IF(OR(DN$4="",$B36=""),0,SUMIF('DADOS BRUTOS'!$A$3:$A$500,$B36,'DADOS BRUTOS'!AN$3:AN$500)+IF($C36="",0,SUMIF('DADOS BRUTOS'!$A$3:$A$500,$C36,'DADOS BRUTOS'!AN$3:AN$500)))</f>
        <v/>
      </c>
      <c r="DO36" s="125">
        <f>IF(OR(DO$4="",$B36=""),0,SUMIF('DADOS BRUTOS'!$A$3:$A$500,$B36,'DADOS BRUTOS'!AO$3:AO$500)+IF($C36="",0,SUMIF('DADOS BRUTOS'!$A$3:$A$500,$C36,'DADOS BRUTOS'!AO$3:AO$500)))</f>
        <v/>
      </c>
      <c r="DP36" s="125">
        <f>IF(OR(DP$4="",$B36=""),0,SUMIF('DADOS BRUTOS'!$A$3:$A$500,$B36,'DADOS BRUTOS'!AP$3:AP$500)+IF($C36="",0,SUMIF('DADOS BRUTOS'!$A$3:$A$500,$C36,'DADOS BRUTOS'!AP$3:AP$500)))</f>
        <v/>
      </c>
      <c r="DQ36" s="125">
        <f>IF(OR(DQ$4="",$B36=""),0,SUMIF('DADOS BRUTOS'!$A$3:$A$500,$B36,'DADOS BRUTOS'!AQ$3:AQ$500)+IF($C36="",0,SUMIF('DADOS BRUTOS'!$A$3:$A$500,$C36,'DADOS BRUTOS'!AQ$3:AQ$500)))</f>
        <v/>
      </c>
      <c r="DR36" s="125">
        <f>IF(OR(DR$4="",$B36=""),0,SUMIF('DADOS BRUTOS'!$A$3:$A$500,$B36,'DADOS BRUTOS'!AR$3:AR$500)+IF($C36="",0,SUMIF('DADOS BRUTOS'!$A$3:$A$500,$C36,'DADOS BRUTOS'!AR$3:AR$500)))</f>
        <v/>
      </c>
      <c r="DS36" s="125">
        <f>IF(OR(DS$4="",$B36=""),0,SUMIF('DADOS BRUTOS'!$A$3:$A$500,$B36,'DADOS BRUTOS'!AS$3:AS$500)+IF($C36="",0,SUMIF('DADOS BRUTOS'!$A$3:$A$500,$C36,'DADOS BRUTOS'!AS$3:AS$500)))</f>
        <v/>
      </c>
      <c r="DT36" s="125">
        <f>IF(OR(DT$4="",$B36=""),0,SUMIF('DADOS BRUTOS'!$A$3:$A$500,$B36,'DADOS BRUTOS'!AT$3:AT$500)+IF($C36="",0,SUMIF('DADOS BRUTOS'!$A$3:$A$500,$C36,'DADOS BRUTOS'!AT$3:AT$500)))</f>
        <v/>
      </c>
      <c r="DU36" s="125">
        <f>IF(OR(DU$4="",$B36=""),0,SUMIF('DADOS BRUTOS'!$A$3:$A$500,$B36,'DADOS BRUTOS'!AU$3:AU$500)+IF($C36="",0,SUMIF('DADOS BRUTOS'!$A$3:$A$500,$C36,'DADOS BRUTOS'!AU$3:AU$500)))</f>
        <v/>
      </c>
      <c r="DV36" s="125">
        <f>IF(OR(DV$4="",$B36=""),0,SUMIF('DADOS BRUTOS'!$A$3:$A$500,$B36,'DADOS BRUTOS'!AV$3:AV$500)+IF($C36="",0,SUMIF('DADOS BRUTOS'!$A$3:$A$500,$C36,'DADOS BRUTOS'!AV$3:AV$500)))</f>
        <v/>
      </c>
      <c r="DW36" s="125">
        <f>IF(OR(DW$4="",$B36=""),0,SUMIF('DADOS BRUTOS'!$A$3:$A$500,$B36,'DADOS BRUTOS'!AW$3:AW$500)+IF($C36="",0,SUMIF('DADOS BRUTOS'!$A$3:$A$500,$C36,'DADOS BRUTOS'!AW$3:AW$500)))</f>
        <v/>
      </c>
      <c r="DX36" s="125">
        <f>IF(OR(DX$4="",$B36=""),0,SUMIF('DADOS BRUTOS'!$A$3:$A$500,$B36,'DADOS BRUTOS'!AX$3:AX$500)+IF($C36="",0,SUMIF('DADOS BRUTOS'!$A$3:$A$500,$C36,'DADOS BRUTOS'!AX$3:AX$500)))</f>
        <v/>
      </c>
      <c r="DY36" s="125">
        <f>IF(OR(DY$4="",$B36=""),0,SUMIF('DADOS BRUTOS'!$A$3:$A$500,$B36,'DADOS BRUTOS'!AY$3:AY$500)+IF($C36="",0,SUMIF('DADOS BRUTOS'!$A$3:$A$500,$C36,'DADOS BRUTOS'!AY$3:AY$500)))</f>
        <v/>
      </c>
      <c r="DZ36" s="125">
        <f>IF(OR(DZ$4="",$B36=""),0,SUMIF('DADOS BRUTOS'!$A$3:$A$500,$B36,'DADOS BRUTOS'!AZ$3:AZ$500)+IF($C36="",0,SUMIF('DADOS BRUTOS'!$A$3:$A$500,$C36,'DADOS BRUTOS'!AZ$3:AZ$500)))</f>
        <v/>
      </c>
      <c r="EA36" s="125">
        <f>IF(OR(EA$4="",$B36=""),0,SUMIF('DADOS BRUTOS'!$A$3:$A$500,$B36,'DADOS BRUTOS'!BA$3:BA$500)+IF($C36="",0,SUMIF('DADOS BRUTOS'!$A$3:$A$500,$C36,'DADOS BRUTOS'!BA$3:BA$500)))</f>
        <v/>
      </c>
      <c r="EB36" s="125">
        <f>IF(OR(EB$4="",$B36=""),0,SUMIF('DADOS BRUTOS'!$A$3:$A$500,$B36,'DADOS BRUTOS'!BB$3:BB$500)+IF($C36="",0,SUMIF('DADOS BRUTOS'!$A$3:$A$500,$C36,'DADOS BRUTOS'!BB$3:BB$500)))</f>
        <v/>
      </c>
      <c r="EC36" s="125">
        <f>IF(OR(EC$4="",$B36=""),0,SUMIF('DADOS BRUTOS'!$A$3:$A$500,$B36,'DADOS BRUTOS'!BC$3:BC$500)+IF($C36="",0,SUMIF('DADOS BRUTOS'!$A$3:$A$500,$C36,'DADOS BRUTOS'!BC$3:BC$500)))</f>
        <v/>
      </c>
      <c r="ED36" s="125">
        <f>IF(OR(ED$4="",$B36=""),0,SUMIF('DADOS BRUTOS'!$A$3:$A$500,$B36,'DADOS BRUTOS'!BD$3:BD$500)+IF($C36="",0,SUMIF('DADOS BRUTOS'!$A$3:$A$500,$C36,'DADOS BRUTOS'!BD$3:BD$500)))</f>
        <v/>
      </c>
      <c r="EE36" s="125">
        <f>IF(OR(EE$4="",$B36=""),0,SUMIF('DADOS BRUTOS'!$A$3:$A$500,$B36,'DADOS BRUTOS'!BE$3:BE$500)+IF($C36="",0,SUMIF('DADOS BRUTOS'!$A$3:$A$500,$C36,'DADOS BRUTOS'!BE$3:BE$500)))</f>
        <v/>
      </c>
      <c r="EF36" s="125">
        <f>IF(OR(EF$4="",$B36=""),0,SUMIF('DADOS BRUTOS'!$A$3:$A$500,$B36,'DADOS BRUTOS'!BF$3:BF$500)+IF($C36="",0,SUMIF('DADOS BRUTOS'!$A$3:$A$500,$C36,'DADOS BRUTOS'!BF$3:BF$500)))</f>
        <v/>
      </c>
      <c r="EG36" s="125">
        <f>IF(OR(EG$4="",$B36=""),0,SUMIF('DADOS BRUTOS'!$A$3:$A$500,$B36,'DADOS BRUTOS'!BG$3:BG$500)+IF($C36="",0,SUMIF('DADOS BRUTOS'!$A$3:$A$500,$C36,'DADOS BRUTOS'!BG$3:BG$500)))</f>
        <v/>
      </c>
      <c r="EH36" s="125">
        <f>IF(OR(EH$4="",$B36=""),0,SUMIF('DADOS BRUTOS'!$A$3:$A$500,$B36,'DADOS BRUTOS'!BH$3:BH$500)+IF($C36="",0,SUMIF('DADOS BRUTOS'!$A$3:$A$500,$C36,'DADOS BRUTOS'!BH$3:BH$500)))</f>
        <v/>
      </c>
      <c r="EI36" s="125">
        <f>IF(OR(EI$4="",$B36=""),0,SUMIF('DADOS BRUTOS'!$A$3:$A$500,$B36,'DADOS BRUTOS'!BI$3:BI$500)+IF($C36="",0,SUMIF('DADOS BRUTOS'!$A$3:$A$500,$C36,'DADOS BRUTOS'!BI$3:BI$500)))</f>
        <v/>
      </c>
      <c r="EJ36" s="125">
        <f>IF(OR(EJ$4="",$B36=""),0,SUMIF('DADOS BRUTOS'!$A$3:$A$500,$B36,'DADOS BRUTOS'!BJ$3:BJ$500)+IF($C36="",0,SUMIF('DADOS BRUTOS'!$A$3:$A$500,$C36,'DADOS BRUTOS'!BJ$3:BJ$500)))</f>
        <v/>
      </c>
      <c r="EK36" s="125">
        <f>IF(OR(EK$4="",$B36=""),0,SUMIF('DADOS BRUTOS'!$A$3:$A$500,$B36,'DADOS BRUTOS'!BK$3:BK$500)+IF($C36="",0,SUMIF('DADOS BRUTOS'!$A$3:$A$500,$C36,'DADOS BRUTOS'!BK$3:BK$500)))</f>
        <v/>
      </c>
      <c r="EL36" s="125">
        <f>IF(OR(EL$4="",$B36=""),0,SUMIF('DADOS BRUTOS'!$A$3:$A$500,$B36,'DADOS BRUTOS'!BL$3:BL$500)+IF($C36="",0,SUMIF('DADOS BRUTOS'!$A$3:$A$500,$C36,'DADOS BRUTOS'!BL$3:BL$500)))</f>
        <v/>
      </c>
      <c r="EM36" s="125">
        <f>IF(OR(EM$4="",$B36=""),0,SUMIF('DADOS BRUTOS'!$A$3:$A$500,$B36,'DADOS BRUTOS'!BM$3:BM$500)+IF($C36="",0,SUMIF('DADOS BRUTOS'!$A$3:$A$500,$C36,'DADOS BRUTOS'!BM$3:BM$500)))</f>
        <v/>
      </c>
      <c r="EN36" s="125">
        <f>IF(OR(EN$4="",$B36=""),0,SUMIF('DADOS BRUTOS'!$A$3:$A$500,$B36,'DADOS BRUTOS'!BN$3:BN$500)+IF($C36="",0,SUMIF('DADOS BRUTOS'!$A$3:$A$500,$C36,'DADOS BRUTOS'!BN$3:BN$500)))</f>
        <v/>
      </c>
      <c r="EO36" s="125">
        <f>IF(OR(EO$4="",$B36=""),0,SUMIF('DADOS BRUTOS'!$A$3:$A$500,$B36,'DADOS BRUTOS'!BO$3:BO$500)+IF($C36="",0,SUMIF('DADOS BRUTOS'!$A$3:$A$500,$C36,'DADOS BRUTOS'!BO$3:BO$500)))</f>
        <v/>
      </c>
      <c r="EP36" s="125">
        <f>IF(OR(EP$4="",$B36=""),0,SUMIF('DADOS BRUTOS'!$A$3:$A$500,$B36,'DADOS BRUTOS'!BP$3:BP$500)+IF($C36="",0,SUMIF('DADOS BRUTOS'!$A$3:$A$500,$C36,'DADOS BRUTOS'!BP$3:BP$500)))</f>
        <v/>
      </c>
      <c r="EQ36" s="125">
        <f>IF(OR(EQ$4="",$B36=""),0,SUMIF('DADOS BRUTOS'!$A$3:$A$500,$B36,'DADOS BRUTOS'!BQ$3:BQ$500)+IF($C36="",0,SUMIF('DADOS BRUTOS'!$A$3:$A$500,$C36,'DADOS BRUTOS'!BQ$3:BQ$500)))</f>
        <v/>
      </c>
      <c r="ER36" s="125">
        <f>IF(OR(ER$4="",$B36=""),0,SUMIF('DADOS BRUTOS'!$A$3:$A$500,$B36,'DADOS BRUTOS'!BR$3:BR$500)+IF($C36="",0,SUMIF('DADOS BRUTOS'!$A$3:$A$500,$C36,'DADOS BRUTOS'!BR$3:BR$500)))</f>
        <v/>
      </c>
      <c r="ES36" s="125">
        <f>IF(OR(ES$4="",$B36=""),0,SUMIF('DADOS BRUTOS'!$A$3:$A$500,$B36,'DADOS BRUTOS'!BS$3:BS$500)+IF($C36="",0,SUMIF('DADOS BRUTOS'!$A$3:$A$500,$C36,'DADOS BRUTOS'!BS$3:BS$500)))</f>
        <v/>
      </c>
      <c r="ET36" s="125">
        <f>IF(OR(ET$4="",$B36=""),0,SUMIF('DADOS BRUTOS'!$A$3:$A$500,$B36,'DADOS BRUTOS'!BT$3:BT$500)+IF($C36="",0,SUMIF('DADOS BRUTOS'!$A$3:$A$500,$C36,'DADOS BRUTOS'!BT$3:BT$500)))</f>
        <v/>
      </c>
      <c r="EU36" s="125">
        <f>IF(OR(EU$4="",$B36=""),0,SUMIF('DADOS BRUTOS'!$A$3:$A$500,$B36,'DADOS BRUTOS'!BU$3:BU$500)+IF($C36="",0,SUMIF('DADOS BRUTOS'!$A$3:$A$500,$C36,'DADOS BRUTOS'!BU$3:BU$500)))</f>
        <v/>
      </c>
      <c r="EV36" s="125">
        <f>IF(OR(EV$4="",$B36=""),0,SUMIF('DADOS BRUTOS'!$A$3:$A$500,$B36,'DADOS BRUTOS'!BV$3:BV$500)+IF($C36="",0,SUMIF('DADOS BRUTOS'!$A$3:$A$500,$C36,'DADOS BRUTOS'!BV$3:BV$500)))</f>
        <v/>
      </c>
      <c r="EW36" s="125">
        <f>IF(OR(EW$4="",$B36=""),0,SUMIF('DADOS BRUTOS'!$A$3:$A$500,$B36,'DADOS BRUTOS'!BW$3:BW$500)+IF($C36="",0,SUMIF('DADOS BRUTOS'!$A$3:$A$500,$C36,'DADOS BRUTOS'!BW$3:BW$500)))</f>
        <v/>
      </c>
      <c r="EX36" s="125">
        <f>IF(OR(EX$4="",$B36=""),0,SUMIF('DADOS BRUTOS'!$A$3:$A$500,$B36,'DADOS BRUTOS'!BX$3:BX$500)+IF($C36="",0,SUMIF('DADOS BRUTOS'!$A$3:$A$500,$C36,'DADOS BRUTOS'!BX$3:BX$500)))</f>
        <v/>
      </c>
      <c r="EY36" s="125">
        <f>IF(OR(EY$4="",$B36=""),0,SUMIF('DADOS BRUTOS'!$A$3:$A$500,$B36,'DADOS BRUTOS'!BY$3:BY$500)+IF($C36="",0,SUMIF('DADOS BRUTOS'!$A$3:$A$500,$C36,'DADOS BRUTOS'!BY$3:BY$500)))</f>
        <v/>
      </c>
      <c r="EZ36" s="125">
        <f>IF(OR(EZ$4="",$B36=""),0,SUMIF('DADOS BRUTOS'!$A$3:$A$500,$B36,'DADOS BRUTOS'!BZ$3:BZ$500)+IF($C36="",0,SUMIF('DADOS BRUTOS'!$A$3:$A$500,$C36,'DADOS BRUTOS'!BZ$3:BZ$500)))</f>
        <v/>
      </c>
      <c r="FA36" s="125">
        <f>IF(OR(FA$4="",$B36=""),0,SUMIF('DADOS BRUTOS'!$A$3:$A$500,$B36,'DADOS BRUTOS'!CA$3:CA$500)+IF($C36="",0,SUMIF('DADOS BRUTOS'!$A$3:$A$500,$C36,'DADOS BRUTOS'!CA$3:CA$500)))</f>
        <v/>
      </c>
      <c r="FB36" s="125">
        <f>IF(OR(FB$4="",$B36=""),0,SUMIF('DADOS BRUTOS'!$A$3:$A$500,$B36,'DADOS BRUTOS'!CB$3:CB$500)+IF($C36="",0,SUMIF('DADOS BRUTOS'!$A$3:$A$500,$C36,'DADOS BRUTOS'!CB$3:CB$500)))</f>
        <v/>
      </c>
      <c r="FC36" s="125">
        <f>IF(OR(FC$4="",$B36=""),0,SUMIF('DADOS BRUTOS'!$A$3:$A$500,$B36,'DADOS BRUTOS'!CC$3:CC$500)+IF($C36="",0,SUMIF('DADOS BRUTOS'!$A$3:$A$500,$C36,'DADOS BRUTOS'!CC$3:CC$500)))</f>
        <v/>
      </c>
      <c r="FD36" s="125">
        <f>IF(OR(FD$4="",$B36=""),0,SUMIF('DADOS BRUTOS'!$A$3:$A$500,$B36,'DADOS BRUTOS'!CD$3:CD$500)+IF($C36="",0,SUMIF('DADOS BRUTOS'!$A$3:$A$500,$C36,'DADOS BRUTOS'!CD$3:CD$500)))</f>
        <v/>
      </c>
      <c r="FE36" s="125">
        <f>IF(OR(FE$4="",$B36=""),0,SUMIF('DADOS BRUTOS'!$A$3:$A$500,$B36,'DADOS BRUTOS'!CE$3:CE$500)+IF($C36="",0,SUMIF('DADOS BRUTOS'!$A$3:$A$500,$C36,'DADOS BRUTOS'!CE$3:CE$500)))</f>
        <v/>
      </c>
      <c r="FF36" s="125">
        <f>IF(OR(FF$4="",$B36=""),0,SUMIF('DADOS BRUTOS'!$A$3:$A$500,$B36,'DADOS BRUTOS'!CF$3:CF$500)+IF($C36="",0,SUMIF('DADOS BRUTOS'!$A$3:$A$500,$C36,'DADOS BRUTOS'!CF$3:CF$500)))</f>
        <v/>
      </c>
      <c r="FG36" s="125">
        <f>IF(OR(FG$4="",$B36=""),0,SUMIF('DADOS BRUTOS'!$A$3:$A$500,$B36,'DADOS BRUTOS'!CG$3:CG$500)+IF($C36="",0,SUMIF('DADOS BRUTOS'!$A$3:$A$500,$C36,'DADOS BRUTOS'!CG$3:CG$500)))</f>
        <v/>
      </c>
      <c r="FH36" s="125">
        <f>IF(OR(FH$4="",$B36=""),0,SUMIF('DADOS BRUTOS'!$A$3:$A$500,$B36,'DADOS BRUTOS'!CH$3:CH$500)+IF($C36="",0,SUMIF('DADOS BRUTOS'!$A$3:$A$500,$C36,'DADOS BRUTOS'!CH$3:CH$500)))</f>
        <v/>
      </c>
      <c r="FI36" s="125">
        <f>IF(OR(FI$4="",$B36=""),0,SUMIF('DADOS BRUTOS'!$A$3:$A$500,$B36,'DADOS BRUTOS'!CI$3:CI$500)+IF($C36="",0,SUMIF('DADOS BRUTOS'!$A$3:$A$500,$C36,'DADOS BRUTOS'!CI$3:CI$500)))</f>
        <v/>
      </c>
      <c r="FJ36" s="125">
        <f>IF(OR(FJ$4="",$B36=""),0,SUMIF('DADOS BRUTOS'!$A$3:$A$500,$B36,'DADOS BRUTOS'!CJ$3:CJ$500)+IF($C36="",0,SUMIF('DADOS BRUTOS'!$A$3:$A$500,$C36,'DADOS BRUTOS'!CJ$3:CJ$500)))</f>
        <v/>
      </c>
      <c r="FK36" s="125">
        <f>IF(OR(FK$4="",$B36=""),0,SUMIF('DADOS BRUTOS'!$A$3:$A$500,$B36,'DADOS BRUTOS'!CK$3:CK$500)+IF($C36="",0,SUMIF('DADOS BRUTOS'!$A$3:$A$500,$C36,'DADOS BRUTOS'!CK$3:CK$500)))</f>
        <v/>
      </c>
      <c r="FL36" s="125">
        <f>IF(OR(FL$4="",$B36=""),0,SUMIF('DADOS BRUTOS'!$A$3:$A$500,$B36,'DADOS BRUTOS'!CL$3:CL$500)+IF($C36="",0,SUMIF('DADOS BRUTOS'!$A$3:$A$500,$C36,'DADOS BRUTOS'!CL$3:CL$500)))</f>
        <v/>
      </c>
      <c r="FM36" s="125">
        <f>IF(OR(FM$4="",$B36=""),0,SUMIF('DADOS BRUTOS'!$A$3:$A$500,$B36,'DADOS BRUTOS'!CM$3:CM$500)+IF($C36="",0,SUMIF('DADOS BRUTOS'!$A$3:$A$500,$C36,'DADOS BRUTOS'!CM$3:CM$500)))</f>
        <v/>
      </c>
      <c r="FN36" s="125">
        <f>IF(OR(FN$4="",$B36=""),0,SUMIF('DADOS BRUTOS'!$A$3:$A$500,$B36,'DADOS BRUTOS'!CN$3:CN$500)+IF($C36="",0,SUMIF('DADOS BRUTOS'!$A$3:$A$500,$C36,'DADOS BRUTOS'!CN$3:CN$500)))</f>
        <v/>
      </c>
      <c r="FO36" s="125">
        <f>IF(OR(FO$4="",$B36=""),0,SUMIF('DADOS BRUTOS'!$A$3:$A$500,$B36,'DADOS BRUTOS'!CO$3:CO$500)+IF($C36="",0,SUMIF('DADOS BRUTOS'!$A$3:$A$500,$C36,'DADOS BRUTOS'!CO$3:CO$500)))</f>
        <v/>
      </c>
      <c r="FP36" s="125">
        <f>IF(OR(FP$4="",$B36=""),0,SUMIF('DADOS BRUTOS'!$A$3:$A$500,$B36,'DADOS BRUTOS'!CP$3:CP$500)+IF($C36="",0,SUMIF('DADOS BRUTOS'!$A$3:$A$500,$C36,'DADOS BRUTOS'!CP$3:CP$500)))</f>
        <v/>
      </c>
      <c r="FQ36" s="125">
        <f>IF(OR(FQ$4="",$B36=""),0,SUMIF('DADOS BRUTOS'!$A$3:$A$500,$B36,'DADOS BRUTOS'!CQ$3:CQ$500)+IF($C36="",0,SUMIF('DADOS BRUTOS'!$A$3:$A$500,$C36,'DADOS BRUTOS'!CQ$3:CQ$500)))</f>
        <v/>
      </c>
      <c r="FR36" s="125">
        <f>IF(OR(FR$4="",$B36=""),0,SUMIF('DADOS BRUTOS'!$A$3:$A$500,$B36,'DADOS BRUTOS'!CR$3:CR$500)+IF($C36="",0,SUMIF('DADOS BRUTOS'!$A$3:$A$500,$C36,'DADOS BRUTOS'!CR$3:CR$500)))</f>
        <v/>
      </c>
      <c r="FS36" s="125">
        <f>IF(OR(FS$4="",$B36=""),0,SUMIF('DADOS BRUTOS'!$A$3:$A$500,$B36,'DADOS BRUTOS'!CS$3:CS$500)+IF($C36="",0,SUMIF('DADOS BRUTOS'!$A$3:$A$500,$C36,'DADOS BRUTOS'!CS$3:CS$500)))</f>
        <v/>
      </c>
      <c r="FT36" s="125">
        <f>IF(OR(FT$4="",$B36=""),0,SUMIF('DADOS BRUTOS'!$A$3:$A$500,$B36,'DADOS BRUTOS'!CT$3:CT$500)+IF($C36="",0,SUMIF('DADOS BRUTOS'!$A$3:$A$500,$C36,'DADOS BRUTOS'!CT$3:CT$500)))</f>
        <v/>
      </c>
      <c r="FU36" s="125">
        <f>IF(OR(FU$4="",$B36=""),0,SUMIF('DADOS BRUTOS'!$A$3:$A$500,$B36,'DADOS BRUTOS'!CU$3:CU$500)+IF($C36="",0,SUMIF('DADOS BRUTOS'!$A$3:$A$500,$C36,'DADOS BRUTOS'!CU$3:CU$500)))</f>
        <v/>
      </c>
      <c r="FV36" s="125">
        <f>IF(OR(FV$4="",$B36=""),0,SUMIF('DADOS BRUTOS'!$A$3:$A$500,$B36,'DADOS BRUTOS'!CV$3:CV$500)+IF($C36="",0,SUMIF('DADOS BRUTOS'!$A$3:$A$500,$C36,'DADOS BRUTOS'!CV$3:CV$500)))</f>
        <v/>
      </c>
      <c r="FW36" s="125">
        <f>IF(OR(FW$4="",$B36=""),0,SUMIF('DADOS BRUTOS'!$A$3:$A$500,$B36,'DADOS BRUTOS'!CW$3:CW$500)+IF($C36="",0,SUMIF('DADOS BRUTOS'!$A$3:$A$500,$C36,'DADOS BRUTOS'!CW$3:CW$500)))</f>
        <v/>
      </c>
      <c r="FX36" s="125">
        <f>IF(OR(FX$4="",$B36=""),0,SUMIF('DADOS BRUTOS'!$A$3:$A$500,$B36,'DADOS BRUTOS'!CX$3:CX$500)+IF($C36="",0,SUMIF('DADOS BRUTOS'!$A$3:$A$500,$C36,'DADOS BRUTOS'!CX$3:CX$500)))</f>
        <v/>
      </c>
      <c r="FY36" s="125">
        <f>IF(OR(FY$4="",$B36=""),0,SUMIF('DADOS BRUTOS'!$A$3:$A$500,$B36,'DADOS BRUTOS'!CY$3:CY$500)+IF($C36="",0,SUMIF('DADOS BRUTOS'!$A$3:$A$500,$C36,'DADOS BRUTOS'!CY$3:CY$500)))</f>
        <v/>
      </c>
      <c r="FZ36" s="125">
        <f>IF(OR(FZ$4="",$B36=""),0,SUMIF('DADOS BRUTOS'!$A$3:$A$500,$B36,'DADOS BRUTOS'!CZ$3:CZ$500)+IF($C36="",0,SUMIF('DADOS BRUTOS'!$A$3:$A$500,$C36,'DADOS BRUTOS'!CZ$3:CZ$500)))</f>
        <v/>
      </c>
      <c r="GA36" s="125">
        <f>IF(OR(GA$4="",$B36=""),0,SUMIF('DADOS BRUTOS'!$A$3:$A$500,$B36,'DADOS BRUTOS'!DA$3:DA$500)+IF($C36="",0,SUMIF('DADOS BRUTOS'!$A$3:$A$500,$C36,'DADOS BRUTOS'!DA$3:DA$500)))</f>
        <v/>
      </c>
      <c r="GB36" s="125">
        <f>IF(OR(GB$4="",$B36=""),0,SUMIF('DADOS BRUTOS'!$A$3:$A$500,$B36,'DADOS BRUTOS'!DB$3:DB$500)+IF($C36="",0,SUMIF('DADOS BRUTOS'!$A$3:$A$500,$C36,'DADOS BRUTOS'!DB$3:DB$500)))</f>
        <v/>
      </c>
      <c r="GC36" s="125">
        <f>IF(OR(GC$4="",$B36=""),0,SUMIF('DADOS BRUTOS'!$A$3:$A$500,$B36,'DADOS BRUTOS'!DC$3:DC$500)+IF($C36="",0,SUMIF('DADOS BRUTOS'!$A$3:$A$500,$C36,'DADOS BRUTOS'!DC$3:DC$500)))</f>
        <v/>
      </c>
      <c r="GD36" s="125">
        <f>IF(OR(GD$4="",$B36=""),0,SUMIF('DADOS BRUTOS'!$A$3:$A$500,$B36,'DADOS BRUTOS'!DD$3:DD$500)+IF($C36="",0,SUMIF('DADOS BRUTOS'!$A$3:$A$500,$C36,'DADOS BRUTOS'!DD$3:DD$500)))</f>
        <v/>
      </c>
      <c r="GE36" s="125">
        <f>IF(OR(GE$4="",$B36=""),0,SUMIF('DADOS BRUTOS'!$A$3:$A$500,$B36,'DADOS BRUTOS'!DE$3:DE$500)+IF($C36="",0,SUMIF('DADOS BRUTOS'!$A$3:$A$500,$C36,'DADOS BRUTOS'!DE$3:DE$500)))</f>
        <v/>
      </c>
      <c r="GF36" s="125">
        <f>IF(OR(GF$4="",$B36=""),0,SUMIF('DADOS BRUTOS'!$A$3:$A$500,$B36,'DADOS BRUTOS'!DF$3:DF$500)+IF($C36="",0,SUMIF('DADOS BRUTOS'!$A$3:$A$500,$C36,'DADOS BRUTOS'!DF$3:DF$500)))</f>
        <v/>
      </c>
      <c r="GG36" s="125">
        <f>IF(OR(GG$4="",$B36=""),0,SUMIF('DADOS BRUTOS'!$A$3:$A$500,$B36,'DADOS BRUTOS'!DG$3:DG$500)+IF($C36="",0,SUMIF('DADOS BRUTOS'!$A$3:$A$500,$C36,'DADOS BRUTOS'!DG$3:DG$500)))</f>
        <v/>
      </c>
      <c r="GH36" s="125">
        <f>IF(OR(GH$4="",$B36=""),0,SUMIF('DADOS BRUTOS'!$A$3:$A$500,$B36,'DADOS BRUTOS'!DH$3:DH$500)+IF($C36="",0,SUMIF('DADOS BRUTOS'!$A$3:$A$500,$C36,'DADOS BRUTOS'!DH$3:DH$500)))</f>
        <v/>
      </c>
      <c r="GI36" s="125">
        <f>IF(OR(GI$4="",$B36=""),0,SUMIF('DADOS BRUTOS'!$A$3:$A$500,$B36,'DADOS BRUTOS'!DI$3:DI$500)+IF($C36="",0,SUMIF('DADOS BRUTOS'!$A$3:$A$500,$C36,'DADOS BRUTOS'!DI$3:DI$500)))</f>
        <v/>
      </c>
      <c r="GJ36" s="125">
        <f>IF(OR(GJ$4="",$B36=""),0,SUMIF('DADOS BRUTOS'!$A$3:$A$500,$B36,'DADOS BRUTOS'!DJ$3:DJ$500)+IF($C36="",0,SUMIF('DADOS BRUTOS'!$A$3:$A$500,$C36,'DADOS BRUTOS'!DJ$3:DJ$500)))</f>
        <v/>
      </c>
      <c r="GK36" s="125">
        <f>IF(OR(GK$4="",$B36=""),0,SUMIF('DADOS BRUTOS'!$A$3:$A$500,$B36,'DADOS BRUTOS'!DK$3:DK$500)+IF($C36="",0,SUMIF('DADOS BRUTOS'!$A$3:$A$500,$C36,'DADOS BRUTOS'!DK$3:DK$500)))</f>
        <v/>
      </c>
      <c r="GL36" s="125">
        <f>IF(OR(GL$4="",$B36=""),0,SUMIF('DADOS BRUTOS'!$A$3:$A$500,$B36,'DADOS BRUTOS'!DL$3:DL$500)+IF($C36="",0,SUMIF('DADOS BRUTOS'!$A$3:$A$500,$C36,'DADOS BRUTOS'!DL$3:DL$500)))</f>
        <v/>
      </c>
      <c r="GM36" s="125">
        <f>IF(OR(GM$4="",$B36=""),0,SUMIF('DADOS BRUTOS'!$A$3:$A$500,$B36,'DADOS BRUTOS'!DM$3:DM$500)+IF($C36="",0,SUMIF('DADOS BRUTOS'!$A$3:$A$500,$C36,'DADOS BRUTOS'!DM$3:DM$500)))</f>
        <v/>
      </c>
      <c r="GN36" s="125">
        <f>IF(OR(GN$4="",$B36=""),0,SUMIF('DADOS BRUTOS'!$A$3:$A$500,$B36,'DADOS BRUTOS'!DN$3:DN$500)+IF($C36="",0,SUMIF('DADOS BRUTOS'!$A$3:$A$500,$C36,'DADOS BRUTOS'!DN$3:DN$500)))</f>
        <v/>
      </c>
      <c r="GO36" s="125">
        <f>IF(OR(GO$4="",$B36=""),0,SUMIF('DADOS BRUTOS'!$A$3:$A$500,$B36,'DADOS BRUTOS'!DO$3:DO$500)+IF($C36="",0,SUMIF('DADOS BRUTOS'!$A$3:$A$500,$C36,'DADOS BRUTOS'!DO$3:DO$500)))</f>
        <v/>
      </c>
      <c r="GP36" s="125">
        <f>IF(OR(GP$4="",$B36=""),0,SUMIF('DADOS BRUTOS'!$A$3:$A$500,$B36,'DADOS BRUTOS'!DP$3:DP$500)+IF($C36="",0,SUMIF('DADOS BRUTOS'!$A$3:$A$500,$C36,'DADOS BRUTOS'!DP$3:DP$500)))</f>
        <v/>
      </c>
      <c r="GQ36" s="125">
        <f>IF(OR(GQ$4="",$B36=""),0,SUMIF('DADOS BRUTOS'!$A$3:$A$500,$B36,'DADOS BRUTOS'!DQ$3:DQ$500)+IF($C36="",0,SUMIF('DADOS BRUTOS'!$A$3:$A$500,$C36,'DADOS BRUTOS'!DQ$3:DQ$500)))</f>
        <v/>
      </c>
      <c r="GR36" s="125">
        <f>IF(OR(GR$4="",$B36=""),0,SUMIF('DADOS BRUTOS'!$A$3:$A$500,$B36,'DADOS BRUTOS'!DR$3:DR$500)+IF($C36="",0,SUMIF('DADOS BRUTOS'!$A$3:$A$500,$C36,'DADOS BRUTOS'!DR$3:DR$500)))</f>
        <v/>
      </c>
      <c r="GS36" s="125">
        <f>IF(OR(GS$4="",$B36=""),0,SUMIF('DADOS BRUTOS'!$A$3:$A$500,$B36,'DADOS BRUTOS'!DS$3:DS$500)+IF($C36="",0,SUMIF('DADOS BRUTOS'!$A$3:$A$500,$C36,'DADOS BRUTOS'!DS$3:DS$500)))</f>
        <v/>
      </c>
      <c r="GT36" s="125">
        <f>IF(OR(GT$4="",$B36=""),0,SUMIF('DADOS BRUTOS'!$A$3:$A$500,$B36,'DADOS BRUTOS'!DT$3:DT$500)+IF($C36="",0,SUMIF('DADOS BRUTOS'!$A$3:$A$500,$C36,'DADOS BRUTOS'!DT$3:DT$500)))</f>
        <v/>
      </c>
      <c r="GU36" s="125">
        <f>IF(OR(GU$4="",$B36=""),0,SUMIF('DADOS BRUTOS'!$A$3:$A$500,$B36,'DADOS BRUTOS'!DU$3:DU$500)+IF($C36="",0,SUMIF('DADOS BRUTOS'!$A$3:$A$500,$C36,'DADOS BRUTOS'!DU$3:DU$500)))</f>
        <v/>
      </c>
      <c r="GV36" s="125">
        <f>IF(OR(GV$4="",$B36=""),0,SUMIF('DADOS BRUTOS'!$A$3:$A$500,$B36,'DADOS BRUTOS'!DV$3:DV$500)+IF($C36="",0,SUMIF('DADOS BRUTOS'!$A$3:$A$500,$C36,'DADOS BRUTOS'!DV$3:DV$500)))</f>
        <v/>
      </c>
      <c r="GW36" s="125">
        <f>IF(OR(GW$4="",$B36=""),0,SUMIF('DADOS BRUTOS'!$A$3:$A$500,$B36,'DADOS BRUTOS'!DW$3:DW$500)+IF($C36="",0,SUMIF('DADOS BRUTOS'!$A$3:$A$500,$C36,'DADOS BRUTOS'!DW$3:DW$500)))</f>
        <v/>
      </c>
      <c r="GX36" s="125">
        <f>IF(OR(GX$4="",$B36=""),0,SUMIF('DADOS BRUTOS'!$A$3:$A$500,$B36,'DADOS BRUTOS'!DX$3:DX$500)+IF($C36="",0,SUMIF('DADOS BRUTOS'!$A$3:$A$500,$C36,'DADOS BRUTOS'!DX$3:DX$500)))</f>
        <v/>
      </c>
      <c r="GY36" s="125">
        <f>IF(OR(GY$4="",$B36=""),0,SUMIF('DADOS BRUTOS'!$A$3:$A$500,$B36,'DADOS BRUTOS'!DY$3:DY$500)+IF($C36="",0,SUMIF('DADOS BRUTOS'!$A$3:$A$500,$C36,'DADOS BRUTOS'!DY$3:DY$500)))</f>
        <v/>
      </c>
      <c r="GZ36" s="125">
        <f>IF(OR(GZ$4="",$B36=""),0,SUMIF('DADOS BRUTOS'!$A$3:$A$500,$B36,'DADOS BRUTOS'!DZ$3:DZ$500)+IF($C36="",0,SUMIF('DADOS BRUTOS'!$A$3:$A$500,$C36,'DADOS BRUTOS'!DZ$3:DZ$500)))</f>
        <v/>
      </c>
      <c r="HA36" s="125">
        <f>IF(OR(HA$4="",$B36=""),0,SUMIF('DADOS BRUTOS'!$A$3:$A$500,$B36,'DADOS BRUTOS'!EA$3:EA$500)+IF($C36="",0,SUMIF('DADOS BRUTOS'!$A$3:$A$500,$C36,'DADOS BRUTOS'!EA$3:EA$500)))</f>
        <v/>
      </c>
      <c r="HB36" s="125">
        <f>IF(OR(HB$4="",$B36=""),0,SUMIF('DADOS BRUTOS'!$A$3:$A$500,$B36,'DADOS BRUTOS'!EB$3:EB$500)+IF($C36="",0,SUMIF('DADOS BRUTOS'!$A$3:$A$500,$C36,'DADOS BRUTOS'!EB$3:EB$500)))</f>
        <v/>
      </c>
      <c r="HC36" s="125">
        <f>IF(OR(HC$4="",$B36=""),0,SUMIF('DADOS BRUTOS'!$A$3:$A$500,$B36,'DADOS BRUTOS'!EC$3:EC$500)+IF($C36="",0,SUMIF('DADOS BRUTOS'!$A$3:$A$500,$C36,'DADOS BRUTOS'!EC$3:EC$500)))</f>
        <v/>
      </c>
      <c r="HD36" s="125">
        <f>IF(OR(HD$4="",$B36=""),0,SUMIF('DADOS BRUTOS'!$A$3:$A$500,$B36,'DADOS BRUTOS'!ED$3:ED$500)+IF($C36="",0,SUMIF('DADOS BRUTOS'!$A$3:$A$500,$C36,'DADOS BRUTOS'!ED$3:ED$500)))</f>
        <v/>
      </c>
      <c r="HE36" s="125">
        <f>IF(OR(HE$4="",$B36=""),0,SUMIF('DADOS BRUTOS'!$A$3:$A$500,$B36,'DADOS BRUTOS'!EE$3:EE$500)+IF($C36="",0,SUMIF('DADOS BRUTOS'!$A$3:$A$500,$C36,'DADOS BRUTOS'!EE$3:EE$500)))</f>
        <v/>
      </c>
      <c r="HF36" s="125">
        <f>IF(OR(HF$4="",$B36=""),0,SUMIF('DADOS BRUTOS'!$A$3:$A$500,$B36,'DADOS BRUTOS'!EF$3:EF$500)+IF($C36="",0,SUMIF('DADOS BRUTOS'!$A$3:$A$500,$C36,'DADOS BRUTOS'!EF$3:EF$500)))</f>
        <v/>
      </c>
      <c r="HG36" s="125">
        <f>IF(OR(HG$4="",$B36=""),0,SUMIF('DADOS BRUTOS'!$A$3:$A$500,$B36,'DADOS BRUTOS'!EG$3:EG$500)+IF($C36="",0,SUMIF('DADOS BRUTOS'!$A$3:$A$500,$C36,'DADOS BRUTOS'!EG$3:EG$500)))</f>
        <v/>
      </c>
      <c r="HH36" s="125">
        <f>IF(OR(HH$4="",$B36=""),0,SUMIF('DADOS BRUTOS'!$A$3:$A$500,$B36,'DADOS BRUTOS'!EH$3:EH$500)+IF($C36="",0,SUMIF('DADOS BRUTOS'!$A$3:$A$500,$C36,'DADOS BRUTOS'!EH$3:EH$500)))</f>
        <v/>
      </c>
      <c r="HI36" s="125">
        <f>IF(OR(HI$4="",$B36=""),0,SUMIF('DADOS BRUTOS'!$A$3:$A$500,$B36,'DADOS BRUTOS'!EI$3:EI$500)+IF($C36="",0,SUMIF('DADOS BRUTOS'!$A$3:$A$500,$C36,'DADOS BRUTOS'!EI$3:EI$500)))</f>
        <v/>
      </c>
      <c r="HJ36" s="125">
        <f>IF(OR(HJ$4="",$B36=""),0,SUMIF('DADOS BRUTOS'!$A$3:$A$500,$B36,'DADOS BRUTOS'!EJ$3:EJ$500)+IF($C36="",0,SUMIF('DADOS BRUTOS'!$A$3:$A$500,$C36,'DADOS BRUTOS'!EJ$3:EJ$500)))</f>
        <v/>
      </c>
      <c r="HK36" s="125">
        <f>IF(OR(HK$4="",$B36=""),0,SUMIF('DADOS BRUTOS'!$A$3:$A$500,$B36,'DADOS BRUTOS'!EK$3:EK$500)+IF($C36="",0,SUMIF('DADOS BRUTOS'!$A$3:$A$500,$C36,'DADOS BRUTOS'!EK$3:EK$500)))</f>
        <v/>
      </c>
      <c r="HL36" s="125">
        <f>IF(OR(HL$4="",$B36=""),0,SUMIF('DADOS BRUTOS'!$A$3:$A$500,$B36,'DADOS BRUTOS'!EL$3:EL$500)+IF($C36="",0,SUMIF('DADOS BRUTOS'!$A$3:$A$500,$C36,'DADOS BRUTOS'!EL$3:EL$500)))</f>
        <v/>
      </c>
      <c r="HM36" s="125">
        <f>IF(OR(HM$4="",$B36=""),0,SUMIF('DADOS BRUTOS'!$A$3:$A$500,$B36,'DADOS BRUTOS'!EM$3:EM$500)+IF($C36="",0,SUMIF('DADOS BRUTOS'!$A$3:$A$500,$C36,'DADOS BRUTOS'!EM$3:EM$500)))</f>
        <v/>
      </c>
      <c r="HN36" s="125">
        <f>IF(OR(HN$4="",$B36=""),0,SUMIF('DADOS BRUTOS'!$A$3:$A$500,$B36,'DADOS BRUTOS'!EN$3:EN$500)+IF($C36="",0,SUMIF('DADOS BRUTOS'!$A$3:$A$500,$C36,'DADOS BRUTOS'!EN$3:EN$500)))</f>
        <v/>
      </c>
      <c r="HO36" s="125">
        <f>IF(OR(HO$4="",$B36=""),0,SUMIF('DADOS BRUTOS'!$A$3:$A$500,$B36,'DADOS BRUTOS'!EO$3:EO$500)+IF($C36="",0,SUMIF('DADOS BRUTOS'!$A$3:$A$500,$C36,'DADOS BRUTOS'!EO$3:EO$500)))</f>
        <v/>
      </c>
      <c r="HP36" s="125">
        <f>IF(OR(HP$4="",$B36=""),0,SUMIF('DADOS BRUTOS'!$A$3:$A$500,$B36,'DADOS BRUTOS'!EP$3:EP$500)+IF($C36="",0,SUMIF('DADOS BRUTOS'!$A$3:$A$500,$C36,'DADOS BRUTOS'!EP$3:EP$500)))</f>
        <v/>
      </c>
      <c r="HQ36" s="125">
        <f>IF(OR(HQ$4="",$B36=""),0,SUMIF('DADOS BRUTOS'!$A$3:$A$500,$B36,'DADOS BRUTOS'!EQ$3:EQ$500)+IF($C36="",0,SUMIF('DADOS BRUTOS'!$A$3:$A$500,$C36,'DADOS BRUTOS'!EQ$3:EQ$500)))</f>
        <v/>
      </c>
      <c r="HR36" s="125">
        <f>IF(OR(HR$4="",$B36=""),0,SUMIF('DADOS BRUTOS'!$A$3:$A$500,$B36,'DADOS BRUTOS'!ER$3:ER$500)+IF($C36="",0,SUMIF('DADOS BRUTOS'!$A$3:$A$500,$C36,'DADOS BRUTOS'!ER$3:ER$500)))</f>
        <v/>
      </c>
      <c r="HS36" s="125">
        <f>IF(OR(HS$4="",$B36=""),0,SUMIF('DADOS BRUTOS'!$A$3:$A$500,$B36,'DADOS BRUTOS'!ES$3:ES$500)+IF($C36="",0,SUMIF('DADOS BRUTOS'!$A$3:$A$500,$C36,'DADOS BRUTOS'!ES$3:ES$500)))</f>
        <v/>
      </c>
      <c r="HT36" s="125">
        <f>IF(OR(HT$4="",$B36=""),0,SUMIF('DADOS BRUTOS'!$A$3:$A$500,$B36,'DADOS BRUTOS'!ET$3:ET$500)+IF($C36="",0,SUMIF('DADOS BRUTOS'!$A$3:$A$500,$C36,'DADOS BRUTOS'!ET$3:ET$500)))</f>
        <v/>
      </c>
      <c r="HU36" s="125">
        <f>IF(OR(HU$4="",$B36=""),0,SUMIF('DADOS BRUTOS'!$A$3:$A$500,$B36,'DADOS BRUTOS'!EU$3:EU$500)+IF($C36="",0,SUMIF('DADOS BRUTOS'!$A$3:$A$500,$C36,'DADOS BRUTOS'!EU$3:EU$500)))</f>
        <v/>
      </c>
      <c r="HV36" s="125">
        <f>IF(OR(HV$4="",$B36=""),0,SUMIF('DADOS BRUTOS'!$A$3:$A$500,$B36,'DADOS BRUTOS'!EV$3:EV$500)+IF($C36="",0,SUMIF('DADOS BRUTOS'!$A$3:$A$500,$C36,'DADOS BRUTOS'!EV$3:EV$500)))</f>
        <v/>
      </c>
      <c r="HW36" s="125">
        <f>IF(OR(HW$4="",$B36=""),0,SUMIF('DADOS BRUTOS'!$A$3:$A$500,$B36,'DADOS BRUTOS'!EW$3:EW$500)+IF($C36="",0,SUMIF('DADOS BRUTOS'!$A$3:$A$500,$C36,'DADOS BRUTOS'!EW$3:EW$500)))</f>
        <v/>
      </c>
      <c r="HX36" s="125">
        <f>IF(OR(HX$4="",$B36=""),0,SUMIF('DADOS BRUTOS'!$A$3:$A$500,$B36,'DADOS BRUTOS'!EX$3:EX$500)+IF($C36="",0,SUMIF('DADOS BRUTOS'!$A$3:$A$500,$C36,'DADOS BRUTOS'!EX$3:EX$500)))</f>
        <v/>
      </c>
      <c r="HY36" s="125">
        <f>IF(OR(HY$4="",$B36=""),0,SUMIF('DADOS BRUTOS'!$A$3:$A$500,$B36,'DADOS BRUTOS'!EY$3:EY$500)+IF($C36="",0,SUMIF('DADOS BRUTOS'!$A$3:$A$500,$C36,'DADOS BRUTOS'!EY$3:EY$500)))</f>
        <v/>
      </c>
      <c r="HZ36" s="125">
        <f>IF(OR(HZ$4="",$B36=""),0,SUMIF('DADOS BRUTOS'!$A$3:$A$500,$B36,'DADOS BRUTOS'!EZ$3:EZ$500)+IF($C36="",0,SUMIF('DADOS BRUTOS'!$A$3:$A$500,$C36,'DADOS BRUTOS'!EZ$3:EZ$500)))</f>
        <v/>
      </c>
      <c r="IA36" s="125">
        <f>IF(OR(IA$4="",$B36=""),0,SUMIF('DADOS BRUTOS'!$A$3:$A$500,$B36,'DADOS BRUTOS'!FA$3:FA$500)+IF($C36="",0,SUMIF('DADOS BRUTOS'!$A$3:$A$500,$C36,'DADOS BRUTOS'!FA$3:FA$500)))</f>
        <v/>
      </c>
      <c r="IB36" s="125">
        <f>IF(OR(IB$4="",$B36=""),0,SUMIF('DADOS BRUTOS'!$A$3:$A$500,$B36,'DADOS BRUTOS'!FB$3:FB$500)+IF($C36="",0,SUMIF('DADOS BRUTOS'!$A$3:$A$500,$C36,'DADOS BRUTOS'!FB$3:FB$500)))</f>
        <v/>
      </c>
      <c r="IC36" s="125">
        <f>IF(OR(IC$4="",$B36=""),0,SUMIF('DADOS BRUTOS'!$A$3:$A$500,$B36,'DADOS BRUTOS'!FC$3:FC$500)+IF($C36="",0,SUMIF('DADOS BRUTOS'!$A$3:$A$500,$C36,'DADOS BRUTOS'!FC$3:FC$500)))</f>
        <v/>
      </c>
      <c r="ID36" s="125">
        <f>IF(OR(ID$4="",$B36=""),0,SUMIF('DADOS BRUTOS'!$A$3:$A$500,$B36,'DADOS BRUTOS'!FD$3:FD$500)+IF($C36="",0,SUMIF('DADOS BRUTOS'!$A$3:$A$500,$C36,'DADOS BRUTOS'!FD$3:FD$500)))</f>
        <v/>
      </c>
      <c r="IE36" s="125">
        <f>IF(OR(IE$4="",$B36=""),0,SUMIF('DADOS BRUTOS'!$A$3:$A$500,$B36,'DADOS BRUTOS'!FE$3:FE$500)+IF($C36="",0,SUMIF('DADOS BRUTOS'!$A$3:$A$500,$C36,'DADOS BRUTOS'!FE$3:FE$500)))</f>
        <v/>
      </c>
      <c r="IF36" s="125">
        <f>IF(OR(IF$4="",$B36=""),0,SUMIF('DADOS BRUTOS'!$A$3:$A$500,$B36,'DADOS BRUTOS'!FF$3:FF$500)+IF($C36="",0,SUMIF('DADOS BRUTOS'!$A$3:$A$500,$C36,'DADOS BRUTOS'!FF$3:FF$500)))</f>
        <v/>
      </c>
      <c r="IG36" s="125">
        <f>IF(OR(IG$4="",$B36=""),0,SUMIF('DADOS BRUTOS'!$A$3:$A$500,$B36,'DADOS BRUTOS'!FG$3:FG$500)+IF($C36="",0,SUMIF('DADOS BRUTOS'!$A$3:$A$500,$C36,'DADOS BRUTOS'!FG$3:FG$500)))</f>
        <v/>
      </c>
      <c r="IH36" s="125">
        <f>IF(OR(IH$4="",$B36=""),0,SUMIF('DADOS BRUTOS'!$A$3:$A$500,$B36,'DADOS BRUTOS'!FH$3:FH$500)+IF($C36="",0,SUMIF('DADOS BRUTOS'!$A$3:$A$500,$C36,'DADOS BRUTOS'!FH$3:FH$500)))</f>
        <v/>
      </c>
      <c r="II36" s="125">
        <f>IF(OR(II$4="",$B36=""),0,SUMIF('DADOS BRUTOS'!$A$3:$A$500,$B36,'DADOS BRUTOS'!FI$3:FI$500)+IF($C36="",0,SUMIF('DADOS BRUTOS'!$A$3:$A$500,$C36,'DADOS BRUTOS'!FI$3:FI$500)))</f>
        <v/>
      </c>
      <c r="IJ36" s="125">
        <f>IF(OR(IJ$4="",$B36=""),0,SUMIF('DADOS BRUTOS'!$A$3:$A$500,$B36,'DADOS BRUTOS'!FJ$3:FJ$500)+IF($C36="",0,SUMIF('DADOS BRUTOS'!$A$3:$A$500,$C36,'DADOS BRUTOS'!FJ$3:FJ$500)))</f>
        <v/>
      </c>
      <c r="IK36" s="125">
        <f>IF(OR(IK$4="",$B36=""),0,SUMIF('DADOS BRUTOS'!$A$3:$A$500,$B36,'DADOS BRUTOS'!FK$3:FK$500)+IF($C36="",0,SUMIF('DADOS BRUTOS'!$A$3:$A$500,$C36,'DADOS BRUTOS'!FK$3:FK$500)))</f>
        <v/>
      </c>
      <c r="IL36" s="125">
        <f>IF(OR(IL$4="",$B36=""),0,SUMIF('DADOS BRUTOS'!$A$3:$A$500,$B36,'DADOS BRUTOS'!FL$3:FL$500)+IF($C36="",0,SUMIF('DADOS BRUTOS'!$A$3:$A$500,$C36,'DADOS BRUTOS'!FL$3:FL$500)))</f>
        <v/>
      </c>
      <c r="IM36" s="125">
        <f>IF(OR(IM$4="",$B36=""),0,SUMIF('DADOS BRUTOS'!$A$3:$A$500,$B36,'DADOS BRUTOS'!FM$3:FM$500)+IF($C36="",0,SUMIF('DADOS BRUTOS'!$A$3:$A$500,$C36,'DADOS BRUTOS'!FM$3:FM$500)))</f>
        <v/>
      </c>
      <c r="IN36" s="125">
        <f>IF(OR(IN$4="",$B36=""),0,SUMIF('DADOS BRUTOS'!$A$3:$A$500,$B36,'DADOS BRUTOS'!FN$3:FN$500)+IF($C36="",0,SUMIF('DADOS BRUTOS'!$A$3:$A$500,$C36,'DADOS BRUTOS'!FN$3:FN$500)))</f>
        <v/>
      </c>
      <c r="IO36" s="125">
        <f>IF(OR(IO$4="",$B36=""),0,SUMIF('DADOS BRUTOS'!$A$3:$A$500,$B36,'DADOS BRUTOS'!FO$3:FO$500)+IF($C36="",0,SUMIF('DADOS BRUTOS'!$A$3:$A$500,$C36,'DADOS BRUTOS'!FO$3:FO$500)))</f>
        <v/>
      </c>
      <c r="IP36" s="125">
        <f>IF(OR(IP$4="",$B36=""),0,SUMIF('DADOS BRUTOS'!$A$3:$A$500,$B36,'DADOS BRUTOS'!FP$3:FP$500)+IF($C36="",0,SUMIF('DADOS BRUTOS'!$A$3:$A$500,$C36,'DADOS BRUTOS'!FP$3:FP$500)))</f>
        <v/>
      </c>
      <c r="IQ36" s="125">
        <f>IF(OR(IQ$4="",$B36=""),0,SUMIF('DADOS BRUTOS'!$A$3:$A$500,$B36,'DADOS BRUTOS'!FQ$3:FQ$500)+IF($C36="",0,SUMIF('DADOS BRUTOS'!$A$3:$A$500,$C36,'DADOS BRUTOS'!FQ$3:FQ$500)))</f>
        <v/>
      </c>
      <c r="IR36" s="125">
        <f>IF(OR(IR$4="",$B36=""),0,SUMIF('DADOS BRUTOS'!$A$3:$A$500,$B36,'DADOS BRUTOS'!FR$3:FR$500)+IF($C36="",0,SUMIF('DADOS BRUTOS'!$A$3:$A$500,$C36,'DADOS BRUTOS'!FR$3:FR$500)))</f>
        <v/>
      </c>
      <c r="IS36" s="125">
        <f>IF(OR(IS$4="",$B36=""),0,SUMIF('DADOS BRUTOS'!$A$3:$A$500,$B36,'DADOS BRUTOS'!FS$3:FS$500)+IF($C36="",0,SUMIF('DADOS BRUTOS'!$A$3:$A$500,$C36,'DADOS BRUTOS'!FS$3:FS$500)))</f>
        <v/>
      </c>
      <c r="IT36" s="125">
        <f>IF(OR(IT$4="",$B36=""),0,SUMIF('DADOS BRUTOS'!$A$3:$A$500,$B36,'DADOS BRUTOS'!FT$3:FT$500)+IF($C36="",0,SUMIF('DADOS BRUTOS'!$A$3:$A$500,$C36,'DADOS BRUTOS'!FT$3:FT$500)))</f>
        <v/>
      </c>
      <c r="IU36" s="125">
        <f>IF(OR(IU$4="",$B36=""),0,SUMIF('DADOS BRUTOS'!$A$3:$A$500,$B36,'DADOS BRUTOS'!FU$3:FU$500)+IF($C36="",0,SUMIF('DADOS BRUTOS'!$A$3:$A$500,$C36,'DADOS BRUTOS'!FU$3:FU$500)))</f>
        <v/>
      </c>
      <c r="IV36" s="125">
        <f>IF(OR(IV$4="",$B36=""),0,SUMIF('DADOS BRUTOS'!$A$3:$A$500,$B36,'DADOS BRUTOS'!FV$3:FV$500)+IF($C36="",0,SUMIF('DADOS BRUTOS'!$A$3:$A$500,$C36,'DADOS BRUTOS'!FV$3:FV$500)))</f>
        <v/>
      </c>
      <c r="IW36" s="125">
        <f>IF(OR(IW$4="",$B36=""),0,SUMIF('DADOS BRUTOS'!$A$3:$A$500,$B36,'DADOS BRUTOS'!FW$3:FW$500)+IF($C36="",0,SUMIF('DADOS BRUTOS'!$A$3:$A$500,$C36,'DADOS BRUTOS'!FW$3:FW$500)))</f>
        <v/>
      </c>
      <c r="IX36" s="125">
        <f>IF(OR(IX$4="",$B36=""),0,SUMIF('DADOS BRUTOS'!$A$3:$A$500,$B36,'DADOS BRUTOS'!FX$3:FX$500)+IF($C36="",0,SUMIF('DADOS BRUTOS'!$A$3:$A$500,$C36,'DADOS BRUTOS'!FX$3:FX$500)))</f>
        <v/>
      </c>
      <c r="IY36" s="125">
        <f>IF(OR(IY$4="",$B36=""),0,SUMIF('DADOS BRUTOS'!$A$3:$A$500,$B36,'DADOS BRUTOS'!FY$3:FY$500)+IF($C36="",0,SUMIF('DADOS BRUTOS'!$A$3:$A$500,$C36,'DADOS BRUTOS'!FY$3:FY$500)))</f>
        <v/>
      </c>
      <c r="IZ36" s="125">
        <f>IF(OR(IZ$4="",$B36=""),0,SUMIF('DADOS BRUTOS'!$A$3:$A$500,$B36,'DADOS BRUTOS'!FZ$3:FZ$500)+IF($C36="",0,SUMIF('DADOS BRUTOS'!$A$3:$A$500,$C36,'DADOS BRUTOS'!FZ$3:FZ$500)))</f>
        <v/>
      </c>
      <c r="JA36" s="125">
        <f>IF(OR(JA$4="",$B36=""),0,SUMIF('DADOS BRUTOS'!$A$3:$A$500,$B36,'DADOS BRUTOS'!GA$3:GA$500)+IF($C36="",0,SUMIF('DADOS BRUTOS'!$A$3:$A$500,$C36,'DADOS BRUTOS'!GA$3:GA$500)))</f>
        <v/>
      </c>
      <c r="JB36" s="125">
        <f>IF(OR(JB$4="",$B36=""),0,SUMIF('DADOS BRUTOS'!$A$3:$A$500,$B36,'DADOS BRUTOS'!GB$3:GB$500)+IF($C36="",0,SUMIF('DADOS BRUTOS'!$A$3:$A$500,$C36,'DADOS BRUTOS'!GB$3:GB$500)))</f>
        <v/>
      </c>
      <c r="JC36" s="125">
        <f>IF(OR(JC$4="",$B36=""),0,SUMIF('DADOS BRUTOS'!$A$3:$A$500,$B36,'DADOS BRUTOS'!GC$3:GC$500)+IF($C36="",0,SUMIF('DADOS BRUTOS'!$A$3:$A$500,$C36,'DADOS BRUTOS'!GC$3:GC$500)))</f>
        <v/>
      </c>
      <c r="JD36" s="125">
        <f>IF(OR(JD$4="",$B36=""),0,SUMIF('DADOS BRUTOS'!$A$3:$A$500,$B36,'DADOS BRUTOS'!GD$3:GD$500)+IF($C36="",0,SUMIF('DADOS BRUTOS'!$A$3:$A$500,$C36,'DADOS BRUTOS'!GD$3:GD$500)))</f>
        <v/>
      </c>
      <c r="JE36" s="125">
        <f>IF(OR(JE$4="",$B36=""),0,SUMIF('DADOS BRUTOS'!$A$3:$A$500,$B36,'DADOS BRUTOS'!GE$3:GE$500)+IF($C36="",0,SUMIF('DADOS BRUTOS'!$A$3:$A$500,$C36,'DADOS BRUTOS'!GE$3:GE$500)))</f>
        <v/>
      </c>
      <c r="JF36" s="125">
        <f>IF(OR(JF$4="",$B36=""),0,SUMIF('DADOS BRUTOS'!$A$3:$A$500,$B36,'DADOS BRUTOS'!GF$3:GF$500)+IF($C36="",0,SUMIF('DADOS BRUTOS'!$A$3:$A$500,$C36,'DADOS BRUTOS'!GF$3:GF$500)))</f>
        <v/>
      </c>
      <c r="JG36" s="125">
        <f>IF(OR(JG$4="",$B36=""),0,SUMIF('DADOS BRUTOS'!$A$3:$A$500,$B36,'DADOS BRUTOS'!GG$3:GG$500)+IF($C36="",0,SUMIF('DADOS BRUTOS'!$A$3:$A$500,$C36,'DADOS BRUTOS'!GG$3:GG$500)))</f>
        <v/>
      </c>
      <c r="JH36" s="125">
        <f>IF(OR(JH$4="",$B36=""),0,SUMIF('DADOS BRUTOS'!$A$3:$A$500,$B36,'DADOS BRUTOS'!GH$3:GH$500)+IF($C36="",0,SUMIF('DADOS BRUTOS'!$A$3:$A$500,$C36,'DADOS BRUTOS'!GH$3:GH$500)))</f>
        <v/>
      </c>
      <c r="JI36" s="125">
        <f>IF(OR(JI$4="",$B36=""),0,SUMIF('DADOS BRUTOS'!$A$3:$A$500,$B36,'DADOS BRUTOS'!GI$3:GI$500)+IF($C36="",0,SUMIF('DADOS BRUTOS'!$A$3:$A$500,$C36,'DADOS BRUTOS'!GI$3:GI$500)))</f>
        <v/>
      </c>
      <c r="JJ36" s="125">
        <f>IF(OR(JJ$4="",$B36=""),0,SUMIF('DADOS BRUTOS'!$A$3:$A$500,$B36,'DADOS BRUTOS'!GJ$3:GJ$500)+IF($C36="",0,SUMIF('DADOS BRUTOS'!$A$3:$A$500,$C36,'DADOS BRUTOS'!GJ$3:GJ$500)))</f>
        <v/>
      </c>
      <c r="JK36" s="125">
        <f>IF(OR(JK$4="",$B36=""),0,SUMIF('DADOS BRUTOS'!$A$3:$A$500,$B36,'DADOS BRUTOS'!GK$3:GK$500)+IF($C36="",0,SUMIF('DADOS BRUTOS'!$A$3:$A$500,$C36,'DADOS BRUTOS'!GK$3:GK$500)))</f>
        <v/>
      </c>
      <c r="JL36" s="125">
        <f>IF(OR(JL$4="",$B36=""),0,SUMIF('DADOS BRUTOS'!$A$3:$A$500,$B36,'DADOS BRUTOS'!GL$3:GL$500)+IF($C36="",0,SUMIF('DADOS BRUTOS'!$A$3:$A$500,$C36,'DADOS BRUTOS'!GL$3:GL$500)))</f>
        <v/>
      </c>
      <c r="JM36" s="125">
        <f>IF(OR(JM$4="",$B36=""),0,SUMIF('DADOS BRUTOS'!$A$3:$A$500,$B36,'DADOS BRUTOS'!GM$3:GM$500)+IF($C36="",0,SUMIF('DADOS BRUTOS'!$A$3:$A$500,$C36,'DADOS BRUTOS'!GM$3:GM$500)))</f>
        <v/>
      </c>
      <c r="JN36" s="125">
        <f>IF(OR(JN$4="",$B36=""),0,SUMIF('DADOS BRUTOS'!$A$3:$A$500,$B36,'DADOS BRUTOS'!GN$3:GN$500)+IF($C36="",0,SUMIF('DADOS BRUTOS'!$A$3:$A$500,$C36,'DADOS BRUTOS'!GN$3:GN$500)))</f>
        <v/>
      </c>
      <c r="JO36" s="125">
        <f>IF(OR(JO$4="",$B36=""),0,SUMIF('DADOS BRUTOS'!$A$3:$A$500,$B36,'DADOS BRUTOS'!GO$3:GO$500)+IF($C36="",0,SUMIF('DADOS BRUTOS'!$A$3:$A$500,$C36,'DADOS BRUTOS'!GO$3:GO$500)))</f>
        <v/>
      </c>
      <c r="JP36" s="125">
        <f>IF(OR(JP$4="",$B36=""),0,SUMIF('DADOS BRUTOS'!$A$3:$A$500,$B36,'DADOS BRUTOS'!GP$3:GP$500)+IF($C36="",0,SUMIF('DADOS BRUTOS'!$A$3:$A$500,$C36,'DADOS BRUTOS'!GP$3:GP$500)))</f>
        <v/>
      </c>
      <c r="JQ36" s="125">
        <f>IF(OR(JQ$4="",$B36=""),0,SUMIF('DADOS BRUTOS'!$A$3:$A$500,$B36,'DADOS BRUTOS'!GQ$3:GQ$500)+IF($C36="",0,SUMIF('DADOS BRUTOS'!$A$3:$A$500,$C36,'DADOS BRUTOS'!GQ$3:GQ$500)))</f>
        <v/>
      </c>
      <c r="JR36" s="125">
        <f>IF(OR(JR$4="",$B36=""),0,SUMIF('DADOS BRUTOS'!$A$3:$A$500,$B36,'DADOS BRUTOS'!GR$3:GR$500)+IF($C36="",0,SUMIF('DADOS BRUTOS'!$A$3:$A$500,$C36,'DADOS BRUTOS'!GR$3:GR$500)))</f>
        <v/>
      </c>
      <c r="JS36" s="125">
        <f>IF(OR(JS$4="",$B36=""),0,SUMIF('DADOS BRUTOS'!$A$3:$A$500,$B36,'DADOS BRUTOS'!GS$3:GS$500)+IF($C36="",0,SUMIF('DADOS BRUTOS'!$A$3:$A$500,$C36,'DADOS BRUTOS'!GS$3:GS$500)))</f>
        <v/>
      </c>
    </row>
    <row r="37">
      <c r="A37" s="61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BZ37" s="49">
        <f>SUMPRODUCT(($CB$4:$JS$4&lt;&gt;"")*($CB$4:$JS$4&lt;=$D$4),$CB37:$JS37,$CB$1:$JS$1)</f>
        <v/>
      </c>
      <c r="CB37" s="125">
        <f>IF(OR(CB$4="",$B37=""),0,SUMIF('DADOS BRUTOS'!$A$3:$A$500,$B37,'DADOS BRUTOS'!B$3:B$500)+IF($C37="",0,SUMIF('DADOS BRUTOS'!$A$3:$A$500,$C37,'DADOS BRUTOS'!B$3:B$500)))</f>
        <v/>
      </c>
      <c r="CC37" s="125">
        <f>IF(OR(CC$4="",$B37=""),0,SUMIF('DADOS BRUTOS'!$A$3:$A$500,$B37,'DADOS BRUTOS'!C$3:C$500)+IF($C37="",0,SUMIF('DADOS BRUTOS'!$A$3:$A$500,$C37,'DADOS BRUTOS'!C$3:C$500)))</f>
        <v/>
      </c>
      <c r="CD37" s="125">
        <f>IF(OR(CD$4="",$B37=""),0,SUMIF('DADOS BRUTOS'!$A$3:$A$500,$B37,'DADOS BRUTOS'!D$3:D$500)+IF($C37="",0,SUMIF('DADOS BRUTOS'!$A$3:$A$500,$C37,'DADOS BRUTOS'!D$3:D$500)))</f>
        <v/>
      </c>
      <c r="CE37" s="125">
        <f>IF(OR(CE$4="",$B37=""),0,SUMIF('DADOS BRUTOS'!$A$3:$A$500,$B37,'DADOS BRUTOS'!E$3:E$500)+IF($C37="",0,SUMIF('DADOS BRUTOS'!$A$3:$A$500,$C37,'DADOS BRUTOS'!E$3:E$500)))</f>
        <v/>
      </c>
      <c r="CF37" s="125">
        <f>IF(OR(CF$4="",$B37=""),0,SUMIF('DADOS BRUTOS'!$A$3:$A$500,$B37,'DADOS BRUTOS'!F$3:F$500)+IF($C37="",0,SUMIF('DADOS BRUTOS'!$A$3:$A$500,$C37,'DADOS BRUTOS'!F$3:F$500)))</f>
        <v/>
      </c>
      <c r="CG37" s="125">
        <f>IF(OR(CG$4="",$B37=""),0,SUMIF('DADOS BRUTOS'!$A$3:$A$500,$B37,'DADOS BRUTOS'!G$3:G$500)+IF($C37="",0,SUMIF('DADOS BRUTOS'!$A$3:$A$500,$C37,'DADOS BRUTOS'!G$3:G$500)))</f>
        <v/>
      </c>
      <c r="CH37" s="125">
        <f>IF(OR(CH$4="",$B37=""),0,SUMIF('DADOS BRUTOS'!$A$3:$A$500,$B37,'DADOS BRUTOS'!H$3:H$500)+IF($C37="",0,SUMIF('DADOS BRUTOS'!$A$3:$A$500,$C37,'DADOS BRUTOS'!H$3:H$500)))</f>
        <v/>
      </c>
      <c r="CI37" s="125">
        <f>IF(OR(CI$4="",$B37=""),0,SUMIF('DADOS BRUTOS'!$A$3:$A$500,$B37,'DADOS BRUTOS'!I$3:I$500)+IF($C37="",0,SUMIF('DADOS BRUTOS'!$A$3:$A$500,$C37,'DADOS BRUTOS'!I$3:I$500)))</f>
        <v/>
      </c>
      <c r="CJ37" s="125">
        <f>IF(OR(CJ$4="",$B37=""),0,SUMIF('DADOS BRUTOS'!$A$3:$A$500,$B37,'DADOS BRUTOS'!J$3:J$500)+IF($C37="",0,SUMIF('DADOS BRUTOS'!$A$3:$A$500,$C37,'DADOS BRUTOS'!J$3:J$500)))</f>
        <v/>
      </c>
      <c r="CK37" s="125">
        <f>IF(OR(CK$4="",$B37=""),0,SUMIF('DADOS BRUTOS'!$A$3:$A$500,$B37,'DADOS BRUTOS'!K$3:K$500)+IF($C37="",0,SUMIF('DADOS BRUTOS'!$A$3:$A$500,$C37,'DADOS BRUTOS'!K$3:K$500)))</f>
        <v/>
      </c>
      <c r="CL37" s="125">
        <f>IF(OR(CL$4="",$B37=""),0,SUMIF('DADOS BRUTOS'!$A$3:$A$500,$B37,'DADOS BRUTOS'!L$3:L$500)+IF($C37="",0,SUMIF('DADOS BRUTOS'!$A$3:$A$500,$C37,'DADOS BRUTOS'!L$3:L$500)))</f>
        <v/>
      </c>
      <c r="CM37" s="125">
        <f>IF(OR(CM$4="",$B37=""),0,SUMIF('DADOS BRUTOS'!$A$3:$A$500,$B37,'DADOS BRUTOS'!M$3:M$500)+IF($C37="",0,SUMIF('DADOS BRUTOS'!$A$3:$A$500,$C37,'DADOS BRUTOS'!M$3:M$500)))</f>
        <v/>
      </c>
      <c r="CN37" s="125">
        <f>IF(OR(CN$4="",$B37=""),0,SUMIF('DADOS BRUTOS'!$A$3:$A$500,$B37,'DADOS BRUTOS'!N$3:N$500)+IF($C37="",0,SUMIF('DADOS BRUTOS'!$A$3:$A$500,$C37,'DADOS BRUTOS'!N$3:N$500)))</f>
        <v/>
      </c>
      <c r="CO37" s="125">
        <f>IF(OR(CO$4="",$B37=""),0,SUMIF('DADOS BRUTOS'!$A$3:$A$500,$B37,'DADOS BRUTOS'!O$3:O$500)+IF($C37="",0,SUMIF('DADOS BRUTOS'!$A$3:$A$500,$C37,'DADOS BRUTOS'!O$3:O$500)))</f>
        <v/>
      </c>
      <c r="CP37" s="125">
        <f>IF(OR(CP$4="",$B37=""),0,SUMIF('DADOS BRUTOS'!$A$3:$A$500,$B37,'DADOS BRUTOS'!P$3:P$500)+IF($C37="",0,SUMIF('DADOS BRUTOS'!$A$3:$A$500,$C37,'DADOS BRUTOS'!P$3:P$500)))</f>
        <v/>
      </c>
      <c r="CQ37" s="125">
        <f>IF(OR(CQ$4="",$B37=""),0,SUMIF('DADOS BRUTOS'!$A$3:$A$500,$B37,'DADOS BRUTOS'!Q$3:Q$500)+IF($C37="",0,SUMIF('DADOS BRUTOS'!$A$3:$A$500,$C37,'DADOS BRUTOS'!Q$3:Q$500)))</f>
        <v/>
      </c>
      <c r="CR37" s="125">
        <f>IF(OR(CR$4="",$B37=""),0,SUMIF('DADOS BRUTOS'!$A$3:$A$500,$B37,'DADOS BRUTOS'!R$3:R$500)+IF($C37="",0,SUMIF('DADOS BRUTOS'!$A$3:$A$500,$C37,'DADOS BRUTOS'!R$3:R$500)))</f>
        <v/>
      </c>
      <c r="CS37" s="125">
        <f>IF(OR(CS$4="",$B37=""),0,SUMIF('DADOS BRUTOS'!$A$3:$A$500,$B37,'DADOS BRUTOS'!S$3:S$500)+IF($C37="",0,SUMIF('DADOS BRUTOS'!$A$3:$A$500,$C37,'DADOS BRUTOS'!S$3:S$500)))</f>
        <v/>
      </c>
      <c r="CT37" s="125">
        <f>IF(OR(CT$4="",$B37=""),0,SUMIF('DADOS BRUTOS'!$A$3:$A$500,$B37,'DADOS BRUTOS'!T$3:T$500)+IF($C37="",0,SUMIF('DADOS BRUTOS'!$A$3:$A$500,$C37,'DADOS BRUTOS'!T$3:T$500)))</f>
        <v/>
      </c>
      <c r="CU37" s="125">
        <f>IF(OR(CU$4="",$B37=""),0,SUMIF('DADOS BRUTOS'!$A$3:$A$500,$B37,'DADOS BRUTOS'!U$3:U$500)+IF($C37="",0,SUMIF('DADOS BRUTOS'!$A$3:$A$500,$C37,'DADOS BRUTOS'!U$3:U$500)))</f>
        <v/>
      </c>
      <c r="CV37" s="125">
        <f>IF(OR(CV$4="",$B37=""),0,SUMIF('DADOS BRUTOS'!$A$3:$A$500,$B37,'DADOS BRUTOS'!V$3:V$500)+IF($C37="",0,SUMIF('DADOS BRUTOS'!$A$3:$A$500,$C37,'DADOS BRUTOS'!V$3:V$500)))</f>
        <v/>
      </c>
      <c r="CW37" s="125">
        <f>IF(OR(CW$4="",$B37=""),0,SUMIF('DADOS BRUTOS'!$A$3:$A$500,$B37,'DADOS BRUTOS'!W$3:W$500)+IF($C37="",0,SUMIF('DADOS BRUTOS'!$A$3:$A$500,$C37,'DADOS BRUTOS'!W$3:W$500)))</f>
        <v/>
      </c>
      <c r="CX37" s="125">
        <f>IF(OR(CX$4="",$B37=""),0,SUMIF('DADOS BRUTOS'!$A$3:$A$500,$B37,'DADOS BRUTOS'!X$3:X$500)+IF($C37="",0,SUMIF('DADOS BRUTOS'!$A$3:$A$500,$C37,'DADOS BRUTOS'!X$3:X$500)))</f>
        <v/>
      </c>
      <c r="CY37" s="125">
        <f>IF(OR(CY$4="",$B37=""),0,SUMIF('DADOS BRUTOS'!$A$3:$A$500,$B37,'DADOS BRUTOS'!Y$3:Y$500)+IF($C37="",0,SUMIF('DADOS BRUTOS'!$A$3:$A$500,$C37,'DADOS BRUTOS'!Y$3:Y$500)))</f>
        <v/>
      </c>
      <c r="CZ37" s="125">
        <f>IF(OR(CZ$4="",$B37=""),0,SUMIF('DADOS BRUTOS'!$A$3:$A$500,$B37,'DADOS BRUTOS'!Z$3:Z$500)+IF($C37="",0,SUMIF('DADOS BRUTOS'!$A$3:$A$500,$C37,'DADOS BRUTOS'!Z$3:Z$500)))</f>
        <v/>
      </c>
      <c r="DA37" s="125">
        <f>IF(OR(DA$4="",$B37=""),0,SUMIF('DADOS BRUTOS'!$A$3:$A$500,$B37,'DADOS BRUTOS'!AA$3:AA$500)+IF($C37="",0,SUMIF('DADOS BRUTOS'!$A$3:$A$500,$C37,'DADOS BRUTOS'!AA$3:AA$500)))</f>
        <v/>
      </c>
      <c r="DB37" s="125">
        <f>IF(OR(DB$4="",$B37=""),0,SUMIF('DADOS BRUTOS'!$A$3:$A$500,$B37,'DADOS BRUTOS'!AB$3:AB$500)+IF($C37="",0,SUMIF('DADOS BRUTOS'!$A$3:$A$500,$C37,'DADOS BRUTOS'!AB$3:AB$500)))</f>
        <v/>
      </c>
      <c r="DC37" s="125">
        <f>IF(OR(DC$4="",$B37=""),0,SUMIF('DADOS BRUTOS'!$A$3:$A$500,$B37,'DADOS BRUTOS'!AC$3:AC$500)+IF($C37="",0,SUMIF('DADOS BRUTOS'!$A$3:$A$500,$C37,'DADOS BRUTOS'!AC$3:AC$500)))</f>
        <v/>
      </c>
      <c r="DD37" s="125">
        <f>IF(OR(DD$4="",$B37=""),0,SUMIF('DADOS BRUTOS'!$A$3:$A$500,$B37,'DADOS BRUTOS'!AD$3:AD$500)+IF($C37="",0,SUMIF('DADOS BRUTOS'!$A$3:$A$500,$C37,'DADOS BRUTOS'!AD$3:AD$500)))</f>
        <v/>
      </c>
      <c r="DE37" s="125">
        <f>IF(OR(DE$4="",$B37=""),0,SUMIF('DADOS BRUTOS'!$A$3:$A$500,$B37,'DADOS BRUTOS'!AE$3:AE$500)+IF($C37="",0,SUMIF('DADOS BRUTOS'!$A$3:$A$500,$C37,'DADOS BRUTOS'!AE$3:AE$500)))</f>
        <v/>
      </c>
      <c r="DF37" s="125">
        <f>IF(OR(DF$4="",$B37=""),0,SUMIF('DADOS BRUTOS'!$A$3:$A$500,$B37,'DADOS BRUTOS'!AF$3:AF$500)+IF($C37="",0,SUMIF('DADOS BRUTOS'!$A$3:$A$500,$C37,'DADOS BRUTOS'!AF$3:AF$500)))</f>
        <v/>
      </c>
      <c r="DG37" s="125">
        <f>IF(OR(DG$4="",$B37=""),0,SUMIF('DADOS BRUTOS'!$A$3:$A$500,$B37,'DADOS BRUTOS'!AG$3:AG$500)+IF($C37="",0,SUMIF('DADOS BRUTOS'!$A$3:$A$500,$C37,'DADOS BRUTOS'!AG$3:AG$500)))</f>
        <v/>
      </c>
      <c r="DH37" s="125">
        <f>IF(OR(DH$4="",$B37=""),0,SUMIF('DADOS BRUTOS'!$A$3:$A$500,$B37,'DADOS BRUTOS'!AH$3:AH$500)+IF($C37="",0,SUMIF('DADOS BRUTOS'!$A$3:$A$500,$C37,'DADOS BRUTOS'!AH$3:AH$500)))</f>
        <v/>
      </c>
      <c r="DI37" s="125">
        <f>IF(OR(DI$4="",$B37=""),0,SUMIF('DADOS BRUTOS'!$A$3:$A$500,$B37,'DADOS BRUTOS'!AI$3:AI$500)+IF($C37="",0,SUMIF('DADOS BRUTOS'!$A$3:$A$500,$C37,'DADOS BRUTOS'!AI$3:AI$500)))</f>
        <v/>
      </c>
      <c r="DJ37" s="125">
        <f>IF(OR(DJ$4="",$B37=""),0,SUMIF('DADOS BRUTOS'!$A$3:$A$500,$B37,'DADOS BRUTOS'!AJ$3:AJ$500)+IF($C37="",0,SUMIF('DADOS BRUTOS'!$A$3:$A$500,$C37,'DADOS BRUTOS'!AJ$3:AJ$500)))</f>
        <v/>
      </c>
      <c r="DK37" s="125">
        <f>IF(OR(DK$4="",$B37=""),0,SUMIF('DADOS BRUTOS'!$A$3:$A$500,$B37,'DADOS BRUTOS'!AK$3:AK$500)+IF($C37="",0,SUMIF('DADOS BRUTOS'!$A$3:$A$500,$C37,'DADOS BRUTOS'!AK$3:AK$500)))</f>
        <v/>
      </c>
      <c r="DL37" s="125">
        <f>IF(OR(DL$4="",$B37=""),0,SUMIF('DADOS BRUTOS'!$A$3:$A$500,$B37,'DADOS BRUTOS'!AL$3:AL$500)+IF($C37="",0,SUMIF('DADOS BRUTOS'!$A$3:$A$500,$C37,'DADOS BRUTOS'!AL$3:AL$500)))</f>
        <v/>
      </c>
      <c r="DM37" s="125">
        <f>IF(OR(DM$4="",$B37=""),0,SUMIF('DADOS BRUTOS'!$A$3:$A$500,$B37,'DADOS BRUTOS'!AM$3:AM$500)+IF($C37="",0,SUMIF('DADOS BRUTOS'!$A$3:$A$500,$C37,'DADOS BRUTOS'!AM$3:AM$500)))</f>
        <v/>
      </c>
      <c r="DN37" s="125">
        <f>IF(OR(DN$4="",$B37=""),0,SUMIF('DADOS BRUTOS'!$A$3:$A$500,$B37,'DADOS BRUTOS'!AN$3:AN$500)+IF($C37="",0,SUMIF('DADOS BRUTOS'!$A$3:$A$500,$C37,'DADOS BRUTOS'!AN$3:AN$500)))</f>
        <v/>
      </c>
      <c r="DO37" s="125">
        <f>IF(OR(DO$4="",$B37=""),0,SUMIF('DADOS BRUTOS'!$A$3:$A$500,$B37,'DADOS BRUTOS'!AO$3:AO$500)+IF($C37="",0,SUMIF('DADOS BRUTOS'!$A$3:$A$500,$C37,'DADOS BRUTOS'!AO$3:AO$500)))</f>
        <v/>
      </c>
      <c r="DP37" s="125">
        <f>IF(OR(DP$4="",$B37=""),0,SUMIF('DADOS BRUTOS'!$A$3:$A$500,$B37,'DADOS BRUTOS'!AP$3:AP$500)+IF($C37="",0,SUMIF('DADOS BRUTOS'!$A$3:$A$500,$C37,'DADOS BRUTOS'!AP$3:AP$500)))</f>
        <v/>
      </c>
      <c r="DQ37" s="125">
        <f>IF(OR(DQ$4="",$B37=""),0,SUMIF('DADOS BRUTOS'!$A$3:$A$500,$B37,'DADOS BRUTOS'!AQ$3:AQ$500)+IF($C37="",0,SUMIF('DADOS BRUTOS'!$A$3:$A$500,$C37,'DADOS BRUTOS'!AQ$3:AQ$500)))</f>
        <v/>
      </c>
      <c r="DR37" s="125">
        <f>IF(OR(DR$4="",$B37=""),0,SUMIF('DADOS BRUTOS'!$A$3:$A$500,$B37,'DADOS BRUTOS'!AR$3:AR$500)+IF($C37="",0,SUMIF('DADOS BRUTOS'!$A$3:$A$500,$C37,'DADOS BRUTOS'!AR$3:AR$500)))</f>
        <v/>
      </c>
      <c r="DS37" s="125">
        <f>IF(OR(DS$4="",$B37=""),0,SUMIF('DADOS BRUTOS'!$A$3:$A$500,$B37,'DADOS BRUTOS'!AS$3:AS$500)+IF($C37="",0,SUMIF('DADOS BRUTOS'!$A$3:$A$500,$C37,'DADOS BRUTOS'!AS$3:AS$500)))</f>
        <v/>
      </c>
      <c r="DT37" s="125">
        <f>IF(OR(DT$4="",$B37=""),0,SUMIF('DADOS BRUTOS'!$A$3:$A$500,$B37,'DADOS BRUTOS'!AT$3:AT$500)+IF($C37="",0,SUMIF('DADOS BRUTOS'!$A$3:$A$500,$C37,'DADOS BRUTOS'!AT$3:AT$500)))</f>
        <v/>
      </c>
      <c r="DU37" s="125">
        <f>IF(OR(DU$4="",$B37=""),0,SUMIF('DADOS BRUTOS'!$A$3:$A$500,$B37,'DADOS BRUTOS'!AU$3:AU$500)+IF($C37="",0,SUMIF('DADOS BRUTOS'!$A$3:$A$500,$C37,'DADOS BRUTOS'!AU$3:AU$500)))</f>
        <v/>
      </c>
      <c r="DV37" s="125">
        <f>IF(OR(DV$4="",$B37=""),0,SUMIF('DADOS BRUTOS'!$A$3:$A$500,$B37,'DADOS BRUTOS'!AV$3:AV$500)+IF($C37="",0,SUMIF('DADOS BRUTOS'!$A$3:$A$500,$C37,'DADOS BRUTOS'!AV$3:AV$500)))</f>
        <v/>
      </c>
      <c r="DW37" s="125">
        <f>IF(OR(DW$4="",$B37=""),0,SUMIF('DADOS BRUTOS'!$A$3:$A$500,$B37,'DADOS BRUTOS'!AW$3:AW$500)+IF($C37="",0,SUMIF('DADOS BRUTOS'!$A$3:$A$500,$C37,'DADOS BRUTOS'!AW$3:AW$500)))</f>
        <v/>
      </c>
      <c r="DX37" s="125">
        <f>IF(OR(DX$4="",$B37=""),0,SUMIF('DADOS BRUTOS'!$A$3:$A$500,$B37,'DADOS BRUTOS'!AX$3:AX$500)+IF($C37="",0,SUMIF('DADOS BRUTOS'!$A$3:$A$500,$C37,'DADOS BRUTOS'!AX$3:AX$500)))</f>
        <v/>
      </c>
      <c r="DY37" s="125">
        <f>IF(OR(DY$4="",$B37=""),0,SUMIF('DADOS BRUTOS'!$A$3:$A$500,$B37,'DADOS BRUTOS'!AY$3:AY$500)+IF($C37="",0,SUMIF('DADOS BRUTOS'!$A$3:$A$500,$C37,'DADOS BRUTOS'!AY$3:AY$500)))</f>
        <v/>
      </c>
      <c r="DZ37" s="125">
        <f>IF(OR(DZ$4="",$B37=""),0,SUMIF('DADOS BRUTOS'!$A$3:$A$500,$B37,'DADOS BRUTOS'!AZ$3:AZ$500)+IF($C37="",0,SUMIF('DADOS BRUTOS'!$A$3:$A$500,$C37,'DADOS BRUTOS'!AZ$3:AZ$500)))</f>
        <v/>
      </c>
      <c r="EA37" s="125">
        <f>IF(OR(EA$4="",$B37=""),0,SUMIF('DADOS BRUTOS'!$A$3:$A$500,$B37,'DADOS BRUTOS'!BA$3:BA$500)+IF($C37="",0,SUMIF('DADOS BRUTOS'!$A$3:$A$500,$C37,'DADOS BRUTOS'!BA$3:BA$500)))</f>
        <v/>
      </c>
      <c r="EB37" s="125">
        <f>IF(OR(EB$4="",$B37=""),0,SUMIF('DADOS BRUTOS'!$A$3:$A$500,$B37,'DADOS BRUTOS'!BB$3:BB$500)+IF($C37="",0,SUMIF('DADOS BRUTOS'!$A$3:$A$500,$C37,'DADOS BRUTOS'!BB$3:BB$500)))</f>
        <v/>
      </c>
      <c r="EC37" s="125">
        <f>IF(OR(EC$4="",$B37=""),0,SUMIF('DADOS BRUTOS'!$A$3:$A$500,$B37,'DADOS BRUTOS'!BC$3:BC$500)+IF($C37="",0,SUMIF('DADOS BRUTOS'!$A$3:$A$500,$C37,'DADOS BRUTOS'!BC$3:BC$500)))</f>
        <v/>
      </c>
      <c r="ED37" s="125">
        <f>IF(OR(ED$4="",$B37=""),0,SUMIF('DADOS BRUTOS'!$A$3:$A$500,$B37,'DADOS BRUTOS'!BD$3:BD$500)+IF($C37="",0,SUMIF('DADOS BRUTOS'!$A$3:$A$500,$C37,'DADOS BRUTOS'!BD$3:BD$500)))</f>
        <v/>
      </c>
      <c r="EE37" s="125">
        <f>IF(OR(EE$4="",$B37=""),0,SUMIF('DADOS BRUTOS'!$A$3:$A$500,$B37,'DADOS BRUTOS'!BE$3:BE$500)+IF($C37="",0,SUMIF('DADOS BRUTOS'!$A$3:$A$500,$C37,'DADOS BRUTOS'!BE$3:BE$500)))</f>
        <v/>
      </c>
      <c r="EF37" s="125">
        <f>IF(OR(EF$4="",$B37=""),0,SUMIF('DADOS BRUTOS'!$A$3:$A$500,$B37,'DADOS BRUTOS'!BF$3:BF$500)+IF($C37="",0,SUMIF('DADOS BRUTOS'!$A$3:$A$500,$C37,'DADOS BRUTOS'!BF$3:BF$500)))</f>
        <v/>
      </c>
      <c r="EG37" s="125">
        <f>IF(OR(EG$4="",$B37=""),0,SUMIF('DADOS BRUTOS'!$A$3:$A$500,$B37,'DADOS BRUTOS'!BG$3:BG$500)+IF($C37="",0,SUMIF('DADOS BRUTOS'!$A$3:$A$500,$C37,'DADOS BRUTOS'!BG$3:BG$500)))</f>
        <v/>
      </c>
      <c r="EH37" s="125">
        <f>IF(OR(EH$4="",$B37=""),0,SUMIF('DADOS BRUTOS'!$A$3:$A$500,$B37,'DADOS BRUTOS'!BH$3:BH$500)+IF($C37="",0,SUMIF('DADOS BRUTOS'!$A$3:$A$500,$C37,'DADOS BRUTOS'!BH$3:BH$500)))</f>
        <v/>
      </c>
      <c r="EI37" s="125">
        <f>IF(OR(EI$4="",$B37=""),0,SUMIF('DADOS BRUTOS'!$A$3:$A$500,$B37,'DADOS BRUTOS'!BI$3:BI$500)+IF($C37="",0,SUMIF('DADOS BRUTOS'!$A$3:$A$500,$C37,'DADOS BRUTOS'!BI$3:BI$500)))</f>
        <v/>
      </c>
      <c r="EJ37" s="125">
        <f>IF(OR(EJ$4="",$B37=""),0,SUMIF('DADOS BRUTOS'!$A$3:$A$500,$B37,'DADOS BRUTOS'!BJ$3:BJ$500)+IF($C37="",0,SUMIF('DADOS BRUTOS'!$A$3:$A$500,$C37,'DADOS BRUTOS'!BJ$3:BJ$500)))</f>
        <v/>
      </c>
      <c r="EK37" s="125">
        <f>IF(OR(EK$4="",$B37=""),0,SUMIF('DADOS BRUTOS'!$A$3:$A$500,$B37,'DADOS BRUTOS'!BK$3:BK$500)+IF($C37="",0,SUMIF('DADOS BRUTOS'!$A$3:$A$500,$C37,'DADOS BRUTOS'!BK$3:BK$500)))</f>
        <v/>
      </c>
      <c r="EL37" s="125">
        <f>IF(OR(EL$4="",$B37=""),0,SUMIF('DADOS BRUTOS'!$A$3:$A$500,$B37,'DADOS BRUTOS'!BL$3:BL$500)+IF($C37="",0,SUMIF('DADOS BRUTOS'!$A$3:$A$500,$C37,'DADOS BRUTOS'!BL$3:BL$500)))</f>
        <v/>
      </c>
      <c r="EM37" s="125">
        <f>IF(OR(EM$4="",$B37=""),0,SUMIF('DADOS BRUTOS'!$A$3:$A$500,$B37,'DADOS BRUTOS'!BM$3:BM$500)+IF($C37="",0,SUMIF('DADOS BRUTOS'!$A$3:$A$500,$C37,'DADOS BRUTOS'!BM$3:BM$500)))</f>
        <v/>
      </c>
      <c r="EN37" s="125">
        <f>IF(OR(EN$4="",$B37=""),0,SUMIF('DADOS BRUTOS'!$A$3:$A$500,$B37,'DADOS BRUTOS'!BN$3:BN$500)+IF($C37="",0,SUMIF('DADOS BRUTOS'!$A$3:$A$500,$C37,'DADOS BRUTOS'!BN$3:BN$500)))</f>
        <v/>
      </c>
      <c r="EO37" s="125">
        <f>IF(OR(EO$4="",$B37=""),0,SUMIF('DADOS BRUTOS'!$A$3:$A$500,$B37,'DADOS BRUTOS'!BO$3:BO$500)+IF($C37="",0,SUMIF('DADOS BRUTOS'!$A$3:$A$500,$C37,'DADOS BRUTOS'!BO$3:BO$500)))</f>
        <v/>
      </c>
      <c r="EP37" s="125">
        <f>IF(OR(EP$4="",$B37=""),0,SUMIF('DADOS BRUTOS'!$A$3:$A$500,$B37,'DADOS BRUTOS'!BP$3:BP$500)+IF($C37="",0,SUMIF('DADOS BRUTOS'!$A$3:$A$500,$C37,'DADOS BRUTOS'!BP$3:BP$500)))</f>
        <v/>
      </c>
      <c r="EQ37" s="125">
        <f>IF(OR(EQ$4="",$B37=""),0,SUMIF('DADOS BRUTOS'!$A$3:$A$500,$B37,'DADOS BRUTOS'!BQ$3:BQ$500)+IF($C37="",0,SUMIF('DADOS BRUTOS'!$A$3:$A$500,$C37,'DADOS BRUTOS'!BQ$3:BQ$500)))</f>
        <v/>
      </c>
      <c r="ER37" s="125">
        <f>IF(OR(ER$4="",$B37=""),0,SUMIF('DADOS BRUTOS'!$A$3:$A$500,$B37,'DADOS BRUTOS'!BR$3:BR$500)+IF($C37="",0,SUMIF('DADOS BRUTOS'!$A$3:$A$500,$C37,'DADOS BRUTOS'!BR$3:BR$500)))</f>
        <v/>
      </c>
      <c r="ES37" s="125">
        <f>IF(OR(ES$4="",$B37=""),0,SUMIF('DADOS BRUTOS'!$A$3:$A$500,$B37,'DADOS BRUTOS'!BS$3:BS$500)+IF($C37="",0,SUMIF('DADOS BRUTOS'!$A$3:$A$500,$C37,'DADOS BRUTOS'!BS$3:BS$500)))</f>
        <v/>
      </c>
      <c r="ET37" s="125">
        <f>IF(OR(ET$4="",$B37=""),0,SUMIF('DADOS BRUTOS'!$A$3:$A$500,$B37,'DADOS BRUTOS'!BT$3:BT$500)+IF($C37="",0,SUMIF('DADOS BRUTOS'!$A$3:$A$500,$C37,'DADOS BRUTOS'!BT$3:BT$500)))</f>
        <v/>
      </c>
      <c r="EU37" s="125">
        <f>IF(OR(EU$4="",$B37=""),0,SUMIF('DADOS BRUTOS'!$A$3:$A$500,$B37,'DADOS BRUTOS'!BU$3:BU$500)+IF($C37="",0,SUMIF('DADOS BRUTOS'!$A$3:$A$500,$C37,'DADOS BRUTOS'!BU$3:BU$500)))</f>
        <v/>
      </c>
      <c r="EV37" s="125">
        <f>IF(OR(EV$4="",$B37=""),0,SUMIF('DADOS BRUTOS'!$A$3:$A$500,$B37,'DADOS BRUTOS'!BV$3:BV$500)+IF($C37="",0,SUMIF('DADOS BRUTOS'!$A$3:$A$500,$C37,'DADOS BRUTOS'!BV$3:BV$500)))</f>
        <v/>
      </c>
      <c r="EW37" s="125">
        <f>IF(OR(EW$4="",$B37=""),0,SUMIF('DADOS BRUTOS'!$A$3:$A$500,$B37,'DADOS BRUTOS'!BW$3:BW$500)+IF($C37="",0,SUMIF('DADOS BRUTOS'!$A$3:$A$500,$C37,'DADOS BRUTOS'!BW$3:BW$500)))</f>
        <v/>
      </c>
      <c r="EX37" s="125">
        <f>IF(OR(EX$4="",$B37=""),0,SUMIF('DADOS BRUTOS'!$A$3:$A$500,$B37,'DADOS BRUTOS'!BX$3:BX$500)+IF($C37="",0,SUMIF('DADOS BRUTOS'!$A$3:$A$500,$C37,'DADOS BRUTOS'!BX$3:BX$500)))</f>
        <v/>
      </c>
      <c r="EY37" s="125">
        <f>IF(OR(EY$4="",$B37=""),0,SUMIF('DADOS BRUTOS'!$A$3:$A$500,$B37,'DADOS BRUTOS'!BY$3:BY$500)+IF($C37="",0,SUMIF('DADOS BRUTOS'!$A$3:$A$500,$C37,'DADOS BRUTOS'!BY$3:BY$500)))</f>
        <v/>
      </c>
      <c r="EZ37" s="125">
        <f>IF(OR(EZ$4="",$B37=""),0,SUMIF('DADOS BRUTOS'!$A$3:$A$500,$B37,'DADOS BRUTOS'!BZ$3:BZ$500)+IF($C37="",0,SUMIF('DADOS BRUTOS'!$A$3:$A$500,$C37,'DADOS BRUTOS'!BZ$3:BZ$500)))</f>
        <v/>
      </c>
      <c r="FA37" s="125">
        <f>IF(OR(FA$4="",$B37=""),0,SUMIF('DADOS BRUTOS'!$A$3:$A$500,$B37,'DADOS BRUTOS'!CA$3:CA$500)+IF($C37="",0,SUMIF('DADOS BRUTOS'!$A$3:$A$500,$C37,'DADOS BRUTOS'!CA$3:CA$500)))</f>
        <v/>
      </c>
      <c r="FB37" s="125">
        <f>IF(OR(FB$4="",$B37=""),0,SUMIF('DADOS BRUTOS'!$A$3:$A$500,$B37,'DADOS BRUTOS'!CB$3:CB$500)+IF($C37="",0,SUMIF('DADOS BRUTOS'!$A$3:$A$500,$C37,'DADOS BRUTOS'!CB$3:CB$500)))</f>
        <v/>
      </c>
      <c r="FC37" s="125">
        <f>IF(OR(FC$4="",$B37=""),0,SUMIF('DADOS BRUTOS'!$A$3:$A$500,$B37,'DADOS BRUTOS'!CC$3:CC$500)+IF($C37="",0,SUMIF('DADOS BRUTOS'!$A$3:$A$500,$C37,'DADOS BRUTOS'!CC$3:CC$500)))</f>
        <v/>
      </c>
      <c r="FD37" s="125">
        <f>IF(OR(FD$4="",$B37=""),0,SUMIF('DADOS BRUTOS'!$A$3:$A$500,$B37,'DADOS BRUTOS'!CD$3:CD$500)+IF($C37="",0,SUMIF('DADOS BRUTOS'!$A$3:$A$500,$C37,'DADOS BRUTOS'!CD$3:CD$500)))</f>
        <v/>
      </c>
      <c r="FE37" s="125">
        <f>IF(OR(FE$4="",$B37=""),0,SUMIF('DADOS BRUTOS'!$A$3:$A$500,$B37,'DADOS BRUTOS'!CE$3:CE$500)+IF($C37="",0,SUMIF('DADOS BRUTOS'!$A$3:$A$500,$C37,'DADOS BRUTOS'!CE$3:CE$500)))</f>
        <v/>
      </c>
      <c r="FF37" s="125">
        <f>IF(OR(FF$4="",$B37=""),0,SUMIF('DADOS BRUTOS'!$A$3:$A$500,$B37,'DADOS BRUTOS'!CF$3:CF$500)+IF($C37="",0,SUMIF('DADOS BRUTOS'!$A$3:$A$500,$C37,'DADOS BRUTOS'!CF$3:CF$500)))</f>
        <v/>
      </c>
      <c r="FG37" s="125">
        <f>IF(OR(FG$4="",$B37=""),0,SUMIF('DADOS BRUTOS'!$A$3:$A$500,$B37,'DADOS BRUTOS'!CG$3:CG$500)+IF($C37="",0,SUMIF('DADOS BRUTOS'!$A$3:$A$500,$C37,'DADOS BRUTOS'!CG$3:CG$500)))</f>
        <v/>
      </c>
      <c r="FH37" s="125">
        <f>IF(OR(FH$4="",$B37=""),0,SUMIF('DADOS BRUTOS'!$A$3:$A$500,$B37,'DADOS BRUTOS'!CH$3:CH$500)+IF($C37="",0,SUMIF('DADOS BRUTOS'!$A$3:$A$500,$C37,'DADOS BRUTOS'!CH$3:CH$500)))</f>
        <v/>
      </c>
      <c r="FI37" s="125">
        <f>IF(OR(FI$4="",$B37=""),0,SUMIF('DADOS BRUTOS'!$A$3:$A$500,$B37,'DADOS BRUTOS'!CI$3:CI$500)+IF($C37="",0,SUMIF('DADOS BRUTOS'!$A$3:$A$500,$C37,'DADOS BRUTOS'!CI$3:CI$500)))</f>
        <v/>
      </c>
      <c r="FJ37" s="125">
        <f>IF(OR(FJ$4="",$B37=""),0,SUMIF('DADOS BRUTOS'!$A$3:$A$500,$B37,'DADOS BRUTOS'!CJ$3:CJ$500)+IF($C37="",0,SUMIF('DADOS BRUTOS'!$A$3:$A$500,$C37,'DADOS BRUTOS'!CJ$3:CJ$500)))</f>
        <v/>
      </c>
      <c r="FK37" s="125">
        <f>IF(OR(FK$4="",$B37=""),0,SUMIF('DADOS BRUTOS'!$A$3:$A$500,$B37,'DADOS BRUTOS'!CK$3:CK$500)+IF($C37="",0,SUMIF('DADOS BRUTOS'!$A$3:$A$500,$C37,'DADOS BRUTOS'!CK$3:CK$500)))</f>
        <v/>
      </c>
      <c r="FL37" s="125">
        <f>IF(OR(FL$4="",$B37=""),0,SUMIF('DADOS BRUTOS'!$A$3:$A$500,$B37,'DADOS BRUTOS'!CL$3:CL$500)+IF($C37="",0,SUMIF('DADOS BRUTOS'!$A$3:$A$500,$C37,'DADOS BRUTOS'!CL$3:CL$500)))</f>
        <v/>
      </c>
      <c r="FM37" s="125">
        <f>IF(OR(FM$4="",$B37=""),0,SUMIF('DADOS BRUTOS'!$A$3:$A$500,$B37,'DADOS BRUTOS'!CM$3:CM$500)+IF($C37="",0,SUMIF('DADOS BRUTOS'!$A$3:$A$500,$C37,'DADOS BRUTOS'!CM$3:CM$500)))</f>
        <v/>
      </c>
      <c r="FN37" s="125">
        <f>IF(OR(FN$4="",$B37=""),0,SUMIF('DADOS BRUTOS'!$A$3:$A$500,$B37,'DADOS BRUTOS'!CN$3:CN$500)+IF($C37="",0,SUMIF('DADOS BRUTOS'!$A$3:$A$500,$C37,'DADOS BRUTOS'!CN$3:CN$500)))</f>
        <v/>
      </c>
      <c r="FO37" s="125">
        <f>IF(OR(FO$4="",$B37=""),0,SUMIF('DADOS BRUTOS'!$A$3:$A$500,$B37,'DADOS BRUTOS'!CO$3:CO$500)+IF($C37="",0,SUMIF('DADOS BRUTOS'!$A$3:$A$500,$C37,'DADOS BRUTOS'!CO$3:CO$500)))</f>
        <v/>
      </c>
      <c r="FP37" s="125">
        <f>IF(OR(FP$4="",$B37=""),0,SUMIF('DADOS BRUTOS'!$A$3:$A$500,$B37,'DADOS BRUTOS'!CP$3:CP$500)+IF($C37="",0,SUMIF('DADOS BRUTOS'!$A$3:$A$500,$C37,'DADOS BRUTOS'!CP$3:CP$500)))</f>
        <v/>
      </c>
      <c r="FQ37" s="125">
        <f>IF(OR(FQ$4="",$B37=""),0,SUMIF('DADOS BRUTOS'!$A$3:$A$500,$B37,'DADOS BRUTOS'!CQ$3:CQ$500)+IF($C37="",0,SUMIF('DADOS BRUTOS'!$A$3:$A$500,$C37,'DADOS BRUTOS'!CQ$3:CQ$500)))</f>
        <v/>
      </c>
      <c r="FR37" s="125">
        <f>IF(OR(FR$4="",$B37=""),0,SUMIF('DADOS BRUTOS'!$A$3:$A$500,$B37,'DADOS BRUTOS'!CR$3:CR$500)+IF($C37="",0,SUMIF('DADOS BRUTOS'!$A$3:$A$500,$C37,'DADOS BRUTOS'!CR$3:CR$500)))</f>
        <v/>
      </c>
      <c r="FS37" s="125">
        <f>IF(OR(FS$4="",$B37=""),0,SUMIF('DADOS BRUTOS'!$A$3:$A$500,$B37,'DADOS BRUTOS'!CS$3:CS$500)+IF($C37="",0,SUMIF('DADOS BRUTOS'!$A$3:$A$500,$C37,'DADOS BRUTOS'!CS$3:CS$500)))</f>
        <v/>
      </c>
      <c r="FT37" s="125">
        <f>IF(OR(FT$4="",$B37=""),0,SUMIF('DADOS BRUTOS'!$A$3:$A$500,$B37,'DADOS BRUTOS'!CT$3:CT$500)+IF($C37="",0,SUMIF('DADOS BRUTOS'!$A$3:$A$500,$C37,'DADOS BRUTOS'!CT$3:CT$500)))</f>
        <v/>
      </c>
      <c r="FU37" s="125">
        <f>IF(OR(FU$4="",$B37=""),0,SUMIF('DADOS BRUTOS'!$A$3:$A$500,$B37,'DADOS BRUTOS'!CU$3:CU$500)+IF($C37="",0,SUMIF('DADOS BRUTOS'!$A$3:$A$500,$C37,'DADOS BRUTOS'!CU$3:CU$500)))</f>
        <v/>
      </c>
      <c r="FV37" s="125">
        <f>IF(OR(FV$4="",$B37=""),0,SUMIF('DADOS BRUTOS'!$A$3:$A$500,$B37,'DADOS BRUTOS'!CV$3:CV$500)+IF($C37="",0,SUMIF('DADOS BRUTOS'!$A$3:$A$500,$C37,'DADOS BRUTOS'!CV$3:CV$500)))</f>
        <v/>
      </c>
      <c r="FW37" s="125">
        <f>IF(OR(FW$4="",$B37=""),0,SUMIF('DADOS BRUTOS'!$A$3:$A$500,$B37,'DADOS BRUTOS'!CW$3:CW$500)+IF($C37="",0,SUMIF('DADOS BRUTOS'!$A$3:$A$500,$C37,'DADOS BRUTOS'!CW$3:CW$500)))</f>
        <v/>
      </c>
      <c r="FX37" s="125">
        <f>IF(OR(FX$4="",$B37=""),0,SUMIF('DADOS BRUTOS'!$A$3:$A$500,$B37,'DADOS BRUTOS'!CX$3:CX$500)+IF($C37="",0,SUMIF('DADOS BRUTOS'!$A$3:$A$500,$C37,'DADOS BRUTOS'!CX$3:CX$500)))</f>
        <v/>
      </c>
      <c r="FY37" s="125">
        <f>IF(OR(FY$4="",$B37=""),0,SUMIF('DADOS BRUTOS'!$A$3:$A$500,$B37,'DADOS BRUTOS'!CY$3:CY$500)+IF($C37="",0,SUMIF('DADOS BRUTOS'!$A$3:$A$500,$C37,'DADOS BRUTOS'!CY$3:CY$500)))</f>
        <v/>
      </c>
      <c r="FZ37" s="125">
        <f>IF(OR(FZ$4="",$B37=""),0,SUMIF('DADOS BRUTOS'!$A$3:$A$500,$B37,'DADOS BRUTOS'!CZ$3:CZ$500)+IF($C37="",0,SUMIF('DADOS BRUTOS'!$A$3:$A$500,$C37,'DADOS BRUTOS'!CZ$3:CZ$500)))</f>
        <v/>
      </c>
      <c r="GA37" s="125">
        <f>IF(OR(GA$4="",$B37=""),0,SUMIF('DADOS BRUTOS'!$A$3:$A$500,$B37,'DADOS BRUTOS'!DA$3:DA$500)+IF($C37="",0,SUMIF('DADOS BRUTOS'!$A$3:$A$500,$C37,'DADOS BRUTOS'!DA$3:DA$500)))</f>
        <v/>
      </c>
      <c r="GB37" s="125">
        <f>IF(OR(GB$4="",$B37=""),0,SUMIF('DADOS BRUTOS'!$A$3:$A$500,$B37,'DADOS BRUTOS'!DB$3:DB$500)+IF($C37="",0,SUMIF('DADOS BRUTOS'!$A$3:$A$500,$C37,'DADOS BRUTOS'!DB$3:DB$500)))</f>
        <v/>
      </c>
      <c r="GC37" s="125">
        <f>IF(OR(GC$4="",$B37=""),0,SUMIF('DADOS BRUTOS'!$A$3:$A$500,$B37,'DADOS BRUTOS'!DC$3:DC$500)+IF($C37="",0,SUMIF('DADOS BRUTOS'!$A$3:$A$500,$C37,'DADOS BRUTOS'!DC$3:DC$500)))</f>
        <v/>
      </c>
      <c r="GD37" s="125">
        <f>IF(OR(GD$4="",$B37=""),0,SUMIF('DADOS BRUTOS'!$A$3:$A$500,$B37,'DADOS BRUTOS'!DD$3:DD$500)+IF($C37="",0,SUMIF('DADOS BRUTOS'!$A$3:$A$500,$C37,'DADOS BRUTOS'!DD$3:DD$500)))</f>
        <v/>
      </c>
      <c r="GE37" s="125">
        <f>IF(OR(GE$4="",$B37=""),0,SUMIF('DADOS BRUTOS'!$A$3:$A$500,$B37,'DADOS BRUTOS'!DE$3:DE$500)+IF($C37="",0,SUMIF('DADOS BRUTOS'!$A$3:$A$500,$C37,'DADOS BRUTOS'!DE$3:DE$500)))</f>
        <v/>
      </c>
      <c r="GF37" s="125">
        <f>IF(OR(GF$4="",$B37=""),0,SUMIF('DADOS BRUTOS'!$A$3:$A$500,$B37,'DADOS BRUTOS'!DF$3:DF$500)+IF($C37="",0,SUMIF('DADOS BRUTOS'!$A$3:$A$500,$C37,'DADOS BRUTOS'!DF$3:DF$500)))</f>
        <v/>
      </c>
      <c r="GG37" s="125">
        <f>IF(OR(GG$4="",$B37=""),0,SUMIF('DADOS BRUTOS'!$A$3:$A$500,$B37,'DADOS BRUTOS'!DG$3:DG$500)+IF($C37="",0,SUMIF('DADOS BRUTOS'!$A$3:$A$500,$C37,'DADOS BRUTOS'!DG$3:DG$500)))</f>
        <v/>
      </c>
      <c r="GH37" s="125">
        <f>IF(OR(GH$4="",$B37=""),0,SUMIF('DADOS BRUTOS'!$A$3:$A$500,$B37,'DADOS BRUTOS'!DH$3:DH$500)+IF($C37="",0,SUMIF('DADOS BRUTOS'!$A$3:$A$500,$C37,'DADOS BRUTOS'!DH$3:DH$500)))</f>
        <v/>
      </c>
      <c r="GI37" s="125">
        <f>IF(OR(GI$4="",$B37=""),0,SUMIF('DADOS BRUTOS'!$A$3:$A$500,$B37,'DADOS BRUTOS'!DI$3:DI$500)+IF($C37="",0,SUMIF('DADOS BRUTOS'!$A$3:$A$500,$C37,'DADOS BRUTOS'!DI$3:DI$500)))</f>
        <v/>
      </c>
      <c r="GJ37" s="125">
        <f>IF(OR(GJ$4="",$B37=""),0,SUMIF('DADOS BRUTOS'!$A$3:$A$500,$B37,'DADOS BRUTOS'!DJ$3:DJ$500)+IF($C37="",0,SUMIF('DADOS BRUTOS'!$A$3:$A$500,$C37,'DADOS BRUTOS'!DJ$3:DJ$500)))</f>
        <v/>
      </c>
      <c r="GK37" s="125">
        <f>IF(OR(GK$4="",$B37=""),0,SUMIF('DADOS BRUTOS'!$A$3:$A$500,$B37,'DADOS BRUTOS'!DK$3:DK$500)+IF($C37="",0,SUMIF('DADOS BRUTOS'!$A$3:$A$500,$C37,'DADOS BRUTOS'!DK$3:DK$500)))</f>
        <v/>
      </c>
      <c r="GL37" s="125">
        <f>IF(OR(GL$4="",$B37=""),0,SUMIF('DADOS BRUTOS'!$A$3:$A$500,$B37,'DADOS BRUTOS'!DL$3:DL$500)+IF($C37="",0,SUMIF('DADOS BRUTOS'!$A$3:$A$500,$C37,'DADOS BRUTOS'!DL$3:DL$500)))</f>
        <v/>
      </c>
      <c r="GM37" s="125">
        <f>IF(OR(GM$4="",$B37=""),0,SUMIF('DADOS BRUTOS'!$A$3:$A$500,$B37,'DADOS BRUTOS'!DM$3:DM$500)+IF($C37="",0,SUMIF('DADOS BRUTOS'!$A$3:$A$500,$C37,'DADOS BRUTOS'!DM$3:DM$500)))</f>
        <v/>
      </c>
      <c r="GN37" s="125">
        <f>IF(OR(GN$4="",$B37=""),0,SUMIF('DADOS BRUTOS'!$A$3:$A$500,$B37,'DADOS BRUTOS'!DN$3:DN$500)+IF($C37="",0,SUMIF('DADOS BRUTOS'!$A$3:$A$500,$C37,'DADOS BRUTOS'!DN$3:DN$500)))</f>
        <v/>
      </c>
      <c r="GO37" s="125">
        <f>IF(OR(GO$4="",$B37=""),0,SUMIF('DADOS BRUTOS'!$A$3:$A$500,$B37,'DADOS BRUTOS'!DO$3:DO$500)+IF($C37="",0,SUMIF('DADOS BRUTOS'!$A$3:$A$500,$C37,'DADOS BRUTOS'!DO$3:DO$500)))</f>
        <v/>
      </c>
      <c r="GP37" s="125">
        <f>IF(OR(GP$4="",$B37=""),0,SUMIF('DADOS BRUTOS'!$A$3:$A$500,$B37,'DADOS BRUTOS'!DP$3:DP$500)+IF($C37="",0,SUMIF('DADOS BRUTOS'!$A$3:$A$500,$C37,'DADOS BRUTOS'!DP$3:DP$500)))</f>
        <v/>
      </c>
      <c r="GQ37" s="125">
        <f>IF(OR(GQ$4="",$B37=""),0,SUMIF('DADOS BRUTOS'!$A$3:$A$500,$B37,'DADOS BRUTOS'!DQ$3:DQ$500)+IF($C37="",0,SUMIF('DADOS BRUTOS'!$A$3:$A$500,$C37,'DADOS BRUTOS'!DQ$3:DQ$500)))</f>
        <v/>
      </c>
      <c r="GR37" s="125">
        <f>IF(OR(GR$4="",$B37=""),0,SUMIF('DADOS BRUTOS'!$A$3:$A$500,$B37,'DADOS BRUTOS'!DR$3:DR$500)+IF($C37="",0,SUMIF('DADOS BRUTOS'!$A$3:$A$500,$C37,'DADOS BRUTOS'!DR$3:DR$500)))</f>
        <v/>
      </c>
      <c r="GS37" s="125">
        <f>IF(OR(GS$4="",$B37=""),0,SUMIF('DADOS BRUTOS'!$A$3:$A$500,$B37,'DADOS BRUTOS'!DS$3:DS$500)+IF($C37="",0,SUMIF('DADOS BRUTOS'!$A$3:$A$500,$C37,'DADOS BRUTOS'!DS$3:DS$500)))</f>
        <v/>
      </c>
      <c r="GT37" s="125">
        <f>IF(OR(GT$4="",$B37=""),0,SUMIF('DADOS BRUTOS'!$A$3:$A$500,$B37,'DADOS BRUTOS'!DT$3:DT$500)+IF($C37="",0,SUMIF('DADOS BRUTOS'!$A$3:$A$500,$C37,'DADOS BRUTOS'!DT$3:DT$500)))</f>
        <v/>
      </c>
      <c r="GU37" s="125">
        <f>IF(OR(GU$4="",$B37=""),0,SUMIF('DADOS BRUTOS'!$A$3:$A$500,$B37,'DADOS BRUTOS'!DU$3:DU$500)+IF($C37="",0,SUMIF('DADOS BRUTOS'!$A$3:$A$500,$C37,'DADOS BRUTOS'!DU$3:DU$500)))</f>
        <v/>
      </c>
      <c r="GV37" s="125">
        <f>IF(OR(GV$4="",$B37=""),0,SUMIF('DADOS BRUTOS'!$A$3:$A$500,$B37,'DADOS BRUTOS'!DV$3:DV$500)+IF($C37="",0,SUMIF('DADOS BRUTOS'!$A$3:$A$500,$C37,'DADOS BRUTOS'!DV$3:DV$500)))</f>
        <v/>
      </c>
      <c r="GW37" s="125">
        <f>IF(OR(GW$4="",$B37=""),0,SUMIF('DADOS BRUTOS'!$A$3:$A$500,$B37,'DADOS BRUTOS'!DW$3:DW$500)+IF($C37="",0,SUMIF('DADOS BRUTOS'!$A$3:$A$500,$C37,'DADOS BRUTOS'!DW$3:DW$500)))</f>
        <v/>
      </c>
      <c r="GX37" s="125">
        <f>IF(OR(GX$4="",$B37=""),0,SUMIF('DADOS BRUTOS'!$A$3:$A$500,$B37,'DADOS BRUTOS'!DX$3:DX$500)+IF($C37="",0,SUMIF('DADOS BRUTOS'!$A$3:$A$500,$C37,'DADOS BRUTOS'!DX$3:DX$500)))</f>
        <v/>
      </c>
      <c r="GY37" s="125">
        <f>IF(OR(GY$4="",$B37=""),0,SUMIF('DADOS BRUTOS'!$A$3:$A$500,$B37,'DADOS BRUTOS'!DY$3:DY$500)+IF($C37="",0,SUMIF('DADOS BRUTOS'!$A$3:$A$500,$C37,'DADOS BRUTOS'!DY$3:DY$500)))</f>
        <v/>
      </c>
      <c r="GZ37" s="125">
        <f>IF(OR(GZ$4="",$B37=""),0,SUMIF('DADOS BRUTOS'!$A$3:$A$500,$B37,'DADOS BRUTOS'!DZ$3:DZ$500)+IF($C37="",0,SUMIF('DADOS BRUTOS'!$A$3:$A$500,$C37,'DADOS BRUTOS'!DZ$3:DZ$500)))</f>
        <v/>
      </c>
      <c r="HA37" s="125">
        <f>IF(OR(HA$4="",$B37=""),0,SUMIF('DADOS BRUTOS'!$A$3:$A$500,$B37,'DADOS BRUTOS'!EA$3:EA$500)+IF($C37="",0,SUMIF('DADOS BRUTOS'!$A$3:$A$500,$C37,'DADOS BRUTOS'!EA$3:EA$500)))</f>
        <v/>
      </c>
      <c r="HB37" s="125">
        <f>IF(OR(HB$4="",$B37=""),0,SUMIF('DADOS BRUTOS'!$A$3:$A$500,$B37,'DADOS BRUTOS'!EB$3:EB$500)+IF($C37="",0,SUMIF('DADOS BRUTOS'!$A$3:$A$500,$C37,'DADOS BRUTOS'!EB$3:EB$500)))</f>
        <v/>
      </c>
      <c r="HC37" s="125">
        <f>IF(OR(HC$4="",$B37=""),0,SUMIF('DADOS BRUTOS'!$A$3:$A$500,$B37,'DADOS BRUTOS'!EC$3:EC$500)+IF($C37="",0,SUMIF('DADOS BRUTOS'!$A$3:$A$500,$C37,'DADOS BRUTOS'!EC$3:EC$500)))</f>
        <v/>
      </c>
      <c r="HD37" s="125">
        <f>IF(OR(HD$4="",$B37=""),0,SUMIF('DADOS BRUTOS'!$A$3:$A$500,$B37,'DADOS BRUTOS'!ED$3:ED$500)+IF($C37="",0,SUMIF('DADOS BRUTOS'!$A$3:$A$500,$C37,'DADOS BRUTOS'!ED$3:ED$500)))</f>
        <v/>
      </c>
      <c r="HE37" s="125">
        <f>IF(OR(HE$4="",$B37=""),0,SUMIF('DADOS BRUTOS'!$A$3:$A$500,$B37,'DADOS BRUTOS'!EE$3:EE$500)+IF($C37="",0,SUMIF('DADOS BRUTOS'!$A$3:$A$500,$C37,'DADOS BRUTOS'!EE$3:EE$500)))</f>
        <v/>
      </c>
      <c r="HF37" s="125">
        <f>IF(OR(HF$4="",$B37=""),0,SUMIF('DADOS BRUTOS'!$A$3:$A$500,$B37,'DADOS BRUTOS'!EF$3:EF$500)+IF($C37="",0,SUMIF('DADOS BRUTOS'!$A$3:$A$500,$C37,'DADOS BRUTOS'!EF$3:EF$500)))</f>
        <v/>
      </c>
      <c r="HG37" s="125">
        <f>IF(OR(HG$4="",$B37=""),0,SUMIF('DADOS BRUTOS'!$A$3:$A$500,$B37,'DADOS BRUTOS'!EG$3:EG$500)+IF($C37="",0,SUMIF('DADOS BRUTOS'!$A$3:$A$500,$C37,'DADOS BRUTOS'!EG$3:EG$500)))</f>
        <v/>
      </c>
      <c r="HH37" s="125">
        <f>IF(OR(HH$4="",$B37=""),0,SUMIF('DADOS BRUTOS'!$A$3:$A$500,$B37,'DADOS BRUTOS'!EH$3:EH$500)+IF($C37="",0,SUMIF('DADOS BRUTOS'!$A$3:$A$500,$C37,'DADOS BRUTOS'!EH$3:EH$500)))</f>
        <v/>
      </c>
      <c r="HI37" s="125">
        <f>IF(OR(HI$4="",$B37=""),0,SUMIF('DADOS BRUTOS'!$A$3:$A$500,$B37,'DADOS BRUTOS'!EI$3:EI$500)+IF($C37="",0,SUMIF('DADOS BRUTOS'!$A$3:$A$500,$C37,'DADOS BRUTOS'!EI$3:EI$500)))</f>
        <v/>
      </c>
      <c r="HJ37" s="125">
        <f>IF(OR(HJ$4="",$B37=""),0,SUMIF('DADOS BRUTOS'!$A$3:$A$500,$B37,'DADOS BRUTOS'!EJ$3:EJ$500)+IF($C37="",0,SUMIF('DADOS BRUTOS'!$A$3:$A$500,$C37,'DADOS BRUTOS'!EJ$3:EJ$500)))</f>
        <v/>
      </c>
      <c r="HK37" s="125">
        <f>IF(OR(HK$4="",$B37=""),0,SUMIF('DADOS BRUTOS'!$A$3:$A$500,$B37,'DADOS BRUTOS'!EK$3:EK$500)+IF($C37="",0,SUMIF('DADOS BRUTOS'!$A$3:$A$500,$C37,'DADOS BRUTOS'!EK$3:EK$500)))</f>
        <v/>
      </c>
      <c r="HL37" s="125">
        <f>IF(OR(HL$4="",$B37=""),0,SUMIF('DADOS BRUTOS'!$A$3:$A$500,$B37,'DADOS BRUTOS'!EL$3:EL$500)+IF($C37="",0,SUMIF('DADOS BRUTOS'!$A$3:$A$500,$C37,'DADOS BRUTOS'!EL$3:EL$500)))</f>
        <v/>
      </c>
      <c r="HM37" s="125">
        <f>IF(OR(HM$4="",$B37=""),0,SUMIF('DADOS BRUTOS'!$A$3:$A$500,$B37,'DADOS BRUTOS'!EM$3:EM$500)+IF($C37="",0,SUMIF('DADOS BRUTOS'!$A$3:$A$500,$C37,'DADOS BRUTOS'!EM$3:EM$500)))</f>
        <v/>
      </c>
      <c r="HN37" s="125">
        <f>IF(OR(HN$4="",$B37=""),0,SUMIF('DADOS BRUTOS'!$A$3:$A$500,$B37,'DADOS BRUTOS'!EN$3:EN$500)+IF($C37="",0,SUMIF('DADOS BRUTOS'!$A$3:$A$500,$C37,'DADOS BRUTOS'!EN$3:EN$500)))</f>
        <v/>
      </c>
      <c r="HO37" s="125">
        <f>IF(OR(HO$4="",$B37=""),0,SUMIF('DADOS BRUTOS'!$A$3:$A$500,$B37,'DADOS BRUTOS'!EO$3:EO$500)+IF($C37="",0,SUMIF('DADOS BRUTOS'!$A$3:$A$500,$C37,'DADOS BRUTOS'!EO$3:EO$500)))</f>
        <v/>
      </c>
      <c r="HP37" s="125">
        <f>IF(OR(HP$4="",$B37=""),0,SUMIF('DADOS BRUTOS'!$A$3:$A$500,$B37,'DADOS BRUTOS'!EP$3:EP$500)+IF($C37="",0,SUMIF('DADOS BRUTOS'!$A$3:$A$500,$C37,'DADOS BRUTOS'!EP$3:EP$500)))</f>
        <v/>
      </c>
      <c r="HQ37" s="125">
        <f>IF(OR(HQ$4="",$B37=""),0,SUMIF('DADOS BRUTOS'!$A$3:$A$500,$B37,'DADOS BRUTOS'!EQ$3:EQ$500)+IF($C37="",0,SUMIF('DADOS BRUTOS'!$A$3:$A$500,$C37,'DADOS BRUTOS'!EQ$3:EQ$500)))</f>
        <v/>
      </c>
      <c r="HR37" s="125">
        <f>IF(OR(HR$4="",$B37=""),0,SUMIF('DADOS BRUTOS'!$A$3:$A$500,$B37,'DADOS BRUTOS'!ER$3:ER$500)+IF($C37="",0,SUMIF('DADOS BRUTOS'!$A$3:$A$500,$C37,'DADOS BRUTOS'!ER$3:ER$500)))</f>
        <v/>
      </c>
      <c r="HS37" s="125">
        <f>IF(OR(HS$4="",$B37=""),0,SUMIF('DADOS BRUTOS'!$A$3:$A$500,$B37,'DADOS BRUTOS'!ES$3:ES$500)+IF($C37="",0,SUMIF('DADOS BRUTOS'!$A$3:$A$500,$C37,'DADOS BRUTOS'!ES$3:ES$500)))</f>
        <v/>
      </c>
      <c r="HT37" s="125">
        <f>IF(OR(HT$4="",$B37=""),0,SUMIF('DADOS BRUTOS'!$A$3:$A$500,$B37,'DADOS BRUTOS'!ET$3:ET$500)+IF($C37="",0,SUMIF('DADOS BRUTOS'!$A$3:$A$500,$C37,'DADOS BRUTOS'!ET$3:ET$500)))</f>
        <v/>
      </c>
      <c r="HU37" s="125">
        <f>IF(OR(HU$4="",$B37=""),0,SUMIF('DADOS BRUTOS'!$A$3:$A$500,$B37,'DADOS BRUTOS'!EU$3:EU$500)+IF($C37="",0,SUMIF('DADOS BRUTOS'!$A$3:$A$500,$C37,'DADOS BRUTOS'!EU$3:EU$500)))</f>
        <v/>
      </c>
      <c r="HV37" s="125">
        <f>IF(OR(HV$4="",$B37=""),0,SUMIF('DADOS BRUTOS'!$A$3:$A$500,$B37,'DADOS BRUTOS'!EV$3:EV$500)+IF($C37="",0,SUMIF('DADOS BRUTOS'!$A$3:$A$500,$C37,'DADOS BRUTOS'!EV$3:EV$500)))</f>
        <v/>
      </c>
      <c r="HW37" s="125">
        <f>IF(OR(HW$4="",$B37=""),0,SUMIF('DADOS BRUTOS'!$A$3:$A$500,$B37,'DADOS BRUTOS'!EW$3:EW$500)+IF($C37="",0,SUMIF('DADOS BRUTOS'!$A$3:$A$500,$C37,'DADOS BRUTOS'!EW$3:EW$500)))</f>
        <v/>
      </c>
      <c r="HX37" s="125">
        <f>IF(OR(HX$4="",$B37=""),0,SUMIF('DADOS BRUTOS'!$A$3:$A$500,$B37,'DADOS BRUTOS'!EX$3:EX$500)+IF($C37="",0,SUMIF('DADOS BRUTOS'!$A$3:$A$500,$C37,'DADOS BRUTOS'!EX$3:EX$500)))</f>
        <v/>
      </c>
      <c r="HY37" s="125">
        <f>IF(OR(HY$4="",$B37=""),0,SUMIF('DADOS BRUTOS'!$A$3:$A$500,$B37,'DADOS BRUTOS'!EY$3:EY$500)+IF($C37="",0,SUMIF('DADOS BRUTOS'!$A$3:$A$500,$C37,'DADOS BRUTOS'!EY$3:EY$500)))</f>
        <v/>
      </c>
      <c r="HZ37" s="125">
        <f>IF(OR(HZ$4="",$B37=""),0,SUMIF('DADOS BRUTOS'!$A$3:$A$500,$B37,'DADOS BRUTOS'!EZ$3:EZ$500)+IF($C37="",0,SUMIF('DADOS BRUTOS'!$A$3:$A$500,$C37,'DADOS BRUTOS'!EZ$3:EZ$500)))</f>
        <v/>
      </c>
      <c r="IA37" s="125">
        <f>IF(OR(IA$4="",$B37=""),0,SUMIF('DADOS BRUTOS'!$A$3:$A$500,$B37,'DADOS BRUTOS'!FA$3:FA$500)+IF($C37="",0,SUMIF('DADOS BRUTOS'!$A$3:$A$500,$C37,'DADOS BRUTOS'!FA$3:FA$500)))</f>
        <v/>
      </c>
      <c r="IB37" s="125">
        <f>IF(OR(IB$4="",$B37=""),0,SUMIF('DADOS BRUTOS'!$A$3:$A$500,$B37,'DADOS BRUTOS'!FB$3:FB$500)+IF($C37="",0,SUMIF('DADOS BRUTOS'!$A$3:$A$500,$C37,'DADOS BRUTOS'!FB$3:FB$500)))</f>
        <v/>
      </c>
      <c r="IC37" s="125">
        <f>IF(OR(IC$4="",$B37=""),0,SUMIF('DADOS BRUTOS'!$A$3:$A$500,$B37,'DADOS BRUTOS'!FC$3:FC$500)+IF($C37="",0,SUMIF('DADOS BRUTOS'!$A$3:$A$500,$C37,'DADOS BRUTOS'!FC$3:FC$500)))</f>
        <v/>
      </c>
      <c r="ID37" s="125">
        <f>IF(OR(ID$4="",$B37=""),0,SUMIF('DADOS BRUTOS'!$A$3:$A$500,$B37,'DADOS BRUTOS'!FD$3:FD$500)+IF($C37="",0,SUMIF('DADOS BRUTOS'!$A$3:$A$500,$C37,'DADOS BRUTOS'!FD$3:FD$500)))</f>
        <v/>
      </c>
      <c r="IE37" s="125">
        <f>IF(OR(IE$4="",$B37=""),0,SUMIF('DADOS BRUTOS'!$A$3:$A$500,$B37,'DADOS BRUTOS'!FE$3:FE$500)+IF($C37="",0,SUMIF('DADOS BRUTOS'!$A$3:$A$500,$C37,'DADOS BRUTOS'!FE$3:FE$500)))</f>
        <v/>
      </c>
      <c r="IF37" s="125">
        <f>IF(OR(IF$4="",$B37=""),0,SUMIF('DADOS BRUTOS'!$A$3:$A$500,$B37,'DADOS BRUTOS'!FF$3:FF$500)+IF($C37="",0,SUMIF('DADOS BRUTOS'!$A$3:$A$500,$C37,'DADOS BRUTOS'!FF$3:FF$500)))</f>
        <v/>
      </c>
      <c r="IG37" s="125">
        <f>IF(OR(IG$4="",$B37=""),0,SUMIF('DADOS BRUTOS'!$A$3:$A$500,$B37,'DADOS BRUTOS'!FG$3:FG$500)+IF($C37="",0,SUMIF('DADOS BRUTOS'!$A$3:$A$500,$C37,'DADOS BRUTOS'!FG$3:FG$500)))</f>
        <v/>
      </c>
      <c r="IH37" s="125">
        <f>IF(OR(IH$4="",$B37=""),0,SUMIF('DADOS BRUTOS'!$A$3:$A$500,$B37,'DADOS BRUTOS'!FH$3:FH$500)+IF($C37="",0,SUMIF('DADOS BRUTOS'!$A$3:$A$500,$C37,'DADOS BRUTOS'!FH$3:FH$500)))</f>
        <v/>
      </c>
      <c r="II37" s="125">
        <f>IF(OR(II$4="",$B37=""),0,SUMIF('DADOS BRUTOS'!$A$3:$A$500,$B37,'DADOS BRUTOS'!FI$3:FI$500)+IF($C37="",0,SUMIF('DADOS BRUTOS'!$A$3:$A$500,$C37,'DADOS BRUTOS'!FI$3:FI$500)))</f>
        <v/>
      </c>
      <c r="IJ37" s="125">
        <f>IF(OR(IJ$4="",$B37=""),0,SUMIF('DADOS BRUTOS'!$A$3:$A$500,$B37,'DADOS BRUTOS'!FJ$3:FJ$500)+IF($C37="",0,SUMIF('DADOS BRUTOS'!$A$3:$A$500,$C37,'DADOS BRUTOS'!FJ$3:FJ$500)))</f>
        <v/>
      </c>
      <c r="IK37" s="125">
        <f>IF(OR(IK$4="",$B37=""),0,SUMIF('DADOS BRUTOS'!$A$3:$A$500,$B37,'DADOS BRUTOS'!FK$3:FK$500)+IF($C37="",0,SUMIF('DADOS BRUTOS'!$A$3:$A$500,$C37,'DADOS BRUTOS'!FK$3:FK$500)))</f>
        <v/>
      </c>
      <c r="IL37" s="125">
        <f>IF(OR(IL$4="",$B37=""),0,SUMIF('DADOS BRUTOS'!$A$3:$A$500,$B37,'DADOS BRUTOS'!FL$3:FL$500)+IF($C37="",0,SUMIF('DADOS BRUTOS'!$A$3:$A$500,$C37,'DADOS BRUTOS'!FL$3:FL$500)))</f>
        <v/>
      </c>
      <c r="IM37" s="125">
        <f>IF(OR(IM$4="",$B37=""),0,SUMIF('DADOS BRUTOS'!$A$3:$A$500,$B37,'DADOS BRUTOS'!FM$3:FM$500)+IF($C37="",0,SUMIF('DADOS BRUTOS'!$A$3:$A$500,$C37,'DADOS BRUTOS'!FM$3:FM$500)))</f>
        <v/>
      </c>
      <c r="IN37" s="125">
        <f>IF(OR(IN$4="",$B37=""),0,SUMIF('DADOS BRUTOS'!$A$3:$A$500,$B37,'DADOS BRUTOS'!FN$3:FN$500)+IF($C37="",0,SUMIF('DADOS BRUTOS'!$A$3:$A$500,$C37,'DADOS BRUTOS'!FN$3:FN$500)))</f>
        <v/>
      </c>
      <c r="IO37" s="125">
        <f>IF(OR(IO$4="",$B37=""),0,SUMIF('DADOS BRUTOS'!$A$3:$A$500,$B37,'DADOS BRUTOS'!FO$3:FO$500)+IF($C37="",0,SUMIF('DADOS BRUTOS'!$A$3:$A$500,$C37,'DADOS BRUTOS'!FO$3:FO$500)))</f>
        <v/>
      </c>
      <c r="IP37" s="125">
        <f>IF(OR(IP$4="",$B37=""),0,SUMIF('DADOS BRUTOS'!$A$3:$A$500,$B37,'DADOS BRUTOS'!FP$3:FP$500)+IF($C37="",0,SUMIF('DADOS BRUTOS'!$A$3:$A$500,$C37,'DADOS BRUTOS'!FP$3:FP$500)))</f>
        <v/>
      </c>
      <c r="IQ37" s="125">
        <f>IF(OR(IQ$4="",$B37=""),0,SUMIF('DADOS BRUTOS'!$A$3:$A$500,$B37,'DADOS BRUTOS'!FQ$3:FQ$500)+IF($C37="",0,SUMIF('DADOS BRUTOS'!$A$3:$A$500,$C37,'DADOS BRUTOS'!FQ$3:FQ$500)))</f>
        <v/>
      </c>
      <c r="IR37" s="125">
        <f>IF(OR(IR$4="",$B37=""),0,SUMIF('DADOS BRUTOS'!$A$3:$A$500,$B37,'DADOS BRUTOS'!FR$3:FR$500)+IF($C37="",0,SUMIF('DADOS BRUTOS'!$A$3:$A$500,$C37,'DADOS BRUTOS'!FR$3:FR$500)))</f>
        <v/>
      </c>
      <c r="IS37" s="125">
        <f>IF(OR(IS$4="",$B37=""),0,SUMIF('DADOS BRUTOS'!$A$3:$A$500,$B37,'DADOS BRUTOS'!FS$3:FS$500)+IF($C37="",0,SUMIF('DADOS BRUTOS'!$A$3:$A$500,$C37,'DADOS BRUTOS'!FS$3:FS$500)))</f>
        <v/>
      </c>
      <c r="IT37" s="125">
        <f>IF(OR(IT$4="",$B37=""),0,SUMIF('DADOS BRUTOS'!$A$3:$A$500,$B37,'DADOS BRUTOS'!FT$3:FT$500)+IF($C37="",0,SUMIF('DADOS BRUTOS'!$A$3:$A$500,$C37,'DADOS BRUTOS'!FT$3:FT$500)))</f>
        <v/>
      </c>
      <c r="IU37" s="125">
        <f>IF(OR(IU$4="",$B37=""),0,SUMIF('DADOS BRUTOS'!$A$3:$A$500,$B37,'DADOS BRUTOS'!FU$3:FU$500)+IF($C37="",0,SUMIF('DADOS BRUTOS'!$A$3:$A$500,$C37,'DADOS BRUTOS'!FU$3:FU$500)))</f>
        <v/>
      </c>
      <c r="IV37" s="125">
        <f>IF(OR(IV$4="",$B37=""),0,SUMIF('DADOS BRUTOS'!$A$3:$A$500,$B37,'DADOS BRUTOS'!FV$3:FV$500)+IF($C37="",0,SUMIF('DADOS BRUTOS'!$A$3:$A$500,$C37,'DADOS BRUTOS'!FV$3:FV$500)))</f>
        <v/>
      </c>
      <c r="IW37" s="125">
        <f>IF(OR(IW$4="",$B37=""),0,SUMIF('DADOS BRUTOS'!$A$3:$A$500,$B37,'DADOS BRUTOS'!FW$3:FW$500)+IF($C37="",0,SUMIF('DADOS BRUTOS'!$A$3:$A$500,$C37,'DADOS BRUTOS'!FW$3:FW$500)))</f>
        <v/>
      </c>
      <c r="IX37" s="125">
        <f>IF(OR(IX$4="",$B37=""),0,SUMIF('DADOS BRUTOS'!$A$3:$A$500,$B37,'DADOS BRUTOS'!FX$3:FX$500)+IF($C37="",0,SUMIF('DADOS BRUTOS'!$A$3:$A$500,$C37,'DADOS BRUTOS'!FX$3:FX$500)))</f>
        <v/>
      </c>
      <c r="IY37" s="125">
        <f>IF(OR(IY$4="",$B37=""),0,SUMIF('DADOS BRUTOS'!$A$3:$A$500,$B37,'DADOS BRUTOS'!FY$3:FY$500)+IF($C37="",0,SUMIF('DADOS BRUTOS'!$A$3:$A$500,$C37,'DADOS BRUTOS'!FY$3:FY$500)))</f>
        <v/>
      </c>
      <c r="IZ37" s="125">
        <f>IF(OR(IZ$4="",$B37=""),0,SUMIF('DADOS BRUTOS'!$A$3:$A$500,$B37,'DADOS BRUTOS'!FZ$3:FZ$500)+IF($C37="",0,SUMIF('DADOS BRUTOS'!$A$3:$A$500,$C37,'DADOS BRUTOS'!FZ$3:FZ$500)))</f>
        <v/>
      </c>
      <c r="JA37" s="125">
        <f>IF(OR(JA$4="",$B37=""),0,SUMIF('DADOS BRUTOS'!$A$3:$A$500,$B37,'DADOS BRUTOS'!GA$3:GA$500)+IF($C37="",0,SUMIF('DADOS BRUTOS'!$A$3:$A$500,$C37,'DADOS BRUTOS'!GA$3:GA$500)))</f>
        <v/>
      </c>
      <c r="JB37" s="125">
        <f>IF(OR(JB$4="",$B37=""),0,SUMIF('DADOS BRUTOS'!$A$3:$A$500,$B37,'DADOS BRUTOS'!GB$3:GB$500)+IF($C37="",0,SUMIF('DADOS BRUTOS'!$A$3:$A$500,$C37,'DADOS BRUTOS'!GB$3:GB$500)))</f>
        <v/>
      </c>
      <c r="JC37" s="125">
        <f>IF(OR(JC$4="",$B37=""),0,SUMIF('DADOS BRUTOS'!$A$3:$A$500,$B37,'DADOS BRUTOS'!GC$3:GC$500)+IF($C37="",0,SUMIF('DADOS BRUTOS'!$A$3:$A$500,$C37,'DADOS BRUTOS'!GC$3:GC$500)))</f>
        <v/>
      </c>
      <c r="JD37" s="125">
        <f>IF(OR(JD$4="",$B37=""),0,SUMIF('DADOS BRUTOS'!$A$3:$A$500,$B37,'DADOS BRUTOS'!GD$3:GD$500)+IF($C37="",0,SUMIF('DADOS BRUTOS'!$A$3:$A$500,$C37,'DADOS BRUTOS'!GD$3:GD$500)))</f>
        <v/>
      </c>
      <c r="JE37" s="125">
        <f>IF(OR(JE$4="",$B37=""),0,SUMIF('DADOS BRUTOS'!$A$3:$A$500,$B37,'DADOS BRUTOS'!GE$3:GE$500)+IF($C37="",0,SUMIF('DADOS BRUTOS'!$A$3:$A$500,$C37,'DADOS BRUTOS'!GE$3:GE$500)))</f>
        <v/>
      </c>
      <c r="JF37" s="125">
        <f>IF(OR(JF$4="",$B37=""),0,SUMIF('DADOS BRUTOS'!$A$3:$A$500,$B37,'DADOS BRUTOS'!GF$3:GF$500)+IF($C37="",0,SUMIF('DADOS BRUTOS'!$A$3:$A$500,$C37,'DADOS BRUTOS'!GF$3:GF$500)))</f>
        <v/>
      </c>
      <c r="JG37" s="125">
        <f>IF(OR(JG$4="",$B37=""),0,SUMIF('DADOS BRUTOS'!$A$3:$A$500,$B37,'DADOS BRUTOS'!GG$3:GG$500)+IF($C37="",0,SUMIF('DADOS BRUTOS'!$A$3:$A$500,$C37,'DADOS BRUTOS'!GG$3:GG$500)))</f>
        <v/>
      </c>
      <c r="JH37" s="125">
        <f>IF(OR(JH$4="",$B37=""),0,SUMIF('DADOS BRUTOS'!$A$3:$A$500,$B37,'DADOS BRUTOS'!GH$3:GH$500)+IF($C37="",0,SUMIF('DADOS BRUTOS'!$A$3:$A$500,$C37,'DADOS BRUTOS'!GH$3:GH$500)))</f>
        <v/>
      </c>
      <c r="JI37" s="125">
        <f>IF(OR(JI$4="",$B37=""),0,SUMIF('DADOS BRUTOS'!$A$3:$A$500,$B37,'DADOS BRUTOS'!GI$3:GI$500)+IF($C37="",0,SUMIF('DADOS BRUTOS'!$A$3:$A$500,$C37,'DADOS BRUTOS'!GI$3:GI$500)))</f>
        <v/>
      </c>
      <c r="JJ37" s="125">
        <f>IF(OR(JJ$4="",$B37=""),0,SUMIF('DADOS BRUTOS'!$A$3:$A$500,$B37,'DADOS BRUTOS'!GJ$3:GJ$500)+IF($C37="",0,SUMIF('DADOS BRUTOS'!$A$3:$A$500,$C37,'DADOS BRUTOS'!GJ$3:GJ$500)))</f>
        <v/>
      </c>
      <c r="JK37" s="125">
        <f>IF(OR(JK$4="",$B37=""),0,SUMIF('DADOS BRUTOS'!$A$3:$A$500,$B37,'DADOS BRUTOS'!GK$3:GK$500)+IF($C37="",0,SUMIF('DADOS BRUTOS'!$A$3:$A$500,$C37,'DADOS BRUTOS'!GK$3:GK$500)))</f>
        <v/>
      </c>
      <c r="JL37" s="125">
        <f>IF(OR(JL$4="",$B37=""),0,SUMIF('DADOS BRUTOS'!$A$3:$A$500,$B37,'DADOS BRUTOS'!GL$3:GL$500)+IF($C37="",0,SUMIF('DADOS BRUTOS'!$A$3:$A$500,$C37,'DADOS BRUTOS'!GL$3:GL$500)))</f>
        <v/>
      </c>
      <c r="JM37" s="125">
        <f>IF(OR(JM$4="",$B37=""),0,SUMIF('DADOS BRUTOS'!$A$3:$A$500,$B37,'DADOS BRUTOS'!GM$3:GM$500)+IF($C37="",0,SUMIF('DADOS BRUTOS'!$A$3:$A$500,$C37,'DADOS BRUTOS'!GM$3:GM$500)))</f>
        <v/>
      </c>
      <c r="JN37" s="125">
        <f>IF(OR(JN$4="",$B37=""),0,SUMIF('DADOS BRUTOS'!$A$3:$A$500,$B37,'DADOS BRUTOS'!GN$3:GN$500)+IF($C37="",0,SUMIF('DADOS BRUTOS'!$A$3:$A$500,$C37,'DADOS BRUTOS'!GN$3:GN$500)))</f>
        <v/>
      </c>
      <c r="JO37" s="125">
        <f>IF(OR(JO$4="",$B37=""),0,SUMIF('DADOS BRUTOS'!$A$3:$A$500,$B37,'DADOS BRUTOS'!GO$3:GO$500)+IF($C37="",0,SUMIF('DADOS BRUTOS'!$A$3:$A$500,$C37,'DADOS BRUTOS'!GO$3:GO$500)))</f>
        <v/>
      </c>
      <c r="JP37" s="125">
        <f>IF(OR(JP$4="",$B37=""),0,SUMIF('DADOS BRUTOS'!$A$3:$A$500,$B37,'DADOS BRUTOS'!GP$3:GP$500)+IF($C37="",0,SUMIF('DADOS BRUTOS'!$A$3:$A$500,$C37,'DADOS BRUTOS'!GP$3:GP$500)))</f>
        <v/>
      </c>
      <c r="JQ37" s="125">
        <f>IF(OR(JQ$4="",$B37=""),0,SUMIF('DADOS BRUTOS'!$A$3:$A$500,$B37,'DADOS BRUTOS'!GQ$3:GQ$500)+IF($C37="",0,SUMIF('DADOS BRUTOS'!$A$3:$A$500,$C37,'DADOS BRUTOS'!GQ$3:GQ$500)))</f>
        <v/>
      </c>
      <c r="JR37" s="125">
        <f>IF(OR(JR$4="",$B37=""),0,SUMIF('DADOS BRUTOS'!$A$3:$A$500,$B37,'DADOS BRUTOS'!GR$3:GR$500)+IF($C37="",0,SUMIF('DADOS BRUTOS'!$A$3:$A$500,$C37,'DADOS BRUTOS'!GR$3:GR$500)))</f>
        <v/>
      </c>
      <c r="JS37" s="125">
        <f>IF(OR(JS$4="",$B37=""),0,SUMIF('DADOS BRUTOS'!$A$3:$A$500,$B37,'DADOS BRUTOS'!GS$3:GS$500)+IF($C37="",0,SUMIF('DADOS BRUTOS'!$A$3:$A$500,$C37,'DADOS BRUTOS'!GS$3:GS$500)))</f>
        <v/>
      </c>
    </row>
    <row r="38">
      <c r="A38" s="61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BZ38" s="49">
        <f>SUMPRODUCT(($CB$4:$JS$4&lt;&gt;"")*($CB$4:$JS$4&lt;=$D$4),$CB38:$JS38,$CB$1:$JS$1)</f>
        <v/>
      </c>
      <c r="CB38" s="125">
        <f>IF(OR(CB$4="",$B38=""),0,SUMIF('DADOS BRUTOS'!$A$3:$A$500,$B38,'DADOS BRUTOS'!B$3:B$500)+IF($C38="",0,SUMIF('DADOS BRUTOS'!$A$3:$A$500,$C38,'DADOS BRUTOS'!B$3:B$500)))</f>
        <v/>
      </c>
      <c r="CC38" s="125">
        <f>IF(OR(CC$4="",$B38=""),0,SUMIF('DADOS BRUTOS'!$A$3:$A$500,$B38,'DADOS BRUTOS'!C$3:C$500)+IF($C38="",0,SUMIF('DADOS BRUTOS'!$A$3:$A$500,$C38,'DADOS BRUTOS'!C$3:C$500)))</f>
        <v/>
      </c>
      <c r="CD38" s="125">
        <f>IF(OR(CD$4="",$B38=""),0,SUMIF('DADOS BRUTOS'!$A$3:$A$500,$B38,'DADOS BRUTOS'!D$3:D$500)+IF($C38="",0,SUMIF('DADOS BRUTOS'!$A$3:$A$500,$C38,'DADOS BRUTOS'!D$3:D$500)))</f>
        <v/>
      </c>
      <c r="CE38" s="125">
        <f>IF(OR(CE$4="",$B38=""),0,SUMIF('DADOS BRUTOS'!$A$3:$A$500,$B38,'DADOS BRUTOS'!E$3:E$500)+IF($C38="",0,SUMIF('DADOS BRUTOS'!$A$3:$A$500,$C38,'DADOS BRUTOS'!E$3:E$500)))</f>
        <v/>
      </c>
      <c r="CF38" s="125">
        <f>IF(OR(CF$4="",$B38=""),0,SUMIF('DADOS BRUTOS'!$A$3:$A$500,$B38,'DADOS BRUTOS'!F$3:F$500)+IF($C38="",0,SUMIF('DADOS BRUTOS'!$A$3:$A$500,$C38,'DADOS BRUTOS'!F$3:F$500)))</f>
        <v/>
      </c>
      <c r="CG38" s="125">
        <f>IF(OR(CG$4="",$B38=""),0,SUMIF('DADOS BRUTOS'!$A$3:$A$500,$B38,'DADOS BRUTOS'!G$3:G$500)+IF($C38="",0,SUMIF('DADOS BRUTOS'!$A$3:$A$500,$C38,'DADOS BRUTOS'!G$3:G$500)))</f>
        <v/>
      </c>
      <c r="CH38" s="125">
        <f>IF(OR(CH$4="",$B38=""),0,SUMIF('DADOS BRUTOS'!$A$3:$A$500,$B38,'DADOS BRUTOS'!H$3:H$500)+IF($C38="",0,SUMIF('DADOS BRUTOS'!$A$3:$A$500,$C38,'DADOS BRUTOS'!H$3:H$500)))</f>
        <v/>
      </c>
      <c r="CI38" s="125">
        <f>IF(OR(CI$4="",$B38=""),0,SUMIF('DADOS BRUTOS'!$A$3:$A$500,$B38,'DADOS BRUTOS'!I$3:I$500)+IF($C38="",0,SUMIF('DADOS BRUTOS'!$A$3:$A$500,$C38,'DADOS BRUTOS'!I$3:I$500)))</f>
        <v/>
      </c>
      <c r="CJ38" s="125">
        <f>IF(OR(CJ$4="",$B38=""),0,SUMIF('DADOS BRUTOS'!$A$3:$A$500,$B38,'DADOS BRUTOS'!J$3:J$500)+IF($C38="",0,SUMIF('DADOS BRUTOS'!$A$3:$A$500,$C38,'DADOS BRUTOS'!J$3:J$500)))</f>
        <v/>
      </c>
      <c r="CK38" s="125">
        <f>IF(OR(CK$4="",$B38=""),0,SUMIF('DADOS BRUTOS'!$A$3:$A$500,$B38,'DADOS BRUTOS'!K$3:K$500)+IF($C38="",0,SUMIF('DADOS BRUTOS'!$A$3:$A$500,$C38,'DADOS BRUTOS'!K$3:K$500)))</f>
        <v/>
      </c>
      <c r="CL38" s="125">
        <f>IF(OR(CL$4="",$B38=""),0,SUMIF('DADOS BRUTOS'!$A$3:$A$500,$B38,'DADOS BRUTOS'!L$3:L$500)+IF($C38="",0,SUMIF('DADOS BRUTOS'!$A$3:$A$500,$C38,'DADOS BRUTOS'!L$3:L$500)))</f>
        <v/>
      </c>
      <c r="CM38" s="125">
        <f>IF(OR(CM$4="",$B38=""),0,SUMIF('DADOS BRUTOS'!$A$3:$A$500,$B38,'DADOS BRUTOS'!M$3:M$500)+IF($C38="",0,SUMIF('DADOS BRUTOS'!$A$3:$A$500,$C38,'DADOS BRUTOS'!M$3:M$500)))</f>
        <v/>
      </c>
      <c r="CN38" s="125">
        <f>IF(OR(CN$4="",$B38=""),0,SUMIF('DADOS BRUTOS'!$A$3:$A$500,$B38,'DADOS BRUTOS'!N$3:N$500)+IF($C38="",0,SUMIF('DADOS BRUTOS'!$A$3:$A$500,$C38,'DADOS BRUTOS'!N$3:N$500)))</f>
        <v/>
      </c>
      <c r="CO38" s="125">
        <f>IF(OR(CO$4="",$B38=""),0,SUMIF('DADOS BRUTOS'!$A$3:$A$500,$B38,'DADOS BRUTOS'!O$3:O$500)+IF($C38="",0,SUMIF('DADOS BRUTOS'!$A$3:$A$500,$C38,'DADOS BRUTOS'!O$3:O$500)))</f>
        <v/>
      </c>
      <c r="CP38" s="125">
        <f>IF(OR(CP$4="",$B38=""),0,SUMIF('DADOS BRUTOS'!$A$3:$A$500,$B38,'DADOS BRUTOS'!P$3:P$500)+IF($C38="",0,SUMIF('DADOS BRUTOS'!$A$3:$A$500,$C38,'DADOS BRUTOS'!P$3:P$500)))</f>
        <v/>
      </c>
      <c r="CQ38" s="125">
        <f>IF(OR(CQ$4="",$B38=""),0,SUMIF('DADOS BRUTOS'!$A$3:$A$500,$B38,'DADOS BRUTOS'!Q$3:Q$500)+IF($C38="",0,SUMIF('DADOS BRUTOS'!$A$3:$A$500,$C38,'DADOS BRUTOS'!Q$3:Q$500)))</f>
        <v/>
      </c>
      <c r="CR38" s="125">
        <f>IF(OR(CR$4="",$B38=""),0,SUMIF('DADOS BRUTOS'!$A$3:$A$500,$B38,'DADOS BRUTOS'!R$3:R$500)+IF($C38="",0,SUMIF('DADOS BRUTOS'!$A$3:$A$500,$C38,'DADOS BRUTOS'!R$3:R$500)))</f>
        <v/>
      </c>
      <c r="CS38" s="125">
        <f>IF(OR(CS$4="",$B38=""),0,SUMIF('DADOS BRUTOS'!$A$3:$A$500,$B38,'DADOS BRUTOS'!S$3:S$500)+IF($C38="",0,SUMIF('DADOS BRUTOS'!$A$3:$A$500,$C38,'DADOS BRUTOS'!S$3:S$500)))</f>
        <v/>
      </c>
      <c r="CT38" s="125">
        <f>IF(OR(CT$4="",$B38=""),0,SUMIF('DADOS BRUTOS'!$A$3:$A$500,$B38,'DADOS BRUTOS'!T$3:T$500)+IF($C38="",0,SUMIF('DADOS BRUTOS'!$A$3:$A$500,$C38,'DADOS BRUTOS'!T$3:T$500)))</f>
        <v/>
      </c>
      <c r="CU38" s="125">
        <f>IF(OR(CU$4="",$B38=""),0,SUMIF('DADOS BRUTOS'!$A$3:$A$500,$B38,'DADOS BRUTOS'!U$3:U$500)+IF($C38="",0,SUMIF('DADOS BRUTOS'!$A$3:$A$500,$C38,'DADOS BRUTOS'!U$3:U$500)))</f>
        <v/>
      </c>
      <c r="CV38" s="125">
        <f>IF(OR(CV$4="",$B38=""),0,SUMIF('DADOS BRUTOS'!$A$3:$A$500,$B38,'DADOS BRUTOS'!V$3:V$500)+IF($C38="",0,SUMIF('DADOS BRUTOS'!$A$3:$A$500,$C38,'DADOS BRUTOS'!V$3:V$500)))</f>
        <v/>
      </c>
      <c r="CW38" s="125">
        <f>IF(OR(CW$4="",$B38=""),0,SUMIF('DADOS BRUTOS'!$A$3:$A$500,$B38,'DADOS BRUTOS'!W$3:W$500)+IF($C38="",0,SUMIF('DADOS BRUTOS'!$A$3:$A$500,$C38,'DADOS BRUTOS'!W$3:W$500)))</f>
        <v/>
      </c>
      <c r="CX38" s="125">
        <f>IF(OR(CX$4="",$B38=""),0,SUMIF('DADOS BRUTOS'!$A$3:$A$500,$B38,'DADOS BRUTOS'!X$3:X$500)+IF($C38="",0,SUMIF('DADOS BRUTOS'!$A$3:$A$500,$C38,'DADOS BRUTOS'!X$3:X$500)))</f>
        <v/>
      </c>
      <c r="CY38" s="125">
        <f>IF(OR(CY$4="",$B38=""),0,SUMIF('DADOS BRUTOS'!$A$3:$A$500,$B38,'DADOS BRUTOS'!Y$3:Y$500)+IF($C38="",0,SUMIF('DADOS BRUTOS'!$A$3:$A$500,$C38,'DADOS BRUTOS'!Y$3:Y$500)))</f>
        <v/>
      </c>
      <c r="CZ38" s="125">
        <f>IF(OR(CZ$4="",$B38=""),0,SUMIF('DADOS BRUTOS'!$A$3:$A$500,$B38,'DADOS BRUTOS'!Z$3:Z$500)+IF($C38="",0,SUMIF('DADOS BRUTOS'!$A$3:$A$500,$C38,'DADOS BRUTOS'!Z$3:Z$500)))</f>
        <v/>
      </c>
      <c r="DA38" s="125">
        <f>IF(OR(DA$4="",$B38=""),0,SUMIF('DADOS BRUTOS'!$A$3:$A$500,$B38,'DADOS BRUTOS'!AA$3:AA$500)+IF($C38="",0,SUMIF('DADOS BRUTOS'!$A$3:$A$500,$C38,'DADOS BRUTOS'!AA$3:AA$500)))</f>
        <v/>
      </c>
      <c r="DB38" s="125">
        <f>IF(OR(DB$4="",$B38=""),0,SUMIF('DADOS BRUTOS'!$A$3:$A$500,$B38,'DADOS BRUTOS'!AB$3:AB$500)+IF($C38="",0,SUMIF('DADOS BRUTOS'!$A$3:$A$500,$C38,'DADOS BRUTOS'!AB$3:AB$500)))</f>
        <v/>
      </c>
      <c r="DC38" s="125">
        <f>IF(OR(DC$4="",$B38=""),0,SUMIF('DADOS BRUTOS'!$A$3:$A$500,$B38,'DADOS BRUTOS'!AC$3:AC$500)+IF($C38="",0,SUMIF('DADOS BRUTOS'!$A$3:$A$500,$C38,'DADOS BRUTOS'!AC$3:AC$500)))</f>
        <v/>
      </c>
      <c r="DD38" s="125">
        <f>IF(OR(DD$4="",$B38=""),0,SUMIF('DADOS BRUTOS'!$A$3:$A$500,$B38,'DADOS BRUTOS'!AD$3:AD$500)+IF($C38="",0,SUMIF('DADOS BRUTOS'!$A$3:$A$500,$C38,'DADOS BRUTOS'!AD$3:AD$500)))</f>
        <v/>
      </c>
      <c r="DE38" s="125">
        <f>IF(OR(DE$4="",$B38=""),0,SUMIF('DADOS BRUTOS'!$A$3:$A$500,$B38,'DADOS BRUTOS'!AE$3:AE$500)+IF($C38="",0,SUMIF('DADOS BRUTOS'!$A$3:$A$500,$C38,'DADOS BRUTOS'!AE$3:AE$500)))</f>
        <v/>
      </c>
      <c r="DF38" s="125">
        <f>IF(OR(DF$4="",$B38=""),0,SUMIF('DADOS BRUTOS'!$A$3:$A$500,$B38,'DADOS BRUTOS'!AF$3:AF$500)+IF($C38="",0,SUMIF('DADOS BRUTOS'!$A$3:$A$500,$C38,'DADOS BRUTOS'!AF$3:AF$500)))</f>
        <v/>
      </c>
      <c r="DG38" s="125">
        <f>IF(OR(DG$4="",$B38=""),0,SUMIF('DADOS BRUTOS'!$A$3:$A$500,$B38,'DADOS BRUTOS'!AG$3:AG$500)+IF($C38="",0,SUMIF('DADOS BRUTOS'!$A$3:$A$500,$C38,'DADOS BRUTOS'!AG$3:AG$500)))</f>
        <v/>
      </c>
      <c r="DH38" s="125">
        <f>IF(OR(DH$4="",$B38=""),0,SUMIF('DADOS BRUTOS'!$A$3:$A$500,$B38,'DADOS BRUTOS'!AH$3:AH$500)+IF($C38="",0,SUMIF('DADOS BRUTOS'!$A$3:$A$500,$C38,'DADOS BRUTOS'!AH$3:AH$500)))</f>
        <v/>
      </c>
      <c r="DI38" s="125">
        <f>IF(OR(DI$4="",$B38=""),0,SUMIF('DADOS BRUTOS'!$A$3:$A$500,$B38,'DADOS BRUTOS'!AI$3:AI$500)+IF($C38="",0,SUMIF('DADOS BRUTOS'!$A$3:$A$500,$C38,'DADOS BRUTOS'!AI$3:AI$500)))</f>
        <v/>
      </c>
      <c r="DJ38" s="125">
        <f>IF(OR(DJ$4="",$B38=""),0,SUMIF('DADOS BRUTOS'!$A$3:$A$500,$B38,'DADOS BRUTOS'!AJ$3:AJ$500)+IF($C38="",0,SUMIF('DADOS BRUTOS'!$A$3:$A$500,$C38,'DADOS BRUTOS'!AJ$3:AJ$500)))</f>
        <v/>
      </c>
      <c r="DK38" s="125">
        <f>IF(OR(DK$4="",$B38=""),0,SUMIF('DADOS BRUTOS'!$A$3:$A$500,$B38,'DADOS BRUTOS'!AK$3:AK$500)+IF($C38="",0,SUMIF('DADOS BRUTOS'!$A$3:$A$500,$C38,'DADOS BRUTOS'!AK$3:AK$500)))</f>
        <v/>
      </c>
      <c r="DL38" s="125">
        <f>IF(OR(DL$4="",$B38=""),0,SUMIF('DADOS BRUTOS'!$A$3:$A$500,$B38,'DADOS BRUTOS'!AL$3:AL$500)+IF($C38="",0,SUMIF('DADOS BRUTOS'!$A$3:$A$500,$C38,'DADOS BRUTOS'!AL$3:AL$500)))</f>
        <v/>
      </c>
      <c r="DM38" s="125">
        <f>IF(OR(DM$4="",$B38=""),0,SUMIF('DADOS BRUTOS'!$A$3:$A$500,$B38,'DADOS BRUTOS'!AM$3:AM$500)+IF($C38="",0,SUMIF('DADOS BRUTOS'!$A$3:$A$500,$C38,'DADOS BRUTOS'!AM$3:AM$500)))</f>
        <v/>
      </c>
      <c r="DN38" s="125">
        <f>IF(OR(DN$4="",$B38=""),0,SUMIF('DADOS BRUTOS'!$A$3:$A$500,$B38,'DADOS BRUTOS'!AN$3:AN$500)+IF($C38="",0,SUMIF('DADOS BRUTOS'!$A$3:$A$500,$C38,'DADOS BRUTOS'!AN$3:AN$500)))</f>
        <v/>
      </c>
      <c r="DO38" s="125">
        <f>IF(OR(DO$4="",$B38=""),0,SUMIF('DADOS BRUTOS'!$A$3:$A$500,$B38,'DADOS BRUTOS'!AO$3:AO$500)+IF($C38="",0,SUMIF('DADOS BRUTOS'!$A$3:$A$500,$C38,'DADOS BRUTOS'!AO$3:AO$500)))</f>
        <v/>
      </c>
      <c r="DP38" s="125">
        <f>IF(OR(DP$4="",$B38=""),0,SUMIF('DADOS BRUTOS'!$A$3:$A$500,$B38,'DADOS BRUTOS'!AP$3:AP$500)+IF($C38="",0,SUMIF('DADOS BRUTOS'!$A$3:$A$500,$C38,'DADOS BRUTOS'!AP$3:AP$500)))</f>
        <v/>
      </c>
      <c r="DQ38" s="125">
        <f>IF(OR(DQ$4="",$B38=""),0,SUMIF('DADOS BRUTOS'!$A$3:$A$500,$B38,'DADOS BRUTOS'!AQ$3:AQ$500)+IF($C38="",0,SUMIF('DADOS BRUTOS'!$A$3:$A$500,$C38,'DADOS BRUTOS'!AQ$3:AQ$500)))</f>
        <v/>
      </c>
      <c r="DR38" s="125">
        <f>IF(OR(DR$4="",$B38=""),0,SUMIF('DADOS BRUTOS'!$A$3:$A$500,$B38,'DADOS BRUTOS'!AR$3:AR$500)+IF($C38="",0,SUMIF('DADOS BRUTOS'!$A$3:$A$500,$C38,'DADOS BRUTOS'!AR$3:AR$500)))</f>
        <v/>
      </c>
      <c r="DS38" s="125">
        <f>IF(OR(DS$4="",$B38=""),0,SUMIF('DADOS BRUTOS'!$A$3:$A$500,$B38,'DADOS BRUTOS'!AS$3:AS$500)+IF($C38="",0,SUMIF('DADOS BRUTOS'!$A$3:$A$500,$C38,'DADOS BRUTOS'!AS$3:AS$500)))</f>
        <v/>
      </c>
      <c r="DT38" s="125">
        <f>IF(OR(DT$4="",$B38=""),0,SUMIF('DADOS BRUTOS'!$A$3:$A$500,$B38,'DADOS BRUTOS'!AT$3:AT$500)+IF($C38="",0,SUMIF('DADOS BRUTOS'!$A$3:$A$500,$C38,'DADOS BRUTOS'!AT$3:AT$500)))</f>
        <v/>
      </c>
      <c r="DU38" s="125">
        <f>IF(OR(DU$4="",$B38=""),0,SUMIF('DADOS BRUTOS'!$A$3:$A$500,$B38,'DADOS BRUTOS'!AU$3:AU$500)+IF($C38="",0,SUMIF('DADOS BRUTOS'!$A$3:$A$500,$C38,'DADOS BRUTOS'!AU$3:AU$500)))</f>
        <v/>
      </c>
      <c r="DV38" s="125">
        <f>IF(OR(DV$4="",$B38=""),0,SUMIF('DADOS BRUTOS'!$A$3:$A$500,$B38,'DADOS BRUTOS'!AV$3:AV$500)+IF($C38="",0,SUMIF('DADOS BRUTOS'!$A$3:$A$500,$C38,'DADOS BRUTOS'!AV$3:AV$500)))</f>
        <v/>
      </c>
      <c r="DW38" s="125">
        <f>IF(OR(DW$4="",$B38=""),0,SUMIF('DADOS BRUTOS'!$A$3:$A$500,$B38,'DADOS BRUTOS'!AW$3:AW$500)+IF($C38="",0,SUMIF('DADOS BRUTOS'!$A$3:$A$500,$C38,'DADOS BRUTOS'!AW$3:AW$500)))</f>
        <v/>
      </c>
      <c r="DX38" s="125">
        <f>IF(OR(DX$4="",$B38=""),0,SUMIF('DADOS BRUTOS'!$A$3:$A$500,$B38,'DADOS BRUTOS'!AX$3:AX$500)+IF($C38="",0,SUMIF('DADOS BRUTOS'!$A$3:$A$500,$C38,'DADOS BRUTOS'!AX$3:AX$500)))</f>
        <v/>
      </c>
      <c r="DY38" s="125">
        <f>IF(OR(DY$4="",$B38=""),0,SUMIF('DADOS BRUTOS'!$A$3:$A$500,$B38,'DADOS BRUTOS'!AY$3:AY$500)+IF($C38="",0,SUMIF('DADOS BRUTOS'!$A$3:$A$500,$C38,'DADOS BRUTOS'!AY$3:AY$500)))</f>
        <v/>
      </c>
      <c r="DZ38" s="125">
        <f>IF(OR(DZ$4="",$B38=""),0,SUMIF('DADOS BRUTOS'!$A$3:$A$500,$B38,'DADOS BRUTOS'!AZ$3:AZ$500)+IF($C38="",0,SUMIF('DADOS BRUTOS'!$A$3:$A$500,$C38,'DADOS BRUTOS'!AZ$3:AZ$500)))</f>
        <v/>
      </c>
      <c r="EA38" s="125">
        <f>IF(OR(EA$4="",$B38=""),0,SUMIF('DADOS BRUTOS'!$A$3:$A$500,$B38,'DADOS BRUTOS'!BA$3:BA$500)+IF($C38="",0,SUMIF('DADOS BRUTOS'!$A$3:$A$500,$C38,'DADOS BRUTOS'!BA$3:BA$500)))</f>
        <v/>
      </c>
      <c r="EB38" s="125">
        <f>IF(OR(EB$4="",$B38=""),0,SUMIF('DADOS BRUTOS'!$A$3:$A$500,$B38,'DADOS BRUTOS'!BB$3:BB$500)+IF($C38="",0,SUMIF('DADOS BRUTOS'!$A$3:$A$500,$C38,'DADOS BRUTOS'!BB$3:BB$500)))</f>
        <v/>
      </c>
      <c r="EC38" s="125">
        <f>IF(OR(EC$4="",$B38=""),0,SUMIF('DADOS BRUTOS'!$A$3:$A$500,$B38,'DADOS BRUTOS'!BC$3:BC$500)+IF($C38="",0,SUMIF('DADOS BRUTOS'!$A$3:$A$500,$C38,'DADOS BRUTOS'!BC$3:BC$500)))</f>
        <v/>
      </c>
      <c r="ED38" s="125">
        <f>IF(OR(ED$4="",$B38=""),0,SUMIF('DADOS BRUTOS'!$A$3:$A$500,$B38,'DADOS BRUTOS'!BD$3:BD$500)+IF($C38="",0,SUMIF('DADOS BRUTOS'!$A$3:$A$500,$C38,'DADOS BRUTOS'!BD$3:BD$500)))</f>
        <v/>
      </c>
      <c r="EE38" s="125">
        <f>IF(OR(EE$4="",$B38=""),0,SUMIF('DADOS BRUTOS'!$A$3:$A$500,$B38,'DADOS BRUTOS'!BE$3:BE$500)+IF($C38="",0,SUMIF('DADOS BRUTOS'!$A$3:$A$500,$C38,'DADOS BRUTOS'!BE$3:BE$500)))</f>
        <v/>
      </c>
      <c r="EF38" s="125">
        <f>IF(OR(EF$4="",$B38=""),0,SUMIF('DADOS BRUTOS'!$A$3:$A$500,$B38,'DADOS BRUTOS'!BF$3:BF$500)+IF($C38="",0,SUMIF('DADOS BRUTOS'!$A$3:$A$500,$C38,'DADOS BRUTOS'!BF$3:BF$500)))</f>
        <v/>
      </c>
      <c r="EG38" s="125">
        <f>IF(OR(EG$4="",$B38=""),0,SUMIF('DADOS BRUTOS'!$A$3:$A$500,$B38,'DADOS BRUTOS'!BG$3:BG$500)+IF($C38="",0,SUMIF('DADOS BRUTOS'!$A$3:$A$500,$C38,'DADOS BRUTOS'!BG$3:BG$500)))</f>
        <v/>
      </c>
      <c r="EH38" s="125">
        <f>IF(OR(EH$4="",$B38=""),0,SUMIF('DADOS BRUTOS'!$A$3:$A$500,$B38,'DADOS BRUTOS'!BH$3:BH$500)+IF($C38="",0,SUMIF('DADOS BRUTOS'!$A$3:$A$500,$C38,'DADOS BRUTOS'!BH$3:BH$500)))</f>
        <v/>
      </c>
      <c r="EI38" s="125">
        <f>IF(OR(EI$4="",$B38=""),0,SUMIF('DADOS BRUTOS'!$A$3:$A$500,$B38,'DADOS BRUTOS'!BI$3:BI$500)+IF($C38="",0,SUMIF('DADOS BRUTOS'!$A$3:$A$500,$C38,'DADOS BRUTOS'!BI$3:BI$500)))</f>
        <v/>
      </c>
      <c r="EJ38" s="125">
        <f>IF(OR(EJ$4="",$B38=""),0,SUMIF('DADOS BRUTOS'!$A$3:$A$500,$B38,'DADOS BRUTOS'!BJ$3:BJ$500)+IF($C38="",0,SUMIF('DADOS BRUTOS'!$A$3:$A$500,$C38,'DADOS BRUTOS'!BJ$3:BJ$500)))</f>
        <v/>
      </c>
      <c r="EK38" s="125">
        <f>IF(OR(EK$4="",$B38=""),0,SUMIF('DADOS BRUTOS'!$A$3:$A$500,$B38,'DADOS BRUTOS'!BK$3:BK$500)+IF($C38="",0,SUMIF('DADOS BRUTOS'!$A$3:$A$500,$C38,'DADOS BRUTOS'!BK$3:BK$500)))</f>
        <v/>
      </c>
      <c r="EL38" s="125">
        <f>IF(OR(EL$4="",$B38=""),0,SUMIF('DADOS BRUTOS'!$A$3:$A$500,$B38,'DADOS BRUTOS'!BL$3:BL$500)+IF($C38="",0,SUMIF('DADOS BRUTOS'!$A$3:$A$500,$C38,'DADOS BRUTOS'!BL$3:BL$500)))</f>
        <v/>
      </c>
      <c r="EM38" s="125">
        <f>IF(OR(EM$4="",$B38=""),0,SUMIF('DADOS BRUTOS'!$A$3:$A$500,$B38,'DADOS BRUTOS'!BM$3:BM$500)+IF($C38="",0,SUMIF('DADOS BRUTOS'!$A$3:$A$500,$C38,'DADOS BRUTOS'!BM$3:BM$500)))</f>
        <v/>
      </c>
      <c r="EN38" s="125">
        <f>IF(OR(EN$4="",$B38=""),0,SUMIF('DADOS BRUTOS'!$A$3:$A$500,$B38,'DADOS BRUTOS'!BN$3:BN$500)+IF($C38="",0,SUMIF('DADOS BRUTOS'!$A$3:$A$500,$C38,'DADOS BRUTOS'!BN$3:BN$500)))</f>
        <v/>
      </c>
      <c r="EO38" s="125">
        <f>IF(OR(EO$4="",$B38=""),0,SUMIF('DADOS BRUTOS'!$A$3:$A$500,$B38,'DADOS BRUTOS'!BO$3:BO$500)+IF($C38="",0,SUMIF('DADOS BRUTOS'!$A$3:$A$500,$C38,'DADOS BRUTOS'!BO$3:BO$500)))</f>
        <v/>
      </c>
      <c r="EP38" s="125">
        <f>IF(OR(EP$4="",$B38=""),0,SUMIF('DADOS BRUTOS'!$A$3:$A$500,$B38,'DADOS BRUTOS'!BP$3:BP$500)+IF($C38="",0,SUMIF('DADOS BRUTOS'!$A$3:$A$500,$C38,'DADOS BRUTOS'!BP$3:BP$500)))</f>
        <v/>
      </c>
      <c r="EQ38" s="125">
        <f>IF(OR(EQ$4="",$B38=""),0,SUMIF('DADOS BRUTOS'!$A$3:$A$500,$B38,'DADOS BRUTOS'!BQ$3:BQ$500)+IF($C38="",0,SUMIF('DADOS BRUTOS'!$A$3:$A$500,$C38,'DADOS BRUTOS'!BQ$3:BQ$500)))</f>
        <v/>
      </c>
      <c r="ER38" s="125">
        <f>IF(OR(ER$4="",$B38=""),0,SUMIF('DADOS BRUTOS'!$A$3:$A$500,$B38,'DADOS BRUTOS'!BR$3:BR$500)+IF($C38="",0,SUMIF('DADOS BRUTOS'!$A$3:$A$500,$C38,'DADOS BRUTOS'!BR$3:BR$500)))</f>
        <v/>
      </c>
      <c r="ES38" s="125">
        <f>IF(OR(ES$4="",$B38=""),0,SUMIF('DADOS BRUTOS'!$A$3:$A$500,$B38,'DADOS BRUTOS'!BS$3:BS$500)+IF($C38="",0,SUMIF('DADOS BRUTOS'!$A$3:$A$500,$C38,'DADOS BRUTOS'!BS$3:BS$500)))</f>
        <v/>
      </c>
      <c r="ET38" s="125">
        <f>IF(OR(ET$4="",$B38=""),0,SUMIF('DADOS BRUTOS'!$A$3:$A$500,$B38,'DADOS BRUTOS'!BT$3:BT$500)+IF($C38="",0,SUMIF('DADOS BRUTOS'!$A$3:$A$500,$C38,'DADOS BRUTOS'!BT$3:BT$500)))</f>
        <v/>
      </c>
      <c r="EU38" s="125">
        <f>IF(OR(EU$4="",$B38=""),0,SUMIF('DADOS BRUTOS'!$A$3:$A$500,$B38,'DADOS BRUTOS'!BU$3:BU$500)+IF($C38="",0,SUMIF('DADOS BRUTOS'!$A$3:$A$500,$C38,'DADOS BRUTOS'!BU$3:BU$500)))</f>
        <v/>
      </c>
      <c r="EV38" s="125">
        <f>IF(OR(EV$4="",$B38=""),0,SUMIF('DADOS BRUTOS'!$A$3:$A$500,$B38,'DADOS BRUTOS'!BV$3:BV$500)+IF($C38="",0,SUMIF('DADOS BRUTOS'!$A$3:$A$500,$C38,'DADOS BRUTOS'!BV$3:BV$500)))</f>
        <v/>
      </c>
      <c r="EW38" s="125">
        <f>IF(OR(EW$4="",$B38=""),0,SUMIF('DADOS BRUTOS'!$A$3:$A$500,$B38,'DADOS BRUTOS'!BW$3:BW$500)+IF($C38="",0,SUMIF('DADOS BRUTOS'!$A$3:$A$500,$C38,'DADOS BRUTOS'!BW$3:BW$500)))</f>
        <v/>
      </c>
      <c r="EX38" s="125">
        <f>IF(OR(EX$4="",$B38=""),0,SUMIF('DADOS BRUTOS'!$A$3:$A$500,$B38,'DADOS BRUTOS'!BX$3:BX$500)+IF($C38="",0,SUMIF('DADOS BRUTOS'!$A$3:$A$500,$C38,'DADOS BRUTOS'!BX$3:BX$500)))</f>
        <v/>
      </c>
      <c r="EY38" s="125">
        <f>IF(OR(EY$4="",$B38=""),0,SUMIF('DADOS BRUTOS'!$A$3:$A$500,$B38,'DADOS BRUTOS'!BY$3:BY$500)+IF($C38="",0,SUMIF('DADOS BRUTOS'!$A$3:$A$500,$C38,'DADOS BRUTOS'!BY$3:BY$500)))</f>
        <v/>
      </c>
      <c r="EZ38" s="125">
        <f>IF(OR(EZ$4="",$B38=""),0,SUMIF('DADOS BRUTOS'!$A$3:$A$500,$B38,'DADOS BRUTOS'!BZ$3:BZ$500)+IF($C38="",0,SUMIF('DADOS BRUTOS'!$A$3:$A$500,$C38,'DADOS BRUTOS'!BZ$3:BZ$500)))</f>
        <v/>
      </c>
      <c r="FA38" s="125">
        <f>IF(OR(FA$4="",$B38=""),0,SUMIF('DADOS BRUTOS'!$A$3:$A$500,$B38,'DADOS BRUTOS'!CA$3:CA$500)+IF($C38="",0,SUMIF('DADOS BRUTOS'!$A$3:$A$500,$C38,'DADOS BRUTOS'!CA$3:CA$500)))</f>
        <v/>
      </c>
      <c r="FB38" s="125">
        <f>IF(OR(FB$4="",$B38=""),0,SUMIF('DADOS BRUTOS'!$A$3:$A$500,$B38,'DADOS BRUTOS'!CB$3:CB$500)+IF($C38="",0,SUMIF('DADOS BRUTOS'!$A$3:$A$500,$C38,'DADOS BRUTOS'!CB$3:CB$500)))</f>
        <v/>
      </c>
      <c r="FC38" s="125">
        <f>IF(OR(FC$4="",$B38=""),0,SUMIF('DADOS BRUTOS'!$A$3:$A$500,$B38,'DADOS BRUTOS'!CC$3:CC$500)+IF($C38="",0,SUMIF('DADOS BRUTOS'!$A$3:$A$500,$C38,'DADOS BRUTOS'!CC$3:CC$500)))</f>
        <v/>
      </c>
      <c r="FD38" s="125">
        <f>IF(OR(FD$4="",$B38=""),0,SUMIF('DADOS BRUTOS'!$A$3:$A$500,$B38,'DADOS BRUTOS'!CD$3:CD$500)+IF($C38="",0,SUMIF('DADOS BRUTOS'!$A$3:$A$500,$C38,'DADOS BRUTOS'!CD$3:CD$500)))</f>
        <v/>
      </c>
      <c r="FE38" s="125">
        <f>IF(OR(FE$4="",$B38=""),0,SUMIF('DADOS BRUTOS'!$A$3:$A$500,$B38,'DADOS BRUTOS'!CE$3:CE$500)+IF($C38="",0,SUMIF('DADOS BRUTOS'!$A$3:$A$500,$C38,'DADOS BRUTOS'!CE$3:CE$500)))</f>
        <v/>
      </c>
      <c r="FF38" s="125">
        <f>IF(OR(FF$4="",$B38=""),0,SUMIF('DADOS BRUTOS'!$A$3:$A$500,$B38,'DADOS BRUTOS'!CF$3:CF$500)+IF($C38="",0,SUMIF('DADOS BRUTOS'!$A$3:$A$500,$C38,'DADOS BRUTOS'!CF$3:CF$500)))</f>
        <v/>
      </c>
      <c r="FG38" s="125">
        <f>IF(OR(FG$4="",$B38=""),0,SUMIF('DADOS BRUTOS'!$A$3:$A$500,$B38,'DADOS BRUTOS'!CG$3:CG$500)+IF($C38="",0,SUMIF('DADOS BRUTOS'!$A$3:$A$500,$C38,'DADOS BRUTOS'!CG$3:CG$500)))</f>
        <v/>
      </c>
      <c r="FH38" s="125">
        <f>IF(OR(FH$4="",$B38=""),0,SUMIF('DADOS BRUTOS'!$A$3:$A$500,$B38,'DADOS BRUTOS'!CH$3:CH$500)+IF($C38="",0,SUMIF('DADOS BRUTOS'!$A$3:$A$500,$C38,'DADOS BRUTOS'!CH$3:CH$500)))</f>
        <v/>
      </c>
      <c r="FI38" s="125">
        <f>IF(OR(FI$4="",$B38=""),0,SUMIF('DADOS BRUTOS'!$A$3:$A$500,$B38,'DADOS BRUTOS'!CI$3:CI$500)+IF($C38="",0,SUMIF('DADOS BRUTOS'!$A$3:$A$500,$C38,'DADOS BRUTOS'!CI$3:CI$500)))</f>
        <v/>
      </c>
      <c r="FJ38" s="125">
        <f>IF(OR(FJ$4="",$B38=""),0,SUMIF('DADOS BRUTOS'!$A$3:$A$500,$B38,'DADOS BRUTOS'!CJ$3:CJ$500)+IF($C38="",0,SUMIF('DADOS BRUTOS'!$A$3:$A$500,$C38,'DADOS BRUTOS'!CJ$3:CJ$500)))</f>
        <v/>
      </c>
      <c r="FK38" s="125">
        <f>IF(OR(FK$4="",$B38=""),0,SUMIF('DADOS BRUTOS'!$A$3:$A$500,$B38,'DADOS BRUTOS'!CK$3:CK$500)+IF($C38="",0,SUMIF('DADOS BRUTOS'!$A$3:$A$500,$C38,'DADOS BRUTOS'!CK$3:CK$500)))</f>
        <v/>
      </c>
      <c r="FL38" s="125">
        <f>IF(OR(FL$4="",$B38=""),0,SUMIF('DADOS BRUTOS'!$A$3:$A$500,$B38,'DADOS BRUTOS'!CL$3:CL$500)+IF($C38="",0,SUMIF('DADOS BRUTOS'!$A$3:$A$500,$C38,'DADOS BRUTOS'!CL$3:CL$500)))</f>
        <v/>
      </c>
      <c r="FM38" s="125">
        <f>IF(OR(FM$4="",$B38=""),0,SUMIF('DADOS BRUTOS'!$A$3:$A$500,$B38,'DADOS BRUTOS'!CM$3:CM$500)+IF($C38="",0,SUMIF('DADOS BRUTOS'!$A$3:$A$500,$C38,'DADOS BRUTOS'!CM$3:CM$500)))</f>
        <v/>
      </c>
      <c r="FN38" s="125">
        <f>IF(OR(FN$4="",$B38=""),0,SUMIF('DADOS BRUTOS'!$A$3:$A$500,$B38,'DADOS BRUTOS'!CN$3:CN$500)+IF($C38="",0,SUMIF('DADOS BRUTOS'!$A$3:$A$500,$C38,'DADOS BRUTOS'!CN$3:CN$500)))</f>
        <v/>
      </c>
      <c r="FO38" s="125">
        <f>IF(OR(FO$4="",$B38=""),0,SUMIF('DADOS BRUTOS'!$A$3:$A$500,$B38,'DADOS BRUTOS'!CO$3:CO$500)+IF($C38="",0,SUMIF('DADOS BRUTOS'!$A$3:$A$500,$C38,'DADOS BRUTOS'!CO$3:CO$500)))</f>
        <v/>
      </c>
      <c r="FP38" s="125">
        <f>IF(OR(FP$4="",$B38=""),0,SUMIF('DADOS BRUTOS'!$A$3:$A$500,$B38,'DADOS BRUTOS'!CP$3:CP$500)+IF($C38="",0,SUMIF('DADOS BRUTOS'!$A$3:$A$500,$C38,'DADOS BRUTOS'!CP$3:CP$500)))</f>
        <v/>
      </c>
      <c r="FQ38" s="125">
        <f>IF(OR(FQ$4="",$B38=""),0,SUMIF('DADOS BRUTOS'!$A$3:$A$500,$B38,'DADOS BRUTOS'!CQ$3:CQ$500)+IF($C38="",0,SUMIF('DADOS BRUTOS'!$A$3:$A$500,$C38,'DADOS BRUTOS'!CQ$3:CQ$500)))</f>
        <v/>
      </c>
      <c r="FR38" s="125">
        <f>IF(OR(FR$4="",$B38=""),0,SUMIF('DADOS BRUTOS'!$A$3:$A$500,$B38,'DADOS BRUTOS'!CR$3:CR$500)+IF($C38="",0,SUMIF('DADOS BRUTOS'!$A$3:$A$500,$C38,'DADOS BRUTOS'!CR$3:CR$500)))</f>
        <v/>
      </c>
      <c r="FS38" s="125">
        <f>IF(OR(FS$4="",$B38=""),0,SUMIF('DADOS BRUTOS'!$A$3:$A$500,$B38,'DADOS BRUTOS'!CS$3:CS$500)+IF($C38="",0,SUMIF('DADOS BRUTOS'!$A$3:$A$500,$C38,'DADOS BRUTOS'!CS$3:CS$500)))</f>
        <v/>
      </c>
      <c r="FT38" s="125">
        <f>IF(OR(FT$4="",$B38=""),0,SUMIF('DADOS BRUTOS'!$A$3:$A$500,$B38,'DADOS BRUTOS'!CT$3:CT$500)+IF($C38="",0,SUMIF('DADOS BRUTOS'!$A$3:$A$500,$C38,'DADOS BRUTOS'!CT$3:CT$500)))</f>
        <v/>
      </c>
      <c r="FU38" s="125">
        <f>IF(OR(FU$4="",$B38=""),0,SUMIF('DADOS BRUTOS'!$A$3:$A$500,$B38,'DADOS BRUTOS'!CU$3:CU$500)+IF($C38="",0,SUMIF('DADOS BRUTOS'!$A$3:$A$500,$C38,'DADOS BRUTOS'!CU$3:CU$500)))</f>
        <v/>
      </c>
      <c r="FV38" s="125">
        <f>IF(OR(FV$4="",$B38=""),0,SUMIF('DADOS BRUTOS'!$A$3:$A$500,$B38,'DADOS BRUTOS'!CV$3:CV$500)+IF($C38="",0,SUMIF('DADOS BRUTOS'!$A$3:$A$500,$C38,'DADOS BRUTOS'!CV$3:CV$500)))</f>
        <v/>
      </c>
      <c r="FW38" s="125">
        <f>IF(OR(FW$4="",$B38=""),0,SUMIF('DADOS BRUTOS'!$A$3:$A$500,$B38,'DADOS BRUTOS'!CW$3:CW$500)+IF($C38="",0,SUMIF('DADOS BRUTOS'!$A$3:$A$500,$C38,'DADOS BRUTOS'!CW$3:CW$500)))</f>
        <v/>
      </c>
      <c r="FX38" s="125">
        <f>IF(OR(FX$4="",$B38=""),0,SUMIF('DADOS BRUTOS'!$A$3:$A$500,$B38,'DADOS BRUTOS'!CX$3:CX$500)+IF($C38="",0,SUMIF('DADOS BRUTOS'!$A$3:$A$500,$C38,'DADOS BRUTOS'!CX$3:CX$500)))</f>
        <v/>
      </c>
      <c r="FY38" s="125">
        <f>IF(OR(FY$4="",$B38=""),0,SUMIF('DADOS BRUTOS'!$A$3:$A$500,$B38,'DADOS BRUTOS'!CY$3:CY$500)+IF($C38="",0,SUMIF('DADOS BRUTOS'!$A$3:$A$500,$C38,'DADOS BRUTOS'!CY$3:CY$500)))</f>
        <v/>
      </c>
      <c r="FZ38" s="125">
        <f>IF(OR(FZ$4="",$B38=""),0,SUMIF('DADOS BRUTOS'!$A$3:$A$500,$B38,'DADOS BRUTOS'!CZ$3:CZ$500)+IF($C38="",0,SUMIF('DADOS BRUTOS'!$A$3:$A$500,$C38,'DADOS BRUTOS'!CZ$3:CZ$500)))</f>
        <v/>
      </c>
      <c r="GA38" s="125">
        <f>IF(OR(GA$4="",$B38=""),0,SUMIF('DADOS BRUTOS'!$A$3:$A$500,$B38,'DADOS BRUTOS'!DA$3:DA$500)+IF($C38="",0,SUMIF('DADOS BRUTOS'!$A$3:$A$500,$C38,'DADOS BRUTOS'!DA$3:DA$500)))</f>
        <v/>
      </c>
      <c r="GB38" s="125">
        <f>IF(OR(GB$4="",$B38=""),0,SUMIF('DADOS BRUTOS'!$A$3:$A$500,$B38,'DADOS BRUTOS'!DB$3:DB$500)+IF($C38="",0,SUMIF('DADOS BRUTOS'!$A$3:$A$500,$C38,'DADOS BRUTOS'!DB$3:DB$500)))</f>
        <v/>
      </c>
      <c r="GC38" s="125">
        <f>IF(OR(GC$4="",$B38=""),0,SUMIF('DADOS BRUTOS'!$A$3:$A$500,$B38,'DADOS BRUTOS'!DC$3:DC$500)+IF($C38="",0,SUMIF('DADOS BRUTOS'!$A$3:$A$500,$C38,'DADOS BRUTOS'!DC$3:DC$500)))</f>
        <v/>
      </c>
      <c r="GD38" s="125">
        <f>IF(OR(GD$4="",$B38=""),0,SUMIF('DADOS BRUTOS'!$A$3:$A$500,$B38,'DADOS BRUTOS'!DD$3:DD$500)+IF($C38="",0,SUMIF('DADOS BRUTOS'!$A$3:$A$500,$C38,'DADOS BRUTOS'!DD$3:DD$500)))</f>
        <v/>
      </c>
      <c r="GE38" s="125">
        <f>IF(OR(GE$4="",$B38=""),0,SUMIF('DADOS BRUTOS'!$A$3:$A$500,$B38,'DADOS BRUTOS'!DE$3:DE$500)+IF($C38="",0,SUMIF('DADOS BRUTOS'!$A$3:$A$500,$C38,'DADOS BRUTOS'!DE$3:DE$500)))</f>
        <v/>
      </c>
      <c r="GF38" s="125">
        <f>IF(OR(GF$4="",$B38=""),0,SUMIF('DADOS BRUTOS'!$A$3:$A$500,$B38,'DADOS BRUTOS'!DF$3:DF$500)+IF($C38="",0,SUMIF('DADOS BRUTOS'!$A$3:$A$500,$C38,'DADOS BRUTOS'!DF$3:DF$500)))</f>
        <v/>
      </c>
      <c r="GG38" s="125">
        <f>IF(OR(GG$4="",$B38=""),0,SUMIF('DADOS BRUTOS'!$A$3:$A$500,$B38,'DADOS BRUTOS'!DG$3:DG$500)+IF($C38="",0,SUMIF('DADOS BRUTOS'!$A$3:$A$500,$C38,'DADOS BRUTOS'!DG$3:DG$500)))</f>
        <v/>
      </c>
      <c r="GH38" s="125">
        <f>IF(OR(GH$4="",$B38=""),0,SUMIF('DADOS BRUTOS'!$A$3:$A$500,$B38,'DADOS BRUTOS'!DH$3:DH$500)+IF($C38="",0,SUMIF('DADOS BRUTOS'!$A$3:$A$500,$C38,'DADOS BRUTOS'!DH$3:DH$500)))</f>
        <v/>
      </c>
      <c r="GI38" s="125">
        <f>IF(OR(GI$4="",$B38=""),0,SUMIF('DADOS BRUTOS'!$A$3:$A$500,$B38,'DADOS BRUTOS'!DI$3:DI$500)+IF($C38="",0,SUMIF('DADOS BRUTOS'!$A$3:$A$500,$C38,'DADOS BRUTOS'!DI$3:DI$500)))</f>
        <v/>
      </c>
      <c r="GJ38" s="125">
        <f>IF(OR(GJ$4="",$B38=""),0,SUMIF('DADOS BRUTOS'!$A$3:$A$500,$B38,'DADOS BRUTOS'!DJ$3:DJ$500)+IF($C38="",0,SUMIF('DADOS BRUTOS'!$A$3:$A$500,$C38,'DADOS BRUTOS'!DJ$3:DJ$500)))</f>
        <v/>
      </c>
      <c r="GK38" s="125">
        <f>IF(OR(GK$4="",$B38=""),0,SUMIF('DADOS BRUTOS'!$A$3:$A$500,$B38,'DADOS BRUTOS'!DK$3:DK$500)+IF($C38="",0,SUMIF('DADOS BRUTOS'!$A$3:$A$500,$C38,'DADOS BRUTOS'!DK$3:DK$500)))</f>
        <v/>
      </c>
      <c r="GL38" s="125">
        <f>IF(OR(GL$4="",$B38=""),0,SUMIF('DADOS BRUTOS'!$A$3:$A$500,$B38,'DADOS BRUTOS'!DL$3:DL$500)+IF($C38="",0,SUMIF('DADOS BRUTOS'!$A$3:$A$500,$C38,'DADOS BRUTOS'!DL$3:DL$500)))</f>
        <v/>
      </c>
      <c r="GM38" s="125">
        <f>IF(OR(GM$4="",$B38=""),0,SUMIF('DADOS BRUTOS'!$A$3:$A$500,$B38,'DADOS BRUTOS'!DM$3:DM$500)+IF($C38="",0,SUMIF('DADOS BRUTOS'!$A$3:$A$500,$C38,'DADOS BRUTOS'!DM$3:DM$500)))</f>
        <v/>
      </c>
      <c r="GN38" s="125">
        <f>IF(OR(GN$4="",$B38=""),0,SUMIF('DADOS BRUTOS'!$A$3:$A$500,$B38,'DADOS BRUTOS'!DN$3:DN$500)+IF($C38="",0,SUMIF('DADOS BRUTOS'!$A$3:$A$500,$C38,'DADOS BRUTOS'!DN$3:DN$500)))</f>
        <v/>
      </c>
      <c r="GO38" s="125">
        <f>IF(OR(GO$4="",$B38=""),0,SUMIF('DADOS BRUTOS'!$A$3:$A$500,$B38,'DADOS BRUTOS'!DO$3:DO$500)+IF($C38="",0,SUMIF('DADOS BRUTOS'!$A$3:$A$500,$C38,'DADOS BRUTOS'!DO$3:DO$500)))</f>
        <v/>
      </c>
      <c r="GP38" s="125">
        <f>IF(OR(GP$4="",$B38=""),0,SUMIF('DADOS BRUTOS'!$A$3:$A$500,$B38,'DADOS BRUTOS'!DP$3:DP$500)+IF($C38="",0,SUMIF('DADOS BRUTOS'!$A$3:$A$500,$C38,'DADOS BRUTOS'!DP$3:DP$500)))</f>
        <v/>
      </c>
      <c r="GQ38" s="125">
        <f>IF(OR(GQ$4="",$B38=""),0,SUMIF('DADOS BRUTOS'!$A$3:$A$500,$B38,'DADOS BRUTOS'!DQ$3:DQ$500)+IF($C38="",0,SUMIF('DADOS BRUTOS'!$A$3:$A$500,$C38,'DADOS BRUTOS'!DQ$3:DQ$500)))</f>
        <v/>
      </c>
      <c r="GR38" s="125">
        <f>IF(OR(GR$4="",$B38=""),0,SUMIF('DADOS BRUTOS'!$A$3:$A$500,$B38,'DADOS BRUTOS'!DR$3:DR$500)+IF($C38="",0,SUMIF('DADOS BRUTOS'!$A$3:$A$500,$C38,'DADOS BRUTOS'!DR$3:DR$500)))</f>
        <v/>
      </c>
      <c r="GS38" s="125">
        <f>IF(OR(GS$4="",$B38=""),0,SUMIF('DADOS BRUTOS'!$A$3:$A$500,$B38,'DADOS BRUTOS'!DS$3:DS$500)+IF($C38="",0,SUMIF('DADOS BRUTOS'!$A$3:$A$500,$C38,'DADOS BRUTOS'!DS$3:DS$500)))</f>
        <v/>
      </c>
      <c r="GT38" s="125">
        <f>IF(OR(GT$4="",$B38=""),0,SUMIF('DADOS BRUTOS'!$A$3:$A$500,$B38,'DADOS BRUTOS'!DT$3:DT$500)+IF($C38="",0,SUMIF('DADOS BRUTOS'!$A$3:$A$500,$C38,'DADOS BRUTOS'!DT$3:DT$500)))</f>
        <v/>
      </c>
      <c r="GU38" s="125">
        <f>IF(OR(GU$4="",$B38=""),0,SUMIF('DADOS BRUTOS'!$A$3:$A$500,$B38,'DADOS BRUTOS'!DU$3:DU$500)+IF($C38="",0,SUMIF('DADOS BRUTOS'!$A$3:$A$500,$C38,'DADOS BRUTOS'!DU$3:DU$500)))</f>
        <v/>
      </c>
      <c r="GV38" s="125">
        <f>IF(OR(GV$4="",$B38=""),0,SUMIF('DADOS BRUTOS'!$A$3:$A$500,$B38,'DADOS BRUTOS'!DV$3:DV$500)+IF($C38="",0,SUMIF('DADOS BRUTOS'!$A$3:$A$500,$C38,'DADOS BRUTOS'!DV$3:DV$500)))</f>
        <v/>
      </c>
      <c r="GW38" s="125">
        <f>IF(OR(GW$4="",$B38=""),0,SUMIF('DADOS BRUTOS'!$A$3:$A$500,$B38,'DADOS BRUTOS'!DW$3:DW$500)+IF($C38="",0,SUMIF('DADOS BRUTOS'!$A$3:$A$500,$C38,'DADOS BRUTOS'!DW$3:DW$500)))</f>
        <v/>
      </c>
      <c r="GX38" s="125">
        <f>IF(OR(GX$4="",$B38=""),0,SUMIF('DADOS BRUTOS'!$A$3:$A$500,$B38,'DADOS BRUTOS'!DX$3:DX$500)+IF($C38="",0,SUMIF('DADOS BRUTOS'!$A$3:$A$500,$C38,'DADOS BRUTOS'!DX$3:DX$500)))</f>
        <v/>
      </c>
      <c r="GY38" s="125">
        <f>IF(OR(GY$4="",$B38=""),0,SUMIF('DADOS BRUTOS'!$A$3:$A$500,$B38,'DADOS BRUTOS'!DY$3:DY$500)+IF($C38="",0,SUMIF('DADOS BRUTOS'!$A$3:$A$500,$C38,'DADOS BRUTOS'!DY$3:DY$500)))</f>
        <v/>
      </c>
      <c r="GZ38" s="125">
        <f>IF(OR(GZ$4="",$B38=""),0,SUMIF('DADOS BRUTOS'!$A$3:$A$500,$B38,'DADOS BRUTOS'!DZ$3:DZ$500)+IF($C38="",0,SUMIF('DADOS BRUTOS'!$A$3:$A$500,$C38,'DADOS BRUTOS'!DZ$3:DZ$500)))</f>
        <v/>
      </c>
      <c r="HA38" s="125">
        <f>IF(OR(HA$4="",$B38=""),0,SUMIF('DADOS BRUTOS'!$A$3:$A$500,$B38,'DADOS BRUTOS'!EA$3:EA$500)+IF($C38="",0,SUMIF('DADOS BRUTOS'!$A$3:$A$500,$C38,'DADOS BRUTOS'!EA$3:EA$500)))</f>
        <v/>
      </c>
      <c r="HB38" s="125">
        <f>IF(OR(HB$4="",$B38=""),0,SUMIF('DADOS BRUTOS'!$A$3:$A$500,$B38,'DADOS BRUTOS'!EB$3:EB$500)+IF($C38="",0,SUMIF('DADOS BRUTOS'!$A$3:$A$500,$C38,'DADOS BRUTOS'!EB$3:EB$500)))</f>
        <v/>
      </c>
      <c r="HC38" s="125">
        <f>IF(OR(HC$4="",$B38=""),0,SUMIF('DADOS BRUTOS'!$A$3:$A$500,$B38,'DADOS BRUTOS'!EC$3:EC$500)+IF($C38="",0,SUMIF('DADOS BRUTOS'!$A$3:$A$500,$C38,'DADOS BRUTOS'!EC$3:EC$500)))</f>
        <v/>
      </c>
      <c r="HD38" s="125">
        <f>IF(OR(HD$4="",$B38=""),0,SUMIF('DADOS BRUTOS'!$A$3:$A$500,$B38,'DADOS BRUTOS'!ED$3:ED$500)+IF($C38="",0,SUMIF('DADOS BRUTOS'!$A$3:$A$500,$C38,'DADOS BRUTOS'!ED$3:ED$500)))</f>
        <v/>
      </c>
      <c r="HE38" s="125">
        <f>IF(OR(HE$4="",$B38=""),0,SUMIF('DADOS BRUTOS'!$A$3:$A$500,$B38,'DADOS BRUTOS'!EE$3:EE$500)+IF($C38="",0,SUMIF('DADOS BRUTOS'!$A$3:$A$500,$C38,'DADOS BRUTOS'!EE$3:EE$500)))</f>
        <v/>
      </c>
      <c r="HF38" s="125">
        <f>IF(OR(HF$4="",$B38=""),0,SUMIF('DADOS BRUTOS'!$A$3:$A$500,$B38,'DADOS BRUTOS'!EF$3:EF$500)+IF($C38="",0,SUMIF('DADOS BRUTOS'!$A$3:$A$500,$C38,'DADOS BRUTOS'!EF$3:EF$500)))</f>
        <v/>
      </c>
      <c r="HG38" s="125">
        <f>IF(OR(HG$4="",$B38=""),0,SUMIF('DADOS BRUTOS'!$A$3:$A$500,$B38,'DADOS BRUTOS'!EG$3:EG$500)+IF($C38="",0,SUMIF('DADOS BRUTOS'!$A$3:$A$500,$C38,'DADOS BRUTOS'!EG$3:EG$500)))</f>
        <v/>
      </c>
      <c r="HH38" s="125">
        <f>IF(OR(HH$4="",$B38=""),0,SUMIF('DADOS BRUTOS'!$A$3:$A$500,$B38,'DADOS BRUTOS'!EH$3:EH$500)+IF($C38="",0,SUMIF('DADOS BRUTOS'!$A$3:$A$500,$C38,'DADOS BRUTOS'!EH$3:EH$500)))</f>
        <v/>
      </c>
      <c r="HI38" s="125">
        <f>IF(OR(HI$4="",$B38=""),0,SUMIF('DADOS BRUTOS'!$A$3:$A$500,$B38,'DADOS BRUTOS'!EI$3:EI$500)+IF($C38="",0,SUMIF('DADOS BRUTOS'!$A$3:$A$500,$C38,'DADOS BRUTOS'!EI$3:EI$500)))</f>
        <v/>
      </c>
      <c r="HJ38" s="125">
        <f>IF(OR(HJ$4="",$B38=""),0,SUMIF('DADOS BRUTOS'!$A$3:$A$500,$B38,'DADOS BRUTOS'!EJ$3:EJ$500)+IF($C38="",0,SUMIF('DADOS BRUTOS'!$A$3:$A$500,$C38,'DADOS BRUTOS'!EJ$3:EJ$500)))</f>
        <v/>
      </c>
      <c r="HK38" s="125">
        <f>IF(OR(HK$4="",$B38=""),0,SUMIF('DADOS BRUTOS'!$A$3:$A$500,$B38,'DADOS BRUTOS'!EK$3:EK$500)+IF($C38="",0,SUMIF('DADOS BRUTOS'!$A$3:$A$500,$C38,'DADOS BRUTOS'!EK$3:EK$500)))</f>
        <v/>
      </c>
      <c r="HL38" s="125">
        <f>IF(OR(HL$4="",$B38=""),0,SUMIF('DADOS BRUTOS'!$A$3:$A$500,$B38,'DADOS BRUTOS'!EL$3:EL$500)+IF($C38="",0,SUMIF('DADOS BRUTOS'!$A$3:$A$500,$C38,'DADOS BRUTOS'!EL$3:EL$500)))</f>
        <v/>
      </c>
      <c r="HM38" s="125">
        <f>IF(OR(HM$4="",$B38=""),0,SUMIF('DADOS BRUTOS'!$A$3:$A$500,$B38,'DADOS BRUTOS'!EM$3:EM$500)+IF($C38="",0,SUMIF('DADOS BRUTOS'!$A$3:$A$500,$C38,'DADOS BRUTOS'!EM$3:EM$500)))</f>
        <v/>
      </c>
      <c r="HN38" s="125">
        <f>IF(OR(HN$4="",$B38=""),0,SUMIF('DADOS BRUTOS'!$A$3:$A$500,$B38,'DADOS BRUTOS'!EN$3:EN$500)+IF($C38="",0,SUMIF('DADOS BRUTOS'!$A$3:$A$500,$C38,'DADOS BRUTOS'!EN$3:EN$500)))</f>
        <v/>
      </c>
      <c r="HO38" s="125">
        <f>IF(OR(HO$4="",$B38=""),0,SUMIF('DADOS BRUTOS'!$A$3:$A$500,$B38,'DADOS BRUTOS'!EO$3:EO$500)+IF($C38="",0,SUMIF('DADOS BRUTOS'!$A$3:$A$500,$C38,'DADOS BRUTOS'!EO$3:EO$500)))</f>
        <v/>
      </c>
      <c r="HP38" s="125">
        <f>IF(OR(HP$4="",$B38=""),0,SUMIF('DADOS BRUTOS'!$A$3:$A$500,$B38,'DADOS BRUTOS'!EP$3:EP$500)+IF($C38="",0,SUMIF('DADOS BRUTOS'!$A$3:$A$500,$C38,'DADOS BRUTOS'!EP$3:EP$500)))</f>
        <v/>
      </c>
      <c r="HQ38" s="125">
        <f>IF(OR(HQ$4="",$B38=""),0,SUMIF('DADOS BRUTOS'!$A$3:$A$500,$B38,'DADOS BRUTOS'!EQ$3:EQ$500)+IF($C38="",0,SUMIF('DADOS BRUTOS'!$A$3:$A$500,$C38,'DADOS BRUTOS'!EQ$3:EQ$500)))</f>
        <v/>
      </c>
      <c r="HR38" s="125">
        <f>IF(OR(HR$4="",$B38=""),0,SUMIF('DADOS BRUTOS'!$A$3:$A$500,$B38,'DADOS BRUTOS'!ER$3:ER$500)+IF($C38="",0,SUMIF('DADOS BRUTOS'!$A$3:$A$500,$C38,'DADOS BRUTOS'!ER$3:ER$500)))</f>
        <v/>
      </c>
      <c r="HS38" s="125">
        <f>IF(OR(HS$4="",$B38=""),0,SUMIF('DADOS BRUTOS'!$A$3:$A$500,$B38,'DADOS BRUTOS'!ES$3:ES$500)+IF($C38="",0,SUMIF('DADOS BRUTOS'!$A$3:$A$500,$C38,'DADOS BRUTOS'!ES$3:ES$500)))</f>
        <v/>
      </c>
      <c r="HT38" s="125">
        <f>IF(OR(HT$4="",$B38=""),0,SUMIF('DADOS BRUTOS'!$A$3:$A$500,$B38,'DADOS BRUTOS'!ET$3:ET$500)+IF($C38="",0,SUMIF('DADOS BRUTOS'!$A$3:$A$500,$C38,'DADOS BRUTOS'!ET$3:ET$500)))</f>
        <v/>
      </c>
      <c r="HU38" s="125">
        <f>IF(OR(HU$4="",$B38=""),0,SUMIF('DADOS BRUTOS'!$A$3:$A$500,$B38,'DADOS BRUTOS'!EU$3:EU$500)+IF($C38="",0,SUMIF('DADOS BRUTOS'!$A$3:$A$500,$C38,'DADOS BRUTOS'!EU$3:EU$500)))</f>
        <v/>
      </c>
      <c r="HV38" s="125">
        <f>IF(OR(HV$4="",$B38=""),0,SUMIF('DADOS BRUTOS'!$A$3:$A$500,$B38,'DADOS BRUTOS'!EV$3:EV$500)+IF($C38="",0,SUMIF('DADOS BRUTOS'!$A$3:$A$500,$C38,'DADOS BRUTOS'!EV$3:EV$500)))</f>
        <v/>
      </c>
      <c r="HW38" s="125">
        <f>IF(OR(HW$4="",$B38=""),0,SUMIF('DADOS BRUTOS'!$A$3:$A$500,$B38,'DADOS BRUTOS'!EW$3:EW$500)+IF($C38="",0,SUMIF('DADOS BRUTOS'!$A$3:$A$500,$C38,'DADOS BRUTOS'!EW$3:EW$500)))</f>
        <v/>
      </c>
      <c r="HX38" s="125">
        <f>IF(OR(HX$4="",$B38=""),0,SUMIF('DADOS BRUTOS'!$A$3:$A$500,$B38,'DADOS BRUTOS'!EX$3:EX$500)+IF($C38="",0,SUMIF('DADOS BRUTOS'!$A$3:$A$500,$C38,'DADOS BRUTOS'!EX$3:EX$500)))</f>
        <v/>
      </c>
      <c r="HY38" s="125">
        <f>IF(OR(HY$4="",$B38=""),0,SUMIF('DADOS BRUTOS'!$A$3:$A$500,$B38,'DADOS BRUTOS'!EY$3:EY$500)+IF($C38="",0,SUMIF('DADOS BRUTOS'!$A$3:$A$500,$C38,'DADOS BRUTOS'!EY$3:EY$500)))</f>
        <v/>
      </c>
      <c r="HZ38" s="125">
        <f>IF(OR(HZ$4="",$B38=""),0,SUMIF('DADOS BRUTOS'!$A$3:$A$500,$B38,'DADOS BRUTOS'!EZ$3:EZ$500)+IF($C38="",0,SUMIF('DADOS BRUTOS'!$A$3:$A$500,$C38,'DADOS BRUTOS'!EZ$3:EZ$500)))</f>
        <v/>
      </c>
      <c r="IA38" s="125">
        <f>IF(OR(IA$4="",$B38=""),0,SUMIF('DADOS BRUTOS'!$A$3:$A$500,$B38,'DADOS BRUTOS'!FA$3:FA$500)+IF($C38="",0,SUMIF('DADOS BRUTOS'!$A$3:$A$500,$C38,'DADOS BRUTOS'!FA$3:FA$500)))</f>
        <v/>
      </c>
      <c r="IB38" s="125">
        <f>IF(OR(IB$4="",$B38=""),0,SUMIF('DADOS BRUTOS'!$A$3:$A$500,$B38,'DADOS BRUTOS'!FB$3:FB$500)+IF($C38="",0,SUMIF('DADOS BRUTOS'!$A$3:$A$500,$C38,'DADOS BRUTOS'!FB$3:FB$500)))</f>
        <v/>
      </c>
      <c r="IC38" s="125">
        <f>IF(OR(IC$4="",$B38=""),0,SUMIF('DADOS BRUTOS'!$A$3:$A$500,$B38,'DADOS BRUTOS'!FC$3:FC$500)+IF($C38="",0,SUMIF('DADOS BRUTOS'!$A$3:$A$500,$C38,'DADOS BRUTOS'!FC$3:FC$500)))</f>
        <v/>
      </c>
      <c r="ID38" s="125">
        <f>IF(OR(ID$4="",$B38=""),0,SUMIF('DADOS BRUTOS'!$A$3:$A$500,$B38,'DADOS BRUTOS'!FD$3:FD$500)+IF($C38="",0,SUMIF('DADOS BRUTOS'!$A$3:$A$500,$C38,'DADOS BRUTOS'!FD$3:FD$500)))</f>
        <v/>
      </c>
      <c r="IE38" s="125">
        <f>IF(OR(IE$4="",$B38=""),0,SUMIF('DADOS BRUTOS'!$A$3:$A$500,$B38,'DADOS BRUTOS'!FE$3:FE$500)+IF($C38="",0,SUMIF('DADOS BRUTOS'!$A$3:$A$500,$C38,'DADOS BRUTOS'!FE$3:FE$500)))</f>
        <v/>
      </c>
      <c r="IF38" s="125">
        <f>IF(OR(IF$4="",$B38=""),0,SUMIF('DADOS BRUTOS'!$A$3:$A$500,$B38,'DADOS BRUTOS'!FF$3:FF$500)+IF($C38="",0,SUMIF('DADOS BRUTOS'!$A$3:$A$500,$C38,'DADOS BRUTOS'!FF$3:FF$500)))</f>
        <v/>
      </c>
      <c r="IG38" s="125">
        <f>IF(OR(IG$4="",$B38=""),0,SUMIF('DADOS BRUTOS'!$A$3:$A$500,$B38,'DADOS BRUTOS'!FG$3:FG$500)+IF($C38="",0,SUMIF('DADOS BRUTOS'!$A$3:$A$500,$C38,'DADOS BRUTOS'!FG$3:FG$500)))</f>
        <v/>
      </c>
      <c r="IH38" s="125">
        <f>IF(OR(IH$4="",$B38=""),0,SUMIF('DADOS BRUTOS'!$A$3:$A$500,$B38,'DADOS BRUTOS'!FH$3:FH$500)+IF($C38="",0,SUMIF('DADOS BRUTOS'!$A$3:$A$500,$C38,'DADOS BRUTOS'!FH$3:FH$500)))</f>
        <v/>
      </c>
      <c r="II38" s="125">
        <f>IF(OR(II$4="",$B38=""),0,SUMIF('DADOS BRUTOS'!$A$3:$A$500,$B38,'DADOS BRUTOS'!FI$3:FI$500)+IF($C38="",0,SUMIF('DADOS BRUTOS'!$A$3:$A$500,$C38,'DADOS BRUTOS'!FI$3:FI$500)))</f>
        <v/>
      </c>
      <c r="IJ38" s="125">
        <f>IF(OR(IJ$4="",$B38=""),0,SUMIF('DADOS BRUTOS'!$A$3:$A$500,$B38,'DADOS BRUTOS'!FJ$3:FJ$500)+IF($C38="",0,SUMIF('DADOS BRUTOS'!$A$3:$A$500,$C38,'DADOS BRUTOS'!FJ$3:FJ$500)))</f>
        <v/>
      </c>
      <c r="IK38" s="125">
        <f>IF(OR(IK$4="",$B38=""),0,SUMIF('DADOS BRUTOS'!$A$3:$A$500,$B38,'DADOS BRUTOS'!FK$3:FK$500)+IF($C38="",0,SUMIF('DADOS BRUTOS'!$A$3:$A$500,$C38,'DADOS BRUTOS'!FK$3:FK$500)))</f>
        <v/>
      </c>
      <c r="IL38" s="125">
        <f>IF(OR(IL$4="",$B38=""),0,SUMIF('DADOS BRUTOS'!$A$3:$A$500,$B38,'DADOS BRUTOS'!FL$3:FL$500)+IF($C38="",0,SUMIF('DADOS BRUTOS'!$A$3:$A$500,$C38,'DADOS BRUTOS'!FL$3:FL$500)))</f>
        <v/>
      </c>
      <c r="IM38" s="125">
        <f>IF(OR(IM$4="",$B38=""),0,SUMIF('DADOS BRUTOS'!$A$3:$A$500,$B38,'DADOS BRUTOS'!FM$3:FM$500)+IF($C38="",0,SUMIF('DADOS BRUTOS'!$A$3:$A$500,$C38,'DADOS BRUTOS'!FM$3:FM$500)))</f>
        <v/>
      </c>
      <c r="IN38" s="125">
        <f>IF(OR(IN$4="",$B38=""),0,SUMIF('DADOS BRUTOS'!$A$3:$A$500,$B38,'DADOS BRUTOS'!FN$3:FN$500)+IF($C38="",0,SUMIF('DADOS BRUTOS'!$A$3:$A$500,$C38,'DADOS BRUTOS'!FN$3:FN$500)))</f>
        <v/>
      </c>
      <c r="IO38" s="125">
        <f>IF(OR(IO$4="",$B38=""),0,SUMIF('DADOS BRUTOS'!$A$3:$A$500,$B38,'DADOS BRUTOS'!FO$3:FO$500)+IF($C38="",0,SUMIF('DADOS BRUTOS'!$A$3:$A$500,$C38,'DADOS BRUTOS'!FO$3:FO$500)))</f>
        <v/>
      </c>
      <c r="IP38" s="125">
        <f>IF(OR(IP$4="",$B38=""),0,SUMIF('DADOS BRUTOS'!$A$3:$A$500,$B38,'DADOS BRUTOS'!FP$3:FP$500)+IF($C38="",0,SUMIF('DADOS BRUTOS'!$A$3:$A$500,$C38,'DADOS BRUTOS'!FP$3:FP$500)))</f>
        <v/>
      </c>
      <c r="IQ38" s="125">
        <f>IF(OR(IQ$4="",$B38=""),0,SUMIF('DADOS BRUTOS'!$A$3:$A$500,$B38,'DADOS BRUTOS'!FQ$3:FQ$500)+IF($C38="",0,SUMIF('DADOS BRUTOS'!$A$3:$A$500,$C38,'DADOS BRUTOS'!FQ$3:FQ$500)))</f>
        <v/>
      </c>
      <c r="IR38" s="125">
        <f>IF(OR(IR$4="",$B38=""),0,SUMIF('DADOS BRUTOS'!$A$3:$A$500,$B38,'DADOS BRUTOS'!FR$3:FR$500)+IF($C38="",0,SUMIF('DADOS BRUTOS'!$A$3:$A$500,$C38,'DADOS BRUTOS'!FR$3:FR$500)))</f>
        <v/>
      </c>
      <c r="IS38" s="125">
        <f>IF(OR(IS$4="",$B38=""),0,SUMIF('DADOS BRUTOS'!$A$3:$A$500,$B38,'DADOS BRUTOS'!FS$3:FS$500)+IF($C38="",0,SUMIF('DADOS BRUTOS'!$A$3:$A$500,$C38,'DADOS BRUTOS'!FS$3:FS$500)))</f>
        <v/>
      </c>
      <c r="IT38" s="125">
        <f>IF(OR(IT$4="",$B38=""),0,SUMIF('DADOS BRUTOS'!$A$3:$A$500,$B38,'DADOS BRUTOS'!FT$3:FT$500)+IF($C38="",0,SUMIF('DADOS BRUTOS'!$A$3:$A$500,$C38,'DADOS BRUTOS'!FT$3:FT$500)))</f>
        <v/>
      </c>
      <c r="IU38" s="125">
        <f>IF(OR(IU$4="",$B38=""),0,SUMIF('DADOS BRUTOS'!$A$3:$A$500,$B38,'DADOS BRUTOS'!FU$3:FU$500)+IF($C38="",0,SUMIF('DADOS BRUTOS'!$A$3:$A$500,$C38,'DADOS BRUTOS'!FU$3:FU$500)))</f>
        <v/>
      </c>
      <c r="IV38" s="125">
        <f>IF(OR(IV$4="",$B38=""),0,SUMIF('DADOS BRUTOS'!$A$3:$A$500,$B38,'DADOS BRUTOS'!FV$3:FV$500)+IF($C38="",0,SUMIF('DADOS BRUTOS'!$A$3:$A$500,$C38,'DADOS BRUTOS'!FV$3:FV$500)))</f>
        <v/>
      </c>
      <c r="IW38" s="125">
        <f>IF(OR(IW$4="",$B38=""),0,SUMIF('DADOS BRUTOS'!$A$3:$A$500,$B38,'DADOS BRUTOS'!FW$3:FW$500)+IF($C38="",0,SUMIF('DADOS BRUTOS'!$A$3:$A$500,$C38,'DADOS BRUTOS'!FW$3:FW$500)))</f>
        <v/>
      </c>
      <c r="IX38" s="125">
        <f>IF(OR(IX$4="",$B38=""),0,SUMIF('DADOS BRUTOS'!$A$3:$A$500,$B38,'DADOS BRUTOS'!FX$3:FX$500)+IF($C38="",0,SUMIF('DADOS BRUTOS'!$A$3:$A$500,$C38,'DADOS BRUTOS'!FX$3:FX$500)))</f>
        <v/>
      </c>
      <c r="IY38" s="125">
        <f>IF(OR(IY$4="",$B38=""),0,SUMIF('DADOS BRUTOS'!$A$3:$A$500,$B38,'DADOS BRUTOS'!FY$3:FY$500)+IF($C38="",0,SUMIF('DADOS BRUTOS'!$A$3:$A$500,$C38,'DADOS BRUTOS'!FY$3:FY$500)))</f>
        <v/>
      </c>
      <c r="IZ38" s="125">
        <f>IF(OR(IZ$4="",$B38=""),0,SUMIF('DADOS BRUTOS'!$A$3:$A$500,$B38,'DADOS BRUTOS'!FZ$3:FZ$500)+IF($C38="",0,SUMIF('DADOS BRUTOS'!$A$3:$A$500,$C38,'DADOS BRUTOS'!FZ$3:FZ$500)))</f>
        <v/>
      </c>
      <c r="JA38" s="125">
        <f>IF(OR(JA$4="",$B38=""),0,SUMIF('DADOS BRUTOS'!$A$3:$A$500,$B38,'DADOS BRUTOS'!GA$3:GA$500)+IF($C38="",0,SUMIF('DADOS BRUTOS'!$A$3:$A$500,$C38,'DADOS BRUTOS'!GA$3:GA$500)))</f>
        <v/>
      </c>
      <c r="JB38" s="125">
        <f>IF(OR(JB$4="",$B38=""),0,SUMIF('DADOS BRUTOS'!$A$3:$A$500,$B38,'DADOS BRUTOS'!GB$3:GB$500)+IF($C38="",0,SUMIF('DADOS BRUTOS'!$A$3:$A$500,$C38,'DADOS BRUTOS'!GB$3:GB$500)))</f>
        <v/>
      </c>
      <c r="JC38" s="125">
        <f>IF(OR(JC$4="",$B38=""),0,SUMIF('DADOS BRUTOS'!$A$3:$A$500,$B38,'DADOS BRUTOS'!GC$3:GC$500)+IF($C38="",0,SUMIF('DADOS BRUTOS'!$A$3:$A$500,$C38,'DADOS BRUTOS'!GC$3:GC$500)))</f>
        <v/>
      </c>
      <c r="JD38" s="125">
        <f>IF(OR(JD$4="",$B38=""),0,SUMIF('DADOS BRUTOS'!$A$3:$A$500,$B38,'DADOS BRUTOS'!GD$3:GD$500)+IF($C38="",0,SUMIF('DADOS BRUTOS'!$A$3:$A$500,$C38,'DADOS BRUTOS'!GD$3:GD$500)))</f>
        <v/>
      </c>
      <c r="JE38" s="125">
        <f>IF(OR(JE$4="",$B38=""),0,SUMIF('DADOS BRUTOS'!$A$3:$A$500,$B38,'DADOS BRUTOS'!GE$3:GE$500)+IF($C38="",0,SUMIF('DADOS BRUTOS'!$A$3:$A$500,$C38,'DADOS BRUTOS'!GE$3:GE$500)))</f>
        <v/>
      </c>
      <c r="JF38" s="125">
        <f>IF(OR(JF$4="",$B38=""),0,SUMIF('DADOS BRUTOS'!$A$3:$A$500,$B38,'DADOS BRUTOS'!GF$3:GF$500)+IF($C38="",0,SUMIF('DADOS BRUTOS'!$A$3:$A$500,$C38,'DADOS BRUTOS'!GF$3:GF$500)))</f>
        <v/>
      </c>
      <c r="JG38" s="125">
        <f>IF(OR(JG$4="",$B38=""),0,SUMIF('DADOS BRUTOS'!$A$3:$A$500,$B38,'DADOS BRUTOS'!GG$3:GG$500)+IF($C38="",0,SUMIF('DADOS BRUTOS'!$A$3:$A$500,$C38,'DADOS BRUTOS'!GG$3:GG$500)))</f>
        <v/>
      </c>
      <c r="JH38" s="125">
        <f>IF(OR(JH$4="",$B38=""),0,SUMIF('DADOS BRUTOS'!$A$3:$A$500,$B38,'DADOS BRUTOS'!GH$3:GH$500)+IF($C38="",0,SUMIF('DADOS BRUTOS'!$A$3:$A$500,$C38,'DADOS BRUTOS'!GH$3:GH$500)))</f>
        <v/>
      </c>
      <c r="JI38" s="125">
        <f>IF(OR(JI$4="",$B38=""),0,SUMIF('DADOS BRUTOS'!$A$3:$A$500,$B38,'DADOS BRUTOS'!GI$3:GI$500)+IF($C38="",0,SUMIF('DADOS BRUTOS'!$A$3:$A$500,$C38,'DADOS BRUTOS'!GI$3:GI$500)))</f>
        <v/>
      </c>
      <c r="JJ38" s="125">
        <f>IF(OR(JJ$4="",$B38=""),0,SUMIF('DADOS BRUTOS'!$A$3:$A$500,$B38,'DADOS BRUTOS'!GJ$3:GJ$500)+IF($C38="",0,SUMIF('DADOS BRUTOS'!$A$3:$A$500,$C38,'DADOS BRUTOS'!GJ$3:GJ$500)))</f>
        <v/>
      </c>
      <c r="JK38" s="125">
        <f>IF(OR(JK$4="",$B38=""),0,SUMIF('DADOS BRUTOS'!$A$3:$A$500,$B38,'DADOS BRUTOS'!GK$3:GK$500)+IF($C38="",0,SUMIF('DADOS BRUTOS'!$A$3:$A$500,$C38,'DADOS BRUTOS'!GK$3:GK$500)))</f>
        <v/>
      </c>
      <c r="JL38" s="125">
        <f>IF(OR(JL$4="",$B38=""),0,SUMIF('DADOS BRUTOS'!$A$3:$A$500,$B38,'DADOS BRUTOS'!GL$3:GL$500)+IF($C38="",0,SUMIF('DADOS BRUTOS'!$A$3:$A$500,$C38,'DADOS BRUTOS'!GL$3:GL$500)))</f>
        <v/>
      </c>
      <c r="JM38" s="125">
        <f>IF(OR(JM$4="",$B38=""),0,SUMIF('DADOS BRUTOS'!$A$3:$A$500,$B38,'DADOS BRUTOS'!GM$3:GM$500)+IF($C38="",0,SUMIF('DADOS BRUTOS'!$A$3:$A$500,$C38,'DADOS BRUTOS'!GM$3:GM$500)))</f>
        <v/>
      </c>
      <c r="JN38" s="125">
        <f>IF(OR(JN$4="",$B38=""),0,SUMIF('DADOS BRUTOS'!$A$3:$A$500,$B38,'DADOS BRUTOS'!GN$3:GN$500)+IF($C38="",0,SUMIF('DADOS BRUTOS'!$A$3:$A$500,$C38,'DADOS BRUTOS'!GN$3:GN$500)))</f>
        <v/>
      </c>
      <c r="JO38" s="125">
        <f>IF(OR(JO$4="",$B38=""),0,SUMIF('DADOS BRUTOS'!$A$3:$A$500,$B38,'DADOS BRUTOS'!GO$3:GO$500)+IF($C38="",0,SUMIF('DADOS BRUTOS'!$A$3:$A$500,$C38,'DADOS BRUTOS'!GO$3:GO$500)))</f>
        <v/>
      </c>
      <c r="JP38" s="125">
        <f>IF(OR(JP$4="",$B38=""),0,SUMIF('DADOS BRUTOS'!$A$3:$A$500,$B38,'DADOS BRUTOS'!GP$3:GP$500)+IF($C38="",0,SUMIF('DADOS BRUTOS'!$A$3:$A$500,$C38,'DADOS BRUTOS'!GP$3:GP$500)))</f>
        <v/>
      </c>
      <c r="JQ38" s="125">
        <f>IF(OR(JQ$4="",$B38=""),0,SUMIF('DADOS BRUTOS'!$A$3:$A$500,$B38,'DADOS BRUTOS'!GQ$3:GQ$500)+IF($C38="",0,SUMIF('DADOS BRUTOS'!$A$3:$A$500,$C38,'DADOS BRUTOS'!GQ$3:GQ$500)))</f>
        <v/>
      </c>
      <c r="JR38" s="125">
        <f>IF(OR(JR$4="",$B38=""),0,SUMIF('DADOS BRUTOS'!$A$3:$A$500,$B38,'DADOS BRUTOS'!GR$3:GR$500)+IF($C38="",0,SUMIF('DADOS BRUTOS'!$A$3:$A$500,$C38,'DADOS BRUTOS'!GR$3:GR$500)))</f>
        <v/>
      </c>
      <c r="JS38" s="125">
        <f>IF(OR(JS$4="",$B38=""),0,SUMIF('DADOS BRUTOS'!$A$3:$A$500,$B38,'DADOS BRUTOS'!GS$3:GS$500)+IF($C38="",0,SUMIF('DADOS BRUTOS'!$A$3:$A$500,$C38,'DADOS BRUTOS'!GS$3:GS$500)))</f>
        <v/>
      </c>
    </row>
    <row r="39">
      <c r="A39" s="61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BZ39" s="49">
        <f>SUMPRODUCT(($CB$4:$JS$4&lt;&gt;"")*($CB$4:$JS$4&lt;=$D$4),$CB39:$JS39,$CB$1:$JS$1)</f>
        <v/>
      </c>
      <c r="CB39" s="125">
        <f>IF(OR(CB$4="",$B39=""),0,SUMIF('DADOS BRUTOS'!$A$3:$A$500,$B39,'DADOS BRUTOS'!B$3:B$500)+IF($C39="",0,SUMIF('DADOS BRUTOS'!$A$3:$A$500,$C39,'DADOS BRUTOS'!B$3:B$500)))</f>
        <v/>
      </c>
      <c r="CC39" s="125">
        <f>IF(OR(CC$4="",$B39=""),0,SUMIF('DADOS BRUTOS'!$A$3:$A$500,$B39,'DADOS BRUTOS'!C$3:C$500)+IF($C39="",0,SUMIF('DADOS BRUTOS'!$A$3:$A$500,$C39,'DADOS BRUTOS'!C$3:C$500)))</f>
        <v/>
      </c>
      <c r="CD39" s="125">
        <f>IF(OR(CD$4="",$B39=""),0,SUMIF('DADOS BRUTOS'!$A$3:$A$500,$B39,'DADOS BRUTOS'!D$3:D$500)+IF($C39="",0,SUMIF('DADOS BRUTOS'!$A$3:$A$500,$C39,'DADOS BRUTOS'!D$3:D$500)))</f>
        <v/>
      </c>
      <c r="CE39" s="125">
        <f>IF(OR(CE$4="",$B39=""),0,SUMIF('DADOS BRUTOS'!$A$3:$A$500,$B39,'DADOS BRUTOS'!E$3:E$500)+IF($C39="",0,SUMIF('DADOS BRUTOS'!$A$3:$A$500,$C39,'DADOS BRUTOS'!E$3:E$500)))</f>
        <v/>
      </c>
      <c r="CF39" s="125">
        <f>IF(OR(CF$4="",$B39=""),0,SUMIF('DADOS BRUTOS'!$A$3:$A$500,$B39,'DADOS BRUTOS'!F$3:F$500)+IF($C39="",0,SUMIF('DADOS BRUTOS'!$A$3:$A$500,$C39,'DADOS BRUTOS'!F$3:F$500)))</f>
        <v/>
      </c>
      <c r="CG39" s="125">
        <f>IF(OR(CG$4="",$B39=""),0,SUMIF('DADOS BRUTOS'!$A$3:$A$500,$B39,'DADOS BRUTOS'!G$3:G$500)+IF($C39="",0,SUMIF('DADOS BRUTOS'!$A$3:$A$500,$C39,'DADOS BRUTOS'!G$3:G$500)))</f>
        <v/>
      </c>
      <c r="CH39" s="125">
        <f>IF(OR(CH$4="",$B39=""),0,SUMIF('DADOS BRUTOS'!$A$3:$A$500,$B39,'DADOS BRUTOS'!H$3:H$500)+IF($C39="",0,SUMIF('DADOS BRUTOS'!$A$3:$A$500,$C39,'DADOS BRUTOS'!H$3:H$500)))</f>
        <v/>
      </c>
      <c r="CI39" s="125">
        <f>IF(OR(CI$4="",$B39=""),0,SUMIF('DADOS BRUTOS'!$A$3:$A$500,$B39,'DADOS BRUTOS'!I$3:I$500)+IF($C39="",0,SUMIF('DADOS BRUTOS'!$A$3:$A$500,$C39,'DADOS BRUTOS'!I$3:I$500)))</f>
        <v/>
      </c>
      <c r="CJ39" s="125">
        <f>IF(OR(CJ$4="",$B39=""),0,SUMIF('DADOS BRUTOS'!$A$3:$A$500,$B39,'DADOS BRUTOS'!J$3:J$500)+IF($C39="",0,SUMIF('DADOS BRUTOS'!$A$3:$A$500,$C39,'DADOS BRUTOS'!J$3:J$500)))</f>
        <v/>
      </c>
      <c r="CK39" s="125">
        <f>IF(OR(CK$4="",$B39=""),0,SUMIF('DADOS BRUTOS'!$A$3:$A$500,$B39,'DADOS BRUTOS'!K$3:K$500)+IF($C39="",0,SUMIF('DADOS BRUTOS'!$A$3:$A$500,$C39,'DADOS BRUTOS'!K$3:K$500)))</f>
        <v/>
      </c>
      <c r="CL39" s="125">
        <f>IF(OR(CL$4="",$B39=""),0,SUMIF('DADOS BRUTOS'!$A$3:$A$500,$B39,'DADOS BRUTOS'!L$3:L$500)+IF($C39="",0,SUMIF('DADOS BRUTOS'!$A$3:$A$500,$C39,'DADOS BRUTOS'!L$3:L$500)))</f>
        <v/>
      </c>
      <c r="CM39" s="125">
        <f>IF(OR(CM$4="",$B39=""),0,SUMIF('DADOS BRUTOS'!$A$3:$A$500,$B39,'DADOS BRUTOS'!M$3:M$500)+IF($C39="",0,SUMIF('DADOS BRUTOS'!$A$3:$A$500,$C39,'DADOS BRUTOS'!M$3:M$500)))</f>
        <v/>
      </c>
      <c r="CN39" s="125">
        <f>IF(OR(CN$4="",$B39=""),0,SUMIF('DADOS BRUTOS'!$A$3:$A$500,$B39,'DADOS BRUTOS'!N$3:N$500)+IF($C39="",0,SUMIF('DADOS BRUTOS'!$A$3:$A$500,$C39,'DADOS BRUTOS'!N$3:N$500)))</f>
        <v/>
      </c>
      <c r="CO39" s="125">
        <f>IF(OR(CO$4="",$B39=""),0,SUMIF('DADOS BRUTOS'!$A$3:$A$500,$B39,'DADOS BRUTOS'!O$3:O$500)+IF($C39="",0,SUMIF('DADOS BRUTOS'!$A$3:$A$500,$C39,'DADOS BRUTOS'!O$3:O$500)))</f>
        <v/>
      </c>
      <c r="CP39" s="125">
        <f>IF(OR(CP$4="",$B39=""),0,SUMIF('DADOS BRUTOS'!$A$3:$A$500,$B39,'DADOS BRUTOS'!P$3:P$500)+IF($C39="",0,SUMIF('DADOS BRUTOS'!$A$3:$A$500,$C39,'DADOS BRUTOS'!P$3:P$500)))</f>
        <v/>
      </c>
      <c r="CQ39" s="125">
        <f>IF(OR(CQ$4="",$B39=""),0,SUMIF('DADOS BRUTOS'!$A$3:$A$500,$B39,'DADOS BRUTOS'!Q$3:Q$500)+IF($C39="",0,SUMIF('DADOS BRUTOS'!$A$3:$A$500,$C39,'DADOS BRUTOS'!Q$3:Q$500)))</f>
        <v/>
      </c>
      <c r="CR39" s="125">
        <f>IF(OR(CR$4="",$B39=""),0,SUMIF('DADOS BRUTOS'!$A$3:$A$500,$B39,'DADOS BRUTOS'!R$3:R$500)+IF($C39="",0,SUMIF('DADOS BRUTOS'!$A$3:$A$500,$C39,'DADOS BRUTOS'!R$3:R$500)))</f>
        <v/>
      </c>
      <c r="CS39" s="125">
        <f>IF(OR(CS$4="",$B39=""),0,SUMIF('DADOS BRUTOS'!$A$3:$A$500,$B39,'DADOS BRUTOS'!S$3:S$500)+IF($C39="",0,SUMIF('DADOS BRUTOS'!$A$3:$A$500,$C39,'DADOS BRUTOS'!S$3:S$500)))</f>
        <v/>
      </c>
      <c r="CT39" s="125">
        <f>IF(OR(CT$4="",$B39=""),0,SUMIF('DADOS BRUTOS'!$A$3:$A$500,$B39,'DADOS BRUTOS'!T$3:T$500)+IF($C39="",0,SUMIF('DADOS BRUTOS'!$A$3:$A$500,$C39,'DADOS BRUTOS'!T$3:T$500)))</f>
        <v/>
      </c>
      <c r="CU39" s="125">
        <f>IF(OR(CU$4="",$B39=""),0,SUMIF('DADOS BRUTOS'!$A$3:$A$500,$B39,'DADOS BRUTOS'!U$3:U$500)+IF($C39="",0,SUMIF('DADOS BRUTOS'!$A$3:$A$500,$C39,'DADOS BRUTOS'!U$3:U$500)))</f>
        <v/>
      </c>
      <c r="CV39" s="125">
        <f>IF(OR(CV$4="",$B39=""),0,SUMIF('DADOS BRUTOS'!$A$3:$A$500,$B39,'DADOS BRUTOS'!V$3:V$500)+IF($C39="",0,SUMIF('DADOS BRUTOS'!$A$3:$A$500,$C39,'DADOS BRUTOS'!V$3:V$500)))</f>
        <v/>
      </c>
      <c r="CW39" s="125">
        <f>IF(OR(CW$4="",$B39=""),0,SUMIF('DADOS BRUTOS'!$A$3:$A$500,$B39,'DADOS BRUTOS'!W$3:W$500)+IF($C39="",0,SUMIF('DADOS BRUTOS'!$A$3:$A$500,$C39,'DADOS BRUTOS'!W$3:W$500)))</f>
        <v/>
      </c>
      <c r="CX39" s="125">
        <f>IF(OR(CX$4="",$B39=""),0,SUMIF('DADOS BRUTOS'!$A$3:$A$500,$B39,'DADOS BRUTOS'!X$3:X$500)+IF($C39="",0,SUMIF('DADOS BRUTOS'!$A$3:$A$500,$C39,'DADOS BRUTOS'!X$3:X$500)))</f>
        <v/>
      </c>
      <c r="CY39" s="125">
        <f>IF(OR(CY$4="",$B39=""),0,SUMIF('DADOS BRUTOS'!$A$3:$A$500,$B39,'DADOS BRUTOS'!Y$3:Y$500)+IF($C39="",0,SUMIF('DADOS BRUTOS'!$A$3:$A$500,$C39,'DADOS BRUTOS'!Y$3:Y$500)))</f>
        <v/>
      </c>
      <c r="CZ39" s="125">
        <f>IF(OR(CZ$4="",$B39=""),0,SUMIF('DADOS BRUTOS'!$A$3:$A$500,$B39,'DADOS BRUTOS'!Z$3:Z$500)+IF($C39="",0,SUMIF('DADOS BRUTOS'!$A$3:$A$500,$C39,'DADOS BRUTOS'!Z$3:Z$500)))</f>
        <v/>
      </c>
      <c r="DA39" s="125">
        <f>IF(OR(DA$4="",$B39=""),0,SUMIF('DADOS BRUTOS'!$A$3:$A$500,$B39,'DADOS BRUTOS'!AA$3:AA$500)+IF($C39="",0,SUMIF('DADOS BRUTOS'!$A$3:$A$500,$C39,'DADOS BRUTOS'!AA$3:AA$500)))</f>
        <v/>
      </c>
      <c r="DB39" s="125">
        <f>IF(OR(DB$4="",$B39=""),0,SUMIF('DADOS BRUTOS'!$A$3:$A$500,$B39,'DADOS BRUTOS'!AB$3:AB$500)+IF($C39="",0,SUMIF('DADOS BRUTOS'!$A$3:$A$500,$C39,'DADOS BRUTOS'!AB$3:AB$500)))</f>
        <v/>
      </c>
      <c r="DC39" s="125">
        <f>IF(OR(DC$4="",$B39=""),0,SUMIF('DADOS BRUTOS'!$A$3:$A$500,$B39,'DADOS BRUTOS'!AC$3:AC$500)+IF($C39="",0,SUMIF('DADOS BRUTOS'!$A$3:$A$500,$C39,'DADOS BRUTOS'!AC$3:AC$500)))</f>
        <v/>
      </c>
      <c r="DD39" s="125">
        <f>IF(OR(DD$4="",$B39=""),0,SUMIF('DADOS BRUTOS'!$A$3:$A$500,$B39,'DADOS BRUTOS'!AD$3:AD$500)+IF($C39="",0,SUMIF('DADOS BRUTOS'!$A$3:$A$500,$C39,'DADOS BRUTOS'!AD$3:AD$500)))</f>
        <v/>
      </c>
      <c r="DE39" s="125">
        <f>IF(OR(DE$4="",$B39=""),0,SUMIF('DADOS BRUTOS'!$A$3:$A$500,$B39,'DADOS BRUTOS'!AE$3:AE$500)+IF($C39="",0,SUMIF('DADOS BRUTOS'!$A$3:$A$500,$C39,'DADOS BRUTOS'!AE$3:AE$500)))</f>
        <v/>
      </c>
      <c r="DF39" s="125">
        <f>IF(OR(DF$4="",$B39=""),0,SUMIF('DADOS BRUTOS'!$A$3:$A$500,$B39,'DADOS BRUTOS'!AF$3:AF$500)+IF($C39="",0,SUMIF('DADOS BRUTOS'!$A$3:$A$500,$C39,'DADOS BRUTOS'!AF$3:AF$500)))</f>
        <v/>
      </c>
      <c r="DG39" s="125">
        <f>IF(OR(DG$4="",$B39=""),0,SUMIF('DADOS BRUTOS'!$A$3:$A$500,$B39,'DADOS BRUTOS'!AG$3:AG$500)+IF($C39="",0,SUMIF('DADOS BRUTOS'!$A$3:$A$500,$C39,'DADOS BRUTOS'!AG$3:AG$500)))</f>
        <v/>
      </c>
      <c r="DH39" s="125">
        <f>IF(OR(DH$4="",$B39=""),0,SUMIF('DADOS BRUTOS'!$A$3:$A$500,$B39,'DADOS BRUTOS'!AH$3:AH$500)+IF($C39="",0,SUMIF('DADOS BRUTOS'!$A$3:$A$500,$C39,'DADOS BRUTOS'!AH$3:AH$500)))</f>
        <v/>
      </c>
      <c r="DI39" s="125">
        <f>IF(OR(DI$4="",$B39=""),0,SUMIF('DADOS BRUTOS'!$A$3:$A$500,$B39,'DADOS BRUTOS'!AI$3:AI$500)+IF($C39="",0,SUMIF('DADOS BRUTOS'!$A$3:$A$500,$C39,'DADOS BRUTOS'!AI$3:AI$500)))</f>
        <v/>
      </c>
      <c r="DJ39" s="125">
        <f>IF(OR(DJ$4="",$B39=""),0,SUMIF('DADOS BRUTOS'!$A$3:$A$500,$B39,'DADOS BRUTOS'!AJ$3:AJ$500)+IF($C39="",0,SUMIF('DADOS BRUTOS'!$A$3:$A$500,$C39,'DADOS BRUTOS'!AJ$3:AJ$500)))</f>
        <v/>
      </c>
      <c r="DK39" s="125">
        <f>IF(OR(DK$4="",$B39=""),0,SUMIF('DADOS BRUTOS'!$A$3:$A$500,$B39,'DADOS BRUTOS'!AK$3:AK$500)+IF($C39="",0,SUMIF('DADOS BRUTOS'!$A$3:$A$500,$C39,'DADOS BRUTOS'!AK$3:AK$500)))</f>
        <v/>
      </c>
      <c r="DL39" s="125">
        <f>IF(OR(DL$4="",$B39=""),0,SUMIF('DADOS BRUTOS'!$A$3:$A$500,$B39,'DADOS BRUTOS'!AL$3:AL$500)+IF($C39="",0,SUMIF('DADOS BRUTOS'!$A$3:$A$500,$C39,'DADOS BRUTOS'!AL$3:AL$500)))</f>
        <v/>
      </c>
      <c r="DM39" s="125">
        <f>IF(OR(DM$4="",$B39=""),0,SUMIF('DADOS BRUTOS'!$A$3:$A$500,$B39,'DADOS BRUTOS'!AM$3:AM$500)+IF($C39="",0,SUMIF('DADOS BRUTOS'!$A$3:$A$500,$C39,'DADOS BRUTOS'!AM$3:AM$500)))</f>
        <v/>
      </c>
      <c r="DN39" s="125">
        <f>IF(OR(DN$4="",$B39=""),0,SUMIF('DADOS BRUTOS'!$A$3:$A$500,$B39,'DADOS BRUTOS'!AN$3:AN$500)+IF($C39="",0,SUMIF('DADOS BRUTOS'!$A$3:$A$500,$C39,'DADOS BRUTOS'!AN$3:AN$500)))</f>
        <v/>
      </c>
      <c r="DO39" s="125">
        <f>IF(OR(DO$4="",$B39=""),0,SUMIF('DADOS BRUTOS'!$A$3:$A$500,$B39,'DADOS BRUTOS'!AO$3:AO$500)+IF($C39="",0,SUMIF('DADOS BRUTOS'!$A$3:$A$500,$C39,'DADOS BRUTOS'!AO$3:AO$500)))</f>
        <v/>
      </c>
      <c r="DP39" s="125">
        <f>IF(OR(DP$4="",$B39=""),0,SUMIF('DADOS BRUTOS'!$A$3:$A$500,$B39,'DADOS BRUTOS'!AP$3:AP$500)+IF($C39="",0,SUMIF('DADOS BRUTOS'!$A$3:$A$500,$C39,'DADOS BRUTOS'!AP$3:AP$500)))</f>
        <v/>
      </c>
      <c r="DQ39" s="125">
        <f>IF(OR(DQ$4="",$B39=""),0,SUMIF('DADOS BRUTOS'!$A$3:$A$500,$B39,'DADOS BRUTOS'!AQ$3:AQ$500)+IF($C39="",0,SUMIF('DADOS BRUTOS'!$A$3:$A$500,$C39,'DADOS BRUTOS'!AQ$3:AQ$500)))</f>
        <v/>
      </c>
      <c r="DR39" s="125">
        <f>IF(OR(DR$4="",$B39=""),0,SUMIF('DADOS BRUTOS'!$A$3:$A$500,$B39,'DADOS BRUTOS'!AR$3:AR$500)+IF($C39="",0,SUMIF('DADOS BRUTOS'!$A$3:$A$500,$C39,'DADOS BRUTOS'!AR$3:AR$500)))</f>
        <v/>
      </c>
      <c r="DS39" s="125">
        <f>IF(OR(DS$4="",$B39=""),0,SUMIF('DADOS BRUTOS'!$A$3:$A$500,$B39,'DADOS BRUTOS'!AS$3:AS$500)+IF($C39="",0,SUMIF('DADOS BRUTOS'!$A$3:$A$500,$C39,'DADOS BRUTOS'!AS$3:AS$500)))</f>
        <v/>
      </c>
      <c r="DT39" s="125">
        <f>IF(OR(DT$4="",$B39=""),0,SUMIF('DADOS BRUTOS'!$A$3:$A$500,$B39,'DADOS BRUTOS'!AT$3:AT$500)+IF($C39="",0,SUMIF('DADOS BRUTOS'!$A$3:$A$500,$C39,'DADOS BRUTOS'!AT$3:AT$500)))</f>
        <v/>
      </c>
      <c r="DU39" s="125">
        <f>IF(OR(DU$4="",$B39=""),0,SUMIF('DADOS BRUTOS'!$A$3:$A$500,$B39,'DADOS BRUTOS'!AU$3:AU$500)+IF($C39="",0,SUMIF('DADOS BRUTOS'!$A$3:$A$500,$C39,'DADOS BRUTOS'!AU$3:AU$500)))</f>
        <v/>
      </c>
      <c r="DV39" s="125">
        <f>IF(OR(DV$4="",$B39=""),0,SUMIF('DADOS BRUTOS'!$A$3:$A$500,$B39,'DADOS BRUTOS'!AV$3:AV$500)+IF($C39="",0,SUMIF('DADOS BRUTOS'!$A$3:$A$500,$C39,'DADOS BRUTOS'!AV$3:AV$500)))</f>
        <v/>
      </c>
      <c r="DW39" s="125">
        <f>IF(OR(DW$4="",$B39=""),0,SUMIF('DADOS BRUTOS'!$A$3:$A$500,$B39,'DADOS BRUTOS'!AW$3:AW$500)+IF($C39="",0,SUMIF('DADOS BRUTOS'!$A$3:$A$500,$C39,'DADOS BRUTOS'!AW$3:AW$500)))</f>
        <v/>
      </c>
      <c r="DX39" s="125">
        <f>IF(OR(DX$4="",$B39=""),0,SUMIF('DADOS BRUTOS'!$A$3:$A$500,$B39,'DADOS BRUTOS'!AX$3:AX$500)+IF($C39="",0,SUMIF('DADOS BRUTOS'!$A$3:$A$500,$C39,'DADOS BRUTOS'!AX$3:AX$500)))</f>
        <v/>
      </c>
      <c r="DY39" s="125">
        <f>IF(OR(DY$4="",$B39=""),0,SUMIF('DADOS BRUTOS'!$A$3:$A$500,$B39,'DADOS BRUTOS'!AY$3:AY$500)+IF($C39="",0,SUMIF('DADOS BRUTOS'!$A$3:$A$500,$C39,'DADOS BRUTOS'!AY$3:AY$500)))</f>
        <v/>
      </c>
      <c r="DZ39" s="125">
        <f>IF(OR(DZ$4="",$B39=""),0,SUMIF('DADOS BRUTOS'!$A$3:$A$500,$B39,'DADOS BRUTOS'!AZ$3:AZ$500)+IF($C39="",0,SUMIF('DADOS BRUTOS'!$A$3:$A$500,$C39,'DADOS BRUTOS'!AZ$3:AZ$500)))</f>
        <v/>
      </c>
      <c r="EA39" s="125">
        <f>IF(OR(EA$4="",$B39=""),0,SUMIF('DADOS BRUTOS'!$A$3:$A$500,$B39,'DADOS BRUTOS'!BA$3:BA$500)+IF($C39="",0,SUMIF('DADOS BRUTOS'!$A$3:$A$500,$C39,'DADOS BRUTOS'!BA$3:BA$500)))</f>
        <v/>
      </c>
      <c r="EB39" s="125">
        <f>IF(OR(EB$4="",$B39=""),0,SUMIF('DADOS BRUTOS'!$A$3:$A$500,$B39,'DADOS BRUTOS'!BB$3:BB$500)+IF($C39="",0,SUMIF('DADOS BRUTOS'!$A$3:$A$500,$C39,'DADOS BRUTOS'!BB$3:BB$500)))</f>
        <v/>
      </c>
      <c r="EC39" s="125">
        <f>IF(OR(EC$4="",$B39=""),0,SUMIF('DADOS BRUTOS'!$A$3:$A$500,$B39,'DADOS BRUTOS'!BC$3:BC$500)+IF($C39="",0,SUMIF('DADOS BRUTOS'!$A$3:$A$500,$C39,'DADOS BRUTOS'!BC$3:BC$500)))</f>
        <v/>
      </c>
      <c r="ED39" s="125">
        <f>IF(OR(ED$4="",$B39=""),0,SUMIF('DADOS BRUTOS'!$A$3:$A$500,$B39,'DADOS BRUTOS'!BD$3:BD$500)+IF($C39="",0,SUMIF('DADOS BRUTOS'!$A$3:$A$500,$C39,'DADOS BRUTOS'!BD$3:BD$500)))</f>
        <v/>
      </c>
      <c r="EE39" s="125">
        <f>IF(OR(EE$4="",$B39=""),0,SUMIF('DADOS BRUTOS'!$A$3:$A$500,$B39,'DADOS BRUTOS'!BE$3:BE$500)+IF($C39="",0,SUMIF('DADOS BRUTOS'!$A$3:$A$500,$C39,'DADOS BRUTOS'!BE$3:BE$500)))</f>
        <v/>
      </c>
      <c r="EF39" s="125">
        <f>IF(OR(EF$4="",$B39=""),0,SUMIF('DADOS BRUTOS'!$A$3:$A$500,$B39,'DADOS BRUTOS'!BF$3:BF$500)+IF($C39="",0,SUMIF('DADOS BRUTOS'!$A$3:$A$500,$C39,'DADOS BRUTOS'!BF$3:BF$500)))</f>
        <v/>
      </c>
      <c r="EG39" s="125">
        <f>IF(OR(EG$4="",$B39=""),0,SUMIF('DADOS BRUTOS'!$A$3:$A$500,$B39,'DADOS BRUTOS'!BG$3:BG$500)+IF($C39="",0,SUMIF('DADOS BRUTOS'!$A$3:$A$500,$C39,'DADOS BRUTOS'!BG$3:BG$500)))</f>
        <v/>
      </c>
      <c r="EH39" s="125">
        <f>IF(OR(EH$4="",$B39=""),0,SUMIF('DADOS BRUTOS'!$A$3:$A$500,$B39,'DADOS BRUTOS'!BH$3:BH$500)+IF($C39="",0,SUMIF('DADOS BRUTOS'!$A$3:$A$500,$C39,'DADOS BRUTOS'!BH$3:BH$500)))</f>
        <v/>
      </c>
      <c r="EI39" s="125">
        <f>IF(OR(EI$4="",$B39=""),0,SUMIF('DADOS BRUTOS'!$A$3:$A$500,$B39,'DADOS BRUTOS'!BI$3:BI$500)+IF($C39="",0,SUMIF('DADOS BRUTOS'!$A$3:$A$500,$C39,'DADOS BRUTOS'!BI$3:BI$500)))</f>
        <v/>
      </c>
      <c r="EJ39" s="125">
        <f>IF(OR(EJ$4="",$B39=""),0,SUMIF('DADOS BRUTOS'!$A$3:$A$500,$B39,'DADOS BRUTOS'!BJ$3:BJ$500)+IF($C39="",0,SUMIF('DADOS BRUTOS'!$A$3:$A$500,$C39,'DADOS BRUTOS'!BJ$3:BJ$500)))</f>
        <v/>
      </c>
      <c r="EK39" s="125">
        <f>IF(OR(EK$4="",$B39=""),0,SUMIF('DADOS BRUTOS'!$A$3:$A$500,$B39,'DADOS BRUTOS'!BK$3:BK$500)+IF($C39="",0,SUMIF('DADOS BRUTOS'!$A$3:$A$500,$C39,'DADOS BRUTOS'!BK$3:BK$500)))</f>
        <v/>
      </c>
      <c r="EL39" s="125">
        <f>IF(OR(EL$4="",$B39=""),0,SUMIF('DADOS BRUTOS'!$A$3:$A$500,$B39,'DADOS BRUTOS'!BL$3:BL$500)+IF($C39="",0,SUMIF('DADOS BRUTOS'!$A$3:$A$500,$C39,'DADOS BRUTOS'!BL$3:BL$500)))</f>
        <v/>
      </c>
      <c r="EM39" s="125">
        <f>IF(OR(EM$4="",$B39=""),0,SUMIF('DADOS BRUTOS'!$A$3:$A$500,$B39,'DADOS BRUTOS'!BM$3:BM$500)+IF($C39="",0,SUMIF('DADOS BRUTOS'!$A$3:$A$500,$C39,'DADOS BRUTOS'!BM$3:BM$500)))</f>
        <v/>
      </c>
      <c r="EN39" s="125">
        <f>IF(OR(EN$4="",$B39=""),0,SUMIF('DADOS BRUTOS'!$A$3:$A$500,$B39,'DADOS BRUTOS'!BN$3:BN$500)+IF($C39="",0,SUMIF('DADOS BRUTOS'!$A$3:$A$500,$C39,'DADOS BRUTOS'!BN$3:BN$500)))</f>
        <v/>
      </c>
      <c r="EO39" s="125">
        <f>IF(OR(EO$4="",$B39=""),0,SUMIF('DADOS BRUTOS'!$A$3:$A$500,$B39,'DADOS BRUTOS'!BO$3:BO$500)+IF($C39="",0,SUMIF('DADOS BRUTOS'!$A$3:$A$500,$C39,'DADOS BRUTOS'!BO$3:BO$500)))</f>
        <v/>
      </c>
      <c r="EP39" s="125">
        <f>IF(OR(EP$4="",$B39=""),0,SUMIF('DADOS BRUTOS'!$A$3:$A$500,$B39,'DADOS BRUTOS'!BP$3:BP$500)+IF($C39="",0,SUMIF('DADOS BRUTOS'!$A$3:$A$500,$C39,'DADOS BRUTOS'!BP$3:BP$500)))</f>
        <v/>
      </c>
      <c r="EQ39" s="125">
        <f>IF(OR(EQ$4="",$B39=""),0,SUMIF('DADOS BRUTOS'!$A$3:$A$500,$B39,'DADOS BRUTOS'!BQ$3:BQ$500)+IF($C39="",0,SUMIF('DADOS BRUTOS'!$A$3:$A$500,$C39,'DADOS BRUTOS'!BQ$3:BQ$500)))</f>
        <v/>
      </c>
      <c r="ER39" s="125">
        <f>IF(OR(ER$4="",$B39=""),0,SUMIF('DADOS BRUTOS'!$A$3:$A$500,$B39,'DADOS BRUTOS'!BR$3:BR$500)+IF($C39="",0,SUMIF('DADOS BRUTOS'!$A$3:$A$500,$C39,'DADOS BRUTOS'!BR$3:BR$500)))</f>
        <v/>
      </c>
      <c r="ES39" s="125">
        <f>IF(OR(ES$4="",$B39=""),0,SUMIF('DADOS BRUTOS'!$A$3:$A$500,$B39,'DADOS BRUTOS'!BS$3:BS$500)+IF($C39="",0,SUMIF('DADOS BRUTOS'!$A$3:$A$500,$C39,'DADOS BRUTOS'!BS$3:BS$500)))</f>
        <v/>
      </c>
      <c r="ET39" s="125">
        <f>IF(OR(ET$4="",$B39=""),0,SUMIF('DADOS BRUTOS'!$A$3:$A$500,$B39,'DADOS BRUTOS'!BT$3:BT$500)+IF($C39="",0,SUMIF('DADOS BRUTOS'!$A$3:$A$500,$C39,'DADOS BRUTOS'!BT$3:BT$500)))</f>
        <v/>
      </c>
      <c r="EU39" s="125">
        <f>IF(OR(EU$4="",$B39=""),0,SUMIF('DADOS BRUTOS'!$A$3:$A$500,$B39,'DADOS BRUTOS'!BU$3:BU$500)+IF($C39="",0,SUMIF('DADOS BRUTOS'!$A$3:$A$500,$C39,'DADOS BRUTOS'!BU$3:BU$500)))</f>
        <v/>
      </c>
      <c r="EV39" s="125">
        <f>IF(OR(EV$4="",$B39=""),0,SUMIF('DADOS BRUTOS'!$A$3:$A$500,$B39,'DADOS BRUTOS'!BV$3:BV$500)+IF($C39="",0,SUMIF('DADOS BRUTOS'!$A$3:$A$500,$C39,'DADOS BRUTOS'!BV$3:BV$500)))</f>
        <v/>
      </c>
      <c r="EW39" s="125">
        <f>IF(OR(EW$4="",$B39=""),0,SUMIF('DADOS BRUTOS'!$A$3:$A$500,$B39,'DADOS BRUTOS'!BW$3:BW$500)+IF($C39="",0,SUMIF('DADOS BRUTOS'!$A$3:$A$500,$C39,'DADOS BRUTOS'!BW$3:BW$500)))</f>
        <v/>
      </c>
      <c r="EX39" s="125">
        <f>IF(OR(EX$4="",$B39=""),0,SUMIF('DADOS BRUTOS'!$A$3:$A$500,$B39,'DADOS BRUTOS'!BX$3:BX$500)+IF($C39="",0,SUMIF('DADOS BRUTOS'!$A$3:$A$500,$C39,'DADOS BRUTOS'!BX$3:BX$500)))</f>
        <v/>
      </c>
      <c r="EY39" s="125">
        <f>IF(OR(EY$4="",$B39=""),0,SUMIF('DADOS BRUTOS'!$A$3:$A$500,$B39,'DADOS BRUTOS'!BY$3:BY$500)+IF($C39="",0,SUMIF('DADOS BRUTOS'!$A$3:$A$500,$C39,'DADOS BRUTOS'!BY$3:BY$500)))</f>
        <v/>
      </c>
      <c r="EZ39" s="125">
        <f>IF(OR(EZ$4="",$B39=""),0,SUMIF('DADOS BRUTOS'!$A$3:$A$500,$B39,'DADOS BRUTOS'!BZ$3:BZ$500)+IF($C39="",0,SUMIF('DADOS BRUTOS'!$A$3:$A$500,$C39,'DADOS BRUTOS'!BZ$3:BZ$500)))</f>
        <v/>
      </c>
      <c r="FA39" s="125">
        <f>IF(OR(FA$4="",$B39=""),0,SUMIF('DADOS BRUTOS'!$A$3:$A$500,$B39,'DADOS BRUTOS'!CA$3:CA$500)+IF($C39="",0,SUMIF('DADOS BRUTOS'!$A$3:$A$500,$C39,'DADOS BRUTOS'!CA$3:CA$500)))</f>
        <v/>
      </c>
      <c r="FB39" s="125">
        <f>IF(OR(FB$4="",$B39=""),0,SUMIF('DADOS BRUTOS'!$A$3:$A$500,$B39,'DADOS BRUTOS'!CB$3:CB$500)+IF($C39="",0,SUMIF('DADOS BRUTOS'!$A$3:$A$500,$C39,'DADOS BRUTOS'!CB$3:CB$500)))</f>
        <v/>
      </c>
      <c r="FC39" s="125">
        <f>IF(OR(FC$4="",$B39=""),0,SUMIF('DADOS BRUTOS'!$A$3:$A$500,$B39,'DADOS BRUTOS'!CC$3:CC$500)+IF($C39="",0,SUMIF('DADOS BRUTOS'!$A$3:$A$500,$C39,'DADOS BRUTOS'!CC$3:CC$500)))</f>
        <v/>
      </c>
      <c r="FD39" s="125">
        <f>IF(OR(FD$4="",$B39=""),0,SUMIF('DADOS BRUTOS'!$A$3:$A$500,$B39,'DADOS BRUTOS'!CD$3:CD$500)+IF($C39="",0,SUMIF('DADOS BRUTOS'!$A$3:$A$500,$C39,'DADOS BRUTOS'!CD$3:CD$500)))</f>
        <v/>
      </c>
      <c r="FE39" s="125">
        <f>IF(OR(FE$4="",$B39=""),0,SUMIF('DADOS BRUTOS'!$A$3:$A$500,$B39,'DADOS BRUTOS'!CE$3:CE$500)+IF($C39="",0,SUMIF('DADOS BRUTOS'!$A$3:$A$500,$C39,'DADOS BRUTOS'!CE$3:CE$500)))</f>
        <v/>
      </c>
      <c r="FF39" s="125">
        <f>IF(OR(FF$4="",$B39=""),0,SUMIF('DADOS BRUTOS'!$A$3:$A$500,$B39,'DADOS BRUTOS'!CF$3:CF$500)+IF($C39="",0,SUMIF('DADOS BRUTOS'!$A$3:$A$500,$C39,'DADOS BRUTOS'!CF$3:CF$500)))</f>
        <v/>
      </c>
      <c r="FG39" s="125">
        <f>IF(OR(FG$4="",$B39=""),0,SUMIF('DADOS BRUTOS'!$A$3:$A$500,$B39,'DADOS BRUTOS'!CG$3:CG$500)+IF($C39="",0,SUMIF('DADOS BRUTOS'!$A$3:$A$500,$C39,'DADOS BRUTOS'!CG$3:CG$500)))</f>
        <v/>
      </c>
      <c r="FH39" s="125">
        <f>IF(OR(FH$4="",$B39=""),0,SUMIF('DADOS BRUTOS'!$A$3:$A$500,$B39,'DADOS BRUTOS'!CH$3:CH$500)+IF($C39="",0,SUMIF('DADOS BRUTOS'!$A$3:$A$500,$C39,'DADOS BRUTOS'!CH$3:CH$500)))</f>
        <v/>
      </c>
      <c r="FI39" s="125">
        <f>IF(OR(FI$4="",$B39=""),0,SUMIF('DADOS BRUTOS'!$A$3:$A$500,$B39,'DADOS BRUTOS'!CI$3:CI$500)+IF($C39="",0,SUMIF('DADOS BRUTOS'!$A$3:$A$500,$C39,'DADOS BRUTOS'!CI$3:CI$500)))</f>
        <v/>
      </c>
      <c r="FJ39" s="125">
        <f>IF(OR(FJ$4="",$B39=""),0,SUMIF('DADOS BRUTOS'!$A$3:$A$500,$B39,'DADOS BRUTOS'!CJ$3:CJ$500)+IF($C39="",0,SUMIF('DADOS BRUTOS'!$A$3:$A$500,$C39,'DADOS BRUTOS'!CJ$3:CJ$500)))</f>
        <v/>
      </c>
      <c r="FK39" s="125">
        <f>IF(OR(FK$4="",$B39=""),0,SUMIF('DADOS BRUTOS'!$A$3:$A$500,$B39,'DADOS BRUTOS'!CK$3:CK$500)+IF($C39="",0,SUMIF('DADOS BRUTOS'!$A$3:$A$500,$C39,'DADOS BRUTOS'!CK$3:CK$500)))</f>
        <v/>
      </c>
      <c r="FL39" s="125">
        <f>IF(OR(FL$4="",$B39=""),0,SUMIF('DADOS BRUTOS'!$A$3:$A$500,$B39,'DADOS BRUTOS'!CL$3:CL$500)+IF($C39="",0,SUMIF('DADOS BRUTOS'!$A$3:$A$500,$C39,'DADOS BRUTOS'!CL$3:CL$500)))</f>
        <v/>
      </c>
      <c r="FM39" s="125">
        <f>IF(OR(FM$4="",$B39=""),0,SUMIF('DADOS BRUTOS'!$A$3:$A$500,$B39,'DADOS BRUTOS'!CM$3:CM$500)+IF($C39="",0,SUMIF('DADOS BRUTOS'!$A$3:$A$500,$C39,'DADOS BRUTOS'!CM$3:CM$500)))</f>
        <v/>
      </c>
      <c r="FN39" s="125">
        <f>IF(OR(FN$4="",$B39=""),0,SUMIF('DADOS BRUTOS'!$A$3:$A$500,$B39,'DADOS BRUTOS'!CN$3:CN$500)+IF($C39="",0,SUMIF('DADOS BRUTOS'!$A$3:$A$500,$C39,'DADOS BRUTOS'!CN$3:CN$500)))</f>
        <v/>
      </c>
      <c r="FO39" s="125">
        <f>IF(OR(FO$4="",$B39=""),0,SUMIF('DADOS BRUTOS'!$A$3:$A$500,$B39,'DADOS BRUTOS'!CO$3:CO$500)+IF($C39="",0,SUMIF('DADOS BRUTOS'!$A$3:$A$500,$C39,'DADOS BRUTOS'!CO$3:CO$500)))</f>
        <v/>
      </c>
      <c r="FP39" s="125">
        <f>IF(OR(FP$4="",$B39=""),0,SUMIF('DADOS BRUTOS'!$A$3:$A$500,$B39,'DADOS BRUTOS'!CP$3:CP$500)+IF($C39="",0,SUMIF('DADOS BRUTOS'!$A$3:$A$500,$C39,'DADOS BRUTOS'!CP$3:CP$500)))</f>
        <v/>
      </c>
      <c r="FQ39" s="125">
        <f>IF(OR(FQ$4="",$B39=""),0,SUMIF('DADOS BRUTOS'!$A$3:$A$500,$B39,'DADOS BRUTOS'!CQ$3:CQ$500)+IF($C39="",0,SUMIF('DADOS BRUTOS'!$A$3:$A$500,$C39,'DADOS BRUTOS'!CQ$3:CQ$500)))</f>
        <v/>
      </c>
      <c r="FR39" s="125">
        <f>IF(OR(FR$4="",$B39=""),0,SUMIF('DADOS BRUTOS'!$A$3:$A$500,$B39,'DADOS BRUTOS'!CR$3:CR$500)+IF($C39="",0,SUMIF('DADOS BRUTOS'!$A$3:$A$500,$C39,'DADOS BRUTOS'!CR$3:CR$500)))</f>
        <v/>
      </c>
      <c r="FS39" s="125">
        <f>IF(OR(FS$4="",$B39=""),0,SUMIF('DADOS BRUTOS'!$A$3:$A$500,$B39,'DADOS BRUTOS'!CS$3:CS$500)+IF($C39="",0,SUMIF('DADOS BRUTOS'!$A$3:$A$500,$C39,'DADOS BRUTOS'!CS$3:CS$500)))</f>
        <v/>
      </c>
      <c r="FT39" s="125">
        <f>IF(OR(FT$4="",$B39=""),0,SUMIF('DADOS BRUTOS'!$A$3:$A$500,$B39,'DADOS BRUTOS'!CT$3:CT$500)+IF($C39="",0,SUMIF('DADOS BRUTOS'!$A$3:$A$500,$C39,'DADOS BRUTOS'!CT$3:CT$500)))</f>
        <v/>
      </c>
      <c r="FU39" s="125">
        <f>IF(OR(FU$4="",$B39=""),0,SUMIF('DADOS BRUTOS'!$A$3:$A$500,$B39,'DADOS BRUTOS'!CU$3:CU$500)+IF($C39="",0,SUMIF('DADOS BRUTOS'!$A$3:$A$500,$C39,'DADOS BRUTOS'!CU$3:CU$500)))</f>
        <v/>
      </c>
      <c r="FV39" s="125">
        <f>IF(OR(FV$4="",$B39=""),0,SUMIF('DADOS BRUTOS'!$A$3:$A$500,$B39,'DADOS BRUTOS'!CV$3:CV$500)+IF($C39="",0,SUMIF('DADOS BRUTOS'!$A$3:$A$500,$C39,'DADOS BRUTOS'!CV$3:CV$500)))</f>
        <v/>
      </c>
      <c r="FW39" s="125">
        <f>IF(OR(FW$4="",$B39=""),0,SUMIF('DADOS BRUTOS'!$A$3:$A$500,$B39,'DADOS BRUTOS'!CW$3:CW$500)+IF($C39="",0,SUMIF('DADOS BRUTOS'!$A$3:$A$500,$C39,'DADOS BRUTOS'!CW$3:CW$500)))</f>
        <v/>
      </c>
      <c r="FX39" s="125">
        <f>IF(OR(FX$4="",$B39=""),0,SUMIF('DADOS BRUTOS'!$A$3:$A$500,$B39,'DADOS BRUTOS'!CX$3:CX$500)+IF($C39="",0,SUMIF('DADOS BRUTOS'!$A$3:$A$500,$C39,'DADOS BRUTOS'!CX$3:CX$500)))</f>
        <v/>
      </c>
      <c r="FY39" s="125">
        <f>IF(OR(FY$4="",$B39=""),0,SUMIF('DADOS BRUTOS'!$A$3:$A$500,$B39,'DADOS BRUTOS'!CY$3:CY$500)+IF($C39="",0,SUMIF('DADOS BRUTOS'!$A$3:$A$500,$C39,'DADOS BRUTOS'!CY$3:CY$500)))</f>
        <v/>
      </c>
      <c r="FZ39" s="125">
        <f>IF(OR(FZ$4="",$B39=""),0,SUMIF('DADOS BRUTOS'!$A$3:$A$500,$B39,'DADOS BRUTOS'!CZ$3:CZ$500)+IF($C39="",0,SUMIF('DADOS BRUTOS'!$A$3:$A$500,$C39,'DADOS BRUTOS'!CZ$3:CZ$500)))</f>
        <v/>
      </c>
      <c r="GA39" s="125">
        <f>IF(OR(GA$4="",$B39=""),0,SUMIF('DADOS BRUTOS'!$A$3:$A$500,$B39,'DADOS BRUTOS'!DA$3:DA$500)+IF($C39="",0,SUMIF('DADOS BRUTOS'!$A$3:$A$500,$C39,'DADOS BRUTOS'!DA$3:DA$500)))</f>
        <v/>
      </c>
      <c r="GB39" s="125">
        <f>IF(OR(GB$4="",$B39=""),0,SUMIF('DADOS BRUTOS'!$A$3:$A$500,$B39,'DADOS BRUTOS'!DB$3:DB$500)+IF($C39="",0,SUMIF('DADOS BRUTOS'!$A$3:$A$500,$C39,'DADOS BRUTOS'!DB$3:DB$500)))</f>
        <v/>
      </c>
      <c r="GC39" s="125">
        <f>IF(OR(GC$4="",$B39=""),0,SUMIF('DADOS BRUTOS'!$A$3:$A$500,$B39,'DADOS BRUTOS'!DC$3:DC$500)+IF($C39="",0,SUMIF('DADOS BRUTOS'!$A$3:$A$500,$C39,'DADOS BRUTOS'!DC$3:DC$500)))</f>
        <v/>
      </c>
      <c r="GD39" s="125">
        <f>IF(OR(GD$4="",$B39=""),0,SUMIF('DADOS BRUTOS'!$A$3:$A$500,$B39,'DADOS BRUTOS'!DD$3:DD$500)+IF($C39="",0,SUMIF('DADOS BRUTOS'!$A$3:$A$500,$C39,'DADOS BRUTOS'!DD$3:DD$500)))</f>
        <v/>
      </c>
      <c r="GE39" s="125">
        <f>IF(OR(GE$4="",$B39=""),0,SUMIF('DADOS BRUTOS'!$A$3:$A$500,$B39,'DADOS BRUTOS'!DE$3:DE$500)+IF($C39="",0,SUMIF('DADOS BRUTOS'!$A$3:$A$500,$C39,'DADOS BRUTOS'!DE$3:DE$500)))</f>
        <v/>
      </c>
      <c r="GF39" s="125">
        <f>IF(OR(GF$4="",$B39=""),0,SUMIF('DADOS BRUTOS'!$A$3:$A$500,$B39,'DADOS BRUTOS'!DF$3:DF$500)+IF($C39="",0,SUMIF('DADOS BRUTOS'!$A$3:$A$500,$C39,'DADOS BRUTOS'!DF$3:DF$500)))</f>
        <v/>
      </c>
      <c r="GG39" s="125">
        <f>IF(OR(GG$4="",$B39=""),0,SUMIF('DADOS BRUTOS'!$A$3:$A$500,$B39,'DADOS BRUTOS'!DG$3:DG$500)+IF($C39="",0,SUMIF('DADOS BRUTOS'!$A$3:$A$500,$C39,'DADOS BRUTOS'!DG$3:DG$500)))</f>
        <v/>
      </c>
      <c r="GH39" s="125">
        <f>IF(OR(GH$4="",$B39=""),0,SUMIF('DADOS BRUTOS'!$A$3:$A$500,$B39,'DADOS BRUTOS'!DH$3:DH$500)+IF($C39="",0,SUMIF('DADOS BRUTOS'!$A$3:$A$500,$C39,'DADOS BRUTOS'!DH$3:DH$500)))</f>
        <v/>
      </c>
      <c r="GI39" s="125">
        <f>IF(OR(GI$4="",$B39=""),0,SUMIF('DADOS BRUTOS'!$A$3:$A$500,$B39,'DADOS BRUTOS'!DI$3:DI$500)+IF($C39="",0,SUMIF('DADOS BRUTOS'!$A$3:$A$500,$C39,'DADOS BRUTOS'!DI$3:DI$500)))</f>
        <v/>
      </c>
      <c r="GJ39" s="125">
        <f>IF(OR(GJ$4="",$B39=""),0,SUMIF('DADOS BRUTOS'!$A$3:$A$500,$B39,'DADOS BRUTOS'!DJ$3:DJ$500)+IF($C39="",0,SUMIF('DADOS BRUTOS'!$A$3:$A$500,$C39,'DADOS BRUTOS'!DJ$3:DJ$500)))</f>
        <v/>
      </c>
      <c r="GK39" s="125">
        <f>IF(OR(GK$4="",$B39=""),0,SUMIF('DADOS BRUTOS'!$A$3:$A$500,$B39,'DADOS BRUTOS'!DK$3:DK$500)+IF($C39="",0,SUMIF('DADOS BRUTOS'!$A$3:$A$500,$C39,'DADOS BRUTOS'!DK$3:DK$500)))</f>
        <v/>
      </c>
      <c r="GL39" s="125">
        <f>IF(OR(GL$4="",$B39=""),0,SUMIF('DADOS BRUTOS'!$A$3:$A$500,$B39,'DADOS BRUTOS'!DL$3:DL$500)+IF($C39="",0,SUMIF('DADOS BRUTOS'!$A$3:$A$500,$C39,'DADOS BRUTOS'!DL$3:DL$500)))</f>
        <v/>
      </c>
      <c r="GM39" s="125">
        <f>IF(OR(GM$4="",$B39=""),0,SUMIF('DADOS BRUTOS'!$A$3:$A$500,$B39,'DADOS BRUTOS'!DM$3:DM$500)+IF($C39="",0,SUMIF('DADOS BRUTOS'!$A$3:$A$500,$C39,'DADOS BRUTOS'!DM$3:DM$500)))</f>
        <v/>
      </c>
      <c r="GN39" s="125">
        <f>IF(OR(GN$4="",$B39=""),0,SUMIF('DADOS BRUTOS'!$A$3:$A$500,$B39,'DADOS BRUTOS'!DN$3:DN$500)+IF($C39="",0,SUMIF('DADOS BRUTOS'!$A$3:$A$500,$C39,'DADOS BRUTOS'!DN$3:DN$500)))</f>
        <v/>
      </c>
      <c r="GO39" s="125">
        <f>IF(OR(GO$4="",$B39=""),0,SUMIF('DADOS BRUTOS'!$A$3:$A$500,$B39,'DADOS BRUTOS'!DO$3:DO$500)+IF($C39="",0,SUMIF('DADOS BRUTOS'!$A$3:$A$500,$C39,'DADOS BRUTOS'!DO$3:DO$500)))</f>
        <v/>
      </c>
      <c r="GP39" s="125">
        <f>IF(OR(GP$4="",$B39=""),0,SUMIF('DADOS BRUTOS'!$A$3:$A$500,$B39,'DADOS BRUTOS'!DP$3:DP$500)+IF($C39="",0,SUMIF('DADOS BRUTOS'!$A$3:$A$500,$C39,'DADOS BRUTOS'!DP$3:DP$500)))</f>
        <v/>
      </c>
      <c r="GQ39" s="125">
        <f>IF(OR(GQ$4="",$B39=""),0,SUMIF('DADOS BRUTOS'!$A$3:$A$500,$B39,'DADOS BRUTOS'!DQ$3:DQ$500)+IF($C39="",0,SUMIF('DADOS BRUTOS'!$A$3:$A$500,$C39,'DADOS BRUTOS'!DQ$3:DQ$500)))</f>
        <v/>
      </c>
      <c r="GR39" s="125">
        <f>IF(OR(GR$4="",$B39=""),0,SUMIF('DADOS BRUTOS'!$A$3:$A$500,$B39,'DADOS BRUTOS'!DR$3:DR$500)+IF($C39="",0,SUMIF('DADOS BRUTOS'!$A$3:$A$500,$C39,'DADOS BRUTOS'!DR$3:DR$500)))</f>
        <v/>
      </c>
      <c r="GS39" s="125">
        <f>IF(OR(GS$4="",$B39=""),0,SUMIF('DADOS BRUTOS'!$A$3:$A$500,$B39,'DADOS BRUTOS'!DS$3:DS$500)+IF($C39="",0,SUMIF('DADOS BRUTOS'!$A$3:$A$500,$C39,'DADOS BRUTOS'!DS$3:DS$500)))</f>
        <v/>
      </c>
      <c r="GT39" s="125">
        <f>IF(OR(GT$4="",$B39=""),0,SUMIF('DADOS BRUTOS'!$A$3:$A$500,$B39,'DADOS BRUTOS'!DT$3:DT$500)+IF($C39="",0,SUMIF('DADOS BRUTOS'!$A$3:$A$500,$C39,'DADOS BRUTOS'!DT$3:DT$500)))</f>
        <v/>
      </c>
      <c r="GU39" s="125">
        <f>IF(OR(GU$4="",$B39=""),0,SUMIF('DADOS BRUTOS'!$A$3:$A$500,$B39,'DADOS BRUTOS'!DU$3:DU$500)+IF($C39="",0,SUMIF('DADOS BRUTOS'!$A$3:$A$500,$C39,'DADOS BRUTOS'!DU$3:DU$500)))</f>
        <v/>
      </c>
      <c r="GV39" s="125">
        <f>IF(OR(GV$4="",$B39=""),0,SUMIF('DADOS BRUTOS'!$A$3:$A$500,$B39,'DADOS BRUTOS'!DV$3:DV$500)+IF($C39="",0,SUMIF('DADOS BRUTOS'!$A$3:$A$500,$C39,'DADOS BRUTOS'!DV$3:DV$500)))</f>
        <v/>
      </c>
      <c r="GW39" s="125">
        <f>IF(OR(GW$4="",$B39=""),0,SUMIF('DADOS BRUTOS'!$A$3:$A$500,$B39,'DADOS BRUTOS'!DW$3:DW$500)+IF($C39="",0,SUMIF('DADOS BRUTOS'!$A$3:$A$500,$C39,'DADOS BRUTOS'!DW$3:DW$500)))</f>
        <v/>
      </c>
      <c r="GX39" s="125">
        <f>IF(OR(GX$4="",$B39=""),0,SUMIF('DADOS BRUTOS'!$A$3:$A$500,$B39,'DADOS BRUTOS'!DX$3:DX$500)+IF($C39="",0,SUMIF('DADOS BRUTOS'!$A$3:$A$500,$C39,'DADOS BRUTOS'!DX$3:DX$500)))</f>
        <v/>
      </c>
      <c r="GY39" s="125">
        <f>IF(OR(GY$4="",$B39=""),0,SUMIF('DADOS BRUTOS'!$A$3:$A$500,$B39,'DADOS BRUTOS'!DY$3:DY$500)+IF($C39="",0,SUMIF('DADOS BRUTOS'!$A$3:$A$500,$C39,'DADOS BRUTOS'!DY$3:DY$500)))</f>
        <v/>
      </c>
      <c r="GZ39" s="125">
        <f>IF(OR(GZ$4="",$B39=""),0,SUMIF('DADOS BRUTOS'!$A$3:$A$500,$B39,'DADOS BRUTOS'!DZ$3:DZ$500)+IF($C39="",0,SUMIF('DADOS BRUTOS'!$A$3:$A$500,$C39,'DADOS BRUTOS'!DZ$3:DZ$500)))</f>
        <v/>
      </c>
      <c r="HA39" s="125">
        <f>IF(OR(HA$4="",$B39=""),0,SUMIF('DADOS BRUTOS'!$A$3:$A$500,$B39,'DADOS BRUTOS'!EA$3:EA$500)+IF($C39="",0,SUMIF('DADOS BRUTOS'!$A$3:$A$500,$C39,'DADOS BRUTOS'!EA$3:EA$500)))</f>
        <v/>
      </c>
      <c r="HB39" s="125">
        <f>IF(OR(HB$4="",$B39=""),0,SUMIF('DADOS BRUTOS'!$A$3:$A$500,$B39,'DADOS BRUTOS'!EB$3:EB$500)+IF($C39="",0,SUMIF('DADOS BRUTOS'!$A$3:$A$500,$C39,'DADOS BRUTOS'!EB$3:EB$500)))</f>
        <v/>
      </c>
      <c r="HC39" s="125">
        <f>IF(OR(HC$4="",$B39=""),0,SUMIF('DADOS BRUTOS'!$A$3:$A$500,$B39,'DADOS BRUTOS'!EC$3:EC$500)+IF($C39="",0,SUMIF('DADOS BRUTOS'!$A$3:$A$500,$C39,'DADOS BRUTOS'!EC$3:EC$500)))</f>
        <v/>
      </c>
      <c r="HD39" s="125">
        <f>IF(OR(HD$4="",$B39=""),0,SUMIF('DADOS BRUTOS'!$A$3:$A$500,$B39,'DADOS BRUTOS'!ED$3:ED$500)+IF($C39="",0,SUMIF('DADOS BRUTOS'!$A$3:$A$500,$C39,'DADOS BRUTOS'!ED$3:ED$500)))</f>
        <v/>
      </c>
      <c r="HE39" s="125">
        <f>IF(OR(HE$4="",$B39=""),0,SUMIF('DADOS BRUTOS'!$A$3:$A$500,$B39,'DADOS BRUTOS'!EE$3:EE$500)+IF($C39="",0,SUMIF('DADOS BRUTOS'!$A$3:$A$500,$C39,'DADOS BRUTOS'!EE$3:EE$500)))</f>
        <v/>
      </c>
      <c r="HF39" s="125">
        <f>IF(OR(HF$4="",$B39=""),0,SUMIF('DADOS BRUTOS'!$A$3:$A$500,$B39,'DADOS BRUTOS'!EF$3:EF$500)+IF($C39="",0,SUMIF('DADOS BRUTOS'!$A$3:$A$500,$C39,'DADOS BRUTOS'!EF$3:EF$500)))</f>
        <v/>
      </c>
      <c r="HG39" s="125">
        <f>IF(OR(HG$4="",$B39=""),0,SUMIF('DADOS BRUTOS'!$A$3:$A$500,$B39,'DADOS BRUTOS'!EG$3:EG$500)+IF($C39="",0,SUMIF('DADOS BRUTOS'!$A$3:$A$500,$C39,'DADOS BRUTOS'!EG$3:EG$500)))</f>
        <v/>
      </c>
      <c r="HH39" s="125">
        <f>IF(OR(HH$4="",$B39=""),0,SUMIF('DADOS BRUTOS'!$A$3:$A$500,$B39,'DADOS BRUTOS'!EH$3:EH$500)+IF($C39="",0,SUMIF('DADOS BRUTOS'!$A$3:$A$500,$C39,'DADOS BRUTOS'!EH$3:EH$500)))</f>
        <v/>
      </c>
      <c r="HI39" s="125">
        <f>IF(OR(HI$4="",$B39=""),0,SUMIF('DADOS BRUTOS'!$A$3:$A$500,$B39,'DADOS BRUTOS'!EI$3:EI$500)+IF($C39="",0,SUMIF('DADOS BRUTOS'!$A$3:$A$500,$C39,'DADOS BRUTOS'!EI$3:EI$500)))</f>
        <v/>
      </c>
      <c r="HJ39" s="125">
        <f>IF(OR(HJ$4="",$B39=""),0,SUMIF('DADOS BRUTOS'!$A$3:$A$500,$B39,'DADOS BRUTOS'!EJ$3:EJ$500)+IF($C39="",0,SUMIF('DADOS BRUTOS'!$A$3:$A$500,$C39,'DADOS BRUTOS'!EJ$3:EJ$500)))</f>
        <v/>
      </c>
      <c r="HK39" s="125">
        <f>IF(OR(HK$4="",$B39=""),0,SUMIF('DADOS BRUTOS'!$A$3:$A$500,$B39,'DADOS BRUTOS'!EK$3:EK$500)+IF($C39="",0,SUMIF('DADOS BRUTOS'!$A$3:$A$500,$C39,'DADOS BRUTOS'!EK$3:EK$500)))</f>
        <v/>
      </c>
      <c r="HL39" s="125">
        <f>IF(OR(HL$4="",$B39=""),0,SUMIF('DADOS BRUTOS'!$A$3:$A$500,$B39,'DADOS BRUTOS'!EL$3:EL$500)+IF($C39="",0,SUMIF('DADOS BRUTOS'!$A$3:$A$500,$C39,'DADOS BRUTOS'!EL$3:EL$500)))</f>
        <v/>
      </c>
      <c r="HM39" s="125">
        <f>IF(OR(HM$4="",$B39=""),0,SUMIF('DADOS BRUTOS'!$A$3:$A$500,$B39,'DADOS BRUTOS'!EM$3:EM$500)+IF($C39="",0,SUMIF('DADOS BRUTOS'!$A$3:$A$500,$C39,'DADOS BRUTOS'!EM$3:EM$500)))</f>
        <v/>
      </c>
      <c r="HN39" s="125">
        <f>IF(OR(HN$4="",$B39=""),0,SUMIF('DADOS BRUTOS'!$A$3:$A$500,$B39,'DADOS BRUTOS'!EN$3:EN$500)+IF($C39="",0,SUMIF('DADOS BRUTOS'!$A$3:$A$500,$C39,'DADOS BRUTOS'!EN$3:EN$500)))</f>
        <v/>
      </c>
      <c r="HO39" s="125">
        <f>IF(OR(HO$4="",$B39=""),0,SUMIF('DADOS BRUTOS'!$A$3:$A$500,$B39,'DADOS BRUTOS'!EO$3:EO$500)+IF($C39="",0,SUMIF('DADOS BRUTOS'!$A$3:$A$500,$C39,'DADOS BRUTOS'!EO$3:EO$500)))</f>
        <v/>
      </c>
      <c r="HP39" s="125">
        <f>IF(OR(HP$4="",$B39=""),0,SUMIF('DADOS BRUTOS'!$A$3:$A$500,$B39,'DADOS BRUTOS'!EP$3:EP$500)+IF($C39="",0,SUMIF('DADOS BRUTOS'!$A$3:$A$500,$C39,'DADOS BRUTOS'!EP$3:EP$500)))</f>
        <v/>
      </c>
      <c r="HQ39" s="125">
        <f>IF(OR(HQ$4="",$B39=""),0,SUMIF('DADOS BRUTOS'!$A$3:$A$500,$B39,'DADOS BRUTOS'!EQ$3:EQ$500)+IF($C39="",0,SUMIF('DADOS BRUTOS'!$A$3:$A$500,$C39,'DADOS BRUTOS'!EQ$3:EQ$500)))</f>
        <v/>
      </c>
      <c r="HR39" s="125">
        <f>IF(OR(HR$4="",$B39=""),0,SUMIF('DADOS BRUTOS'!$A$3:$A$500,$B39,'DADOS BRUTOS'!ER$3:ER$500)+IF($C39="",0,SUMIF('DADOS BRUTOS'!$A$3:$A$500,$C39,'DADOS BRUTOS'!ER$3:ER$500)))</f>
        <v/>
      </c>
      <c r="HS39" s="125">
        <f>IF(OR(HS$4="",$B39=""),0,SUMIF('DADOS BRUTOS'!$A$3:$A$500,$B39,'DADOS BRUTOS'!ES$3:ES$500)+IF($C39="",0,SUMIF('DADOS BRUTOS'!$A$3:$A$500,$C39,'DADOS BRUTOS'!ES$3:ES$500)))</f>
        <v/>
      </c>
      <c r="HT39" s="125">
        <f>IF(OR(HT$4="",$B39=""),0,SUMIF('DADOS BRUTOS'!$A$3:$A$500,$B39,'DADOS BRUTOS'!ET$3:ET$500)+IF($C39="",0,SUMIF('DADOS BRUTOS'!$A$3:$A$500,$C39,'DADOS BRUTOS'!ET$3:ET$500)))</f>
        <v/>
      </c>
      <c r="HU39" s="125">
        <f>IF(OR(HU$4="",$B39=""),0,SUMIF('DADOS BRUTOS'!$A$3:$A$500,$B39,'DADOS BRUTOS'!EU$3:EU$500)+IF($C39="",0,SUMIF('DADOS BRUTOS'!$A$3:$A$500,$C39,'DADOS BRUTOS'!EU$3:EU$500)))</f>
        <v/>
      </c>
      <c r="HV39" s="125">
        <f>IF(OR(HV$4="",$B39=""),0,SUMIF('DADOS BRUTOS'!$A$3:$A$500,$B39,'DADOS BRUTOS'!EV$3:EV$500)+IF($C39="",0,SUMIF('DADOS BRUTOS'!$A$3:$A$500,$C39,'DADOS BRUTOS'!EV$3:EV$500)))</f>
        <v/>
      </c>
      <c r="HW39" s="125">
        <f>IF(OR(HW$4="",$B39=""),0,SUMIF('DADOS BRUTOS'!$A$3:$A$500,$B39,'DADOS BRUTOS'!EW$3:EW$500)+IF($C39="",0,SUMIF('DADOS BRUTOS'!$A$3:$A$500,$C39,'DADOS BRUTOS'!EW$3:EW$500)))</f>
        <v/>
      </c>
      <c r="HX39" s="125">
        <f>IF(OR(HX$4="",$B39=""),0,SUMIF('DADOS BRUTOS'!$A$3:$A$500,$B39,'DADOS BRUTOS'!EX$3:EX$500)+IF($C39="",0,SUMIF('DADOS BRUTOS'!$A$3:$A$500,$C39,'DADOS BRUTOS'!EX$3:EX$500)))</f>
        <v/>
      </c>
      <c r="HY39" s="125">
        <f>IF(OR(HY$4="",$B39=""),0,SUMIF('DADOS BRUTOS'!$A$3:$A$500,$B39,'DADOS BRUTOS'!EY$3:EY$500)+IF($C39="",0,SUMIF('DADOS BRUTOS'!$A$3:$A$500,$C39,'DADOS BRUTOS'!EY$3:EY$500)))</f>
        <v/>
      </c>
      <c r="HZ39" s="125">
        <f>IF(OR(HZ$4="",$B39=""),0,SUMIF('DADOS BRUTOS'!$A$3:$A$500,$B39,'DADOS BRUTOS'!EZ$3:EZ$500)+IF($C39="",0,SUMIF('DADOS BRUTOS'!$A$3:$A$500,$C39,'DADOS BRUTOS'!EZ$3:EZ$500)))</f>
        <v/>
      </c>
      <c r="IA39" s="125">
        <f>IF(OR(IA$4="",$B39=""),0,SUMIF('DADOS BRUTOS'!$A$3:$A$500,$B39,'DADOS BRUTOS'!FA$3:FA$500)+IF($C39="",0,SUMIF('DADOS BRUTOS'!$A$3:$A$500,$C39,'DADOS BRUTOS'!FA$3:FA$500)))</f>
        <v/>
      </c>
      <c r="IB39" s="125">
        <f>IF(OR(IB$4="",$B39=""),0,SUMIF('DADOS BRUTOS'!$A$3:$A$500,$B39,'DADOS BRUTOS'!FB$3:FB$500)+IF($C39="",0,SUMIF('DADOS BRUTOS'!$A$3:$A$500,$C39,'DADOS BRUTOS'!FB$3:FB$500)))</f>
        <v/>
      </c>
      <c r="IC39" s="125">
        <f>IF(OR(IC$4="",$B39=""),0,SUMIF('DADOS BRUTOS'!$A$3:$A$500,$B39,'DADOS BRUTOS'!FC$3:FC$500)+IF($C39="",0,SUMIF('DADOS BRUTOS'!$A$3:$A$500,$C39,'DADOS BRUTOS'!FC$3:FC$500)))</f>
        <v/>
      </c>
      <c r="ID39" s="125">
        <f>IF(OR(ID$4="",$B39=""),0,SUMIF('DADOS BRUTOS'!$A$3:$A$500,$B39,'DADOS BRUTOS'!FD$3:FD$500)+IF($C39="",0,SUMIF('DADOS BRUTOS'!$A$3:$A$500,$C39,'DADOS BRUTOS'!FD$3:FD$500)))</f>
        <v/>
      </c>
      <c r="IE39" s="125">
        <f>IF(OR(IE$4="",$B39=""),0,SUMIF('DADOS BRUTOS'!$A$3:$A$500,$B39,'DADOS BRUTOS'!FE$3:FE$500)+IF($C39="",0,SUMIF('DADOS BRUTOS'!$A$3:$A$500,$C39,'DADOS BRUTOS'!FE$3:FE$500)))</f>
        <v/>
      </c>
      <c r="IF39" s="125">
        <f>IF(OR(IF$4="",$B39=""),0,SUMIF('DADOS BRUTOS'!$A$3:$A$500,$B39,'DADOS BRUTOS'!FF$3:FF$500)+IF($C39="",0,SUMIF('DADOS BRUTOS'!$A$3:$A$500,$C39,'DADOS BRUTOS'!FF$3:FF$500)))</f>
        <v/>
      </c>
      <c r="IG39" s="125">
        <f>IF(OR(IG$4="",$B39=""),0,SUMIF('DADOS BRUTOS'!$A$3:$A$500,$B39,'DADOS BRUTOS'!FG$3:FG$500)+IF($C39="",0,SUMIF('DADOS BRUTOS'!$A$3:$A$500,$C39,'DADOS BRUTOS'!FG$3:FG$500)))</f>
        <v/>
      </c>
      <c r="IH39" s="125">
        <f>IF(OR(IH$4="",$B39=""),0,SUMIF('DADOS BRUTOS'!$A$3:$A$500,$B39,'DADOS BRUTOS'!FH$3:FH$500)+IF($C39="",0,SUMIF('DADOS BRUTOS'!$A$3:$A$500,$C39,'DADOS BRUTOS'!FH$3:FH$500)))</f>
        <v/>
      </c>
      <c r="II39" s="125">
        <f>IF(OR(II$4="",$B39=""),0,SUMIF('DADOS BRUTOS'!$A$3:$A$500,$B39,'DADOS BRUTOS'!FI$3:FI$500)+IF($C39="",0,SUMIF('DADOS BRUTOS'!$A$3:$A$500,$C39,'DADOS BRUTOS'!FI$3:FI$500)))</f>
        <v/>
      </c>
      <c r="IJ39" s="125">
        <f>IF(OR(IJ$4="",$B39=""),0,SUMIF('DADOS BRUTOS'!$A$3:$A$500,$B39,'DADOS BRUTOS'!FJ$3:FJ$500)+IF($C39="",0,SUMIF('DADOS BRUTOS'!$A$3:$A$500,$C39,'DADOS BRUTOS'!FJ$3:FJ$500)))</f>
        <v/>
      </c>
      <c r="IK39" s="125">
        <f>IF(OR(IK$4="",$B39=""),0,SUMIF('DADOS BRUTOS'!$A$3:$A$500,$B39,'DADOS BRUTOS'!FK$3:FK$500)+IF($C39="",0,SUMIF('DADOS BRUTOS'!$A$3:$A$500,$C39,'DADOS BRUTOS'!FK$3:FK$500)))</f>
        <v/>
      </c>
      <c r="IL39" s="125">
        <f>IF(OR(IL$4="",$B39=""),0,SUMIF('DADOS BRUTOS'!$A$3:$A$500,$B39,'DADOS BRUTOS'!FL$3:FL$500)+IF($C39="",0,SUMIF('DADOS BRUTOS'!$A$3:$A$500,$C39,'DADOS BRUTOS'!FL$3:FL$500)))</f>
        <v/>
      </c>
      <c r="IM39" s="125">
        <f>IF(OR(IM$4="",$B39=""),0,SUMIF('DADOS BRUTOS'!$A$3:$A$500,$B39,'DADOS BRUTOS'!FM$3:FM$500)+IF($C39="",0,SUMIF('DADOS BRUTOS'!$A$3:$A$500,$C39,'DADOS BRUTOS'!FM$3:FM$500)))</f>
        <v/>
      </c>
      <c r="IN39" s="125">
        <f>IF(OR(IN$4="",$B39=""),0,SUMIF('DADOS BRUTOS'!$A$3:$A$500,$B39,'DADOS BRUTOS'!FN$3:FN$500)+IF($C39="",0,SUMIF('DADOS BRUTOS'!$A$3:$A$500,$C39,'DADOS BRUTOS'!FN$3:FN$500)))</f>
        <v/>
      </c>
      <c r="IO39" s="125">
        <f>IF(OR(IO$4="",$B39=""),0,SUMIF('DADOS BRUTOS'!$A$3:$A$500,$B39,'DADOS BRUTOS'!FO$3:FO$500)+IF($C39="",0,SUMIF('DADOS BRUTOS'!$A$3:$A$500,$C39,'DADOS BRUTOS'!FO$3:FO$500)))</f>
        <v/>
      </c>
      <c r="IP39" s="125">
        <f>IF(OR(IP$4="",$B39=""),0,SUMIF('DADOS BRUTOS'!$A$3:$A$500,$B39,'DADOS BRUTOS'!FP$3:FP$500)+IF($C39="",0,SUMIF('DADOS BRUTOS'!$A$3:$A$500,$C39,'DADOS BRUTOS'!FP$3:FP$500)))</f>
        <v/>
      </c>
      <c r="IQ39" s="125">
        <f>IF(OR(IQ$4="",$B39=""),0,SUMIF('DADOS BRUTOS'!$A$3:$A$500,$B39,'DADOS BRUTOS'!FQ$3:FQ$500)+IF($C39="",0,SUMIF('DADOS BRUTOS'!$A$3:$A$500,$C39,'DADOS BRUTOS'!FQ$3:FQ$500)))</f>
        <v/>
      </c>
      <c r="IR39" s="125">
        <f>IF(OR(IR$4="",$B39=""),0,SUMIF('DADOS BRUTOS'!$A$3:$A$500,$B39,'DADOS BRUTOS'!FR$3:FR$500)+IF($C39="",0,SUMIF('DADOS BRUTOS'!$A$3:$A$500,$C39,'DADOS BRUTOS'!FR$3:FR$500)))</f>
        <v/>
      </c>
      <c r="IS39" s="125">
        <f>IF(OR(IS$4="",$B39=""),0,SUMIF('DADOS BRUTOS'!$A$3:$A$500,$B39,'DADOS BRUTOS'!FS$3:FS$500)+IF($C39="",0,SUMIF('DADOS BRUTOS'!$A$3:$A$500,$C39,'DADOS BRUTOS'!FS$3:FS$500)))</f>
        <v/>
      </c>
      <c r="IT39" s="125">
        <f>IF(OR(IT$4="",$B39=""),0,SUMIF('DADOS BRUTOS'!$A$3:$A$500,$B39,'DADOS BRUTOS'!FT$3:FT$500)+IF($C39="",0,SUMIF('DADOS BRUTOS'!$A$3:$A$500,$C39,'DADOS BRUTOS'!FT$3:FT$500)))</f>
        <v/>
      </c>
      <c r="IU39" s="125">
        <f>IF(OR(IU$4="",$B39=""),0,SUMIF('DADOS BRUTOS'!$A$3:$A$500,$B39,'DADOS BRUTOS'!FU$3:FU$500)+IF($C39="",0,SUMIF('DADOS BRUTOS'!$A$3:$A$500,$C39,'DADOS BRUTOS'!FU$3:FU$500)))</f>
        <v/>
      </c>
      <c r="IV39" s="125">
        <f>IF(OR(IV$4="",$B39=""),0,SUMIF('DADOS BRUTOS'!$A$3:$A$500,$B39,'DADOS BRUTOS'!FV$3:FV$500)+IF($C39="",0,SUMIF('DADOS BRUTOS'!$A$3:$A$500,$C39,'DADOS BRUTOS'!FV$3:FV$500)))</f>
        <v/>
      </c>
      <c r="IW39" s="125">
        <f>IF(OR(IW$4="",$B39=""),0,SUMIF('DADOS BRUTOS'!$A$3:$A$500,$B39,'DADOS BRUTOS'!FW$3:FW$500)+IF($C39="",0,SUMIF('DADOS BRUTOS'!$A$3:$A$500,$C39,'DADOS BRUTOS'!FW$3:FW$500)))</f>
        <v/>
      </c>
      <c r="IX39" s="125">
        <f>IF(OR(IX$4="",$B39=""),0,SUMIF('DADOS BRUTOS'!$A$3:$A$500,$B39,'DADOS BRUTOS'!FX$3:FX$500)+IF($C39="",0,SUMIF('DADOS BRUTOS'!$A$3:$A$500,$C39,'DADOS BRUTOS'!FX$3:FX$500)))</f>
        <v/>
      </c>
      <c r="IY39" s="125">
        <f>IF(OR(IY$4="",$B39=""),0,SUMIF('DADOS BRUTOS'!$A$3:$A$500,$B39,'DADOS BRUTOS'!FY$3:FY$500)+IF($C39="",0,SUMIF('DADOS BRUTOS'!$A$3:$A$500,$C39,'DADOS BRUTOS'!FY$3:FY$500)))</f>
        <v/>
      </c>
      <c r="IZ39" s="125">
        <f>IF(OR(IZ$4="",$B39=""),0,SUMIF('DADOS BRUTOS'!$A$3:$A$500,$B39,'DADOS BRUTOS'!FZ$3:FZ$500)+IF($C39="",0,SUMIF('DADOS BRUTOS'!$A$3:$A$500,$C39,'DADOS BRUTOS'!FZ$3:FZ$500)))</f>
        <v/>
      </c>
      <c r="JA39" s="125">
        <f>IF(OR(JA$4="",$B39=""),0,SUMIF('DADOS BRUTOS'!$A$3:$A$500,$B39,'DADOS BRUTOS'!GA$3:GA$500)+IF($C39="",0,SUMIF('DADOS BRUTOS'!$A$3:$A$500,$C39,'DADOS BRUTOS'!GA$3:GA$500)))</f>
        <v/>
      </c>
      <c r="JB39" s="125">
        <f>IF(OR(JB$4="",$B39=""),0,SUMIF('DADOS BRUTOS'!$A$3:$A$500,$B39,'DADOS BRUTOS'!GB$3:GB$500)+IF($C39="",0,SUMIF('DADOS BRUTOS'!$A$3:$A$500,$C39,'DADOS BRUTOS'!GB$3:GB$500)))</f>
        <v/>
      </c>
      <c r="JC39" s="125">
        <f>IF(OR(JC$4="",$B39=""),0,SUMIF('DADOS BRUTOS'!$A$3:$A$500,$B39,'DADOS BRUTOS'!GC$3:GC$500)+IF($C39="",0,SUMIF('DADOS BRUTOS'!$A$3:$A$500,$C39,'DADOS BRUTOS'!GC$3:GC$500)))</f>
        <v/>
      </c>
      <c r="JD39" s="125">
        <f>IF(OR(JD$4="",$B39=""),0,SUMIF('DADOS BRUTOS'!$A$3:$A$500,$B39,'DADOS BRUTOS'!GD$3:GD$500)+IF($C39="",0,SUMIF('DADOS BRUTOS'!$A$3:$A$500,$C39,'DADOS BRUTOS'!GD$3:GD$500)))</f>
        <v/>
      </c>
      <c r="JE39" s="125">
        <f>IF(OR(JE$4="",$B39=""),0,SUMIF('DADOS BRUTOS'!$A$3:$A$500,$B39,'DADOS BRUTOS'!GE$3:GE$500)+IF($C39="",0,SUMIF('DADOS BRUTOS'!$A$3:$A$500,$C39,'DADOS BRUTOS'!GE$3:GE$500)))</f>
        <v/>
      </c>
      <c r="JF39" s="125">
        <f>IF(OR(JF$4="",$B39=""),0,SUMIF('DADOS BRUTOS'!$A$3:$A$500,$B39,'DADOS BRUTOS'!GF$3:GF$500)+IF($C39="",0,SUMIF('DADOS BRUTOS'!$A$3:$A$500,$C39,'DADOS BRUTOS'!GF$3:GF$500)))</f>
        <v/>
      </c>
      <c r="JG39" s="125">
        <f>IF(OR(JG$4="",$B39=""),0,SUMIF('DADOS BRUTOS'!$A$3:$A$500,$B39,'DADOS BRUTOS'!GG$3:GG$500)+IF($C39="",0,SUMIF('DADOS BRUTOS'!$A$3:$A$500,$C39,'DADOS BRUTOS'!GG$3:GG$500)))</f>
        <v/>
      </c>
      <c r="JH39" s="125">
        <f>IF(OR(JH$4="",$B39=""),0,SUMIF('DADOS BRUTOS'!$A$3:$A$500,$B39,'DADOS BRUTOS'!GH$3:GH$500)+IF($C39="",0,SUMIF('DADOS BRUTOS'!$A$3:$A$500,$C39,'DADOS BRUTOS'!GH$3:GH$500)))</f>
        <v/>
      </c>
      <c r="JI39" s="125">
        <f>IF(OR(JI$4="",$B39=""),0,SUMIF('DADOS BRUTOS'!$A$3:$A$500,$B39,'DADOS BRUTOS'!GI$3:GI$500)+IF($C39="",0,SUMIF('DADOS BRUTOS'!$A$3:$A$500,$C39,'DADOS BRUTOS'!GI$3:GI$500)))</f>
        <v/>
      </c>
      <c r="JJ39" s="125">
        <f>IF(OR(JJ$4="",$B39=""),0,SUMIF('DADOS BRUTOS'!$A$3:$A$500,$B39,'DADOS BRUTOS'!GJ$3:GJ$500)+IF($C39="",0,SUMIF('DADOS BRUTOS'!$A$3:$A$500,$C39,'DADOS BRUTOS'!GJ$3:GJ$500)))</f>
        <v/>
      </c>
      <c r="JK39" s="125">
        <f>IF(OR(JK$4="",$B39=""),0,SUMIF('DADOS BRUTOS'!$A$3:$A$500,$B39,'DADOS BRUTOS'!GK$3:GK$500)+IF($C39="",0,SUMIF('DADOS BRUTOS'!$A$3:$A$500,$C39,'DADOS BRUTOS'!GK$3:GK$500)))</f>
        <v/>
      </c>
      <c r="JL39" s="125">
        <f>IF(OR(JL$4="",$B39=""),0,SUMIF('DADOS BRUTOS'!$A$3:$A$500,$B39,'DADOS BRUTOS'!GL$3:GL$500)+IF($C39="",0,SUMIF('DADOS BRUTOS'!$A$3:$A$500,$C39,'DADOS BRUTOS'!GL$3:GL$500)))</f>
        <v/>
      </c>
      <c r="JM39" s="125">
        <f>IF(OR(JM$4="",$B39=""),0,SUMIF('DADOS BRUTOS'!$A$3:$A$500,$B39,'DADOS BRUTOS'!GM$3:GM$500)+IF($C39="",0,SUMIF('DADOS BRUTOS'!$A$3:$A$500,$C39,'DADOS BRUTOS'!GM$3:GM$500)))</f>
        <v/>
      </c>
      <c r="JN39" s="125">
        <f>IF(OR(JN$4="",$B39=""),0,SUMIF('DADOS BRUTOS'!$A$3:$A$500,$B39,'DADOS BRUTOS'!GN$3:GN$500)+IF($C39="",0,SUMIF('DADOS BRUTOS'!$A$3:$A$500,$C39,'DADOS BRUTOS'!GN$3:GN$500)))</f>
        <v/>
      </c>
      <c r="JO39" s="125">
        <f>IF(OR(JO$4="",$B39=""),0,SUMIF('DADOS BRUTOS'!$A$3:$A$500,$B39,'DADOS BRUTOS'!GO$3:GO$500)+IF($C39="",0,SUMIF('DADOS BRUTOS'!$A$3:$A$500,$C39,'DADOS BRUTOS'!GO$3:GO$500)))</f>
        <v/>
      </c>
      <c r="JP39" s="125">
        <f>IF(OR(JP$4="",$B39=""),0,SUMIF('DADOS BRUTOS'!$A$3:$A$500,$B39,'DADOS BRUTOS'!GP$3:GP$500)+IF($C39="",0,SUMIF('DADOS BRUTOS'!$A$3:$A$500,$C39,'DADOS BRUTOS'!GP$3:GP$500)))</f>
        <v/>
      </c>
      <c r="JQ39" s="125">
        <f>IF(OR(JQ$4="",$B39=""),0,SUMIF('DADOS BRUTOS'!$A$3:$A$500,$B39,'DADOS BRUTOS'!GQ$3:GQ$500)+IF($C39="",0,SUMIF('DADOS BRUTOS'!$A$3:$A$500,$C39,'DADOS BRUTOS'!GQ$3:GQ$500)))</f>
        <v/>
      </c>
      <c r="JR39" s="125">
        <f>IF(OR(JR$4="",$B39=""),0,SUMIF('DADOS BRUTOS'!$A$3:$A$500,$B39,'DADOS BRUTOS'!GR$3:GR$500)+IF($C39="",0,SUMIF('DADOS BRUTOS'!$A$3:$A$500,$C39,'DADOS BRUTOS'!GR$3:GR$500)))</f>
        <v/>
      </c>
      <c r="JS39" s="125">
        <f>IF(OR(JS$4="",$B39=""),0,SUMIF('DADOS BRUTOS'!$A$3:$A$500,$B39,'DADOS BRUTOS'!GS$3:GS$500)+IF($C39="",0,SUMIF('DADOS BRUTOS'!$A$3:$A$500,$C39,'DADOS BRUTOS'!GS$3:GS$500)))</f>
        <v/>
      </c>
    </row>
    <row r="40">
      <c r="A40" s="61">
        <f>'VALOR POR PL'!D46</f>
        <v/>
      </c>
      <c r="B40" s="59" t="inlineStr">
        <is>
          <t>PAISAGISMO</t>
        </is>
      </c>
      <c r="C40" s="59" t="inlineStr">
        <is>
          <t>PAVIMENTAÇÃO</t>
        </is>
      </c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BZ40" s="49">
        <f>SUMPRODUCT(($CB$4:$JS$4&lt;&gt;"")*($CB$4:$JS$4&lt;=$D$4),$CB40:$JS40,$CB$1:$JS$1)</f>
        <v/>
      </c>
      <c r="CB40" s="125">
        <f>IF(OR(CB$4="",$B40=""),0,SUMIF('DADOS BRUTOS'!$A$3:$A$500,$B40,'DADOS BRUTOS'!B$3:B$500)+IF($C40="",0,SUMIF('DADOS BRUTOS'!$A$3:$A$500,$C40,'DADOS BRUTOS'!B$3:B$500)))</f>
        <v/>
      </c>
      <c r="CC40" s="125">
        <f>IF(OR(CC$4="",$B40=""),0,SUMIF('DADOS BRUTOS'!$A$3:$A$500,$B40,'DADOS BRUTOS'!C$3:C$500)+IF($C40="",0,SUMIF('DADOS BRUTOS'!$A$3:$A$500,$C40,'DADOS BRUTOS'!C$3:C$500)))</f>
        <v/>
      </c>
      <c r="CD40" s="125">
        <f>IF(OR(CD$4="",$B40=""),0,SUMIF('DADOS BRUTOS'!$A$3:$A$500,$B40,'DADOS BRUTOS'!D$3:D$500)+IF($C40="",0,SUMIF('DADOS BRUTOS'!$A$3:$A$500,$C40,'DADOS BRUTOS'!D$3:D$500)))</f>
        <v/>
      </c>
      <c r="CE40" s="125">
        <f>IF(OR(CE$4="",$B40=""),0,SUMIF('DADOS BRUTOS'!$A$3:$A$500,$B40,'DADOS BRUTOS'!E$3:E$500)+IF($C40="",0,SUMIF('DADOS BRUTOS'!$A$3:$A$500,$C40,'DADOS BRUTOS'!E$3:E$500)))</f>
        <v/>
      </c>
      <c r="CF40" s="125">
        <f>IF(OR(CF$4="",$B40=""),0,SUMIF('DADOS BRUTOS'!$A$3:$A$500,$B40,'DADOS BRUTOS'!F$3:F$500)+IF($C40="",0,SUMIF('DADOS BRUTOS'!$A$3:$A$500,$C40,'DADOS BRUTOS'!F$3:F$500)))</f>
        <v/>
      </c>
      <c r="CG40" s="125">
        <f>IF(OR(CG$4="",$B40=""),0,SUMIF('DADOS BRUTOS'!$A$3:$A$500,$B40,'DADOS BRUTOS'!G$3:G$500)+IF($C40="",0,SUMIF('DADOS BRUTOS'!$A$3:$A$500,$C40,'DADOS BRUTOS'!G$3:G$500)))</f>
        <v/>
      </c>
      <c r="CH40" s="125">
        <f>IF(OR(CH$4="",$B40=""),0,SUMIF('DADOS BRUTOS'!$A$3:$A$500,$B40,'DADOS BRUTOS'!H$3:H$500)+IF($C40="",0,SUMIF('DADOS BRUTOS'!$A$3:$A$500,$C40,'DADOS BRUTOS'!H$3:H$500)))</f>
        <v/>
      </c>
      <c r="CI40" s="125">
        <f>IF(OR(CI$4="",$B40=""),0,SUMIF('DADOS BRUTOS'!$A$3:$A$500,$B40,'DADOS BRUTOS'!I$3:I$500)+IF($C40="",0,SUMIF('DADOS BRUTOS'!$A$3:$A$500,$C40,'DADOS BRUTOS'!I$3:I$500)))</f>
        <v/>
      </c>
      <c r="CJ40" s="125">
        <f>IF(OR(CJ$4="",$B40=""),0,SUMIF('DADOS BRUTOS'!$A$3:$A$500,$B40,'DADOS BRUTOS'!J$3:J$500)+IF($C40="",0,SUMIF('DADOS BRUTOS'!$A$3:$A$500,$C40,'DADOS BRUTOS'!J$3:J$500)))</f>
        <v/>
      </c>
      <c r="CK40" s="125">
        <f>IF(OR(CK$4="",$B40=""),0,SUMIF('DADOS BRUTOS'!$A$3:$A$500,$B40,'DADOS BRUTOS'!K$3:K$500)+IF($C40="",0,SUMIF('DADOS BRUTOS'!$A$3:$A$500,$C40,'DADOS BRUTOS'!K$3:K$500)))</f>
        <v/>
      </c>
      <c r="CL40" s="125">
        <f>IF(OR(CL$4="",$B40=""),0,SUMIF('DADOS BRUTOS'!$A$3:$A$500,$B40,'DADOS BRUTOS'!L$3:L$500)+IF($C40="",0,SUMIF('DADOS BRUTOS'!$A$3:$A$500,$C40,'DADOS BRUTOS'!L$3:L$500)))</f>
        <v/>
      </c>
      <c r="CM40" s="125">
        <f>IF(OR(CM$4="",$B40=""),0,SUMIF('DADOS BRUTOS'!$A$3:$A$500,$B40,'DADOS BRUTOS'!M$3:M$500)+IF($C40="",0,SUMIF('DADOS BRUTOS'!$A$3:$A$500,$C40,'DADOS BRUTOS'!M$3:M$500)))</f>
        <v/>
      </c>
      <c r="CN40" s="125">
        <f>IF(OR(CN$4="",$B40=""),0,SUMIF('DADOS BRUTOS'!$A$3:$A$500,$B40,'DADOS BRUTOS'!N$3:N$500)+IF($C40="",0,SUMIF('DADOS BRUTOS'!$A$3:$A$500,$C40,'DADOS BRUTOS'!N$3:N$500)))</f>
        <v/>
      </c>
      <c r="CO40" s="125">
        <f>IF(OR(CO$4="",$B40=""),0,SUMIF('DADOS BRUTOS'!$A$3:$A$500,$B40,'DADOS BRUTOS'!O$3:O$500)+IF($C40="",0,SUMIF('DADOS BRUTOS'!$A$3:$A$500,$C40,'DADOS BRUTOS'!O$3:O$500)))</f>
        <v/>
      </c>
      <c r="CP40" s="125">
        <f>IF(OR(CP$4="",$B40=""),0,SUMIF('DADOS BRUTOS'!$A$3:$A$500,$B40,'DADOS BRUTOS'!P$3:P$500)+IF($C40="",0,SUMIF('DADOS BRUTOS'!$A$3:$A$500,$C40,'DADOS BRUTOS'!P$3:P$500)))</f>
        <v/>
      </c>
      <c r="CQ40" s="125">
        <f>IF(OR(CQ$4="",$B40=""),0,SUMIF('DADOS BRUTOS'!$A$3:$A$500,$B40,'DADOS BRUTOS'!Q$3:Q$500)+IF($C40="",0,SUMIF('DADOS BRUTOS'!$A$3:$A$500,$C40,'DADOS BRUTOS'!Q$3:Q$500)))</f>
        <v/>
      </c>
      <c r="CR40" s="125">
        <f>IF(OR(CR$4="",$B40=""),0,SUMIF('DADOS BRUTOS'!$A$3:$A$500,$B40,'DADOS BRUTOS'!R$3:R$500)+IF($C40="",0,SUMIF('DADOS BRUTOS'!$A$3:$A$500,$C40,'DADOS BRUTOS'!R$3:R$500)))</f>
        <v/>
      </c>
      <c r="CS40" s="125">
        <f>IF(OR(CS$4="",$B40=""),0,SUMIF('DADOS BRUTOS'!$A$3:$A$500,$B40,'DADOS BRUTOS'!S$3:S$500)+IF($C40="",0,SUMIF('DADOS BRUTOS'!$A$3:$A$500,$C40,'DADOS BRUTOS'!S$3:S$500)))</f>
        <v/>
      </c>
      <c r="CT40" s="125">
        <f>IF(OR(CT$4="",$B40=""),0,SUMIF('DADOS BRUTOS'!$A$3:$A$500,$B40,'DADOS BRUTOS'!T$3:T$500)+IF($C40="",0,SUMIF('DADOS BRUTOS'!$A$3:$A$500,$C40,'DADOS BRUTOS'!T$3:T$500)))</f>
        <v/>
      </c>
      <c r="CU40" s="125">
        <f>IF(OR(CU$4="",$B40=""),0,SUMIF('DADOS BRUTOS'!$A$3:$A$500,$B40,'DADOS BRUTOS'!U$3:U$500)+IF($C40="",0,SUMIF('DADOS BRUTOS'!$A$3:$A$500,$C40,'DADOS BRUTOS'!U$3:U$500)))</f>
        <v/>
      </c>
      <c r="CV40" s="125">
        <f>IF(OR(CV$4="",$B40=""),0,SUMIF('DADOS BRUTOS'!$A$3:$A$500,$B40,'DADOS BRUTOS'!V$3:V$500)+IF($C40="",0,SUMIF('DADOS BRUTOS'!$A$3:$A$500,$C40,'DADOS BRUTOS'!V$3:V$500)))</f>
        <v/>
      </c>
      <c r="CW40" s="125">
        <f>IF(OR(CW$4="",$B40=""),0,SUMIF('DADOS BRUTOS'!$A$3:$A$500,$B40,'DADOS BRUTOS'!W$3:W$500)+IF($C40="",0,SUMIF('DADOS BRUTOS'!$A$3:$A$500,$C40,'DADOS BRUTOS'!W$3:W$500)))</f>
        <v/>
      </c>
      <c r="CX40" s="125">
        <f>IF(OR(CX$4="",$B40=""),0,SUMIF('DADOS BRUTOS'!$A$3:$A$500,$B40,'DADOS BRUTOS'!X$3:X$500)+IF($C40="",0,SUMIF('DADOS BRUTOS'!$A$3:$A$500,$C40,'DADOS BRUTOS'!X$3:X$500)))</f>
        <v/>
      </c>
      <c r="CY40" s="125">
        <f>IF(OR(CY$4="",$B40=""),0,SUMIF('DADOS BRUTOS'!$A$3:$A$500,$B40,'DADOS BRUTOS'!Y$3:Y$500)+IF($C40="",0,SUMIF('DADOS BRUTOS'!$A$3:$A$500,$C40,'DADOS BRUTOS'!Y$3:Y$500)))</f>
        <v/>
      </c>
      <c r="CZ40" s="125">
        <f>IF(OR(CZ$4="",$B40=""),0,SUMIF('DADOS BRUTOS'!$A$3:$A$500,$B40,'DADOS BRUTOS'!Z$3:Z$500)+IF($C40="",0,SUMIF('DADOS BRUTOS'!$A$3:$A$500,$C40,'DADOS BRUTOS'!Z$3:Z$500)))</f>
        <v/>
      </c>
      <c r="DA40" s="125">
        <f>IF(OR(DA$4="",$B40=""),0,SUMIF('DADOS BRUTOS'!$A$3:$A$500,$B40,'DADOS BRUTOS'!AA$3:AA$500)+IF($C40="",0,SUMIF('DADOS BRUTOS'!$A$3:$A$500,$C40,'DADOS BRUTOS'!AA$3:AA$500)))</f>
        <v/>
      </c>
      <c r="DB40" s="125">
        <f>IF(OR(DB$4="",$B40=""),0,SUMIF('DADOS BRUTOS'!$A$3:$A$500,$B40,'DADOS BRUTOS'!AB$3:AB$500)+IF($C40="",0,SUMIF('DADOS BRUTOS'!$A$3:$A$500,$C40,'DADOS BRUTOS'!AB$3:AB$500)))</f>
        <v/>
      </c>
      <c r="DC40" s="125">
        <f>IF(OR(DC$4="",$B40=""),0,SUMIF('DADOS BRUTOS'!$A$3:$A$500,$B40,'DADOS BRUTOS'!AC$3:AC$500)+IF($C40="",0,SUMIF('DADOS BRUTOS'!$A$3:$A$500,$C40,'DADOS BRUTOS'!AC$3:AC$500)))</f>
        <v/>
      </c>
      <c r="DD40" s="125">
        <f>IF(OR(DD$4="",$B40=""),0,SUMIF('DADOS BRUTOS'!$A$3:$A$500,$B40,'DADOS BRUTOS'!AD$3:AD$500)+IF($C40="",0,SUMIF('DADOS BRUTOS'!$A$3:$A$500,$C40,'DADOS BRUTOS'!AD$3:AD$500)))</f>
        <v/>
      </c>
      <c r="DE40" s="125">
        <f>IF(OR(DE$4="",$B40=""),0,SUMIF('DADOS BRUTOS'!$A$3:$A$500,$B40,'DADOS BRUTOS'!AE$3:AE$500)+IF($C40="",0,SUMIF('DADOS BRUTOS'!$A$3:$A$500,$C40,'DADOS BRUTOS'!AE$3:AE$500)))</f>
        <v/>
      </c>
      <c r="DF40" s="125">
        <f>IF(OR(DF$4="",$B40=""),0,SUMIF('DADOS BRUTOS'!$A$3:$A$500,$B40,'DADOS BRUTOS'!AF$3:AF$500)+IF($C40="",0,SUMIF('DADOS BRUTOS'!$A$3:$A$500,$C40,'DADOS BRUTOS'!AF$3:AF$500)))</f>
        <v/>
      </c>
      <c r="DG40" s="125">
        <f>IF(OR(DG$4="",$B40=""),0,SUMIF('DADOS BRUTOS'!$A$3:$A$500,$B40,'DADOS BRUTOS'!AG$3:AG$500)+IF($C40="",0,SUMIF('DADOS BRUTOS'!$A$3:$A$500,$C40,'DADOS BRUTOS'!AG$3:AG$500)))</f>
        <v/>
      </c>
      <c r="DH40" s="125">
        <f>IF(OR(DH$4="",$B40=""),0,SUMIF('DADOS BRUTOS'!$A$3:$A$500,$B40,'DADOS BRUTOS'!AH$3:AH$500)+IF($C40="",0,SUMIF('DADOS BRUTOS'!$A$3:$A$500,$C40,'DADOS BRUTOS'!AH$3:AH$500)))</f>
        <v/>
      </c>
      <c r="DI40" s="125">
        <f>IF(OR(DI$4="",$B40=""),0,SUMIF('DADOS BRUTOS'!$A$3:$A$500,$B40,'DADOS BRUTOS'!AI$3:AI$500)+IF($C40="",0,SUMIF('DADOS BRUTOS'!$A$3:$A$500,$C40,'DADOS BRUTOS'!AI$3:AI$500)))</f>
        <v/>
      </c>
      <c r="DJ40" s="125">
        <f>IF(OR(DJ$4="",$B40=""),0,SUMIF('DADOS BRUTOS'!$A$3:$A$500,$B40,'DADOS BRUTOS'!AJ$3:AJ$500)+IF($C40="",0,SUMIF('DADOS BRUTOS'!$A$3:$A$500,$C40,'DADOS BRUTOS'!AJ$3:AJ$500)))</f>
        <v/>
      </c>
      <c r="DK40" s="125">
        <f>IF(OR(DK$4="",$B40=""),0,SUMIF('DADOS BRUTOS'!$A$3:$A$500,$B40,'DADOS BRUTOS'!AK$3:AK$500)+IF($C40="",0,SUMIF('DADOS BRUTOS'!$A$3:$A$500,$C40,'DADOS BRUTOS'!AK$3:AK$500)))</f>
        <v/>
      </c>
      <c r="DL40" s="125">
        <f>IF(OR(DL$4="",$B40=""),0,SUMIF('DADOS BRUTOS'!$A$3:$A$500,$B40,'DADOS BRUTOS'!AL$3:AL$500)+IF($C40="",0,SUMIF('DADOS BRUTOS'!$A$3:$A$500,$C40,'DADOS BRUTOS'!AL$3:AL$500)))</f>
        <v/>
      </c>
      <c r="DM40" s="125">
        <f>IF(OR(DM$4="",$B40=""),0,SUMIF('DADOS BRUTOS'!$A$3:$A$500,$B40,'DADOS BRUTOS'!AM$3:AM$500)+IF($C40="",0,SUMIF('DADOS BRUTOS'!$A$3:$A$500,$C40,'DADOS BRUTOS'!AM$3:AM$500)))</f>
        <v/>
      </c>
      <c r="DN40" s="125">
        <f>IF(OR(DN$4="",$B40=""),0,SUMIF('DADOS BRUTOS'!$A$3:$A$500,$B40,'DADOS BRUTOS'!AN$3:AN$500)+IF($C40="",0,SUMIF('DADOS BRUTOS'!$A$3:$A$500,$C40,'DADOS BRUTOS'!AN$3:AN$500)))</f>
        <v/>
      </c>
      <c r="DO40" s="125">
        <f>IF(OR(DO$4="",$B40=""),0,SUMIF('DADOS BRUTOS'!$A$3:$A$500,$B40,'DADOS BRUTOS'!AO$3:AO$500)+IF($C40="",0,SUMIF('DADOS BRUTOS'!$A$3:$A$500,$C40,'DADOS BRUTOS'!AO$3:AO$500)))</f>
        <v/>
      </c>
      <c r="DP40" s="125">
        <f>IF(OR(DP$4="",$B40=""),0,SUMIF('DADOS BRUTOS'!$A$3:$A$500,$B40,'DADOS BRUTOS'!AP$3:AP$500)+IF($C40="",0,SUMIF('DADOS BRUTOS'!$A$3:$A$500,$C40,'DADOS BRUTOS'!AP$3:AP$500)))</f>
        <v/>
      </c>
      <c r="DQ40" s="125">
        <f>IF(OR(DQ$4="",$B40=""),0,SUMIF('DADOS BRUTOS'!$A$3:$A$500,$B40,'DADOS BRUTOS'!AQ$3:AQ$500)+IF($C40="",0,SUMIF('DADOS BRUTOS'!$A$3:$A$500,$C40,'DADOS BRUTOS'!AQ$3:AQ$500)))</f>
        <v/>
      </c>
      <c r="DR40" s="125">
        <f>IF(OR(DR$4="",$B40=""),0,SUMIF('DADOS BRUTOS'!$A$3:$A$500,$B40,'DADOS BRUTOS'!AR$3:AR$500)+IF($C40="",0,SUMIF('DADOS BRUTOS'!$A$3:$A$500,$C40,'DADOS BRUTOS'!AR$3:AR$500)))</f>
        <v/>
      </c>
      <c r="DS40" s="125">
        <f>IF(OR(DS$4="",$B40=""),0,SUMIF('DADOS BRUTOS'!$A$3:$A$500,$B40,'DADOS BRUTOS'!AS$3:AS$500)+IF($C40="",0,SUMIF('DADOS BRUTOS'!$A$3:$A$500,$C40,'DADOS BRUTOS'!AS$3:AS$500)))</f>
        <v/>
      </c>
      <c r="DT40" s="125">
        <f>IF(OR(DT$4="",$B40=""),0,SUMIF('DADOS BRUTOS'!$A$3:$A$500,$B40,'DADOS BRUTOS'!AT$3:AT$500)+IF($C40="",0,SUMIF('DADOS BRUTOS'!$A$3:$A$500,$C40,'DADOS BRUTOS'!AT$3:AT$500)))</f>
        <v/>
      </c>
      <c r="DU40" s="125">
        <f>IF(OR(DU$4="",$B40=""),0,SUMIF('DADOS BRUTOS'!$A$3:$A$500,$B40,'DADOS BRUTOS'!AU$3:AU$500)+IF($C40="",0,SUMIF('DADOS BRUTOS'!$A$3:$A$500,$C40,'DADOS BRUTOS'!AU$3:AU$500)))</f>
        <v/>
      </c>
      <c r="DV40" s="125">
        <f>IF(OR(DV$4="",$B40=""),0,SUMIF('DADOS BRUTOS'!$A$3:$A$500,$B40,'DADOS BRUTOS'!AV$3:AV$500)+IF($C40="",0,SUMIF('DADOS BRUTOS'!$A$3:$A$500,$C40,'DADOS BRUTOS'!AV$3:AV$500)))</f>
        <v/>
      </c>
      <c r="DW40" s="125">
        <f>IF(OR(DW$4="",$B40=""),0,SUMIF('DADOS BRUTOS'!$A$3:$A$500,$B40,'DADOS BRUTOS'!AW$3:AW$500)+IF($C40="",0,SUMIF('DADOS BRUTOS'!$A$3:$A$500,$C40,'DADOS BRUTOS'!AW$3:AW$500)))</f>
        <v/>
      </c>
      <c r="DX40" s="125">
        <f>IF(OR(DX$4="",$B40=""),0,SUMIF('DADOS BRUTOS'!$A$3:$A$500,$B40,'DADOS BRUTOS'!AX$3:AX$500)+IF($C40="",0,SUMIF('DADOS BRUTOS'!$A$3:$A$500,$C40,'DADOS BRUTOS'!AX$3:AX$500)))</f>
        <v/>
      </c>
      <c r="DY40" s="125">
        <f>IF(OR(DY$4="",$B40=""),0,SUMIF('DADOS BRUTOS'!$A$3:$A$500,$B40,'DADOS BRUTOS'!AY$3:AY$500)+IF($C40="",0,SUMIF('DADOS BRUTOS'!$A$3:$A$500,$C40,'DADOS BRUTOS'!AY$3:AY$500)))</f>
        <v/>
      </c>
      <c r="DZ40" s="125">
        <f>IF(OR(DZ$4="",$B40=""),0,SUMIF('DADOS BRUTOS'!$A$3:$A$500,$B40,'DADOS BRUTOS'!AZ$3:AZ$500)+IF($C40="",0,SUMIF('DADOS BRUTOS'!$A$3:$A$500,$C40,'DADOS BRUTOS'!AZ$3:AZ$500)))</f>
        <v/>
      </c>
      <c r="EA40" s="125">
        <f>IF(OR(EA$4="",$B40=""),0,SUMIF('DADOS BRUTOS'!$A$3:$A$500,$B40,'DADOS BRUTOS'!BA$3:BA$500)+IF($C40="",0,SUMIF('DADOS BRUTOS'!$A$3:$A$500,$C40,'DADOS BRUTOS'!BA$3:BA$500)))</f>
        <v/>
      </c>
      <c r="EB40" s="125">
        <f>IF(OR(EB$4="",$B40=""),0,SUMIF('DADOS BRUTOS'!$A$3:$A$500,$B40,'DADOS BRUTOS'!BB$3:BB$500)+IF($C40="",0,SUMIF('DADOS BRUTOS'!$A$3:$A$500,$C40,'DADOS BRUTOS'!BB$3:BB$500)))</f>
        <v/>
      </c>
      <c r="EC40" s="125">
        <f>IF(OR(EC$4="",$B40=""),0,SUMIF('DADOS BRUTOS'!$A$3:$A$500,$B40,'DADOS BRUTOS'!BC$3:BC$500)+IF($C40="",0,SUMIF('DADOS BRUTOS'!$A$3:$A$500,$C40,'DADOS BRUTOS'!BC$3:BC$500)))</f>
        <v/>
      </c>
      <c r="ED40" s="125">
        <f>IF(OR(ED$4="",$B40=""),0,SUMIF('DADOS BRUTOS'!$A$3:$A$500,$B40,'DADOS BRUTOS'!BD$3:BD$500)+IF($C40="",0,SUMIF('DADOS BRUTOS'!$A$3:$A$500,$C40,'DADOS BRUTOS'!BD$3:BD$500)))</f>
        <v/>
      </c>
      <c r="EE40" s="125">
        <f>IF(OR(EE$4="",$B40=""),0,SUMIF('DADOS BRUTOS'!$A$3:$A$500,$B40,'DADOS BRUTOS'!BE$3:BE$500)+IF($C40="",0,SUMIF('DADOS BRUTOS'!$A$3:$A$500,$C40,'DADOS BRUTOS'!BE$3:BE$500)))</f>
        <v/>
      </c>
      <c r="EF40" s="125">
        <f>IF(OR(EF$4="",$B40=""),0,SUMIF('DADOS BRUTOS'!$A$3:$A$500,$B40,'DADOS BRUTOS'!BF$3:BF$500)+IF($C40="",0,SUMIF('DADOS BRUTOS'!$A$3:$A$500,$C40,'DADOS BRUTOS'!BF$3:BF$500)))</f>
        <v/>
      </c>
      <c r="EG40" s="125">
        <f>IF(OR(EG$4="",$B40=""),0,SUMIF('DADOS BRUTOS'!$A$3:$A$500,$B40,'DADOS BRUTOS'!BG$3:BG$500)+IF($C40="",0,SUMIF('DADOS BRUTOS'!$A$3:$A$500,$C40,'DADOS BRUTOS'!BG$3:BG$500)))</f>
        <v/>
      </c>
      <c r="EH40" s="125">
        <f>IF(OR(EH$4="",$B40=""),0,SUMIF('DADOS BRUTOS'!$A$3:$A$500,$B40,'DADOS BRUTOS'!BH$3:BH$500)+IF($C40="",0,SUMIF('DADOS BRUTOS'!$A$3:$A$500,$C40,'DADOS BRUTOS'!BH$3:BH$500)))</f>
        <v/>
      </c>
      <c r="EI40" s="125">
        <f>IF(OR(EI$4="",$B40=""),0,SUMIF('DADOS BRUTOS'!$A$3:$A$500,$B40,'DADOS BRUTOS'!BI$3:BI$500)+IF($C40="",0,SUMIF('DADOS BRUTOS'!$A$3:$A$500,$C40,'DADOS BRUTOS'!BI$3:BI$500)))</f>
        <v/>
      </c>
      <c r="EJ40" s="125">
        <f>IF(OR(EJ$4="",$B40=""),0,SUMIF('DADOS BRUTOS'!$A$3:$A$500,$B40,'DADOS BRUTOS'!BJ$3:BJ$500)+IF($C40="",0,SUMIF('DADOS BRUTOS'!$A$3:$A$500,$C40,'DADOS BRUTOS'!BJ$3:BJ$500)))</f>
        <v/>
      </c>
      <c r="EK40" s="125">
        <f>IF(OR(EK$4="",$B40=""),0,SUMIF('DADOS BRUTOS'!$A$3:$A$500,$B40,'DADOS BRUTOS'!BK$3:BK$500)+IF($C40="",0,SUMIF('DADOS BRUTOS'!$A$3:$A$500,$C40,'DADOS BRUTOS'!BK$3:BK$500)))</f>
        <v/>
      </c>
      <c r="EL40" s="125">
        <f>IF(OR(EL$4="",$B40=""),0,SUMIF('DADOS BRUTOS'!$A$3:$A$500,$B40,'DADOS BRUTOS'!BL$3:BL$500)+IF($C40="",0,SUMIF('DADOS BRUTOS'!$A$3:$A$500,$C40,'DADOS BRUTOS'!BL$3:BL$500)))</f>
        <v/>
      </c>
      <c r="EM40" s="125">
        <f>IF(OR(EM$4="",$B40=""),0,SUMIF('DADOS BRUTOS'!$A$3:$A$500,$B40,'DADOS BRUTOS'!BM$3:BM$500)+IF($C40="",0,SUMIF('DADOS BRUTOS'!$A$3:$A$500,$C40,'DADOS BRUTOS'!BM$3:BM$500)))</f>
        <v/>
      </c>
      <c r="EN40" s="125">
        <f>IF(OR(EN$4="",$B40=""),0,SUMIF('DADOS BRUTOS'!$A$3:$A$500,$B40,'DADOS BRUTOS'!BN$3:BN$500)+IF($C40="",0,SUMIF('DADOS BRUTOS'!$A$3:$A$500,$C40,'DADOS BRUTOS'!BN$3:BN$500)))</f>
        <v/>
      </c>
      <c r="EO40" s="125">
        <f>IF(OR(EO$4="",$B40=""),0,SUMIF('DADOS BRUTOS'!$A$3:$A$500,$B40,'DADOS BRUTOS'!BO$3:BO$500)+IF($C40="",0,SUMIF('DADOS BRUTOS'!$A$3:$A$500,$C40,'DADOS BRUTOS'!BO$3:BO$500)))</f>
        <v/>
      </c>
      <c r="EP40" s="125">
        <f>IF(OR(EP$4="",$B40=""),0,SUMIF('DADOS BRUTOS'!$A$3:$A$500,$B40,'DADOS BRUTOS'!BP$3:BP$500)+IF($C40="",0,SUMIF('DADOS BRUTOS'!$A$3:$A$500,$C40,'DADOS BRUTOS'!BP$3:BP$500)))</f>
        <v/>
      </c>
      <c r="EQ40" s="125">
        <f>IF(OR(EQ$4="",$B40=""),0,SUMIF('DADOS BRUTOS'!$A$3:$A$500,$B40,'DADOS BRUTOS'!BQ$3:BQ$500)+IF($C40="",0,SUMIF('DADOS BRUTOS'!$A$3:$A$500,$C40,'DADOS BRUTOS'!BQ$3:BQ$500)))</f>
        <v/>
      </c>
      <c r="ER40" s="125">
        <f>IF(OR(ER$4="",$B40=""),0,SUMIF('DADOS BRUTOS'!$A$3:$A$500,$B40,'DADOS BRUTOS'!BR$3:BR$500)+IF($C40="",0,SUMIF('DADOS BRUTOS'!$A$3:$A$500,$C40,'DADOS BRUTOS'!BR$3:BR$500)))</f>
        <v/>
      </c>
      <c r="ES40" s="125">
        <f>IF(OR(ES$4="",$B40=""),0,SUMIF('DADOS BRUTOS'!$A$3:$A$500,$B40,'DADOS BRUTOS'!BS$3:BS$500)+IF($C40="",0,SUMIF('DADOS BRUTOS'!$A$3:$A$500,$C40,'DADOS BRUTOS'!BS$3:BS$500)))</f>
        <v/>
      </c>
      <c r="ET40" s="125">
        <f>IF(OR(ET$4="",$B40=""),0,SUMIF('DADOS BRUTOS'!$A$3:$A$500,$B40,'DADOS BRUTOS'!BT$3:BT$500)+IF($C40="",0,SUMIF('DADOS BRUTOS'!$A$3:$A$500,$C40,'DADOS BRUTOS'!BT$3:BT$500)))</f>
        <v/>
      </c>
      <c r="EU40" s="125">
        <f>IF(OR(EU$4="",$B40=""),0,SUMIF('DADOS BRUTOS'!$A$3:$A$500,$B40,'DADOS BRUTOS'!BU$3:BU$500)+IF($C40="",0,SUMIF('DADOS BRUTOS'!$A$3:$A$500,$C40,'DADOS BRUTOS'!BU$3:BU$500)))</f>
        <v/>
      </c>
      <c r="EV40" s="125">
        <f>IF(OR(EV$4="",$B40=""),0,SUMIF('DADOS BRUTOS'!$A$3:$A$500,$B40,'DADOS BRUTOS'!BV$3:BV$500)+IF($C40="",0,SUMIF('DADOS BRUTOS'!$A$3:$A$500,$C40,'DADOS BRUTOS'!BV$3:BV$500)))</f>
        <v/>
      </c>
      <c r="EW40" s="125">
        <f>IF(OR(EW$4="",$B40=""),0,SUMIF('DADOS BRUTOS'!$A$3:$A$500,$B40,'DADOS BRUTOS'!BW$3:BW$500)+IF($C40="",0,SUMIF('DADOS BRUTOS'!$A$3:$A$500,$C40,'DADOS BRUTOS'!BW$3:BW$500)))</f>
        <v/>
      </c>
      <c r="EX40" s="125">
        <f>IF(OR(EX$4="",$B40=""),0,SUMIF('DADOS BRUTOS'!$A$3:$A$500,$B40,'DADOS BRUTOS'!BX$3:BX$500)+IF($C40="",0,SUMIF('DADOS BRUTOS'!$A$3:$A$500,$C40,'DADOS BRUTOS'!BX$3:BX$500)))</f>
        <v/>
      </c>
      <c r="EY40" s="125">
        <f>IF(OR(EY$4="",$B40=""),0,SUMIF('DADOS BRUTOS'!$A$3:$A$500,$B40,'DADOS BRUTOS'!BY$3:BY$500)+IF($C40="",0,SUMIF('DADOS BRUTOS'!$A$3:$A$500,$C40,'DADOS BRUTOS'!BY$3:BY$500)))</f>
        <v/>
      </c>
      <c r="EZ40" s="125">
        <f>IF(OR(EZ$4="",$B40=""),0,SUMIF('DADOS BRUTOS'!$A$3:$A$500,$B40,'DADOS BRUTOS'!BZ$3:BZ$500)+IF($C40="",0,SUMIF('DADOS BRUTOS'!$A$3:$A$500,$C40,'DADOS BRUTOS'!BZ$3:BZ$500)))</f>
        <v/>
      </c>
      <c r="FA40" s="125">
        <f>IF(OR(FA$4="",$B40=""),0,SUMIF('DADOS BRUTOS'!$A$3:$A$500,$B40,'DADOS BRUTOS'!CA$3:CA$500)+IF($C40="",0,SUMIF('DADOS BRUTOS'!$A$3:$A$500,$C40,'DADOS BRUTOS'!CA$3:CA$500)))</f>
        <v/>
      </c>
      <c r="FB40" s="125">
        <f>IF(OR(FB$4="",$B40=""),0,SUMIF('DADOS BRUTOS'!$A$3:$A$500,$B40,'DADOS BRUTOS'!CB$3:CB$500)+IF($C40="",0,SUMIF('DADOS BRUTOS'!$A$3:$A$500,$C40,'DADOS BRUTOS'!CB$3:CB$500)))</f>
        <v/>
      </c>
      <c r="FC40" s="125">
        <f>IF(OR(FC$4="",$B40=""),0,SUMIF('DADOS BRUTOS'!$A$3:$A$500,$B40,'DADOS BRUTOS'!CC$3:CC$500)+IF($C40="",0,SUMIF('DADOS BRUTOS'!$A$3:$A$500,$C40,'DADOS BRUTOS'!CC$3:CC$500)))</f>
        <v/>
      </c>
      <c r="FD40" s="125">
        <f>IF(OR(FD$4="",$B40=""),0,SUMIF('DADOS BRUTOS'!$A$3:$A$500,$B40,'DADOS BRUTOS'!CD$3:CD$500)+IF($C40="",0,SUMIF('DADOS BRUTOS'!$A$3:$A$500,$C40,'DADOS BRUTOS'!CD$3:CD$500)))</f>
        <v/>
      </c>
      <c r="FE40" s="125">
        <f>IF(OR(FE$4="",$B40=""),0,SUMIF('DADOS BRUTOS'!$A$3:$A$500,$B40,'DADOS BRUTOS'!CE$3:CE$500)+IF($C40="",0,SUMIF('DADOS BRUTOS'!$A$3:$A$500,$C40,'DADOS BRUTOS'!CE$3:CE$500)))</f>
        <v/>
      </c>
      <c r="FF40" s="125">
        <f>IF(OR(FF$4="",$B40=""),0,SUMIF('DADOS BRUTOS'!$A$3:$A$500,$B40,'DADOS BRUTOS'!CF$3:CF$500)+IF($C40="",0,SUMIF('DADOS BRUTOS'!$A$3:$A$500,$C40,'DADOS BRUTOS'!CF$3:CF$500)))</f>
        <v/>
      </c>
      <c r="FG40" s="125">
        <f>IF(OR(FG$4="",$B40=""),0,SUMIF('DADOS BRUTOS'!$A$3:$A$500,$B40,'DADOS BRUTOS'!CG$3:CG$500)+IF($C40="",0,SUMIF('DADOS BRUTOS'!$A$3:$A$500,$C40,'DADOS BRUTOS'!CG$3:CG$500)))</f>
        <v/>
      </c>
      <c r="FH40" s="125">
        <f>IF(OR(FH$4="",$B40=""),0,SUMIF('DADOS BRUTOS'!$A$3:$A$500,$B40,'DADOS BRUTOS'!CH$3:CH$500)+IF($C40="",0,SUMIF('DADOS BRUTOS'!$A$3:$A$500,$C40,'DADOS BRUTOS'!CH$3:CH$500)))</f>
        <v/>
      </c>
      <c r="FI40" s="125">
        <f>IF(OR(FI$4="",$B40=""),0,SUMIF('DADOS BRUTOS'!$A$3:$A$500,$B40,'DADOS BRUTOS'!CI$3:CI$500)+IF($C40="",0,SUMIF('DADOS BRUTOS'!$A$3:$A$500,$C40,'DADOS BRUTOS'!CI$3:CI$500)))</f>
        <v/>
      </c>
      <c r="FJ40" s="125">
        <f>IF(OR(FJ$4="",$B40=""),0,SUMIF('DADOS BRUTOS'!$A$3:$A$500,$B40,'DADOS BRUTOS'!CJ$3:CJ$500)+IF($C40="",0,SUMIF('DADOS BRUTOS'!$A$3:$A$500,$C40,'DADOS BRUTOS'!CJ$3:CJ$500)))</f>
        <v/>
      </c>
      <c r="FK40" s="125">
        <f>IF(OR(FK$4="",$B40=""),0,SUMIF('DADOS BRUTOS'!$A$3:$A$500,$B40,'DADOS BRUTOS'!CK$3:CK$500)+IF($C40="",0,SUMIF('DADOS BRUTOS'!$A$3:$A$500,$C40,'DADOS BRUTOS'!CK$3:CK$500)))</f>
        <v/>
      </c>
      <c r="FL40" s="125">
        <f>IF(OR(FL$4="",$B40=""),0,SUMIF('DADOS BRUTOS'!$A$3:$A$500,$B40,'DADOS BRUTOS'!CL$3:CL$500)+IF($C40="",0,SUMIF('DADOS BRUTOS'!$A$3:$A$500,$C40,'DADOS BRUTOS'!CL$3:CL$500)))</f>
        <v/>
      </c>
      <c r="FM40" s="125">
        <f>IF(OR(FM$4="",$B40=""),0,SUMIF('DADOS BRUTOS'!$A$3:$A$500,$B40,'DADOS BRUTOS'!CM$3:CM$500)+IF($C40="",0,SUMIF('DADOS BRUTOS'!$A$3:$A$500,$C40,'DADOS BRUTOS'!CM$3:CM$500)))</f>
        <v/>
      </c>
      <c r="FN40" s="125">
        <f>IF(OR(FN$4="",$B40=""),0,SUMIF('DADOS BRUTOS'!$A$3:$A$500,$B40,'DADOS BRUTOS'!CN$3:CN$500)+IF($C40="",0,SUMIF('DADOS BRUTOS'!$A$3:$A$500,$C40,'DADOS BRUTOS'!CN$3:CN$500)))</f>
        <v/>
      </c>
      <c r="FO40" s="125">
        <f>IF(OR(FO$4="",$B40=""),0,SUMIF('DADOS BRUTOS'!$A$3:$A$500,$B40,'DADOS BRUTOS'!CO$3:CO$500)+IF($C40="",0,SUMIF('DADOS BRUTOS'!$A$3:$A$500,$C40,'DADOS BRUTOS'!CO$3:CO$500)))</f>
        <v/>
      </c>
      <c r="FP40" s="125">
        <f>IF(OR(FP$4="",$B40=""),0,SUMIF('DADOS BRUTOS'!$A$3:$A$500,$B40,'DADOS BRUTOS'!CP$3:CP$500)+IF($C40="",0,SUMIF('DADOS BRUTOS'!$A$3:$A$500,$C40,'DADOS BRUTOS'!CP$3:CP$500)))</f>
        <v/>
      </c>
      <c r="FQ40" s="125">
        <f>IF(OR(FQ$4="",$B40=""),0,SUMIF('DADOS BRUTOS'!$A$3:$A$500,$B40,'DADOS BRUTOS'!CQ$3:CQ$500)+IF($C40="",0,SUMIF('DADOS BRUTOS'!$A$3:$A$500,$C40,'DADOS BRUTOS'!CQ$3:CQ$500)))</f>
        <v/>
      </c>
      <c r="FR40" s="125">
        <f>IF(OR(FR$4="",$B40=""),0,SUMIF('DADOS BRUTOS'!$A$3:$A$500,$B40,'DADOS BRUTOS'!CR$3:CR$500)+IF($C40="",0,SUMIF('DADOS BRUTOS'!$A$3:$A$500,$C40,'DADOS BRUTOS'!CR$3:CR$500)))</f>
        <v/>
      </c>
      <c r="FS40" s="125">
        <f>IF(OR(FS$4="",$B40=""),0,SUMIF('DADOS BRUTOS'!$A$3:$A$500,$B40,'DADOS BRUTOS'!CS$3:CS$500)+IF($C40="",0,SUMIF('DADOS BRUTOS'!$A$3:$A$500,$C40,'DADOS BRUTOS'!CS$3:CS$500)))</f>
        <v/>
      </c>
      <c r="FT40" s="125">
        <f>IF(OR(FT$4="",$B40=""),0,SUMIF('DADOS BRUTOS'!$A$3:$A$500,$B40,'DADOS BRUTOS'!CT$3:CT$500)+IF($C40="",0,SUMIF('DADOS BRUTOS'!$A$3:$A$500,$C40,'DADOS BRUTOS'!CT$3:CT$500)))</f>
        <v/>
      </c>
      <c r="FU40" s="125">
        <f>IF(OR(FU$4="",$B40=""),0,SUMIF('DADOS BRUTOS'!$A$3:$A$500,$B40,'DADOS BRUTOS'!CU$3:CU$500)+IF($C40="",0,SUMIF('DADOS BRUTOS'!$A$3:$A$500,$C40,'DADOS BRUTOS'!CU$3:CU$500)))</f>
        <v/>
      </c>
      <c r="FV40" s="125">
        <f>IF(OR(FV$4="",$B40=""),0,SUMIF('DADOS BRUTOS'!$A$3:$A$500,$B40,'DADOS BRUTOS'!CV$3:CV$500)+IF($C40="",0,SUMIF('DADOS BRUTOS'!$A$3:$A$500,$C40,'DADOS BRUTOS'!CV$3:CV$500)))</f>
        <v/>
      </c>
      <c r="FW40" s="125">
        <f>IF(OR(FW$4="",$B40=""),0,SUMIF('DADOS BRUTOS'!$A$3:$A$500,$B40,'DADOS BRUTOS'!CW$3:CW$500)+IF($C40="",0,SUMIF('DADOS BRUTOS'!$A$3:$A$500,$C40,'DADOS BRUTOS'!CW$3:CW$500)))</f>
        <v/>
      </c>
      <c r="FX40" s="125">
        <f>IF(OR(FX$4="",$B40=""),0,SUMIF('DADOS BRUTOS'!$A$3:$A$500,$B40,'DADOS BRUTOS'!CX$3:CX$500)+IF($C40="",0,SUMIF('DADOS BRUTOS'!$A$3:$A$500,$C40,'DADOS BRUTOS'!CX$3:CX$500)))</f>
        <v/>
      </c>
      <c r="FY40" s="125">
        <f>IF(OR(FY$4="",$B40=""),0,SUMIF('DADOS BRUTOS'!$A$3:$A$500,$B40,'DADOS BRUTOS'!CY$3:CY$500)+IF($C40="",0,SUMIF('DADOS BRUTOS'!$A$3:$A$500,$C40,'DADOS BRUTOS'!CY$3:CY$500)))</f>
        <v/>
      </c>
      <c r="FZ40" s="125">
        <f>IF(OR(FZ$4="",$B40=""),0,SUMIF('DADOS BRUTOS'!$A$3:$A$500,$B40,'DADOS BRUTOS'!CZ$3:CZ$500)+IF($C40="",0,SUMIF('DADOS BRUTOS'!$A$3:$A$500,$C40,'DADOS BRUTOS'!CZ$3:CZ$500)))</f>
        <v/>
      </c>
      <c r="GA40" s="125">
        <f>IF(OR(GA$4="",$B40=""),0,SUMIF('DADOS BRUTOS'!$A$3:$A$500,$B40,'DADOS BRUTOS'!DA$3:DA$500)+IF($C40="",0,SUMIF('DADOS BRUTOS'!$A$3:$A$500,$C40,'DADOS BRUTOS'!DA$3:DA$500)))</f>
        <v/>
      </c>
      <c r="GB40" s="125">
        <f>IF(OR(GB$4="",$B40=""),0,SUMIF('DADOS BRUTOS'!$A$3:$A$500,$B40,'DADOS BRUTOS'!DB$3:DB$500)+IF($C40="",0,SUMIF('DADOS BRUTOS'!$A$3:$A$500,$C40,'DADOS BRUTOS'!DB$3:DB$500)))</f>
        <v/>
      </c>
      <c r="GC40" s="125">
        <f>IF(OR(GC$4="",$B40=""),0,SUMIF('DADOS BRUTOS'!$A$3:$A$500,$B40,'DADOS BRUTOS'!DC$3:DC$500)+IF($C40="",0,SUMIF('DADOS BRUTOS'!$A$3:$A$500,$C40,'DADOS BRUTOS'!DC$3:DC$500)))</f>
        <v/>
      </c>
      <c r="GD40" s="125">
        <f>IF(OR(GD$4="",$B40=""),0,SUMIF('DADOS BRUTOS'!$A$3:$A$500,$B40,'DADOS BRUTOS'!DD$3:DD$500)+IF($C40="",0,SUMIF('DADOS BRUTOS'!$A$3:$A$500,$C40,'DADOS BRUTOS'!DD$3:DD$500)))</f>
        <v/>
      </c>
      <c r="GE40" s="125">
        <f>IF(OR(GE$4="",$B40=""),0,SUMIF('DADOS BRUTOS'!$A$3:$A$500,$B40,'DADOS BRUTOS'!DE$3:DE$500)+IF($C40="",0,SUMIF('DADOS BRUTOS'!$A$3:$A$500,$C40,'DADOS BRUTOS'!DE$3:DE$500)))</f>
        <v/>
      </c>
      <c r="GF40" s="125">
        <f>IF(OR(GF$4="",$B40=""),0,SUMIF('DADOS BRUTOS'!$A$3:$A$500,$B40,'DADOS BRUTOS'!DF$3:DF$500)+IF($C40="",0,SUMIF('DADOS BRUTOS'!$A$3:$A$500,$C40,'DADOS BRUTOS'!DF$3:DF$500)))</f>
        <v/>
      </c>
      <c r="GG40" s="125">
        <f>IF(OR(GG$4="",$B40=""),0,SUMIF('DADOS BRUTOS'!$A$3:$A$500,$B40,'DADOS BRUTOS'!DG$3:DG$500)+IF($C40="",0,SUMIF('DADOS BRUTOS'!$A$3:$A$500,$C40,'DADOS BRUTOS'!DG$3:DG$500)))</f>
        <v/>
      </c>
      <c r="GH40" s="125">
        <f>IF(OR(GH$4="",$B40=""),0,SUMIF('DADOS BRUTOS'!$A$3:$A$500,$B40,'DADOS BRUTOS'!DH$3:DH$500)+IF($C40="",0,SUMIF('DADOS BRUTOS'!$A$3:$A$500,$C40,'DADOS BRUTOS'!DH$3:DH$500)))</f>
        <v/>
      </c>
      <c r="GI40" s="125">
        <f>IF(OR(GI$4="",$B40=""),0,SUMIF('DADOS BRUTOS'!$A$3:$A$500,$B40,'DADOS BRUTOS'!DI$3:DI$500)+IF($C40="",0,SUMIF('DADOS BRUTOS'!$A$3:$A$500,$C40,'DADOS BRUTOS'!DI$3:DI$500)))</f>
        <v/>
      </c>
      <c r="GJ40" s="125">
        <f>IF(OR(GJ$4="",$B40=""),0,SUMIF('DADOS BRUTOS'!$A$3:$A$500,$B40,'DADOS BRUTOS'!DJ$3:DJ$500)+IF($C40="",0,SUMIF('DADOS BRUTOS'!$A$3:$A$500,$C40,'DADOS BRUTOS'!DJ$3:DJ$500)))</f>
        <v/>
      </c>
      <c r="GK40" s="125">
        <f>IF(OR(GK$4="",$B40=""),0,SUMIF('DADOS BRUTOS'!$A$3:$A$500,$B40,'DADOS BRUTOS'!DK$3:DK$500)+IF($C40="",0,SUMIF('DADOS BRUTOS'!$A$3:$A$500,$C40,'DADOS BRUTOS'!DK$3:DK$500)))</f>
        <v/>
      </c>
      <c r="GL40" s="125">
        <f>IF(OR(GL$4="",$B40=""),0,SUMIF('DADOS BRUTOS'!$A$3:$A$500,$B40,'DADOS BRUTOS'!DL$3:DL$500)+IF($C40="",0,SUMIF('DADOS BRUTOS'!$A$3:$A$500,$C40,'DADOS BRUTOS'!DL$3:DL$500)))</f>
        <v/>
      </c>
      <c r="GM40" s="125">
        <f>IF(OR(GM$4="",$B40=""),0,SUMIF('DADOS BRUTOS'!$A$3:$A$500,$B40,'DADOS BRUTOS'!DM$3:DM$500)+IF($C40="",0,SUMIF('DADOS BRUTOS'!$A$3:$A$500,$C40,'DADOS BRUTOS'!DM$3:DM$500)))</f>
        <v/>
      </c>
      <c r="GN40" s="125">
        <f>IF(OR(GN$4="",$B40=""),0,SUMIF('DADOS BRUTOS'!$A$3:$A$500,$B40,'DADOS BRUTOS'!DN$3:DN$500)+IF($C40="",0,SUMIF('DADOS BRUTOS'!$A$3:$A$500,$C40,'DADOS BRUTOS'!DN$3:DN$500)))</f>
        <v/>
      </c>
      <c r="GO40" s="125">
        <f>IF(OR(GO$4="",$B40=""),0,SUMIF('DADOS BRUTOS'!$A$3:$A$500,$B40,'DADOS BRUTOS'!DO$3:DO$500)+IF($C40="",0,SUMIF('DADOS BRUTOS'!$A$3:$A$500,$C40,'DADOS BRUTOS'!DO$3:DO$500)))</f>
        <v/>
      </c>
      <c r="GP40" s="125">
        <f>IF(OR(GP$4="",$B40=""),0,SUMIF('DADOS BRUTOS'!$A$3:$A$500,$B40,'DADOS BRUTOS'!DP$3:DP$500)+IF($C40="",0,SUMIF('DADOS BRUTOS'!$A$3:$A$500,$C40,'DADOS BRUTOS'!DP$3:DP$500)))</f>
        <v/>
      </c>
      <c r="GQ40" s="125">
        <f>IF(OR(GQ$4="",$B40=""),0,SUMIF('DADOS BRUTOS'!$A$3:$A$500,$B40,'DADOS BRUTOS'!DQ$3:DQ$500)+IF($C40="",0,SUMIF('DADOS BRUTOS'!$A$3:$A$500,$C40,'DADOS BRUTOS'!DQ$3:DQ$500)))</f>
        <v/>
      </c>
      <c r="GR40" s="125">
        <f>IF(OR(GR$4="",$B40=""),0,SUMIF('DADOS BRUTOS'!$A$3:$A$500,$B40,'DADOS BRUTOS'!DR$3:DR$500)+IF($C40="",0,SUMIF('DADOS BRUTOS'!$A$3:$A$500,$C40,'DADOS BRUTOS'!DR$3:DR$500)))</f>
        <v/>
      </c>
      <c r="GS40" s="125">
        <f>IF(OR(GS$4="",$B40=""),0,SUMIF('DADOS BRUTOS'!$A$3:$A$500,$B40,'DADOS BRUTOS'!DS$3:DS$500)+IF($C40="",0,SUMIF('DADOS BRUTOS'!$A$3:$A$500,$C40,'DADOS BRUTOS'!DS$3:DS$500)))</f>
        <v/>
      </c>
      <c r="GT40" s="125">
        <f>IF(OR(GT$4="",$B40=""),0,SUMIF('DADOS BRUTOS'!$A$3:$A$500,$B40,'DADOS BRUTOS'!DT$3:DT$500)+IF($C40="",0,SUMIF('DADOS BRUTOS'!$A$3:$A$500,$C40,'DADOS BRUTOS'!DT$3:DT$500)))</f>
        <v/>
      </c>
      <c r="GU40" s="125">
        <f>IF(OR(GU$4="",$B40=""),0,SUMIF('DADOS BRUTOS'!$A$3:$A$500,$B40,'DADOS BRUTOS'!DU$3:DU$500)+IF($C40="",0,SUMIF('DADOS BRUTOS'!$A$3:$A$500,$C40,'DADOS BRUTOS'!DU$3:DU$500)))</f>
        <v/>
      </c>
      <c r="GV40" s="125">
        <f>IF(OR(GV$4="",$B40=""),0,SUMIF('DADOS BRUTOS'!$A$3:$A$500,$B40,'DADOS BRUTOS'!DV$3:DV$500)+IF($C40="",0,SUMIF('DADOS BRUTOS'!$A$3:$A$500,$C40,'DADOS BRUTOS'!DV$3:DV$500)))</f>
        <v/>
      </c>
      <c r="GW40" s="125">
        <f>IF(OR(GW$4="",$B40=""),0,SUMIF('DADOS BRUTOS'!$A$3:$A$500,$B40,'DADOS BRUTOS'!DW$3:DW$500)+IF($C40="",0,SUMIF('DADOS BRUTOS'!$A$3:$A$500,$C40,'DADOS BRUTOS'!DW$3:DW$500)))</f>
        <v/>
      </c>
      <c r="GX40" s="125">
        <f>IF(OR(GX$4="",$B40=""),0,SUMIF('DADOS BRUTOS'!$A$3:$A$500,$B40,'DADOS BRUTOS'!DX$3:DX$500)+IF($C40="",0,SUMIF('DADOS BRUTOS'!$A$3:$A$500,$C40,'DADOS BRUTOS'!DX$3:DX$500)))</f>
        <v/>
      </c>
      <c r="GY40" s="125">
        <f>IF(OR(GY$4="",$B40=""),0,SUMIF('DADOS BRUTOS'!$A$3:$A$500,$B40,'DADOS BRUTOS'!DY$3:DY$500)+IF($C40="",0,SUMIF('DADOS BRUTOS'!$A$3:$A$500,$C40,'DADOS BRUTOS'!DY$3:DY$500)))</f>
        <v/>
      </c>
      <c r="GZ40" s="125">
        <f>IF(OR(GZ$4="",$B40=""),0,SUMIF('DADOS BRUTOS'!$A$3:$A$500,$B40,'DADOS BRUTOS'!DZ$3:DZ$500)+IF($C40="",0,SUMIF('DADOS BRUTOS'!$A$3:$A$500,$C40,'DADOS BRUTOS'!DZ$3:DZ$500)))</f>
        <v/>
      </c>
      <c r="HA40" s="125">
        <f>IF(OR(HA$4="",$B40=""),0,SUMIF('DADOS BRUTOS'!$A$3:$A$500,$B40,'DADOS BRUTOS'!EA$3:EA$500)+IF($C40="",0,SUMIF('DADOS BRUTOS'!$A$3:$A$500,$C40,'DADOS BRUTOS'!EA$3:EA$500)))</f>
        <v/>
      </c>
      <c r="HB40" s="125">
        <f>IF(OR(HB$4="",$B40=""),0,SUMIF('DADOS BRUTOS'!$A$3:$A$500,$B40,'DADOS BRUTOS'!EB$3:EB$500)+IF($C40="",0,SUMIF('DADOS BRUTOS'!$A$3:$A$500,$C40,'DADOS BRUTOS'!EB$3:EB$500)))</f>
        <v/>
      </c>
      <c r="HC40" s="125">
        <f>IF(OR(HC$4="",$B40=""),0,SUMIF('DADOS BRUTOS'!$A$3:$A$500,$B40,'DADOS BRUTOS'!EC$3:EC$500)+IF($C40="",0,SUMIF('DADOS BRUTOS'!$A$3:$A$500,$C40,'DADOS BRUTOS'!EC$3:EC$500)))</f>
        <v/>
      </c>
      <c r="HD40" s="125">
        <f>IF(OR(HD$4="",$B40=""),0,SUMIF('DADOS BRUTOS'!$A$3:$A$500,$B40,'DADOS BRUTOS'!ED$3:ED$500)+IF($C40="",0,SUMIF('DADOS BRUTOS'!$A$3:$A$500,$C40,'DADOS BRUTOS'!ED$3:ED$500)))</f>
        <v/>
      </c>
      <c r="HE40" s="125">
        <f>IF(OR(HE$4="",$B40=""),0,SUMIF('DADOS BRUTOS'!$A$3:$A$500,$B40,'DADOS BRUTOS'!EE$3:EE$500)+IF($C40="",0,SUMIF('DADOS BRUTOS'!$A$3:$A$500,$C40,'DADOS BRUTOS'!EE$3:EE$500)))</f>
        <v/>
      </c>
      <c r="HF40" s="125">
        <f>IF(OR(HF$4="",$B40=""),0,SUMIF('DADOS BRUTOS'!$A$3:$A$500,$B40,'DADOS BRUTOS'!EF$3:EF$500)+IF($C40="",0,SUMIF('DADOS BRUTOS'!$A$3:$A$500,$C40,'DADOS BRUTOS'!EF$3:EF$500)))</f>
        <v/>
      </c>
      <c r="HG40" s="125">
        <f>IF(OR(HG$4="",$B40=""),0,SUMIF('DADOS BRUTOS'!$A$3:$A$500,$B40,'DADOS BRUTOS'!EG$3:EG$500)+IF($C40="",0,SUMIF('DADOS BRUTOS'!$A$3:$A$500,$C40,'DADOS BRUTOS'!EG$3:EG$500)))</f>
        <v/>
      </c>
      <c r="HH40" s="125">
        <f>IF(OR(HH$4="",$B40=""),0,SUMIF('DADOS BRUTOS'!$A$3:$A$500,$B40,'DADOS BRUTOS'!EH$3:EH$500)+IF($C40="",0,SUMIF('DADOS BRUTOS'!$A$3:$A$500,$C40,'DADOS BRUTOS'!EH$3:EH$500)))</f>
        <v/>
      </c>
      <c r="HI40" s="125">
        <f>IF(OR(HI$4="",$B40=""),0,SUMIF('DADOS BRUTOS'!$A$3:$A$500,$B40,'DADOS BRUTOS'!EI$3:EI$500)+IF($C40="",0,SUMIF('DADOS BRUTOS'!$A$3:$A$500,$C40,'DADOS BRUTOS'!EI$3:EI$500)))</f>
        <v/>
      </c>
      <c r="HJ40" s="125">
        <f>IF(OR(HJ$4="",$B40=""),0,SUMIF('DADOS BRUTOS'!$A$3:$A$500,$B40,'DADOS BRUTOS'!EJ$3:EJ$500)+IF($C40="",0,SUMIF('DADOS BRUTOS'!$A$3:$A$500,$C40,'DADOS BRUTOS'!EJ$3:EJ$500)))</f>
        <v/>
      </c>
      <c r="HK40" s="125">
        <f>IF(OR(HK$4="",$B40=""),0,SUMIF('DADOS BRUTOS'!$A$3:$A$500,$B40,'DADOS BRUTOS'!EK$3:EK$500)+IF($C40="",0,SUMIF('DADOS BRUTOS'!$A$3:$A$500,$C40,'DADOS BRUTOS'!EK$3:EK$500)))</f>
        <v/>
      </c>
      <c r="HL40" s="125">
        <f>IF(OR(HL$4="",$B40=""),0,SUMIF('DADOS BRUTOS'!$A$3:$A$500,$B40,'DADOS BRUTOS'!EL$3:EL$500)+IF($C40="",0,SUMIF('DADOS BRUTOS'!$A$3:$A$500,$C40,'DADOS BRUTOS'!EL$3:EL$500)))</f>
        <v/>
      </c>
      <c r="HM40" s="125">
        <f>IF(OR(HM$4="",$B40=""),0,SUMIF('DADOS BRUTOS'!$A$3:$A$500,$B40,'DADOS BRUTOS'!EM$3:EM$500)+IF($C40="",0,SUMIF('DADOS BRUTOS'!$A$3:$A$500,$C40,'DADOS BRUTOS'!EM$3:EM$500)))</f>
        <v/>
      </c>
      <c r="HN40" s="125">
        <f>IF(OR(HN$4="",$B40=""),0,SUMIF('DADOS BRUTOS'!$A$3:$A$500,$B40,'DADOS BRUTOS'!EN$3:EN$500)+IF($C40="",0,SUMIF('DADOS BRUTOS'!$A$3:$A$500,$C40,'DADOS BRUTOS'!EN$3:EN$500)))</f>
        <v/>
      </c>
      <c r="HO40" s="125">
        <f>IF(OR(HO$4="",$B40=""),0,SUMIF('DADOS BRUTOS'!$A$3:$A$500,$B40,'DADOS BRUTOS'!EO$3:EO$500)+IF($C40="",0,SUMIF('DADOS BRUTOS'!$A$3:$A$500,$C40,'DADOS BRUTOS'!EO$3:EO$500)))</f>
        <v/>
      </c>
      <c r="HP40" s="125">
        <f>IF(OR(HP$4="",$B40=""),0,SUMIF('DADOS BRUTOS'!$A$3:$A$500,$B40,'DADOS BRUTOS'!EP$3:EP$500)+IF($C40="",0,SUMIF('DADOS BRUTOS'!$A$3:$A$500,$C40,'DADOS BRUTOS'!EP$3:EP$500)))</f>
        <v/>
      </c>
      <c r="HQ40" s="125">
        <f>IF(OR(HQ$4="",$B40=""),0,SUMIF('DADOS BRUTOS'!$A$3:$A$500,$B40,'DADOS BRUTOS'!EQ$3:EQ$500)+IF($C40="",0,SUMIF('DADOS BRUTOS'!$A$3:$A$500,$C40,'DADOS BRUTOS'!EQ$3:EQ$500)))</f>
        <v/>
      </c>
      <c r="HR40" s="125">
        <f>IF(OR(HR$4="",$B40=""),0,SUMIF('DADOS BRUTOS'!$A$3:$A$500,$B40,'DADOS BRUTOS'!ER$3:ER$500)+IF($C40="",0,SUMIF('DADOS BRUTOS'!$A$3:$A$500,$C40,'DADOS BRUTOS'!ER$3:ER$500)))</f>
        <v/>
      </c>
      <c r="HS40" s="125">
        <f>IF(OR(HS$4="",$B40=""),0,SUMIF('DADOS BRUTOS'!$A$3:$A$500,$B40,'DADOS BRUTOS'!ES$3:ES$500)+IF($C40="",0,SUMIF('DADOS BRUTOS'!$A$3:$A$500,$C40,'DADOS BRUTOS'!ES$3:ES$500)))</f>
        <v/>
      </c>
      <c r="HT40" s="125">
        <f>IF(OR(HT$4="",$B40=""),0,SUMIF('DADOS BRUTOS'!$A$3:$A$500,$B40,'DADOS BRUTOS'!ET$3:ET$500)+IF($C40="",0,SUMIF('DADOS BRUTOS'!$A$3:$A$500,$C40,'DADOS BRUTOS'!ET$3:ET$500)))</f>
        <v/>
      </c>
      <c r="HU40" s="125">
        <f>IF(OR(HU$4="",$B40=""),0,SUMIF('DADOS BRUTOS'!$A$3:$A$500,$B40,'DADOS BRUTOS'!EU$3:EU$500)+IF($C40="",0,SUMIF('DADOS BRUTOS'!$A$3:$A$500,$C40,'DADOS BRUTOS'!EU$3:EU$500)))</f>
        <v/>
      </c>
      <c r="HV40" s="125">
        <f>IF(OR(HV$4="",$B40=""),0,SUMIF('DADOS BRUTOS'!$A$3:$A$500,$B40,'DADOS BRUTOS'!EV$3:EV$500)+IF($C40="",0,SUMIF('DADOS BRUTOS'!$A$3:$A$500,$C40,'DADOS BRUTOS'!EV$3:EV$500)))</f>
        <v/>
      </c>
      <c r="HW40" s="125">
        <f>IF(OR(HW$4="",$B40=""),0,SUMIF('DADOS BRUTOS'!$A$3:$A$500,$B40,'DADOS BRUTOS'!EW$3:EW$500)+IF($C40="",0,SUMIF('DADOS BRUTOS'!$A$3:$A$500,$C40,'DADOS BRUTOS'!EW$3:EW$500)))</f>
        <v/>
      </c>
      <c r="HX40" s="125">
        <f>IF(OR(HX$4="",$B40=""),0,SUMIF('DADOS BRUTOS'!$A$3:$A$500,$B40,'DADOS BRUTOS'!EX$3:EX$500)+IF($C40="",0,SUMIF('DADOS BRUTOS'!$A$3:$A$500,$C40,'DADOS BRUTOS'!EX$3:EX$500)))</f>
        <v/>
      </c>
      <c r="HY40" s="125">
        <f>IF(OR(HY$4="",$B40=""),0,SUMIF('DADOS BRUTOS'!$A$3:$A$500,$B40,'DADOS BRUTOS'!EY$3:EY$500)+IF($C40="",0,SUMIF('DADOS BRUTOS'!$A$3:$A$500,$C40,'DADOS BRUTOS'!EY$3:EY$500)))</f>
        <v/>
      </c>
      <c r="HZ40" s="125">
        <f>IF(OR(HZ$4="",$B40=""),0,SUMIF('DADOS BRUTOS'!$A$3:$A$500,$B40,'DADOS BRUTOS'!EZ$3:EZ$500)+IF($C40="",0,SUMIF('DADOS BRUTOS'!$A$3:$A$500,$C40,'DADOS BRUTOS'!EZ$3:EZ$500)))</f>
        <v/>
      </c>
      <c r="IA40" s="125">
        <f>IF(OR(IA$4="",$B40=""),0,SUMIF('DADOS BRUTOS'!$A$3:$A$500,$B40,'DADOS BRUTOS'!FA$3:FA$500)+IF($C40="",0,SUMIF('DADOS BRUTOS'!$A$3:$A$500,$C40,'DADOS BRUTOS'!FA$3:FA$500)))</f>
        <v/>
      </c>
      <c r="IB40" s="125">
        <f>IF(OR(IB$4="",$B40=""),0,SUMIF('DADOS BRUTOS'!$A$3:$A$500,$B40,'DADOS BRUTOS'!FB$3:FB$500)+IF($C40="",0,SUMIF('DADOS BRUTOS'!$A$3:$A$500,$C40,'DADOS BRUTOS'!FB$3:FB$500)))</f>
        <v/>
      </c>
      <c r="IC40" s="125">
        <f>IF(OR(IC$4="",$B40=""),0,SUMIF('DADOS BRUTOS'!$A$3:$A$500,$B40,'DADOS BRUTOS'!FC$3:FC$500)+IF($C40="",0,SUMIF('DADOS BRUTOS'!$A$3:$A$500,$C40,'DADOS BRUTOS'!FC$3:FC$500)))</f>
        <v/>
      </c>
      <c r="ID40" s="125">
        <f>IF(OR(ID$4="",$B40=""),0,SUMIF('DADOS BRUTOS'!$A$3:$A$500,$B40,'DADOS BRUTOS'!FD$3:FD$500)+IF($C40="",0,SUMIF('DADOS BRUTOS'!$A$3:$A$500,$C40,'DADOS BRUTOS'!FD$3:FD$500)))</f>
        <v/>
      </c>
      <c r="IE40" s="125">
        <f>IF(OR(IE$4="",$B40=""),0,SUMIF('DADOS BRUTOS'!$A$3:$A$500,$B40,'DADOS BRUTOS'!FE$3:FE$500)+IF($C40="",0,SUMIF('DADOS BRUTOS'!$A$3:$A$500,$C40,'DADOS BRUTOS'!FE$3:FE$500)))</f>
        <v/>
      </c>
      <c r="IF40" s="125">
        <f>IF(OR(IF$4="",$B40=""),0,SUMIF('DADOS BRUTOS'!$A$3:$A$500,$B40,'DADOS BRUTOS'!FF$3:FF$500)+IF($C40="",0,SUMIF('DADOS BRUTOS'!$A$3:$A$500,$C40,'DADOS BRUTOS'!FF$3:FF$500)))</f>
        <v/>
      </c>
      <c r="IG40" s="125">
        <f>IF(OR(IG$4="",$B40=""),0,SUMIF('DADOS BRUTOS'!$A$3:$A$500,$B40,'DADOS BRUTOS'!FG$3:FG$500)+IF($C40="",0,SUMIF('DADOS BRUTOS'!$A$3:$A$500,$C40,'DADOS BRUTOS'!FG$3:FG$500)))</f>
        <v/>
      </c>
      <c r="IH40" s="125">
        <f>IF(OR(IH$4="",$B40=""),0,SUMIF('DADOS BRUTOS'!$A$3:$A$500,$B40,'DADOS BRUTOS'!FH$3:FH$500)+IF($C40="",0,SUMIF('DADOS BRUTOS'!$A$3:$A$500,$C40,'DADOS BRUTOS'!FH$3:FH$500)))</f>
        <v/>
      </c>
      <c r="II40" s="125">
        <f>IF(OR(II$4="",$B40=""),0,SUMIF('DADOS BRUTOS'!$A$3:$A$500,$B40,'DADOS BRUTOS'!FI$3:FI$500)+IF($C40="",0,SUMIF('DADOS BRUTOS'!$A$3:$A$500,$C40,'DADOS BRUTOS'!FI$3:FI$500)))</f>
        <v/>
      </c>
      <c r="IJ40" s="125">
        <f>IF(OR(IJ$4="",$B40=""),0,SUMIF('DADOS BRUTOS'!$A$3:$A$500,$B40,'DADOS BRUTOS'!FJ$3:FJ$500)+IF($C40="",0,SUMIF('DADOS BRUTOS'!$A$3:$A$500,$C40,'DADOS BRUTOS'!FJ$3:FJ$500)))</f>
        <v/>
      </c>
      <c r="IK40" s="125">
        <f>IF(OR(IK$4="",$B40=""),0,SUMIF('DADOS BRUTOS'!$A$3:$A$500,$B40,'DADOS BRUTOS'!FK$3:FK$500)+IF($C40="",0,SUMIF('DADOS BRUTOS'!$A$3:$A$500,$C40,'DADOS BRUTOS'!FK$3:FK$500)))</f>
        <v/>
      </c>
      <c r="IL40" s="125">
        <f>IF(OR(IL$4="",$B40=""),0,SUMIF('DADOS BRUTOS'!$A$3:$A$500,$B40,'DADOS BRUTOS'!FL$3:FL$500)+IF($C40="",0,SUMIF('DADOS BRUTOS'!$A$3:$A$500,$C40,'DADOS BRUTOS'!FL$3:FL$500)))</f>
        <v/>
      </c>
      <c r="IM40" s="125">
        <f>IF(OR(IM$4="",$B40=""),0,SUMIF('DADOS BRUTOS'!$A$3:$A$500,$B40,'DADOS BRUTOS'!FM$3:FM$500)+IF($C40="",0,SUMIF('DADOS BRUTOS'!$A$3:$A$500,$C40,'DADOS BRUTOS'!FM$3:FM$500)))</f>
        <v/>
      </c>
      <c r="IN40" s="125">
        <f>IF(OR(IN$4="",$B40=""),0,SUMIF('DADOS BRUTOS'!$A$3:$A$500,$B40,'DADOS BRUTOS'!FN$3:FN$500)+IF($C40="",0,SUMIF('DADOS BRUTOS'!$A$3:$A$500,$C40,'DADOS BRUTOS'!FN$3:FN$500)))</f>
        <v/>
      </c>
      <c r="IO40" s="125">
        <f>IF(OR(IO$4="",$B40=""),0,SUMIF('DADOS BRUTOS'!$A$3:$A$500,$B40,'DADOS BRUTOS'!FO$3:FO$500)+IF($C40="",0,SUMIF('DADOS BRUTOS'!$A$3:$A$500,$C40,'DADOS BRUTOS'!FO$3:FO$500)))</f>
        <v/>
      </c>
      <c r="IP40" s="125">
        <f>IF(OR(IP$4="",$B40=""),0,SUMIF('DADOS BRUTOS'!$A$3:$A$500,$B40,'DADOS BRUTOS'!FP$3:FP$500)+IF($C40="",0,SUMIF('DADOS BRUTOS'!$A$3:$A$500,$C40,'DADOS BRUTOS'!FP$3:FP$500)))</f>
        <v/>
      </c>
      <c r="IQ40" s="125">
        <f>IF(OR(IQ$4="",$B40=""),0,SUMIF('DADOS BRUTOS'!$A$3:$A$500,$B40,'DADOS BRUTOS'!FQ$3:FQ$500)+IF($C40="",0,SUMIF('DADOS BRUTOS'!$A$3:$A$500,$C40,'DADOS BRUTOS'!FQ$3:FQ$500)))</f>
        <v/>
      </c>
      <c r="IR40" s="125">
        <f>IF(OR(IR$4="",$B40=""),0,SUMIF('DADOS BRUTOS'!$A$3:$A$500,$B40,'DADOS BRUTOS'!FR$3:FR$500)+IF($C40="",0,SUMIF('DADOS BRUTOS'!$A$3:$A$500,$C40,'DADOS BRUTOS'!FR$3:FR$500)))</f>
        <v/>
      </c>
      <c r="IS40" s="125">
        <f>IF(OR(IS$4="",$B40=""),0,SUMIF('DADOS BRUTOS'!$A$3:$A$500,$B40,'DADOS BRUTOS'!FS$3:FS$500)+IF($C40="",0,SUMIF('DADOS BRUTOS'!$A$3:$A$500,$C40,'DADOS BRUTOS'!FS$3:FS$500)))</f>
        <v/>
      </c>
      <c r="IT40" s="125">
        <f>IF(OR(IT$4="",$B40=""),0,SUMIF('DADOS BRUTOS'!$A$3:$A$500,$B40,'DADOS BRUTOS'!FT$3:FT$500)+IF($C40="",0,SUMIF('DADOS BRUTOS'!$A$3:$A$500,$C40,'DADOS BRUTOS'!FT$3:FT$500)))</f>
        <v/>
      </c>
      <c r="IU40" s="125">
        <f>IF(OR(IU$4="",$B40=""),0,SUMIF('DADOS BRUTOS'!$A$3:$A$500,$B40,'DADOS BRUTOS'!FU$3:FU$500)+IF($C40="",0,SUMIF('DADOS BRUTOS'!$A$3:$A$500,$C40,'DADOS BRUTOS'!FU$3:FU$500)))</f>
        <v/>
      </c>
      <c r="IV40" s="125">
        <f>IF(OR(IV$4="",$B40=""),0,SUMIF('DADOS BRUTOS'!$A$3:$A$500,$B40,'DADOS BRUTOS'!FV$3:FV$500)+IF($C40="",0,SUMIF('DADOS BRUTOS'!$A$3:$A$500,$C40,'DADOS BRUTOS'!FV$3:FV$500)))</f>
        <v/>
      </c>
      <c r="IW40" s="125">
        <f>IF(OR(IW$4="",$B40=""),0,SUMIF('DADOS BRUTOS'!$A$3:$A$500,$B40,'DADOS BRUTOS'!FW$3:FW$500)+IF($C40="",0,SUMIF('DADOS BRUTOS'!$A$3:$A$500,$C40,'DADOS BRUTOS'!FW$3:FW$500)))</f>
        <v/>
      </c>
      <c r="IX40" s="125">
        <f>IF(OR(IX$4="",$B40=""),0,SUMIF('DADOS BRUTOS'!$A$3:$A$500,$B40,'DADOS BRUTOS'!FX$3:FX$500)+IF($C40="",0,SUMIF('DADOS BRUTOS'!$A$3:$A$500,$C40,'DADOS BRUTOS'!FX$3:FX$500)))</f>
        <v/>
      </c>
      <c r="IY40" s="125">
        <f>IF(OR(IY$4="",$B40=""),0,SUMIF('DADOS BRUTOS'!$A$3:$A$500,$B40,'DADOS BRUTOS'!FY$3:FY$500)+IF($C40="",0,SUMIF('DADOS BRUTOS'!$A$3:$A$500,$C40,'DADOS BRUTOS'!FY$3:FY$500)))</f>
        <v/>
      </c>
      <c r="IZ40" s="125">
        <f>IF(OR(IZ$4="",$B40=""),0,SUMIF('DADOS BRUTOS'!$A$3:$A$500,$B40,'DADOS BRUTOS'!FZ$3:FZ$500)+IF($C40="",0,SUMIF('DADOS BRUTOS'!$A$3:$A$500,$C40,'DADOS BRUTOS'!FZ$3:FZ$500)))</f>
        <v/>
      </c>
      <c r="JA40" s="125">
        <f>IF(OR(JA$4="",$B40=""),0,SUMIF('DADOS BRUTOS'!$A$3:$A$500,$B40,'DADOS BRUTOS'!GA$3:GA$500)+IF($C40="",0,SUMIF('DADOS BRUTOS'!$A$3:$A$500,$C40,'DADOS BRUTOS'!GA$3:GA$500)))</f>
        <v/>
      </c>
      <c r="JB40" s="125">
        <f>IF(OR(JB$4="",$B40=""),0,SUMIF('DADOS BRUTOS'!$A$3:$A$500,$B40,'DADOS BRUTOS'!GB$3:GB$500)+IF($C40="",0,SUMIF('DADOS BRUTOS'!$A$3:$A$500,$C40,'DADOS BRUTOS'!GB$3:GB$500)))</f>
        <v/>
      </c>
      <c r="JC40" s="125">
        <f>IF(OR(JC$4="",$B40=""),0,SUMIF('DADOS BRUTOS'!$A$3:$A$500,$B40,'DADOS BRUTOS'!GC$3:GC$500)+IF($C40="",0,SUMIF('DADOS BRUTOS'!$A$3:$A$500,$C40,'DADOS BRUTOS'!GC$3:GC$500)))</f>
        <v/>
      </c>
      <c r="JD40" s="125">
        <f>IF(OR(JD$4="",$B40=""),0,SUMIF('DADOS BRUTOS'!$A$3:$A$500,$B40,'DADOS BRUTOS'!GD$3:GD$500)+IF($C40="",0,SUMIF('DADOS BRUTOS'!$A$3:$A$500,$C40,'DADOS BRUTOS'!GD$3:GD$500)))</f>
        <v/>
      </c>
      <c r="JE40" s="125">
        <f>IF(OR(JE$4="",$B40=""),0,SUMIF('DADOS BRUTOS'!$A$3:$A$500,$B40,'DADOS BRUTOS'!GE$3:GE$500)+IF($C40="",0,SUMIF('DADOS BRUTOS'!$A$3:$A$500,$C40,'DADOS BRUTOS'!GE$3:GE$500)))</f>
        <v/>
      </c>
      <c r="JF40" s="125">
        <f>IF(OR(JF$4="",$B40=""),0,SUMIF('DADOS BRUTOS'!$A$3:$A$500,$B40,'DADOS BRUTOS'!GF$3:GF$500)+IF($C40="",0,SUMIF('DADOS BRUTOS'!$A$3:$A$500,$C40,'DADOS BRUTOS'!GF$3:GF$500)))</f>
        <v/>
      </c>
      <c r="JG40" s="125">
        <f>IF(OR(JG$4="",$B40=""),0,SUMIF('DADOS BRUTOS'!$A$3:$A$500,$B40,'DADOS BRUTOS'!GG$3:GG$500)+IF($C40="",0,SUMIF('DADOS BRUTOS'!$A$3:$A$500,$C40,'DADOS BRUTOS'!GG$3:GG$500)))</f>
        <v/>
      </c>
      <c r="JH40" s="125">
        <f>IF(OR(JH$4="",$B40=""),0,SUMIF('DADOS BRUTOS'!$A$3:$A$500,$B40,'DADOS BRUTOS'!GH$3:GH$500)+IF($C40="",0,SUMIF('DADOS BRUTOS'!$A$3:$A$500,$C40,'DADOS BRUTOS'!GH$3:GH$500)))</f>
        <v/>
      </c>
      <c r="JI40" s="125">
        <f>IF(OR(JI$4="",$B40=""),0,SUMIF('DADOS BRUTOS'!$A$3:$A$500,$B40,'DADOS BRUTOS'!GI$3:GI$500)+IF($C40="",0,SUMIF('DADOS BRUTOS'!$A$3:$A$500,$C40,'DADOS BRUTOS'!GI$3:GI$500)))</f>
        <v/>
      </c>
      <c r="JJ40" s="125">
        <f>IF(OR(JJ$4="",$B40=""),0,SUMIF('DADOS BRUTOS'!$A$3:$A$500,$B40,'DADOS BRUTOS'!GJ$3:GJ$500)+IF($C40="",0,SUMIF('DADOS BRUTOS'!$A$3:$A$500,$C40,'DADOS BRUTOS'!GJ$3:GJ$500)))</f>
        <v/>
      </c>
      <c r="JK40" s="125">
        <f>IF(OR(JK$4="",$B40=""),0,SUMIF('DADOS BRUTOS'!$A$3:$A$500,$B40,'DADOS BRUTOS'!GK$3:GK$500)+IF($C40="",0,SUMIF('DADOS BRUTOS'!$A$3:$A$500,$C40,'DADOS BRUTOS'!GK$3:GK$500)))</f>
        <v/>
      </c>
      <c r="JL40" s="125">
        <f>IF(OR(JL$4="",$B40=""),0,SUMIF('DADOS BRUTOS'!$A$3:$A$500,$B40,'DADOS BRUTOS'!GL$3:GL$500)+IF($C40="",0,SUMIF('DADOS BRUTOS'!$A$3:$A$500,$C40,'DADOS BRUTOS'!GL$3:GL$500)))</f>
        <v/>
      </c>
      <c r="JM40" s="125">
        <f>IF(OR(JM$4="",$B40=""),0,SUMIF('DADOS BRUTOS'!$A$3:$A$500,$B40,'DADOS BRUTOS'!GM$3:GM$500)+IF($C40="",0,SUMIF('DADOS BRUTOS'!$A$3:$A$500,$C40,'DADOS BRUTOS'!GM$3:GM$500)))</f>
        <v/>
      </c>
      <c r="JN40" s="125">
        <f>IF(OR(JN$4="",$B40=""),0,SUMIF('DADOS BRUTOS'!$A$3:$A$500,$B40,'DADOS BRUTOS'!GN$3:GN$500)+IF($C40="",0,SUMIF('DADOS BRUTOS'!$A$3:$A$500,$C40,'DADOS BRUTOS'!GN$3:GN$500)))</f>
        <v/>
      </c>
      <c r="JO40" s="125">
        <f>IF(OR(JO$4="",$B40=""),0,SUMIF('DADOS BRUTOS'!$A$3:$A$500,$B40,'DADOS BRUTOS'!GO$3:GO$500)+IF($C40="",0,SUMIF('DADOS BRUTOS'!$A$3:$A$500,$C40,'DADOS BRUTOS'!GO$3:GO$500)))</f>
        <v/>
      </c>
      <c r="JP40" s="125">
        <f>IF(OR(JP$4="",$B40=""),0,SUMIF('DADOS BRUTOS'!$A$3:$A$500,$B40,'DADOS BRUTOS'!GP$3:GP$500)+IF($C40="",0,SUMIF('DADOS BRUTOS'!$A$3:$A$500,$C40,'DADOS BRUTOS'!GP$3:GP$500)))</f>
        <v/>
      </c>
      <c r="JQ40" s="125">
        <f>IF(OR(JQ$4="",$B40=""),0,SUMIF('DADOS BRUTOS'!$A$3:$A$500,$B40,'DADOS BRUTOS'!GQ$3:GQ$500)+IF($C40="",0,SUMIF('DADOS BRUTOS'!$A$3:$A$500,$C40,'DADOS BRUTOS'!GQ$3:GQ$500)))</f>
        <v/>
      </c>
      <c r="JR40" s="125">
        <f>IF(OR(JR$4="",$B40=""),0,SUMIF('DADOS BRUTOS'!$A$3:$A$500,$B40,'DADOS BRUTOS'!GR$3:GR$500)+IF($C40="",0,SUMIF('DADOS BRUTOS'!$A$3:$A$500,$C40,'DADOS BRUTOS'!GR$3:GR$500)))</f>
        <v/>
      </c>
      <c r="JS40" s="125">
        <f>IF(OR(JS$4="",$B40=""),0,SUMIF('DADOS BRUTOS'!$A$3:$A$500,$B40,'DADOS BRUTOS'!GS$3:GS$500)+IF($C40="",0,SUMIF('DADOS BRUTOS'!$A$3:$A$500,$C40,'DADOS BRUTOS'!GS$3:GS$500)))</f>
        <v/>
      </c>
    </row>
    <row r="41">
      <c r="A41" s="61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BZ41" s="49">
        <f>SUMPRODUCT(($CB$4:$JS$4&lt;&gt;"")*($CB$4:$JS$4&lt;=$D$4),$CB41:$JS41,$CB$1:$JS$1)</f>
        <v/>
      </c>
      <c r="CB41" s="125">
        <f>IF(OR(CB$4="",$B41=""),0,SUMIF('DADOS BRUTOS'!$A$3:$A$500,$B41,'DADOS BRUTOS'!B$3:B$500)+IF($C41="",0,SUMIF('DADOS BRUTOS'!$A$3:$A$500,$C41,'DADOS BRUTOS'!B$3:B$500)))</f>
        <v/>
      </c>
      <c r="CC41" s="125">
        <f>IF(OR(CC$4="",$B41=""),0,SUMIF('DADOS BRUTOS'!$A$3:$A$500,$B41,'DADOS BRUTOS'!C$3:C$500)+IF($C41="",0,SUMIF('DADOS BRUTOS'!$A$3:$A$500,$C41,'DADOS BRUTOS'!C$3:C$500)))</f>
        <v/>
      </c>
      <c r="CD41" s="125">
        <f>IF(OR(CD$4="",$B41=""),0,SUMIF('DADOS BRUTOS'!$A$3:$A$500,$B41,'DADOS BRUTOS'!D$3:D$500)+IF($C41="",0,SUMIF('DADOS BRUTOS'!$A$3:$A$500,$C41,'DADOS BRUTOS'!D$3:D$500)))</f>
        <v/>
      </c>
      <c r="CE41" s="125">
        <f>IF(OR(CE$4="",$B41=""),0,SUMIF('DADOS BRUTOS'!$A$3:$A$500,$B41,'DADOS BRUTOS'!E$3:E$500)+IF($C41="",0,SUMIF('DADOS BRUTOS'!$A$3:$A$500,$C41,'DADOS BRUTOS'!E$3:E$500)))</f>
        <v/>
      </c>
      <c r="CF41" s="125">
        <f>IF(OR(CF$4="",$B41=""),0,SUMIF('DADOS BRUTOS'!$A$3:$A$500,$B41,'DADOS BRUTOS'!F$3:F$500)+IF($C41="",0,SUMIF('DADOS BRUTOS'!$A$3:$A$500,$C41,'DADOS BRUTOS'!F$3:F$500)))</f>
        <v/>
      </c>
      <c r="CG41" s="125">
        <f>IF(OR(CG$4="",$B41=""),0,SUMIF('DADOS BRUTOS'!$A$3:$A$500,$B41,'DADOS BRUTOS'!G$3:G$500)+IF($C41="",0,SUMIF('DADOS BRUTOS'!$A$3:$A$500,$C41,'DADOS BRUTOS'!G$3:G$500)))</f>
        <v/>
      </c>
      <c r="CH41" s="125">
        <f>IF(OR(CH$4="",$B41=""),0,SUMIF('DADOS BRUTOS'!$A$3:$A$500,$B41,'DADOS BRUTOS'!H$3:H$500)+IF($C41="",0,SUMIF('DADOS BRUTOS'!$A$3:$A$500,$C41,'DADOS BRUTOS'!H$3:H$500)))</f>
        <v/>
      </c>
      <c r="CI41" s="125">
        <f>IF(OR(CI$4="",$B41=""),0,SUMIF('DADOS BRUTOS'!$A$3:$A$500,$B41,'DADOS BRUTOS'!I$3:I$500)+IF($C41="",0,SUMIF('DADOS BRUTOS'!$A$3:$A$500,$C41,'DADOS BRUTOS'!I$3:I$500)))</f>
        <v/>
      </c>
      <c r="CJ41" s="125">
        <f>IF(OR(CJ$4="",$B41=""),0,SUMIF('DADOS BRUTOS'!$A$3:$A$500,$B41,'DADOS BRUTOS'!J$3:J$500)+IF($C41="",0,SUMIF('DADOS BRUTOS'!$A$3:$A$500,$C41,'DADOS BRUTOS'!J$3:J$500)))</f>
        <v/>
      </c>
      <c r="CK41" s="125">
        <f>IF(OR(CK$4="",$B41=""),0,SUMIF('DADOS BRUTOS'!$A$3:$A$500,$B41,'DADOS BRUTOS'!K$3:K$500)+IF($C41="",0,SUMIF('DADOS BRUTOS'!$A$3:$A$500,$C41,'DADOS BRUTOS'!K$3:K$500)))</f>
        <v/>
      </c>
      <c r="CL41" s="125">
        <f>IF(OR(CL$4="",$B41=""),0,SUMIF('DADOS BRUTOS'!$A$3:$A$500,$B41,'DADOS BRUTOS'!L$3:L$500)+IF($C41="",0,SUMIF('DADOS BRUTOS'!$A$3:$A$500,$C41,'DADOS BRUTOS'!L$3:L$500)))</f>
        <v/>
      </c>
      <c r="CM41" s="125">
        <f>IF(OR(CM$4="",$B41=""),0,SUMIF('DADOS BRUTOS'!$A$3:$A$500,$B41,'DADOS BRUTOS'!M$3:M$500)+IF($C41="",0,SUMIF('DADOS BRUTOS'!$A$3:$A$500,$C41,'DADOS BRUTOS'!M$3:M$500)))</f>
        <v/>
      </c>
      <c r="CN41" s="125">
        <f>IF(OR(CN$4="",$B41=""),0,SUMIF('DADOS BRUTOS'!$A$3:$A$500,$B41,'DADOS BRUTOS'!N$3:N$500)+IF($C41="",0,SUMIF('DADOS BRUTOS'!$A$3:$A$500,$C41,'DADOS BRUTOS'!N$3:N$500)))</f>
        <v/>
      </c>
      <c r="CO41" s="125">
        <f>IF(OR(CO$4="",$B41=""),0,SUMIF('DADOS BRUTOS'!$A$3:$A$500,$B41,'DADOS BRUTOS'!O$3:O$500)+IF($C41="",0,SUMIF('DADOS BRUTOS'!$A$3:$A$500,$C41,'DADOS BRUTOS'!O$3:O$500)))</f>
        <v/>
      </c>
      <c r="CP41" s="125">
        <f>IF(OR(CP$4="",$B41=""),0,SUMIF('DADOS BRUTOS'!$A$3:$A$500,$B41,'DADOS BRUTOS'!P$3:P$500)+IF($C41="",0,SUMIF('DADOS BRUTOS'!$A$3:$A$500,$C41,'DADOS BRUTOS'!P$3:P$500)))</f>
        <v/>
      </c>
      <c r="CQ41" s="125">
        <f>IF(OR(CQ$4="",$B41=""),0,SUMIF('DADOS BRUTOS'!$A$3:$A$500,$B41,'DADOS BRUTOS'!Q$3:Q$500)+IF($C41="",0,SUMIF('DADOS BRUTOS'!$A$3:$A$500,$C41,'DADOS BRUTOS'!Q$3:Q$500)))</f>
        <v/>
      </c>
      <c r="CR41" s="125">
        <f>IF(OR(CR$4="",$B41=""),0,SUMIF('DADOS BRUTOS'!$A$3:$A$500,$B41,'DADOS BRUTOS'!R$3:R$500)+IF($C41="",0,SUMIF('DADOS BRUTOS'!$A$3:$A$500,$C41,'DADOS BRUTOS'!R$3:R$500)))</f>
        <v/>
      </c>
      <c r="CS41" s="125">
        <f>IF(OR(CS$4="",$B41=""),0,SUMIF('DADOS BRUTOS'!$A$3:$A$500,$B41,'DADOS BRUTOS'!S$3:S$500)+IF($C41="",0,SUMIF('DADOS BRUTOS'!$A$3:$A$500,$C41,'DADOS BRUTOS'!S$3:S$500)))</f>
        <v/>
      </c>
      <c r="CT41" s="125">
        <f>IF(OR(CT$4="",$B41=""),0,SUMIF('DADOS BRUTOS'!$A$3:$A$500,$B41,'DADOS BRUTOS'!T$3:T$500)+IF($C41="",0,SUMIF('DADOS BRUTOS'!$A$3:$A$500,$C41,'DADOS BRUTOS'!T$3:T$500)))</f>
        <v/>
      </c>
      <c r="CU41" s="125">
        <f>IF(OR(CU$4="",$B41=""),0,SUMIF('DADOS BRUTOS'!$A$3:$A$500,$B41,'DADOS BRUTOS'!U$3:U$500)+IF($C41="",0,SUMIF('DADOS BRUTOS'!$A$3:$A$500,$C41,'DADOS BRUTOS'!U$3:U$500)))</f>
        <v/>
      </c>
      <c r="CV41" s="125">
        <f>IF(OR(CV$4="",$B41=""),0,SUMIF('DADOS BRUTOS'!$A$3:$A$500,$B41,'DADOS BRUTOS'!V$3:V$500)+IF($C41="",0,SUMIF('DADOS BRUTOS'!$A$3:$A$500,$C41,'DADOS BRUTOS'!V$3:V$500)))</f>
        <v/>
      </c>
      <c r="CW41" s="125">
        <f>IF(OR(CW$4="",$B41=""),0,SUMIF('DADOS BRUTOS'!$A$3:$A$500,$B41,'DADOS BRUTOS'!W$3:W$500)+IF($C41="",0,SUMIF('DADOS BRUTOS'!$A$3:$A$500,$C41,'DADOS BRUTOS'!W$3:W$500)))</f>
        <v/>
      </c>
      <c r="CX41" s="125">
        <f>IF(OR(CX$4="",$B41=""),0,SUMIF('DADOS BRUTOS'!$A$3:$A$500,$B41,'DADOS BRUTOS'!X$3:X$500)+IF($C41="",0,SUMIF('DADOS BRUTOS'!$A$3:$A$500,$C41,'DADOS BRUTOS'!X$3:X$500)))</f>
        <v/>
      </c>
      <c r="CY41" s="125">
        <f>IF(OR(CY$4="",$B41=""),0,SUMIF('DADOS BRUTOS'!$A$3:$A$500,$B41,'DADOS BRUTOS'!Y$3:Y$500)+IF($C41="",0,SUMIF('DADOS BRUTOS'!$A$3:$A$500,$C41,'DADOS BRUTOS'!Y$3:Y$500)))</f>
        <v/>
      </c>
      <c r="CZ41" s="125">
        <f>IF(OR(CZ$4="",$B41=""),0,SUMIF('DADOS BRUTOS'!$A$3:$A$500,$B41,'DADOS BRUTOS'!Z$3:Z$500)+IF($C41="",0,SUMIF('DADOS BRUTOS'!$A$3:$A$500,$C41,'DADOS BRUTOS'!Z$3:Z$500)))</f>
        <v/>
      </c>
      <c r="DA41" s="125">
        <f>IF(OR(DA$4="",$B41=""),0,SUMIF('DADOS BRUTOS'!$A$3:$A$500,$B41,'DADOS BRUTOS'!AA$3:AA$500)+IF($C41="",0,SUMIF('DADOS BRUTOS'!$A$3:$A$500,$C41,'DADOS BRUTOS'!AA$3:AA$500)))</f>
        <v/>
      </c>
      <c r="DB41" s="125">
        <f>IF(OR(DB$4="",$B41=""),0,SUMIF('DADOS BRUTOS'!$A$3:$A$500,$B41,'DADOS BRUTOS'!AB$3:AB$500)+IF($C41="",0,SUMIF('DADOS BRUTOS'!$A$3:$A$500,$C41,'DADOS BRUTOS'!AB$3:AB$500)))</f>
        <v/>
      </c>
      <c r="DC41" s="125">
        <f>IF(OR(DC$4="",$B41=""),0,SUMIF('DADOS BRUTOS'!$A$3:$A$500,$B41,'DADOS BRUTOS'!AC$3:AC$500)+IF($C41="",0,SUMIF('DADOS BRUTOS'!$A$3:$A$500,$C41,'DADOS BRUTOS'!AC$3:AC$500)))</f>
        <v/>
      </c>
      <c r="DD41" s="125">
        <f>IF(OR(DD$4="",$B41=""),0,SUMIF('DADOS BRUTOS'!$A$3:$A$500,$B41,'DADOS BRUTOS'!AD$3:AD$500)+IF($C41="",0,SUMIF('DADOS BRUTOS'!$A$3:$A$500,$C41,'DADOS BRUTOS'!AD$3:AD$500)))</f>
        <v/>
      </c>
      <c r="DE41" s="125">
        <f>IF(OR(DE$4="",$B41=""),0,SUMIF('DADOS BRUTOS'!$A$3:$A$500,$B41,'DADOS BRUTOS'!AE$3:AE$500)+IF($C41="",0,SUMIF('DADOS BRUTOS'!$A$3:$A$500,$C41,'DADOS BRUTOS'!AE$3:AE$500)))</f>
        <v/>
      </c>
      <c r="DF41" s="125">
        <f>IF(OR(DF$4="",$B41=""),0,SUMIF('DADOS BRUTOS'!$A$3:$A$500,$B41,'DADOS BRUTOS'!AF$3:AF$500)+IF($C41="",0,SUMIF('DADOS BRUTOS'!$A$3:$A$500,$C41,'DADOS BRUTOS'!AF$3:AF$500)))</f>
        <v/>
      </c>
      <c r="DG41" s="125">
        <f>IF(OR(DG$4="",$B41=""),0,SUMIF('DADOS BRUTOS'!$A$3:$A$500,$B41,'DADOS BRUTOS'!AG$3:AG$500)+IF($C41="",0,SUMIF('DADOS BRUTOS'!$A$3:$A$500,$C41,'DADOS BRUTOS'!AG$3:AG$500)))</f>
        <v/>
      </c>
      <c r="DH41" s="125">
        <f>IF(OR(DH$4="",$B41=""),0,SUMIF('DADOS BRUTOS'!$A$3:$A$500,$B41,'DADOS BRUTOS'!AH$3:AH$500)+IF($C41="",0,SUMIF('DADOS BRUTOS'!$A$3:$A$500,$C41,'DADOS BRUTOS'!AH$3:AH$500)))</f>
        <v/>
      </c>
      <c r="DI41" s="125">
        <f>IF(OR(DI$4="",$B41=""),0,SUMIF('DADOS BRUTOS'!$A$3:$A$500,$B41,'DADOS BRUTOS'!AI$3:AI$500)+IF($C41="",0,SUMIF('DADOS BRUTOS'!$A$3:$A$500,$C41,'DADOS BRUTOS'!AI$3:AI$500)))</f>
        <v/>
      </c>
      <c r="DJ41" s="125">
        <f>IF(OR(DJ$4="",$B41=""),0,SUMIF('DADOS BRUTOS'!$A$3:$A$500,$B41,'DADOS BRUTOS'!AJ$3:AJ$500)+IF($C41="",0,SUMIF('DADOS BRUTOS'!$A$3:$A$500,$C41,'DADOS BRUTOS'!AJ$3:AJ$500)))</f>
        <v/>
      </c>
      <c r="DK41" s="125">
        <f>IF(OR(DK$4="",$B41=""),0,SUMIF('DADOS BRUTOS'!$A$3:$A$500,$B41,'DADOS BRUTOS'!AK$3:AK$500)+IF($C41="",0,SUMIF('DADOS BRUTOS'!$A$3:$A$500,$C41,'DADOS BRUTOS'!AK$3:AK$500)))</f>
        <v/>
      </c>
      <c r="DL41" s="125">
        <f>IF(OR(DL$4="",$B41=""),0,SUMIF('DADOS BRUTOS'!$A$3:$A$500,$B41,'DADOS BRUTOS'!AL$3:AL$500)+IF($C41="",0,SUMIF('DADOS BRUTOS'!$A$3:$A$500,$C41,'DADOS BRUTOS'!AL$3:AL$500)))</f>
        <v/>
      </c>
      <c r="DM41" s="125">
        <f>IF(OR(DM$4="",$B41=""),0,SUMIF('DADOS BRUTOS'!$A$3:$A$500,$B41,'DADOS BRUTOS'!AM$3:AM$500)+IF($C41="",0,SUMIF('DADOS BRUTOS'!$A$3:$A$500,$C41,'DADOS BRUTOS'!AM$3:AM$500)))</f>
        <v/>
      </c>
      <c r="DN41" s="125">
        <f>IF(OR(DN$4="",$B41=""),0,SUMIF('DADOS BRUTOS'!$A$3:$A$500,$B41,'DADOS BRUTOS'!AN$3:AN$500)+IF($C41="",0,SUMIF('DADOS BRUTOS'!$A$3:$A$500,$C41,'DADOS BRUTOS'!AN$3:AN$500)))</f>
        <v/>
      </c>
      <c r="DO41" s="125">
        <f>IF(OR(DO$4="",$B41=""),0,SUMIF('DADOS BRUTOS'!$A$3:$A$500,$B41,'DADOS BRUTOS'!AO$3:AO$500)+IF($C41="",0,SUMIF('DADOS BRUTOS'!$A$3:$A$500,$C41,'DADOS BRUTOS'!AO$3:AO$500)))</f>
        <v/>
      </c>
      <c r="DP41" s="125">
        <f>IF(OR(DP$4="",$B41=""),0,SUMIF('DADOS BRUTOS'!$A$3:$A$500,$B41,'DADOS BRUTOS'!AP$3:AP$500)+IF($C41="",0,SUMIF('DADOS BRUTOS'!$A$3:$A$500,$C41,'DADOS BRUTOS'!AP$3:AP$500)))</f>
        <v/>
      </c>
      <c r="DQ41" s="125">
        <f>IF(OR(DQ$4="",$B41=""),0,SUMIF('DADOS BRUTOS'!$A$3:$A$500,$B41,'DADOS BRUTOS'!AQ$3:AQ$500)+IF($C41="",0,SUMIF('DADOS BRUTOS'!$A$3:$A$500,$C41,'DADOS BRUTOS'!AQ$3:AQ$500)))</f>
        <v/>
      </c>
      <c r="DR41" s="125">
        <f>IF(OR(DR$4="",$B41=""),0,SUMIF('DADOS BRUTOS'!$A$3:$A$500,$B41,'DADOS BRUTOS'!AR$3:AR$500)+IF($C41="",0,SUMIF('DADOS BRUTOS'!$A$3:$A$500,$C41,'DADOS BRUTOS'!AR$3:AR$500)))</f>
        <v/>
      </c>
      <c r="DS41" s="125">
        <f>IF(OR(DS$4="",$B41=""),0,SUMIF('DADOS BRUTOS'!$A$3:$A$500,$B41,'DADOS BRUTOS'!AS$3:AS$500)+IF($C41="",0,SUMIF('DADOS BRUTOS'!$A$3:$A$500,$C41,'DADOS BRUTOS'!AS$3:AS$500)))</f>
        <v/>
      </c>
      <c r="DT41" s="125">
        <f>IF(OR(DT$4="",$B41=""),0,SUMIF('DADOS BRUTOS'!$A$3:$A$500,$B41,'DADOS BRUTOS'!AT$3:AT$500)+IF($C41="",0,SUMIF('DADOS BRUTOS'!$A$3:$A$500,$C41,'DADOS BRUTOS'!AT$3:AT$500)))</f>
        <v/>
      </c>
      <c r="DU41" s="125">
        <f>IF(OR(DU$4="",$B41=""),0,SUMIF('DADOS BRUTOS'!$A$3:$A$500,$B41,'DADOS BRUTOS'!AU$3:AU$500)+IF($C41="",0,SUMIF('DADOS BRUTOS'!$A$3:$A$500,$C41,'DADOS BRUTOS'!AU$3:AU$500)))</f>
        <v/>
      </c>
      <c r="DV41" s="125">
        <f>IF(OR(DV$4="",$B41=""),0,SUMIF('DADOS BRUTOS'!$A$3:$A$500,$B41,'DADOS BRUTOS'!AV$3:AV$500)+IF($C41="",0,SUMIF('DADOS BRUTOS'!$A$3:$A$500,$C41,'DADOS BRUTOS'!AV$3:AV$500)))</f>
        <v/>
      </c>
      <c r="DW41" s="125">
        <f>IF(OR(DW$4="",$B41=""),0,SUMIF('DADOS BRUTOS'!$A$3:$A$500,$B41,'DADOS BRUTOS'!AW$3:AW$500)+IF($C41="",0,SUMIF('DADOS BRUTOS'!$A$3:$A$500,$C41,'DADOS BRUTOS'!AW$3:AW$500)))</f>
        <v/>
      </c>
      <c r="DX41" s="125">
        <f>IF(OR(DX$4="",$B41=""),0,SUMIF('DADOS BRUTOS'!$A$3:$A$500,$B41,'DADOS BRUTOS'!AX$3:AX$500)+IF($C41="",0,SUMIF('DADOS BRUTOS'!$A$3:$A$500,$C41,'DADOS BRUTOS'!AX$3:AX$500)))</f>
        <v/>
      </c>
      <c r="DY41" s="125">
        <f>IF(OR(DY$4="",$B41=""),0,SUMIF('DADOS BRUTOS'!$A$3:$A$500,$B41,'DADOS BRUTOS'!AY$3:AY$500)+IF($C41="",0,SUMIF('DADOS BRUTOS'!$A$3:$A$500,$C41,'DADOS BRUTOS'!AY$3:AY$500)))</f>
        <v/>
      </c>
      <c r="DZ41" s="125">
        <f>IF(OR(DZ$4="",$B41=""),0,SUMIF('DADOS BRUTOS'!$A$3:$A$500,$B41,'DADOS BRUTOS'!AZ$3:AZ$500)+IF($C41="",0,SUMIF('DADOS BRUTOS'!$A$3:$A$500,$C41,'DADOS BRUTOS'!AZ$3:AZ$500)))</f>
        <v/>
      </c>
      <c r="EA41" s="125">
        <f>IF(OR(EA$4="",$B41=""),0,SUMIF('DADOS BRUTOS'!$A$3:$A$500,$B41,'DADOS BRUTOS'!BA$3:BA$500)+IF($C41="",0,SUMIF('DADOS BRUTOS'!$A$3:$A$500,$C41,'DADOS BRUTOS'!BA$3:BA$500)))</f>
        <v/>
      </c>
      <c r="EB41" s="125">
        <f>IF(OR(EB$4="",$B41=""),0,SUMIF('DADOS BRUTOS'!$A$3:$A$500,$B41,'DADOS BRUTOS'!BB$3:BB$500)+IF($C41="",0,SUMIF('DADOS BRUTOS'!$A$3:$A$500,$C41,'DADOS BRUTOS'!BB$3:BB$500)))</f>
        <v/>
      </c>
      <c r="EC41" s="125">
        <f>IF(OR(EC$4="",$B41=""),0,SUMIF('DADOS BRUTOS'!$A$3:$A$500,$B41,'DADOS BRUTOS'!BC$3:BC$500)+IF($C41="",0,SUMIF('DADOS BRUTOS'!$A$3:$A$500,$C41,'DADOS BRUTOS'!BC$3:BC$500)))</f>
        <v/>
      </c>
      <c r="ED41" s="125">
        <f>IF(OR(ED$4="",$B41=""),0,SUMIF('DADOS BRUTOS'!$A$3:$A$500,$B41,'DADOS BRUTOS'!BD$3:BD$500)+IF($C41="",0,SUMIF('DADOS BRUTOS'!$A$3:$A$500,$C41,'DADOS BRUTOS'!BD$3:BD$500)))</f>
        <v/>
      </c>
      <c r="EE41" s="125">
        <f>IF(OR(EE$4="",$B41=""),0,SUMIF('DADOS BRUTOS'!$A$3:$A$500,$B41,'DADOS BRUTOS'!BE$3:BE$500)+IF($C41="",0,SUMIF('DADOS BRUTOS'!$A$3:$A$500,$C41,'DADOS BRUTOS'!BE$3:BE$500)))</f>
        <v/>
      </c>
      <c r="EF41" s="125">
        <f>IF(OR(EF$4="",$B41=""),0,SUMIF('DADOS BRUTOS'!$A$3:$A$500,$B41,'DADOS BRUTOS'!BF$3:BF$500)+IF($C41="",0,SUMIF('DADOS BRUTOS'!$A$3:$A$500,$C41,'DADOS BRUTOS'!BF$3:BF$500)))</f>
        <v/>
      </c>
      <c r="EG41" s="125">
        <f>IF(OR(EG$4="",$B41=""),0,SUMIF('DADOS BRUTOS'!$A$3:$A$500,$B41,'DADOS BRUTOS'!BG$3:BG$500)+IF($C41="",0,SUMIF('DADOS BRUTOS'!$A$3:$A$500,$C41,'DADOS BRUTOS'!BG$3:BG$500)))</f>
        <v/>
      </c>
      <c r="EH41" s="125">
        <f>IF(OR(EH$4="",$B41=""),0,SUMIF('DADOS BRUTOS'!$A$3:$A$500,$B41,'DADOS BRUTOS'!BH$3:BH$500)+IF($C41="",0,SUMIF('DADOS BRUTOS'!$A$3:$A$500,$C41,'DADOS BRUTOS'!BH$3:BH$500)))</f>
        <v/>
      </c>
      <c r="EI41" s="125">
        <f>IF(OR(EI$4="",$B41=""),0,SUMIF('DADOS BRUTOS'!$A$3:$A$500,$B41,'DADOS BRUTOS'!BI$3:BI$500)+IF($C41="",0,SUMIF('DADOS BRUTOS'!$A$3:$A$500,$C41,'DADOS BRUTOS'!BI$3:BI$500)))</f>
        <v/>
      </c>
      <c r="EJ41" s="125">
        <f>IF(OR(EJ$4="",$B41=""),0,SUMIF('DADOS BRUTOS'!$A$3:$A$500,$B41,'DADOS BRUTOS'!BJ$3:BJ$500)+IF($C41="",0,SUMIF('DADOS BRUTOS'!$A$3:$A$500,$C41,'DADOS BRUTOS'!BJ$3:BJ$500)))</f>
        <v/>
      </c>
      <c r="EK41" s="125">
        <f>IF(OR(EK$4="",$B41=""),0,SUMIF('DADOS BRUTOS'!$A$3:$A$500,$B41,'DADOS BRUTOS'!BK$3:BK$500)+IF($C41="",0,SUMIF('DADOS BRUTOS'!$A$3:$A$500,$C41,'DADOS BRUTOS'!BK$3:BK$500)))</f>
        <v/>
      </c>
      <c r="EL41" s="125">
        <f>IF(OR(EL$4="",$B41=""),0,SUMIF('DADOS BRUTOS'!$A$3:$A$500,$B41,'DADOS BRUTOS'!BL$3:BL$500)+IF($C41="",0,SUMIF('DADOS BRUTOS'!$A$3:$A$500,$C41,'DADOS BRUTOS'!BL$3:BL$500)))</f>
        <v/>
      </c>
      <c r="EM41" s="125">
        <f>IF(OR(EM$4="",$B41=""),0,SUMIF('DADOS BRUTOS'!$A$3:$A$500,$B41,'DADOS BRUTOS'!BM$3:BM$500)+IF($C41="",0,SUMIF('DADOS BRUTOS'!$A$3:$A$500,$C41,'DADOS BRUTOS'!BM$3:BM$500)))</f>
        <v/>
      </c>
      <c r="EN41" s="125">
        <f>IF(OR(EN$4="",$B41=""),0,SUMIF('DADOS BRUTOS'!$A$3:$A$500,$B41,'DADOS BRUTOS'!BN$3:BN$500)+IF($C41="",0,SUMIF('DADOS BRUTOS'!$A$3:$A$500,$C41,'DADOS BRUTOS'!BN$3:BN$500)))</f>
        <v/>
      </c>
      <c r="EO41" s="125">
        <f>IF(OR(EO$4="",$B41=""),0,SUMIF('DADOS BRUTOS'!$A$3:$A$500,$B41,'DADOS BRUTOS'!BO$3:BO$500)+IF($C41="",0,SUMIF('DADOS BRUTOS'!$A$3:$A$500,$C41,'DADOS BRUTOS'!BO$3:BO$500)))</f>
        <v/>
      </c>
      <c r="EP41" s="125">
        <f>IF(OR(EP$4="",$B41=""),0,SUMIF('DADOS BRUTOS'!$A$3:$A$500,$B41,'DADOS BRUTOS'!BP$3:BP$500)+IF($C41="",0,SUMIF('DADOS BRUTOS'!$A$3:$A$500,$C41,'DADOS BRUTOS'!BP$3:BP$500)))</f>
        <v/>
      </c>
      <c r="EQ41" s="125">
        <f>IF(OR(EQ$4="",$B41=""),0,SUMIF('DADOS BRUTOS'!$A$3:$A$500,$B41,'DADOS BRUTOS'!BQ$3:BQ$500)+IF($C41="",0,SUMIF('DADOS BRUTOS'!$A$3:$A$500,$C41,'DADOS BRUTOS'!BQ$3:BQ$500)))</f>
        <v/>
      </c>
      <c r="ER41" s="125">
        <f>IF(OR(ER$4="",$B41=""),0,SUMIF('DADOS BRUTOS'!$A$3:$A$500,$B41,'DADOS BRUTOS'!BR$3:BR$500)+IF($C41="",0,SUMIF('DADOS BRUTOS'!$A$3:$A$500,$C41,'DADOS BRUTOS'!BR$3:BR$500)))</f>
        <v/>
      </c>
      <c r="ES41" s="125">
        <f>IF(OR(ES$4="",$B41=""),0,SUMIF('DADOS BRUTOS'!$A$3:$A$500,$B41,'DADOS BRUTOS'!BS$3:BS$500)+IF($C41="",0,SUMIF('DADOS BRUTOS'!$A$3:$A$500,$C41,'DADOS BRUTOS'!BS$3:BS$500)))</f>
        <v/>
      </c>
      <c r="ET41" s="125">
        <f>IF(OR(ET$4="",$B41=""),0,SUMIF('DADOS BRUTOS'!$A$3:$A$500,$B41,'DADOS BRUTOS'!BT$3:BT$500)+IF($C41="",0,SUMIF('DADOS BRUTOS'!$A$3:$A$500,$C41,'DADOS BRUTOS'!BT$3:BT$500)))</f>
        <v/>
      </c>
      <c r="EU41" s="125">
        <f>IF(OR(EU$4="",$B41=""),0,SUMIF('DADOS BRUTOS'!$A$3:$A$500,$B41,'DADOS BRUTOS'!BU$3:BU$500)+IF($C41="",0,SUMIF('DADOS BRUTOS'!$A$3:$A$500,$C41,'DADOS BRUTOS'!BU$3:BU$500)))</f>
        <v/>
      </c>
      <c r="EV41" s="125">
        <f>IF(OR(EV$4="",$B41=""),0,SUMIF('DADOS BRUTOS'!$A$3:$A$500,$B41,'DADOS BRUTOS'!BV$3:BV$500)+IF($C41="",0,SUMIF('DADOS BRUTOS'!$A$3:$A$500,$C41,'DADOS BRUTOS'!BV$3:BV$500)))</f>
        <v/>
      </c>
      <c r="EW41" s="125">
        <f>IF(OR(EW$4="",$B41=""),0,SUMIF('DADOS BRUTOS'!$A$3:$A$500,$B41,'DADOS BRUTOS'!BW$3:BW$500)+IF($C41="",0,SUMIF('DADOS BRUTOS'!$A$3:$A$500,$C41,'DADOS BRUTOS'!BW$3:BW$500)))</f>
        <v/>
      </c>
      <c r="EX41" s="125">
        <f>IF(OR(EX$4="",$B41=""),0,SUMIF('DADOS BRUTOS'!$A$3:$A$500,$B41,'DADOS BRUTOS'!BX$3:BX$500)+IF($C41="",0,SUMIF('DADOS BRUTOS'!$A$3:$A$500,$C41,'DADOS BRUTOS'!BX$3:BX$500)))</f>
        <v/>
      </c>
      <c r="EY41" s="125">
        <f>IF(OR(EY$4="",$B41=""),0,SUMIF('DADOS BRUTOS'!$A$3:$A$500,$B41,'DADOS BRUTOS'!BY$3:BY$500)+IF($C41="",0,SUMIF('DADOS BRUTOS'!$A$3:$A$500,$C41,'DADOS BRUTOS'!BY$3:BY$500)))</f>
        <v/>
      </c>
      <c r="EZ41" s="125">
        <f>IF(OR(EZ$4="",$B41=""),0,SUMIF('DADOS BRUTOS'!$A$3:$A$500,$B41,'DADOS BRUTOS'!BZ$3:BZ$500)+IF($C41="",0,SUMIF('DADOS BRUTOS'!$A$3:$A$500,$C41,'DADOS BRUTOS'!BZ$3:BZ$500)))</f>
        <v/>
      </c>
      <c r="FA41" s="125">
        <f>IF(OR(FA$4="",$B41=""),0,SUMIF('DADOS BRUTOS'!$A$3:$A$500,$B41,'DADOS BRUTOS'!CA$3:CA$500)+IF($C41="",0,SUMIF('DADOS BRUTOS'!$A$3:$A$500,$C41,'DADOS BRUTOS'!CA$3:CA$500)))</f>
        <v/>
      </c>
      <c r="FB41" s="125">
        <f>IF(OR(FB$4="",$B41=""),0,SUMIF('DADOS BRUTOS'!$A$3:$A$500,$B41,'DADOS BRUTOS'!CB$3:CB$500)+IF($C41="",0,SUMIF('DADOS BRUTOS'!$A$3:$A$500,$C41,'DADOS BRUTOS'!CB$3:CB$500)))</f>
        <v/>
      </c>
      <c r="FC41" s="125">
        <f>IF(OR(FC$4="",$B41=""),0,SUMIF('DADOS BRUTOS'!$A$3:$A$500,$B41,'DADOS BRUTOS'!CC$3:CC$500)+IF($C41="",0,SUMIF('DADOS BRUTOS'!$A$3:$A$500,$C41,'DADOS BRUTOS'!CC$3:CC$500)))</f>
        <v/>
      </c>
      <c r="FD41" s="125">
        <f>IF(OR(FD$4="",$B41=""),0,SUMIF('DADOS BRUTOS'!$A$3:$A$500,$B41,'DADOS BRUTOS'!CD$3:CD$500)+IF($C41="",0,SUMIF('DADOS BRUTOS'!$A$3:$A$500,$C41,'DADOS BRUTOS'!CD$3:CD$500)))</f>
        <v/>
      </c>
      <c r="FE41" s="125">
        <f>IF(OR(FE$4="",$B41=""),0,SUMIF('DADOS BRUTOS'!$A$3:$A$500,$B41,'DADOS BRUTOS'!CE$3:CE$500)+IF($C41="",0,SUMIF('DADOS BRUTOS'!$A$3:$A$500,$C41,'DADOS BRUTOS'!CE$3:CE$500)))</f>
        <v/>
      </c>
      <c r="FF41" s="125">
        <f>IF(OR(FF$4="",$B41=""),0,SUMIF('DADOS BRUTOS'!$A$3:$A$500,$B41,'DADOS BRUTOS'!CF$3:CF$500)+IF($C41="",0,SUMIF('DADOS BRUTOS'!$A$3:$A$500,$C41,'DADOS BRUTOS'!CF$3:CF$500)))</f>
        <v/>
      </c>
      <c r="FG41" s="125">
        <f>IF(OR(FG$4="",$B41=""),0,SUMIF('DADOS BRUTOS'!$A$3:$A$500,$B41,'DADOS BRUTOS'!CG$3:CG$500)+IF($C41="",0,SUMIF('DADOS BRUTOS'!$A$3:$A$500,$C41,'DADOS BRUTOS'!CG$3:CG$500)))</f>
        <v/>
      </c>
      <c r="FH41" s="125">
        <f>IF(OR(FH$4="",$B41=""),0,SUMIF('DADOS BRUTOS'!$A$3:$A$500,$B41,'DADOS BRUTOS'!CH$3:CH$500)+IF($C41="",0,SUMIF('DADOS BRUTOS'!$A$3:$A$500,$C41,'DADOS BRUTOS'!CH$3:CH$500)))</f>
        <v/>
      </c>
      <c r="FI41" s="125">
        <f>IF(OR(FI$4="",$B41=""),0,SUMIF('DADOS BRUTOS'!$A$3:$A$500,$B41,'DADOS BRUTOS'!CI$3:CI$500)+IF($C41="",0,SUMIF('DADOS BRUTOS'!$A$3:$A$500,$C41,'DADOS BRUTOS'!CI$3:CI$500)))</f>
        <v/>
      </c>
      <c r="FJ41" s="125">
        <f>IF(OR(FJ$4="",$B41=""),0,SUMIF('DADOS BRUTOS'!$A$3:$A$500,$B41,'DADOS BRUTOS'!CJ$3:CJ$500)+IF($C41="",0,SUMIF('DADOS BRUTOS'!$A$3:$A$500,$C41,'DADOS BRUTOS'!CJ$3:CJ$500)))</f>
        <v/>
      </c>
      <c r="FK41" s="125">
        <f>IF(OR(FK$4="",$B41=""),0,SUMIF('DADOS BRUTOS'!$A$3:$A$500,$B41,'DADOS BRUTOS'!CK$3:CK$500)+IF($C41="",0,SUMIF('DADOS BRUTOS'!$A$3:$A$500,$C41,'DADOS BRUTOS'!CK$3:CK$500)))</f>
        <v/>
      </c>
      <c r="FL41" s="125">
        <f>IF(OR(FL$4="",$B41=""),0,SUMIF('DADOS BRUTOS'!$A$3:$A$500,$B41,'DADOS BRUTOS'!CL$3:CL$500)+IF($C41="",0,SUMIF('DADOS BRUTOS'!$A$3:$A$500,$C41,'DADOS BRUTOS'!CL$3:CL$500)))</f>
        <v/>
      </c>
      <c r="FM41" s="125">
        <f>IF(OR(FM$4="",$B41=""),0,SUMIF('DADOS BRUTOS'!$A$3:$A$500,$B41,'DADOS BRUTOS'!CM$3:CM$500)+IF($C41="",0,SUMIF('DADOS BRUTOS'!$A$3:$A$500,$C41,'DADOS BRUTOS'!CM$3:CM$500)))</f>
        <v/>
      </c>
      <c r="FN41" s="125">
        <f>IF(OR(FN$4="",$B41=""),0,SUMIF('DADOS BRUTOS'!$A$3:$A$500,$B41,'DADOS BRUTOS'!CN$3:CN$500)+IF($C41="",0,SUMIF('DADOS BRUTOS'!$A$3:$A$500,$C41,'DADOS BRUTOS'!CN$3:CN$500)))</f>
        <v/>
      </c>
      <c r="FO41" s="125">
        <f>IF(OR(FO$4="",$B41=""),0,SUMIF('DADOS BRUTOS'!$A$3:$A$500,$B41,'DADOS BRUTOS'!CO$3:CO$500)+IF($C41="",0,SUMIF('DADOS BRUTOS'!$A$3:$A$500,$C41,'DADOS BRUTOS'!CO$3:CO$500)))</f>
        <v/>
      </c>
      <c r="FP41" s="125">
        <f>IF(OR(FP$4="",$B41=""),0,SUMIF('DADOS BRUTOS'!$A$3:$A$500,$B41,'DADOS BRUTOS'!CP$3:CP$500)+IF($C41="",0,SUMIF('DADOS BRUTOS'!$A$3:$A$500,$C41,'DADOS BRUTOS'!CP$3:CP$500)))</f>
        <v/>
      </c>
      <c r="FQ41" s="125">
        <f>IF(OR(FQ$4="",$B41=""),0,SUMIF('DADOS BRUTOS'!$A$3:$A$500,$B41,'DADOS BRUTOS'!CQ$3:CQ$500)+IF($C41="",0,SUMIF('DADOS BRUTOS'!$A$3:$A$500,$C41,'DADOS BRUTOS'!CQ$3:CQ$500)))</f>
        <v/>
      </c>
      <c r="FR41" s="125">
        <f>IF(OR(FR$4="",$B41=""),0,SUMIF('DADOS BRUTOS'!$A$3:$A$500,$B41,'DADOS BRUTOS'!CR$3:CR$500)+IF($C41="",0,SUMIF('DADOS BRUTOS'!$A$3:$A$500,$C41,'DADOS BRUTOS'!CR$3:CR$500)))</f>
        <v/>
      </c>
      <c r="FS41" s="125">
        <f>IF(OR(FS$4="",$B41=""),0,SUMIF('DADOS BRUTOS'!$A$3:$A$500,$B41,'DADOS BRUTOS'!CS$3:CS$500)+IF($C41="",0,SUMIF('DADOS BRUTOS'!$A$3:$A$500,$C41,'DADOS BRUTOS'!CS$3:CS$500)))</f>
        <v/>
      </c>
      <c r="FT41" s="125">
        <f>IF(OR(FT$4="",$B41=""),0,SUMIF('DADOS BRUTOS'!$A$3:$A$500,$B41,'DADOS BRUTOS'!CT$3:CT$500)+IF($C41="",0,SUMIF('DADOS BRUTOS'!$A$3:$A$500,$C41,'DADOS BRUTOS'!CT$3:CT$500)))</f>
        <v/>
      </c>
      <c r="FU41" s="125">
        <f>IF(OR(FU$4="",$B41=""),0,SUMIF('DADOS BRUTOS'!$A$3:$A$500,$B41,'DADOS BRUTOS'!CU$3:CU$500)+IF($C41="",0,SUMIF('DADOS BRUTOS'!$A$3:$A$500,$C41,'DADOS BRUTOS'!CU$3:CU$500)))</f>
        <v/>
      </c>
      <c r="FV41" s="125">
        <f>IF(OR(FV$4="",$B41=""),0,SUMIF('DADOS BRUTOS'!$A$3:$A$500,$B41,'DADOS BRUTOS'!CV$3:CV$500)+IF($C41="",0,SUMIF('DADOS BRUTOS'!$A$3:$A$500,$C41,'DADOS BRUTOS'!CV$3:CV$500)))</f>
        <v/>
      </c>
      <c r="FW41" s="125">
        <f>IF(OR(FW$4="",$B41=""),0,SUMIF('DADOS BRUTOS'!$A$3:$A$500,$B41,'DADOS BRUTOS'!CW$3:CW$500)+IF($C41="",0,SUMIF('DADOS BRUTOS'!$A$3:$A$500,$C41,'DADOS BRUTOS'!CW$3:CW$500)))</f>
        <v/>
      </c>
      <c r="FX41" s="125">
        <f>IF(OR(FX$4="",$B41=""),0,SUMIF('DADOS BRUTOS'!$A$3:$A$500,$B41,'DADOS BRUTOS'!CX$3:CX$500)+IF($C41="",0,SUMIF('DADOS BRUTOS'!$A$3:$A$500,$C41,'DADOS BRUTOS'!CX$3:CX$500)))</f>
        <v/>
      </c>
      <c r="FY41" s="125">
        <f>IF(OR(FY$4="",$B41=""),0,SUMIF('DADOS BRUTOS'!$A$3:$A$500,$B41,'DADOS BRUTOS'!CY$3:CY$500)+IF($C41="",0,SUMIF('DADOS BRUTOS'!$A$3:$A$500,$C41,'DADOS BRUTOS'!CY$3:CY$500)))</f>
        <v/>
      </c>
      <c r="FZ41" s="125">
        <f>IF(OR(FZ$4="",$B41=""),0,SUMIF('DADOS BRUTOS'!$A$3:$A$500,$B41,'DADOS BRUTOS'!CZ$3:CZ$500)+IF($C41="",0,SUMIF('DADOS BRUTOS'!$A$3:$A$500,$C41,'DADOS BRUTOS'!CZ$3:CZ$500)))</f>
        <v/>
      </c>
      <c r="GA41" s="125">
        <f>IF(OR(GA$4="",$B41=""),0,SUMIF('DADOS BRUTOS'!$A$3:$A$500,$B41,'DADOS BRUTOS'!DA$3:DA$500)+IF($C41="",0,SUMIF('DADOS BRUTOS'!$A$3:$A$500,$C41,'DADOS BRUTOS'!DA$3:DA$500)))</f>
        <v/>
      </c>
      <c r="GB41" s="125">
        <f>IF(OR(GB$4="",$B41=""),0,SUMIF('DADOS BRUTOS'!$A$3:$A$500,$B41,'DADOS BRUTOS'!DB$3:DB$500)+IF($C41="",0,SUMIF('DADOS BRUTOS'!$A$3:$A$500,$C41,'DADOS BRUTOS'!DB$3:DB$500)))</f>
        <v/>
      </c>
      <c r="GC41" s="125">
        <f>IF(OR(GC$4="",$B41=""),0,SUMIF('DADOS BRUTOS'!$A$3:$A$500,$B41,'DADOS BRUTOS'!DC$3:DC$500)+IF($C41="",0,SUMIF('DADOS BRUTOS'!$A$3:$A$500,$C41,'DADOS BRUTOS'!DC$3:DC$500)))</f>
        <v/>
      </c>
      <c r="GD41" s="125">
        <f>IF(OR(GD$4="",$B41=""),0,SUMIF('DADOS BRUTOS'!$A$3:$A$500,$B41,'DADOS BRUTOS'!DD$3:DD$500)+IF($C41="",0,SUMIF('DADOS BRUTOS'!$A$3:$A$500,$C41,'DADOS BRUTOS'!DD$3:DD$500)))</f>
        <v/>
      </c>
      <c r="GE41" s="125">
        <f>IF(OR(GE$4="",$B41=""),0,SUMIF('DADOS BRUTOS'!$A$3:$A$500,$B41,'DADOS BRUTOS'!DE$3:DE$500)+IF($C41="",0,SUMIF('DADOS BRUTOS'!$A$3:$A$500,$C41,'DADOS BRUTOS'!DE$3:DE$500)))</f>
        <v/>
      </c>
      <c r="GF41" s="125">
        <f>IF(OR(GF$4="",$B41=""),0,SUMIF('DADOS BRUTOS'!$A$3:$A$500,$B41,'DADOS BRUTOS'!DF$3:DF$500)+IF($C41="",0,SUMIF('DADOS BRUTOS'!$A$3:$A$500,$C41,'DADOS BRUTOS'!DF$3:DF$500)))</f>
        <v/>
      </c>
      <c r="GG41" s="125">
        <f>IF(OR(GG$4="",$B41=""),0,SUMIF('DADOS BRUTOS'!$A$3:$A$500,$B41,'DADOS BRUTOS'!DG$3:DG$500)+IF($C41="",0,SUMIF('DADOS BRUTOS'!$A$3:$A$500,$C41,'DADOS BRUTOS'!DG$3:DG$500)))</f>
        <v/>
      </c>
      <c r="GH41" s="125">
        <f>IF(OR(GH$4="",$B41=""),0,SUMIF('DADOS BRUTOS'!$A$3:$A$500,$B41,'DADOS BRUTOS'!DH$3:DH$500)+IF($C41="",0,SUMIF('DADOS BRUTOS'!$A$3:$A$500,$C41,'DADOS BRUTOS'!DH$3:DH$500)))</f>
        <v/>
      </c>
      <c r="GI41" s="125">
        <f>IF(OR(GI$4="",$B41=""),0,SUMIF('DADOS BRUTOS'!$A$3:$A$500,$B41,'DADOS BRUTOS'!DI$3:DI$500)+IF($C41="",0,SUMIF('DADOS BRUTOS'!$A$3:$A$500,$C41,'DADOS BRUTOS'!DI$3:DI$500)))</f>
        <v/>
      </c>
      <c r="GJ41" s="125">
        <f>IF(OR(GJ$4="",$B41=""),0,SUMIF('DADOS BRUTOS'!$A$3:$A$500,$B41,'DADOS BRUTOS'!DJ$3:DJ$500)+IF($C41="",0,SUMIF('DADOS BRUTOS'!$A$3:$A$500,$C41,'DADOS BRUTOS'!DJ$3:DJ$500)))</f>
        <v/>
      </c>
      <c r="GK41" s="125">
        <f>IF(OR(GK$4="",$B41=""),0,SUMIF('DADOS BRUTOS'!$A$3:$A$500,$B41,'DADOS BRUTOS'!DK$3:DK$500)+IF($C41="",0,SUMIF('DADOS BRUTOS'!$A$3:$A$500,$C41,'DADOS BRUTOS'!DK$3:DK$500)))</f>
        <v/>
      </c>
      <c r="GL41" s="125">
        <f>IF(OR(GL$4="",$B41=""),0,SUMIF('DADOS BRUTOS'!$A$3:$A$500,$B41,'DADOS BRUTOS'!DL$3:DL$500)+IF($C41="",0,SUMIF('DADOS BRUTOS'!$A$3:$A$500,$C41,'DADOS BRUTOS'!DL$3:DL$500)))</f>
        <v/>
      </c>
      <c r="GM41" s="125">
        <f>IF(OR(GM$4="",$B41=""),0,SUMIF('DADOS BRUTOS'!$A$3:$A$500,$B41,'DADOS BRUTOS'!DM$3:DM$500)+IF($C41="",0,SUMIF('DADOS BRUTOS'!$A$3:$A$500,$C41,'DADOS BRUTOS'!DM$3:DM$500)))</f>
        <v/>
      </c>
      <c r="GN41" s="125">
        <f>IF(OR(GN$4="",$B41=""),0,SUMIF('DADOS BRUTOS'!$A$3:$A$500,$B41,'DADOS BRUTOS'!DN$3:DN$500)+IF($C41="",0,SUMIF('DADOS BRUTOS'!$A$3:$A$500,$C41,'DADOS BRUTOS'!DN$3:DN$500)))</f>
        <v/>
      </c>
      <c r="GO41" s="125">
        <f>IF(OR(GO$4="",$B41=""),0,SUMIF('DADOS BRUTOS'!$A$3:$A$500,$B41,'DADOS BRUTOS'!DO$3:DO$500)+IF($C41="",0,SUMIF('DADOS BRUTOS'!$A$3:$A$500,$C41,'DADOS BRUTOS'!DO$3:DO$500)))</f>
        <v/>
      </c>
      <c r="GP41" s="125">
        <f>IF(OR(GP$4="",$B41=""),0,SUMIF('DADOS BRUTOS'!$A$3:$A$500,$B41,'DADOS BRUTOS'!DP$3:DP$500)+IF($C41="",0,SUMIF('DADOS BRUTOS'!$A$3:$A$500,$C41,'DADOS BRUTOS'!DP$3:DP$500)))</f>
        <v/>
      </c>
      <c r="GQ41" s="125">
        <f>IF(OR(GQ$4="",$B41=""),0,SUMIF('DADOS BRUTOS'!$A$3:$A$500,$B41,'DADOS BRUTOS'!DQ$3:DQ$500)+IF($C41="",0,SUMIF('DADOS BRUTOS'!$A$3:$A$500,$C41,'DADOS BRUTOS'!DQ$3:DQ$500)))</f>
        <v/>
      </c>
      <c r="GR41" s="125">
        <f>IF(OR(GR$4="",$B41=""),0,SUMIF('DADOS BRUTOS'!$A$3:$A$500,$B41,'DADOS BRUTOS'!DR$3:DR$500)+IF($C41="",0,SUMIF('DADOS BRUTOS'!$A$3:$A$500,$C41,'DADOS BRUTOS'!DR$3:DR$500)))</f>
        <v/>
      </c>
      <c r="GS41" s="125">
        <f>IF(OR(GS$4="",$B41=""),0,SUMIF('DADOS BRUTOS'!$A$3:$A$500,$B41,'DADOS BRUTOS'!DS$3:DS$500)+IF($C41="",0,SUMIF('DADOS BRUTOS'!$A$3:$A$500,$C41,'DADOS BRUTOS'!DS$3:DS$500)))</f>
        <v/>
      </c>
      <c r="GT41" s="125">
        <f>IF(OR(GT$4="",$B41=""),0,SUMIF('DADOS BRUTOS'!$A$3:$A$500,$B41,'DADOS BRUTOS'!DT$3:DT$500)+IF($C41="",0,SUMIF('DADOS BRUTOS'!$A$3:$A$500,$C41,'DADOS BRUTOS'!DT$3:DT$500)))</f>
        <v/>
      </c>
      <c r="GU41" s="125">
        <f>IF(OR(GU$4="",$B41=""),0,SUMIF('DADOS BRUTOS'!$A$3:$A$500,$B41,'DADOS BRUTOS'!DU$3:DU$500)+IF($C41="",0,SUMIF('DADOS BRUTOS'!$A$3:$A$500,$C41,'DADOS BRUTOS'!DU$3:DU$500)))</f>
        <v/>
      </c>
      <c r="GV41" s="125">
        <f>IF(OR(GV$4="",$B41=""),0,SUMIF('DADOS BRUTOS'!$A$3:$A$500,$B41,'DADOS BRUTOS'!DV$3:DV$500)+IF($C41="",0,SUMIF('DADOS BRUTOS'!$A$3:$A$500,$C41,'DADOS BRUTOS'!DV$3:DV$500)))</f>
        <v/>
      </c>
      <c r="GW41" s="125">
        <f>IF(OR(GW$4="",$B41=""),0,SUMIF('DADOS BRUTOS'!$A$3:$A$500,$B41,'DADOS BRUTOS'!DW$3:DW$500)+IF($C41="",0,SUMIF('DADOS BRUTOS'!$A$3:$A$500,$C41,'DADOS BRUTOS'!DW$3:DW$500)))</f>
        <v/>
      </c>
      <c r="GX41" s="125">
        <f>IF(OR(GX$4="",$B41=""),0,SUMIF('DADOS BRUTOS'!$A$3:$A$500,$B41,'DADOS BRUTOS'!DX$3:DX$500)+IF($C41="",0,SUMIF('DADOS BRUTOS'!$A$3:$A$500,$C41,'DADOS BRUTOS'!DX$3:DX$500)))</f>
        <v/>
      </c>
      <c r="GY41" s="125">
        <f>IF(OR(GY$4="",$B41=""),0,SUMIF('DADOS BRUTOS'!$A$3:$A$500,$B41,'DADOS BRUTOS'!DY$3:DY$500)+IF($C41="",0,SUMIF('DADOS BRUTOS'!$A$3:$A$500,$C41,'DADOS BRUTOS'!DY$3:DY$500)))</f>
        <v/>
      </c>
      <c r="GZ41" s="125">
        <f>IF(OR(GZ$4="",$B41=""),0,SUMIF('DADOS BRUTOS'!$A$3:$A$500,$B41,'DADOS BRUTOS'!DZ$3:DZ$500)+IF($C41="",0,SUMIF('DADOS BRUTOS'!$A$3:$A$500,$C41,'DADOS BRUTOS'!DZ$3:DZ$500)))</f>
        <v/>
      </c>
      <c r="HA41" s="125">
        <f>IF(OR(HA$4="",$B41=""),0,SUMIF('DADOS BRUTOS'!$A$3:$A$500,$B41,'DADOS BRUTOS'!EA$3:EA$500)+IF($C41="",0,SUMIF('DADOS BRUTOS'!$A$3:$A$500,$C41,'DADOS BRUTOS'!EA$3:EA$500)))</f>
        <v/>
      </c>
      <c r="HB41" s="125">
        <f>IF(OR(HB$4="",$B41=""),0,SUMIF('DADOS BRUTOS'!$A$3:$A$500,$B41,'DADOS BRUTOS'!EB$3:EB$500)+IF($C41="",0,SUMIF('DADOS BRUTOS'!$A$3:$A$500,$C41,'DADOS BRUTOS'!EB$3:EB$500)))</f>
        <v/>
      </c>
      <c r="HC41" s="125">
        <f>IF(OR(HC$4="",$B41=""),0,SUMIF('DADOS BRUTOS'!$A$3:$A$500,$B41,'DADOS BRUTOS'!EC$3:EC$500)+IF($C41="",0,SUMIF('DADOS BRUTOS'!$A$3:$A$500,$C41,'DADOS BRUTOS'!EC$3:EC$500)))</f>
        <v/>
      </c>
      <c r="HD41" s="125">
        <f>IF(OR(HD$4="",$B41=""),0,SUMIF('DADOS BRUTOS'!$A$3:$A$500,$B41,'DADOS BRUTOS'!ED$3:ED$500)+IF($C41="",0,SUMIF('DADOS BRUTOS'!$A$3:$A$500,$C41,'DADOS BRUTOS'!ED$3:ED$500)))</f>
        <v/>
      </c>
      <c r="HE41" s="125">
        <f>IF(OR(HE$4="",$B41=""),0,SUMIF('DADOS BRUTOS'!$A$3:$A$500,$B41,'DADOS BRUTOS'!EE$3:EE$500)+IF($C41="",0,SUMIF('DADOS BRUTOS'!$A$3:$A$500,$C41,'DADOS BRUTOS'!EE$3:EE$500)))</f>
        <v/>
      </c>
      <c r="HF41" s="125">
        <f>IF(OR(HF$4="",$B41=""),0,SUMIF('DADOS BRUTOS'!$A$3:$A$500,$B41,'DADOS BRUTOS'!EF$3:EF$500)+IF($C41="",0,SUMIF('DADOS BRUTOS'!$A$3:$A$500,$C41,'DADOS BRUTOS'!EF$3:EF$500)))</f>
        <v/>
      </c>
      <c r="HG41" s="125">
        <f>IF(OR(HG$4="",$B41=""),0,SUMIF('DADOS BRUTOS'!$A$3:$A$500,$B41,'DADOS BRUTOS'!EG$3:EG$500)+IF($C41="",0,SUMIF('DADOS BRUTOS'!$A$3:$A$500,$C41,'DADOS BRUTOS'!EG$3:EG$500)))</f>
        <v/>
      </c>
      <c r="HH41" s="125">
        <f>IF(OR(HH$4="",$B41=""),0,SUMIF('DADOS BRUTOS'!$A$3:$A$500,$B41,'DADOS BRUTOS'!EH$3:EH$500)+IF($C41="",0,SUMIF('DADOS BRUTOS'!$A$3:$A$500,$C41,'DADOS BRUTOS'!EH$3:EH$500)))</f>
        <v/>
      </c>
      <c r="HI41" s="125">
        <f>IF(OR(HI$4="",$B41=""),0,SUMIF('DADOS BRUTOS'!$A$3:$A$500,$B41,'DADOS BRUTOS'!EI$3:EI$500)+IF($C41="",0,SUMIF('DADOS BRUTOS'!$A$3:$A$500,$C41,'DADOS BRUTOS'!EI$3:EI$500)))</f>
        <v/>
      </c>
      <c r="HJ41" s="125">
        <f>IF(OR(HJ$4="",$B41=""),0,SUMIF('DADOS BRUTOS'!$A$3:$A$500,$B41,'DADOS BRUTOS'!EJ$3:EJ$500)+IF($C41="",0,SUMIF('DADOS BRUTOS'!$A$3:$A$500,$C41,'DADOS BRUTOS'!EJ$3:EJ$500)))</f>
        <v/>
      </c>
      <c r="HK41" s="125">
        <f>IF(OR(HK$4="",$B41=""),0,SUMIF('DADOS BRUTOS'!$A$3:$A$500,$B41,'DADOS BRUTOS'!EK$3:EK$500)+IF($C41="",0,SUMIF('DADOS BRUTOS'!$A$3:$A$500,$C41,'DADOS BRUTOS'!EK$3:EK$500)))</f>
        <v/>
      </c>
      <c r="HL41" s="125">
        <f>IF(OR(HL$4="",$B41=""),0,SUMIF('DADOS BRUTOS'!$A$3:$A$500,$B41,'DADOS BRUTOS'!EL$3:EL$500)+IF($C41="",0,SUMIF('DADOS BRUTOS'!$A$3:$A$500,$C41,'DADOS BRUTOS'!EL$3:EL$500)))</f>
        <v/>
      </c>
      <c r="HM41" s="125">
        <f>IF(OR(HM$4="",$B41=""),0,SUMIF('DADOS BRUTOS'!$A$3:$A$500,$B41,'DADOS BRUTOS'!EM$3:EM$500)+IF($C41="",0,SUMIF('DADOS BRUTOS'!$A$3:$A$500,$C41,'DADOS BRUTOS'!EM$3:EM$500)))</f>
        <v/>
      </c>
      <c r="HN41" s="125">
        <f>IF(OR(HN$4="",$B41=""),0,SUMIF('DADOS BRUTOS'!$A$3:$A$500,$B41,'DADOS BRUTOS'!EN$3:EN$500)+IF($C41="",0,SUMIF('DADOS BRUTOS'!$A$3:$A$500,$C41,'DADOS BRUTOS'!EN$3:EN$500)))</f>
        <v/>
      </c>
      <c r="HO41" s="125">
        <f>IF(OR(HO$4="",$B41=""),0,SUMIF('DADOS BRUTOS'!$A$3:$A$500,$B41,'DADOS BRUTOS'!EO$3:EO$500)+IF($C41="",0,SUMIF('DADOS BRUTOS'!$A$3:$A$500,$C41,'DADOS BRUTOS'!EO$3:EO$500)))</f>
        <v/>
      </c>
      <c r="HP41" s="125">
        <f>IF(OR(HP$4="",$B41=""),0,SUMIF('DADOS BRUTOS'!$A$3:$A$500,$B41,'DADOS BRUTOS'!EP$3:EP$500)+IF($C41="",0,SUMIF('DADOS BRUTOS'!$A$3:$A$500,$C41,'DADOS BRUTOS'!EP$3:EP$500)))</f>
        <v/>
      </c>
      <c r="HQ41" s="125">
        <f>IF(OR(HQ$4="",$B41=""),0,SUMIF('DADOS BRUTOS'!$A$3:$A$500,$B41,'DADOS BRUTOS'!EQ$3:EQ$500)+IF($C41="",0,SUMIF('DADOS BRUTOS'!$A$3:$A$500,$C41,'DADOS BRUTOS'!EQ$3:EQ$500)))</f>
        <v/>
      </c>
      <c r="HR41" s="125">
        <f>IF(OR(HR$4="",$B41=""),0,SUMIF('DADOS BRUTOS'!$A$3:$A$500,$B41,'DADOS BRUTOS'!ER$3:ER$500)+IF($C41="",0,SUMIF('DADOS BRUTOS'!$A$3:$A$500,$C41,'DADOS BRUTOS'!ER$3:ER$500)))</f>
        <v/>
      </c>
      <c r="HS41" s="125">
        <f>IF(OR(HS$4="",$B41=""),0,SUMIF('DADOS BRUTOS'!$A$3:$A$500,$B41,'DADOS BRUTOS'!ES$3:ES$500)+IF($C41="",0,SUMIF('DADOS BRUTOS'!$A$3:$A$500,$C41,'DADOS BRUTOS'!ES$3:ES$500)))</f>
        <v/>
      </c>
      <c r="HT41" s="125">
        <f>IF(OR(HT$4="",$B41=""),0,SUMIF('DADOS BRUTOS'!$A$3:$A$500,$B41,'DADOS BRUTOS'!ET$3:ET$500)+IF($C41="",0,SUMIF('DADOS BRUTOS'!$A$3:$A$500,$C41,'DADOS BRUTOS'!ET$3:ET$500)))</f>
        <v/>
      </c>
      <c r="HU41" s="125">
        <f>IF(OR(HU$4="",$B41=""),0,SUMIF('DADOS BRUTOS'!$A$3:$A$500,$B41,'DADOS BRUTOS'!EU$3:EU$500)+IF($C41="",0,SUMIF('DADOS BRUTOS'!$A$3:$A$500,$C41,'DADOS BRUTOS'!EU$3:EU$500)))</f>
        <v/>
      </c>
      <c r="HV41" s="125">
        <f>IF(OR(HV$4="",$B41=""),0,SUMIF('DADOS BRUTOS'!$A$3:$A$500,$B41,'DADOS BRUTOS'!EV$3:EV$500)+IF($C41="",0,SUMIF('DADOS BRUTOS'!$A$3:$A$500,$C41,'DADOS BRUTOS'!EV$3:EV$500)))</f>
        <v/>
      </c>
      <c r="HW41" s="125">
        <f>IF(OR(HW$4="",$B41=""),0,SUMIF('DADOS BRUTOS'!$A$3:$A$500,$B41,'DADOS BRUTOS'!EW$3:EW$500)+IF($C41="",0,SUMIF('DADOS BRUTOS'!$A$3:$A$500,$C41,'DADOS BRUTOS'!EW$3:EW$500)))</f>
        <v/>
      </c>
      <c r="HX41" s="125">
        <f>IF(OR(HX$4="",$B41=""),0,SUMIF('DADOS BRUTOS'!$A$3:$A$500,$B41,'DADOS BRUTOS'!EX$3:EX$500)+IF($C41="",0,SUMIF('DADOS BRUTOS'!$A$3:$A$500,$C41,'DADOS BRUTOS'!EX$3:EX$500)))</f>
        <v/>
      </c>
      <c r="HY41" s="125">
        <f>IF(OR(HY$4="",$B41=""),0,SUMIF('DADOS BRUTOS'!$A$3:$A$500,$B41,'DADOS BRUTOS'!EY$3:EY$500)+IF($C41="",0,SUMIF('DADOS BRUTOS'!$A$3:$A$500,$C41,'DADOS BRUTOS'!EY$3:EY$500)))</f>
        <v/>
      </c>
      <c r="HZ41" s="125">
        <f>IF(OR(HZ$4="",$B41=""),0,SUMIF('DADOS BRUTOS'!$A$3:$A$500,$B41,'DADOS BRUTOS'!EZ$3:EZ$500)+IF($C41="",0,SUMIF('DADOS BRUTOS'!$A$3:$A$500,$C41,'DADOS BRUTOS'!EZ$3:EZ$500)))</f>
        <v/>
      </c>
      <c r="IA41" s="125">
        <f>IF(OR(IA$4="",$B41=""),0,SUMIF('DADOS BRUTOS'!$A$3:$A$500,$B41,'DADOS BRUTOS'!FA$3:FA$500)+IF($C41="",0,SUMIF('DADOS BRUTOS'!$A$3:$A$500,$C41,'DADOS BRUTOS'!FA$3:FA$500)))</f>
        <v/>
      </c>
      <c r="IB41" s="125">
        <f>IF(OR(IB$4="",$B41=""),0,SUMIF('DADOS BRUTOS'!$A$3:$A$500,$B41,'DADOS BRUTOS'!FB$3:FB$500)+IF($C41="",0,SUMIF('DADOS BRUTOS'!$A$3:$A$500,$C41,'DADOS BRUTOS'!FB$3:FB$500)))</f>
        <v/>
      </c>
      <c r="IC41" s="125">
        <f>IF(OR(IC$4="",$B41=""),0,SUMIF('DADOS BRUTOS'!$A$3:$A$500,$B41,'DADOS BRUTOS'!FC$3:FC$500)+IF($C41="",0,SUMIF('DADOS BRUTOS'!$A$3:$A$500,$C41,'DADOS BRUTOS'!FC$3:FC$500)))</f>
        <v/>
      </c>
      <c r="ID41" s="125">
        <f>IF(OR(ID$4="",$B41=""),0,SUMIF('DADOS BRUTOS'!$A$3:$A$500,$B41,'DADOS BRUTOS'!FD$3:FD$500)+IF($C41="",0,SUMIF('DADOS BRUTOS'!$A$3:$A$500,$C41,'DADOS BRUTOS'!FD$3:FD$500)))</f>
        <v/>
      </c>
      <c r="IE41" s="125">
        <f>IF(OR(IE$4="",$B41=""),0,SUMIF('DADOS BRUTOS'!$A$3:$A$500,$B41,'DADOS BRUTOS'!FE$3:FE$500)+IF($C41="",0,SUMIF('DADOS BRUTOS'!$A$3:$A$500,$C41,'DADOS BRUTOS'!FE$3:FE$500)))</f>
        <v/>
      </c>
      <c r="IF41" s="125">
        <f>IF(OR(IF$4="",$B41=""),0,SUMIF('DADOS BRUTOS'!$A$3:$A$500,$B41,'DADOS BRUTOS'!FF$3:FF$500)+IF($C41="",0,SUMIF('DADOS BRUTOS'!$A$3:$A$500,$C41,'DADOS BRUTOS'!FF$3:FF$500)))</f>
        <v/>
      </c>
      <c r="IG41" s="125">
        <f>IF(OR(IG$4="",$B41=""),0,SUMIF('DADOS BRUTOS'!$A$3:$A$500,$B41,'DADOS BRUTOS'!FG$3:FG$500)+IF($C41="",0,SUMIF('DADOS BRUTOS'!$A$3:$A$500,$C41,'DADOS BRUTOS'!FG$3:FG$500)))</f>
        <v/>
      </c>
      <c r="IH41" s="125">
        <f>IF(OR(IH$4="",$B41=""),0,SUMIF('DADOS BRUTOS'!$A$3:$A$500,$B41,'DADOS BRUTOS'!FH$3:FH$500)+IF($C41="",0,SUMIF('DADOS BRUTOS'!$A$3:$A$500,$C41,'DADOS BRUTOS'!FH$3:FH$500)))</f>
        <v/>
      </c>
      <c r="II41" s="125">
        <f>IF(OR(II$4="",$B41=""),0,SUMIF('DADOS BRUTOS'!$A$3:$A$500,$B41,'DADOS BRUTOS'!FI$3:FI$500)+IF($C41="",0,SUMIF('DADOS BRUTOS'!$A$3:$A$500,$C41,'DADOS BRUTOS'!FI$3:FI$500)))</f>
        <v/>
      </c>
      <c r="IJ41" s="125">
        <f>IF(OR(IJ$4="",$B41=""),0,SUMIF('DADOS BRUTOS'!$A$3:$A$500,$B41,'DADOS BRUTOS'!FJ$3:FJ$500)+IF($C41="",0,SUMIF('DADOS BRUTOS'!$A$3:$A$500,$C41,'DADOS BRUTOS'!FJ$3:FJ$500)))</f>
        <v/>
      </c>
      <c r="IK41" s="125">
        <f>IF(OR(IK$4="",$B41=""),0,SUMIF('DADOS BRUTOS'!$A$3:$A$500,$B41,'DADOS BRUTOS'!FK$3:FK$500)+IF($C41="",0,SUMIF('DADOS BRUTOS'!$A$3:$A$500,$C41,'DADOS BRUTOS'!FK$3:FK$500)))</f>
        <v/>
      </c>
      <c r="IL41" s="125">
        <f>IF(OR(IL$4="",$B41=""),0,SUMIF('DADOS BRUTOS'!$A$3:$A$500,$B41,'DADOS BRUTOS'!FL$3:FL$500)+IF($C41="",0,SUMIF('DADOS BRUTOS'!$A$3:$A$500,$C41,'DADOS BRUTOS'!FL$3:FL$500)))</f>
        <v/>
      </c>
      <c r="IM41" s="125">
        <f>IF(OR(IM$4="",$B41=""),0,SUMIF('DADOS BRUTOS'!$A$3:$A$500,$B41,'DADOS BRUTOS'!FM$3:FM$500)+IF($C41="",0,SUMIF('DADOS BRUTOS'!$A$3:$A$500,$C41,'DADOS BRUTOS'!FM$3:FM$500)))</f>
        <v/>
      </c>
      <c r="IN41" s="125">
        <f>IF(OR(IN$4="",$B41=""),0,SUMIF('DADOS BRUTOS'!$A$3:$A$500,$B41,'DADOS BRUTOS'!FN$3:FN$500)+IF($C41="",0,SUMIF('DADOS BRUTOS'!$A$3:$A$500,$C41,'DADOS BRUTOS'!FN$3:FN$500)))</f>
        <v/>
      </c>
      <c r="IO41" s="125">
        <f>IF(OR(IO$4="",$B41=""),0,SUMIF('DADOS BRUTOS'!$A$3:$A$500,$B41,'DADOS BRUTOS'!FO$3:FO$500)+IF($C41="",0,SUMIF('DADOS BRUTOS'!$A$3:$A$500,$C41,'DADOS BRUTOS'!FO$3:FO$500)))</f>
        <v/>
      </c>
      <c r="IP41" s="125">
        <f>IF(OR(IP$4="",$B41=""),0,SUMIF('DADOS BRUTOS'!$A$3:$A$500,$B41,'DADOS BRUTOS'!FP$3:FP$500)+IF($C41="",0,SUMIF('DADOS BRUTOS'!$A$3:$A$500,$C41,'DADOS BRUTOS'!FP$3:FP$500)))</f>
        <v/>
      </c>
      <c r="IQ41" s="125">
        <f>IF(OR(IQ$4="",$B41=""),0,SUMIF('DADOS BRUTOS'!$A$3:$A$500,$B41,'DADOS BRUTOS'!FQ$3:FQ$500)+IF($C41="",0,SUMIF('DADOS BRUTOS'!$A$3:$A$500,$C41,'DADOS BRUTOS'!FQ$3:FQ$500)))</f>
        <v/>
      </c>
      <c r="IR41" s="125">
        <f>IF(OR(IR$4="",$B41=""),0,SUMIF('DADOS BRUTOS'!$A$3:$A$500,$B41,'DADOS BRUTOS'!FR$3:FR$500)+IF($C41="",0,SUMIF('DADOS BRUTOS'!$A$3:$A$500,$C41,'DADOS BRUTOS'!FR$3:FR$500)))</f>
        <v/>
      </c>
      <c r="IS41" s="125">
        <f>IF(OR(IS$4="",$B41=""),0,SUMIF('DADOS BRUTOS'!$A$3:$A$500,$B41,'DADOS BRUTOS'!FS$3:FS$500)+IF($C41="",0,SUMIF('DADOS BRUTOS'!$A$3:$A$500,$C41,'DADOS BRUTOS'!FS$3:FS$500)))</f>
        <v/>
      </c>
      <c r="IT41" s="125">
        <f>IF(OR(IT$4="",$B41=""),0,SUMIF('DADOS BRUTOS'!$A$3:$A$500,$B41,'DADOS BRUTOS'!FT$3:FT$500)+IF($C41="",0,SUMIF('DADOS BRUTOS'!$A$3:$A$500,$C41,'DADOS BRUTOS'!FT$3:FT$500)))</f>
        <v/>
      </c>
      <c r="IU41" s="125">
        <f>IF(OR(IU$4="",$B41=""),0,SUMIF('DADOS BRUTOS'!$A$3:$A$500,$B41,'DADOS BRUTOS'!FU$3:FU$500)+IF($C41="",0,SUMIF('DADOS BRUTOS'!$A$3:$A$500,$C41,'DADOS BRUTOS'!FU$3:FU$500)))</f>
        <v/>
      </c>
      <c r="IV41" s="125">
        <f>IF(OR(IV$4="",$B41=""),0,SUMIF('DADOS BRUTOS'!$A$3:$A$500,$B41,'DADOS BRUTOS'!FV$3:FV$500)+IF($C41="",0,SUMIF('DADOS BRUTOS'!$A$3:$A$500,$C41,'DADOS BRUTOS'!FV$3:FV$500)))</f>
        <v/>
      </c>
      <c r="IW41" s="125">
        <f>IF(OR(IW$4="",$B41=""),0,SUMIF('DADOS BRUTOS'!$A$3:$A$500,$B41,'DADOS BRUTOS'!FW$3:FW$500)+IF($C41="",0,SUMIF('DADOS BRUTOS'!$A$3:$A$500,$C41,'DADOS BRUTOS'!FW$3:FW$500)))</f>
        <v/>
      </c>
      <c r="IX41" s="125">
        <f>IF(OR(IX$4="",$B41=""),0,SUMIF('DADOS BRUTOS'!$A$3:$A$500,$B41,'DADOS BRUTOS'!FX$3:FX$500)+IF($C41="",0,SUMIF('DADOS BRUTOS'!$A$3:$A$500,$C41,'DADOS BRUTOS'!FX$3:FX$500)))</f>
        <v/>
      </c>
      <c r="IY41" s="125">
        <f>IF(OR(IY$4="",$B41=""),0,SUMIF('DADOS BRUTOS'!$A$3:$A$500,$B41,'DADOS BRUTOS'!FY$3:FY$500)+IF($C41="",0,SUMIF('DADOS BRUTOS'!$A$3:$A$500,$C41,'DADOS BRUTOS'!FY$3:FY$500)))</f>
        <v/>
      </c>
      <c r="IZ41" s="125">
        <f>IF(OR(IZ$4="",$B41=""),0,SUMIF('DADOS BRUTOS'!$A$3:$A$500,$B41,'DADOS BRUTOS'!FZ$3:FZ$500)+IF($C41="",0,SUMIF('DADOS BRUTOS'!$A$3:$A$500,$C41,'DADOS BRUTOS'!FZ$3:FZ$500)))</f>
        <v/>
      </c>
      <c r="JA41" s="125">
        <f>IF(OR(JA$4="",$B41=""),0,SUMIF('DADOS BRUTOS'!$A$3:$A$500,$B41,'DADOS BRUTOS'!GA$3:GA$500)+IF($C41="",0,SUMIF('DADOS BRUTOS'!$A$3:$A$500,$C41,'DADOS BRUTOS'!GA$3:GA$500)))</f>
        <v/>
      </c>
      <c r="JB41" s="125">
        <f>IF(OR(JB$4="",$B41=""),0,SUMIF('DADOS BRUTOS'!$A$3:$A$500,$B41,'DADOS BRUTOS'!GB$3:GB$500)+IF($C41="",0,SUMIF('DADOS BRUTOS'!$A$3:$A$500,$C41,'DADOS BRUTOS'!GB$3:GB$500)))</f>
        <v/>
      </c>
      <c r="JC41" s="125">
        <f>IF(OR(JC$4="",$B41=""),0,SUMIF('DADOS BRUTOS'!$A$3:$A$500,$B41,'DADOS BRUTOS'!GC$3:GC$500)+IF($C41="",0,SUMIF('DADOS BRUTOS'!$A$3:$A$500,$C41,'DADOS BRUTOS'!GC$3:GC$500)))</f>
        <v/>
      </c>
      <c r="JD41" s="125">
        <f>IF(OR(JD$4="",$B41=""),0,SUMIF('DADOS BRUTOS'!$A$3:$A$500,$B41,'DADOS BRUTOS'!GD$3:GD$500)+IF($C41="",0,SUMIF('DADOS BRUTOS'!$A$3:$A$500,$C41,'DADOS BRUTOS'!GD$3:GD$500)))</f>
        <v/>
      </c>
      <c r="JE41" s="125">
        <f>IF(OR(JE$4="",$B41=""),0,SUMIF('DADOS BRUTOS'!$A$3:$A$500,$B41,'DADOS BRUTOS'!GE$3:GE$500)+IF($C41="",0,SUMIF('DADOS BRUTOS'!$A$3:$A$500,$C41,'DADOS BRUTOS'!GE$3:GE$500)))</f>
        <v/>
      </c>
      <c r="JF41" s="125">
        <f>IF(OR(JF$4="",$B41=""),0,SUMIF('DADOS BRUTOS'!$A$3:$A$500,$B41,'DADOS BRUTOS'!GF$3:GF$500)+IF($C41="",0,SUMIF('DADOS BRUTOS'!$A$3:$A$500,$C41,'DADOS BRUTOS'!GF$3:GF$500)))</f>
        <v/>
      </c>
      <c r="JG41" s="125">
        <f>IF(OR(JG$4="",$B41=""),0,SUMIF('DADOS BRUTOS'!$A$3:$A$500,$B41,'DADOS BRUTOS'!GG$3:GG$500)+IF($C41="",0,SUMIF('DADOS BRUTOS'!$A$3:$A$500,$C41,'DADOS BRUTOS'!GG$3:GG$500)))</f>
        <v/>
      </c>
      <c r="JH41" s="125">
        <f>IF(OR(JH$4="",$B41=""),0,SUMIF('DADOS BRUTOS'!$A$3:$A$500,$B41,'DADOS BRUTOS'!GH$3:GH$500)+IF($C41="",0,SUMIF('DADOS BRUTOS'!$A$3:$A$500,$C41,'DADOS BRUTOS'!GH$3:GH$500)))</f>
        <v/>
      </c>
      <c r="JI41" s="125">
        <f>IF(OR(JI$4="",$B41=""),0,SUMIF('DADOS BRUTOS'!$A$3:$A$500,$B41,'DADOS BRUTOS'!GI$3:GI$500)+IF($C41="",0,SUMIF('DADOS BRUTOS'!$A$3:$A$500,$C41,'DADOS BRUTOS'!GI$3:GI$500)))</f>
        <v/>
      </c>
      <c r="JJ41" s="125">
        <f>IF(OR(JJ$4="",$B41=""),0,SUMIF('DADOS BRUTOS'!$A$3:$A$500,$B41,'DADOS BRUTOS'!GJ$3:GJ$500)+IF($C41="",0,SUMIF('DADOS BRUTOS'!$A$3:$A$500,$C41,'DADOS BRUTOS'!GJ$3:GJ$500)))</f>
        <v/>
      </c>
      <c r="JK41" s="125">
        <f>IF(OR(JK$4="",$B41=""),0,SUMIF('DADOS BRUTOS'!$A$3:$A$500,$B41,'DADOS BRUTOS'!GK$3:GK$500)+IF($C41="",0,SUMIF('DADOS BRUTOS'!$A$3:$A$500,$C41,'DADOS BRUTOS'!GK$3:GK$500)))</f>
        <v/>
      </c>
      <c r="JL41" s="125">
        <f>IF(OR(JL$4="",$B41=""),0,SUMIF('DADOS BRUTOS'!$A$3:$A$500,$B41,'DADOS BRUTOS'!GL$3:GL$500)+IF($C41="",0,SUMIF('DADOS BRUTOS'!$A$3:$A$500,$C41,'DADOS BRUTOS'!GL$3:GL$500)))</f>
        <v/>
      </c>
      <c r="JM41" s="125">
        <f>IF(OR(JM$4="",$B41=""),0,SUMIF('DADOS BRUTOS'!$A$3:$A$500,$B41,'DADOS BRUTOS'!GM$3:GM$500)+IF($C41="",0,SUMIF('DADOS BRUTOS'!$A$3:$A$500,$C41,'DADOS BRUTOS'!GM$3:GM$500)))</f>
        <v/>
      </c>
      <c r="JN41" s="125">
        <f>IF(OR(JN$4="",$B41=""),0,SUMIF('DADOS BRUTOS'!$A$3:$A$500,$B41,'DADOS BRUTOS'!GN$3:GN$500)+IF($C41="",0,SUMIF('DADOS BRUTOS'!$A$3:$A$500,$C41,'DADOS BRUTOS'!GN$3:GN$500)))</f>
        <v/>
      </c>
      <c r="JO41" s="125">
        <f>IF(OR(JO$4="",$B41=""),0,SUMIF('DADOS BRUTOS'!$A$3:$A$500,$B41,'DADOS BRUTOS'!GO$3:GO$500)+IF($C41="",0,SUMIF('DADOS BRUTOS'!$A$3:$A$500,$C41,'DADOS BRUTOS'!GO$3:GO$500)))</f>
        <v/>
      </c>
      <c r="JP41" s="125">
        <f>IF(OR(JP$4="",$B41=""),0,SUMIF('DADOS BRUTOS'!$A$3:$A$500,$B41,'DADOS BRUTOS'!GP$3:GP$500)+IF($C41="",0,SUMIF('DADOS BRUTOS'!$A$3:$A$500,$C41,'DADOS BRUTOS'!GP$3:GP$500)))</f>
        <v/>
      </c>
      <c r="JQ41" s="125">
        <f>IF(OR(JQ$4="",$B41=""),0,SUMIF('DADOS BRUTOS'!$A$3:$A$500,$B41,'DADOS BRUTOS'!GQ$3:GQ$500)+IF($C41="",0,SUMIF('DADOS BRUTOS'!$A$3:$A$500,$C41,'DADOS BRUTOS'!GQ$3:GQ$500)))</f>
        <v/>
      </c>
      <c r="JR41" s="125">
        <f>IF(OR(JR$4="",$B41=""),0,SUMIF('DADOS BRUTOS'!$A$3:$A$500,$B41,'DADOS BRUTOS'!GR$3:GR$500)+IF($C41="",0,SUMIF('DADOS BRUTOS'!$A$3:$A$500,$C41,'DADOS BRUTOS'!GR$3:GR$500)))</f>
        <v/>
      </c>
      <c r="JS41" s="125">
        <f>IF(OR(JS$4="",$B41=""),0,SUMIF('DADOS BRUTOS'!$A$3:$A$500,$B41,'DADOS BRUTOS'!GS$3:GS$500)+IF($C41="",0,SUMIF('DADOS BRUTOS'!$A$3:$A$500,$C41,'DADOS BRUTOS'!GS$3:GS$500)))</f>
        <v/>
      </c>
    </row>
    <row r="42">
      <c r="A42" s="61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BZ42" s="49">
        <f>SUMPRODUCT(($CB$4:$JS$4&lt;&gt;"")*($CB$4:$JS$4&lt;=$D$4),$CB42:$JS42,$CB$1:$JS$1)</f>
        <v/>
      </c>
      <c r="CB42" s="125">
        <f>IF(OR(CB$4="",$B42=""),0,SUMIF('DADOS BRUTOS'!$A$3:$A$500,$B42,'DADOS BRUTOS'!B$3:B$500)+IF($C42="",0,SUMIF('DADOS BRUTOS'!$A$3:$A$500,$C42,'DADOS BRUTOS'!B$3:B$500)))</f>
        <v/>
      </c>
      <c r="CC42" s="125">
        <f>IF(OR(CC$4="",$B42=""),0,SUMIF('DADOS BRUTOS'!$A$3:$A$500,$B42,'DADOS BRUTOS'!C$3:C$500)+IF($C42="",0,SUMIF('DADOS BRUTOS'!$A$3:$A$500,$C42,'DADOS BRUTOS'!C$3:C$500)))</f>
        <v/>
      </c>
      <c r="CD42" s="125">
        <f>IF(OR(CD$4="",$B42=""),0,SUMIF('DADOS BRUTOS'!$A$3:$A$500,$B42,'DADOS BRUTOS'!D$3:D$500)+IF($C42="",0,SUMIF('DADOS BRUTOS'!$A$3:$A$500,$C42,'DADOS BRUTOS'!D$3:D$500)))</f>
        <v/>
      </c>
      <c r="CE42" s="125">
        <f>IF(OR(CE$4="",$B42=""),0,SUMIF('DADOS BRUTOS'!$A$3:$A$500,$B42,'DADOS BRUTOS'!E$3:E$500)+IF($C42="",0,SUMIF('DADOS BRUTOS'!$A$3:$A$500,$C42,'DADOS BRUTOS'!E$3:E$500)))</f>
        <v/>
      </c>
      <c r="CF42" s="125">
        <f>IF(OR(CF$4="",$B42=""),0,SUMIF('DADOS BRUTOS'!$A$3:$A$500,$B42,'DADOS BRUTOS'!F$3:F$500)+IF($C42="",0,SUMIF('DADOS BRUTOS'!$A$3:$A$500,$C42,'DADOS BRUTOS'!F$3:F$500)))</f>
        <v/>
      </c>
      <c r="CG42" s="125">
        <f>IF(OR(CG$4="",$B42=""),0,SUMIF('DADOS BRUTOS'!$A$3:$A$500,$B42,'DADOS BRUTOS'!G$3:G$500)+IF($C42="",0,SUMIF('DADOS BRUTOS'!$A$3:$A$500,$C42,'DADOS BRUTOS'!G$3:G$500)))</f>
        <v/>
      </c>
      <c r="CH42" s="125">
        <f>IF(OR(CH$4="",$B42=""),0,SUMIF('DADOS BRUTOS'!$A$3:$A$500,$B42,'DADOS BRUTOS'!H$3:H$500)+IF($C42="",0,SUMIF('DADOS BRUTOS'!$A$3:$A$500,$C42,'DADOS BRUTOS'!H$3:H$500)))</f>
        <v/>
      </c>
      <c r="CI42" s="125">
        <f>IF(OR(CI$4="",$B42=""),0,SUMIF('DADOS BRUTOS'!$A$3:$A$500,$B42,'DADOS BRUTOS'!I$3:I$500)+IF($C42="",0,SUMIF('DADOS BRUTOS'!$A$3:$A$500,$C42,'DADOS BRUTOS'!I$3:I$500)))</f>
        <v/>
      </c>
      <c r="CJ42" s="125">
        <f>IF(OR(CJ$4="",$B42=""),0,SUMIF('DADOS BRUTOS'!$A$3:$A$500,$B42,'DADOS BRUTOS'!J$3:J$500)+IF($C42="",0,SUMIF('DADOS BRUTOS'!$A$3:$A$500,$C42,'DADOS BRUTOS'!J$3:J$500)))</f>
        <v/>
      </c>
      <c r="CK42" s="125">
        <f>IF(OR(CK$4="",$B42=""),0,SUMIF('DADOS BRUTOS'!$A$3:$A$500,$B42,'DADOS BRUTOS'!K$3:K$500)+IF($C42="",0,SUMIF('DADOS BRUTOS'!$A$3:$A$500,$C42,'DADOS BRUTOS'!K$3:K$500)))</f>
        <v/>
      </c>
      <c r="CL42" s="125">
        <f>IF(OR(CL$4="",$B42=""),0,SUMIF('DADOS BRUTOS'!$A$3:$A$500,$B42,'DADOS BRUTOS'!L$3:L$500)+IF($C42="",0,SUMIF('DADOS BRUTOS'!$A$3:$A$500,$C42,'DADOS BRUTOS'!L$3:L$500)))</f>
        <v/>
      </c>
      <c r="CM42" s="125">
        <f>IF(OR(CM$4="",$B42=""),0,SUMIF('DADOS BRUTOS'!$A$3:$A$500,$B42,'DADOS BRUTOS'!M$3:M$500)+IF($C42="",0,SUMIF('DADOS BRUTOS'!$A$3:$A$500,$C42,'DADOS BRUTOS'!M$3:M$500)))</f>
        <v/>
      </c>
      <c r="CN42" s="125">
        <f>IF(OR(CN$4="",$B42=""),0,SUMIF('DADOS BRUTOS'!$A$3:$A$500,$B42,'DADOS BRUTOS'!N$3:N$500)+IF($C42="",0,SUMIF('DADOS BRUTOS'!$A$3:$A$500,$C42,'DADOS BRUTOS'!N$3:N$500)))</f>
        <v/>
      </c>
      <c r="CO42" s="125">
        <f>IF(OR(CO$4="",$B42=""),0,SUMIF('DADOS BRUTOS'!$A$3:$A$500,$B42,'DADOS BRUTOS'!O$3:O$500)+IF($C42="",0,SUMIF('DADOS BRUTOS'!$A$3:$A$500,$C42,'DADOS BRUTOS'!O$3:O$500)))</f>
        <v/>
      </c>
      <c r="CP42" s="125">
        <f>IF(OR(CP$4="",$B42=""),0,SUMIF('DADOS BRUTOS'!$A$3:$A$500,$B42,'DADOS BRUTOS'!P$3:P$500)+IF($C42="",0,SUMIF('DADOS BRUTOS'!$A$3:$A$500,$C42,'DADOS BRUTOS'!P$3:P$500)))</f>
        <v/>
      </c>
      <c r="CQ42" s="125">
        <f>IF(OR(CQ$4="",$B42=""),0,SUMIF('DADOS BRUTOS'!$A$3:$A$500,$B42,'DADOS BRUTOS'!Q$3:Q$500)+IF($C42="",0,SUMIF('DADOS BRUTOS'!$A$3:$A$500,$C42,'DADOS BRUTOS'!Q$3:Q$500)))</f>
        <v/>
      </c>
      <c r="CR42" s="125">
        <f>IF(OR(CR$4="",$B42=""),0,SUMIF('DADOS BRUTOS'!$A$3:$A$500,$B42,'DADOS BRUTOS'!R$3:R$500)+IF($C42="",0,SUMIF('DADOS BRUTOS'!$A$3:$A$500,$C42,'DADOS BRUTOS'!R$3:R$500)))</f>
        <v/>
      </c>
      <c r="CS42" s="125">
        <f>IF(OR(CS$4="",$B42=""),0,SUMIF('DADOS BRUTOS'!$A$3:$A$500,$B42,'DADOS BRUTOS'!S$3:S$500)+IF($C42="",0,SUMIF('DADOS BRUTOS'!$A$3:$A$500,$C42,'DADOS BRUTOS'!S$3:S$500)))</f>
        <v/>
      </c>
      <c r="CT42" s="125">
        <f>IF(OR(CT$4="",$B42=""),0,SUMIF('DADOS BRUTOS'!$A$3:$A$500,$B42,'DADOS BRUTOS'!T$3:T$500)+IF($C42="",0,SUMIF('DADOS BRUTOS'!$A$3:$A$500,$C42,'DADOS BRUTOS'!T$3:T$500)))</f>
        <v/>
      </c>
      <c r="CU42" s="125">
        <f>IF(OR(CU$4="",$B42=""),0,SUMIF('DADOS BRUTOS'!$A$3:$A$500,$B42,'DADOS BRUTOS'!U$3:U$500)+IF($C42="",0,SUMIF('DADOS BRUTOS'!$A$3:$A$500,$C42,'DADOS BRUTOS'!U$3:U$500)))</f>
        <v/>
      </c>
      <c r="CV42" s="125">
        <f>IF(OR(CV$4="",$B42=""),0,SUMIF('DADOS BRUTOS'!$A$3:$A$500,$B42,'DADOS BRUTOS'!V$3:V$500)+IF($C42="",0,SUMIF('DADOS BRUTOS'!$A$3:$A$500,$C42,'DADOS BRUTOS'!V$3:V$500)))</f>
        <v/>
      </c>
      <c r="CW42" s="125">
        <f>IF(OR(CW$4="",$B42=""),0,SUMIF('DADOS BRUTOS'!$A$3:$A$500,$B42,'DADOS BRUTOS'!W$3:W$500)+IF($C42="",0,SUMIF('DADOS BRUTOS'!$A$3:$A$500,$C42,'DADOS BRUTOS'!W$3:W$500)))</f>
        <v/>
      </c>
      <c r="CX42" s="125">
        <f>IF(OR(CX$4="",$B42=""),0,SUMIF('DADOS BRUTOS'!$A$3:$A$500,$B42,'DADOS BRUTOS'!X$3:X$500)+IF($C42="",0,SUMIF('DADOS BRUTOS'!$A$3:$A$500,$C42,'DADOS BRUTOS'!X$3:X$500)))</f>
        <v/>
      </c>
      <c r="CY42" s="125">
        <f>IF(OR(CY$4="",$B42=""),0,SUMIF('DADOS BRUTOS'!$A$3:$A$500,$B42,'DADOS BRUTOS'!Y$3:Y$500)+IF($C42="",0,SUMIF('DADOS BRUTOS'!$A$3:$A$500,$C42,'DADOS BRUTOS'!Y$3:Y$500)))</f>
        <v/>
      </c>
      <c r="CZ42" s="125">
        <f>IF(OR(CZ$4="",$B42=""),0,SUMIF('DADOS BRUTOS'!$A$3:$A$500,$B42,'DADOS BRUTOS'!Z$3:Z$500)+IF($C42="",0,SUMIF('DADOS BRUTOS'!$A$3:$A$500,$C42,'DADOS BRUTOS'!Z$3:Z$500)))</f>
        <v/>
      </c>
      <c r="DA42" s="125">
        <f>IF(OR(DA$4="",$B42=""),0,SUMIF('DADOS BRUTOS'!$A$3:$A$500,$B42,'DADOS BRUTOS'!AA$3:AA$500)+IF($C42="",0,SUMIF('DADOS BRUTOS'!$A$3:$A$500,$C42,'DADOS BRUTOS'!AA$3:AA$500)))</f>
        <v/>
      </c>
      <c r="DB42" s="125">
        <f>IF(OR(DB$4="",$B42=""),0,SUMIF('DADOS BRUTOS'!$A$3:$A$500,$B42,'DADOS BRUTOS'!AB$3:AB$500)+IF($C42="",0,SUMIF('DADOS BRUTOS'!$A$3:$A$500,$C42,'DADOS BRUTOS'!AB$3:AB$500)))</f>
        <v/>
      </c>
      <c r="DC42" s="125">
        <f>IF(OR(DC$4="",$B42=""),0,SUMIF('DADOS BRUTOS'!$A$3:$A$500,$B42,'DADOS BRUTOS'!AC$3:AC$500)+IF($C42="",0,SUMIF('DADOS BRUTOS'!$A$3:$A$500,$C42,'DADOS BRUTOS'!AC$3:AC$500)))</f>
        <v/>
      </c>
      <c r="DD42" s="125">
        <f>IF(OR(DD$4="",$B42=""),0,SUMIF('DADOS BRUTOS'!$A$3:$A$500,$B42,'DADOS BRUTOS'!AD$3:AD$500)+IF($C42="",0,SUMIF('DADOS BRUTOS'!$A$3:$A$500,$C42,'DADOS BRUTOS'!AD$3:AD$500)))</f>
        <v/>
      </c>
      <c r="DE42" s="125">
        <f>IF(OR(DE$4="",$B42=""),0,SUMIF('DADOS BRUTOS'!$A$3:$A$500,$B42,'DADOS BRUTOS'!AE$3:AE$500)+IF($C42="",0,SUMIF('DADOS BRUTOS'!$A$3:$A$500,$C42,'DADOS BRUTOS'!AE$3:AE$500)))</f>
        <v/>
      </c>
      <c r="DF42" s="125">
        <f>IF(OR(DF$4="",$B42=""),0,SUMIF('DADOS BRUTOS'!$A$3:$A$500,$B42,'DADOS BRUTOS'!AF$3:AF$500)+IF($C42="",0,SUMIF('DADOS BRUTOS'!$A$3:$A$500,$C42,'DADOS BRUTOS'!AF$3:AF$500)))</f>
        <v/>
      </c>
      <c r="DG42" s="125">
        <f>IF(OR(DG$4="",$B42=""),0,SUMIF('DADOS BRUTOS'!$A$3:$A$500,$B42,'DADOS BRUTOS'!AG$3:AG$500)+IF($C42="",0,SUMIF('DADOS BRUTOS'!$A$3:$A$500,$C42,'DADOS BRUTOS'!AG$3:AG$500)))</f>
        <v/>
      </c>
      <c r="DH42" s="125">
        <f>IF(OR(DH$4="",$B42=""),0,SUMIF('DADOS BRUTOS'!$A$3:$A$500,$B42,'DADOS BRUTOS'!AH$3:AH$500)+IF($C42="",0,SUMIF('DADOS BRUTOS'!$A$3:$A$500,$C42,'DADOS BRUTOS'!AH$3:AH$500)))</f>
        <v/>
      </c>
      <c r="DI42" s="125">
        <f>IF(OR(DI$4="",$B42=""),0,SUMIF('DADOS BRUTOS'!$A$3:$A$500,$B42,'DADOS BRUTOS'!AI$3:AI$500)+IF($C42="",0,SUMIF('DADOS BRUTOS'!$A$3:$A$500,$C42,'DADOS BRUTOS'!AI$3:AI$500)))</f>
        <v/>
      </c>
      <c r="DJ42" s="125">
        <f>IF(OR(DJ$4="",$B42=""),0,SUMIF('DADOS BRUTOS'!$A$3:$A$500,$B42,'DADOS BRUTOS'!AJ$3:AJ$500)+IF($C42="",0,SUMIF('DADOS BRUTOS'!$A$3:$A$500,$C42,'DADOS BRUTOS'!AJ$3:AJ$500)))</f>
        <v/>
      </c>
      <c r="DK42" s="125">
        <f>IF(OR(DK$4="",$B42=""),0,SUMIF('DADOS BRUTOS'!$A$3:$A$500,$B42,'DADOS BRUTOS'!AK$3:AK$500)+IF($C42="",0,SUMIF('DADOS BRUTOS'!$A$3:$A$500,$C42,'DADOS BRUTOS'!AK$3:AK$500)))</f>
        <v/>
      </c>
      <c r="DL42" s="125">
        <f>IF(OR(DL$4="",$B42=""),0,SUMIF('DADOS BRUTOS'!$A$3:$A$500,$B42,'DADOS BRUTOS'!AL$3:AL$500)+IF($C42="",0,SUMIF('DADOS BRUTOS'!$A$3:$A$500,$C42,'DADOS BRUTOS'!AL$3:AL$500)))</f>
        <v/>
      </c>
      <c r="DM42" s="125">
        <f>IF(OR(DM$4="",$B42=""),0,SUMIF('DADOS BRUTOS'!$A$3:$A$500,$B42,'DADOS BRUTOS'!AM$3:AM$500)+IF($C42="",0,SUMIF('DADOS BRUTOS'!$A$3:$A$500,$C42,'DADOS BRUTOS'!AM$3:AM$500)))</f>
        <v/>
      </c>
      <c r="DN42" s="125">
        <f>IF(OR(DN$4="",$B42=""),0,SUMIF('DADOS BRUTOS'!$A$3:$A$500,$B42,'DADOS BRUTOS'!AN$3:AN$500)+IF($C42="",0,SUMIF('DADOS BRUTOS'!$A$3:$A$500,$C42,'DADOS BRUTOS'!AN$3:AN$500)))</f>
        <v/>
      </c>
      <c r="DO42" s="125">
        <f>IF(OR(DO$4="",$B42=""),0,SUMIF('DADOS BRUTOS'!$A$3:$A$500,$B42,'DADOS BRUTOS'!AO$3:AO$500)+IF($C42="",0,SUMIF('DADOS BRUTOS'!$A$3:$A$500,$C42,'DADOS BRUTOS'!AO$3:AO$500)))</f>
        <v/>
      </c>
      <c r="DP42" s="125">
        <f>IF(OR(DP$4="",$B42=""),0,SUMIF('DADOS BRUTOS'!$A$3:$A$500,$B42,'DADOS BRUTOS'!AP$3:AP$500)+IF($C42="",0,SUMIF('DADOS BRUTOS'!$A$3:$A$500,$C42,'DADOS BRUTOS'!AP$3:AP$500)))</f>
        <v/>
      </c>
      <c r="DQ42" s="125">
        <f>IF(OR(DQ$4="",$B42=""),0,SUMIF('DADOS BRUTOS'!$A$3:$A$500,$B42,'DADOS BRUTOS'!AQ$3:AQ$500)+IF($C42="",0,SUMIF('DADOS BRUTOS'!$A$3:$A$500,$C42,'DADOS BRUTOS'!AQ$3:AQ$500)))</f>
        <v/>
      </c>
      <c r="DR42" s="125">
        <f>IF(OR(DR$4="",$B42=""),0,SUMIF('DADOS BRUTOS'!$A$3:$A$500,$B42,'DADOS BRUTOS'!AR$3:AR$500)+IF($C42="",0,SUMIF('DADOS BRUTOS'!$A$3:$A$500,$C42,'DADOS BRUTOS'!AR$3:AR$500)))</f>
        <v/>
      </c>
      <c r="DS42" s="125">
        <f>IF(OR(DS$4="",$B42=""),0,SUMIF('DADOS BRUTOS'!$A$3:$A$500,$B42,'DADOS BRUTOS'!AS$3:AS$500)+IF($C42="",0,SUMIF('DADOS BRUTOS'!$A$3:$A$500,$C42,'DADOS BRUTOS'!AS$3:AS$500)))</f>
        <v/>
      </c>
      <c r="DT42" s="125">
        <f>IF(OR(DT$4="",$B42=""),0,SUMIF('DADOS BRUTOS'!$A$3:$A$500,$B42,'DADOS BRUTOS'!AT$3:AT$500)+IF($C42="",0,SUMIF('DADOS BRUTOS'!$A$3:$A$500,$C42,'DADOS BRUTOS'!AT$3:AT$500)))</f>
        <v/>
      </c>
      <c r="DU42" s="125">
        <f>IF(OR(DU$4="",$B42=""),0,SUMIF('DADOS BRUTOS'!$A$3:$A$500,$B42,'DADOS BRUTOS'!AU$3:AU$500)+IF($C42="",0,SUMIF('DADOS BRUTOS'!$A$3:$A$500,$C42,'DADOS BRUTOS'!AU$3:AU$500)))</f>
        <v/>
      </c>
      <c r="DV42" s="125">
        <f>IF(OR(DV$4="",$B42=""),0,SUMIF('DADOS BRUTOS'!$A$3:$A$500,$B42,'DADOS BRUTOS'!AV$3:AV$500)+IF($C42="",0,SUMIF('DADOS BRUTOS'!$A$3:$A$500,$C42,'DADOS BRUTOS'!AV$3:AV$500)))</f>
        <v/>
      </c>
      <c r="DW42" s="125">
        <f>IF(OR(DW$4="",$B42=""),0,SUMIF('DADOS BRUTOS'!$A$3:$A$500,$B42,'DADOS BRUTOS'!AW$3:AW$500)+IF($C42="",0,SUMIF('DADOS BRUTOS'!$A$3:$A$500,$C42,'DADOS BRUTOS'!AW$3:AW$500)))</f>
        <v/>
      </c>
      <c r="DX42" s="125">
        <f>IF(OR(DX$4="",$B42=""),0,SUMIF('DADOS BRUTOS'!$A$3:$A$500,$B42,'DADOS BRUTOS'!AX$3:AX$500)+IF($C42="",0,SUMIF('DADOS BRUTOS'!$A$3:$A$500,$C42,'DADOS BRUTOS'!AX$3:AX$500)))</f>
        <v/>
      </c>
      <c r="DY42" s="125">
        <f>IF(OR(DY$4="",$B42=""),0,SUMIF('DADOS BRUTOS'!$A$3:$A$500,$B42,'DADOS BRUTOS'!AY$3:AY$500)+IF($C42="",0,SUMIF('DADOS BRUTOS'!$A$3:$A$500,$C42,'DADOS BRUTOS'!AY$3:AY$500)))</f>
        <v/>
      </c>
      <c r="DZ42" s="125">
        <f>IF(OR(DZ$4="",$B42=""),0,SUMIF('DADOS BRUTOS'!$A$3:$A$500,$B42,'DADOS BRUTOS'!AZ$3:AZ$500)+IF($C42="",0,SUMIF('DADOS BRUTOS'!$A$3:$A$500,$C42,'DADOS BRUTOS'!AZ$3:AZ$500)))</f>
        <v/>
      </c>
      <c r="EA42" s="125">
        <f>IF(OR(EA$4="",$B42=""),0,SUMIF('DADOS BRUTOS'!$A$3:$A$500,$B42,'DADOS BRUTOS'!BA$3:BA$500)+IF($C42="",0,SUMIF('DADOS BRUTOS'!$A$3:$A$500,$C42,'DADOS BRUTOS'!BA$3:BA$500)))</f>
        <v/>
      </c>
      <c r="EB42" s="125">
        <f>IF(OR(EB$4="",$B42=""),0,SUMIF('DADOS BRUTOS'!$A$3:$A$500,$B42,'DADOS BRUTOS'!BB$3:BB$500)+IF($C42="",0,SUMIF('DADOS BRUTOS'!$A$3:$A$500,$C42,'DADOS BRUTOS'!BB$3:BB$500)))</f>
        <v/>
      </c>
      <c r="EC42" s="125">
        <f>IF(OR(EC$4="",$B42=""),0,SUMIF('DADOS BRUTOS'!$A$3:$A$500,$B42,'DADOS BRUTOS'!BC$3:BC$500)+IF($C42="",0,SUMIF('DADOS BRUTOS'!$A$3:$A$500,$C42,'DADOS BRUTOS'!BC$3:BC$500)))</f>
        <v/>
      </c>
      <c r="ED42" s="125">
        <f>IF(OR(ED$4="",$B42=""),0,SUMIF('DADOS BRUTOS'!$A$3:$A$500,$B42,'DADOS BRUTOS'!BD$3:BD$500)+IF($C42="",0,SUMIF('DADOS BRUTOS'!$A$3:$A$500,$C42,'DADOS BRUTOS'!BD$3:BD$500)))</f>
        <v/>
      </c>
      <c r="EE42" s="125">
        <f>IF(OR(EE$4="",$B42=""),0,SUMIF('DADOS BRUTOS'!$A$3:$A$500,$B42,'DADOS BRUTOS'!BE$3:BE$500)+IF($C42="",0,SUMIF('DADOS BRUTOS'!$A$3:$A$500,$C42,'DADOS BRUTOS'!BE$3:BE$500)))</f>
        <v/>
      </c>
      <c r="EF42" s="125">
        <f>IF(OR(EF$4="",$B42=""),0,SUMIF('DADOS BRUTOS'!$A$3:$A$500,$B42,'DADOS BRUTOS'!BF$3:BF$500)+IF($C42="",0,SUMIF('DADOS BRUTOS'!$A$3:$A$500,$C42,'DADOS BRUTOS'!BF$3:BF$500)))</f>
        <v/>
      </c>
      <c r="EG42" s="125">
        <f>IF(OR(EG$4="",$B42=""),0,SUMIF('DADOS BRUTOS'!$A$3:$A$500,$B42,'DADOS BRUTOS'!BG$3:BG$500)+IF($C42="",0,SUMIF('DADOS BRUTOS'!$A$3:$A$500,$C42,'DADOS BRUTOS'!BG$3:BG$500)))</f>
        <v/>
      </c>
      <c r="EH42" s="125">
        <f>IF(OR(EH$4="",$B42=""),0,SUMIF('DADOS BRUTOS'!$A$3:$A$500,$B42,'DADOS BRUTOS'!BH$3:BH$500)+IF($C42="",0,SUMIF('DADOS BRUTOS'!$A$3:$A$500,$C42,'DADOS BRUTOS'!BH$3:BH$500)))</f>
        <v/>
      </c>
      <c r="EI42" s="125">
        <f>IF(OR(EI$4="",$B42=""),0,SUMIF('DADOS BRUTOS'!$A$3:$A$500,$B42,'DADOS BRUTOS'!BI$3:BI$500)+IF($C42="",0,SUMIF('DADOS BRUTOS'!$A$3:$A$500,$C42,'DADOS BRUTOS'!BI$3:BI$500)))</f>
        <v/>
      </c>
      <c r="EJ42" s="125">
        <f>IF(OR(EJ$4="",$B42=""),0,SUMIF('DADOS BRUTOS'!$A$3:$A$500,$B42,'DADOS BRUTOS'!BJ$3:BJ$500)+IF($C42="",0,SUMIF('DADOS BRUTOS'!$A$3:$A$500,$C42,'DADOS BRUTOS'!BJ$3:BJ$500)))</f>
        <v/>
      </c>
      <c r="EK42" s="125">
        <f>IF(OR(EK$4="",$B42=""),0,SUMIF('DADOS BRUTOS'!$A$3:$A$500,$B42,'DADOS BRUTOS'!BK$3:BK$500)+IF($C42="",0,SUMIF('DADOS BRUTOS'!$A$3:$A$500,$C42,'DADOS BRUTOS'!BK$3:BK$500)))</f>
        <v/>
      </c>
      <c r="EL42" s="125">
        <f>IF(OR(EL$4="",$B42=""),0,SUMIF('DADOS BRUTOS'!$A$3:$A$500,$B42,'DADOS BRUTOS'!BL$3:BL$500)+IF($C42="",0,SUMIF('DADOS BRUTOS'!$A$3:$A$500,$C42,'DADOS BRUTOS'!BL$3:BL$500)))</f>
        <v/>
      </c>
      <c r="EM42" s="125">
        <f>IF(OR(EM$4="",$B42=""),0,SUMIF('DADOS BRUTOS'!$A$3:$A$500,$B42,'DADOS BRUTOS'!BM$3:BM$500)+IF($C42="",0,SUMIF('DADOS BRUTOS'!$A$3:$A$500,$C42,'DADOS BRUTOS'!BM$3:BM$500)))</f>
        <v/>
      </c>
      <c r="EN42" s="125">
        <f>IF(OR(EN$4="",$B42=""),0,SUMIF('DADOS BRUTOS'!$A$3:$A$500,$B42,'DADOS BRUTOS'!BN$3:BN$500)+IF($C42="",0,SUMIF('DADOS BRUTOS'!$A$3:$A$500,$C42,'DADOS BRUTOS'!BN$3:BN$500)))</f>
        <v/>
      </c>
      <c r="EO42" s="125">
        <f>IF(OR(EO$4="",$B42=""),0,SUMIF('DADOS BRUTOS'!$A$3:$A$500,$B42,'DADOS BRUTOS'!BO$3:BO$500)+IF($C42="",0,SUMIF('DADOS BRUTOS'!$A$3:$A$500,$C42,'DADOS BRUTOS'!BO$3:BO$500)))</f>
        <v/>
      </c>
      <c r="EP42" s="125">
        <f>IF(OR(EP$4="",$B42=""),0,SUMIF('DADOS BRUTOS'!$A$3:$A$500,$B42,'DADOS BRUTOS'!BP$3:BP$500)+IF($C42="",0,SUMIF('DADOS BRUTOS'!$A$3:$A$500,$C42,'DADOS BRUTOS'!BP$3:BP$500)))</f>
        <v/>
      </c>
      <c r="EQ42" s="125">
        <f>IF(OR(EQ$4="",$B42=""),0,SUMIF('DADOS BRUTOS'!$A$3:$A$500,$B42,'DADOS BRUTOS'!BQ$3:BQ$500)+IF($C42="",0,SUMIF('DADOS BRUTOS'!$A$3:$A$500,$C42,'DADOS BRUTOS'!BQ$3:BQ$500)))</f>
        <v/>
      </c>
      <c r="ER42" s="125">
        <f>IF(OR(ER$4="",$B42=""),0,SUMIF('DADOS BRUTOS'!$A$3:$A$500,$B42,'DADOS BRUTOS'!BR$3:BR$500)+IF($C42="",0,SUMIF('DADOS BRUTOS'!$A$3:$A$500,$C42,'DADOS BRUTOS'!BR$3:BR$500)))</f>
        <v/>
      </c>
      <c r="ES42" s="125">
        <f>IF(OR(ES$4="",$B42=""),0,SUMIF('DADOS BRUTOS'!$A$3:$A$500,$B42,'DADOS BRUTOS'!BS$3:BS$500)+IF($C42="",0,SUMIF('DADOS BRUTOS'!$A$3:$A$500,$C42,'DADOS BRUTOS'!BS$3:BS$500)))</f>
        <v/>
      </c>
      <c r="ET42" s="125">
        <f>IF(OR(ET$4="",$B42=""),0,SUMIF('DADOS BRUTOS'!$A$3:$A$500,$B42,'DADOS BRUTOS'!BT$3:BT$500)+IF($C42="",0,SUMIF('DADOS BRUTOS'!$A$3:$A$500,$C42,'DADOS BRUTOS'!BT$3:BT$500)))</f>
        <v/>
      </c>
      <c r="EU42" s="125">
        <f>IF(OR(EU$4="",$B42=""),0,SUMIF('DADOS BRUTOS'!$A$3:$A$500,$B42,'DADOS BRUTOS'!BU$3:BU$500)+IF($C42="",0,SUMIF('DADOS BRUTOS'!$A$3:$A$500,$C42,'DADOS BRUTOS'!BU$3:BU$500)))</f>
        <v/>
      </c>
      <c r="EV42" s="125">
        <f>IF(OR(EV$4="",$B42=""),0,SUMIF('DADOS BRUTOS'!$A$3:$A$500,$B42,'DADOS BRUTOS'!BV$3:BV$500)+IF($C42="",0,SUMIF('DADOS BRUTOS'!$A$3:$A$500,$C42,'DADOS BRUTOS'!BV$3:BV$500)))</f>
        <v/>
      </c>
      <c r="EW42" s="125">
        <f>IF(OR(EW$4="",$B42=""),0,SUMIF('DADOS BRUTOS'!$A$3:$A$500,$B42,'DADOS BRUTOS'!BW$3:BW$500)+IF($C42="",0,SUMIF('DADOS BRUTOS'!$A$3:$A$500,$C42,'DADOS BRUTOS'!BW$3:BW$500)))</f>
        <v/>
      </c>
      <c r="EX42" s="125">
        <f>IF(OR(EX$4="",$B42=""),0,SUMIF('DADOS BRUTOS'!$A$3:$A$500,$B42,'DADOS BRUTOS'!BX$3:BX$500)+IF($C42="",0,SUMIF('DADOS BRUTOS'!$A$3:$A$500,$C42,'DADOS BRUTOS'!BX$3:BX$500)))</f>
        <v/>
      </c>
      <c r="EY42" s="125">
        <f>IF(OR(EY$4="",$B42=""),0,SUMIF('DADOS BRUTOS'!$A$3:$A$500,$B42,'DADOS BRUTOS'!BY$3:BY$500)+IF($C42="",0,SUMIF('DADOS BRUTOS'!$A$3:$A$500,$C42,'DADOS BRUTOS'!BY$3:BY$500)))</f>
        <v/>
      </c>
      <c r="EZ42" s="125">
        <f>IF(OR(EZ$4="",$B42=""),0,SUMIF('DADOS BRUTOS'!$A$3:$A$500,$B42,'DADOS BRUTOS'!BZ$3:BZ$500)+IF($C42="",0,SUMIF('DADOS BRUTOS'!$A$3:$A$500,$C42,'DADOS BRUTOS'!BZ$3:BZ$500)))</f>
        <v/>
      </c>
      <c r="FA42" s="125">
        <f>IF(OR(FA$4="",$B42=""),0,SUMIF('DADOS BRUTOS'!$A$3:$A$500,$B42,'DADOS BRUTOS'!CA$3:CA$500)+IF($C42="",0,SUMIF('DADOS BRUTOS'!$A$3:$A$500,$C42,'DADOS BRUTOS'!CA$3:CA$500)))</f>
        <v/>
      </c>
      <c r="FB42" s="125">
        <f>IF(OR(FB$4="",$B42=""),0,SUMIF('DADOS BRUTOS'!$A$3:$A$500,$B42,'DADOS BRUTOS'!CB$3:CB$500)+IF($C42="",0,SUMIF('DADOS BRUTOS'!$A$3:$A$500,$C42,'DADOS BRUTOS'!CB$3:CB$500)))</f>
        <v/>
      </c>
      <c r="FC42" s="125">
        <f>IF(OR(FC$4="",$B42=""),0,SUMIF('DADOS BRUTOS'!$A$3:$A$500,$B42,'DADOS BRUTOS'!CC$3:CC$500)+IF($C42="",0,SUMIF('DADOS BRUTOS'!$A$3:$A$500,$C42,'DADOS BRUTOS'!CC$3:CC$500)))</f>
        <v/>
      </c>
      <c r="FD42" s="125">
        <f>IF(OR(FD$4="",$B42=""),0,SUMIF('DADOS BRUTOS'!$A$3:$A$500,$B42,'DADOS BRUTOS'!CD$3:CD$500)+IF($C42="",0,SUMIF('DADOS BRUTOS'!$A$3:$A$500,$C42,'DADOS BRUTOS'!CD$3:CD$500)))</f>
        <v/>
      </c>
      <c r="FE42" s="125">
        <f>IF(OR(FE$4="",$B42=""),0,SUMIF('DADOS BRUTOS'!$A$3:$A$500,$B42,'DADOS BRUTOS'!CE$3:CE$500)+IF($C42="",0,SUMIF('DADOS BRUTOS'!$A$3:$A$500,$C42,'DADOS BRUTOS'!CE$3:CE$500)))</f>
        <v/>
      </c>
      <c r="FF42" s="125">
        <f>IF(OR(FF$4="",$B42=""),0,SUMIF('DADOS BRUTOS'!$A$3:$A$500,$B42,'DADOS BRUTOS'!CF$3:CF$500)+IF($C42="",0,SUMIF('DADOS BRUTOS'!$A$3:$A$500,$C42,'DADOS BRUTOS'!CF$3:CF$500)))</f>
        <v/>
      </c>
      <c r="FG42" s="125">
        <f>IF(OR(FG$4="",$B42=""),0,SUMIF('DADOS BRUTOS'!$A$3:$A$500,$B42,'DADOS BRUTOS'!CG$3:CG$500)+IF($C42="",0,SUMIF('DADOS BRUTOS'!$A$3:$A$500,$C42,'DADOS BRUTOS'!CG$3:CG$500)))</f>
        <v/>
      </c>
      <c r="FH42" s="125">
        <f>IF(OR(FH$4="",$B42=""),0,SUMIF('DADOS BRUTOS'!$A$3:$A$500,$B42,'DADOS BRUTOS'!CH$3:CH$500)+IF($C42="",0,SUMIF('DADOS BRUTOS'!$A$3:$A$500,$C42,'DADOS BRUTOS'!CH$3:CH$500)))</f>
        <v/>
      </c>
      <c r="FI42" s="125">
        <f>IF(OR(FI$4="",$B42=""),0,SUMIF('DADOS BRUTOS'!$A$3:$A$500,$B42,'DADOS BRUTOS'!CI$3:CI$500)+IF($C42="",0,SUMIF('DADOS BRUTOS'!$A$3:$A$500,$C42,'DADOS BRUTOS'!CI$3:CI$500)))</f>
        <v/>
      </c>
      <c r="FJ42" s="125">
        <f>IF(OR(FJ$4="",$B42=""),0,SUMIF('DADOS BRUTOS'!$A$3:$A$500,$B42,'DADOS BRUTOS'!CJ$3:CJ$500)+IF($C42="",0,SUMIF('DADOS BRUTOS'!$A$3:$A$500,$C42,'DADOS BRUTOS'!CJ$3:CJ$500)))</f>
        <v/>
      </c>
      <c r="FK42" s="125">
        <f>IF(OR(FK$4="",$B42=""),0,SUMIF('DADOS BRUTOS'!$A$3:$A$500,$B42,'DADOS BRUTOS'!CK$3:CK$500)+IF($C42="",0,SUMIF('DADOS BRUTOS'!$A$3:$A$500,$C42,'DADOS BRUTOS'!CK$3:CK$500)))</f>
        <v/>
      </c>
      <c r="FL42" s="125">
        <f>IF(OR(FL$4="",$B42=""),0,SUMIF('DADOS BRUTOS'!$A$3:$A$500,$B42,'DADOS BRUTOS'!CL$3:CL$500)+IF($C42="",0,SUMIF('DADOS BRUTOS'!$A$3:$A$500,$C42,'DADOS BRUTOS'!CL$3:CL$500)))</f>
        <v/>
      </c>
      <c r="FM42" s="125">
        <f>IF(OR(FM$4="",$B42=""),0,SUMIF('DADOS BRUTOS'!$A$3:$A$500,$B42,'DADOS BRUTOS'!CM$3:CM$500)+IF($C42="",0,SUMIF('DADOS BRUTOS'!$A$3:$A$500,$C42,'DADOS BRUTOS'!CM$3:CM$500)))</f>
        <v/>
      </c>
      <c r="FN42" s="125">
        <f>IF(OR(FN$4="",$B42=""),0,SUMIF('DADOS BRUTOS'!$A$3:$A$500,$B42,'DADOS BRUTOS'!CN$3:CN$500)+IF($C42="",0,SUMIF('DADOS BRUTOS'!$A$3:$A$500,$C42,'DADOS BRUTOS'!CN$3:CN$500)))</f>
        <v/>
      </c>
      <c r="FO42" s="125">
        <f>IF(OR(FO$4="",$B42=""),0,SUMIF('DADOS BRUTOS'!$A$3:$A$500,$B42,'DADOS BRUTOS'!CO$3:CO$500)+IF($C42="",0,SUMIF('DADOS BRUTOS'!$A$3:$A$500,$C42,'DADOS BRUTOS'!CO$3:CO$500)))</f>
        <v/>
      </c>
      <c r="FP42" s="125">
        <f>IF(OR(FP$4="",$B42=""),0,SUMIF('DADOS BRUTOS'!$A$3:$A$500,$B42,'DADOS BRUTOS'!CP$3:CP$500)+IF($C42="",0,SUMIF('DADOS BRUTOS'!$A$3:$A$500,$C42,'DADOS BRUTOS'!CP$3:CP$500)))</f>
        <v/>
      </c>
      <c r="FQ42" s="125">
        <f>IF(OR(FQ$4="",$B42=""),0,SUMIF('DADOS BRUTOS'!$A$3:$A$500,$B42,'DADOS BRUTOS'!CQ$3:CQ$500)+IF($C42="",0,SUMIF('DADOS BRUTOS'!$A$3:$A$500,$C42,'DADOS BRUTOS'!CQ$3:CQ$500)))</f>
        <v/>
      </c>
      <c r="FR42" s="125">
        <f>IF(OR(FR$4="",$B42=""),0,SUMIF('DADOS BRUTOS'!$A$3:$A$500,$B42,'DADOS BRUTOS'!CR$3:CR$500)+IF($C42="",0,SUMIF('DADOS BRUTOS'!$A$3:$A$500,$C42,'DADOS BRUTOS'!CR$3:CR$500)))</f>
        <v/>
      </c>
      <c r="FS42" s="125">
        <f>IF(OR(FS$4="",$B42=""),0,SUMIF('DADOS BRUTOS'!$A$3:$A$500,$B42,'DADOS BRUTOS'!CS$3:CS$500)+IF($C42="",0,SUMIF('DADOS BRUTOS'!$A$3:$A$500,$C42,'DADOS BRUTOS'!CS$3:CS$500)))</f>
        <v/>
      </c>
      <c r="FT42" s="125">
        <f>IF(OR(FT$4="",$B42=""),0,SUMIF('DADOS BRUTOS'!$A$3:$A$500,$B42,'DADOS BRUTOS'!CT$3:CT$500)+IF($C42="",0,SUMIF('DADOS BRUTOS'!$A$3:$A$500,$C42,'DADOS BRUTOS'!CT$3:CT$500)))</f>
        <v/>
      </c>
      <c r="FU42" s="125">
        <f>IF(OR(FU$4="",$B42=""),0,SUMIF('DADOS BRUTOS'!$A$3:$A$500,$B42,'DADOS BRUTOS'!CU$3:CU$500)+IF($C42="",0,SUMIF('DADOS BRUTOS'!$A$3:$A$500,$C42,'DADOS BRUTOS'!CU$3:CU$500)))</f>
        <v/>
      </c>
      <c r="FV42" s="125">
        <f>IF(OR(FV$4="",$B42=""),0,SUMIF('DADOS BRUTOS'!$A$3:$A$500,$B42,'DADOS BRUTOS'!CV$3:CV$500)+IF($C42="",0,SUMIF('DADOS BRUTOS'!$A$3:$A$500,$C42,'DADOS BRUTOS'!CV$3:CV$500)))</f>
        <v/>
      </c>
      <c r="FW42" s="125">
        <f>IF(OR(FW$4="",$B42=""),0,SUMIF('DADOS BRUTOS'!$A$3:$A$500,$B42,'DADOS BRUTOS'!CW$3:CW$500)+IF($C42="",0,SUMIF('DADOS BRUTOS'!$A$3:$A$500,$C42,'DADOS BRUTOS'!CW$3:CW$500)))</f>
        <v/>
      </c>
      <c r="FX42" s="125">
        <f>IF(OR(FX$4="",$B42=""),0,SUMIF('DADOS BRUTOS'!$A$3:$A$500,$B42,'DADOS BRUTOS'!CX$3:CX$500)+IF($C42="",0,SUMIF('DADOS BRUTOS'!$A$3:$A$500,$C42,'DADOS BRUTOS'!CX$3:CX$500)))</f>
        <v/>
      </c>
      <c r="FY42" s="125">
        <f>IF(OR(FY$4="",$B42=""),0,SUMIF('DADOS BRUTOS'!$A$3:$A$500,$B42,'DADOS BRUTOS'!CY$3:CY$500)+IF($C42="",0,SUMIF('DADOS BRUTOS'!$A$3:$A$500,$C42,'DADOS BRUTOS'!CY$3:CY$500)))</f>
        <v/>
      </c>
      <c r="FZ42" s="125">
        <f>IF(OR(FZ$4="",$B42=""),0,SUMIF('DADOS BRUTOS'!$A$3:$A$500,$B42,'DADOS BRUTOS'!CZ$3:CZ$500)+IF($C42="",0,SUMIF('DADOS BRUTOS'!$A$3:$A$500,$C42,'DADOS BRUTOS'!CZ$3:CZ$500)))</f>
        <v/>
      </c>
      <c r="GA42" s="125">
        <f>IF(OR(GA$4="",$B42=""),0,SUMIF('DADOS BRUTOS'!$A$3:$A$500,$B42,'DADOS BRUTOS'!DA$3:DA$500)+IF($C42="",0,SUMIF('DADOS BRUTOS'!$A$3:$A$500,$C42,'DADOS BRUTOS'!DA$3:DA$500)))</f>
        <v/>
      </c>
      <c r="GB42" s="125">
        <f>IF(OR(GB$4="",$B42=""),0,SUMIF('DADOS BRUTOS'!$A$3:$A$500,$B42,'DADOS BRUTOS'!DB$3:DB$500)+IF($C42="",0,SUMIF('DADOS BRUTOS'!$A$3:$A$500,$C42,'DADOS BRUTOS'!DB$3:DB$500)))</f>
        <v/>
      </c>
      <c r="GC42" s="125">
        <f>IF(OR(GC$4="",$B42=""),0,SUMIF('DADOS BRUTOS'!$A$3:$A$500,$B42,'DADOS BRUTOS'!DC$3:DC$500)+IF($C42="",0,SUMIF('DADOS BRUTOS'!$A$3:$A$500,$C42,'DADOS BRUTOS'!DC$3:DC$500)))</f>
        <v/>
      </c>
      <c r="GD42" s="125">
        <f>IF(OR(GD$4="",$B42=""),0,SUMIF('DADOS BRUTOS'!$A$3:$A$500,$B42,'DADOS BRUTOS'!DD$3:DD$500)+IF($C42="",0,SUMIF('DADOS BRUTOS'!$A$3:$A$500,$C42,'DADOS BRUTOS'!DD$3:DD$500)))</f>
        <v/>
      </c>
      <c r="GE42" s="125">
        <f>IF(OR(GE$4="",$B42=""),0,SUMIF('DADOS BRUTOS'!$A$3:$A$500,$B42,'DADOS BRUTOS'!DE$3:DE$500)+IF($C42="",0,SUMIF('DADOS BRUTOS'!$A$3:$A$500,$C42,'DADOS BRUTOS'!DE$3:DE$500)))</f>
        <v/>
      </c>
      <c r="GF42" s="125">
        <f>IF(OR(GF$4="",$B42=""),0,SUMIF('DADOS BRUTOS'!$A$3:$A$500,$B42,'DADOS BRUTOS'!DF$3:DF$500)+IF($C42="",0,SUMIF('DADOS BRUTOS'!$A$3:$A$500,$C42,'DADOS BRUTOS'!DF$3:DF$500)))</f>
        <v/>
      </c>
      <c r="GG42" s="125">
        <f>IF(OR(GG$4="",$B42=""),0,SUMIF('DADOS BRUTOS'!$A$3:$A$500,$B42,'DADOS BRUTOS'!DG$3:DG$500)+IF($C42="",0,SUMIF('DADOS BRUTOS'!$A$3:$A$500,$C42,'DADOS BRUTOS'!DG$3:DG$500)))</f>
        <v/>
      </c>
      <c r="GH42" s="125">
        <f>IF(OR(GH$4="",$B42=""),0,SUMIF('DADOS BRUTOS'!$A$3:$A$500,$B42,'DADOS BRUTOS'!DH$3:DH$500)+IF($C42="",0,SUMIF('DADOS BRUTOS'!$A$3:$A$500,$C42,'DADOS BRUTOS'!DH$3:DH$500)))</f>
        <v/>
      </c>
      <c r="GI42" s="125">
        <f>IF(OR(GI$4="",$B42=""),0,SUMIF('DADOS BRUTOS'!$A$3:$A$500,$B42,'DADOS BRUTOS'!DI$3:DI$500)+IF($C42="",0,SUMIF('DADOS BRUTOS'!$A$3:$A$500,$C42,'DADOS BRUTOS'!DI$3:DI$500)))</f>
        <v/>
      </c>
      <c r="GJ42" s="125">
        <f>IF(OR(GJ$4="",$B42=""),0,SUMIF('DADOS BRUTOS'!$A$3:$A$500,$B42,'DADOS BRUTOS'!DJ$3:DJ$500)+IF($C42="",0,SUMIF('DADOS BRUTOS'!$A$3:$A$500,$C42,'DADOS BRUTOS'!DJ$3:DJ$500)))</f>
        <v/>
      </c>
      <c r="GK42" s="125">
        <f>IF(OR(GK$4="",$B42=""),0,SUMIF('DADOS BRUTOS'!$A$3:$A$500,$B42,'DADOS BRUTOS'!DK$3:DK$500)+IF($C42="",0,SUMIF('DADOS BRUTOS'!$A$3:$A$500,$C42,'DADOS BRUTOS'!DK$3:DK$500)))</f>
        <v/>
      </c>
      <c r="GL42" s="125">
        <f>IF(OR(GL$4="",$B42=""),0,SUMIF('DADOS BRUTOS'!$A$3:$A$500,$B42,'DADOS BRUTOS'!DL$3:DL$500)+IF($C42="",0,SUMIF('DADOS BRUTOS'!$A$3:$A$500,$C42,'DADOS BRUTOS'!DL$3:DL$500)))</f>
        <v/>
      </c>
      <c r="GM42" s="125">
        <f>IF(OR(GM$4="",$B42=""),0,SUMIF('DADOS BRUTOS'!$A$3:$A$500,$B42,'DADOS BRUTOS'!DM$3:DM$500)+IF($C42="",0,SUMIF('DADOS BRUTOS'!$A$3:$A$500,$C42,'DADOS BRUTOS'!DM$3:DM$500)))</f>
        <v/>
      </c>
      <c r="GN42" s="125">
        <f>IF(OR(GN$4="",$B42=""),0,SUMIF('DADOS BRUTOS'!$A$3:$A$500,$B42,'DADOS BRUTOS'!DN$3:DN$500)+IF($C42="",0,SUMIF('DADOS BRUTOS'!$A$3:$A$500,$C42,'DADOS BRUTOS'!DN$3:DN$500)))</f>
        <v/>
      </c>
      <c r="GO42" s="125">
        <f>IF(OR(GO$4="",$B42=""),0,SUMIF('DADOS BRUTOS'!$A$3:$A$500,$B42,'DADOS BRUTOS'!DO$3:DO$500)+IF($C42="",0,SUMIF('DADOS BRUTOS'!$A$3:$A$500,$C42,'DADOS BRUTOS'!DO$3:DO$500)))</f>
        <v/>
      </c>
      <c r="GP42" s="125">
        <f>IF(OR(GP$4="",$B42=""),0,SUMIF('DADOS BRUTOS'!$A$3:$A$500,$B42,'DADOS BRUTOS'!DP$3:DP$500)+IF($C42="",0,SUMIF('DADOS BRUTOS'!$A$3:$A$500,$C42,'DADOS BRUTOS'!DP$3:DP$500)))</f>
        <v/>
      </c>
      <c r="GQ42" s="125">
        <f>IF(OR(GQ$4="",$B42=""),0,SUMIF('DADOS BRUTOS'!$A$3:$A$500,$B42,'DADOS BRUTOS'!DQ$3:DQ$500)+IF($C42="",0,SUMIF('DADOS BRUTOS'!$A$3:$A$500,$C42,'DADOS BRUTOS'!DQ$3:DQ$500)))</f>
        <v/>
      </c>
      <c r="GR42" s="125">
        <f>IF(OR(GR$4="",$B42=""),0,SUMIF('DADOS BRUTOS'!$A$3:$A$500,$B42,'DADOS BRUTOS'!DR$3:DR$500)+IF($C42="",0,SUMIF('DADOS BRUTOS'!$A$3:$A$500,$C42,'DADOS BRUTOS'!DR$3:DR$500)))</f>
        <v/>
      </c>
      <c r="GS42" s="125">
        <f>IF(OR(GS$4="",$B42=""),0,SUMIF('DADOS BRUTOS'!$A$3:$A$500,$B42,'DADOS BRUTOS'!DS$3:DS$500)+IF($C42="",0,SUMIF('DADOS BRUTOS'!$A$3:$A$500,$C42,'DADOS BRUTOS'!DS$3:DS$500)))</f>
        <v/>
      </c>
      <c r="GT42" s="125">
        <f>IF(OR(GT$4="",$B42=""),0,SUMIF('DADOS BRUTOS'!$A$3:$A$500,$B42,'DADOS BRUTOS'!DT$3:DT$500)+IF($C42="",0,SUMIF('DADOS BRUTOS'!$A$3:$A$500,$C42,'DADOS BRUTOS'!DT$3:DT$500)))</f>
        <v/>
      </c>
      <c r="GU42" s="125">
        <f>IF(OR(GU$4="",$B42=""),0,SUMIF('DADOS BRUTOS'!$A$3:$A$500,$B42,'DADOS BRUTOS'!DU$3:DU$500)+IF($C42="",0,SUMIF('DADOS BRUTOS'!$A$3:$A$500,$C42,'DADOS BRUTOS'!DU$3:DU$500)))</f>
        <v/>
      </c>
      <c r="GV42" s="125">
        <f>IF(OR(GV$4="",$B42=""),0,SUMIF('DADOS BRUTOS'!$A$3:$A$500,$B42,'DADOS BRUTOS'!DV$3:DV$500)+IF($C42="",0,SUMIF('DADOS BRUTOS'!$A$3:$A$500,$C42,'DADOS BRUTOS'!DV$3:DV$500)))</f>
        <v/>
      </c>
      <c r="GW42" s="125">
        <f>IF(OR(GW$4="",$B42=""),0,SUMIF('DADOS BRUTOS'!$A$3:$A$500,$B42,'DADOS BRUTOS'!DW$3:DW$500)+IF($C42="",0,SUMIF('DADOS BRUTOS'!$A$3:$A$500,$C42,'DADOS BRUTOS'!DW$3:DW$500)))</f>
        <v/>
      </c>
      <c r="GX42" s="125">
        <f>IF(OR(GX$4="",$B42=""),0,SUMIF('DADOS BRUTOS'!$A$3:$A$500,$B42,'DADOS BRUTOS'!DX$3:DX$500)+IF($C42="",0,SUMIF('DADOS BRUTOS'!$A$3:$A$500,$C42,'DADOS BRUTOS'!DX$3:DX$500)))</f>
        <v/>
      </c>
      <c r="GY42" s="125">
        <f>IF(OR(GY$4="",$B42=""),0,SUMIF('DADOS BRUTOS'!$A$3:$A$500,$B42,'DADOS BRUTOS'!DY$3:DY$500)+IF($C42="",0,SUMIF('DADOS BRUTOS'!$A$3:$A$500,$C42,'DADOS BRUTOS'!DY$3:DY$500)))</f>
        <v/>
      </c>
      <c r="GZ42" s="125">
        <f>IF(OR(GZ$4="",$B42=""),0,SUMIF('DADOS BRUTOS'!$A$3:$A$500,$B42,'DADOS BRUTOS'!DZ$3:DZ$500)+IF($C42="",0,SUMIF('DADOS BRUTOS'!$A$3:$A$500,$C42,'DADOS BRUTOS'!DZ$3:DZ$500)))</f>
        <v/>
      </c>
      <c r="HA42" s="125">
        <f>IF(OR(HA$4="",$B42=""),0,SUMIF('DADOS BRUTOS'!$A$3:$A$500,$B42,'DADOS BRUTOS'!EA$3:EA$500)+IF($C42="",0,SUMIF('DADOS BRUTOS'!$A$3:$A$500,$C42,'DADOS BRUTOS'!EA$3:EA$500)))</f>
        <v/>
      </c>
      <c r="HB42" s="125">
        <f>IF(OR(HB$4="",$B42=""),0,SUMIF('DADOS BRUTOS'!$A$3:$A$500,$B42,'DADOS BRUTOS'!EB$3:EB$500)+IF($C42="",0,SUMIF('DADOS BRUTOS'!$A$3:$A$500,$C42,'DADOS BRUTOS'!EB$3:EB$500)))</f>
        <v/>
      </c>
      <c r="HC42" s="125">
        <f>IF(OR(HC$4="",$B42=""),0,SUMIF('DADOS BRUTOS'!$A$3:$A$500,$B42,'DADOS BRUTOS'!EC$3:EC$500)+IF($C42="",0,SUMIF('DADOS BRUTOS'!$A$3:$A$500,$C42,'DADOS BRUTOS'!EC$3:EC$500)))</f>
        <v/>
      </c>
      <c r="HD42" s="125">
        <f>IF(OR(HD$4="",$B42=""),0,SUMIF('DADOS BRUTOS'!$A$3:$A$500,$B42,'DADOS BRUTOS'!ED$3:ED$500)+IF($C42="",0,SUMIF('DADOS BRUTOS'!$A$3:$A$500,$C42,'DADOS BRUTOS'!ED$3:ED$500)))</f>
        <v/>
      </c>
      <c r="HE42" s="125">
        <f>IF(OR(HE$4="",$B42=""),0,SUMIF('DADOS BRUTOS'!$A$3:$A$500,$B42,'DADOS BRUTOS'!EE$3:EE$500)+IF($C42="",0,SUMIF('DADOS BRUTOS'!$A$3:$A$500,$C42,'DADOS BRUTOS'!EE$3:EE$500)))</f>
        <v/>
      </c>
      <c r="HF42" s="125">
        <f>IF(OR(HF$4="",$B42=""),0,SUMIF('DADOS BRUTOS'!$A$3:$A$500,$B42,'DADOS BRUTOS'!EF$3:EF$500)+IF($C42="",0,SUMIF('DADOS BRUTOS'!$A$3:$A$500,$C42,'DADOS BRUTOS'!EF$3:EF$500)))</f>
        <v/>
      </c>
      <c r="HG42" s="125">
        <f>IF(OR(HG$4="",$B42=""),0,SUMIF('DADOS BRUTOS'!$A$3:$A$500,$B42,'DADOS BRUTOS'!EG$3:EG$500)+IF($C42="",0,SUMIF('DADOS BRUTOS'!$A$3:$A$500,$C42,'DADOS BRUTOS'!EG$3:EG$500)))</f>
        <v/>
      </c>
      <c r="HH42" s="125">
        <f>IF(OR(HH$4="",$B42=""),0,SUMIF('DADOS BRUTOS'!$A$3:$A$500,$B42,'DADOS BRUTOS'!EH$3:EH$500)+IF($C42="",0,SUMIF('DADOS BRUTOS'!$A$3:$A$500,$C42,'DADOS BRUTOS'!EH$3:EH$500)))</f>
        <v/>
      </c>
      <c r="HI42" s="125">
        <f>IF(OR(HI$4="",$B42=""),0,SUMIF('DADOS BRUTOS'!$A$3:$A$500,$B42,'DADOS BRUTOS'!EI$3:EI$500)+IF($C42="",0,SUMIF('DADOS BRUTOS'!$A$3:$A$500,$C42,'DADOS BRUTOS'!EI$3:EI$500)))</f>
        <v/>
      </c>
      <c r="HJ42" s="125">
        <f>IF(OR(HJ$4="",$B42=""),0,SUMIF('DADOS BRUTOS'!$A$3:$A$500,$B42,'DADOS BRUTOS'!EJ$3:EJ$500)+IF($C42="",0,SUMIF('DADOS BRUTOS'!$A$3:$A$500,$C42,'DADOS BRUTOS'!EJ$3:EJ$500)))</f>
        <v/>
      </c>
      <c r="HK42" s="125">
        <f>IF(OR(HK$4="",$B42=""),0,SUMIF('DADOS BRUTOS'!$A$3:$A$500,$B42,'DADOS BRUTOS'!EK$3:EK$500)+IF($C42="",0,SUMIF('DADOS BRUTOS'!$A$3:$A$500,$C42,'DADOS BRUTOS'!EK$3:EK$500)))</f>
        <v/>
      </c>
      <c r="HL42" s="125">
        <f>IF(OR(HL$4="",$B42=""),0,SUMIF('DADOS BRUTOS'!$A$3:$A$500,$B42,'DADOS BRUTOS'!EL$3:EL$500)+IF($C42="",0,SUMIF('DADOS BRUTOS'!$A$3:$A$500,$C42,'DADOS BRUTOS'!EL$3:EL$500)))</f>
        <v/>
      </c>
      <c r="HM42" s="125">
        <f>IF(OR(HM$4="",$B42=""),0,SUMIF('DADOS BRUTOS'!$A$3:$A$500,$B42,'DADOS BRUTOS'!EM$3:EM$500)+IF($C42="",0,SUMIF('DADOS BRUTOS'!$A$3:$A$500,$C42,'DADOS BRUTOS'!EM$3:EM$500)))</f>
        <v/>
      </c>
      <c r="HN42" s="125">
        <f>IF(OR(HN$4="",$B42=""),0,SUMIF('DADOS BRUTOS'!$A$3:$A$500,$B42,'DADOS BRUTOS'!EN$3:EN$500)+IF($C42="",0,SUMIF('DADOS BRUTOS'!$A$3:$A$500,$C42,'DADOS BRUTOS'!EN$3:EN$500)))</f>
        <v/>
      </c>
      <c r="HO42" s="125">
        <f>IF(OR(HO$4="",$B42=""),0,SUMIF('DADOS BRUTOS'!$A$3:$A$500,$B42,'DADOS BRUTOS'!EO$3:EO$500)+IF($C42="",0,SUMIF('DADOS BRUTOS'!$A$3:$A$500,$C42,'DADOS BRUTOS'!EO$3:EO$500)))</f>
        <v/>
      </c>
      <c r="HP42" s="125">
        <f>IF(OR(HP$4="",$B42=""),0,SUMIF('DADOS BRUTOS'!$A$3:$A$500,$B42,'DADOS BRUTOS'!EP$3:EP$500)+IF($C42="",0,SUMIF('DADOS BRUTOS'!$A$3:$A$500,$C42,'DADOS BRUTOS'!EP$3:EP$500)))</f>
        <v/>
      </c>
      <c r="HQ42" s="125">
        <f>IF(OR(HQ$4="",$B42=""),0,SUMIF('DADOS BRUTOS'!$A$3:$A$500,$B42,'DADOS BRUTOS'!EQ$3:EQ$500)+IF($C42="",0,SUMIF('DADOS BRUTOS'!$A$3:$A$500,$C42,'DADOS BRUTOS'!EQ$3:EQ$500)))</f>
        <v/>
      </c>
      <c r="HR42" s="125">
        <f>IF(OR(HR$4="",$B42=""),0,SUMIF('DADOS BRUTOS'!$A$3:$A$500,$B42,'DADOS BRUTOS'!ER$3:ER$500)+IF($C42="",0,SUMIF('DADOS BRUTOS'!$A$3:$A$500,$C42,'DADOS BRUTOS'!ER$3:ER$500)))</f>
        <v/>
      </c>
      <c r="HS42" s="125">
        <f>IF(OR(HS$4="",$B42=""),0,SUMIF('DADOS BRUTOS'!$A$3:$A$500,$B42,'DADOS BRUTOS'!ES$3:ES$500)+IF($C42="",0,SUMIF('DADOS BRUTOS'!$A$3:$A$500,$C42,'DADOS BRUTOS'!ES$3:ES$500)))</f>
        <v/>
      </c>
      <c r="HT42" s="125">
        <f>IF(OR(HT$4="",$B42=""),0,SUMIF('DADOS BRUTOS'!$A$3:$A$500,$B42,'DADOS BRUTOS'!ET$3:ET$500)+IF($C42="",0,SUMIF('DADOS BRUTOS'!$A$3:$A$500,$C42,'DADOS BRUTOS'!ET$3:ET$500)))</f>
        <v/>
      </c>
      <c r="HU42" s="125">
        <f>IF(OR(HU$4="",$B42=""),0,SUMIF('DADOS BRUTOS'!$A$3:$A$500,$B42,'DADOS BRUTOS'!EU$3:EU$500)+IF($C42="",0,SUMIF('DADOS BRUTOS'!$A$3:$A$500,$C42,'DADOS BRUTOS'!EU$3:EU$500)))</f>
        <v/>
      </c>
      <c r="HV42" s="125">
        <f>IF(OR(HV$4="",$B42=""),0,SUMIF('DADOS BRUTOS'!$A$3:$A$500,$B42,'DADOS BRUTOS'!EV$3:EV$500)+IF($C42="",0,SUMIF('DADOS BRUTOS'!$A$3:$A$500,$C42,'DADOS BRUTOS'!EV$3:EV$500)))</f>
        <v/>
      </c>
      <c r="HW42" s="125">
        <f>IF(OR(HW$4="",$B42=""),0,SUMIF('DADOS BRUTOS'!$A$3:$A$500,$B42,'DADOS BRUTOS'!EW$3:EW$500)+IF($C42="",0,SUMIF('DADOS BRUTOS'!$A$3:$A$500,$C42,'DADOS BRUTOS'!EW$3:EW$500)))</f>
        <v/>
      </c>
      <c r="HX42" s="125">
        <f>IF(OR(HX$4="",$B42=""),0,SUMIF('DADOS BRUTOS'!$A$3:$A$500,$B42,'DADOS BRUTOS'!EX$3:EX$500)+IF($C42="",0,SUMIF('DADOS BRUTOS'!$A$3:$A$500,$C42,'DADOS BRUTOS'!EX$3:EX$500)))</f>
        <v/>
      </c>
      <c r="HY42" s="125">
        <f>IF(OR(HY$4="",$B42=""),0,SUMIF('DADOS BRUTOS'!$A$3:$A$500,$B42,'DADOS BRUTOS'!EY$3:EY$500)+IF($C42="",0,SUMIF('DADOS BRUTOS'!$A$3:$A$500,$C42,'DADOS BRUTOS'!EY$3:EY$500)))</f>
        <v/>
      </c>
      <c r="HZ42" s="125">
        <f>IF(OR(HZ$4="",$B42=""),0,SUMIF('DADOS BRUTOS'!$A$3:$A$500,$B42,'DADOS BRUTOS'!EZ$3:EZ$500)+IF($C42="",0,SUMIF('DADOS BRUTOS'!$A$3:$A$500,$C42,'DADOS BRUTOS'!EZ$3:EZ$500)))</f>
        <v/>
      </c>
      <c r="IA42" s="125">
        <f>IF(OR(IA$4="",$B42=""),0,SUMIF('DADOS BRUTOS'!$A$3:$A$500,$B42,'DADOS BRUTOS'!FA$3:FA$500)+IF($C42="",0,SUMIF('DADOS BRUTOS'!$A$3:$A$500,$C42,'DADOS BRUTOS'!FA$3:FA$500)))</f>
        <v/>
      </c>
      <c r="IB42" s="125">
        <f>IF(OR(IB$4="",$B42=""),0,SUMIF('DADOS BRUTOS'!$A$3:$A$500,$B42,'DADOS BRUTOS'!FB$3:FB$500)+IF($C42="",0,SUMIF('DADOS BRUTOS'!$A$3:$A$500,$C42,'DADOS BRUTOS'!FB$3:FB$500)))</f>
        <v/>
      </c>
      <c r="IC42" s="125">
        <f>IF(OR(IC$4="",$B42=""),0,SUMIF('DADOS BRUTOS'!$A$3:$A$500,$B42,'DADOS BRUTOS'!FC$3:FC$500)+IF($C42="",0,SUMIF('DADOS BRUTOS'!$A$3:$A$500,$C42,'DADOS BRUTOS'!FC$3:FC$500)))</f>
        <v/>
      </c>
      <c r="ID42" s="125">
        <f>IF(OR(ID$4="",$B42=""),0,SUMIF('DADOS BRUTOS'!$A$3:$A$500,$B42,'DADOS BRUTOS'!FD$3:FD$500)+IF($C42="",0,SUMIF('DADOS BRUTOS'!$A$3:$A$500,$C42,'DADOS BRUTOS'!FD$3:FD$500)))</f>
        <v/>
      </c>
      <c r="IE42" s="125">
        <f>IF(OR(IE$4="",$B42=""),0,SUMIF('DADOS BRUTOS'!$A$3:$A$500,$B42,'DADOS BRUTOS'!FE$3:FE$500)+IF($C42="",0,SUMIF('DADOS BRUTOS'!$A$3:$A$500,$C42,'DADOS BRUTOS'!FE$3:FE$500)))</f>
        <v/>
      </c>
      <c r="IF42" s="125">
        <f>IF(OR(IF$4="",$B42=""),0,SUMIF('DADOS BRUTOS'!$A$3:$A$500,$B42,'DADOS BRUTOS'!FF$3:FF$500)+IF($C42="",0,SUMIF('DADOS BRUTOS'!$A$3:$A$500,$C42,'DADOS BRUTOS'!FF$3:FF$500)))</f>
        <v/>
      </c>
      <c r="IG42" s="125">
        <f>IF(OR(IG$4="",$B42=""),0,SUMIF('DADOS BRUTOS'!$A$3:$A$500,$B42,'DADOS BRUTOS'!FG$3:FG$500)+IF($C42="",0,SUMIF('DADOS BRUTOS'!$A$3:$A$500,$C42,'DADOS BRUTOS'!FG$3:FG$500)))</f>
        <v/>
      </c>
      <c r="IH42" s="125">
        <f>IF(OR(IH$4="",$B42=""),0,SUMIF('DADOS BRUTOS'!$A$3:$A$500,$B42,'DADOS BRUTOS'!FH$3:FH$500)+IF($C42="",0,SUMIF('DADOS BRUTOS'!$A$3:$A$500,$C42,'DADOS BRUTOS'!FH$3:FH$500)))</f>
        <v/>
      </c>
      <c r="II42" s="125">
        <f>IF(OR(II$4="",$B42=""),0,SUMIF('DADOS BRUTOS'!$A$3:$A$500,$B42,'DADOS BRUTOS'!FI$3:FI$500)+IF($C42="",0,SUMIF('DADOS BRUTOS'!$A$3:$A$500,$C42,'DADOS BRUTOS'!FI$3:FI$500)))</f>
        <v/>
      </c>
      <c r="IJ42" s="125">
        <f>IF(OR(IJ$4="",$B42=""),0,SUMIF('DADOS BRUTOS'!$A$3:$A$500,$B42,'DADOS BRUTOS'!FJ$3:FJ$500)+IF($C42="",0,SUMIF('DADOS BRUTOS'!$A$3:$A$500,$C42,'DADOS BRUTOS'!FJ$3:FJ$500)))</f>
        <v/>
      </c>
      <c r="IK42" s="125">
        <f>IF(OR(IK$4="",$B42=""),0,SUMIF('DADOS BRUTOS'!$A$3:$A$500,$B42,'DADOS BRUTOS'!FK$3:FK$500)+IF($C42="",0,SUMIF('DADOS BRUTOS'!$A$3:$A$500,$C42,'DADOS BRUTOS'!FK$3:FK$500)))</f>
        <v/>
      </c>
      <c r="IL42" s="125">
        <f>IF(OR(IL$4="",$B42=""),0,SUMIF('DADOS BRUTOS'!$A$3:$A$500,$B42,'DADOS BRUTOS'!FL$3:FL$500)+IF($C42="",0,SUMIF('DADOS BRUTOS'!$A$3:$A$500,$C42,'DADOS BRUTOS'!FL$3:FL$500)))</f>
        <v/>
      </c>
      <c r="IM42" s="125">
        <f>IF(OR(IM$4="",$B42=""),0,SUMIF('DADOS BRUTOS'!$A$3:$A$500,$B42,'DADOS BRUTOS'!FM$3:FM$500)+IF($C42="",0,SUMIF('DADOS BRUTOS'!$A$3:$A$500,$C42,'DADOS BRUTOS'!FM$3:FM$500)))</f>
        <v/>
      </c>
      <c r="IN42" s="125">
        <f>IF(OR(IN$4="",$B42=""),0,SUMIF('DADOS BRUTOS'!$A$3:$A$500,$B42,'DADOS BRUTOS'!FN$3:FN$500)+IF($C42="",0,SUMIF('DADOS BRUTOS'!$A$3:$A$500,$C42,'DADOS BRUTOS'!FN$3:FN$500)))</f>
        <v/>
      </c>
      <c r="IO42" s="125">
        <f>IF(OR(IO$4="",$B42=""),0,SUMIF('DADOS BRUTOS'!$A$3:$A$500,$B42,'DADOS BRUTOS'!FO$3:FO$500)+IF($C42="",0,SUMIF('DADOS BRUTOS'!$A$3:$A$500,$C42,'DADOS BRUTOS'!FO$3:FO$500)))</f>
        <v/>
      </c>
      <c r="IP42" s="125">
        <f>IF(OR(IP$4="",$B42=""),0,SUMIF('DADOS BRUTOS'!$A$3:$A$500,$B42,'DADOS BRUTOS'!FP$3:FP$500)+IF($C42="",0,SUMIF('DADOS BRUTOS'!$A$3:$A$500,$C42,'DADOS BRUTOS'!FP$3:FP$500)))</f>
        <v/>
      </c>
      <c r="IQ42" s="125">
        <f>IF(OR(IQ$4="",$B42=""),0,SUMIF('DADOS BRUTOS'!$A$3:$A$500,$B42,'DADOS BRUTOS'!FQ$3:FQ$500)+IF($C42="",0,SUMIF('DADOS BRUTOS'!$A$3:$A$500,$C42,'DADOS BRUTOS'!FQ$3:FQ$500)))</f>
        <v/>
      </c>
      <c r="IR42" s="125">
        <f>IF(OR(IR$4="",$B42=""),0,SUMIF('DADOS BRUTOS'!$A$3:$A$500,$B42,'DADOS BRUTOS'!FR$3:FR$500)+IF($C42="",0,SUMIF('DADOS BRUTOS'!$A$3:$A$500,$C42,'DADOS BRUTOS'!FR$3:FR$500)))</f>
        <v/>
      </c>
      <c r="IS42" s="125">
        <f>IF(OR(IS$4="",$B42=""),0,SUMIF('DADOS BRUTOS'!$A$3:$A$500,$B42,'DADOS BRUTOS'!FS$3:FS$500)+IF($C42="",0,SUMIF('DADOS BRUTOS'!$A$3:$A$500,$C42,'DADOS BRUTOS'!FS$3:FS$500)))</f>
        <v/>
      </c>
      <c r="IT42" s="125">
        <f>IF(OR(IT$4="",$B42=""),0,SUMIF('DADOS BRUTOS'!$A$3:$A$500,$B42,'DADOS BRUTOS'!FT$3:FT$500)+IF($C42="",0,SUMIF('DADOS BRUTOS'!$A$3:$A$500,$C42,'DADOS BRUTOS'!FT$3:FT$500)))</f>
        <v/>
      </c>
      <c r="IU42" s="125">
        <f>IF(OR(IU$4="",$B42=""),0,SUMIF('DADOS BRUTOS'!$A$3:$A$500,$B42,'DADOS BRUTOS'!FU$3:FU$500)+IF($C42="",0,SUMIF('DADOS BRUTOS'!$A$3:$A$500,$C42,'DADOS BRUTOS'!FU$3:FU$500)))</f>
        <v/>
      </c>
      <c r="IV42" s="125">
        <f>IF(OR(IV$4="",$B42=""),0,SUMIF('DADOS BRUTOS'!$A$3:$A$500,$B42,'DADOS BRUTOS'!FV$3:FV$500)+IF($C42="",0,SUMIF('DADOS BRUTOS'!$A$3:$A$500,$C42,'DADOS BRUTOS'!FV$3:FV$500)))</f>
        <v/>
      </c>
      <c r="IW42" s="125">
        <f>IF(OR(IW$4="",$B42=""),0,SUMIF('DADOS BRUTOS'!$A$3:$A$500,$B42,'DADOS BRUTOS'!FW$3:FW$500)+IF($C42="",0,SUMIF('DADOS BRUTOS'!$A$3:$A$500,$C42,'DADOS BRUTOS'!FW$3:FW$500)))</f>
        <v/>
      </c>
      <c r="IX42" s="125">
        <f>IF(OR(IX$4="",$B42=""),0,SUMIF('DADOS BRUTOS'!$A$3:$A$500,$B42,'DADOS BRUTOS'!FX$3:FX$500)+IF($C42="",0,SUMIF('DADOS BRUTOS'!$A$3:$A$500,$C42,'DADOS BRUTOS'!FX$3:FX$500)))</f>
        <v/>
      </c>
      <c r="IY42" s="125">
        <f>IF(OR(IY$4="",$B42=""),0,SUMIF('DADOS BRUTOS'!$A$3:$A$500,$B42,'DADOS BRUTOS'!FY$3:FY$500)+IF($C42="",0,SUMIF('DADOS BRUTOS'!$A$3:$A$500,$C42,'DADOS BRUTOS'!FY$3:FY$500)))</f>
        <v/>
      </c>
      <c r="IZ42" s="125">
        <f>IF(OR(IZ$4="",$B42=""),0,SUMIF('DADOS BRUTOS'!$A$3:$A$500,$B42,'DADOS BRUTOS'!FZ$3:FZ$500)+IF($C42="",0,SUMIF('DADOS BRUTOS'!$A$3:$A$500,$C42,'DADOS BRUTOS'!FZ$3:FZ$500)))</f>
        <v/>
      </c>
      <c r="JA42" s="125">
        <f>IF(OR(JA$4="",$B42=""),0,SUMIF('DADOS BRUTOS'!$A$3:$A$500,$B42,'DADOS BRUTOS'!GA$3:GA$500)+IF($C42="",0,SUMIF('DADOS BRUTOS'!$A$3:$A$500,$C42,'DADOS BRUTOS'!GA$3:GA$500)))</f>
        <v/>
      </c>
      <c r="JB42" s="125">
        <f>IF(OR(JB$4="",$B42=""),0,SUMIF('DADOS BRUTOS'!$A$3:$A$500,$B42,'DADOS BRUTOS'!GB$3:GB$500)+IF($C42="",0,SUMIF('DADOS BRUTOS'!$A$3:$A$500,$C42,'DADOS BRUTOS'!GB$3:GB$500)))</f>
        <v/>
      </c>
      <c r="JC42" s="125">
        <f>IF(OR(JC$4="",$B42=""),0,SUMIF('DADOS BRUTOS'!$A$3:$A$500,$B42,'DADOS BRUTOS'!GC$3:GC$500)+IF($C42="",0,SUMIF('DADOS BRUTOS'!$A$3:$A$500,$C42,'DADOS BRUTOS'!GC$3:GC$500)))</f>
        <v/>
      </c>
      <c r="JD42" s="125">
        <f>IF(OR(JD$4="",$B42=""),0,SUMIF('DADOS BRUTOS'!$A$3:$A$500,$B42,'DADOS BRUTOS'!GD$3:GD$500)+IF($C42="",0,SUMIF('DADOS BRUTOS'!$A$3:$A$500,$C42,'DADOS BRUTOS'!GD$3:GD$500)))</f>
        <v/>
      </c>
      <c r="JE42" s="125">
        <f>IF(OR(JE$4="",$B42=""),0,SUMIF('DADOS BRUTOS'!$A$3:$A$500,$B42,'DADOS BRUTOS'!GE$3:GE$500)+IF($C42="",0,SUMIF('DADOS BRUTOS'!$A$3:$A$500,$C42,'DADOS BRUTOS'!GE$3:GE$500)))</f>
        <v/>
      </c>
      <c r="JF42" s="125">
        <f>IF(OR(JF$4="",$B42=""),0,SUMIF('DADOS BRUTOS'!$A$3:$A$500,$B42,'DADOS BRUTOS'!GF$3:GF$500)+IF($C42="",0,SUMIF('DADOS BRUTOS'!$A$3:$A$500,$C42,'DADOS BRUTOS'!GF$3:GF$500)))</f>
        <v/>
      </c>
      <c r="JG42" s="125">
        <f>IF(OR(JG$4="",$B42=""),0,SUMIF('DADOS BRUTOS'!$A$3:$A$500,$B42,'DADOS BRUTOS'!GG$3:GG$500)+IF($C42="",0,SUMIF('DADOS BRUTOS'!$A$3:$A$500,$C42,'DADOS BRUTOS'!GG$3:GG$500)))</f>
        <v/>
      </c>
      <c r="JH42" s="125">
        <f>IF(OR(JH$4="",$B42=""),0,SUMIF('DADOS BRUTOS'!$A$3:$A$500,$B42,'DADOS BRUTOS'!GH$3:GH$500)+IF($C42="",0,SUMIF('DADOS BRUTOS'!$A$3:$A$500,$C42,'DADOS BRUTOS'!GH$3:GH$500)))</f>
        <v/>
      </c>
      <c r="JI42" s="125">
        <f>IF(OR(JI$4="",$B42=""),0,SUMIF('DADOS BRUTOS'!$A$3:$A$500,$B42,'DADOS BRUTOS'!GI$3:GI$500)+IF($C42="",0,SUMIF('DADOS BRUTOS'!$A$3:$A$500,$C42,'DADOS BRUTOS'!GI$3:GI$500)))</f>
        <v/>
      </c>
      <c r="JJ42" s="125">
        <f>IF(OR(JJ$4="",$B42=""),0,SUMIF('DADOS BRUTOS'!$A$3:$A$500,$B42,'DADOS BRUTOS'!GJ$3:GJ$500)+IF($C42="",0,SUMIF('DADOS BRUTOS'!$A$3:$A$500,$C42,'DADOS BRUTOS'!GJ$3:GJ$500)))</f>
        <v/>
      </c>
      <c r="JK42" s="125">
        <f>IF(OR(JK$4="",$B42=""),0,SUMIF('DADOS BRUTOS'!$A$3:$A$500,$B42,'DADOS BRUTOS'!GK$3:GK$500)+IF($C42="",0,SUMIF('DADOS BRUTOS'!$A$3:$A$500,$C42,'DADOS BRUTOS'!GK$3:GK$500)))</f>
        <v/>
      </c>
      <c r="JL42" s="125">
        <f>IF(OR(JL$4="",$B42=""),0,SUMIF('DADOS BRUTOS'!$A$3:$A$500,$B42,'DADOS BRUTOS'!GL$3:GL$500)+IF($C42="",0,SUMIF('DADOS BRUTOS'!$A$3:$A$500,$C42,'DADOS BRUTOS'!GL$3:GL$500)))</f>
        <v/>
      </c>
      <c r="JM42" s="125">
        <f>IF(OR(JM$4="",$B42=""),0,SUMIF('DADOS BRUTOS'!$A$3:$A$500,$B42,'DADOS BRUTOS'!GM$3:GM$500)+IF($C42="",0,SUMIF('DADOS BRUTOS'!$A$3:$A$500,$C42,'DADOS BRUTOS'!GM$3:GM$500)))</f>
        <v/>
      </c>
      <c r="JN42" s="125">
        <f>IF(OR(JN$4="",$B42=""),0,SUMIF('DADOS BRUTOS'!$A$3:$A$500,$B42,'DADOS BRUTOS'!GN$3:GN$500)+IF($C42="",0,SUMIF('DADOS BRUTOS'!$A$3:$A$500,$C42,'DADOS BRUTOS'!GN$3:GN$500)))</f>
        <v/>
      </c>
      <c r="JO42" s="125">
        <f>IF(OR(JO$4="",$B42=""),0,SUMIF('DADOS BRUTOS'!$A$3:$A$500,$B42,'DADOS BRUTOS'!GO$3:GO$500)+IF($C42="",0,SUMIF('DADOS BRUTOS'!$A$3:$A$500,$C42,'DADOS BRUTOS'!GO$3:GO$500)))</f>
        <v/>
      </c>
      <c r="JP42" s="125">
        <f>IF(OR(JP$4="",$B42=""),0,SUMIF('DADOS BRUTOS'!$A$3:$A$500,$B42,'DADOS BRUTOS'!GP$3:GP$500)+IF($C42="",0,SUMIF('DADOS BRUTOS'!$A$3:$A$500,$C42,'DADOS BRUTOS'!GP$3:GP$500)))</f>
        <v/>
      </c>
      <c r="JQ42" s="125">
        <f>IF(OR(JQ$4="",$B42=""),0,SUMIF('DADOS BRUTOS'!$A$3:$A$500,$B42,'DADOS BRUTOS'!GQ$3:GQ$500)+IF($C42="",0,SUMIF('DADOS BRUTOS'!$A$3:$A$500,$C42,'DADOS BRUTOS'!GQ$3:GQ$500)))</f>
        <v/>
      </c>
      <c r="JR42" s="125">
        <f>IF(OR(JR$4="",$B42=""),0,SUMIF('DADOS BRUTOS'!$A$3:$A$500,$B42,'DADOS BRUTOS'!GR$3:GR$500)+IF($C42="",0,SUMIF('DADOS BRUTOS'!$A$3:$A$500,$C42,'DADOS BRUTOS'!GR$3:GR$500)))</f>
        <v/>
      </c>
      <c r="JS42" s="125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26">
        <f>SUM(D5:D42)</f>
        <v/>
      </c>
      <c r="E44" s="126">
        <f>SUM(E5:E42)</f>
        <v/>
      </c>
      <c r="F44" s="126">
        <f>SUM(F5:F42)</f>
        <v/>
      </c>
      <c r="G44" s="126">
        <f>SUM(G5:G42)</f>
        <v/>
      </c>
      <c r="H44" s="126">
        <f>SUM(H5:H42)</f>
        <v/>
      </c>
      <c r="I44" s="126">
        <f>SUM(I5:I42)</f>
        <v/>
      </c>
      <c r="J44" s="126">
        <f>SUM(J5:J42)</f>
        <v/>
      </c>
      <c r="K44" s="126">
        <f>SUM(K5:K42)</f>
        <v/>
      </c>
      <c r="L44" s="126">
        <f>SUM(L5:L42)</f>
        <v/>
      </c>
      <c r="M44" s="126">
        <f>SUM(M5:M42)</f>
        <v/>
      </c>
      <c r="N44" s="126">
        <f>SUM(N5:N42)</f>
        <v/>
      </c>
      <c r="O44" s="126">
        <f>SUM(O5:O42)</f>
        <v/>
      </c>
      <c r="P44" s="126">
        <f>SUM(P5:P42)</f>
        <v/>
      </c>
      <c r="Q44" s="126">
        <f>SUM(Q5:Q42)</f>
        <v/>
      </c>
      <c r="R44" s="126">
        <f>SUM(R5:R42)</f>
        <v/>
      </c>
      <c r="S44" s="126">
        <f>SUM(S5:S42)</f>
        <v/>
      </c>
      <c r="T44" s="126">
        <f>SUM(T5:T42)</f>
        <v/>
      </c>
      <c r="U44" s="126">
        <f>SUM(U5:U42)</f>
        <v/>
      </c>
      <c r="V44" s="126">
        <f>SUM(V5:V42)</f>
        <v/>
      </c>
      <c r="W44" s="126">
        <f>SUM(W5:W42)</f>
        <v/>
      </c>
      <c r="X44" s="126">
        <f>SUM(X5:X42)</f>
        <v/>
      </c>
      <c r="Y44" s="126">
        <f>SUM(Y5:Y42)</f>
        <v/>
      </c>
      <c r="Z44" s="126">
        <f>SUM(Z5:Z42)</f>
        <v/>
      </c>
      <c r="AA44" s="126">
        <f>SUM(AA5:AA42)</f>
        <v/>
      </c>
      <c r="AB44" s="126">
        <f>SUM(AB5:AB42)</f>
        <v/>
      </c>
      <c r="AC44" s="126">
        <f>SUM(AC5:AC42)</f>
        <v/>
      </c>
      <c r="AD44" s="126">
        <f>SUM(AD5:AD42)</f>
        <v/>
      </c>
      <c r="AE44" s="126">
        <f>SUM(AE5:AE42)</f>
        <v/>
      </c>
      <c r="AF44" s="126">
        <f>SUM(AF5:AF42)</f>
        <v/>
      </c>
      <c r="AG44" s="126">
        <f>SUM(AG5:AG42)</f>
        <v/>
      </c>
      <c r="AH44" s="126">
        <f>SUM(AH5:AH42)</f>
        <v/>
      </c>
      <c r="AI44" s="126">
        <f>SUM(AI5:AI42)</f>
        <v/>
      </c>
      <c r="AJ44" s="126">
        <f>SUM(AJ5:AJ42)</f>
        <v/>
      </c>
      <c r="AK44" s="126">
        <f>SUM(AK5:AK42)</f>
        <v/>
      </c>
      <c r="AL44" s="126">
        <f>SUM(AL5:AL42)</f>
        <v/>
      </c>
      <c r="AM44" s="126">
        <f>SUM(AM5:AM42)</f>
        <v/>
      </c>
      <c r="AN44" s="126">
        <f>SUM(AN5:AN42)</f>
        <v/>
      </c>
      <c r="AO44" s="126">
        <f>SUM(AO5:AO42)</f>
        <v/>
      </c>
      <c r="AP44" s="126">
        <f>SUM(AP5:AP42)</f>
        <v/>
      </c>
      <c r="AQ44" s="126">
        <f>SUM(AQ5:AQ42)</f>
        <v/>
      </c>
      <c r="AR44" s="126">
        <f>SUM(AR5:AR42)</f>
        <v/>
      </c>
      <c r="AS44" s="126">
        <f>SUM(AS5:AS42)</f>
        <v/>
      </c>
      <c r="AT44" s="126">
        <f>SUM(AT5:AT42)</f>
        <v/>
      </c>
      <c r="AU44" s="126">
        <f>SUM(AU5:AU42)</f>
        <v/>
      </c>
      <c r="AV44" s="126">
        <f>SUM(AV5:AV42)</f>
        <v/>
      </c>
      <c r="AW44" s="126">
        <f>SUM(AW5:AW42)</f>
        <v/>
      </c>
      <c r="AX44" s="126">
        <f>SUM(AX5:AX42)</f>
        <v/>
      </c>
      <c r="AY44" s="126">
        <f>SUM(AY5:AY42)</f>
        <v/>
      </c>
      <c r="AZ44" s="126">
        <f>SUM(AZ5:AZ42)</f>
        <v/>
      </c>
      <c r="BA44" s="126">
        <f>SUM(BA5:BA42)</f>
        <v/>
      </c>
      <c r="BB44" s="126">
        <f>SUM(BB5:BB42)</f>
        <v/>
      </c>
      <c r="BC44" s="126">
        <f>SUM(BC5:BC42)</f>
        <v/>
      </c>
      <c r="BD44" s="126">
        <f>SUM(BD5:BD42)</f>
        <v/>
      </c>
      <c r="BE44" s="126">
        <f>SUM(BE5:BE42)</f>
        <v/>
      </c>
      <c r="BF44" s="126">
        <f>SUM(BF5:BF42)</f>
        <v/>
      </c>
      <c r="BG44" s="126">
        <f>SUM(BG5:BG42)</f>
        <v/>
      </c>
      <c r="BH44" s="126">
        <f>SUM(BH5:BH42)</f>
        <v/>
      </c>
      <c r="BI44" s="126">
        <f>SUM(BI5:BI42)</f>
        <v/>
      </c>
      <c r="BJ44" s="126">
        <f>SUM(BJ5:BJ42)</f>
        <v/>
      </c>
      <c r="BK44" s="126">
        <f>SUM(BK5:BK42)</f>
        <v/>
      </c>
      <c r="BL44" s="126">
        <f>SUM(BL5:BL42)</f>
        <v/>
      </c>
      <c r="BM44" s="126">
        <f>SUM(BM5:BM42)</f>
        <v/>
      </c>
      <c r="BN44" s="126">
        <f>SUM(BN5:BN42)</f>
        <v/>
      </c>
      <c r="BO44" s="126">
        <f>SUM(BO5:BO42)</f>
        <v/>
      </c>
      <c r="BP44" s="126">
        <f>SUM(BP5:BP42)</f>
        <v/>
      </c>
      <c r="BQ44" s="126">
        <f>SUM(BQ5:BQ42)</f>
        <v/>
      </c>
      <c r="BR44" s="126">
        <f>SUM(BR5:BR42)</f>
        <v/>
      </c>
      <c r="BS44" s="126">
        <f>SUM(BS5:BS42)</f>
        <v/>
      </c>
      <c r="BT44" s="126">
        <f>SUM(BT5:BT42)</f>
        <v/>
      </c>
      <c r="BU44" s="126">
        <f>SUM(BU5:BU42)</f>
        <v/>
      </c>
      <c r="BV44" s="126">
        <f>SUM(BV5:BV42)</f>
        <v/>
      </c>
      <c r="BW44" s="126">
        <f>SUM(BW5:BW42)</f>
        <v/>
      </c>
      <c r="BX44" s="126">
        <f>SUM(BX5:BX42)</f>
        <v/>
      </c>
      <c r="BY44" s="126">
        <f>SUM(BY5:BY42)</f>
        <v/>
      </c>
      <c r="BZ44" s="126">
        <f>SUM(BZ5:BZ42)</f>
        <v/>
      </c>
      <c r="CB44" s="125">
        <f>SUM(CB5:CB42)</f>
        <v/>
      </c>
      <c r="CC44" s="125">
        <f>SUM(CC5:CC42)</f>
        <v/>
      </c>
      <c r="CD44" s="125">
        <f>SUM(CD5:CD42)</f>
        <v/>
      </c>
      <c r="CE44" s="125">
        <f>SUM(CE5:CE42)</f>
        <v/>
      </c>
      <c r="CF44" s="125">
        <f>SUM(CF5:CF42)</f>
        <v/>
      </c>
      <c r="CG44" s="125">
        <f>SUM(CG5:CG42)</f>
        <v/>
      </c>
      <c r="CH44" s="125">
        <f>SUM(CH5:CH42)</f>
        <v/>
      </c>
      <c r="CI44" s="125">
        <f>SUM(CI5:CI42)</f>
        <v/>
      </c>
      <c r="CJ44" s="125">
        <f>SUM(CJ5:CJ42)</f>
        <v/>
      </c>
      <c r="CK44" s="125">
        <f>SUM(CK5:CK42)</f>
        <v/>
      </c>
      <c r="CL44" s="125">
        <f>SUM(CL5:CL42)</f>
        <v/>
      </c>
      <c r="CM44" s="125">
        <f>SUM(CM5:CM42)</f>
        <v/>
      </c>
      <c r="CN44" s="125">
        <f>SUM(CN5:CN42)</f>
        <v/>
      </c>
      <c r="CO44" s="125">
        <f>SUM(CO5:CO42)</f>
        <v/>
      </c>
      <c r="CP44" s="125">
        <f>SUM(CP5:CP42)</f>
        <v/>
      </c>
      <c r="CQ44" s="125">
        <f>SUM(CQ5:CQ42)</f>
        <v/>
      </c>
      <c r="CR44" s="125">
        <f>SUM(CR5:CR42)</f>
        <v/>
      </c>
      <c r="CS44" s="125">
        <f>SUM(CS5:CS42)</f>
        <v/>
      </c>
      <c r="CT44" s="125">
        <f>SUM(CT5:CT42)</f>
        <v/>
      </c>
      <c r="CU44" s="125">
        <f>SUM(CU5:CU42)</f>
        <v/>
      </c>
      <c r="CV44" s="125">
        <f>SUM(CV5:CV42)</f>
        <v/>
      </c>
      <c r="CW44" s="125">
        <f>SUM(CW5:CW42)</f>
        <v/>
      </c>
      <c r="CX44" s="125">
        <f>SUM(CX5:CX42)</f>
        <v/>
      </c>
      <c r="CY44" s="125">
        <f>SUM(CY5:CY42)</f>
        <v/>
      </c>
      <c r="CZ44" s="125">
        <f>SUM(CZ5:CZ42)</f>
        <v/>
      </c>
      <c r="DA44" s="125">
        <f>SUM(DA5:DA42)</f>
        <v/>
      </c>
      <c r="DB44" s="125">
        <f>SUM(DB5:DB42)</f>
        <v/>
      </c>
      <c r="DC44" s="125">
        <f>SUM(DC5:DC42)</f>
        <v/>
      </c>
      <c r="DD44" s="125">
        <f>SUM(DD5:DD42)</f>
        <v/>
      </c>
      <c r="DE44" s="125">
        <f>SUM(DE5:DE42)</f>
        <v/>
      </c>
      <c r="DF44" s="125">
        <f>SUM(DF5:DF42)</f>
        <v/>
      </c>
      <c r="DG44" s="125">
        <f>SUM(DG5:DG42)</f>
        <v/>
      </c>
      <c r="DH44" s="125">
        <f>SUM(DH5:DH42)</f>
        <v/>
      </c>
      <c r="DI44" s="125">
        <f>SUM(DI5:DI42)</f>
        <v/>
      </c>
      <c r="DJ44" s="125">
        <f>SUM(DJ5:DJ42)</f>
        <v/>
      </c>
      <c r="DK44" s="125">
        <f>SUM(DK5:DK42)</f>
        <v/>
      </c>
      <c r="DL44" s="125">
        <f>SUM(DL5:DL42)</f>
        <v/>
      </c>
      <c r="DM44" s="125">
        <f>SUM(DM5:DM42)</f>
        <v/>
      </c>
      <c r="DN44" s="125">
        <f>SUM(DN5:DN42)</f>
        <v/>
      </c>
      <c r="DO44" s="125">
        <f>SUM(DO5:DO42)</f>
        <v/>
      </c>
      <c r="DP44" s="125">
        <f>SUM(DP5:DP42)</f>
        <v/>
      </c>
      <c r="DQ44" s="125">
        <f>SUM(DQ5:DQ42)</f>
        <v/>
      </c>
      <c r="DR44" s="125">
        <f>SUM(DR5:DR42)</f>
        <v/>
      </c>
      <c r="DS44" s="125">
        <f>SUM(DS5:DS42)</f>
        <v/>
      </c>
      <c r="DT44" s="125">
        <f>SUM(DT5:DT42)</f>
        <v/>
      </c>
      <c r="DU44" s="125">
        <f>SUM(DU5:DU42)</f>
        <v/>
      </c>
      <c r="DV44" s="125">
        <f>SUM(DV5:DV42)</f>
        <v/>
      </c>
      <c r="DW44" s="125">
        <f>SUM(DW5:DW42)</f>
        <v/>
      </c>
      <c r="DX44" s="125">
        <f>SUM(DX5:DX42)</f>
        <v/>
      </c>
      <c r="DY44" s="125">
        <f>SUM(DY5:DY42)</f>
        <v/>
      </c>
      <c r="DZ44" s="125">
        <f>SUM(DZ5:DZ42)</f>
        <v/>
      </c>
      <c r="EA44" s="125">
        <f>SUM(EA5:EA42)</f>
        <v/>
      </c>
      <c r="EB44" s="125">
        <f>SUM(EB5:EB42)</f>
        <v/>
      </c>
      <c r="EC44" s="125">
        <f>SUM(EC5:EC42)</f>
        <v/>
      </c>
      <c r="ED44" s="125">
        <f>SUM(ED5:ED42)</f>
        <v/>
      </c>
      <c r="EE44" s="125">
        <f>SUM(EE5:EE42)</f>
        <v/>
      </c>
      <c r="EF44" s="125">
        <f>SUM(EF5:EF42)</f>
        <v/>
      </c>
      <c r="EG44" s="125">
        <f>SUM(EG5:EG42)</f>
        <v/>
      </c>
      <c r="EH44" s="125">
        <f>SUM(EH5:EH42)</f>
        <v/>
      </c>
      <c r="EI44" s="125">
        <f>SUM(EI5:EI42)</f>
        <v/>
      </c>
      <c r="EJ44" s="125">
        <f>SUM(EJ5:EJ42)</f>
        <v/>
      </c>
      <c r="EK44" s="125">
        <f>SUM(EK5:EK42)</f>
        <v/>
      </c>
      <c r="EL44" s="125">
        <f>SUM(EL5:EL42)</f>
        <v/>
      </c>
      <c r="EM44" s="125">
        <f>SUM(EM5:EM42)</f>
        <v/>
      </c>
      <c r="EN44" s="125">
        <f>SUM(EN5:EN42)</f>
        <v/>
      </c>
      <c r="EO44" s="125">
        <f>SUM(EO5:EO42)</f>
        <v/>
      </c>
      <c r="EP44" s="125">
        <f>SUM(EP5:EP42)</f>
        <v/>
      </c>
      <c r="EQ44" s="125">
        <f>SUM(EQ5:EQ42)</f>
        <v/>
      </c>
      <c r="ER44" s="125">
        <f>SUM(ER5:ER42)</f>
        <v/>
      </c>
      <c r="ES44" s="125">
        <f>SUM(ES5:ES42)</f>
        <v/>
      </c>
      <c r="ET44" s="125">
        <f>SUM(ET5:ET42)</f>
        <v/>
      </c>
      <c r="EU44" s="125">
        <f>SUM(EU5:EU42)</f>
        <v/>
      </c>
      <c r="EV44" s="125">
        <f>SUM(EV5:EV42)</f>
        <v/>
      </c>
      <c r="EW44" s="125">
        <f>SUM(EW5:EW42)</f>
        <v/>
      </c>
      <c r="EX44" s="125">
        <f>SUM(EX5:EX42)</f>
        <v/>
      </c>
      <c r="EY44" s="125">
        <f>SUM(EY5:EY42)</f>
        <v/>
      </c>
      <c r="EZ44" s="125">
        <f>SUM(EZ5:EZ42)</f>
        <v/>
      </c>
      <c r="FA44" s="125">
        <f>SUM(FA5:FA42)</f>
        <v/>
      </c>
      <c r="FB44" s="125">
        <f>SUM(FB5:FB42)</f>
        <v/>
      </c>
      <c r="FC44" s="125">
        <f>SUM(FC5:FC42)</f>
        <v/>
      </c>
      <c r="FD44" s="125">
        <f>SUM(FD5:FD42)</f>
        <v/>
      </c>
      <c r="FE44" s="125">
        <f>SUM(FE5:FE42)</f>
        <v/>
      </c>
      <c r="FF44" s="125">
        <f>SUM(FF5:FF42)</f>
        <v/>
      </c>
      <c r="FG44" s="125">
        <f>SUM(FG5:FG42)</f>
        <v/>
      </c>
      <c r="FH44" s="125">
        <f>SUM(FH5:FH42)</f>
        <v/>
      </c>
      <c r="FI44" s="125">
        <f>SUM(FI5:FI42)</f>
        <v/>
      </c>
      <c r="FJ44" s="125">
        <f>SUM(FJ5:FJ42)</f>
        <v/>
      </c>
      <c r="FK44" s="125">
        <f>SUM(FK5:FK42)</f>
        <v/>
      </c>
      <c r="FL44" s="125">
        <f>SUM(FL5:FL42)</f>
        <v/>
      </c>
      <c r="FM44" s="125">
        <f>SUM(FM5:FM42)</f>
        <v/>
      </c>
      <c r="FN44" s="125">
        <f>SUM(FN5:FN42)</f>
        <v/>
      </c>
      <c r="FO44" s="125">
        <f>SUM(FO5:FO42)</f>
        <v/>
      </c>
      <c r="FP44" s="125">
        <f>SUM(FP5:FP42)</f>
        <v/>
      </c>
      <c r="FQ44" s="125">
        <f>SUM(FQ5:FQ42)</f>
        <v/>
      </c>
      <c r="FR44" s="125">
        <f>SUM(FR5:FR42)</f>
        <v/>
      </c>
      <c r="FS44" s="125">
        <f>SUM(FS5:FS42)</f>
        <v/>
      </c>
      <c r="FT44" s="125">
        <f>SUM(FT5:FT42)</f>
        <v/>
      </c>
      <c r="FU44" s="125">
        <f>SUM(FU5:FU42)</f>
        <v/>
      </c>
      <c r="FV44" s="125">
        <f>SUM(FV5:FV42)</f>
        <v/>
      </c>
      <c r="FW44" s="125">
        <f>SUM(FW5:FW42)</f>
        <v/>
      </c>
      <c r="FX44" s="125">
        <f>SUM(FX5:FX42)</f>
        <v/>
      </c>
      <c r="FY44" s="125">
        <f>SUM(FY5:FY42)</f>
        <v/>
      </c>
      <c r="FZ44" s="125">
        <f>SUM(FZ5:FZ42)</f>
        <v/>
      </c>
      <c r="GA44" s="125">
        <f>SUM(GA5:GA42)</f>
        <v/>
      </c>
      <c r="GB44" s="125">
        <f>SUM(GB5:GB42)</f>
        <v/>
      </c>
      <c r="GC44" s="125">
        <f>SUM(GC5:GC42)</f>
        <v/>
      </c>
      <c r="GD44" s="125">
        <f>SUM(GD5:GD42)</f>
        <v/>
      </c>
      <c r="GE44" s="125">
        <f>SUM(GE5:GE42)</f>
        <v/>
      </c>
      <c r="GF44" s="125">
        <f>SUM(GF5:GF42)</f>
        <v/>
      </c>
      <c r="GG44" s="125">
        <f>SUM(GG5:GG42)</f>
        <v/>
      </c>
      <c r="GH44" s="125">
        <f>SUM(GH5:GH42)</f>
        <v/>
      </c>
      <c r="GI44" s="125">
        <f>SUM(GI5:GI42)</f>
        <v/>
      </c>
      <c r="GJ44" s="125">
        <f>SUM(GJ5:GJ42)</f>
        <v/>
      </c>
      <c r="GK44" s="125">
        <f>SUM(GK5:GK42)</f>
        <v/>
      </c>
      <c r="GL44" s="125">
        <f>SUM(GL5:GL42)</f>
        <v/>
      </c>
      <c r="GM44" s="125">
        <f>SUM(GM5:GM42)</f>
        <v/>
      </c>
      <c r="GN44" s="125">
        <f>SUM(GN5:GN42)</f>
        <v/>
      </c>
      <c r="GO44" s="125">
        <f>SUM(GO5:GO42)</f>
        <v/>
      </c>
      <c r="GP44" s="125">
        <f>SUM(GP5:GP42)</f>
        <v/>
      </c>
      <c r="GQ44" s="125">
        <f>SUM(GQ5:GQ42)</f>
        <v/>
      </c>
      <c r="GR44" s="125">
        <f>SUM(GR5:GR42)</f>
        <v/>
      </c>
      <c r="GS44" s="125">
        <f>SUM(GS5:GS42)</f>
        <v/>
      </c>
      <c r="GT44" s="125">
        <f>SUM(GT5:GT42)</f>
        <v/>
      </c>
      <c r="GU44" s="125">
        <f>SUM(GU5:GU42)</f>
        <v/>
      </c>
      <c r="GV44" s="125">
        <f>SUM(GV5:GV42)</f>
        <v/>
      </c>
      <c r="GW44" s="125">
        <f>SUM(GW5:GW42)</f>
        <v/>
      </c>
      <c r="GX44" s="125">
        <f>SUM(GX5:GX42)</f>
        <v/>
      </c>
      <c r="GY44" s="125">
        <f>SUM(GY5:GY42)</f>
        <v/>
      </c>
      <c r="GZ44" s="125">
        <f>SUM(GZ5:GZ42)</f>
        <v/>
      </c>
      <c r="HA44" s="125">
        <f>SUM(HA5:HA42)</f>
        <v/>
      </c>
      <c r="HB44" s="125">
        <f>SUM(HB5:HB42)</f>
        <v/>
      </c>
      <c r="HC44" s="125">
        <f>SUM(HC5:HC42)</f>
        <v/>
      </c>
      <c r="HD44" s="125">
        <f>SUM(HD5:HD42)</f>
        <v/>
      </c>
      <c r="HE44" s="125">
        <f>SUM(HE5:HE42)</f>
        <v/>
      </c>
      <c r="HF44" s="125">
        <f>SUM(HF5:HF42)</f>
        <v/>
      </c>
      <c r="HG44" s="125">
        <f>SUM(HG5:HG42)</f>
        <v/>
      </c>
      <c r="HH44" s="125">
        <f>SUM(HH5:HH42)</f>
        <v/>
      </c>
      <c r="HI44" s="125">
        <f>SUM(HI5:HI42)</f>
        <v/>
      </c>
      <c r="HJ44" s="125">
        <f>SUM(HJ5:HJ42)</f>
        <v/>
      </c>
      <c r="HK44" s="125">
        <f>SUM(HK5:HK42)</f>
        <v/>
      </c>
      <c r="HL44" s="125">
        <f>SUM(HL5:HL42)</f>
        <v/>
      </c>
      <c r="HM44" s="125">
        <f>SUM(HM5:HM42)</f>
        <v/>
      </c>
      <c r="HN44" s="125">
        <f>SUM(HN5:HN42)</f>
        <v/>
      </c>
      <c r="HO44" s="125">
        <f>SUM(HO5:HO42)</f>
        <v/>
      </c>
      <c r="HP44" s="125">
        <f>SUM(HP5:HP42)</f>
        <v/>
      </c>
      <c r="HQ44" s="125">
        <f>SUM(HQ5:HQ42)</f>
        <v/>
      </c>
      <c r="HR44" s="125">
        <f>SUM(HR5:HR42)</f>
        <v/>
      </c>
      <c r="HS44" s="125">
        <f>SUM(HS5:HS42)</f>
        <v/>
      </c>
      <c r="HT44" s="125">
        <f>SUM(HT5:HT42)</f>
        <v/>
      </c>
      <c r="HU44" s="125">
        <f>SUM(HU5:HU42)</f>
        <v/>
      </c>
      <c r="HV44" s="125">
        <f>SUM(HV5:HV42)</f>
        <v/>
      </c>
      <c r="HW44" s="125">
        <f>SUM(HW5:HW42)</f>
        <v/>
      </c>
      <c r="HX44" s="125">
        <f>SUM(HX5:HX42)</f>
        <v/>
      </c>
      <c r="HY44" s="125">
        <f>SUM(HY5:HY42)</f>
        <v/>
      </c>
      <c r="HZ44" s="125">
        <f>SUM(HZ5:HZ42)</f>
        <v/>
      </c>
      <c r="IA44" s="125">
        <f>SUM(IA5:IA42)</f>
        <v/>
      </c>
      <c r="IB44" s="125">
        <f>SUM(IB5:IB42)</f>
        <v/>
      </c>
      <c r="IC44" s="125">
        <f>SUM(IC5:IC42)</f>
        <v/>
      </c>
      <c r="ID44" s="125">
        <f>SUM(ID5:ID42)</f>
        <v/>
      </c>
      <c r="IE44" s="125">
        <f>SUM(IE5:IE42)</f>
        <v/>
      </c>
      <c r="IF44" s="125">
        <f>SUM(IF5:IF42)</f>
        <v/>
      </c>
      <c r="IG44" s="125">
        <f>SUM(IG5:IG42)</f>
        <v/>
      </c>
      <c r="IH44" s="125">
        <f>SUM(IH5:IH42)</f>
        <v/>
      </c>
      <c r="II44" s="125">
        <f>SUM(II5:II42)</f>
        <v/>
      </c>
      <c r="IJ44" s="125">
        <f>SUM(IJ5:IJ42)</f>
        <v/>
      </c>
      <c r="IK44" s="125">
        <f>SUM(IK5:IK42)</f>
        <v/>
      </c>
      <c r="IL44" s="125">
        <f>SUM(IL5:IL42)</f>
        <v/>
      </c>
      <c r="IM44" s="125">
        <f>SUM(IM5:IM42)</f>
        <v/>
      </c>
      <c r="IN44" s="125">
        <f>SUM(IN5:IN42)</f>
        <v/>
      </c>
      <c r="IO44" s="125">
        <f>SUM(IO5:IO42)</f>
        <v/>
      </c>
      <c r="IP44" s="125">
        <f>SUM(IP5:IP42)</f>
        <v/>
      </c>
      <c r="IQ44" s="125">
        <f>SUM(IQ5:IQ42)</f>
        <v/>
      </c>
      <c r="IR44" s="125">
        <f>SUM(IR5:IR42)</f>
        <v/>
      </c>
      <c r="IS44" s="125">
        <f>SUM(IS5:IS42)</f>
        <v/>
      </c>
      <c r="IT44" s="125">
        <f>SUM(IT5:IT42)</f>
        <v/>
      </c>
      <c r="IU44" s="125">
        <f>SUM(IU5:IU42)</f>
        <v/>
      </c>
      <c r="IV44" s="125">
        <f>SUM(IV5:IV42)</f>
        <v/>
      </c>
      <c r="IW44" s="125">
        <f>SUM(IW5:IW42)</f>
        <v/>
      </c>
      <c r="IX44" s="125">
        <f>SUM(IX5:IX42)</f>
        <v/>
      </c>
      <c r="IY44" s="125">
        <f>SUM(IY5:IY42)</f>
        <v/>
      </c>
      <c r="IZ44" s="125">
        <f>SUM(IZ5:IZ42)</f>
        <v/>
      </c>
      <c r="JA44" s="125">
        <f>SUM(JA5:JA42)</f>
        <v/>
      </c>
      <c r="JB44" s="125">
        <f>SUM(JB5:JB42)</f>
        <v/>
      </c>
      <c r="JC44" s="125">
        <f>SUM(JC5:JC42)</f>
        <v/>
      </c>
      <c r="JD44" s="125">
        <f>SUM(JD5:JD42)</f>
        <v/>
      </c>
      <c r="JE44" s="125">
        <f>SUM(JE5:JE42)</f>
        <v/>
      </c>
      <c r="JF44" s="125">
        <f>SUM(JF5:JF42)</f>
        <v/>
      </c>
      <c r="JG44" s="125">
        <f>SUM(JG5:JG42)</f>
        <v/>
      </c>
      <c r="JH44" s="125">
        <f>SUM(JH5:JH42)</f>
        <v/>
      </c>
      <c r="JI44" s="125">
        <f>SUM(JI5:JI42)</f>
        <v/>
      </c>
      <c r="JJ44" s="125">
        <f>SUM(JJ5:JJ42)</f>
        <v/>
      </c>
      <c r="JK44" s="125">
        <f>SUM(JK5:JK42)</f>
        <v/>
      </c>
      <c r="JL44" s="125">
        <f>SUM(JL5:JL42)</f>
        <v/>
      </c>
      <c r="JM44" s="125">
        <f>SUM(JM5:JM42)</f>
        <v/>
      </c>
      <c r="JN44" s="125">
        <f>SUM(JN5:JN42)</f>
        <v/>
      </c>
      <c r="JO44" s="125">
        <f>SUM(JO5:JO42)</f>
        <v/>
      </c>
      <c r="JP44" s="125">
        <f>SUM(JP5:JP42)</f>
        <v/>
      </c>
      <c r="JQ44" s="125">
        <f>SUM(JQ5:JQ42)</f>
        <v/>
      </c>
      <c r="JR44" s="125">
        <f>SUM(JR5:JR42)</f>
        <v/>
      </c>
      <c r="JS44" s="125">
        <f>SUM(JS5:JS42)</f>
        <v/>
      </c>
    </row>
    <row r="45">
      <c r="A45" s="46" t="inlineStr">
        <is>
          <t>TOTAL ACUMULADO</t>
        </is>
      </c>
      <c r="D45" s="109">
        <f>D44</f>
        <v/>
      </c>
      <c r="E45" s="109">
        <f>D45+E44</f>
        <v/>
      </c>
      <c r="F45" s="109">
        <f>E45+F44</f>
        <v/>
      </c>
      <c r="G45" s="109">
        <f>F45+G44</f>
        <v/>
      </c>
      <c r="H45" s="109">
        <f>G45+H44</f>
        <v/>
      </c>
      <c r="I45" s="109">
        <f>H45+I44</f>
        <v/>
      </c>
      <c r="J45" s="109">
        <f>I45+J44</f>
        <v/>
      </c>
      <c r="K45" s="109">
        <f>J45+K44</f>
        <v/>
      </c>
      <c r="L45" s="109">
        <f>K45+L44</f>
        <v/>
      </c>
      <c r="M45" s="109">
        <f>L45+M44</f>
        <v/>
      </c>
      <c r="N45" s="109">
        <f>M45+N44</f>
        <v/>
      </c>
      <c r="O45" s="109">
        <f>N45+O44</f>
        <v/>
      </c>
      <c r="P45" s="109">
        <f>O45+P44</f>
        <v/>
      </c>
      <c r="Q45" s="109">
        <f>P45+Q44</f>
        <v/>
      </c>
      <c r="R45" s="109">
        <f>Q45+R44</f>
        <v/>
      </c>
      <c r="S45" s="109">
        <f>R45+S44</f>
        <v/>
      </c>
      <c r="T45" s="109">
        <f>S45+T44</f>
        <v/>
      </c>
      <c r="U45" s="109">
        <f>T45+U44</f>
        <v/>
      </c>
      <c r="V45" s="109">
        <f>U45+V44</f>
        <v/>
      </c>
      <c r="W45" s="109">
        <f>V45+W44</f>
        <v/>
      </c>
      <c r="X45" s="109">
        <f>W45+X44</f>
        <v/>
      </c>
      <c r="Y45" s="109">
        <f>X45+Y44</f>
        <v/>
      </c>
      <c r="Z45" s="109">
        <f>Y45+Z44</f>
        <v/>
      </c>
      <c r="AA45" s="109">
        <f>Z45+AA44</f>
        <v/>
      </c>
      <c r="AB45" s="109">
        <f>AA45+AB44</f>
        <v/>
      </c>
      <c r="AC45" s="109">
        <f>AB45+AC44</f>
        <v/>
      </c>
      <c r="AD45" s="109">
        <f>AC45+AD44</f>
        <v/>
      </c>
      <c r="AE45" s="109">
        <f>AD45+AE44</f>
        <v/>
      </c>
      <c r="AF45" s="109">
        <f>AE45+AF44</f>
        <v/>
      </c>
      <c r="AG45" s="109">
        <f>AF45+AG44</f>
        <v/>
      </c>
      <c r="AH45" s="109">
        <f>AG45+AH44</f>
        <v/>
      </c>
      <c r="AI45" s="109">
        <f>AH45+AI44</f>
        <v/>
      </c>
      <c r="AJ45" s="109">
        <f>AI45+AJ44</f>
        <v/>
      </c>
      <c r="AK45" s="109">
        <f>AJ45+AK44</f>
        <v/>
      </c>
      <c r="AL45" s="109">
        <f>AK45+AL44</f>
        <v/>
      </c>
      <c r="AM45" s="109">
        <f>AL45+AM44</f>
        <v/>
      </c>
      <c r="AN45" s="109">
        <f>AM45+AN44</f>
        <v/>
      </c>
      <c r="AO45" s="109">
        <f>AN45+AO44</f>
        <v/>
      </c>
      <c r="AP45" s="109">
        <f>AO45+AP44</f>
        <v/>
      </c>
      <c r="AQ45" s="109">
        <f>AP45+AQ44</f>
        <v/>
      </c>
      <c r="AR45" s="109">
        <f>AQ45+AR44</f>
        <v/>
      </c>
      <c r="AS45" s="109">
        <f>AR45+AS44</f>
        <v/>
      </c>
      <c r="AT45" s="109">
        <f>AS45+AT44</f>
        <v/>
      </c>
      <c r="AU45" s="109">
        <f>AT45+AU44</f>
        <v/>
      </c>
      <c r="AV45" s="109">
        <f>AU45+AV44</f>
        <v/>
      </c>
      <c r="AW45" s="109">
        <f>AV45+AW44</f>
        <v/>
      </c>
      <c r="AX45" s="109">
        <f>AW45+AX44</f>
        <v/>
      </c>
      <c r="AY45" s="109">
        <f>AX45+AY44</f>
        <v/>
      </c>
      <c r="AZ45" s="109">
        <f>AY45+AZ44</f>
        <v/>
      </c>
      <c r="BA45" s="109">
        <f>AZ45+BA44</f>
        <v/>
      </c>
      <c r="BB45" s="109">
        <f>BA45+BB44</f>
        <v/>
      </c>
      <c r="BC45" s="109">
        <f>BB45+BC44</f>
        <v/>
      </c>
      <c r="BD45" s="109">
        <f>BC45+BD44</f>
        <v/>
      </c>
      <c r="BE45" s="109">
        <f>BD45+BE44</f>
        <v/>
      </c>
      <c r="BF45" s="109">
        <f>BE45+BF44</f>
        <v/>
      </c>
      <c r="BG45" s="109">
        <f>BF45+BG44</f>
        <v/>
      </c>
      <c r="BH45" s="109">
        <f>BG45+BH44</f>
        <v/>
      </c>
      <c r="BI45" s="109">
        <f>BH45+BI44</f>
        <v/>
      </c>
      <c r="BJ45" s="109">
        <f>BI45+BJ44</f>
        <v/>
      </c>
      <c r="BK45" s="109">
        <f>BJ45+BK44</f>
        <v/>
      </c>
      <c r="BL45" s="109">
        <f>BK45+BL44</f>
        <v/>
      </c>
      <c r="BM45" s="109">
        <f>BL45+BM44</f>
        <v/>
      </c>
      <c r="BN45" s="109">
        <f>BM45+BN44</f>
        <v/>
      </c>
      <c r="BO45" s="109">
        <f>BN45+BO44</f>
        <v/>
      </c>
      <c r="BP45" s="109">
        <f>BO45+BP44</f>
        <v/>
      </c>
      <c r="BQ45" s="109">
        <f>BP45+BQ44</f>
        <v/>
      </c>
      <c r="BR45" s="109">
        <f>BQ45+BR44</f>
        <v/>
      </c>
      <c r="BS45" s="109">
        <f>BR45+BS44</f>
        <v/>
      </c>
      <c r="BT45" s="109">
        <f>BS45+BT44</f>
        <v/>
      </c>
      <c r="BU45" s="109">
        <f>BT45+BU44</f>
        <v/>
      </c>
      <c r="BV45" s="109">
        <f>BU45+BV44</f>
        <v/>
      </c>
      <c r="BW45" s="109">
        <f>BV45+BW44</f>
        <v/>
      </c>
    </row>
    <row r="49">
      <c r="A49" s="66" t="inlineStr">
        <is>
          <t>NOMES DO ERP A IGNORAR (títulos, subtotais, grupos fora do orçamento)</t>
        </is>
      </c>
      <c r="B49" s="67" t="n"/>
      <c r="C49" s="68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CONTINGÊNCIAS</t>
        </is>
      </c>
    </row>
    <row r="56">
      <c r="A56" s="59" t="inlineStr">
        <is>
          <t>CUSTO INCORRIDO</t>
        </is>
      </c>
    </row>
    <row r="57">
      <c r="A57" s="59" t="n"/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F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27" t="n">
        <v>42856</v>
      </c>
      <c r="C2" s="127" t="n">
        <v>42917</v>
      </c>
      <c r="D2" s="127" t="n">
        <v>42948</v>
      </c>
      <c r="E2" s="127" t="n">
        <v>44986</v>
      </c>
      <c r="F2" s="127" t="n">
        <v>45017</v>
      </c>
      <c r="G2" s="127" t="n">
        <v>45047</v>
      </c>
      <c r="H2" s="127" t="n">
        <v>45139</v>
      </c>
      <c r="I2" s="127" t="n">
        <v>45170</v>
      </c>
      <c r="J2" s="127" t="n">
        <v>45231</v>
      </c>
      <c r="K2" s="127" t="n">
        <v>45323</v>
      </c>
      <c r="L2" s="127" t="n">
        <v>45352</v>
      </c>
      <c r="M2" s="127" t="n">
        <v>45383</v>
      </c>
      <c r="N2" s="127" t="n">
        <v>45413</v>
      </c>
      <c r="O2" s="127" t="n">
        <v>45444</v>
      </c>
      <c r="P2" s="127" t="n">
        <v>45474</v>
      </c>
      <c r="Q2" s="127" t="n">
        <v>45505</v>
      </c>
      <c r="R2" s="127" t="n">
        <v>45536</v>
      </c>
      <c r="S2" s="127" t="n">
        <v>45566</v>
      </c>
      <c r="T2" s="127" t="n">
        <v>45597</v>
      </c>
      <c r="U2" s="127" t="n">
        <v>45627</v>
      </c>
      <c r="V2" s="127" t="n">
        <v>45658</v>
      </c>
      <c r="W2" s="127" t="n">
        <v>45689</v>
      </c>
      <c r="X2" s="127" t="n">
        <v>45717</v>
      </c>
      <c r="Y2" s="127" t="n">
        <v>45748</v>
      </c>
      <c r="Z2" s="127" t="n">
        <v>45778</v>
      </c>
      <c r="AA2" s="127" t="n">
        <v>45809</v>
      </c>
      <c r="AB2" s="127" t="n">
        <v>45839</v>
      </c>
      <c r="AC2" s="127" t="n">
        <v>45870</v>
      </c>
      <c r="AD2" s="127" t="n">
        <v>45901</v>
      </c>
      <c r="AE2" s="127" t="n">
        <v>45931</v>
      </c>
      <c r="AF2" s="127" t="n">
        <v>45962</v>
      </c>
      <c r="AG2" s="127" t="n">
        <v>45992</v>
      </c>
      <c r="AH2" s="127" t="n">
        <v>46023</v>
      </c>
      <c r="AI2" s="127" t="n">
        <v>46054</v>
      </c>
      <c r="AJ2" s="127" t="n">
        <v>46082</v>
      </c>
      <c r="AK2" s="127" t="n">
        <v>46113</v>
      </c>
      <c r="AL2" s="127" t="n">
        <v>46143</v>
      </c>
      <c r="AM2" s="127" t="n">
        <v>46174</v>
      </c>
      <c r="AN2" s="127" t="n">
        <v>46204</v>
      </c>
      <c r="AO2" s="127" t="n">
        <v>46235</v>
      </c>
      <c r="AP2" s="127" t="n">
        <v>46266</v>
      </c>
      <c r="AQ2" s="127" t="n">
        <v>46296</v>
      </c>
      <c r="AR2" s="127" t="n">
        <v>46327</v>
      </c>
      <c r="AS2" s="127" t="n">
        <v>46357</v>
      </c>
      <c r="AT2" s="127" t="n">
        <v>46388</v>
      </c>
      <c r="AU2" s="127" t="n">
        <v>46419</v>
      </c>
      <c r="AV2" s="127" t="n">
        <v>46447</v>
      </c>
      <c r="AW2" s="127" t="n">
        <v>46478</v>
      </c>
      <c r="AX2" s="127" t="n">
        <v>46508</v>
      </c>
      <c r="AY2" s="127" t="n">
        <v>46539</v>
      </c>
      <c r="AZ2" s="127" t="n">
        <v>46569</v>
      </c>
      <c r="BA2" s="127" t="n">
        <v>46600</v>
      </c>
      <c r="BB2" s="127" t="n">
        <v>46631</v>
      </c>
      <c r="BC2" s="127" t="n">
        <v>46661</v>
      </c>
      <c r="BD2" s="127" t="n">
        <v>46692</v>
      </c>
      <c r="BE2" s="127" t="n">
        <v>46722</v>
      </c>
      <c r="BF2" s="127" t="n">
        <v>46753</v>
      </c>
      <c r="BG2" s="127" t="n">
        <v>46784</v>
      </c>
      <c r="BH2" s="127" t="n">
        <v>46813</v>
      </c>
      <c r="BI2" s="127" t="n">
        <v>46844</v>
      </c>
      <c r="BJ2" s="127" t="n">
        <v>46874</v>
      </c>
      <c r="BK2" s="127" t="n">
        <v>46905</v>
      </c>
      <c r="BL2" s="127" t="n">
        <v>46935</v>
      </c>
      <c r="BM2" s="127" t="n">
        <v>46966</v>
      </c>
      <c r="BN2" s="127" t="n">
        <v>46997</v>
      </c>
      <c r="BO2" s="127" t="n">
        <v>47027</v>
      </c>
      <c r="BP2" s="127" t="n">
        <v>47058</v>
      </c>
      <c r="BQ2" s="127" t="n">
        <v>47088</v>
      </c>
      <c r="BR2" s="127" t="n">
        <v>47119</v>
      </c>
      <c r="BS2" s="127" t="n">
        <v>47150</v>
      </c>
      <c r="BT2" s="127" t="n">
        <v>47178</v>
      </c>
      <c r="BU2" s="127" t="n">
        <v>47209</v>
      </c>
      <c r="BV2" s="127" t="n">
        <v>47239</v>
      </c>
      <c r="BW2" s="127" t="n">
        <v>47270</v>
      </c>
      <c r="BX2" s="127" t="n">
        <v>47300</v>
      </c>
      <c r="BY2" s="127" t="n">
        <v>47331</v>
      </c>
      <c r="BZ2" s="127" t="n">
        <v>47362</v>
      </c>
      <c r="CA2" s="127" t="n">
        <v>47392</v>
      </c>
      <c r="CB2" s="127" t="n">
        <v>47423</v>
      </c>
      <c r="CC2" s="127" t="n">
        <v>47453</v>
      </c>
      <c r="CD2" s="127" t="n">
        <v>47484</v>
      </c>
      <c r="CE2" s="127" t="n">
        <v>47515</v>
      </c>
      <c r="CF2" s="127" t="n">
        <v>47665</v>
      </c>
    </row>
    <row r="3">
      <c r="A3" s="4" t="inlineStr">
        <is>
          <t>APORTES</t>
        </is>
      </c>
    </row>
    <row r="4">
      <c r="A4" s="4" t="inlineStr">
        <is>
          <t>APORTES</t>
        </is>
      </c>
    </row>
    <row r="5">
      <c r="A5" s="4" t="inlineStr">
        <is>
          <t>APORTES</t>
        </is>
      </c>
    </row>
    <row r="6">
      <c r="A6" s="4" t="inlineStr">
        <is>
          <t>CUSTOS COM OBRAS</t>
        </is>
      </c>
    </row>
    <row r="7">
      <c r="A7" s="4" t="inlineStr">
        <is>
          <t>MATERIAIS E SERVIÇOS PRESTADOS</t>
        </is>
      </c>
    </row>
    <row r="8">
      <c r="A8" s="4" t="inlineStr">
        <is>
          <t>ALVENARIA</t>
        </is>
      </c>
      <c r="AG8" s="128" t="n">
        <v>12399.2</v>
      </c>
      <c r="AH8" s="128" t="n">
        <v>17424.55</v>
      </c>
      <c r="AI8" s="128" t="n">
        <v>59972.72</v>
      </c>
      <c r="AJ8" s="128" t="n">
        <v>69871.92</v>
      </c>
      <c r="AK8" s="128" t="n">
        <v>65066.02</v>
      </c>
      <c r="AL8" s="128" t="n">
        <v>68507.980001</v>
      </c>
      <c r="AM8" s="128" t="n">
        <v>91896.477034</v>
      </c>
      <c r="AN8" s="128" t="n">
        <v>162298.766475</v>
      </c>
      <c r="AO8" s="128" t="n">
        <v>407175.191727</v>
      </c>
      <c r="AP8" s="128" t="n">
        <v>256718.45</v>
      </c>
      <c r="AQ8" s="128" t="n">
        <v>12928.07</v>
      </c>
      <c r="AR8" s="128" t="n">
        <v>3600</v>
      </c>
      <c r="AS8" s="128" t="n">
        <v>1963.370001</v>
      </c>
      <c r="AT8" s="128" t="n">
        <v>15288.788836</v>
      </c>
      <c r="AU8" s="128" t="n">
        <v>3099.19</v>
      </c>
      <c r="BE8" s="128" t="n">
        <v>1500.53</v>
      </c>
      <c r="BK8" s="128" t="n">
        <v>3454.74</v>
      </c>
    </row>
    <row r="9">
      <c r="A9" s="4" t="inlineStr">
        <is>
          <t>BARRACAO DE OBRA</t>
        </is>
      </c>
      <c r="O9" s="128" t="n">
        <v>109930</v>
      </c>
      <c r="P9" s="128" t="n">
        <v>15506.51</v>
      </c>
      <c r="Q9" s="128" t="n">
        <v>41815.79</v>
      </c>
      <c r="R9" s="128" t="n">
        <v>40513.350003</v>
      </c>
      <c r="S9" s="128" t="n">
        <v>37030.381398</v>
      </c>
      <c r="T9" s="128" t="n">
        <v>16996.687011</v>
      </c>
      <c r="U9" s="128" t="n">
        <v>23171.580002</v>
      </c>
      <c r="V9" s="128" t="n">
        <v>22808.529999</v>
      </c>
      <c r="W9" s="128" t="n">
        <v>16264.91</v>
      </c>
      <c r="X9" s="128" t="n">
        <v>29988.515756</v>
      </c>
      <c r="Y9" s="128" t="n">
        <v>21169.759998</v>
      </c>
      <c r="Z9" s="128" t="n">
        <v>35479.880001</v>
      </c>
      <c r="AA9" s="128" t="n">
        <v>28668.21</v>
      </c>
      <c r="AB9" s="128" t="n">
        <v>45962.620362</v>
      </c>
      <c r="AC9" s="128" t="n">
        <v>3983.48</v>
      </c>
      <c r="AD9" s="128" t="n">
        <v>12389.37</v>
      </c>
      <c r="AE9" s="128" t="n">
        <v>10215.05</v>
      </c>
      <c r="AF9" s="128" t="n">
        <v>9256.01</v>
      </c>
      <c r="AG9" s="128" t="n">
        <v>15007.786401</v>
      </c>
      <c r="AH9" s="128" t="n">
        <v>11063.123461</v>
      </c>
      <c r="AI9" s="128" t="n">
        <v>19808.89</v>
      </c>
      <c r="AJ9" s="128" t="n">
        <v>34405.578612</v>
      </c>
      <c r="AK9" s="128" t="n">
        <v>22280.796388</v>
      </c>
      <c r="AL9" s="128" t="n">
        <v>47758.833193</v>
      </c>
      <c r="AM9" s="128" t="n">
        <v>67711.37500099999</v>
      </c>
      <c r="AN9" s="128" t="n">
        <v>65319.127912</v>
      </c>
      <c r="AO9" s="128" t="n">
        <v>41991.769723</v>
      </c>
      <c r="AP9" s="128" t="n">
        <v>22140.148521</v>
      </c>
      <c r="AQ9" s="128" t="n">
        <v>2111.666667</v>
      </c>
    </row>
    <row r="10">
      <c r="A10" s="4" t="inlineStr">
        <is>
          <t>CONSULTORIAS (OBRAS)</t>
        </is>
      </c>
      <c r="O10" s="128" t="n">
        <v>5145.77</v>
      </c>
      <c r="T10" s="128" t="n">
        <v>600</v>
      </c>
      <c r="U10" s="128" t="n">
        <v>10608.21</v>
      </c>
      <c r="V10" s="128" t="n">
        <v>3693.91</v>
      </c>
      <c r="W10" s="128" t="n">
        <v>35197.33</v>
      </c>
      <c r="X10" s="128" t="n">
        <v>4911.58</v>
      </c>
      <c r="Y10" s="128" t="n">
        <v>121600.74</v>
      </c>
      <c r="Z10" s="128" t="n">
        <v>13690.21</v>
      </c>
      <c r="AA10" s="128" t="n">
        <v>22921.25</v>
      </c>
      <c r="AB10" s="128" t="n">
        <v>8845.26</v>
      </c>
      <c r="AC10" s="128" t="n">
        <v>18079.95</v>
      </c>
      <c r="AD10" s="128" t="n">
        <v>9692.77</v>
      </c>
      <c r="AE10" s="128" t="n">
        <v>7194.08</v>
      </c>
      <c r="AF10" s="128" t="n">
        <v>1210.51</v>
      </c>
      <c r="AG10" s="128" t="n">
        <v>11561.11</v>
      </c>
      <c r="AH10" s="128" t="n">
        <v>17716.58</v>
      </c>
      <c r="AI10" s="128" t="n">
        <v>7355.76</v>
      </c>
      <c r="AJ10" s="128" t="n">
        <v>15350.39</v>
      </c>
      <c r="AK10" s="128" t="n">
        <v>5042.88</v>
      </c>
      <c r="AL10" s="128" t="n">
        <v>14373.26</v>
      </c>
      <c r="AM10" s="128" t="n">
        <v>15262.28</v>
      </c>
      <c r="AN10" s="128" t="n">
        <v>26975.46</v>
      </c>
      <c r="AO10" s="128" t="n">
        <v>24720.76</v>
      </c>
      <c r="AP10" s="128" t="n">
        <v>562.85</v>
      </c>
    </row>
    <row r="11">
      <c r="A11" s="4" t="inlineStr">
        <is>
          <t>CONSUMO DE ÁGUA, ENERGIA, ETC.</t>
        </is>
      </c>
      <c r="O11" s="128" t="n">
        <v>2079.83</v>
      </c>
      <c r="P11" s="128" t="n">
        <v>277.88</v>
      </c>
      <c r="Q11" s="128" t="n">
        <v>5614.43</v>
      </c>
      <c r="R11" s="128" t="n">
        <v>212.37</v>
      </c>
      <c r="S11" s="128" t="n">
        <v>7154.32</v>
      </c>
      <c r="T11" s="128" t="n">
        <v>6393.85</v>
      </c>
      <c r="U11" s="128" t="n">
        <v>2316.17</v>
      </c>
      <c r="V11" s="128" t="n">
        <v>2401.98</v>
      </c>
      <c r="W11" s="128" t="n">
        <v>1450.8</v>
      </c>
      <c r="X11" s="128" t="n">
        <v>1603.03</v>
      </c>
      <c r="Y11" s="128" t="n">
        <v>3230.42</v>
      </c>
      <c r="Z11" s="128" t="n">
        <v>36125.3</v>
      </c>
      <c r="AA11" s="128" t="n">
        <v>8271.299999999999</v>
      </c>
      <c r="AB11" s="128" t="n">
        <v>9828.09</v>
      </c>
      <c r="AC11" s="128" t="n">
        <v>11415.06</v>
      </c>
      <c r="AD11" s="128" t="n">
        <v>2828.95</v>
      </c>
      <c r="AE11" s="128" t="n">
        <v>10081.05</v>
      </c>
      <c r="AF11" s="128" t="n">
        <v>12794.61</v>
      </c>
      <c r="AG11" s="128" t="n">
        <v>12290.55</v>
      </c>
      <c r="AH11" s="128" t="n">
        <v>9222.870000000001</v>
      </c>
      <c r="AI11" s="128" t="n">
        <v>10989.07</v>
      </c>
      <c r="AJ11" s="128" t="n">
        <v>8412.84</v>
      </c>
      <c r="AK11" s="128" t="n">
        <v>20774.29</v>
      </c>
      <c r="AL11" s="128" t="n">
        <v>6237.74</v>
      </c>
      <c r="AM11" s="128" t="n">
        <v>31621.15</v>
      </c>
      <c r="AN11" s="128" t="n">
        <v>24694.83</v>
      </c>
      <c r="AO11" s="128" t="n">
        <v>21260.86</v>
      </c>
      <c r="AP11" s="128" t="n">
        <v>1250.65</v>
      </c>
    </row>
    <row r="12">
      <c r="A12" s="4" t="inlineStr">
        <is>
          <t>CONTENÇÃO</t>
        </is>
      </c>
      <c r="S12" s="128" t="n">
        <v>13118.18</v>
      </c>
      <c r="T12" s="128" t="n">
        <v>402488.37</v>
      </c>
      <c r="U12" s="128" t="n">
        <v>80803.88</v>
      </c>
      <c r="V12" s="128" t="n">
        <v>401205.9111</v>
      </c>
      <c r="W12" s="128" t="n">
        <v>102038.6725</v>
      </c>
      <c r="X12" s="128" t="n">
        <v>63098.194245</v>
      </c>
      <c r="Y12" s="128" t="n">
        <v>89709.61308700001</v>
      </c>
      <c r="Z12" s="128" t="n">
        <v>30062.316131</v>
      </c>
      <c r="AA12" s="128" t="n">
        <v>5503.54</v>
      </c>
      <c r="AB12" s="128" t="n">
        <v>26424.746216</v>
      </c>
      <c r="AC12" s="128" t="n">
        <v>22390.41</v>
      </c>
      <c r="AE12" s="128" t="n">
        <v>3442.65</v>
      </c>
      <c r="AF12" s="128" t="n">
        <v>1206.52</v>
      </c>
      <c r="AG12" s="128" t="n">
        <v>364.29</v>
      </c>
      <c r="AH12" s="128" t="n">
        <v>3707.67</v>
      </c>
      <c r="AO12" s="128" t="n">
        <v>3269.785755</v>
      </c>
      <c r="AP12" s="128" t="n">
        <v>3352.222558</v>
      </c>
    </row>
    <row r="13">
      <c r="A13" s="4" t="inlineStr">
        <is>
          <t>CONTINGÊNCIAS</t>
        </is>
      </c>
    </row>
    <row r="14">
      <c r="A14" s="4" t="inlineStr">
        <is>
          <t>CUSTO INCORRIDO</t>
        </is>
      </c>
    </row>
    <row r="15">
      <c r="A15" s="4" t="inlineStr">
        <is>
          <t>DIVERSOS</t>
        </is>
      </c>
      <c r="K15" s="128" t="n">
        <v>445.21</v>
      </c>
      <c r="L15" s="128" t="n">
        <v>466.93</v>
      </c>
      <c r="M15" s="128" t="n">
        <v>477.33</v>
      </c>
      <c r="N15" s="128" t="n">
        <v>477.84</v>
      </c>
      <c r="O15" s="128" t="n">
        <v>2196.63</v>
      </c>
      <c r="P15" s="128" t="n">
        <v>2375.32</v>
      </c>
      <c r="Q15" s="128" t="n">
        <v>1562.54</v>
      </c>
      <c r="R15" s="128" t="n">
        <v>1757.31</v>
      </c>
      <c r="S15" s="128" t="n">
        <v>3767.34</v>
      </c>
      <c r="T15" s="128" t="n">
        <v>2371.66</v>
      </c>
      <c r="U15" s="128" t="n">
        <v>2476.720004</v>
      </c>
      <c r="V15" s="128" t="n">
        <v>3306.28</v>
      </c>
      <c r="W15" s="128" t="n">
        <v>11434.84</v>
      </c>
      <c r="X15" s="128" t="n">
        <v>3222.7</v>
      </c>
      <c r="Y15" s="128" t="n">
        <v>4812.119998</v>
      </c>
      <c r="Z15" s="128" t="n">
        <v>8139.679999</v>
      </c>
      <c r="AA15" s="128" t="n">
        <v>13810.4</v>
      </c>
      <c r="AB15" s="128" t="n">
        <v>12215.79</v>
      </c>
      <c r="AC15" s="128" t="n">
        <v>5057.54</v>
      </c>
      <c r="AD15" s="128" t="n">
        <v>5457.629999</v>
      </c>
      <c r="AE15" s="128" t="n">
        <v>4977.939999</v>
      </c>
      <c r="AF15" s="128" t="n">
        <v>6429.79</v>
      </c>
      <c r="AG15" s="128" t="n">
        <v>3871.6</v>
      </c>
      <c r="AH15" s="128" t="n">
        <v>2979.89</v>
      </c>
      <c r="AI15" s="128" t="n">
        <v>7550.11</v>
      </c>
      <c r="AJ15" s="128" t="n">
        <v>3668.42</v>
      </c>
      <c r="AK15" s="128" t="n">
        <v>8672.68</v>
      </c>
      <c r="AL15" s="128" t="n">
        <v>5341.600002</v>
      </c>
      <c r="AM15" s="128" t="n">
        <v>7014.32</v>
      </c>
      <c r="AN15" s="128" t="n">
        <v>56294.770001</v>
      </c>
      <c r="AO15" s="128" t="n">
        <v>38069.930002</v>
      </c>
      <c r="AP15" s="128" t="n">
        <v>36118.510002</v>
      </c>
      <c r="AQ15" s="128" t="n">
        <v>9511.42</v>
      </c>
    </row>
    <row r="16">
      <c r="A16" s="4" t="inlineStr">
        <is>
          <t>ELEVADORES</t>
        </is>
      </c>
      <c r="AM16" s="128" t="n">
        <v>200000</v>
      </c>
      <c r="AN16" s="128" t="n">
        <v>178000</v>
      </c>
      <c r="AO16" s="128" t="n">
        <v>176200</v>
      </c>
    </row>
    <row r="17">
      <c r="A17" s="4" t="inlineStr">
        <is>
          <t>EQUIPAMENTOS E FERRAMENTAS</t>
        </is>
      </c>
      <c r="O17" s="128" t="n">
        <v>1113</v>
      </c>
      <c r="P17" s="128" t="n">
        <v>1144.4</v>
      </c>
      <c r="Q17" s="128" t="n">
        <v>2067</v>
      </c>
      <c r="R17" s="128" t="n">
        <v>3800.38</v>
      </c>
      <c r="S17" s="128" t="n">
        <v>5065.181591</v>
      </c>
      <c r="T17" s="128" t="n">
        <v>1284.71</v>
      </c>
      <c r="U17" s="128" t="n">
        <v>8463.51</v>
      </c>
      <c r="V17" s="128" t="n">
        <v>6024.54</v>
      </c>
      <c r="W17" s="128" t="n">
        <v>1992.71</v>
      </c>
      <c r="X17" s="128" t="n">
        <v>7070.070001</v>
      </c>
      <c r="Y17" s="128" t="n">
        <v>8500.570002</v>
      </c>
      <c r="Z17" s="128" t="n">
        <v>20765.620003</v>
      </c>
      <c r="AA17" s="128" t="n">
        <v>27993.930001</v>
      </c>
      <c r="AB17" s="128" t="n">
        <v>30767.37</v>
      </c>
      <c r="AC17" s="128" t="n">
        <v>24067.83</v>
      </c>
      <c r="AD17" s="128" t="n">
        <v>28807.039994</v>
      </c>
      <c r="AE17" s="128" t="n">
        <v>37060.909998</v>
      </c>
      <c r="AF17" s="128" t="n">
        <v>48510.42</v>
      </c>
      <c r="AG17" s="128" t="n">
        <v>47082.829999</v>
      </c>
      <c r="AH17" s="128" t="n">
        <v>58328.517583</v>
      </c>
      <c r="AI17" s="128" t="n">
        <v>308900.417088</v>
      </c>
      <c r="AJ17" s="128" t="n">
        <v>194369.880018</v>
      </c>
      <c r="AK17" s="128" t="n">
        <v>298001.172448</v>
      </c>
      <c r="AL17" s="128" t="n">
        <v>153168.157956</v>
      </c>
      <c r="AM17" s="128" t="n">
        <v>153659.60754</v>
      </c>
      <c r="AN17" s="128" t="n">
        <v>137885.776657</v>
      </c>
      <c r="AO17" s="128" t="n">
        <v>235979.59622</v>
      </c>
      <c r="AP17" s="128" t="n">
        <v>103102.989846</v>
      </c>
      <c r="AQ17" s="128" t="n">
        <v>20237.020717</v>
      </c>
      <c r="AR17" s="128" t="n">
        <v>1617.042185</v>
      </c>
      <c r="AT17" s="128" t="n">
        <v>2678.291164</v>
      </c>
      <c r="BC17" s="128" t="n">
        <v>1502.10277</v>
      </c>
      <c r="BE17" s="128" t="n">
        <v>2512.000508</v>
      </c>
      <c r="BJ17" s="128" t="n">
        <v>6282.220001</v>
      </c>
      <c r="BW17" s="128" t="n">
        <v>287</v>
      </c>
    </row>
    <row r="18">
      <c r="A18" s="4" t="inlineStr">
        <is>
          <t>ESQUADRIAS</t>
        </is>
      </c>
      <c r="AN18" s="128" t="n">
        <v>41554.21</v>
      </c>
    </row>
    <row r="19">
      <c r="A19" s="4" t="inlineStr">
        <is>
          <t>ESTRUTURA EM CONTRETO ARMADO</t>
        </is>
      </c>
      <c r="Z19" s="128" t="n">
        <v>80860.35875</v>
      </c>
      <c r="AA19" s="128" t="n">
        <v>164376.555</v>
      </c>
      <c r="AB19" s="128" t="n">
        <v>391619.401939</v>
      </c>
      <c r="AC19" s="128" t="n">
        <v>641133.726317</v>
      </c>
      <c r="AD19" s="128" t="n">
        <v>652820.041652</v>
      </c>
      <c r="AE19" s="128" t="n">
        <v>484126.665201</v>
      </c>
      <c r="AF19" s="128" t="n">
        <v>856446.954793</v>
      </c>
      <c r="AG19" s="128" t="n">
        <v>726584.167532</v>
      </c>
      <c r="AH19" s="128" t="n">
        <v>1564076.696428</v>
      </c>
      <c r="AI19" s="128" t="n">
        <v>937286.722454</v>
      </c>
      <c r="AJ19" s="128" t="n">
        <v>1000442.670087</v>
      </c>
      <c r="AK19" s="128" t="n">
        <v>744805.482556</v>
      </c>
      <c r="AL19" s="128" t="n">
        <v>785035.801773</v>
      </c>
      <c r="AM19" s="128" t="n">
        <v>801412.33</v>
      </c>
      <c r="AN19" s="128" t="n">
        <v>1780716.732962</v>
      </c>
      <c r="AO19" s="128" t="n">
        <v>1146140.22607</v>
      </c>
      <c r="AP19" s="128" t="n">
        <v>1053521.702014</v>
      </c>
      <c r="AQ19" s="128" t="n">
        <v>205534.332702</v>
      </c>
      <c r="AR19" s="128" t="n">
        <v>58907.487815</v>
      </c>
      <c r="AS19" s="128" t="n">
        <v>5081.890001</v>
      </c>
      <c r="AU19" s="128" t="n">
        <v>35714.66</v>
      </c>
      <c r="AW19" s="128" t="n">
        <v>6806.48</v>
      </c>
      <c r="BB19" s="128" t="n">
        <v>6971.85</v>
      </c>
      <c r="BC19" s="128" t="n">
        <v>5200.503817</v>
      </c>
      <c r="BE19" s="128" t="n">
        <v>11989.8</v>
      </c>
      <c r="BF19" s="128" t="n">
        <v>15843.31</v>
      </c>
    </row>
    <row r="20">
      <c r="A20" s="4" t="inlineStr">
        <is>
          <t>FORRO</t>
        </is>
      </c>
    </row>
    <row r="21">
      <c r="A21" s="4" t="inlineStr">
        <is>
          <t>FUNDAÇÃO PROFUNDA</t>
        </is>
      </c>
      <c r="V21" s="128" t="n">
        <v>599065.4989</v>
      </c>
      <c r="W21" s="128" t="n">
        <v>39184.6675</v>
      </c>
      <c r="X21" s="128" t="n">
        <v>401048.36</v>
      </c>
      <c r="Y21" s="128" t="n">
        <v>687004.70979</v>
      </c>
      <c r="Z21" s="128" t="n">
        <v>1332950.038604</v>
      </c>
      <c r="AA21" s="128" t="n">
        <v>1031256.692609</v>
      </c>
      <c r="AB21" s="128" t="n">
        <v>108710.818798</v>
      </c>
      <c r="AC21" s="128" t="n">
        <v>117502.473184</v>
      </c>
      <c r="AD21" s="128" t="n">
        <v>9672.073312</v>
      </c>
      <c r="AE21" s="128" t="n">
        <v>1860.015706</v>
      </c>
      <c r="AG21" s="128" t="n">
        <v>26195.86</v>
      </c>
      <c r="AJ21" s="128" t="n">
        <v>442.886348</v>
      </c>
      <c r="AK21" s="128" t="n">
        <v>239.70711</v>
      </c>
      <c r="AL21" s="128" t="n">
        <v>9.131739</v>
      </c>
      <c r="AO21" s="128" t="n">
        <v>46.799098</v>
      </c>
      <c r="AP21" s="128" t="n">
        <v>9204.176036000001</v>
      </c>
      <c r="AR21" s="128" t="n">
        <v>3849.213552</v>
      </c>
    </row>
    <row r="22">
      <c r="A22" s="4" t="inlineStr">
        <is>
          <t>FUNDAÇÃO SUPERFICIAL</t>
        </is>
      </c>
      <c r="X22" s="128" t="n">
        <v>1102.22</v>
      </c>
      <c r="Y22" s="128" t="n">
        <v>98550.729343</v>
      </c>
      <c r="Z22" s="128" t="n">
        <v>165306.283539</v>
      </c>
      <c r="AA22" s="128" t="n">
        <v>445497.272391</v>
      </c>
      <c r="AB22" s="128" t="n">
        <v>522979.472722</v>
      </c>
      <c r="AC22" s="128" t="n">
        <v>408940.822077</v>
      </c>
      <c r="AD22" s="128" t="n">
        <v>316719.58682</v>
      </c>
      <c r="AE22" s="128" t="n">
        <v>95793.814847</v>
      </c>
      <c r="AF22" s="128" t="n">
        <v>112674.475209</v>
      </c>
      <c r="AG22" s="128" t="n">
        <v>14447.625912</v>
      </c>
      <c r="AH22" s="128" t="n">
        <v>19649.726711</v>
      </c>
      <c r="AI22" s="128" t="n">
        <v>2468.503871</v>
      </c>
      <c r="AJ22" s="128" t="n">
        <v>6510.024133</v>
      </c>
      <c r="AK22" s="128" t="n">
        <v>6146.49</v>
      </c>
      <c r="AL22" s="128" t="n">
        <v>386.3508</v>
      </c>
      <c r="AN22" s="128" t="n">
        <v>86116.883334</v>
      </c>
      <c r="AO22" s="128" t="n">
        <v>104862.075231</v>
      </c>
      <c r="AP22" s="128" t="n">
        <v>48889.359378</v>
      </c>
      <c r="AQ22" s="128" t="n">
        <v>2949.726581</v>
      </c>
      <c r="AR22" s="128" t="n">
        <v>2337.336447</v>
      </c>
      <c r="AV22" s="128" t="n">
        <v>2519.974536</v>
      </c>
      <c r="BB22" s="128" t="n">
        <v>1542.71</v>
      </c>
    </row>
    <row r="23">
      <c r="A23" s="4" t="inlineStr">
        <is>
          <t>IMPERMEABILIZAÇÃO</t>
        </is>
      </c>
      <c r="AO23" s="128" t="n">
        <v>2270</v>
      </c>
      <c r="AP23" s="128" t="n">
        <v>28862.07</v>
      </c>
    </row>
    <row r="24">
      <c r="A24" s="4" t="inlineStr">
        <is>
          <t>INSTALAÇÕES COMBATE INCÊNDIO</t>
        </is>
      </c>
      <c r="AQ24" s="128" t="n">
        <v>11000.000001</v>
      </c>
      <c r="AR24" s="128" t="n">
        <v>11000.000001</v>
      </c>
      <c r="AS24" s="128" t="n">
        <v>11000.000001</v>
      </c>
    </row>
    <row r="25">
      <c r="A25" s="4" t="inlineStr">
        <is>
          <t>INSTALAÇÕES ELÉTRICAS</t>
        </is>
      </c>
      <c r="X25" s="128" t="n">
        <v>1100.75</v>
      </c>
      <c r="Y25" s="128" t="n">
        <v>1100.75</v>
      </c>
      <c r="AA25" s="128" t="n">
        <v>510</v>
      </c>
      <c r="AC25" s="128" t="n">
        <v>1836.75</v>
      </c>
      <c r="AD25" s="128" t="n">
        <v>80451.53</v>
      </c>
      <c r="AE25" s="128" t="n">
        <v>270</v>
      </c>
      <c r="AF25" s="128" t="n">
        <v>522</v>
      </c>
      <c r="AH25" s="128" t="n">
        <v>2854.92</v>
      </c>
      <c r="AI25" s="128" t="n">
        <v>29643.63</v>
      </c>
      <c r="AJ25" s="128" t="n">
        <v>66813.07580399999</v>
      </c>
      <c r="AK25" s="128" t="n">
        <v>89613.393616</v>
      </c>
      <c r="AL25" s="128" t="n">
        <v>147329.243835</v>
      </c>
      <c r="AM25" s="128" t="n">
        <v>90338.152713</v>
      </c>
      <c r="AN25" s="128" t="n">
        <v>113065.992656</v>
      </c>
      <c r="AO25" s="128" t="n">
        <v>119466.043335</v>
      </c>
      <c r="AP25" s="128" t="n">
        <v>146491.973336</v>
      </c>
      <c r="AQ25" s="128" t="n">
        <v>77381.61332999999</v>
      </c>
      <c r="AR25" s="128" t="n">
        <v>22014.089999</v>
      </c>
      <c r="AT25" s="128" t="n">
        <v>2170</v>
      </c>
      <c r="BD25" s="128" t="n">
        <v>4340</v>
      </c>
    </row>
    <row r="26">
      <c r="A26" s="4" t="inlineStr">
        <is>
          <t>INSTALAÇÕES ESPECIAIS</t>
        </is>
      </c>
    </row>
    <row r="27">
      <c r="A27" s="4" t="inlineStr">
        <is>
          <t>INSTALAÇÕES HIDROSANITÁRIAS</t>
        </is>
      </c>
      <c r="U27" s="128" t="n">
        <v>11290</v>
      </c>
      <c r="V27" s="128" t="n">
        <v>5533.199999</v>
      </c>
      <c r="W27" s="128" t="n">
        <v>8558.700000000001</v>
      </c>
      <c r="X27" s="128" t="n">
        <v>620.11</v>
      </c>
      <c r="Y27" s="128" t="n">
        <v>8573.44778</v>
      </c>
      <c r="Z27" s="128" t="n">
        <v>3992.762977</v>
      </c>
      <c r="AB27" s="128" t="n">
        <v>4231.379966</v>
      </c>
      <c r="AC27" s="128" t="n">
        <v>2147.1</v>
      </c>
      <c r="AD27" s="128" t="n">
        <v>9723.998036000001</v>
      </c>
      <c r="AE27" s="128" t="n">
        <v>16171.313395</v>
      </c>
      <c r="AF27" s="128" t="n">
        <v>803</v>
      </c>
      <c r="AG27" s="128" t="n">
        <v>10520.7869</v>
      </c>
      <c r="AH27" s="128" t="n">
        <v>16111.373417</v>
      </c>
      <c r="AI27" s="128" t="n">
        <v>12473.013203</v>
      </c>
      <c r="AJ27" s="128" t="n">
        <v>747.79</v>
      </c>
      <c r="AK27" s="128" t="n">
        <v>8127.82875</v>
      </c>
      <c r="AL27" s="128" t="n">
        <v>111279.038882</v>
      </c>
      <c r="AM27" s="128" t="n">
        <v>165375.970017</v>
      </c>
      <c r="AN27" s="128" t="n">
        <v>81590.602908</v>
      </c>
      <c r="AO27" s="128" t="n">
        <v>74562.48208099999</v>
      </c>
      <c r="AP27" s="128" t="n">
        <v>73088.212774</v>
      </c>
      <c r="AS27" s="128" t="n">
        <v>1316.889143</v>
      </c>
      <c r="AT27" s="128" t="n">
        <v>2100</v>
      </c>
      <c r="AV27" s="128" t="n">
        <v>746.892453</v>
      </c>
      <c r="AX27" s="128" t="n">
        <v>493.5</v>
      </c>
      <c r="BE27" s="128" t="n">
        <v>10667.036485</v>
      </c>
    </row>
    <row r="28">
      <c r="A28" s="4" t="inlineStr">
        <is>
          <t>LIGAÇÕES PROVISÓRIAS AGUA, ENERGIA,TELEFONIA, ESGOTO</t>
        </is>
      </c>
      <c r="AE28" s="128" t="n">
        <v>1810.47</v>
      </c>
      <c r="AF28" s="128" t="n">
        <v>40.42</v>
      </c>
      <c r="AI28" s="128" t="n">
        <v>3150</v>
      </c>
      <c r="AJ28" s="128" t="n">
        <v>3150</v>
      </c>
      <c r="AK28" s="128" t="n">
        <v>673.66</v>
      </c>
      <c r="AL28" s="128" t="n">
        <v>12600</v>
      </c>
    </row>
    <row r="29">
      <c r="A29" s="4" t="inlineStr">
        <is>
          <t>LIMPEZA FINAL DE OBRA</t>
        </is>
      </c>
    </row>
    <row r="30">
      <c r="A30" s="4" t="inlineStr">
        <is>
          <t>LOUÇAS SANITÁRIAS</t>
        </is>
      </c>
    </row>
    <row r="31">
      <c r="A31" s="4" t="inlineStr">
        <is>
          <t>MÃO DE OBRA PRÓPRIA</t>
        </is>
      </c>
      <c r="N31" s="128" t="n">
        <v>8613.42</v>
      </c>
      <c r="O31" s="128" t="n">
        <v>43651.44</v>
      </c>
      <c r="P31" s="128" t="n">
        <v>74446.48</v>
      </c>
      <c r="Q31" s="128" t="n">
        <v>133014.04</v>
      </c>
      <c r="R31" s="128" t="n">
        <v>99557.35000000001</v>
      </c>
      <c r="S31" s="128" t="n">
        <v>131166.949276</v>
      </c>
      <c r="T31" s="128" t="n">
        <v>131072.550724</v>
      </c>
      <c r="U31" s="128" t="n">
        <v>159884.48</v>
      </c>
      <c r="V31" s="128" t="n">
        <v>170959.67</v>
      </c>
      <c r="W31" s="128" t="n">
        <v>210708.95</v>
      </c>
      <c r="X31" s="128" t="n">
        <v>353398.3</v>
      </c>
      <c r="Y31" s="128" t="n">
        <v>220168.51</v>
      </c>
      <c r="Z31" s="128" t="n">
        <v>208139.04</v>
      </c>
      <c r="AA31" s="128" t="n">
        <v>207096.94</v>
      </c>
      <c r="AB31" s="128" t="n">
        <v>224847.54</v>
      </c>
      <c r="AC31" s="128" t="n">
        <v>225258.07</v>
      </c>
      <c r="AD31" s="128" t="n">
        <v>227417.3557</v>
      </c>
      <c r="AE31" s="128" t="n">
        <v>262747.429699</v>
      </c>
      <c r="AF31" s="128" t="n">
        <v>273728.970001</v>
      </c>
      <c r="AG31" s="128" t="n">
        <v>317992.831257</v>
      </c>
      <c r="AH31" s="128" t="n">
        <v>306783.891729</v>
      </c>
      <c r="AI31" s="128" t="n">
        <v>265241.923199</v>
      </c>
      <c r="AJ31" s="128" t="n">
        <v>320168.887969</v>
      </c>
      <c r="AK31" s="128" t="n">
        <v>310668.523161</v>
      </c>
      <c r="AL31" s="128" t="n">
        <v>411419.123161</v>
      </c>
      <c r="AM31" s="128" t="n">
        <v>405413.319168</v>
      </c>
      <c r="AN31" s="128" t="n">
        <v>424292.327091</v>
      </c>
      <c r="AO31" s="128" t="n">
        <v>448590.478235</v>
      </c>
      <c r="AP31" s="128" t="n">
        <v>211861.139251</v>
      </c>
      <c r="AQ31" s="128" t="n">
        <v>90457.239994</v>
      </c>
      <c r="AR31" s="128" t="n">
        <v>93025.9572</v>
      </c>
      <c r="AS31" s="128" t="n">
        <v>86741.770857</v>
      </c>
      <c r="AU31" s="128" t="n">
        <v>8761.549999999999</v>
      </c>
      <c r="AV31" s="128" t="n">
        <v>7613.193011</v>
      </c>
      <c r="AZ31" s="128" t="n">
        <v>3450.4204</v>
      </c>
      <c r="BC31" s="128" t="n">
        <v>460.906182</v>
      </c>
      <c r="BE31" s="128" t="n">
        <v>1879.732558</v>
      </c>
    </row>
    <row r="32">
      <c r="A32" s="4" t="inlineStr">
        <is>
          <t>MARCENARIA</t>
        </is>
      </c>
    </row>
    <row r="33">
      <c r="A33" s="4" t="inlineStr">
        <is>
          <t>PAISAGISMO</t>
        </is>
      </c>
      <c r="R33" s="128" t="n">
        <v>28902.72</v>
      </c>
      <c r="S33" s="128" t="n">
        <v>6220.35</v>
      </c>
      <c r="T33" s="128" t="n">
        <v>5550</v>
      </c>
      <c r="U33" s="128" t="n">
        <v>17524.96</v>
      </c>
      <c r="V33" s="128" t="n">
        <v>39443.62</v>
      </c>
      <c r="W33" s="128" t="n">
        <v>5550</v>
      </c>
      <c r="X33" s="128" t="n">
        <v>5550</v>
      </c>
      <c r="Y33" s="128" t="n">
        <v>11350.63</v>
      </c>
      <c r="AA33" s="128" t="n">
        <v>1866.24</v>
      </c>
      <c r="AF33" s="128" t="n">
        <v>9704.450000000001</v>
      </c>
      <c r="AH33" s="128" t="n">
        <v>27084.68</v>
      </c>
      <c r="AI33" s="128" t="n">
        <v>16766.71</v>
      </c>
      <c r="AJ33" s="128" t="n">
        <v>29389.589999</v>
      </c>
      <c r="AK33" s="128" t="n">
        <v>25562.719999</v>
      </c>
      <c r="AL33" s="128" t="n">
        <v>6421.999326</v>
      </c>
      <c r="AM33" s="128" t="n">
        <v>646.000225</v>
      </c>
      <c r="AN33" s="128" t="n">
        <v>22827.97</v>
      </c>
      <c r="AO33" s="128" t="n">
        <v>4503.98</v>
      </c>
      <c r="AP33" s="128" t="n">
        <v>8553.719999999999</v>
      </c>
      <c r="AW33" s="128" t="n">
        <v>982.8</v>
      </c>
      <c r="BE33" s="128" t="n">
        <v>532.000449</v>
      </c>
    </row>
    <row r="34">
      <c r="A34" s="4" t="inlineStr">
        <is>
          <t>PAVIMENTAÇÃO</t>
        </is>
      </c>
    </row>
    <row r="35">
      <c r="A35" s="4" t="inlineStr">
        <is>
          <t>PINTURA</t>
        </is>
      </c>
      <c r="AH35" s="128" t="n">
        <v>8641.32</v>
      </c>
      <c r="AI35" s="128" t="n">
        <v>814.95</v>
      </c>
      <c r="AJ35" s="128" t="n">
        <v>9268.799999999999</v>
      </c>
      <c r="AK35" s="128" t="n">
        <v>28370.3</v>
      </c>
      <c r="AL35" s="128" t="n">
        <v>13615.25</v>
      </c>
      <c r="AM35" s="128" t="n">
        <v>2226.14</v>
      </c>
      <c r="AN35" s="128" t="n">
        <v>20978.64</v>
      </c>
      <c r="AO35" s="128" t="n">
        <v>19983.6</v>
      </c>
      <c r="AP35" s="128" t="n">
        <v>6713.91</v>
      </c>
      <c r="AQ35" s="128" t="n">
        <v>3306</v>
      </c>
      <c r="BD35" s="128" t="n">
        <v>4240.58</v>
      </c>
      <c r="BE35" s="128" t="n">
        <v>2023.54</v>
      </c>
    </row>
    <row r="36">
      <c r="A36" s="4" t="inlineStr">
        <is>
          <t>PROJETOS</t>
        </is>
      </c>
      <c r="B36" s="128" t="n">
        <v>1877.05</v>
      </c>
      <c r="C36" s="128" t="n">
        <v>11788.53</v>
      </c>
      <c r="D36" s="128" t="n">
        <v>9911.469999999999</v>
      </c>
      <c r="E36" s="128" t="n">
        <v>27405</v>
      </c>
      <c r="F36" s="128" t="n">
        <v>30000</v>
      </c>
      <c r="G36" s="128" t="n">
        <v>2595</v>
      </c>
      <c r="H36" s="128" t="n">
        <v>27405</v>
      </c>
      <c r="I36" s="128" t="n">
        <v>2595</v>
      </c>
      <c r="O36" s="128" t="n">
        <v>152491.91</v>
      </c>
      <c r="P36" s="128" t="n">
        <v>125140.95</v>
      </c>
      <c r="Q36" s="128" t="n">
        <v>326043.62</v>
      </c>
      <c r="R36" s="128" t="n">
        <v>164914.3</v>
      </c>
      <c r="S36" s="128" t="n">
        <v>85250.64</v>
      </c>
      <c r="T36" s="128" t="n">
        <v>2939.9</v>
      </c>
      <c r="U36" s="128" t="n">
        <v>259290.11</v>
      </c>
      <c r="V36" s="128" t="n">
        <v>36.98</v>
      </c>
      <c r="W36" s="128" t="n">
        <v>30447.52</v>
      </c>
      <c r="Y36" s="128" t="n">
        <v>82453.39</v>
      </c>
      <c r="Z36" s="128" t="n">
        <v>102881.43</v>
      </c>
      <c r="AA36" s="128" t="n">
        <v>74685.67999999999</v>
      </c>
      <c r="AB36" s="128" t="n">
        <v>53850.38</v>
      </c>
      <c r="AC36" s="128" t="n">
        <v>24090.15</v>
      </c>
      <c r="AD36" s="128" t="n">
        <v>35275.5</v>
      </c>
      <c r="AE36" s="128" t="n">
        <v>73984.41</v>
      </c>
      <c r="AF36" s="128" t="n">
        <v>54894.51</v>
      </c>
      <c r="AG36" s="128" t="n">
        <v>83688.08</v>
      </c>
      <c r="AH36" s="128" t="n">
        <v>129838.79</v>
      </c>
      <c r="AI36" s="128" t="n">
        <v>7613.25</v>
      </c>
      <c r="AJ36" s="128" t="n">
        <v>1592.25</v>
      </c>
      <c r="AK36" s="128" t="n">
        <v>1005.84</v>
      </c>
      <c r="AL36" s="128" t="n">
        <v>79.41</v>
      </c>
      <c r="AM36" s="128" t="n">
        <v>6303.15</v>
      </c>
      <c r="AN36" s="128" t="n">
        <v>1967.1</v>
      </c>
      <c r="AO36" s="128" t="n">
        <v>1054.75</v>
      </c>
    </row>
    <row r="37">
      <c r="A37" s="4" t="inlineStr">
        <is>
          <t>REEMBOLSO MATERIAIS E SERVIÇOS</t>
        </is>
      </c>
      <c r="P37" s="128" t="n">
        <v>2980.76</v>
      </c>
      <c r="T37" s="128" t="n">
        <v>296496.77</v>
      </c>
      <c r="U37" s="128" t="n">
        <v>152560.4</v>
      </c>
      <c r="V37" s="128" t="n">
        <v>13557.83</v>
      </c>
      <c r="W37" s="128" t="n">
        <v>3844.04</v>
      </c>
      <c r="X37" s="128" t="n">
        <v>172860.34</v>
      </c>
      <c r="Y37" s="128" t="n">
        <v>4828.5</v>
      </c>
      <c r="Z37" s="128" t="n">
        <v>6213.2</v>
      </c>
      <c r="AA37" s="128" t="n">
        <v>19236.94</v>
      </c>
      <c r="AB37" s="128" t="n">
        <v>26489.41</v>
      </c>
      <c r="AC37" s="128" t="n">
        <v>48202.98</v>
      </c>
      <c r="AD37" s="128" t="n">
        <v>51261.44</v>
      </c>
      <c r="AE37" s="128" t="n">
        <v>49998.11</v>
      </c>
      <c r="AF37" s="128" t="n">
        <v>5052.62</v>
      </c>
    </row>
    <row r="38">
      <c r="A38" s="4" t="inlineStr">
        <is>
          <t>REVESTIMENTO DIVERSOS   FACHADA</t>
        </is>
      </c>
      <c r="AC38" s="128" t="n">
        <v>3000</v>
      </c>
      <c r="AD38" s="128" t="n">
        <v>4904.21</v>
      </c>
      <c r="AE38" s="128" t="n">
        <v>2800</v>
      </c>
      <c r="AO38" s="128" t="n">
        <v>9579.709999999999</v>
      </c>
      <c r="AP38" s="128" t="n">
        <v>5427.26</v>
      </c>
      <c r="AQ38" s="128" t="n">
        <v>2568.04</v>
      </c>
      <c r="BL38" s="128" t="n">
        <v>724.76</v>
      </c>
    </row>
    <row r="39">
      <c r="A39" s="4" t="inlineStr">
        <is>
          <t>REVESTIMENTOS</t>
        </is>
      </c>
    </row>
    <row r="40">
      <c r="A40" s="4" t="inlineStr">
        <is>
          <t>REVESTIMENTOS DE MASSA EM PISOS</t>
        </is>
      </c>
    </row>
    <row r="41">
      <c r="A41" s="4" t="inlineStr">
        <is>
          <t>REVESTIMENTOS DE MASSAS EM PAREDES</t>
        </is>
      </c>
      <c r="AJ41" s="128" t="n">
        <v>7919.302333</v>
      </c>
      <c r="AK41" s="128" t="n">
        <v>70931.88999900001</v>
      </c>
      <c r="AL41" s="128" t="n">
        <v>32198.53</v>
      </c>
      <c r="AM41" s="128" t="n">
        <v>66047.949999</v>
      </c>
      <c r="AN41" s="128" t="n">
        <v>37501.8</v>
      </c>
      <c r="AO41" s="128" t="n">
        <v>63429.659999</v>
      </c>
      <c r="AP41" s="128" t="n">
        <v>91946.83000099999</v>
      </c>
      <c r="BE41" s="128" t="n">
        <v>10990.960001</v>
      </c>
    </row>
    <row r="42">
      <c r="A42" s="4" t="inlineStr">
        <is>
          <t>SEGUROS</t>
        </is>
      </c>
      <c r="R42" s="128" t="n">
        <v>26212.54</v>
      </c>
      <c r="S42" s="128" t="n">
        <v>21466</v>
      </c>
      <c r="T42" s="128" t="n">
        <v>21250</v>
      </c>
      <c r="U42" s="128" t="n">
        <v>21250.06</v>
      </c>
      <c r="V42" s="128" t="n">
        <v>2021.46</v>
      </c>
    </row>
    <row r="43">
      <c r="A43" s="4" t="inlineStr">
        <is>
          <t>SERRALHERIA</t>
        </is>
      </c>
      <c r="AO43" s="128" t="n">
        <v>5500</v>
      </c>
    </row>
    <row r="44">
      <c r="A44" s="4" t="inlineStr">
        <is>
          <t>SERVIÇOS INICIAIS</t>
        </is>
      </c>
      <c r="O44" s="128" t="n">
        <v>187202.85</v>
      </c>
      <c r="P44" s="128" t="n">
        <v>233759.9</v>
      </c>
      <c r="Q44" s="128" t="n">
        <v>11100</v>
      </c>
      <c r="R44" s="128" t="n">
        <v>22548.94</v>
      </c>
      <c r="S44" s="128" t="n">
        <v>29528.407735</v>
      </c>
      <c r="T44" s="128" t="n">
        <v>2899.752265</v>
      </c>
      <c r="U44" s="128" t="n">
        <v>1500</v>
      </c>
      <c r="V44" s="128" t="n">
        <v>1500</v>
      </c>
      <c r="W44" s="128" t="n">
        <v>1500</v>
      </c>
      <c r="X44" s="128" t="n">
        <v>3228.72</v>
      </c>
      <c r="Y44" s="128" t="n">
        <v>71.28</v>
      </c>
      <c r="Z44" s="128" t="n">
        <v>1537.2</v>
      </c>
      <c r="AA44" s="128" t="n">
        <v>142.8</v>
      </c>
      <c r="AB44" s="128" t="n">
        <v>1500</v>
      </c>
      <c r="AC44" s="128" t="n">
        <v>1800</v>
      </c>
      <c r="AD44" s="128" t="n">
        <v>1800</v>
      </c>
      <c r="AE44" s="128" t="n">
        <v>1800</v>
      </c>
      <c r="AF44" s="128" t="n">
        <v>1800</v>
      </c>
      <c r="AG44" s="128" t="n">
        <v>1800</v>
      </c>
      <c r="AH44" s="128" t="n">
        <v>1800</v>
      </c>
      <c r="AI44" s="128" t="n">
        <v>1800</v>
      </c>
      <c r="AJ44" s="128" t="n">
        <v>1828.87909</v>
      </c>
      <c r="AK44" s="128" t="n">
        <v>4626.415359</v>
      </c>
      <c r="AL44" s="128" t="n">
        <v>1800.595238</v>
      </c>
      <c r="AM44" s="128" t="n">
        <v>1800</v>
      </c>
      <c r="AN44" s="128" t="n">
        <v>1800</v>
      </c>
      <c r="AO44" s="128" t="n">
        <v>8735.302616000001</v>
      </c>
      <c r="AP44" s="128" t="n">
        <v>24459.800154</v>
      </c>
      <c r="AQ44" s="128" t="n">
        <v>211.56</v>
      </c>
      <c r="BC44" s="128" t="n">
        <v>667.79723</v>
      </c>
    </row>
    <row r="45">
      <c r="A45" s="4" t="inlineStr">
        <is>
          <t>SERVIÇOS TERCEIRIZADOS</t>
        </is>
      </c>
      <c r="W45" s="128" t="n">
        <v>240</v>
      </c>
      <c r="AN45" s="128" t="n">
        <v>181.28</v>
      </c>
      <c r="AO45" s="128" t="n">
        <v>3.72</v>
      </c>
    </row>
    <row r="46">
      <c r="A46" s="4" t="inlineStr">
        <is>
          <t>TAXA DE ADMINISTRAÇÃO</t>
        </is>
      </c>
      <c r="J46" s="128" t="n">
        <v>15675.91</v>
      </c>
      <c r="O46" s="128" t="n">
        <v>200</v>
      </c>
      <c r="Q46" s="128" t="n">
        <v>148152.31</v>
      </c>
      <c r="R46" s="128" t="n">
        <v>49222.74</v>
      </c>
      <c r="S46" s="128" t="n">
        <v>60024.17</v>
      </c>
      <c r="T46" s="128" t="n">
        <v>141140.78</v>
      </c>
      <c r="U46" s="128" t="n">
        <v>122941.01</v>
      </c>
      <c r="V46" s="128" t="n">
        <v>50814.11</v>
      </c>
      <c r="W46" s="128" t="n">
        <v>154496.68</v>
      </c>
      <c r="X46" s="128" t="n">
        <v>65454.02</v>
      </c>
      <c r="Y46" s="128" t="n">
        <v>131068.65</v>
      </c>
      <c r="Z46" s="128" t="n">
        <v>142141.79</v>
      </c>
      <c r="AA46" s="128" t="n">
        <v>204940.64</v>
      </c>
      <c r="AB46" s="128" t="n">
        <v>212314.07</v>
      </c>
      <c r="AC46" s="128" t="n">
        <v>153383.08</v>
      </c>
      <c r="AD46" s="128" t="n">
        <v>162552.13</v>
      </c>
      <c r="AE46" s="128" t="n">
        <v>148137.86</v>
      </c>
      <c r="AF46" s="128" t="n">
        <v>112482.74</v>
      </c>
    </row>
    <row r="47">
      <c r="A47" s="4" t="inlineStr">
        <is>
          <t>TAXAS DIVERSAS</t>
        </is>
      </c>
      <c r="Q47" s="128" t="n">
        <v>262.55</v>
      </c>
      <c r="S47" s="128" t="n">
        <v>99.64</v>
      </c>
      <c r="T47" s="128" t="n">
        <v>99.64</v>
      </c>
      <c r="X47" s="128" t="n">
        <v>385.66</v>
      </c>
      <c r="AD47" s="128" t="n">
        <v>82.97</v>
      </c>
      <c r="AG47" s="128" t="n">
        <v>33097.94</v>
      </c>
      <c r="AK47" s="128" t="n">
        <v>11895.81</v>
      </c>
      <c r="AN47" s="128" t="n">
        <v>3420</v>
      </c>
    </row>
    <row r="48">
      <c r="A48" s="4" t="inlineStr">
        <is>
          <t>TERRAPLENAGEM</t>
        </is>
      </c>
      <c r="Q48" s="128" t="n">
        <v>40000</v>
      </c>
      <c r="R48" s="128" t="n">
        <v>209029.66</v>
      </c>
      <c r="S48" s="128" t="n">
        <v>725343.000001</v>
      </c>
      <c r="T48" s="128" t="n">
        <v>429843.8</v>
      </c>
      <c r="U48" s="128" t="n">
        <v>153567.17</v>
      </c>
      <c r="V48" s="128" t="n">
        <v>994.24</v>
      </c>
      <c r="W48" s="128" t="n">
        <v>31243</v>
      </c>
      <c r="X48" s="128" t="n">
        <v>359463.359999</v>
      </c>
      <c r="Y48" s="128" t="n">
        <v>26381.68</v>
      </c>
      <c r="Z48" s="128" t="n">
        <v>159.06</v>
      </c>
      <c r="AA48" s="128" t="n">
        <v>321918.24</v>
      </c>
      <c r="AB48" s="128" t="n">
        <v>1407.48</v>
      </c>
      <c r="AC48" s="128" t="n">
        <v>4172.538423</v>
      </c>
      <c r="AD48" s="128" t="n">
        <v>5301.040181</v>
      </c>
      <c r="AE48" s="128" t="n">
        <v>3180.626856</v>
      </c>
      <c r="AG48" s="128" t="n">
        <v>16033.8045</v>
      </c>
      <c r="AH48" s="128" t="n">
        <v>11145.578769</v>
      </c>
      <c r="AK48" s="128" t="n">
        <v>10506.16</v>
      </c>
      <c r="AL48" s="128" t="n">
        <v>660.3872</v>
      </c>
      <c r="AM48" s="128" t="n">
        <v>17495.34</v>
      </c>
      <c r="AP48" s="128" t="n">
        <v>3634.102946</v>
      </c>
    </row>
    <row r="49">
      <c r="A49" s="4" t="inlineStr">
        <is>
          <t>TRANSPORTES</t>
        </is>
      </c>
      <c r="P49" s="128" t="n">
        <v>4414.36</v>
      </c>
      <c r="Q49" s="128" t="n">
        <v>113.29</v>
      </c>
      <c r="R49" s="128" t="n">
        <v>4127.79</v>
      </c>
      <c r="S49" s="128" t="n">
        <v>3835.68</v>
      </c>
      <c r="T49" s="128" t="n">
        <v>1896.38</v>
      </c>
      <c r="U49" s="128" t="n">
        <v>3748.86</v>
      </c>
      <c r="V49" s="128" t="n">
        <v>1699.79</v>
      </c>
      <c r="W49" s="128" t="n">
        <v>9326.219999999999</v>
      </c>
      <c r="X49" s="128" t="n">
        <v>9590.33</v>
      </c>
      <c r="Y49" s="128" t="n">
        <v>2875.79</v>
      </c>
      <c r="Z49" s="128" t="n">
        <v>440.45</v>
      </c>
      <c r="AA49" s="128" t="n">
        <v>7744.89</v>
      </c>
      <c r="AB49" s="128" t="n">
        <v>311.47</v>
      </c>
      <c r="AC49" s="128" t="n">
        <v>1588.37</v>
      </c>
      <c r="AD49" s="128" t="n">
        <v>928.8099999999999</v>
      </c>
      <c r="AE49" s="128" t="n">
        <v>2489.76</v>
      </c>
      <c r="AF49" s="128" t="n">
        <v>17920.4</v>
      </c>
      <c r="AG49" s="128" t="n">
        <v>25229.86</v>
      </c>
      <c r="AH49" s="128" t="n">
        <v>10777.6676</v>
      </c>
      <c r="AI49" s="128" t="n">
        <v>15656.963384</v>
      </c>
      <c r="AJ49" s="128" t="n">
        <v>10975.703577</v>
      </c>
      <c r="AK49" s="128" t="n">
        <v>352.237532</v>
      </c>
      <c r="AL49" s="128" t="n">
        <v>9.283023</v>
      </c>
      <c r="AM49" s="128" t="n">
        <v>5812.22</v>
      </c>
      <c r="AN49" s="128" t="n">
        <v>41922.95</v>
      </c>
      <c r="AO49" s="128" t="n">
        <v>19111.026809</v>
      </c>
      <c r="AP49" s="128" t="n">
        <v>580.683191</v>
      </c>
    </row>
    <row r="50">
      <c r="A50" s="4" t="inlineStr">
        <is>
          <t>ESTRUTURA METÁLICA</t>
        </is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AZ23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  <c r="V5" s="2" t="n">
        <v>0</v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  <row r="23">
      <c r="V23" s="2" t="n">
        <v>12.87</v>
      </c>
      <c r="W23" s="2" t="n">
        <v>15.19</v>
      </c>
      <c r="X23" s="2" t="n">
        <v>15.19</v>
      </c>
      <c r="Y23" s="2" t="n">
        <v>15.19</v>
      </c>
      <c r="Z23" s="2" t="n">
        <v>15.19</v>
      </c>
      <c r="AA23" s="2" t="n">
        <v>15.19</v>
      </c>
      <c r="AB23" s="2" t="n">
        <v>15.19</v>
      </c>
      <c r="AC23" s="2" t="n">
        <v>15.19</v>
      </c>
      <c r="AD23" s="2" t="n">
        <v>15.19</v>
      </c>
      <c r="AE23" s="2" t="n">
        <v>15.19</v>
      </c>
      <c r="AF23" s="2" t="n">
        <v>15.19</v>
      </c>
      <c r="AG23" s="2" t="n">
        <v>15.19</v>
      </c>
      <c r="AH23" s="2" t="n">
        <v>15.19</v>
      </c>
      <c r="AI23" s="2" t="n">
        <v>15.19</v>
      </c>
      <c r="AJ23" s="2" t="n">
        <v>15.19</v>
      </c>
      <c r="AK23" s="2" t="n">
        <v>15.19</v>
      </c>
      <c r="AL23" s="2" t="n">
        <v>15.19</v>
      </c>
      <c r="AM23" s="2" t="n">
        <v>15.19</v>
      </c>
      <c r="AN23" s="2" t="n">
        <v>15.19</v>
      </c>
      <c r="AO23" s="2" t="n">
        <v>15.19</v>
      </c>
      <c r="AP23" s="2" t="n">
        <v>15.19</v>
      </c>
      <c r="AQ23" s="2" t="n">
        <v>15.19</v>
      </c>
      <c r="AR23" s="2" t="n">
        <v>15.19</v>
      </c>
      <c r="AS23" s="2" t="n">
        <v>15.19</v>
      </c>
      <c r="AT23" s="2" t="n">
        <v>15.19</v>
      </c>
      <c r="AU23" s="2" t="n">
        <v>15.19</v>
      </c>
      <c r="AV23" s="2" t="n">
        <v>15.19</v>
      </c>
      <c r="AW23" s="2" t="n">
        <v>15.19</v>
      </c>
      <c r="AX23" s="2" t="n">
        <v>15.19</v>
      </c>
      <c r="AY23" s="2" t="n">
        <v>15.19</v>
      </c>
      <c r="AZ23" s="2" t="n">
        <v>15.19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HISTORICOS'!D5)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PL'!F11</f>
        <v/>
      </c>
      <c r="K5" s="60">
        <f>'VALOR POR PL'!G11</f>
        <v/>
      </c>
      <c r="L5" s="60">
        <f>'DADOS HISTORICOS'!$BZ$5</f>
        <v/>
      </c>
      <c r="M5" s="131">
        <f>'CP RESUMO'!D5</f>
        <v/>
      </c>
      <c r="N5" s="132" t="n">
        <v>0</v>
      </c>
      <c r="O5" s="131">
        <f>IF(B5&lt;='VALOR POR PL'!$P$5,'CP RESUMO'!D47,"")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HISTORICOS'!E5)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PL'!H11</f>
        <v/>
      </c>
      <c r="L6" s="49">
        <f>C6/IF(B6&lt;='VALOR POR PL'!$P$5,IFERROR(INDEX('"INCC-FGV"'!$B$2:$B$800,MATCH(B6,'"INCC-FGV"'!$A$2:$A$800,0)),$K$2),$K$2)</f>
        <v/>
      </c>
      <c r="M6" s="131">
        <f>'CP RESUMO'!E5</f>
        <v/>
      </c>
      <c r="N6" s="132">
        <f>MAX(0,M6-M5)</f>
        <v/>
      </c>
      <c r="O6" s="131">
        <f>IF(B6&lt;='VALOR POR PL'!$P$5,'CP RESUMO'!E47,"")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HISTORICOS'!F5)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RESUMO'!F5</f>
        <v/>
      </c>
      <c r="N7" s="132">
        <f>MAX(0,M7-M6)</f>
        <v/>
      </c>
      <c r="O7" s="131">
        <f>IF(B7&lt;='VALOR POR PL'!$P$5,'CP RESUMO'!F47,"")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HISTORICOS'!G5)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RESUMO'!G5</f>
        <v/>
      </c>
      <c r="N8" s="132">
        <f>MAX(0,M8-M7)</f>
        <v/>
      </c>
      <c r="O8" s="131">
        <f>IF(B8&lt;='VALOR POR PL'!$P$5,'CP RESUMO'!G47,"")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HISTORICOS'!H5)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RESUMO'!H5</f>
        <v/>
      </c>
      <c r="N9" s="132">
        <f>MAX(0,M9-M8)</f>
        <v/>
      </c>
      <c r="O9" s="131">
        <f>IF(B9&lt;='VALOR POR PL'!$P$5,'CP RESUMO'!H47,"")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RESUMO'!I5</f>
        <v/>
      </c>
      <c r="N10" s="132">
        <f>MAX(0,M10-M9)</f>
        <v/>
      </c>
      <c r="O10" s="131">
        <f>IF(B10&lt;='VALOR POR PL'!$P$5,'CP RESUMO'!I47,"")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RESUMO'!J5</f>
        <v/>
      </c>
      <c r="N11" s="132">
        <f>MAX(0,M11-M10)</f>
        <v/>
      </c>
      <c r="O11" s="131">
        <f>IF(B11&lt;='VALOR POR PL'!$P$5,'CP RESUMO'!J47,"")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RESUMO'!K5</f>
        <v/>
      </c>
      <c r="N12" s="132">
        <f>MAX(0,M12-M11)</f>
        <v/>
      </c>
      <c r="O12" s="131">
        <f>IF(B12&lt;='VALOR POR PL'!$P$5,'CP RESUMO'!K47,"")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PL'!I11</f>
        <v/>
      </c>
      <c r="L13" s="49">
        <f>C13/IF(B13&lt;='VALOR POR PL'!$P$5,IFERROR(INDEX('"INCC-FGV"'!$B$2:$B$800,MATCH(B13,'"INCC-FGV"'!$A$2:$A$800,0)),$K$2),$K$2)</f>
        <v/>
      </c>
      <c r="M13" s="131">
        <f>'CP RESUMO'!L5</f>
        <v/>
      </c>
      <c r="N13" s="132">
        <f>MAX(0,M13-M12)</f>
        <v/>
      </c>
      <c r="O13" s="131">
        <f>IF(B13&lt;='VALOR POR PL'!$P$5,'CP RESUMO'!L47,"")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RESUMO'!$D$47:$BW$47,MATCH('VALOR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RESUMO'!M5</f>
        <v/>
      </c>
      <c r="N14" s="132">
        <f>MAX(0,M14-M13)</f>
        <v/>
      </c>
      <c r="O14" s="131">
        <f>IF(B14&lt;='VALOR POR PL'!$P$5,'CP RESUMO'!M47,"")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RESUMO'!N5</f>
        <v/>
      </c>
      <c r="N15" s="132">
        <f>MAX(0,M15-M14)</f>
        <v/>
      </c>
      <c r="O15" s="131">
        <f>IF(B15&lt;='VALOR POR PL'!$P$5,'CP RESUMO'!N47,"")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RESUMO'!O5</f>
        <v/>
      </c>
      <c r="N16" s="132">
        <f>MAX(0,M16-M15)</f>
        <v/>
      </c>
      <c r="O16" s="131">
        <f>IF(B16&lt;='VALOR POR PL'!$P$5,'CP RESUMO'!O47,"")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RESUMO'!P5</f>
        <v/>
      </c>
      <c r="N17" s="132">
        <f>MAX(0,M17-M16)</f>
        <v/>
      </c>
      <c r="O17" s="131">
        <f>IF(B17&lt;='VALOR POR PL'!$P$5,'CP RESUMO'!P47,"")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RESUMO'!Q5</f>
        <v/>
      </c>
      <c r="N18" s="132">
        <f>MAX(0,M18-M17)</f>
        <v/>
      </c>
      <c r="O18" s="131">
        <f>IF(B18&lt;='VALOR POR PL'!$P$5,'CP RESUMO'!Q47,"")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RESUMO'!R5</f>
        <v/>
      </c>
      <c r="N19" s="132">
        <f>MAX(0,M19-M18)</f>
        <v/>
      </c>
      <c r="O19" s="131">
        <f>IF(B19&lt;='VALOR POR PL'!$P$5,'CP RESUMO'!R47,"")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RESUMO'!S5</f>
        <v/>
      </c>
      <c r="N20" s="132">
        <f>MAX(0,M20-M19)</f>
        <v/>
      </c>
      <c r="O20" s="131">
        <f>IF(B20&lt;='VALOR POR PL'!$P$5,'CP RESUMO'!S47,"")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RESUMO'!T5</f>
        <v/>
      </c>
      <c r="N21" s="132">
        <f>MAX(0,M21-M20)</f>
        <v/>
      </c>
      <c r="O21" s="131">
        <f>IF(B21&lt;='VALOR POR PL'!$P$5,'CP RESUMO'!T47,"")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RESUMO'!U5</f>
        <v/>
      </c>
      <c r="N22" s="132">
        <f>MAX(0,M22-M21)</f>
        <v/>
      </c>
      <c r="O22" s="131">
        <f>IF(B22&lt;='VALOR POR PL'!$P$5,'CP RESUMO'!U47,"")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RESUMO'!V5</f>
        <v/>
      </c>
      <c r="N23" s="132">
        <f>MAX(0,M23-M22)</f>
        <v/>
      </c>
      <c r="O23" s="131">
        <f>IF(B23&lt;='VALOR POR PL'!$P$5,'CP RESUMO'!V47,"")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RESUMO'!W5</f>
        <v/>
      </c>
      <c r="N24" s="132">
        <f>MAX(0,M24-M23)</f>
        <v/>
      </c>
      <c r="O24" s="131">
        <f>IF(B24&lt;='VALOR POR PL'!$P$5,'CP RESUMO'!W47,"")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RESUMO'!X5</f>
        <v/>
      </c>
      <c r="N25" s="132">
        <f>MAX(0,M25-M24)</f>
        <v/>
      </c>
      <c r="O25" s="131">
        <f>IF(B25&lt;='VALOR POR PL'!$P$5,'CP RESUMO'!X47,"")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2675</v>
      </c>
      <c r="L26" s="49">
        <f>C26/IF(B26&lt;='VALOR POR PL'!$P$5,IFERROR(INDEX('"INCC-FGV"'!$B$2:$B$800,MATCH(B26,'"INCC-FGV"'!$A$2:$A$800,0)),$K$2),$K$2)</f>
        <v/>
      </c>
      <c r="M26" s="131">
        <f>'CP RESUMO'!Y5</f>
        <v/>
      </c>
      <c r="N26" s="132">
        <f>MAX(0,M26-M25)</f>
        <v/>
      </c>
      <c r="O26" s="131">
        <f>IF(B26&lt;='VALOR POR PL'!$P$5,'CP RESUMO'!Y47,"")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2675</v>
      </c>
      <c r="L27" s="49">
        <f>C27/IF(B27&lt;='VALOR POR PL'!$P$5,IFERROR(INDEX('"INCC-FGV"'!$B$2:$B$800,MATCH(B27,'"INCC-FGV"'!$A$2:$A$800,0)),$K$2),$K$2)</f>
        <v/>
      </c>
      <c r="M27" s="131">
        <f>'CP RESUMO'!Z5</f>
        <v/>
      </c>
      <c r="N27" s="132">
        <f>MAX(0,M27-M26)</f>
        <v/>
      </c>
      <c r="O27" s="131">
        <f>IF(B27&lt;='VALOR POR PL'!$P$5,'CP RESUMO'!Z47,"")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2675</v>
      </c>
      <c r="L28" s="49">
        <f>C28/IF(B28&lt;='VALOR POR PL'!$P$5,IFERROR(INDEX('"INCC-FGV"'!$B$2:$B$800,MATCH(B28,'"INCC-FGV"'!$A$2:$A$800,0)),$K$2),$K$2)</f>
        <v/>
      </c>
      <c r="M28" s="131">
        <f>'CP RESUMO'!AA5</f>
        <v/>
      </c>
      <c r="N28" s="132">
        <f>MAX(0,M28-M27)</f>
        <v/>
      </c>
      <c r="O28" s="131">
        <f>IF(B28&lt;='VALOR POR PL'!$P$5,'CP RESUMO'!AA47,"")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2675</v>
      </c>
      <c r="L29" s="49">
        <f>C29/IF(B29&lt;='VALOR POR PL'!$P$5,IFERROR(INDEX('"INCC-FGV"'!$B$2:$B$800,MATCH(B29,'"INCC-FGV"'!$A$2:$A$800,0)),$K$2),$K$2)</f>
        <v/>
      </c>
      <c r="M29" s="131">
        <f>'CP RESUMO'!AB5</f>
        <v/>
      </c>
      <c r="N29" s="132">
        <f>MAX(0,M29-M28)</f>
        <v/>
      </c>
      <c r="O29" s="131">
        <f>IF(B29&lt;='VALOR POR PL'!$P$5,'CP RESUMO'!AB47,"")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2675</v>
      </c>
      <c r="L30" s="49">
        <f>C30/IF(B30&lt;='VALOR POR PL'!$P$5,IFERROR(INDEX('"INCC-FGV"'!$B$2:$B$800,MATCH(B30,'"INCC-FGV"'!$A$2:$A$800,0)),$K$2),$K$2)</f>
        <v/>
      </c>
      <c r="M30" s="131">
        <f>'CP RESUMO'!AC5</f>
        <v/>
      </c>
      <c r="N30" s="132">
        <f>MAX(0,M30-M29)</f>
        <v/>
      </c>
      <c r="O30" s="131">
        <f>IF(B30&lt;='VALOR POR PL'!$P$5,'CP RESUMO'!AC47,"")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2675</v>
      </c>
      <c r="L31" s="49">
        <f>C31/IF(B31&lt;='VALOR POR PL'!$P$5,IFERROR(INDEX('"INCC-FGV"'!$B$2:$B$800,MATCH(B31,'"INCC-FGV"'!$A$2:$A$800,0)),$K$2),$K$2)</f>
        <v/>
      </c>
      <c r="M31" s="131">
        <f>'CP RESUMO'!AD5</f>
        <v/>
      </c>
      <c r="N31" s="132">
        <f>MAX(0,M31-M30)</f>
        <v/>
      </c>
      <c r="O31" s="131">
        <f>IF(B31&lt;='VALOR POR PL'!$P$5,'CP RESUMO'!AD47,"")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2675</v>
      </c>
      <c r="L32" s="49">
        <f>C32/IF(B32&lt;='VALOR POR PL'!$P$5,IFERROR(INDEX('"INCC-FGV"'!$B$2:$B$800,MATCH(B32,'"INCC-FGV"'!$A$2:$A$800,0)),$K$2),$K$2)</f>
        <v/>
      </c>
      <c r="M32" s="131">
        <f>'CP RESUMO'!AE5</f>
        <v/>
      </c>
      <c r="N32" s="132">
        <f>MAX(0,M32-M31)</f>
        <v/>
      </c>
      <c r="O32" s="131">
        <f>IF(B32&lt;='VALOR POR PL'!$P$5,'CP RESUMO'!AE47,"")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2675</v>
      </c>
      <c r="L33" s="49">
        <f>C33/IF(B33&lt;='VALOR POR PL'!$P$5,IFERROR(INDEX('"INCC-FGV"'!$B$2:$B$800,MATCH(B33,'"INCC-FGV"'!$A$2:$A$800,0)),$K$2),$K$2)</f>
        <v/>
      </c>
      <c r="M33" s="131">
        <f>'CP RESUMO'!AF5</f>
        <v/>
      </c>
      <c r="N33" s="132">
        <f>MAX(0,M33-M32)</f>
        <v/>
      </c>
      <c r="O33" s="131">
        <f>IF(B33&lt;='VALOR POR PL'!$P$5,'CP RESUMO'!AF47,"")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2675</v>
      </c>
      <c r="L34" s="49">
        <f>C34/IF(B34&lt;='VALOR POR PL'!$P$5,IFERROR(INDEX('"INCC-FGV"'!$B$2:$B$800,MATCH(B34,'"INCC-FGV"'!$A$2:$A$800,0)),$K$2),$K$2)</f>
        <v/>
      </c>
      <c r="M34" s="131">
        <f>'CP RESUMO'!AG5</f>
        <v/>
      </c>
      <c r="N34" s="132">
        <f>MAX(0,M34-M33)</f>
        <v/>
      </c>
      <c r="O34" s="131">
        <f>IF(B34&lt;='VALOR POR PL'!$P$5,'CP RESUMO'!AG47,"")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2675</v>
      </c>
      <c r="L35" s="49">
        <f>C35/IF(B35&lt;='VALOR POR PL'!$P$5,IFERROR(INDEX('"INCC-FGV"'!$B$2:$B$800,MATCH(B35,'"INCC-FGV"'!$A$2:$A$800,0)),$K$2),$K$2)</f>
        <v/>
      </c>
      <c r="M35" s="131">
        <f>'CP RESUMO'!AH5</f>
        <v/>
      </c>
      <c r="N35" s="132">
        <f>MAX(0,M35-M34)</f>
        <v/>
      </c>
      <c r="O35" s="131">
        <f>IF(B35&lt;='VALOR POR PL'!$P$5,'CP RESUMO'!AH47,"")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2675</v>
      </c>
      <c r="L36" s="49">
        <f>C36/IF(B36&lt;='VALOR POR PL'!$P$5,IFERROR(INDEX('"INCC-FGV"'!$B$2:$B$800,MATCH(B36,'"INCC-FGV"'!$A$2:$A$800,0)),$K$2),$K$2)</f>
        <v/>
      </c>
      <c r="M36" s="131">
        <f>'CP RESUMO'!AI5</f>
        <v/>
      </c>
      <c r="N36" s="132">
        <f>MAX(0,M36-M35)</f>
        <v/>
      </c>
      <c r="O36" s="131">
        <f>IF(B36&lt;='VALOR POR PL'!$P$5,'CP RESUMO'!AI47,"")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2675</v>
      </c>
      <c r="L37" s="49">
        <f>C37/IF(B37&lt;='VALOR POR PL'!$P$5,IFERROR(INDEX('"INCC-FGV"'!$B$2:$B$800,MATCH(B37,'"INCC-FGV"'!$A$2:$A$800,0)),$K$2),$K$2)</f>
        <v/>
      </c>
      <c r="M37" s="131">
        <f>'CP RESUMO'!AJ5</f>
        <v/>
      </c>
      <c r="N37" s="132">
        <f>MAX(0,M37-M36)</f>
        <v/>
      </c>
      <c r="O37" s="131">
        <f>IF(B37&lt;='VALOR POR PL'!$P$5,'CP RESUMO'!AJ47,"")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2675</v>
      </c>
      <c r="L38" s="49">
        <f>C38/IF(B38&lt;='VALOR POR PL'!$P$5,IFERROR(INDEX('"INCC-FGV"'!$B$2:$B$800,MATCH(B38,'"INCC-FGV"'!$A$2:$A$800,0)),$K$2),$K$2)</f>
        <v/>
      </c>
      <c r="M38" s="131">
        <f>'CP RESUMO'!AK5</f>
        <v/>
      </c>
      <c r="N38" s="132">
        <f>MAX(0,M38-M37)</f>
        <v/>
      </c>
      <c r="O38" s="131">
        <f>IF(B38&lt;='VALOR POR PL'!$P$5,'CP RESUMO'!AK47,"")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2675</v>
      </c>
      <c r="L39" s="49">
        <f>C39/IF(B39&lt;='VALOR POR PL'!$P$5,IFERROR(INDEX('"INCC-FGV"'!$B$2:$B$800,MATCH(B39,'"INCC-FGV"'!$A$2:$A$800,0)),$K$2),$K$2)</f>
        <v/>
      </c>
      <c r="M39" s="131">
        <f>'CP RESUMO'!AL5</f>
        <v/>
      </c>
      <c r="N39" s="132">
        <f>MAX(0,M39-M38)</f>
        <v/>
      </c>
      <c r="O39" s="131">
        <f>IF(B39&lt;='VALOR POR PL'!$P$5,'CP RESUMO'!AL47,"")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2675</v>
      </c>
      <c r="L40" s="49">
        <f>C40/IF(B40&lt;='VALOR POR PL'!$P$5,IFERROR(INDEX('"INCC-FGV"'!$B$2:$B$800,MATCH(B40,'"INCC-FGV"'!$A$2:$A$800,0)),$K$2),$K$2)</f>
        <v/>
      </c>
      <c r="M40" s="131">
        <f>'CP RESUMO'!AM5</f>
        <v/>
      </c>
      <c r="N40" s="132">
        <f>MAX(0,M40-M39)</f>
        <v/>
      </c>
      <c r="O40" s="131">
        <f>IF(B40&lt;='VALOR POR PL'!$P$5,'CP RESUMO'!AM47,"")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2675</v>
      </c>
      <c r="L41" s="49">
        <f>C41/IF(B41&lt;='VALOR POR PL'!$P$5,IFERROR(INDEX('"INCC-FGV"'!$B$2:$B$800,MATCH(B41,'"INCC-FGV"'!$A$2:$A$800,0)),$K$2),$K$2)</f>
        <v/>
      </c>
      <c r="M41" s="131">
        <f>'CP RESUMO'!AN5</f>
        <v/>
      </c>
      <c r="N41" s="132">
        <f>MAX(0,M41-M40)</f>
        <v/>
      </c>
      <c r="O41" s="131">
        <f>IF(B41&lt;='VALOR POR PL'!$P$5,'CP RESUMO'!AN47,"")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2675</v>
      </c>
      <c r="L42" s="49">
        <f>C42/IF(B42&lt;='VALOR POR PL'!$P$5,IFERROR(INDEX('"INCC-FGV"'!$B$2:$B$800,MATCH(B42,'"INCC-FGV"'!$A$2:$A$800,0)),$K$2),$K$2)</f>
        <v/>
      </c>
      <c r="M42" s="131">
        <f>'CP RESUMO'!AO5</f>
        <v/>
      </c>
      <c r="N42" s="132">
        <f>MAX(0,M42-M41)</f>
        <v/>
      </c>
      <c r="O42" s="131">
        <f>IF(B42&lt;='VALOR POR PL'!$P$5,'CP RESUMO'!AO47,"")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RESUMO'!AP5</f>
        <v/>
      </c>
      <c r="N43" s="132">
        <f>MAX(0,M43-M42)</f>
        <v/>
      </c>
      <c r="O43" s="131">
        <f>IF(B43&lt;='VALOR POR PL'!$P$5,'CP RESUMO'!AP47,"")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RESUMO'!AQ5</f>
        <v/>
      </c>
      <c r="N44" s="132">
        <f>MAX(0,M44-M43)</f>
        <v/>
      </c>
      <c r="O44" s="131">
        <f>IF(B44&lt;='VALOR POR PL'!$P$5,'CP RESUMO'!AQ47,"")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RESUMO'!AR5</f>
        <v/>
      </c>
      <c r="N45" s="132">
        <f>MAX(0,M45-M44)</f>
        <v/>
      </c>
      <c r="O45" s="131">
        <f>IF(B45&lt;='VALOR POR PL'!$P$5,'CP RESUMO'!AR47,"")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RESUMO'!AS5</f>
        <v/>
      </c>
      <c r="N46" s="132">
        <f>MAX(0,M46-M45)</f>
        <v/>
      </c>
      <c r="O46" s="131">
        <f>IF(B46&lt;='VALOR POR PL'!$P$5,'CP RESUMO'!AS47,"")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RESUMO'!AT5</f>
        <v/>
      </c>
      <c r="N47" s="132">
        <f>MAX(0,M47-M46)</f>
        <v/>
      </c>
      <c r="O47" s="131">
        <f>IF(B47&lt;='VALOR POR PL'!$P$5,'CP RESUMO'!AT47,"")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RESUMO'!AU5</f>
        <v/>
      </c>
      <c r="N48" s="132">
        <f>MAX(0,M48-M47)</f>
        <v/>
      </c>
      <c r="O48" s="131">
        <f>IF(B48&lt;='VALOR POR PL'!$P$5,'CP RESUMO'!AU47,"")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RESUMO'!AV5</f>
        <v/>
      </c>
      <c r="N49" s="132">
        <f>MAX(0,M49-M48)</f>
        <v/>
      </c>
      <c r="O49" s="131">
        <f>IF(B49&lt;='VALOR POR PL'!$P$5,'CP RESUMO'!AV47,"")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RESUMO'!AW5</f>
        <v/>
      </c>
      <c r="N50" s="132">
        <f>MAX(0,M50-M49)</f>
        <v/>
      </c>
      <c r="O50" s="131">
        <f>IF(B50&lt;='VALOR POR PL'!$P$5,'CP RESUMO'!AW47,"")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RESUMO'!AX5</f>
        <v/>
      </c>
      <c r="N51" s="132">
        <f>MAX(0,M51-M50)</f>
        <v/>
      </c>
      <c r="O51" s="131">
        <f>IF(B51&lt;='VALOR POR PL'!$P$5,'CP RESUMO'!AX47,"")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RESUMO'!AY5</f>
        <v/>
      </c>
      <c r="N52" s="132">
        <f>MAX(0,M52-M51)</f>
        <v/>
      </c>
      <c r="O52" s="131">
        <f>IF(B52&lt;='VALOR POR PL'!$P$5,'CP RESUMO'!AY47,"")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RESUMO'!AZ5</f>
        <v/>
      </c>
      <c r="N53" s="132">
        <f>MAX(0,M53-M52)</f>
        <v/>
      </c>
      <c r="O53" s="131">
        <f>IF(B53&lt;='VALOR POR PL'!$P$5,'CP RESUMO'!AZ47,"")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RESUMO'!BA5</f>
        <v/>
      </c>
      <c r="N54" s="132">
        <f>MAX(0,M54-M53)</f>
        <v/>
      </c>
      <c r="O54" s="131">
        <f>IF(B54&lt;='VALOR POR PL'!$P$5,'CP RESUMO'!BA47,"")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RESUMO'!BB5</f>
        <v/>
      </c>
      <c r="N55" s="132">
        <f>MAX(0,M55-M54)</f>
        <v/>
      </c>
      <c r="O55" s="131">
        <f>IF(B55&lt;='VALOR POR PL'!$P$5,'CP RESUMO'!BB47,"")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RESUMO'!BC5</f>
        <v/>
      </c>
      <c r="N56" s="132">
        <f>MAX(0,M56-M55)</f>
        <v/>
      </c>
      <c r="O56" s="131">
        <f>IF(B56&lt;='VALOR POR PL'!$P$5,'CP RESUMO'!BC47,"")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RESUMO'!BD5</f>
        <v/>
      </c>
      <c r="N57" s="132">
        <f>MAX(0,M57-M56)</f>
        <v/>
      </c>
      <c r="O57" s="131">
        <f>IF(B57&lt;='VALOR POR PL'!$P$5,'CP RESUMO'!BD47,"")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RESUMO'!BE5</f>
        <v/>
      </c>
      <c r="N58" s="132">
        <f>MAX(0,M58-M57)</f>
        <v/>
      </c>
      <c r="O58" s="131">
        <f>IF(B58&lt;='VALOR POR PL'!$P$5,'CP RESUMO'!BE47,"")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RESUMO'!BF5</f>
        <v/>
      </c>
      <c r="N59" s="132">
        <f>MAX(0,M59-M58)</f>
        <v/>
      </c>
      <c r="O59" s="131">
        <f>IF(B59&lt;='VALOR POR PL'!$P$5,'CP RESUMO'!BF47,"")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RESUMO'!BG5</f>
        <v/>
      </c>
      <c r="N60" s="132">
        <f>MAX(0,M60-M59)</f>
        <v/>
      </c>
      <c r="O60" s="131">
        <f>IF(B60&lt;='VALOR POR PL'!$P$5,'CP RESUMO'!BG47,"")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RESUMO'!BH5</f>
        <v/>
      </c>
      <c r="N61" s="132">
        <f>MAX(0,M61-M60)</f>
        <v/>
      </c>
      <c r="O61" s="131">
        <f>IF(B61&lt;='VALOR POR PL'!$P$5,'CP RESUMO'!BH47,"")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RESUMO'!BI5</f>
        <v/>
      </c>
      <c r="N62" s="132">
        <f>MAX(0,M62-M61)</f>
        <v/>
      </c>
      <c r="O62" s="131">
        <f>IF(B62&lt;='VALOR POR PL'!$P$5,'CP RESUMO'!BI47,"")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RESUMO'!BJ5</f>
        <v/>
      </c>
      <c r="N63" s="132">
        <f>MAX(0,M63-M62)</f>
        <v/>
      </c>
      <c r="O63" s="131">
        <f>IF(B63&lt;='VALOR POR PL'!$P$5,'CP RESUMO'!BJ47,"")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RESUMO'!BK5</f>
        <v/>
      </c>
      <c r="N64" s="132">
        <f>MAX(0,M64-M63)</f>
        <v/>
      </c>
      <c r="O64" s="131">
        <f>IF(B64&lt;='VALOR POR PL'!$P$5,'CP RESUMO'!BK47,"")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RESUMO'!BL5</f>
        <v/>
      </c>
      <c r="N65" s="132">
        <f>MAX(0,M65-M64)</f>
        <v/>
      </c>
      <c r="O65" s="131">
        <f>IF(B65&lt;='VALOR POR PL'!$P$5,'CP RESUMO'!BL47,"")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RESUMO'!BM5</f>
        <v/>
      </c>
      <c r="N66" s="132">
        <f>MAX(0,M66-M65)</f>
        <v/>
      </c>
      <c r="O66" s="131">
        <f>IF(B66&lt;='VALOR POR PL'!$P$5,'CP RESUMO'!BM47,"")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RESUMO'!BN5</f>
        <v/>
      </c>
      <c r="N67" s="132">
        <f>MAX(0,M67-M66)</f>
        <v/>
      </c>
      <c r="O67" s="131">
        <f>IF(B67&lt;='VALOR POR PL'!$P$5,'CP RESUMO'!BN47,"")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RESUMO'!BO5</f>
        <v/>
      </c>
      <c r="N68" s="132">
        <f>MAX(0,M68-M67)</f>
        <v/>
      </c>
      <c r="O68" s="131">
        <f>IF(B68&lt;='VALOR POR PL'!$P$5,'CP RESUMO'!BO47,"")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RESUMO'!BP5</f>
        <v/>
      </c>
      <c r="N69" s="132">
        <f>MAX(0,M69-M68)</f>
        <v/>
      </c>
      <c r="O69" s="131">
        <f>IF(B69&lt;='VALOR POR PL'!$P$5,'CP RESUMO'!BP47,"")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RESUMO'!BQ5</f>
        <v/>
      </c>
      <c r="N70" s="132">
        <f>MAX(0,M70-M69)</f>
        <v/>
      </c>
      <c r="O70" s="131">
        <f>IF(B70&lt;='VALOR POR PL'!$P$5,'CP RESUMO'!BQ47,"")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RESUMO'!BR5</f>
        <v/>
      </c>
      <c r="N71" s="132">
        <f>MAX(0,M71-M70)</f>
        <v/>
      </c>
      <c r="O71" s="131">
        <f>IF(B71&lt;='VALOR POR PL'!$P$5,'CP RESUMO'!BR47,"")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RESUMO'!BS5</f>
        <v/>
      </c>
      <c r="N72" s="132">
        <f>MAX(0,M72-M71)</f>
        <v/>
      </c>
      <c r="O72" s="131">
        <f>IF(B72&lt;='VALOR POR PL'!$P$5,'CP RESUMO'!BS47,"")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RESUMO'!BT5</f>
        <v/>
      </c>
      <c r="N73" s="132">
        <f>MAX(0,M73-M72)</f>
        <v/>
      </c>
      <c r="O73" s="131">
        <f>IF(B73&lt;='VALOR POR PL'!$P$5,'CP RESUMO'!BT47,"")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RESUMO'!BU5</f>
        <v/>
      </c>
      <c r="N74" s="132">
        <f>MAX(0,M74-M73)</f>
        <v/>
      </c>
      <c r="O74" s="131">
        <f>IF(B74&lt;='VALOR POR PL'!$P$5,'CP RESUMO'!BU47,"")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RESUMO'!BV5</f>
        <v/>
      </c>
      <c r="N75" s="132">
        <f>MAX(0,M75-M74)</f>
        <v/>
      </c>
      <c r="O75" s="131">
        <f>IF(B75&lt;='VALOR POR PL'!$P$5,'CP RESUMO'!BV47,"")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RESUMO'!BW5</f>
        <v/>
      </c>
      <c r="N76" s="132">
        <f>MAX(0,M76-M75)</f>
        <v/>
      </c>
      <c r="O76" s="131">
        <f>IF(B76&lt;='VALOR POR PL'!$P$5,'CP RESUMO'!BW47,"")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HISTORICOS'!D42)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PL'!F48</f>
        <v/>
      </c>
      <c r="K5" s="60">
        <f>'VALOR POR PL'!G48</f>
        <v/>
      </c>
      <c r="L5" s="60">
        <f>'DADOS HISTORICOS'!$BZ$42</f>
        <v/>
      </c>
      <c r="M5" s="131">
        <f>'CP RESUMO'!D42</f>
        <v/>
      </c>
      <c r="N5" s="132" t="n">
        <v>0</v>
      </c>
      <c r="O5" s="131">
        <f>IF(B5&lt;='VALOR POR PL'!$P$5,'CP RESUMO'!D84,"")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HISTORICOS'!E42)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PL'!H48</f>
        <v/>
      </c>
      <c r="L6" s="49">
        <f>C6/IF(B6&lt;='VALOR POR PL'!$P$5,IFERROR(INDEX('"INCC-FGV"'!$B$2:$B$800,MATCH(B6,'"INCC-FGV"'!$A$2:$A$800,0)),$K$2),$K$2)</f>
        <v/>
      </c>
      <c r="M6" s="131">
        <f>'CP RESUMO'!E42</f>
        <v/>
      </c>
      <c r="N6" s="132">
        <f>MAX(0,M6-M5)</f>
        <v/>
      </c>
      <c r="O6" s="131">
        <f>IF(B6&lt;='VALOR POR PL'!$P$5,'CP RESUMO'!E84,"")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HISTORICOS'!F42)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RESUMO'!F42</f>
        <v/>
      </c>
      <c r="N7" s="132">
        <f>MAX(0,M7-M6)</f>
        <v/>
      </c>
      <c r="O7" s="131">
        <f>IF(B7&lt;='VALOR POR PL'!$P$5,'CP RESUMO'!F84,"")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HISTORICOS'!G42)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RESUMO'!G42</f>
        <v/>
      </c>
      <c r="N8" s="132">
        <f>MAX(0,M8-M7)</f>
        <v/>
      </c>
      <c r="O8" s="131">
        <f>IF(B8&lt;='VALOR POR PL'!$P$5,'CP RESUMO'!G84,"")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HISTORICOS'!H42)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RESUMO'!H42</f>
        <v/>
      </c>
      <c r="N9" s="132">
        <f>MAX(0,M9-M8)</f>
        <v/>
      </c>
      <c r="O9" s="131">
        <f>IF(B9&lt;='VALOR POR PL'!$P$5,'CP RESUMO'!H84,"")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RESUMO'!I42</f>
        <v/>
      </c>
      <c r="N10" s="132">
        <f>MAX(0,M10-M9)</f>
        <v/>
      </c>
      <c r="O10" s="131">
        <f>IF(B10&lt;='VALOR POR PL'!$P$5,'CP RESUMO'!I84,"")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RESUMO'!J42</f>
        <v/>
      </c>
      <c r="N11" s="132">
        <f>MAX(0,M11-M10)</f>
        <v/>
      </c>
      <c r="O11" s="131">
        <f>IF(B11&lt;='VALOR POR PL'!$P$5,'CP RESUMO'!J84,"")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RESUMO'!K42</f>
        <v/>
      </c>
      <c r="N12" s="132">
        <f>MAX(0,M12-M11)</f>
        <v/>
      </c>
      <c r="O12" s="131">
        <f>IF(B12&lt;='VALOR POR PL'!$P$5,'CP RESUMO'!K84,"")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PL'!I48</f>
        <v/>
      </c>
      <c r="L13" s="49">
        <f>C13/IF(B13&lt;='VALOR POR PL'!$P$5,IFERROR(INDEX('"INCC-FGV"'!$B$2:$B$800,MATCH(B13,'"INCC-FGV"'!$A$2:$A$800,0)),$K$2),$K$2)</f>
        <v/>
      </c>
      <c r="M13" s="131">
        <f>'CP RESUMO'!L42</f>
        <v/>
      </c>
      <c r="N13" s="132">
        <f>MAX(0,M13-M12)</f>
        <v/>
      </c>
      <c r="O13" s="131">
        <f>IF(B13&lt;='VALOR POR PL'!$P$5,'CP RESUMO'!L84,"")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RESUMO'!$D$84:$BW$84,MATCH('VALOR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RESUMO'!M42</f>
        <v/>
      </c>
      <c r="N14" s="132">
        <f>MAX(0,M14-M13)</f>
        <v/>
      </c>
      <c r="O14" s="131">
        <f>IF(B14&lt;='VALOR POR PL'!$P$5,'CP RESUMO'!M84,"")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RESUMO'!N42</f>
        <v/>
      </c>
      <c r="N15" s="132">
        <f>MAX(0,M15-M14)</f>
        <v/>
      </c>
      <c r="O15" s="131">
        <f>IF(B15&lt;='VALOR POR PL'!$P$5,'CP RESUMO'!N84,"")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RESUMO'!O42</f>
        <v/>
      </c>
      <c r="N16" s="132">
        <f>MAX(0,M16-M15)</f>
        <v/>
      </c>
      <c r="O16" s="131">
        <f>IF(B16&lt;='VALOR POR PL'!$P$5,'CP RESUMO'!O84,"")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RESUMO'!P42</f>
        <v/>
      </c>
      <c r="N17" s="132">
        <f>MAX(0,M17-M16)</f>
        <v/>
      </c>
      <c r="O17" s="131">
        <f>IF(B17&lt;='VALOR POR PL'!$P$5,'CP RESUMO'!P84,"")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RESUMO'!Q42</f>
        <v/>
      </c>
      <c r="N18" s="132">
        <f>MAX(0,M18-M17)</f>
        <v/>
      </c>
      <c r="O18" s="131">
        <f>IF(B18&lt;='VALOR POR PL'!$P$5,'CP RESUMO'!Q84,"")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RESUMO'!R42</f>
        <v/>
      </c>
      <c r="N19" s="132">
        <f>MAX(0,M19-M18)</f>
        <v/>
      </c>
      <c r="O19" s="131">
        <f>IF(B19&lt;='VALOR POR PL'!$P$5,'CP RESUMO'!R84,"")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RESUMO'!S42</f>
        <v/>
      </c>
      <c r="N20" s="132">
        <f>MAX(0,M20-M19)</f>
        <v/>
      </c>
      <c r="O20" s="131">
        <f>IF(B20&lt;='VALOR POR PL'!$P$5,'CP RESUMO'!S84,"")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RESUMO'!T42</f>
        <v/>
      </c>
      <c r="N21" s="132">
        <f>MAX(0,M21-M20)</f>
        <v/>
      </c>
      <c r="O21" s="131">
        <f>IF(B21&lt;='VALOR POR PL'!$P$5,'CP RESUMO'!T84,"")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RESUMO'!U42</f>
        <v/>
      </c>
      <c r="N22" s="132">
        <f>MAX(0,M22-M21)</f>
        <v/>
      </c>
      <c r="O22" s="131">
        <f>IF(B22&lt;='VALOR POR PL'!$P$5,'CP RESUMO'!U84,"")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RESUMO'!V42</f>
        <v/>
      </c>
      <c r="N23" s="132">
        <f>MAX(0,M23-M22)</f>
        <v/>
      </c>
      <c r="O23" s="131">
        <f>IF(B23&lt;='VALOR POR PL'!$P$5,'CP RESUMO'!V84,"")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Somente o incorrido no ERP: a meta em INCC (VALOR POR PL!H48) é o próprio incorrido em INCC, sem previsão futura.</t>
        </is>
      </c>
      <c r="L24" s="49">
        <f>C24/IF(B24&lt;='VALOR POR PL'!$P$5,IFERROR(INDEX('"INCC-FGV"'!$B$2:$B$800,MATCH(B24,'"INCC-FGV"'!$A$2:$A$800,0)),$K$2),$K$2)</f>
        <v/>
      </c>
      <c r="M24" s="131">
        <f>'CP RESUMO'!W42</f>
        <v/>
      </c>
      <c r="N24" s="132">
        <f>MAX(0,M24-M23)</f>
        <v/>
      </c>
      <c r="O24" s="131">
        <f>IF(B24&lt;='VALOR POR PL'!$P$5,'CP RESUMO'!W84,"")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RESUMO'!X42</f>
        <v/>
      </c>
      <c r="N25" s="132">
        <f>MAX(0,M25-M24)</f>
        <v/>
      </c>
      <c r="O25" s="131">
        <f>IF(B25&lt;='VALOR POR PL'!$P$5,'CP RESUMO'!X84,"")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RESUMO'!Y42</f>
        <v/>
      </c>
      <c r="N26" s="132">
        <f>MAX(0,M26-M25)</f>
        <v/>
      </c>
      <c r="O26" s="131">
        <f>IF(B26&lt;='VALOR POR PL'!$P$5,'CP RESUMO'!Y84,"")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RESUMO'!Z42</f>
        <v/>
      </c>
      <c r="N27" s="132">
        <f>MAX(0,M27-M26)</f>
        <v/>
      </c>
      <c r="O27" s="131">
        <f>IF(B27&lt;='VALOR POR PL'!$P$5,'CP RESUMO'!Z84,"")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RESUMO'!AA42</f>
        <v/>
      </c>
      <c r="N28" s="132">
        <f>MAX(0,M28-M27)</f>
        <v/>
      </c>
      <c r="O28" s="131">
        <f>IF(B28&lt;='VALOR POR PL'!$P$5,'CP RESUMO'!AA84,"")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RESUMO'!AB42</f>
        <v/>
      </c>
      <c r="N29" s="132">
        <f>MAX(0,M29-M28)</f>
        <v/>
      </c>
      <c r="O29" s="131">
        <f>IF(B29&lt;='VALOR POR PL'!$P$5,'CP RESUMO'!AB84,"")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RESUMO'!AC42</f>
        <v/>
      </c>
      <c r="N30" s="132">
        <f>MAX(0,M30-M29)</f>
        <v/>
      </c>
      <c r="O30" s="131">
        <f>IF(B30&lt;='VALOR POR PL'!$P$5,'CP RESUMO'!AC84,"")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RESUMO'!AD42</f>
        <v/>
      </c>
      <c r="N31" s="132">
        <f>MAX(0,M31-M30)</f>
        <v/>
      </c>
      <c r="O31" s="131">
        <f>IF(B31&lt;='VALOR POR PL'!$P$5,'CP RESUMO'!AD84,"")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RESUMO'!AE42</f>
        <v/>
      </c>
      <c r="N32" s="132">
        <f>MAX(0,M32-M31)</f>
        <v/>
      </c>
      <c r="O32" s="131">
        <f>IF(B32&lt;='VALOR POR PL'!$P$5,'CP RESUMO'!AE84,"")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RESUMO'!AF42</f>
        <v/>
      </c>
      <c r="N33" s="132">
        <f>MAX(0,M33-M32)</f>
        <v/>
      </c>
      <c r="O33" s="131">
        <f>IF(B33&lt;='VALOR POR PL'!$P$5,'CP RESUMO'!AF84,"")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RESUMO'!AG42</f>
        <v/>
      </c>
      <c r="N34" s="132">
        <f>MAX(0,M34-M33)</f>
        <v/>
      </c>
      <c r="O34" s="131">
        <f>IF(B34&lt;='VALOR POR PL'!$P$5,'CP RESUMO'!AG84,"")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RESUMO'!AH42</f>
        <v/>
      </c>
      <c r="N35" s="132">
        <f>MAX(0,M35-M34)</f>
        <v/>
      </c>
      <c r="O35" s="131">
        <f>IF(B35&lt;='VALOR POR PL'!$P$5,'CP RESUMO'!AH84,"")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RESUMO'!AI42</f>
        <v/>
      </c>
      <c r="N36" s="132">
        <f>MAX(0,M36-M35)</f>
        <v/>
      </c>
      <c r="O36" s="131">
        <f>IF(B36&lt;='VALOR POR PL'!$P$5,'CP RESUMO'!AI84,"")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RESUMO'!AJ42</f>
        <v/>
      </c>
      <c r="N37" s="132">
        <f>MAX(0,M37-M36)</f>
        <v/>
      </c>
      <c r="O37" s="131">
        <f>IF(B37&lt;='VALOR POR PL'!$P$5,'CP RESUMO'!AJ84,"")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/>
      <c r="L38" s="49">
        <f>C38/IF(B38&lt;='VALOR POR PL'!$P$5,IFERROR(INDEX('"INCC-FGV"'!$B$2:$B$800,MATCH(B38,'"INCC-FGV"'!$A$2:$A$800,0)),$K$2),$K$2)</f>
        <v/>
      </c>
      <c r="M38" s="131">
        <f>'CP RESUMO'!AK42</f>
        <v/>
      </c>
      <c r="N38" s="132">
        <f>MAX(0,M38-M37)</f>
        <v/>
      </c>
      <c r="O38" s="131">
        <f>IF(B38&lt;='VALOR POR PL'!$P$5,'CP RESUMO'!AK84,"")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RESUMO'!AL42</f>
        <v/>
      </c>
      <c r="N39" s="132">
        <f>MAX(0,M39-M38)</f>
        <v/>
      </c>
      <c r="O39" s="131">
        <f>IF(B39&lt;='VALOR POR PL'!$P$5,'CP RESUMO'!AL84,"")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RESUMO'!AM42</f>
        <v/>
      </c>
      <c r="N40" s="132">
        <f>MAX(0,M40-M39)</f>
        <v/>
      </c>
      <c r="O40" s="131">
        <f>IF(B40&lt;='VALOR POR PL'!$P$5,'CP RESUMO'!AM84,"")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RESUMO'!AN42</f>
        <v/>
      </c>
      <c r="N41" s="132">
        <f>MAX(0,M41-M40)</f>
        <v/>
      </c>
      <c r="O41" s="131">
        <f>IF(B41&lt;='VALOR POR PL'!$P$5,'CP RESUMO'!AN84,"")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RESUMO'!AO42</f>
        <v/>
      </c>
      <c r="N42" s="132">
        <f>MAX(0,M42-M41)</f>
        <v/>
      </c>
      <c r="O42" s="131">
        <f>IF(B42&lt;='VALOR POR PL'!$P$5,'CP RESUMO'!AO84,"")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RESUMO'!AP42</f>
        <v/>
      </c>
      <c r="N43" s="132">
        <f>MAX(0,M43-M42)</f>
        <v/>
      </c>
      <c r="O43" s="131">
        <f>IF(B43&lt;='VALOR POR PL'!$P$5,'CP RESUMO'!AP84,"")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RESUMO'!AQ42</f>
        <v/>
      </c>
      <c r="N44" s="132">
        <f>MAX(0,M44-M43)</f>
        <v/>
      </c>
      <c r="O44" s="131">
        <f>IF(B44&lt;='VALOR POR PL'!$P$5,'CP RESUMO'!AQ84,"")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RESUMO'!AR42</f>
        <v/>
      </c>
      <c r="N45" s="132">
        <f>MAX(0,M45-M44)</f>
        <v/>
      </c>
      <c r="O45" s="131">
        <f>IF(B45&lt;='VALOR POR PL'!$P$5,'CP RESUMO'!AR84,"")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RESUMO'!AS42</f>
        <v/>
      </c>
      <c r="N46" s="132">
        <f>MAX(0,M46-M45)</f>
        <v/>
      </c>
      <c r="O46" s="131">
        <f>IF(B46&lt;='VALOR POR PL'!$P$5,'CP RESUMO'!AS84,"")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RESUMO'!AT42</f>
        <v/>
      </c>
      <c r="N47" s="132">
        <f>MAX(0,M47-M46)</f>
        <v/>
      </c>
      <c r="O47" s="131">
        <f>IF(B47&lt;='VALOR POR PL'!$P$5,'CP RESUMO'!AT84,"")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RESUMO'!AU42</f>
        <v/>
      </c>
      <c r="N48" s="132">
        <f>MAX(0,M48-M47)</f>
        <v/>
      </c>
      <c r="O48" s="131">
        <f>IF(B48&lt;='VALOR POR PL'!$P$5,'CP RESUMO'!AU84,"")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RESUMO'!AV42</f>
        <v/>
      </c>
      <c r="N49" s="132">
        <f>MAX(0,M49-M48)</f>
        <v/>
      </c>
      <c r="O49" s="131">
        <f>IF(B49&lt;='VALOR POR PL'!$P$5,'CP RESUMO'!AV84,"")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RESUMO'!AW42</f>
        <v/>
      </c>
      <c r="N50" s="132">
        <f>MAX(0,M50-M49)</f>
        <v/>
      </c>
      <c r="O50" s="131">
        <f>IF(B50&lt;='VALOR POR PL'!$P$5,'CP RESUMO'!AW84,"")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RESUMO'!AX42</f>
        <v/>
      </c>
      <c r="N51" s="132">
        <f>MAX(0,M51-M50)</f>
        <v/>
      </c>
      <c r="O51" s="131">
        <f>IF(B51&lt;='VALOR POR PL'!$P$5,'CP RESUMO'!AX84,"")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RESUMO'!AY42</f>
        <v/>
      </c>
      <c r="N52" s="132">
        <f>MAX(0,M52-M51)</f>
        <v/>
      </c>
      <c r="O52" s="131">
        <f>IF(B52&lt;='VALOR POR PL'!$P$5,'CP RESUMO'!AY84,"")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RESUMO'!AZ42</f>
        <v/>
      </c>
      <c r="N53" s="132">
        <f>MAX(0,M53-M52)</f>
        <v/>
      </c>
      <c r="O53" s="131">
        <f>IF(B53&lt;='VALOR POR PL'!$P$5,'CP RESUMO'!AZ84,"")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RESUMO'!BA42</f>
        <v/>
      </c>
      <c r="N54" s="132">
        <f>MAX(0,M54-M53)</f>
        <v/>
      </c>
      <c r="O54" s="131">
        <f>IF(B54&lt;='VALOR POR PL'!$P$5,'CP RESUMO'!BA84,"")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RESUMO'!BB42</f>
        <v/>
      </c>
      <c r="N55" s="132">
        <f>MAX(0,M55-M54)</f>
        <v/>
      </c>
      <c r="O55" s="131">
        <f>IF(B55&lt;='VALOR POR PL'!$P$5,'CP RESUMO'!BB84,"")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RESUMO'!BC42</f>
        <v/>
      </c>
      <c r="N56" s="132">
        <f>MAX(0,M56-M55)</f>
        <v/>
      </c>
      <c r="O56" s="131">
        <f>IF(B56&lt;='VALOR POR PL'!$P$5,'CP RESUMO'!BC84,"")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RESUMO'!BD42</f>
        <v/>
      </c>
      <c r="N57" s="132">
        <f>MAX(0,M57-M56)</f>
        <v/>
      </c>
      <c r="O57" s="131">
        <f>IF(B57&lt;='VALOR POR PL'!$P$5,'CP RESUMO'!BD84,"")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RESUMO'!BE42</f>
        <v/>
      </c>
      <c r="N58" s="132">
        <f>MAX(0,M58-M57)</f>
        <v/>
      </c>
      <c r="O58" s="131">
        <f>IF(B58&lt;='VALOR POR PL'!$P$5,'CP RESUMO'!BE84,"")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RESUMO'!BF42</f>
        <v/>
      </c>
      <c r="N59" s="132">
        <f>MAX(0,M59-M58)</f>
        <v/>
      </c>
      <c r="O59" s="131">
        <f>IF(B59&lt;='VALOR POR PL'!$P$5,'CP RESUMO'!BF84,"")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RESUMO'!BG42</f>
        <v/>
      </c>
      <c r="N60" s="132">
        <f>MAX(0,M60-M59)</f>
        <v/>
      </c>
      <c r="O60" s="131">
        <f>IF(B60&lt;='VALOR POR PL'!$P$5,'CP RESUMO'!BG84,"")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RESUMO'!BH42</f>
        <v/>
      </c>
      <c r="N61" s="132">
        <f>MAX(0,M61-M60)</f>
        <v/>
      </c>
      <c r="O61" s="131">
        <f>IF(B61&lt;='VALOR POR PL'!$P$5,'CP RESUMO'!BH84,"")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RESUMO'!BI42</f>
        <v/>
      </c>
      <c r="N62" s="132">
        <f>MAX(0,M62-M61)</f>
        <v/>
      </c>
      <c r="O62" s="131">
        <f>IF(B62&lt;='VALOR POR PL'!$P$5,'CP RESUMO'!BI84,"")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RESUMO'!BJ42</f>
        <v/>
      </c>
      <c r="N63" s="132">
        <f>MAX(0,M63-M62)</f>
        <v/>
      </c>
      <c r="O63" s="131">
        <f>IF(B63&lt;='VALOR POR PL'!$P$5,'CP RESUMO'!BJ84,"")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RESUMO'!BK42</f>
        <v/>
      </c>
      <c r="N64" s="132">
        <f>MAX(0,M64-M63)</f>
        <v/>
      </c>
      <c r="O64" s="131">
        <f>IF(B64&lt;='VALOR POR PL'!$P$5,'CP RESUMO'!BK84,"")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RESUMO'!BL42</f>
        <v/>
      </c>
      <c r="N65" s="132">
        <f>MAX(0,M65-M64)</f>
        <v/>
      </c>
      <c r="O65" s="131">
        <f>IF(B65&lt;='VALOR POR PL'!$P$5,'CP RESUMO'!BL84,"")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RESUMO'!BM42</f>
        <v/>
      </c>
      <c r="N66" s="132">
        <f>MAX(0,M66-M65)</f>
        <v/>
      </c>
      <c r="O66" s="131">
        <f>IF(B66&lt;='VALOR POR PL'!$P$5,'CP RESUMO'!BM84,"")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RESUMO'!BN42</f>
        <v/>
      </c>
      <c r="N67" s="132">
        <f>MAX(0,M67-M66)</f>
        <v/>
      </c>
      <c r="O67" s="131">
        <f>IF(B67&lt;='VALOR POR PL'!$P$5,'CP RESUMO'!BN84,"")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RESUMO'!BO42</f>
        <v/>
      </c>
      <c r="N68" s="132">
        <f>MAX(0,M68-M67)</f>
        <v/>
      </c>
      <c r="O68" s="131">
        <f>IF(B68&lt;='VALOR POR PL'!$P$5,'CP RESUMO'!BO84,"")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RESUMO'!BP42</f>
        <v/>
      </c>
      <c r="N69" s="132">
        <f>MAX(0,M69-M68)</f>
        <v/>
      </c>
      <c r="O69" s="131">
        <f>IF(B69&lt;='VALOR POR PL'!$P$5,'CP RESUMO'!BP84,"")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RESUMO'!BQ42</f>
        <v/>
      </c>
      <c r="N70" s="132">
        <f>MAX(0,M70-M69)</f>
        <v/>
      </c>
      <c r="O70" s="131">
        <f>IF(B70&lt;='VALOR POR PL'!$P$5,'CP RESUMO'!BQ84,"")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RESUMO'!BR42</f>
        <v/>
      </c>
      <c r="N71" s="132">
        <f>MAX(0,M71-M70)</f>
        <v/>
      </c>
      <c r="O71" s="131">
        <f>IF(B71&lt;='VALOR POR PL'!$P$5,'CP RESUMO'!BR84,"")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RESUMO'!BS42</f>
        <v/>
      </c>
      <c r="N72" s="132">
        <f>MAX(0,M72-M71)</f>
        <v/>
      </c>
      <c r="O72" s="131">
        <f>IF(B72&lt;='VALOR POR PL'!$P$5,'CP RESUMO'!BS84,"")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RESUMO'!BT42</f>
        <v/>
      </c>
      <c r="N73" s="132">
        <f>MAX(0,M73-M72)</f>
        <v/>
      </c>
      <c r="O73" s="131">
        <f>IF(B73&lt;='VALOR POR PL'!$P$5,'CP RESUMO'!BT84,"")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RESUMO'!BU42</f>
        <v/>
      </c>
      <c r="N74" s="132">
        <f>MAX(0,M74-M73)</f>
        <v/>
      </c>
      <c r="O74" s="131">
        <f>IF(B74&lt;='VALOR POR PL'!$P$5,'CP RESUMO'!BU84,"")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RESUMO'!BV42</f>
        <v/>
      </c>
      <c r="N75" s="132">
        <f>MAX(0,M75-M74)</f>
        <v/>
      </c>
      <c r="O75" s="131">
        <f>IF(B75&lt;='VALOR POR PL'!$P$5,'CP RESUMO'!BV84,"")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RESUMO'!BW42</f>
        <v/>
      </c>
      <c r="N76" s="132">
        <f>MAX(0,M76-M75)</f>
        <v/>
      </c>
      <c r="O76" s="131">
        <f>IF(B76&lt;='VALOR POR PL'!$P$5,'CP RESUMO'!BW84,"")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HISTORICOS'!D6)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PL'!F12</f>
        <v/>
      </c>
      <c r="K5" s="60">
        <f>'VALOR POR PL'!G12</f>
        <v/>
      </c>
      <c r="L5" s="60">
        <f>'DADOS HISTORICOS'!$BZ$6</f>
        <v/>
      </c>
      <c r="M5" s="131">
        <f>'CP RESUMO'!D6</f>
        <v/>
      </c>
      <c r="N5" s="132" t="n">
        <v>0</v>
      </c>
      <c r="O5" s="131">
        <f>IF(B5&lt;='VALOR POR PL'!$P$5,'CP RESUMO'!D48,"")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HISTORICOS'!E6)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PL'!H12</f>
        <v/>
      </c>
      <c r="L6" s="49">
        <f>C6/IF(B6&lt;='VALOR POR PL'!$P$5,IFERROR(INDEX('"INCC-FGV"'!$B$2:$B$800,MATCH(B6,'"INCC-FGV"'!$A$2:$A$800,0)),$K$2),$K$2)</f>
        <v/>
      </c>
      <c r="M6" s="131">
        <f>'CP RESUMO'!E6</f>
        <v/>
      </c>
      <c r="N6" s="132">
        <f>MAX(0,M6-M5)</f>
        <v/>
      </c>
      <c r="O6" s="131">
        <f>IF(B6&lt;='VALOR POR PL'!$P$5,'CP RESUMO'!E48,"")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HISTORICOS'!F6)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RESUMO'!F6</f>
        <v/>
      </c>
      <c r="N7" s="132">
        <f>MAX(0,M7-M6)</f>
        <v/>
      </c>
      <c r="O7" s="131">
        <f>IF(B7&lt;='VALOR POR PL'!$P$5,'CP RESUMO'!F48,"")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HISTORICOS'!G6)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RESUMO'!G6</f>
        <v/>
      </c>
      <c r="N8" s="132">
        <f>MAX(0,M8-M7)</f>
        <v/>
      </c>
      <c r="O8" s="131">
        <f>IF(B8&lt;='VALOR POR PL'!$P$5,'CP RESUMO'!G48,"")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HISTORICOS'!H6)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RESUMO'!H6</f>
        <v/>
      </c>
      <c r="N9" s="132">
        <f>MAX(0,M9-M8)</f>
        <v/>
      </c>
      <c r="O9" s="131">
        <f>IF(B9&lt;='VALOR POR PL'!$P$5,'CP RESUMO'!H48,"")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RESUMO'!I6</f>
        <v/>
      </c>
      <c r="N10" s="132">
        <f>MAX(0,M10-M9)</f>
        <v/>
      </c>
      <c r="O10" s="131">
        <f>IF(B10&lt;='VALOR POR PL'!$P$5,'CP RESUMO'!I48,"")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RESUMO'!J6</f>
        <v/>
      </c>
      <c r="N11" s="132">
        <f>MAX(0,M11-M10)</f>
        <v/>
      </c>
      <c r="O11" s="131">
        <f>IF(B11&lt;='VALOR POR PL'!$P$5,'CP RESUMO'!J48,"")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RESUMO'!K6</f>
        <v/>
      </c>
      <c r="N12" s="132">
        <f>MAX(0,M12-M11)</f>
        <v/>
      </c>
      <c r="O12" s="131">
        <f>IF(B12&lt;='VALOR POR PL'!$P$5,'CP RESUMO'!K48,"")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PL'!I12</f>
        <v/>
      </c>
      <c r="L13" s="49">
        <f>C13/IF(B13&lt;='VALOR POR PL'!$P$5,IFERROR(INDEX('"INCC-FGV"'!$B$2:$B$800,MATCH(B13,'"INCC-FGV"'!$A$2:$A$800,0)),$K$2),$K$2)</f>
        <v/>
      </c>
      <c r="M13" s="131">
        <f>'CP RESUMO'!L6</f>
        <v/>
      </c>
      <c r="N13" s="132">
        <f>MAX(0,M13-M12)</f>
        <v/>
      </c>
      <c r="O13" s="131">
        <f>IF(B13&lt;='VALOR POR PL'!$P$5,'CP RESUMO'!L48,"")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RESUMO'!$D$48:$BW$48,MATCH('VALOR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RESUMO'!M6</f>
        <v/>
      </c>
      <c r="N14" s="132">
        <f>MAX(0,M14-M13)</f>
        <v/>
      </c>
      <c r="O14" s="131">
        <f>IF(B14&lt;='VALOR POR PL'!$P$5,'CP RESUMO'!M48,"")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RESUMO'!N6</f>
        <v/>
      </c>
      <c r="N15" s="132">
        <f>MAX(0,M15-M14)</f>
        <v/>
      </c>
      <c r="O15" s="131">
        <f>IF(B15&lt;='VALOR POR PL'!$P$5,'CP RESUMO'!N48,"")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RESUMO'!O6</f>
        <v/>
      </c>
      <c r="N16" s="132">
        <f>MAX(0,M16-M15)</f>
        <v/>
      </c>
      <c r="O16" s="131">
        <f>IF(B16&lt;='VALOR POR PL'!$P$5,'CP RESUMO'!O48,"")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RESUMO'!P6</f>
        <v/>
      </c>
      <c r="N17" s="132">
        <f>MAX(0,M17-M16)</f>
        <v/>
      </c>
      <c r="O17" s="131">
        <f>IF(B17&lt;='VALOR POR PL'!$P$5,'CP RESUMO'!P48,"")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RESUMO'!Q6</f>
        <v/>
      </c>
      <c r="N18" s="132">
        <f>MAX(0,M18-M17)</f>
        <v/>
      </c>
      <c r="O18" s="131">
        <f>IF(B18&lt;='VALOR POR PL'!$P$5,'CP RESUMO'!Q48,"")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RESUMO'!R6</f>
        <v/>
      </c>
      <c r="N19" s="132">
        <f>MAX(0,M19-M18)</f>
        <v/>
      </c>
      <c r="O19" s="131">
        <f>IF(B19&lt;='VALOR POR PL'!$P$5,'CP RESUMO'!R48,"")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RESUMO'!S6</f>
        <v/>
      </c>
      <c r="N20" s="132">
        <f>MAX(0,M20-M19)</f>
        <v/>
      </c>
      <c r="O20" s="131">
        <f>IF(B20&lt;='VALOR POR PL'!$P$5,'CP RESUMO'!S48,"")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RESUMO'!T6</f>
        <v/>
      </c>
      <c r="N21" s="132">
        <f>MAX(0,M21-M20)</f>
        <v/>
      </c>
      <c r="O21" s="131">
        <f>IF(B21&lt;='VALOR POR PL'!$P$5,'CP RESUMO'!T48,"")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RESUMO'!U6</f>
        <v/>
      </c>
      <c r="N22" s="132">
        <f>MAX(0,M22-M21)</f>
        <v/>
      </c>
      <c r="O22" s="131">
        <f>IF(B22&lt;='VALOR POR PL'!$P$5,'CP RESUMO'!U48,"")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RESUMO'!V6</f>
        <v/>
      </c>
      <c r="N23" s="132">
        <f>MAX(0,M23-M22)</f>
        <v/>
      </c>
      <c r="O23" s="131">
        <f>IF(B23&lt;='VALOR POR PL'!$P$5,'CP RESUMO'!V48,"")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Sem aba no arquivo original: projeção = orçamento reajustado pelo INCC do corte; saldo em curva linear até dez/2028 (premissa dos indiretos). Confirmar.</t>
        </is>
      </c>
      <c r="L24" s="49">
        <f>C24/IF(B24&lt;='VALOR POR PL'!$P$5,IFERROR(INDEX('"INCC-FGV"'!$B$2:$B$800,MATCH(B24,'"INCC-FGV"'!$A$2:$A$800,0)),$K$2),$K$2)</f>
        <v/>
      </c>
      <c r="M24" s="131">
        <f>'CP RESUMO'!W6</f>
        <v/>
      </c>
      <c r="N24" s="132">
        <f>MAX(0,M24-M23)</f>
        <v/>
      </c>
      <c r="O24" s="131">
        <f>IF(B24&lt;='VALOR POR PL'!$P$5,'CP RESUMO'!W48,"")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RESUMO'!X6</f>
        <v/>
      </c>
      <c r="N25" s="132">
        <f>MAX(0,M25-M24)</f>
        <v/>
      </c>
      <c r="O25" s="131">
        <f>IF(B25&lt;='VALOR POR PL'!$P$5,'CP RESUMO'!X48,"")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1510.31</v>
      </c>
      <c r="L26" s="49">
        <f>C26/IF(B26&lt;='VALOR POR PL'!$P$5,IFERROR(INDEX('"INCC-FGV"'!$B$2:$B$800,MATCH(B26,'"INCC-FGV"'!$A$2:$A$800,0)),$K$2),$K$2)</f>
        <v/>
      </c>
      <c r="M26" s="131">
        <f>'CP RESUMO'!Y6</f>
        <v/>
      </c>
      <c r="N26" s="132">
        <f>MAX(0,M26-M25)</f>
        <v/>
      </c>
      <c r="O26" s="131">
        <f>IF(B26&lt;='VALOR POR PL'!$P$5,'CP RESUMO'!Y48,"")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1510.31</v>
      </c>
      <c r="L27" s="49">
        <f>C27/IF(B27&lt;='VALOR POR PL'!$P$5,IFERROR(INDEX('"INCC-FGV"'!$B$2:$B$800,MATCH(B27,'"INCC-FGV"'!$A$2:$A$800,0)),$K$2),$K$2)</f>
        <v/>
      </c>
      <c r="M27" s="131">
        <f>'CP RESUMO'!Z6</f>
        <v/>
      </c>
      <c r="N27" s="132">
        <f>MAX(0,M27-M26)</f>
        <v/>
      </c>
      <c r="O27" s="131">
        <f>IF(B27&lt;='VALOR POR PL'!$P$5,'CP RESUMO'!Z48,"")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1510.31</v>
      </c>
      <c r="L28" s="49">
        <f>C28/IF(B28&lt;='VALOR POR PL'!$P$5,IFERROR(INDEX('"INCC-FGV"'!$B$2:$B$800,MATCH(B28,'"INCC-FGV"'!$A$2:$A$800,0)),$K$2),$K$2)</f>
        <v/>
      </c>
      <c r="M28" s="131">
        <f>'CP RESUMO'!AA6</f>
        <v/>
      </c>
      <c r="N28" s="132">
        <f>MAX(0,M28-M27)</f>
        <v/>
      </c>
      <c r="O28" s="131">
        <f>IF(B28&lt;='VALOR POR PL'!$P$5,'CP RESUMO'!AA48,"")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1510.31</v>
      </c>
      <c r="L29" s="49">
        <f>C29/IF(B29&lt;='VALOR POR PL'!$P$5,IFERROR(INDEX('"INCC-FGV"'!$B$2:$B$800,MATCH(B29,'"INCC-FGV"'!$A$2:$A$800,0)),$K$2),$K$2)</f>
        <v/>
      </c>
      <c r="M29" s="131">
        <f>'CP RESUMO'!AB6</f>
        <v/>
      </c>
      <c r="N29" s="132">
        <f>MAX(0,M29-M28)</f>
        <v/>
      </c>
      <c r="O29" s="131">
        <f>IF(B29&lt;='VALOR POR PL'!$P$5,'CP RESUMO'!AB48,"")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1510.31</v>
      </c>
      <c r="L30" s="49">
        <f>C30/IF(B30&lt;='VALOR POR PL'!$P$5,IFERROR(INDEX('"INCC-FGV"'!$B$2:$B$800,MATCH(B30,'"INCC-FGV"'!$A$2:$A$800,0)),$K$2),$K$2)</f>
        <v/>
      </c>
      <c r="M30" s="131">
        <f>'CP RESUMO'!AC6</f>
        <v/>
      </c>
      <c r="N30" s="132">
        <f>MAX(0,M30-M29)</f>
        <v/>
      </c>
      <c r="O30" s="131">
        <f>IF(B30&lt;='VALOR POR PL'!$P$5,'CP RESUMO'!AC48,"")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1510.31</v>
      </c>
      <c r="L31" s="49">
        <f>C31/IF(B31&lt;='VALOR POR PL'!$P$5,IFERROR(INDEX('"INCC-FGV"'!$B$2:$B$800,MATCH(B31,'"INCC-FGV"'!$A$2:$A$800,0)),$K$2),$K$2)</f>
        <v/>
      </c>
      <c r="M31" s="131">
        <f>'CP RESUMO'!AD6</f>
        <v/>
      </c>
      <c r="N31" s="132">
        <f>MAX(0,M31-M30)</f>
        <v/>
      </c>
      <c r="O31" s="131">
        <f>IF(B31&lt;='VALOR POR PL'!$P$5,'CP RESUMO'!AD48,"")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1510.31</v>
      </c>
      <c r="L32" s="49">
        <f>C32/IF(B32&lt;='VALOR POR PL'!$P$5,IFERROR(INDEX('"INCC-FGV"'!$B$2:$B$800,MATCH(B32,'"INCC-FGV"'!$A$2:$A$800,0)),$K$2),$K$2)</f>
        <v/>
      </c>
      <c r="M32" s="131">
        <f>'CP RESUMO'!AE6</f>
        <v/>
      </c>
      <c r="N32" s="132">
        <f>MAX(0,M32-M31)</f>
        <v/>
      </c>
      <c r="O32" s="131">
        <f>IF(B32&lt;='VALOR POR PL'!$P$5,'CP RESUMO'!AE48,"")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1510.31</v>
      </c>
      <c r="L33" s="49">
        <f>C33/IF(B33&lt;='VALOR POR PL'!$P$5,IFERROR(INDEX('"INCC-FGV"'!$B$2:$B$800,MATCH(B33,'"INCC-FGV"'!$A$2:$A$800,0)),$K$2),$K$2)</f>
        <v/>
      </c>
      <c r="M33" s="131">
        <f>'CP RESUMO'!AF6</f>
        <v/>
      </c>
      <c r="N33" s="132">
        <f>MAX(0,M33-M32)</f>
        <v/>
      </c>
      <c r="O33" s="131">
        <f>IF(B33&lt;='VALOR POR PL'!$P$5,'CP RESUMO'!AF48,"")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1510.31</v>
      </c>
      <c r="L34" s="49">
        <f>C34/IF(B34&lt;='VALOR POR PL'!$P$5,IFERROR(INDEX('"INCC-FGV"'!$B$2:$B$800,MATCH(B34,'"INCC-FGV"'!$A$2:$A$800,0)),$K$2),$K$2)</f>
        <v/>
      </c>
      <c r="M34" s="131">
        <f>'CP RESUMO'!AG6</f>
        <v/>
      </c>
      <c r="N34" s="132">
        <f>MAX(0,M34-M33)</f>
        <v/>
      </c>
      <c r="O34" s="131">
        <f>IF(B34&lt;='VALOR POR PL'!$P$5,'CP RESUMO'!AG48,"")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1510.31</v>
      </c>
      <c r="L35" s="49">
        <f>C35/IF(B35&lt;='VALOR POR PL'!$P$5,IFERROR(INDEX('"INCC-FGV"'!$B$2:$B$800,MATCH(B35,'"INCC-FGV"'!$A$2:$A$800,0)),$K$2),$K$2)</f>
        <v/>
      </c>
      <c r="M35" s="131">
        <f>'CP RESUMO'!AH6</f>
        <v/>
      </c>
      <c r="N35" s="132">
        <f>MAX(0,M35-M34)</f>
        <v/>
      </c>
      <c r="O35" s="131">
        <f>IF(B35&lt;='VALOR POR PL'!$P$5,'CP RESUMO'!AH48,"")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1510.31</v>
      </c>
      <c r="L36" s="49">
        <f>C36/IF(B36&lt;='VALOR POR PL'!$P$5,IFERROR(INDEX('"INCC-FGV"'!$B$2:$B$800,MATCH(B36,'"INCC-FGV"'!$A$2:$A$800,0)),$K$2),$K$2)</f>
        <v/>
      </c>
      <c r="M36" s="131">
        <f>'CP RESUMO'!AI6</f>
        <v/>
      </c>
      <c r="N36" s="132">
        <f>MAX(0,M36-M35)</f>
        <v/>
      </c>
      <c r="O36" s="131">
        <f>IF(B36&lt;='VALOR POR PL'!$P$5,'CP RESUMO'!AI48,"")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1510.31</v>
      </c>
      <c r="L37" s="49">
        <f>C37/IF(B37&lt;='VALOR POR PL'!$P$5,IFERROR(INDEX('"INCC-FGV"'!$B$2:$B$800,MATCH(B37,'"INCC-FGV"'!$A$2:$A$800,0)),$K$2),$K$2)</f>
        <v/>
      </c>
      <c r="M37" s="131">
        <f>'CP RESUMO'!AJ6</f>
        <v/>
      </c>
      <c r="N37" s="132">
        <f>MAX(0,M37-M36)</f>
        <v/>
      </c>
      <c r="O37" s="131">
        <f>IF(B37&lt;='VALOR POR PL'!$P$5,'CP RESUMO'!AJ48,"")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1510.31</v>
      </c>
      <c r="L38" s="49">
        <f>C38/IF(B38&lt;='VALOR POR PL'!$P$5,IFERROR(INDEX('"INCC-FGV"'!$B$2:$B$800,MATCH(B38,'"INCC-FGV"'!$A$2:$A$800,0)),$K$2),$K$2)</f>
        <v/>
      </c>
      <c r="M38" s="131">
        <f>'CP RESUMO'!AK6</f>
        <v/>
      </c>
      <c r="N38" s="132">
        <f>MAX(0,M38-M37)</f>
        <v/>
      </c>
      <c r="O38" s="131">
        <f>IF(B38&lt;='VALOR POR PL'!$P$5,'CP RESUMO'!AK48,"")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1510.31</v>
      </c>
      <c r="L39" s="49">
        <f>C39/IF(B39&lt;='VALOR POR PL'!$P$5,IFERROR(INDEX('"INCC-FGV"'!$B$2:$B$800,MATCH(B39,'"INCC-FGV"'!$A$2:$A$800,0)),$K$2),$K$2)</f>
        <v/>
      </c>
      <c r="M39" s="131">
        <f>'CP RESUMO'!AL6</f>
        <v/>
      </c>
      <c r="N39" s="132">
        <f>MAX(0,M39-M38)</f>
        <v/>
      </c>
      <c r="O39" s="131">
        <f>IF(B39&lt;='VALOR POR PL'!$P$5,'CP RESUMO'!AL48,"")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1510.31</v>
      </c>
      <c r="L40" s="49">
        <f>C40/IF(B40&lt;='VALOR POR PL'!$P$5,IFERROR(INDEX('"INCC-FGV"'!$B$2:$B$800,MATCH(B40,'"INCC-FGV"'!$A$2:$A$800,0)),$K$2),$K$2)</f>
        <v/>
      </c>
      <c r="M40" s="131">
        <f>'CP RESUMO'!AM6</f>
        <v/>
      </c>
      <c r="N40" s="132">
        <f>MAX(0,M40-M39)</f>
        <v/>
      </c>
      <c r="O40" s="131">
        <f>IF(B40&lt;='VALOR POR PL'!$P$5,'CP RESUMO'!AM48,"")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1510.31</v>
      </c>
      <c r="L41" s="49">
        <f>C41/IF(B41&lt;='VALOR POR PL'!$P$5,IFERROR(INDEX('"INCC-FGV"'!$B$2:$B$800,MATCH(B41,'"INCC-FGV"'!$A$2:$A$800,0)),$K$2),$K$2)</f>
        <v/>
      </c>
      <c r="M41" s="131">
        <f>'CP RESUMO'!AN6</f>
        <v/>
      </c>
      <c r="N41" s="132">
        <f>MAX(0,M41-M40)</f>
        <v/>
      </c>
      <c r="O41" s="131">
        <f>IF(B41&lt;='VALOR POR PL'!$P$5,'CP RESUMO'!AN48,"")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1510.31</v>
      </c>
      <c r="L42" s="49">
        <f>C42/IF(B42&lt;='VALOR POR PL'!$P$5,IFERROR(INDEX('"INCC-FGV"'!$B$2:$B$800,MATCH(B42,'"INCC-FGV"'!$A$2:$A$800,0)),$K$2),$K$2)</f>
        <v/>
      </c>
      <c r="M42" s="131">
        <f>'CP RESUMO'!AO6</f>
        <v/>
      </c>
      <c r="N42" s="132">
        <f>MAX(0,M42-M41)</f>
        <v/>
      </c>
      <c r="O42" s="131">
        <f>IF(B42&lt;='VALOR POR PL'!$P$5,'CP RESUMO'!AO48,"")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1510.31</v>
      </c>
      <c r="L43" s="49">
        <f>C43/IF(B43&lt;='VALOR POR PL'!$P$5,IFERROR(INDEX('"INCC-FGV"'!$B$2:$B$800,MATCH(B43,'"INCC-FGV"'!$A$2:$A$800,0)),$K$2),$K$2)</f>
        <v/>
      </c>
      <c r="M43" s="131">
        <f>'CP RESUMO'!AP6</f>
        <v/>
      </c>
      <c r="N43" s="132">
        <f>MAX(0,M43-M42)</f>
        <v/>
      </c>
      <c r="O43" s="131">
        <f>IF(B43&lt;='VALOR POR PL'!$P$5,'CP RESUMO'!AP48,"")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1510.31</v>
      </c>
      <c r="L44" s="49">
        <f>C44/IF(B44&lt;='VALOR POR PL'!$P$5,IFERROR(INDEX('"INCC-FGV"'!$B$2:$B$800,MATCH(B44,'"INCC-FGV"'!$A$2:$A$800,0)),$K$2),$K$2)</f>
        <v/>
      </c>
      <c r="M44" s="131">
        <f>'CP RESUMO'!AQ6</f>
        <v/>
      </c>
      <c r="N44" s="132">
        <f>MAX(0,M44-M43)</f>
        <v/>
      </c>
      <c r="O44" s="131">
        <f>IF(B44&lt;='VALOR POR PL'!$P$5,'CP RESUMO'!AQ48,"")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1510.31</v>
      </c>
      <c r="L45" s="49">
        <f>C45/IF(B45&lt;='VALOR POR PL'!$P$5,IFERROR(INDEX('"INCC-FGV"'!$B$2:$B$800,MATCH(B45,'"INCC-FGV"'!$A$2:$A$800,0)),$K$2),$K$2)</f>
        <v/>
      </c>
      <c r="M45" s="131">
        <f>'CP RESUMO'!AR6</f>
        <v/>
      </c>
      <c r="N45" s="132">
        <f>MAX(0,M45-M44)</f>
        <v/>
      </c>
      <c r="O45" s="131">
        <f>IF(B45&lt;='VALOR POR PL'!$P$5,'CP RESUMO'!AR48,"")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1510.31</v>
      </c>
      <c r="L46" s="49">
        <f>C46/IF(B46&lt;='VALOR POR PL'!$P$5,IFERROR(INDEX('"INCC-FGV"'!$B$2:$B$800,MATCH(B46,'"INCC-FGV"'!$A$2:$A$800,0)),$K$2),$K$2)</f>
        <v/>
      </c>
      <c r="M46" s="131">
        <f>'CP RESUMO'!AS6</f>
        <v/>
      </c>
      <c r="N46" s="132">
        <f>MAX(0,M46-M45)</f>
        <v/>
      </c>
      <c r="O46" s="131">
        <f>IF(B46&lt;='VALOR POR PL'!$P$5,'CP RESUMO'!AS48,"")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1510.31</v>
      </c>
      <c r="L47" s="49">
        <f>C47/IF(B47&lt;='VALOR POR PL'!$P$5,IFERROR(INDEX('"INCC-FGV"'!$B$2:$B$800,MATCH(B47,'"INCC-FGV"'!$A$2:$A$800,0)),$K$2),$K$2)</f>
        <v/>
      </c>
      <c r="M47" s="131">
        <f>'CP RESUMO'!AT6</f>
        <v/>
      </c>
      <c r="N47" s="132">
        <f>MAX(0,M47-M46)</f>
        <v/>
      </c>
      <c r="O47" s="131">
        <f>IF(B47&lt;='VALOR POR PL'!$P$5,'CP RESUMO'!AT48,"")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1510.31</v>
      </c>
      <c r="L48" s="49">
        <f>C48/IF(B48&lt;='VALOR POR PL'!$P$5,IFERROR(INDEX('"INCC-FGV"'!$B$2:$B$800,MATCH(B48,'"INCC-FGV"'!$A$2:$A$800,0)),$K$2),$K$2)</f>
        <v/>
      </c>
      <c r="M48" s="131">
        <f>'CP RESUMO'!AU6</f>
        <v/>
      </c>
      <c r="N48" s="132">
        <f>MAX(0,M48-M47)</f>
        <v/>
      </c>
      <c r="O48" s="131">
        <f>IF(B48&lt;='VALOR POR PL'!$P$5,'CP RESUMO'!AU48,"")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1510.31</v>
      </c>
      <c r="L49" s="49">
        <f>C49/IF(B49&lt;='VALOR POR PL'!$P$5,IFERROR(INDEX('"INCC-FGV"'!$B$2:$B$800,MATCH(B49,'"INCC-FGV"'!$A$2:$A$800,0)),$K$2),$K$2)</f>
        <v/>
      </c>
      <c r="M49" s="131">
        <f>'CP RESUMO'!AV6</f>
        <v/>
      </c>
      <c r="N49" s="132">
        <f>MAX(0,M49-M48)</f>
        <v/>
      </c>
      <c r="O49" s="131">
        <f>IF(B49&lt;='VALOR POR PL'!$P$5,'CP RESUMO'!AV48,"")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1510.31</v>
      </c>
      <c r="L50" s="49">
        <f>C50/IF(B50&lt;='VALOR POR PL'!$P$5,IFERROR(INDEX('"INCC-FGV"'!$B$2:$B$800,MATCH(B50,'"INCC-FGV"'!$A$2:$A$800,0)),$K$2),$K$2)</f>
        <v/>
      </c>
      <c r="M50" s="131">
        <f>'CP RESUMO'!AW6</f>
        <v/>
      </c>
      <c r="N50" s="132">
        <f>MAX(0,M50-M49)</f>
        <v/>
      </c>
      <c r="O50" s="131">
        <f>IF(B50&lt;='VALOR POR PL'!$P$5,'CP RESUMO'!AW48,"")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1510.31</v>
      </c>
      <c r="L51" s="49">
        <f>C51/IF(B51&lt;='VALOR POR PL'!$P$5,IFERROR(INDEX('"INCC-FGV"'!$B$2:$B$800,MATCH(B51,'"INCC-FGV"'!$A$2:$A$800,0)),$K$2),$K$2)</f>
        <v/>
      </c>
      <c r="M51" s="131">
        <f>'CP RESUMO'!AX6</f>
        <v/>
      </c>
      <c r="N51" s="132">
        <f>MAX(0,M51-M50)</f>
        <v/>
      </c>
      <c r="O51" s="131">
        <f>IF(B51&lt;='VALOR POR PL'!$P$5,'CP RESUMO'!AX48,"")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1510.31</v>
      </c>
      <c r="L52" s="49">
        <f>C52/IF(B52&lt;='VALOR POR PL'!$P$5,IFERROR(INDEX('"INCC-FGV"'!$B$2:$B$800,MATCH(B52,'"INCC-FGV"'!$A$2:$A$800,0)),$K$2),$K$2)</f>
        <v/>
      </c>
      <c r="M52" s="131">
        <f>'CP RESUMO'!AY6</f>
        <v/>
      </c>
      <c r="N52" s="132">
        <f>MAX(0,M52-M51)</f>
        <v/>
      </c>
      <c r="O52" s="131">
        <f>IF(B52&lt;='VALOR POR PL'!$P$5,'CP RESUMO'!AY48,"")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>
        <v>1510.31</v>
      </c>
      <c r="L53" s="49">
        <f>C53/IF(B53&lt;='VALOR POR PL'!$P$5,IFERROR(INDEX('"INCC-FGV"'!$B$2:$B$800,MATCH(B53,'"INCC-FGV"'!$A$2:$A$800,0)),$K$2),$K$2)</f>
        <v/>
      </c>
      <c r="M53" s="131">
        <f>'CP RESUMO'!AZ6</f>
        <v/>
      </c>
      <c r="N53" s="132">
        <f>MAX(0,M53-M52)</f>
        <v/>
      </c>
      <c r="O53" s="131">
        <f>IF(B53&lt;='VALOR POR PL'!$P$5,'CP RESUMO'!AZ48,"")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RESUMO'!BA6</f>
        <v/>
      </c>
      <c r="N54" s="132">
        <f>MAX(0,M54-M53)</f>
        <v/>
      </c>
      <c r="O54" s="131">
        <f>IF(B54&lt;='VALOR POR PL'!$P$5,'CP RESUMO'!BA48,"")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RESUMO'!BB6</f>
        <v/>
      </c>
      <c r="N55" s="132">
        <f>MAX(0,M55-M54)</f>
        <v/>
      </c>
      <c r="O55" s="131">
        <f>IF(B55&lt;='VALOR POR PL'!$P$5,'CP RESUMO'!BB48,"")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RESUMO'!BC6</f>
        <v/>
      </c>
      <c r="N56" s="132">
        <f>MAX(0,M56-M55)</f>
        <v/>
      </c>
      <c r="O56" s="131">
        <f>IF(B56&lt;='VALOR POR PL'!$P$5,'CP RESUMO'!BC48,"")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RESUMO'!BD6</f>
        <v/>
      </c>
      <c r="N57" s="132">
        <f>MAX(0,M57-M56)</f>
        <v/>
      </c>
      <c r="O57" s="131">
        <f>IF(B57&lt;='VALOR POR PL'!$P$5,'CP RESUMO'!BD48,"")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RESUMO'!BE6</f>
        <v/>
      </c>
      <c r="N58" s="132">
        <f>MAX(0,M58-M57)</f>
        <v/>
      </c>
      <c r="O58" s="131">
        <f>IF(B58&lt;='VALOR POR PL'!$P$5,'CP RESUMO'!BE48,"")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RESUMO'!BF6</f>
        <v/>
      </c>
      <c r="N59" s="132">
        <f>MAX(0,M59-M58)</f>
        <v/>
      </c>
      <c r="O59" s="131">
        <f>IF(B59&lt;='VALOR POR PL'!$P$5,'CP RESUMO'!BF48,"")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RESUMO'!BG6</f>
        <v/>
      </c>
      <c r="N60" s="132">
        <f>MAX(0,M60-M59)</f>
        <v/>
      </c>
      <c r="O60" s="131">
        <f>IF(B60&lt;='VALOR POR PL'!$P$5,'CP RESUMO'!BG48,"")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RESUMO'!BH6</f>
        <v/>
      </c>
      <c r="N61" s="132">
        <f>MAX(0,M61-M60)</f>
        <v/>
      </c>
      <c r="O61" s="131">
        <f>IF(B61&lt;='VALOR POR PL'!$P$5,'CP RESUMO'!BH48,"")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RESUMO'!BI6</f>
        <v/>
      </c>
      <c r="N62" s="132">
        <f>MAX(0,M62-M61)</f>
        <v/>
      </c>
      <c r="O62" s="131">
        <f>IF(B62&lt;='VALOR POR PL'!$P$5,'CP RESUMO'!BI48,"")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RESUMO'!BJ6</f>
        <v/>
      </c>
      <c r="N63" s="132">
        <f>MAX(0,M63-M62)</f>
        <v/>
      </c>
      <c r="O63" s="131">
        <f>IF(B63&lt;='VALOR POR PL'!$P$5,'CP RESUMO'!BJ48,"")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RESUMO'!BK6</f>
        <v/>
      </c>
      <c r="N64" s="132">
        <f>MAX(0,M64-M63)</f>
        <v/>
      </c>
      <c r="O64" s="131">
        <f>IF(B64&lt;='VALOR POR PL'!$P$5,'CP RESUMO'!BK48,"")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RESUMO'!BL6</f>
        <v/>
      </c>
      <c r="N65" s="132">
        <f>MAX(0,M65-M64)</f>
        <v/>
      </c>
      <c r="O65" s="131">
        <f>IF(B65&lt;='VALOR POR PL'!$P$5,'CP RESUMO'!BL48,"")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RESUMO'!BM6</f>
        <v/>
      </c>
      <c r="N66" s="132">
        <f>MAX(0,M66-M65)</f>
        <v/>
      </c>
      <c r="O66" s="131">
        <f>IF(B66&lt;='VALOR POR PL'!$P$5,'CP RESUMO'!BM48,"")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RESUMO'!BN6</f>
        <v/>
      </c>
      <c r="N67" s="132">
        <f>MAX(0,M67-M66)</f>
        <v/>
      </c>
      <c r="O67" s="131">
        <f>IF(B67&lt;='VALOR POR PL'!$P$5,'CP RESUMO'!BN48,"")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RESUMO'!BO6</f>
        <v/>
      </c>
      <c r="N68" s="132">
        <f>MAX(0,M68-M67)</f>
        <v/>
      </c>
      <c r="O68" s="131">
        <f>IF(B68&lt;='VALOR POR PL'!$P$5,'CP RESUMO'!BO48,"")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RESUMO'!BP6</f>
        <v/>
      </c>
      <c r="N69" s="132">
        <f>MAX(0,M69-M68)</f>
        <v/>
      </c>
      <c r="O69" s="131">
        <f>IF(B69&lt;='VALOR POR PL'!$P$5,'CP RESUMO'!BP48,"")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RESUMO'!BQ6</f>
        <v/>
      </c>
      <c r="N70" s="132">
        <f>MAX(0,M70-M69)</f>
        <v/>
      </c>
      <c r="O70" s="131">
        <f>IF(B70&lt;='VALOR POR PL'!$P$5,'CP RESUMO'!BQ48,"")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RESUMO'!BR6</f>
        <v/>
      </c>
      <c r="N71" s="132">
        <f>MAX(0,M71-M70)</f>
        <v/>
      </c>
      <c r="O71" s="131">
        <f>IF(B71&lt;='VALOR POR PL'!$P$5,'CP RESUMO'!BR48,"")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RESUMO'!BS6</f>
        <v/>
      </c>
      <c r="N72" s="132">
        <f>MAX(0,M72-M71)</f>
        <v/>
      </c>
      <c r="O72" s="131">
        <f>IF(B72&lt;='VALOR POR PL'!$P$5,'CP RESUMO'!BS48,"")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RESUMO'!BT6</f>
        <v/>
      </c>
      <c r="N73" s="132">
        <f>MAX(0,M73-M72)</f>
        <v/>
      </c>
      <c r="O73" s="131">
        <f>IF(B73&lt;='VALOR POR PL'!$P$5,'CP RESUMO'!BT48,"")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RESUMO'!BU6</f>
        <v/>
      </c>
      <c r="N74" s="132">
        <f>MAX(0,M74-M73)</f>
        <v/>
      </c>
      <c r="O74" s="131">
        <f>IF(B74&lt;='VALOR POR PL'!$P$5,'CP RESUMO'!BU48,"")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RESUMO'!BV6</f>
        <v/>
      </c>
      <c r="N75" s="132">
        <f>MAX(0,M75-M74)</f>
        <v/>
      </c>
      <c r="O75" s="131">
        <f>IF(B75&lt;='VALOR POR PL'!$P$5,'CP RESUMO'!BV48,"")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RESUMO'!BW6</f>
        <v/>
      </c>
      <c r="N76" s="132">
        <f>MAX(0,M76-M75)</f>
        <v/>
      </c>
      <c r="O76" s="131">
        <f>IF(B76&lt;='VALOR POR PL'!$P$5,'CP RESUMO'!BW48,"")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HISTORICOS'!D7)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PL'!F13</f>
        <v/>
      </c>
      <c r="K5" s="60">
        <f>'VALOR POR PL'!G13</f>
        <v/>
      </c>
      <c r="L5" s="60">
        <f>'DADOS HISTORICOS'!$BZ$7</f>
        <v/>
      </c>
      <c r="M5" s="131">
        <f>'CP RESUMO'!D7</f>
        <v/>
      </c>
      <c r="N5" s="132" t="n">
        <v>0</v>
      </c>
      <c r="O5" s="131">
        <f>IF(B5&lt;='VALOR POR PL'!$P$5,'CP RESUMO'!D49,"")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HISTORICOS'!E7)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PL'!H13</f>
        <v/>
      </c>
      <c r="L6" s="49">
        <f>C6/IF(B6&lt;='VALOR POR PL'!$P$5,IFERROR(INDEX('"INCC-FGV"'!$B$2:$B$800,MATCH(B6,'"INCC-FGV"'!$A$2:$A$800,0)),$K$2),$K$2)</f>
        <v/>
      </c>
      <c r="M6" s="131">
        <f>'CP RESUMO'!E7</f>
        <v/>
      </c>
      <c r="N6" s="132">
        <f>MAX(0,M6-M5)</f>
        <v/>
      </c>
      <c r="O6" s="131">
        <f>IF(B6&lt;='VALOR POR PL'!$P$5,'CP RESUMO'!E49,"")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HISTORICOS'!F7)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RESUMO'!F7</f>
        <v/>
      </c>
      <c r="N7" s="132">
        <f>MAX(0,M7-M6)</f>
        <v/>
      </c>
      <c r="O7" s="131">
        <f>IF(B7&lt;='VALOR POR PL'!$P$5,'CP RESUMO'!F49,"")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HISTORICOS'!G7)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RESUMO'!G7</f>
        <v/>
      </c>
      <c r="N8" s="132">
        <f>MAX(0,M8-M7)</f>
        <v/>
      </c>
      <c r="O8" s="131">
        <f>IF(B8&lt;='VALOR POR PL'!$P$5,'CP RESUMO'!G49,"")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HISTORICOS'!H7)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RESUMO'!H7</f>
        <v/>
      </c>
      <c r="N9" s="132">
        <f>MAX(0,M9-M8)</f>
        <v/>
      </c>
      <c r="O9" s="131">
        <f>IF(B9&lt;='VALOR POR PL'!$P$5,'CP RESUMO'!H49,"")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RESUMO'!I7</f>
        <v/>
      </c>
      <c r="N10" s="132">
        <f>MAX(0,M10-M9)</f>
        <v/>
      </c>
      <c r="O10" s="131">
        <f>IF(B10&lt;='VALOR POR PL'!$P$5,'CP RESUMO'!I49,"")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RESUMO'!J7</f>
        <v/>
      </c>
      <c r="N11" s="132">
        <f>MAX(0,M11-M10)</f>
        <v/>
      </c>
      <c r="O11" s="131">
        <f>IF(B11&lt;='VALOR POR PL'!$P$5,'CP RESUMO'!J49,"")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RESUMO'!K7</f>
        <v/>
      </c>
      <c r="N12" s="132">
        <f>MAX(0,M12-M11)</f>
        <v/>
      </c>
      <c r="O12" s="131">
        <f>IF(B12&lt;='VALOR POR PL'!$P$5,'CP RESUMO'!K49,"")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PL'!I13</f>
        <v/>
      </c>
      <c r="L13" s="49">
        <f>C13/IF(B13&lt;='VALOR POR PL'!$P$5,IFERROR(INDEX('"INCC-FGV"'!$B$2:$B$800,MATCH(B13,'"INCC-FGV"'!$A$2:$A$800,0)),$K$2),$K$2)</f>
        <v/>
      </c>
      <c r="M13" s="131">
        <f>'CP RESUMO'!L7</f>
        <v/>
      </c>
      <c r="N13" s="132">
        <f>MAX(0,M13-M12)</f>
        <v/>
      </c>
      <c r="O13" s="131">
        <f>IF(B13&lt;='VALOR POR PL'!$P$5,'CP RESUMO'!L49,"")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RESUMO'!$D$49:$BW$49,MATCH('VALOR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RESUMO'!M7</f>
        <v/>
      </c>
      <c r="N14" s="132">
        <f>MAX(0,M14-M13)</f>
        <v/>
      </c>
      <c r="O14" s="131">
        <f>IF(B14&lt;='VALOR POR PL'!$P$5,'CP RESUMO'!M49,"")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RESUMO'!N7</f>
        <v/>
      </c>
      <c r="N15" s="132">
        <f>MAX(0,M15-M14)</f>
        <v/>
      </c>
      <c r="O15" s="131">
        <f>IF(B15&lt;='VALOR POR PL'!$P$5,'CP RESUMO'!N49,"")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RESUMO'!O7</f>
        <v/>
      </c>
      <c r="N16" s="132">
        <f>MAX(0,M16-M15)</f>
        <v/>
      </c>
      <c r="O16" s="131">
        <f>IF(B16&lt;='VALOR POR PL'!$P$5,'CP RESUMO'!O49,"")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RESUMO'!P7</f>
        <v/>
      </c>
      <c r="N17" s="132">
        <f>MAX(0,M17-M16)</f>
        <v/>
      </c>
      <c r="O17" s="131">
        <f>IF(B17&lt;='VALOR POR PL'!$P$5,'CP RESUMO'!P49,"")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RESUMO'!Q7</f>
        <v/>
      </c>
      <c r="N18" s="132">
        <f>MAX(0,M18-M17)</f>
        <v/>
      </c>
      <c r="O18" s="131">
        <f>IF(B18&lt;='VALOR POR PL'!$P$5,'CP RESUMO'!Q49,"")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RESUMO'!R7</f>
        <v/>
      </c>
      <c r="N19" s="132">
        <f>MAX(0,M19-M18)</f>
        <v/>
      </c>
      <c r="O19" s="131">
        <f>IF(B19&lt;='VALOR POR PL'!$P$5,'CP RESUMO'!R49,"")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RESUMO'!S7</f>
        <v/>
      </c>
      <c r="N20" s="132">
        <f>MAX(0,M20-M19)</f>
        <v/>
      </c>
      <c r="O20" s="131">
        <f>IF(B20&lt;='VALOR POR PL'!$P$5,'CP RESUMO'!S49,"")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RESUMO'!T7</f>
        <v/>
      </c>
      <c r="N21" s="132">
        <f>MAX(0,M21-M20)</f>
        <v/>
      </c>
      <c r="O21" s="131">
        <f>IF(B21&lt;='VALOR POR PL'!$P$5,'CP RESUMO'!T49,"")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RESUMO'!U7</f>
        <v/>
      </c>
      <c r="N22" s="132">
        <f>MAX(0,M22-M21)</f>
        <v/>
      </c>
      <c r="O22" s="131">
        <f>IF(B22&lt;='VALOR POR PL'!$P$5,'CP RESUMO'!U49,"")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RESUMO'!V7</f>
        <v/>
      </c>
      <c r="N23" s="132">
        <f>MAX(0,M23-M22)</f>
        <v/>
      </c>
      <c r="O23" s="131">
        <f>IF(B23&lt;='VALOR POR PL'!$P$5,'CP RESUMO'!V49,"")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RESUMO'!W7</f>
        <v/>
      </c>
      <c r="N24" s="132">
        <f>MAX(0,M24-M23)</f>
        <v/>
      </c>
      <c r="O24" s="131">
        <f>IF(B24&lt;='VALOR POR PL'!$P$5,'CP RESUMO'!W49,"")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RESUMO'!X7</f>
        <v/>
      </c>
      <c r="N25" s="132">
        <f>MAX(0,M25-M24)</f>
        <v/>
      </c>
      <c r="O25" s="131">
        <f>IF(B25&lt;='VALOR POR PL'!$P$5,'CP RESUMO'!X49,"")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927</v>
      </c>
      <c r="L26" s="49">
        <f>C26/IF(B26&lt;='VALOR POR PL'!$P$5,IFERROR(INDEX('"INCC-FGV"'!$B$2:$B$800,MATCH(B26,'"INCC-FGV"'!$A$2:$A$800,0)),$K$2),$K$2)</f>
        <v/>
      </c>
      <c r="M26" s="131">
        <f>'CP RESUMO'!Y7</f>
        <v/>
      </c>
      <c r="N26" s="132">
        <f>MAX(0,M26-M25)</f>
        <v/>
      </c>
      <c r="O26" s="131">
        <f>IF(B26&lt;='VALOR POR PL'!$P$5,'CP RESUMO'!Y49,"")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RESUMO'!Z7</f>
        <v/>
      </c>
      <c r="N27" s="132">
        <f>MAX(0,M27-M26)</f>
        <v/>
      </c>
      <c r="O27" s="131">
        <f>IF(B27&lt;='VALOR POR PL'!$P$5,'CP RESUMO'!Z49,"")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RESUMO'!AA7</f>
        <v/>
      </c>
      <c r="N28" s="132">
        <f>MAX(0,M28-M27)</f>
        <v/>
      </c>
      <c r="O28" s="131">
        <f>IF(B28&lt;='VALOR POR PL'!$P$5,'CP RESUMO'!AA49,"")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927</v>
      </c>
      <c r="L29" s="49">
        <f>C29/IF(B29&lt;='VALOR POR PL'!$P$5,IFERROR(INDEX('"INCC-FGV"'!$B$2:$B$800,MATCH(B29,'"INCC-FGV"'!$A$2:$A$800,0)),$K$2),$K$2)</f>
        <v/>
      </c>
      <c r="M29" s="131">
        <f>'CP RESUMO'!AB7</f>
        <v/>
      </c>
      <c r="N29" s="132">
        <f>MAX(0,M29-M28)</f>
        <v/>
      </c>
      <c r="O29" s="131">
        <f>IF(B29&lt;='VALOR POR PL'!$P$5,'CP RESUMO'!AB49,"")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RESUMO'!AC7</f>
        <v/>
      </c>
      <c r="N30" s="132">
        <f>MAX(0,M30-M29)</f>
        <v/>
      </c>
      <c r="O30" s="131">
        <f>IF(B30&lt;='VALOR POR PL'!$P$5,'CP RESUMO'!AC49,"")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RESUMO'!AD7</f>
        <v/>
      </c>
      <c r="N31" s="132">
        <f>MAX(0,M31-M30)</f>
        <v/>
      </c>
      <c r="O31" s="131">
        <f>IF(B31&lt;='VALOR POR PL'!$P$5,'CP RESUMO'!AD49,"")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927</v>
      </c>
      <c r="L32" s="49">
        <f>C32/IF(B32&lt;='VALOR POR PL'!$P$5,IFERROR(INDEX('"INCC-FGV"'!$B$2:$B$800,MATCH(B32,'"INCC-FGV"'!$A$2:$A$800,0)),$K$2),$K$2)</f>
        <v/>
      </c>
      <c r="M32" s="131">
        <f>'CP RESUMO'!AE7</f>
        <v/>
      </c>
      <c r="N32" s="132">
        <f>MAX(0,M32-M31)</f>
        <v/>
      </c>
      <c r="O32" s="131">
        <f>IF(B32&lt;='VALOR POR PL'!$P$5,'CP RESUMO'!AE49,"")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RESUMO'!AF7</f>
        <v/>
      </c>
      <c r="N33" s="132">
        <f>MAX(0,M33-M32)</f>
        <v/>
      </c>
      <c r="O33" s="131">
        <f>IF(B33&lt;='VALOR POR PL'!$P$5,'CP RESUMO'!AF49,"")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RESUMO'!AG7</f>
        <v/>
      </c>
      <c r="N34" s="132">
        <f>MAX(0,M34-M33)</f>
        <v/>
      </c>
      <c r="O34" s="131">
        <f>IF(B34&lt;='VALOR POR PL'!$P$5,'CP RESUMO'!AG49,"")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927</v>
      </c>
      <c r="L35" s="49">
        <f>C35/IF(B35&lt;='VALOR POR PL'!$P$5,IFERROR(INDEX('"INCC-FGV"'!$B$2:$B$800,MATCH(B35,'"INCC-FGV"'!$A$2:$A$800,0)),$K$2),$K$2)</f>
        <v/>
      </c>
      <c r="M35" s="131">
        <f>'CP RESUMO'!AH7</f>
        <v/>
      </c>
      <c r="N35" s="132">
        <f>MAX(0,M35-M34)</f>
        <v/>
      </c>
      <c r="O35" s="131">
        <f>IF(B35&lt;='VALOR POR PL'!$P$5,'CP RESUMO'!AH49,"")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RESUMO'!AI7</f>
        <v/>
      </c>
      <c r="N36" s="132">
        <f>MAX(0,M36-M35)</f>
        <v/>
      </c>
      <c r="O36" s="131">
        <f>IF(B36&lt;='VALOR POR PL'!$P$5,'CP RESUMO'!AI49,"")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RESUMO'!AJ7</f>
        <v/>
      </c>
      <c r="N37" s="132">
        <f>MAX(0,M37-M36)</f>
        <v/>
      </c>
      <c r="O37" s="131">
        <f>IF(B37&lt;='VALOR POR PL'!$P$5,'CP RESUMO'!AJ49,"")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927</v>
      </c>
      <c r="L38" s="49">
        <f>C38/IF(B38&lt;='VALOR POR PL'!$P$5,IFERROR(INDEX('"INCC-FGV"'!$B$2:$B$800,MATCH(B38,'"INCC-FGV"'!$A$2:$A$800,0)),$K$2),$K$2)</f>
        <v/>
      </c>
      <c r="M38" s="131">
        <f>'CP RESUMO'!AK7</f>
        <v/>
      </c>
      <c r="N38" s="132">
        <f>MAX(0,M38-M37)</f>
        <v/>
      </c>
      <c r="O38" s="131">
        <f>IF(B38&lt;='VALOR POR PL'!$P$5,'CP RESUMO'!AK49,"")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RESUMO'!AL7</f>
        <v/>
      </c>
      <c r="N39" s="132">
        <f>MAX(0,M39-M38)</f>
        <v/>
      </c>
      <c r="O39" s="131">
        <f>IF(B39&lt;='VALOR POR PL'!$P$5,'CP RESUMO'!AL49,"")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RESUMO'!AM7</f>
        <v/>
      </c>
      <c r="N40" s="132">
        <f>MAX(0,M40-M39)</f>
        <v/>
      </c>
      <c r="O40" s="131">
        <f>IF(B40&lt;='VALOR POR PL'!$P$5,'CP RESUMO'!AM49,"")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107435.9</v>
      </c>
      <c r="L41" s="49">
        <f>C41/IF(B41&lt;='VALOR POR PL'!$P$5,IFERROR(INDEX('"INCC-FGV"'!$B$2:$B$800,MATCH(B41,'"INCC-FGV"'!$A$2:$A$800,0)),$K$2),$K$2)</f>
        <v/>
      </c>
      <c r="M41" s="131">
        <f>'CP RESUMO'!AN7</f>
        <v/>
      </c>
      <c r="N41" s="132">
        <f>MAX(0,M41-M40)</f>
        <v/>
      </c>
      <c r="O41" s="131">
        <f>IF(B41&lt;='VALOR POR PL'!$P$5,'CP RESUMO'!AN49,"")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RESUMO'!AO7</f>
        <v/>
      </c>
      <c r="N42" s="132">
        <f>MAX(0,M42-M41)</f>
        <v/>
      </c>
      <c r="O42" s="131">
        <f>IF(B42&lt;='VALOR POR PL'!$P$5,'CP RESUMO'!AO49,"")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RESUMO'!AP7</f>
        <v/>
      </c>
      <c r="N43" s="132">
        <f>MAX(0,M43-M42)</f>
        <v/>
      </c>
      <c r="O43" s="131">
        <f>IF(B43&lt;='VALOR POR PL'!$P$5,'CP RESUMO'!AP49,"")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RESUMO'!AQ7</f>
        <v/>
      </c>
      <c r="N44" s="132">
        <f>MAX(0,M44-M43)</f>
        <v/>
      </c>
      <c r="O44" s="131">
        <f>IF(B44&lt;='VALOR POR PL'!$P$5,'CP RESUMO'!AQ49,"")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RESUMO'!AR7</f>
        <v/>
      </c>
      <c r="N45" s="132">
        <f>MAX(0,M45-M44)</f>
        <v/>
      </c>
      <c r="O45" s="131">
        <f>IF(B45&lt;='VALOR POR PL'!$P$5,'CP RESUMO'!AR49,"")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RESUMO'!AS7</f>
        <v/>
      </c>
      <c r="N46" s="132">
        <f>MAX(0,M46-M45)</f>
        <v/>
      </c>
      <c r="O46" s="131">
        <f>IF(B46&lt;='VALOR POR PL'!$P$5,'CP RESUMO'!AS49,"")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RESUMO'!AT7</f>
        <v/>
      </c>
      <c r="N47" s="132">
        <f>MAX(0,M47-M46)</f>
        <v/>
      </c>
      <c r="O47" s="131">
        <f>IF(B47&lt;='VALOR POR PL'!$P$5,'CP RESUMO'!AT49,"")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RESUMO'!AU7</f>
        <v/>
      </c>
      <c r="N48" s="132">
        <f>MAX(0,M48-M47)</f>
        <v/>
      </c>
      <c r="O48" s="131">
        <f>IF(B48&lt;='VALOR POR PL'!$P$5,'CP RESUMO'!AU49,"")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RESUMO'!AV7</f>
        <v/>
      </c>
      <c r="N49" s="132">
        <f>MAX(0,M49-M48)</f>
        <v/>
      </c>
      <c r="O49" s="131">
        <f>IF(B49&lt;='VALOR POR PL'!$P$5,'CP RESUMO'!AV49,"")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RESUMO'!AW7</f>
        <v/>
      </c>
      <c r="N50" s="132">
        <f>MAX(0,M50-M49)</f>
        <v/>
      </c>
      <c r="O50" s="131">
        <f>IF(B50&lt;='VALOR POR PL'!$P$5,'CP RESUMO'!AW49,"")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RESUMO'!AX7</f>
        <v/>
      </c>
      <c r="N51" s="132">
        <f>MAX(0,M51-M50)</f>
        <v/>
      </c>
      <c r="O51" s="131">
        <f>IF(B51&lt;='VALOR POR PL'!$P$5,'CP RESUMO'!AX49,"")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RESUMO'!AY7</f>
        <v/>
      </c>
      <c r="N52" s="132">
        <f>MAX(0,M52-M51)</f>
        <v/>
      </c>
      <c r="O52" s="131">
        <f>IF(B52&lt;='VALOR POR PL'!$P$5,'CP RESUMO'!AY49,"")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RESUMO'!AZ7</f>
        <v/>
      </c>
      <c r="N53" s="132">
        <f>MAX(0,M53-M52)</f>
        <v/>
      </c>
      <c r="O53" s="131">
        <f>IF(B53&lt;='VALOR POR PL'!$P$5,'CP RESUMO'!AZ49,"")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RESUMO'!BA7</f>
        <v/>
      </c>
      <c r="N54" s="132">
        <f>MAX(0,M54-M53)</f>
        <v/>
      </c>
      <c r="O54" s="131">
        <f>IF(B54&lt;='VALOR POR PL'!$P$5,'CP RESUMO'!BA49,"")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RESUMO'!BB7</f>
        <v/>
      </c>
      <c r="N55" s="132">
        <f>MAX(0,M55-M54)</f>
        <v/>
      </c>
      <c r="O55" s="131">
        <f>IF(B55&lt;='VALOR POR PL'!$P$5,'CP RESUMO'!BB49,"")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RESUMO'!BC7</f>
        <v/>
      </c>
      <c r="N56" s="132">
        <f>MAX(0,M56-M55)</f>
        <v/>
      </c>
      <c r="O56" s="131">
        <f>IF(B56&lt;='VALOR POR PL'!$P$5,'CP RESUMO'!BC49,"")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RESUMO'!BD7</f>
        <v/>
      </c>
      <c r="N57" s="132">
        <f>MAX(0,M57-M56)</f>
        <v/>
      </c>
      <c r="O57" s="131">
        <f>IF(B57&lt;='VALOR POR PL'!$P$5,'CP RESUMO'!BD49,"")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RESUMO'!BE7</f>
        <v/>
      </c>
      <c r="N58" s="132">
        <f>MAX(0,M58-M57)</f>
        <v/>
      </c>
      <c r="O58" s="131">
        <f>IF(B58&lt;='VALOR POR PL'!$P$5,'CP RESUMO'!BE49,"")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RESUMO'!BF7</f>
        <v/>
      </c>
      <c r="N59" s="132">
        <f>MAX(0,M59-M58)</f>
        <v/>
      </c>
      <c r="O59" s="131">
        <f>IF(B59&lt;='VALOR POR PL'!$P$5,'CP RESUMO'!BF49,"")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RESUMO'!BG7</f>
        <v/>
      </c>
      <c r="N60" s="132">
        <f>MAX(0,M60-M59)</f>
        <v/>
      </c>
      <c r="O60" s="131">
        <f>IF(B60&lt;='VALOR POR PL'!$P$5,'CP RESUMO'!BG49,"")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RESUMO'!BH7</f>
        <v/>
      </c>
      <c r="N61" s="132">
        <f>MAX(0,M61-M60)</f>
        <v/>
      </c>
      <c r="O61" s="131">
        <f>IF(B61&lt;='VALOR POR PL'!$P$5,'CP RESUMO'!BH49,"")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RESUMO'!BI7</f>
        <v/>
      </c>
      <c r="N62" s="132">
        <f>MAX(0,M62-M61)</f>
        <v/>
      </c>
      <c r="O62" s="131">
        <f>IF(B62&lt;='VALOR POR PL'!$P$5,'CP RESUMO'!BI49,"")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RESUMO'!BJ7</f>
        <v/>
      </c>
      <c r="N63" s="132">
        <f>MAX(0,M63-M62)</f>
        <v/>
      </c>
      <c r="O63" s="131">
        <f>IF(B63&lt;='VALOR POR PL'!$P$5,'CP RESUMO'!BJ49,"")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RESUMO'!BK7</f>
        <v/>
      </c>
      <c r="N64" s="132">
        <f>MAX(0,M64-M63)</f>
        <v/>
      </c>
      <c r="O64" s="131">
        <f>IF(B64&lt;='VALOR POR PL'!$P$5,'CP RESUMO'!BK49,"")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RESUMO'!BL7</f>
        <v/>
      </c>
      <c r="N65" s="132">
        <f>MAX(0,M65-M64)</f>
        <v/>
      </c>
      <c r="O65" s="131">
        <f>IF(B65&lt;='VALOR POR PL'!$P$5,'CP RESUMO'!BL49,"")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RESUMO'!BM7</f>
        <v/>
      </c>
      <c r="N66" s="132">
        <f>MAX(0,M66-M65)</f>
        <v/>
      </c>
      <c r="O66" s="131">
        <f>IF(B66&lt;='VALOR POR PL'!$P$5,'CP RESUMO'!BM49,"")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RESUMO'!BN7</f>
        <v/>
      </c>
      <c r="N67" s="132">
        <f>MAX(0,M67-M66)</f>
        <v/>
      </c>
      <c r="O67" s="131">
        <f>IF(B67&lt;='VALOR POR PL'!$P$5,'CP RESUMO'!BN49,"")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RESUMO'!BO7</f>
        <v/>
      </c>
      <c r="N68" s="132">
        <f>MAX(0,M68-M67)</f>
        <v/>
      </c>
      <c r="O68" s="131">
        <f>IF(B68&lt;='VALOR POR PL'!$P$5,'CP RESUMO'!BO49,"")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RESUMO'!BP7</f>
        <v/>
      </c>
      <c r="N69" s="132">
        <f>MAX(0,M69-M68)</f>
        <v/>
      </c>
      <c r="O69" s="131">
        <f>IF(B69&lt;='VALOR POR PL'!$P$5,'CP RESUMO'!BP49,"")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RESUMO'!BQ7</f>
        <v/>
      </c>
      <c r="N70" s="132">
        <f>MAX(0,M70-M69)</f>
        <v/>
      </c>
      <c r="O70" s="131">
        <f>IF(B70&lt;='VALOR POR PL'!$P$5,'CP RESUMO'!BQ49,"")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RESUMO'!BR7</f>
        <v/>
      </c>
      <c r="N71" s="132">
        <f>MAX(0,M71-M70)</f>
        <v/>
      </c>
      <c r="O71" s="131">
        <f>IF(B71&lt;='VALOR POR PL'!$P$5,'CP RESUMO'!BR49,"")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RESUMO'!BS7</f>
        <v/>
      </c>
      <c r="N72" s="132">
        <f>MAX(0,M72-M71)</f>
        <v/>
      </c>
      <c r="O72" s="131">
        <f>IF(B72&lt;='VALOR POR PL'!$P$5,'CP RESUMO'!BS49,"")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RESUMO'!BT7</f>
        <v/>
      </c>
      <c r="N73" s="132">
        <f>MAX(0,M73-M72)</f>
        <v/>
      </c>
      <c r="O73" s="131">
        <f>IF(B73&lt;='VALOR POR PL'!$P$5,'CP RESUMO'!BT49,"")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RESUMO'!BU7</f>
        <v/>
      </c>
      <c r="N74" s="132">
        <f>MAX(0,M74-M73)</f>
        <v/>
      </c>
      <c r="O74" s="131">
        <f>IF(B74&lt;='VALOR POR PL'!$P$5,'CP RESUMO'!BU49,"")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RESUMO'!BV7</f>
        <v/>
      </c>
      <c r="N75" s="132">
        <f>MAX(0,M75-M74)</f>
        <v/>
      </c>
      <c r="O75" s="131">
        <f>IF(B75&lt;='VALOR POR PL'!$P$5,'CP RESUMO'!BV49,"")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RESUMO'!BW7</f>
        <v/>
      </c>
      <c r="N76" s="132">
        <f>MAX(0,M76-M75)</f>
        <v/>
      </c>
      <c r="O76" s="131">
        <f>IF(B76&lt;='VALOR POR PL'!$P$5,'CP RESUMO'!BW49,"")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HISTORICOS'!D8)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PL'!F14</f>
        <v/>
      </c>
      <c r="K5" s="60">
        <f>'VALOR POR PL'!G14</f>
        <v/>
      </c>
      <c r="L5" s="60">
        <f>'DADOS HISTORICOS'!$BZ$8</f>
        <v/>
      </c>
      <c r="M5" s="131">
        <f>'CP RESUMO'!D8</f>
        <v/>
      </c>
      <c r="N5" s="132" t="n">
        <v>0</v>
      </c>
      <c r="O5" s="131">
        <f>IF(B5&lt;='VALOR POR PL'!$P$5,'CP RESUMO'!D50,"")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HISTORICOS'!E8)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PL'!H14</f>
        <v/>
      </c>
      <c r="L6" s="49">
        <f>C6/IF(B6&lt;='VALOR POR PL'!$P$5,IFERROR(INDEX('"INCC-FGV"'!$B$2:$B$800,MATCH(B6,'"INCC-FGV"'!$A$2:$A$800,0)),$K$2),$K$2)</f>
        <v/>
      </c>
      <c r="M6" s="131">
        <f>'CP RESUMO'!E8</f>
        <v/>
      </c>
      <c r="N6" s="132">
        <f>MAX(0,M6-M5)</f>
        <v/>
      </c>
      <c r="O6" s="131">
        <f>IF(B6&lt;='VALOR POR PL'!$P$5,'CP RESUMO'!E50,"")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HISTORICOS'!F8)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RESUMO'!F8</f>
        <v/>
      </c>
      <c r="N7" s="132">
        <f>MAX(0,M7-M6)</f>
        <v/>
      </c>
      <c r="O7" s="131">
        <f>IF(B7&lt;='VALOR POR PL'!$P$5,'CP RESUMO'!F50,"")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HISTORICOS'!G8)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RESUMO'!G8</f>
        <v/>
      </c>
      <c r="N8" s="132">
        <f>MAX(0,M8-M7)</f>
        <v/>
      </c>
      <c r="O8" s="131">
        <f>IF(B8&lt;='VALOR POR PL'!$P$5,'CP RESUMO'!G50,"")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HISTORICOS'!H8)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RESUMO'!H8</f>
        <v/>
      </c>
      <c r="N9" s="132">
        <f>MAX(0,M9-M8)</f>
        <v/>
      </c>
      <c r="O9" s="131">
        <f>IF(B9&lt;='VALOR POR PL'!$P$5,'CP RESUMO'!H50,"")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RESUMO'!I8</f>
        <v/>
      </c>
      <c r="N10" s="132">
        <f>MAX(0,M10-M9)</f>
        <v/>
      </c>
      <c r="O10" s="131">
        <f>IF(B10&lt;='VALOR POR PL'!$P$5,'CP RESUMO'!I50,"")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RESUMO'!J8</f>
        <v/>
      </c>
      <c r="N11" s="132">
        <f>MAX(0,M11-M10)</f>
        <v/>
      </c>
      <c r="O11" s="131">
        <f>IF(B11&lt;='VALOR POR PL'!$P$5,'CP RESUMO'!J50,"")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RESUMO'!K8</f>
        <v/>
      </c>
      <c r="N12" s="132">
        <f>MAX(0,M12-M11)</f>
        <v/>
      </c>
      <c r="O12" s="131">
        <f>IF(B12&lt;='VALOR POR PL'!$P$5,'CP RESUMO'!K50,"")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PL'!I14</f>
        <v/>
      </c>
      <c r="L13" s="49">
        <f>C13/IF(B13&lt;='VALOR POR PL'!$P$5,IFERROR(INDEX('"INCC-FGV"'!$B$2:$B$800,MATCH(B13,'"INCC-FGV"'!$A$2:$A$800,0)),$K$2),$K$2)</f>
        <v/>
      </c>
      <c r="M13" s="131">
        <f>'CP RESUMO'!L8</f>
        <v/>
      </c>
      <c r="N13" s="132">
        <f>MAX(0,M13-M12)</f>
        <v/>
      </c>
      <c r="O13" s="131">
        <f>IF(B13&lt;='VALOR POR PL'!$P$5,'CP RESUMO'!L50,"")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RESUMO'!$D$50:$BW$50,MATCH('VALOR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RESUMO'!M8</f>
        <v/>
      </c>
      <c r="N14" s="132">
        <f>MAX(0,M14-M13)</f>
        <v/>
      </c>
      <c r="O14" s="131">
        <f>IF(B14&lt;='VALOR POR PL'!$P$5,'CP RESUMO'!M50,"")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RESUMO'!N8</f>
        <v/>
      </c>
      <c r="N15" s="132">
        <f>MAX(0,M15-M14)</f>
        <v/>
      </c>
      <c r="O15" s="131">
        <f>IF(B15&lt;='VALOR POR PL'!$P$5,'CP RESUMO'!N50,"")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RESUMO'!O8</f>
        <v/>
      </c>
      <c r="N16" s="132">
        <f>MAX(0,M16-M15)</f>
        <v/>
      </c>
      <c r="O16" s="131">
        <f>IF(B16&lt;='VALOR POR PL'!$P$5,'CP RESUMO'!O50,"")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RESUMO'!P8</f>
        <v/>
      </c>
      <c r="N17" s="132">
        <f>MAX(0,M17-M16)</f>
        <v/>
      </c>
      <c r="O17" s="131">
        <f>IF(B17&lt;='VALOR POR PL'!$P$5,'CP RESUMO'!P50,"")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RESUMO'!Q8</f>
        <v/>
      </c>
      <c r="N18" s="132">
        <f>MAX(0,M18-M17)</f>
        <v/>
      </c>
      <c r="O18" s="131">
        <f>IF(B18&lt;='VALOR POR PL'!$P$5,'CP RESUMO'!Q50,"")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RESUMO'!R8</f>
        <v/>
      </c>
      <c r="N19" s="132">
        <f>MAX(0,M19-M18)</f>
        <v/>
      </c>
      <c r="O19" s="131">
        <f>IF(B19&lt;='VALOR POR PL'!$P$5,'CP RESUMO'!R50,"")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RESUMO'!S8</f>
        <v/>
      </c>
      <c r="N20" s="132">
        <f>MAX(0,M20-M19)</f>
        <v/>
      </c>
      <c r="O20" s="131">
        <f>IF(B20&lt;='VALOR POR PL'!$P$5,'CP RESUMO'!S50,"")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RESUMO'!T8</f>
        <v/>
      </c>
      <c r="N21" s="132">
        <f>MAX(0,M21-M20)</f>
        <v/>
      </c>
      <c r="O21" s="131">
        <f>IF(B21&lt;='VALOR POR PL'!$P$5,'CP RESUMO'!T50,"")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RESUMO'!U8</f>
        <v/>
      </c>
      <c r="N22" s="132">
        <f>MAX(0,M22-M21)</f>
        <v/>
      </c>
      <c r="O22" s="131">
        <f>IF(B22&lt;='VALOR POR PL'!$P$5,'CP RESUMO'!U50,"")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RESUMO'!V8</f>
        <v/>
      </c>
      <c r="N23" s="132">
        <f>MAX(0,M23-M22)</f>
        <v/>
      </c>
      <c r="O23" s="131">
        <f>IF(B23&lt;='VALOR POR PL'!$P$5,'CP RESUMO'!V50,"")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RESUMO'!W8</f>
        <v/>
      </c>
      <c r="N24" s="132">
        <f>MAX(0,M24-M23)</f>
        <v/>
      </c>
      <c r="O24" s="131">
        <f>IF(B24&lt;='VALOR POR PL'!$P$5,'CP RESUMO'!W50,"")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RESUMO'!X8</f>
        <v/>
      </c>
      <c r="N25" s="132">
        <f>MAX(0,M25-M24)</f>
        <v/>
      </c>
      <c r="O25" s="131">
        <f>IF(B25&lt;='VALOR POR PL'!$P$5,'CP RESUMO'!X50,"")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9977.450000000001</v>
      </c>
      <c r="L26" s="49">
        <f>C26/IF(B26&lt;='VALOR POR PL'!$P$5,IFERROR(INDEX('"INCC-FGV"'!$B$2:$B$800,MATCH(B26,'"INCC-FGV"'!$A$2:$A$800,0)),$K$2),$K$2)</f>
        <v/>
      </c>
      <c r="M26" s="131">
        <f>'CP RESUMO'!Y8</f>
        <v/>
      </c>
      <c r="N26" s="132">
        <f>MAX(0,M26-M25)</f>
        <v/>
      </c>
      <c r="O26" s="131">
        <f>IF(B26&lt;='VALOR POR PL'!$P$5,'CP RESUMO'!Y50,"")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82313.95</v>
      </c>
      <c r="L27" s="49">
        <f>C27/IF(B27&lt;='VALOR POR PL'!$P$5,IFERROR(INDEX('"INCC-FGV"'!$B$2:$B$800,MATCH(B27,'"INCC-FGV"'!$A$2:$A$800,0)),$K$2),$K$2)</f>
        <v/>
      </c>
      <c r="M27" s="131">
        <f>'CP RESUMO'!Z8</f>
        <v/>
      </c>
      <c r="N27" s="132">
        <f>MAX(0,M27-M26)</f>
        <v/>
      </c>
      <c r="O27" s="131">
        <f>IF(B27&lt;='VALOR POR PL'!$P$5,'CP RESUMO'!Z50,"")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72336.5</v>
      </c>
      <c r="L28" s="49">
        <f>C28/IF(B28&lt;='VALOR POR PL'!$P$5,IFERROR(INDEX('"INCC-FGV"'!$B$2:$B$800,MATCH(B28,'"INCC-FGV"'!$A$2:$A$800,0)),$K$2),$K$2)</f>
        <v/>
      </c>
      <c r="M28" s="131">
        <f>'CP RESUMO'!AA8</f>
        <v/>
      </c>
      <c r="N28" s="132">
        <f>MAX(0,M28-M27)</f>
        <v/>
      </c>
      <c r="O28" s="131">
        <f>IF(B28&lt;='VALOR POR PL'!$P$5,'CP RESUMO'!AA50,"")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9977.450000000001</v>
      </c>
      <c r="L29" s="49">
        <f>C29/IF(B29&lt;='VALOR POR PL'!$P$5,IFERROR(INDEX('"INCC-FGV"'!$B$2:$B$800,MATCH(B29,'"INCC-FGV"'!$A$2:$A$800,0)),$K$2),$K$2)</f>
        <v/>
      </c>
      <c r="M29" s="131">
        <f>'CP RESUMO'!AB8</f>
        <v/>
      </c>
      <c r="N29" s="132">
        <f>MAX(0,M29-M28)</f>
        <v/>
      </c>
      <c r="O29" s="131">
        <f>IF(B29&lt;='VALOR POR PL'!$P$5,'CP RESUMO'!AB50,"")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9977.450000000001</v>
      </c>
      <c r="L30" s="49">
        <f>C30/IF(B30&lt;='VALOR POR PL'!$P$5,IFERROR(INDEX('"INCC-FGV"'!$B$2:$B$800,MATCH(B30,'"INCC-FGV"'!$A$2:$A$800,0)),$K$2),$K$2)</f>
        <v/>
      </c>
      <c r="M30" s="131">
        <f>'CP RESUMO'!AC8</f>
        <v/>
      </c>
      <c r="N30" s="132">
        <f>MAX(0,M30-M29)</f>
        <v/>
      </c>
      <c r="O30" s="131">
        <f>IF(B30&lt;='VALOR POR PL'!$P$5,'CP RESUMO'!AC50,"")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9977.450000000001</v>
      </c>
      <c r="L31" s="49">
        <f>C31/IF(B31&lt;='VALOR POR PL'!$P$5,IFERROR(INDEX('"INCC-FGV"'!$B$2:$B$800,MATCH(B31,'"INCC-FGV"'!$A$2:$A$800,0)),$K$2),$K$2)</f>
        <v/>
      </c>
      <c r="M31" s="131">
        <f>'CP RESUMO'!AD8</f>
        <v/>
      </c>
      <c r="N31" s="132">
        <f>MAX(0,M31-M30)</f>
        <v/>
      </c>
      <c r="O31" s="131">
        <f>IF(B31&lt;='VALOR POR PL'!$P$5,'CP RESUMO'!AD50,"")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9977.450000000001</v>
      </c>
      <c r="L32" s="49">
        <f>C32/IF(B32&lt;='VALOR POR PL'!$P$5,IFERROR(INDEX('"INCC-FGV"'!$B$2:$B$800,MATCH(B32,'"INCC-FGV"'!$A$2:$A$800,0)),$K$2),$K$2)</f>
        <v/>
      </c>
      <c r="M32" s="131">
        <f>'CP RESUMO'!AE8</f>
        <v/>
      </c>
      <c r="N32" s="132">
        <f>MAX(0,M32-M31)</f>
        <v/>
      </c>
      <c r="O32" s="131">
        <f>IF(B32&lt;='VALOR POR PL'!$P$5,'CP RESUMO'!AE50,"")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9977.450000000001</v>
      </c>
      <c r="L33" s="49">
        <f>C33/IF(B33&lt;='VALOR POR PL'!$P$5,IFERROR(INDEX('"INCC-FGV"'!$B$2:$B$800,MATCH(B33,'"INCC-FGV"'!$A$2:$A$800,0)),$K$2),$K$2)</f>
        <v/>
      </c>
      <c r="M33" s="131">
        <f>'CP RESUMO'!AF8</f>
        <v/>
      </c>
      <c r="N33" s="132">
        <f>MAX(0,M33-M32)</f>
        <v/>
      </c>
      <c r="O33" s="131">
        <f>IF(B33&lt;='VALOR POR PL'!$P$5,'CP RESUMO'!AF50,"")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9977.450000000001</v>
      </c>
      <c r="L34" s="49">
        <f>C34/IF(B34&lt;='VALOR POR PL'!$P$5,IFERROR(INDEX('"INCC-FGV"'!$B$2:$B$800,MATCH(B34,'"INCC-FGV"'!$A$2:$A$800,0)),$K$2),$K$2)</f>
        <v/>
      </c>
      <c r="M34" s="131">
        <f>'CP RESUMO'!AG8</f>
        <v/>
      </c>
      <c r="N34" s="132">
        <f>MAX(0,M34-M33)</f>
        <v/>
      </c>
      <c r="O34" s="131">
        <f>IF(B34&lt;='VALOR POR PL'!$P$5,'CP RESUMO'!AG50,"")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9977.450000000001</v>
      </c>
      <c r="L35" s="49">
        <f>C35/IF(B35&lt;='VALOR POR PL'!$P$5,IFERROR(INDEX('"INCC-FGV"'!$B$2:$B$800,MATCH(B35,'"INCC-FGV"'!$A$2:$A$800,0)),$K$2),$K$2)</f>
        <v/>
      </c>
      <c r="M35" s="131">
        <f>'CP RESUMO'!AH8</f>
        <v/>
      </c>
      <c r="N35" s="132">
        <f>MAX(0,M35-M34)</f>
        <v/>
      </c>
      <c r="O35" s="131">
        <f>IF(B35&lt;='VALOR POR PL'!$P$5,'CP RESUMO'!AH50,"")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14966.17</v>
      </c>
      <c r="L36" s="49">
        <f>C36/IF(B36&lt;='VALOR POR PL'!$P$5,IFERROR(INDEX('"INCC-FGV"'!$B$2:$B$800,MATCH(B36,'"INCC-FGV"'!$A$2:$A$800,0)),$K$2),$K$2)</f>
        <v/>
      </c>
      <c r="M36" s="131">
        <f>'CP RESUMO'!AI8</f>
        <v/>
      </c>
      <c r="N36" s="132">
        <f>MAX(0,M36-M35)</f>
        <v/>
      </c>
      <c r="O36" s="131">
        <f>IF(B36&lt;='VALOR POR PL'!$P$5,'CP RESUMO'!AI50,"")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14966.17</v>
      </c>
      <c r="L37" s="49">
        <f>C37/IF(B37&lt;='VALOR POR PL'!$P$5,IFERROR(INDEX('"INCC-FGV"'!$B$2:$B$800,MATCH(B37,'"INCC-FGV"'!$A$2:$A$800,0)),$K$2),$K$2)</f>
        <v/>
      </c>
      <c r="M37" s="131">
        <f>'CP RESUMO'!AJ8</f>
        <v/>
      </c>
      <c r="N37" s="132">
        <f>MAX(0,M37-M36)</f>
        <v/>
      </c>
      <c r="O37" s="131">
        <f>IF(B37&lt;='VALOR POR PL'!$P$5,'CP RESUMO'!AJ50,"")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14966.17</v>
      </c>
      <c r="L38" s="49">
        <f>C38/IF(B38&lt;='VALOR POR PL'!$P$5,IFERROR(INDEX('"INCC-FGV"'!$B$2:$B$800,MATCH(B38,'"INCC-FGV"'!$A$2:$A$800,0)),$K$2),$K$2)</f>
        <v/>
      </c>
      <c r="M38" s="131">
        <f>'CP RESUMO'!AK8</f>
        <v/>
      </c>
      <c r="N38" s="132">
        <f>MAX(0,M38-M37)</f>
        <v/>
      </c>
      <c r="O38" s="131">
        <f>IF(B38&lt;='VALOR POR PL'!$P$5,'CP RESUMO'!AK50,"")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14966.17</v>
      </c>
      <c r="L39" s="49">
        <f>C39/IF(B39&lt;='VALOR POR PL'!$P$5,IFERROR(INDEX('"INCC-FGV"'!$B$2:$B$800,MATCH(B39,'"INCC-FGV"'!$A$2:$A$800,0)),$K$2),$K$2)</f>
        <v/>
      </c>
      <c r="M39" s="131">
        <f>'CP RESUMO'!AL8</f>
        <v/>
      </c>
      <c r="N39" s="132">
        <f>MAX(0,M39-M38)</f>
        <v/>
      </c>
      <c r="O39" s="131">
        <f>IF(B39&lt;='VALOR POR PL'!$P$5,'CP RESUMO'!AL50,"")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14966.17</v>
      </c>
      <c r="L40" s="49">
        <f>C40/IF(B40&lt;='VALOR POR PL'!$P$5,IFERROR(INDEX('"INCC-FGV"'!$B$2:$B$800,MATCH(B40,'"INCC-FGV"'!$A$2:$A$800,0)),$K$2),$K$2)</f>
        <v/>
      </c>
      <c r="M40" s="131">
        <f>'CP RESUMO'!AM8</f>
        <v/>
      </c>
      <c r="N40" s="132">
        <f>MAX(0,M40-M39)</f>
        <v/>
      </c>
      <c r="O40" s="131">
        <f>IF(B40&lt;='VALOR POR PL'!$P$5,'CP RESUMO'!AM50,"")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14966.17</v>
      </c>
      <c r="L41" s="49">
        <f>C41/IF(B41&lt;='VALOR POR PL'!$P$5,IFERROR(INDEX('"INCC-FGV"'!$B$2:$B$800,MATCH(B41,'"INCC-FGV"'!$A$2:$A$800,0)),$K$2),$K$2)</f>
        <v/>
      </c>
      <c r="M41" s="131">
        <f>'CP RESUMO'!AN8</f>
        <v/>
      </c>
      <c r="N41" s="132">
        <f>MAX(0,M41-M40)</f>
        <v/>
      </c>
      <c r="O41" s="131">
        <f>IF(B41&lt;='VALOR POR PL'!$P$5,'CP RESUMO'!AN50,"")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19954.9</v>
      </c>
      <c r="L42" s="49">
        <f>C42/IF(B42&lt;='VALOR POR PL'!$P$5,IFERROR(INDEX('"INCC-FGV"'!$B$2:$B$800,MATCH(B42,'"INCC-FGV"'!$A$2:$A$800,0)),$K$2),$K$2)</f>
        <v/>
      </c>
      <c r="M42" s="131">
        <f>'CP RESUMO'!AO8</f>
        <v/>
      </c>
      <c r="N42" s="132">
        <f>MAX(0,M42-M41)</f>
        <v/>
      </c>
      <c r="O42" s="131">
        <f>IF(B42&lt;='VALOR POR PL'!$P$5,'CP RESUMO'!AO50,"")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9977.450000000001</v>
      </c>
      <c r="L43" s="49">
        <f>C43/IF(B43&lt;='VALOR POR PL'!$P$5,IFERROR(INDEX('"INCC-FGV"'!$B$2:$B$800,MATCH(B43,'"INCC-FGV"'!$A$2:$A$800,0)),$K$2),$K$2)</f>
        <v/>
      </c>
      <c r="M43" s="131">
        <f>'CP RESUMO'!AP8</f>
        <v/>
      </c>
      <c r="N43" s="132">
        <f>MAX(0,M43-M42)</f>
        <v/>
      </c>
      <c r="O43" s="131">
        <f>IF(B43&lt;='VALOR POR PL'!$P$5,'CP RESUMO'!AP50,"")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7493.06</v>
      </c>
      <c r="L44" s="49">
        <f>C44/IF(B44&lt;='VALOR POR PL'!$P$5,IFERROR(INDEX('"INCC-FGV"'!$B$2:$B$800,MATCH(B44,'"INCC-FGV"'!$A$2:$A$800,0)),$K$2),$K$2)</f>
        <v/>
      </c>
      <c r="M44" s="131">
        <f>'CP RESUMO'!AQ8</f>
        <v/>
      </c>
      <c r="N44" s="132">
        <f>MAX(0,M44-M43)</f>
        <v/>
      </c>
      <c r="O44" s="131">
        <f>IF(B44&lt;='VALOR POR PL'!$P$5,'CP RESUMO'!AQ50,"")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4988.72</v>
      </c>
      <c r="L45" s="49">
        <f>C45/IF(B45&lt;='VALOR POR PL'!$P$5,IFERROR(INDEX('"INCC-FGV"'!$B$2:$B$800,MATCH(B45,'"INCC-FGV"'!$A$2:$A$800,0)),$K$2),$K$2)</f>
        <v/>
      </c>
      <c r="M45" s="131">
        <f>'CP RESUMO'!AR8</f>
        <v/>
      </c>
      <c r="N45" s="132">
        <f>MAX(0,M45-M44)</f>
        <v/>
      </c>
      <c r="O45" s="131">
        <f>IF(B45&lt;='VALOR POR PL'!$P$5,'CP RESUMO'!AR50,"")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2701.09</v>
      </c>
      <c r="L46" s="49">
        <f>C46/IF(B46&lt;='VALOR POR PL'!$P$5,IFERROR(INDEX('"INCC-FGV"'!$B$2:$B$800,MATCH(B46,'"INCC-FGV"'!$A$2:$A$800,0)),$K$2),$K$2)</f>
        <v/>
      </c>
      <c r="M46" s="131">
        <f>'CP RESUMO'!AS8</f>
        <v/>
      </c>
      <c r="N46" s="132">
        <f>MAX(0,M46-M45)</f>
        <v/>
      </c>
      <c r="O46" s="131">
        <f>IF(B46&lt;='VALOR POR PL'!$P$5,'CP RESUMO'!AS50,"")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RESUMO'!AT8</f>
        <v/>
      </c>
      <c r="N47" s="132">
        <f>MAX(0,M47-M46)</f>
        <v/>
      </c>
      <c r="O47" s="131">
        <f>IF(B47&lt;='VALOR POR PL'!$P$5,'CP RESUMO'!AT50,"")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RESUMO'!AU8</f>
        <v/>
      </c>
      <c r="N48" s="132">
        <f>MAX(0,M48-M47)</f>
        <v/>
      </c>
      <c r="O48" s="131">
        <f>IF(B48&lt;='VALOR POR PL'!$P$5,'CP RESUMO'!AU50,"")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RESUMO'!AV8</f>
        <v/>
      </c>
      <c r="N49" s="132">
        <f>MAX(0,M49-M48)</f>
        <v/>
      </c>
      <c r="O49" s="131">
        <f>IF(B49&lt;='VALOR POR PL'!$P$5,'CP RESUMO'!AV50,"")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RESUMO'!AW8</f>
        <v/>
      </c>
      <c r="N50" s="132">
        <f>MAX(0,M50-M49)</f>
        <v/>
      </c>
      <c r="O50" s="131">
        <f>IF(B50&lt;='VALOR POR PL'!$P$5,'CP RESUMO'!AW50,"")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RESUMO'!AX8</f>
        <v/>
      </c>
      <c r="N51" s="132">
        <f>MAX(0,M51-M50)</f>
        <v/>
      </c>
      <c r="O51" s="131">
        <f>IF(B51&lt;='VALOR POR PL'!$P$5,'CP RESUMO'!AX50,"")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RESUMO'!AY8</f>
        <v/>
      </c>
      <c r="N52" s="132">
        <f>MAX(0,M52-M51)</f>
        <v/>
      </c>
      <c r="O52" s="131">
        <f>IF(B52&lt;='VALOR POR PL'!$P$5,'CP RESUMO'!AY50,"")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RESUMO'!AZ8</f>
        <v/>
      </c>
      <c r="N53" s="132">
        <f>MAX(0,M53-M52)</f>
        <v/>
      </c>
      <c r="O53" s="131">
        <f>IF(B53&lt;='VALOR POR PL'!$P$5,'CP RESUMO'!AZ50,"")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RESUMO'!BA8</f>
        <v/>
      </c>
      <c r="N54" s="132">
        <f>MAX(0,M54-M53)</f>
        <v/>
      </c>
      <c r="O54" s="131">
        <f>IF(B54&lt;='VALOR POR PL'!$P$5,'CP RESUMO'!BA50,"")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RESUMO'!BB8</f>
        <v/>
      </c>
      <c r="N55" s="132">
        <f>MAX(0,M55-M54)</f>
        <v/>
      </c>
      <c r="O55" s="131">
        <f>IF(B55&lt;='VALOR POR PL'!$P$5,'CP RESUMO'!BB50,"")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RESUMO'!BC8</f>
        <v/>
      </c>
      <c r="N56" s="132">
        <f>MAX(0,M56-M55)</f>
        <v/>
      </c>
      <c r="O56" s="131">
        <f>IF(B56&lt;='VALOR POR PL'!$P$5,'CP RESUMO'!BC50,"")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RESUMO'!BD8</f>
        <v/>
      </c>
      <c r="N57" s="132">
        <f>MAX(0,M57-M56)</f>
        <v/>
      </c>
      <c r="O57" s="131">
        <f>IF(B57&lt;='VALOR POR PL'!$P$5,'CP RESUMO'!BD50,"")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RESUMO'!BE8</f>
        <v/>
      </c>
      <c r="N58" s="132">
        <f>MAX(0,M58-M57)</f>
        <v/>
      </c>
      <c r="O58" s="131">
        <f>IF(B58&lt;='VALOR POR PL'!$P$5,'CP RESUMO'!BE50,"")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RESUMO'!BF8</f>
        <v/>
      </c>
      <c r="N59" s="132">
        <f>MAX(0,M59-M58)</f>
        <v/>
      </c>
      <c r="O59" s="131">
        <f>IF(B59&lt;='VALOR POR PL'!$P$5,'CP RESUMO'!BF50,"")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RESUMO'!BG8</f>
        <v/>
      </c>
      <c r="N60" s="132">
        <f>MAX(0,M60-M59)</f>
        <v/>
      </c>
      <c r="O60" s="131">
        <f>IF(B60&lt;='VALOR POR PL'!$P$5,'CP RESUMO'!BG50,"")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RESUMO'!BH8</f>
        <v/>
      </c>
      <c r="N61" s="132">
        <f>MAX(0,M61-M60)</f>
        <v/>
      </c>
      <c r="O61" s="131">
        <f>IF(B61&lt;='VALOR POR PL'!$P$5,'CP RESUMO'!BH50,"")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RESUMO'!BI8</f>
        <v/>
      </c>
      <c r="N62" s="132">
        <f>MAX(0,M62-M61)</f>
        <v/>
      </c>
      <c r="O62" s="131">
        <f>IF(B62&lt;='VALOR POR PL'!$P$5,'CP RESUMO'!BI50,"")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RESUMO'!BJ8</f>
        <v/>
      </c>
      <c r="N63" s="132">
        <f>MAX(0,M63-M62)</f>
        <v/>
      </c>
      <c r="O63" s="131">
        <f>IF(B63&lt;='VALOR POR PL'!$P$5,'CP RESUMO'!BJ50,"")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RESUMO'!BK8</f>
        <v/>
      </c>
      <c r="N64" s="132">
        <f>MAX(0,M64-M63)</f>
        <v/>
      </c>
      <c r="O64" s="131">
        <f>IF(B64&lt;='VALOR POR PL'!$P$5,'CP RESUMO'!BK50,"")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RESUMO'!BL8</f>
        <v/>
      </c>
      <c r="N65" s="132">
        <f>MAX(0,M65-M64)</f>
        <v/>
      </c>
      <c r="O65" s="131">
        <f>IF(B65&lt;='VALOR POR PL'!$P$5,'CP RESUMO'!BL50,"")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RESUMO'!BM8</f>
        <v/>
      </c>
      <c r="N66" s="132">
        <f>MAX(0,M66-M65)</f>
        <v/>
      </c>
      <c r="O66" s="131">
        <f>IF(B66&lt;='VALOR POR PL'!$P$5,'CP RESUMO'!BM50,"")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RESUMO'!BN8</f>
        <v/>
      </c>
      <c r="N67" s="132">
        <f>MAX(0,M67-M66)</f>
        <v/>
      </c>
      <c r="O67" s="131">
        <f>IF(B67&lt;='VALOR POR PL'!$P$5,'CP RESUMO'!BN50,"")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RESUMO'!BO8</f>
        <v/>
      </c>
      <c r="N68" s="132">
        <f>MAX(0,M68-M67)</f>
        <v/>
      </c>
      <c r="O68" s="131">
        <f>IF(B68&lt;='VALOR POR PL'!$P$5,'CP RESUMO'!BO50,"")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RESUMO'!BP8</f>
        <v/>
      </c>
      <c r="N69" s="132">
        <f>MAX(0,M69-M68)</f>
        <v/>
      </c>
      <c r="O69" s="131">
        <f>IF(B69&lt;='VALOR POR PL'!$P$5,'CP RESUMO'!BP50,"")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RESUMO'!BQ8</f>
        <v/>
      </c>
      <c r="N70" s="132">
        <f>MAX(0,M70-M69)</f>
        <v/>
      </c>
      <c r="O70" s="131">
        <f>IF(B70&lt;='VALOR POR PL'!$P$5,'CP RESUMO'!BQ50,"")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RESUMO'!BR8</f>
        <v/>
      </c>
      <c r="N71" s="132">
        <f>MAX(0,M71-M70)</f>
        <v/>
      </c>
      <c r="O71" s="131">
        <f>IF(B71&lt;='VALOR POR PL'!$P$5,'CP RESUMO'!BR50,"")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RESUMO'!BS8</f>
        <v/>
      </c>
      <c r="N72" s="132">
        <f>MAX(0,M72-M71)</f>
        <v/>
      </c>
      <c r="O72" s="131">
        <f>IF(B72&lt;='VALOR POR PL'!$P$5,'CP RESUMO'!BS50,"")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RESUMO'!BT8</f>
        <v/>
      </c>
      <c r="N73" s="132">
        <f>MAX(0,M73-M72)</f>
        <v/>
      </c>
      <c r="O73" s="131">
        <f>IF(B73&lt;='VALOR POR PL'!$P$5,'CP RESUMO'!BT50,"")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RESUMO'!BU8</f>
        <v/>
      </c>
      <c r="N74" s="132">
        <f>MAX(0,M74-M73)</f>
        <v/>
      </c>
      <c r="O74" s="131">
        <f>IF(B74&lt;='VALOR POR PL'!$P$5,'CP RESUMO'!BU50,"")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RESUMO'!BV8</f>
        <v/>
      </c>
      <c r="N75" s="132">
        <f>MAX(0,M75-M74)</f>
        <v/>
      </c>
      <c r="O75" s="131">
        <f>IF(B75&lt;='VALOR POR PL'!$P$5,'CP RESUMO'!BV50,"")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RESUMO'!BW8</f>
        <v/>
      </c>
      <c r="N76" s="132">
        <f>MAX(0,M76-M75)</f>
        <v/>
      </c>
      <c r="O76" s="131">
        <f>IF(B76&lt;='VALOR POR PL'!$P$5,'CP RESUMO'!BW50,"")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HISTORICOS'!D9)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PL'!F15</f>
        <v/>
      </c>
      <c r="K5" s="60">
        <f>'VALOR POR PL'!G15</f>
        <v/>
      </c>
      <c r="L5" s="60">
        <f>'DADOS HISTORICOS'!$BZ$9</f>
        <v/>
      </c>
      <c r="M5" s="131">
        <f>'CP RESUMO'!D9</f>
        <v/>
      </c>
      <c r="N5" s="132" t="n">
        <v>0</v>
      </c>
      <c r="O5" s="131">
        <f>IF(B5&lt;='VALOR POR PL'!$P$5,'CP RESUMO'!D51,"")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HISTORICOS'!E9)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PL'!H15</f>
        <v/>
      </c>
      <c r="L6" s="49">
        <f>C6/IF(B6&lt;='VALOR POR PL'!$P$5,IFERROR(INDEX('"INCC-FGV"'!$B$2:$B$800,MATCH(B6,'"INCC-FGV"'!$A$2:$A$800,0)),$K$2),$K$2)</f>
        <v/>
      </c>
      <c r="M6" s="131">
        <f>'CP RESUMO'!E9</f>
        <v/>
      </c>
      <c r="N6" s="132">
        <f>MAX(0,M6-M5)</f>
        <v/>
      </c>
      <c r="O6" s="131">
        <f>IF(B6&lt;='VALOR POR PL'!$P$5,'CP RESUMO'!E51,"")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HISTORICOS'!F9)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RESUMO'!F9</f>
        <v/>
      </c>
      <c r="N7" s="132">
        <f>MAX(0,M7-M6)</f>
        <v/>
      </c>
      <c r="O7" s="131">
        <f>IF(B7&lt;='VALOR POR PL'!$P$5,'CP RESUMO'!F51,"")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HISTORICOS'!G9)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RESUMO'!G9</f>
        <v/>
      </c>
      <c r="N8" s="132">
        <f>MAX(0,M8-M7)</f>
        <v/>
      </c>
      <c r="O8" s="131">
        <f>IF(B8&lt;='VALOR POR PL'!$P$5,'CP RESUMO'!G51,"")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HISTORICOS'!H9)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RESUMO'!H9</f>
        <v/>
      </c>
      <c r="N9" s="132">
        <f>MAX(0,M9-M8)</f>
        <v/>
      </c>
      <c r="O9" s="131">
        <f>IF(B9&lt;='VALOR POR PL'!$P$5,'CP RESUMO'!H51,"")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RESUMO'!I9</f>
        <v/>
      </c>
      <c r="N10" s="132">
        <f>MAX(0,M10-M9)</f>
        <v/>
      </c>
      <c r="O10" s="131">
        <f>IF(B10&lt;='VALOR POR PL'!$P$5,'CP RESUMO'!I51,"")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RESUMO'!J9</f>
        <v/>
      </c>
      <c r="N11" s="132">
        <f>MAX(0,M11-M10)</f>
        <v/>
      </c>
      <c r="O11" s="131">
        <f>IF(B11&lt;='VALOR POR PL'!$P$5,'CP RESUMO'!J51,"")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RESUMO'!K9</f>
        <v/>
      </c>
      <c r="N12" s="132">
        <f>MAX(0,M12-M11)</f>
        <v/>
      </c>
      <c r="O12" s="131">
        <f>IF(B12&lt;='VALOR POR PL'!$P$5,'CP RESUMO'!K51,"")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PL'!I15</f>
        <v/>
      </c>
      <c r="L13" s="49">
        <f>C13/IF(B13&lt;='VALOR POR PL'!$P$5,IFERROR(INDEX('"INCC-FGV"'!$B$2:$B$800,MATCH(B13,'"INCC-FGV"'!$A$2:$A$800,0)),$K$2),$K$2)</f>
        <v/>
      </c>
      <c r="M13" s="131">
        <f>'CP RESUMO'!L9</f>
        <v/>
      </c>
      <c r="N13" s="132">
        <f>MAX(0,M13-M12)</f>
        <v/>
      </c>
      <c r="O13" s="131">
        <f>IF(B13&lt;='VALOR POR PL'!$P$5,'CP RESUMO'!L51,"")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RESUMO'!$D$51:$BW$51,MATCH('VALOR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RESUMO'!M9</f>
        <v/>
      </c>
      <c r="N14" s="132">
        <f>MAX(0,M14-M13)</f>
        <v/>
      </c>
      <c r="O14" s="131">
        <f>IF(B14&lt;='VALOR POR PL'!$P$5,'CP RESUMO'!M51,"")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RESUMO'!N9</f>
        <v/>
      </c>
      <c r="N15" s="132">
        <f>MAX(0,M15-M14)</f>
        <v/>
      </c>
      <c r="O15" s="131">
        <f>IF(B15&lt;='VALOR POR PL'!$P$5,'CP RESUMO'!N51,"")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RESUMO'!O9</f>
        <v/>
      </c>
      <c r="N16" s="132">
        <f>MAX(0,M16-M15)</f>
        <v/>
      </c>
      <c r="O16" s="131">
        <f>IF(B16&lt;='VALOR POR PL'!$P$5,'CP RESUMO'!O51,"")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RESUMO'!P9</f>
        <v/>
      </c>
      <c r="N17" s="132">
        <f>MAX(0,M17-M16)</f>
        <v/>
      </c>
      <c r="O17" s="131">
        <f>IF(B17&lt;='VALOR POR PL'!$P$5,'CP RESUMO'!P51,"")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RESUMO'!Q9</f>
        <v/>
      </c>
      <c r="N18" s="132">
        <f>MAX(0,M18-M17)</f>
        <v/>
      </c>
      <c r="O18" s="131">
        <f>IF(B18&lt;='VALOR POR PL'!$P$5,'CP RESUMO'!Q51,"")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RESUMO'!R9</f>
        <v/>
      </c>
      <c r="N19" s="132">
        <f>MAX(0,M19-M18)</f>
        <v/>
      </c>
      <c r="O19" s="131">
        <f>IF(B19&lt;='VALOR POR PL'!$P$5,'CP RESUMO'!R51,"")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RESUMO'!S9</f>
        <v/>
      </c>
      <c r="N20" s="132">
        <f>MAX(0,M20-M19)</f>
        <v/>
      </c>
      <c r="O20" s="131">
        <f>IF(B20&lt;='VALOR POR PL'!$P$5,'CP RESUMO'!S51,"")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RESUMO'!T9</f>
        <v/>
      </c>
      <c r="N21" s="132">
        <f>MAX(0,M21-M20)</f>
        <v/>
      </c>
      <c r="O21" s="131">
        <f>IF(B21&lt;='VALOR POR PL'!$P$5,'CP RESUMO'!T51,"")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RESUMO'!U9</f>
        <v/>
      </c>
      <c r="N22" s="132">
        <f>MAX(0,M22-M21)</f>
        <v/>
      </c>
      <c r="O22" s="131">
        <f>IF(B22&lt;='VALOR POR PL'!$P$5,'CP RESUMO'!U51,"")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RESUMO'!V9</f>
        <v/>
      </c>
      <c r="N23" s="132">
        <f>MAX(0,M23-M22)</f>
        <v/>
      </c>
      <c r="O23" s="131">
        <f>IF(B23&lt;='VALOR POR PL'!$P$5,'CP RESUMO'!V51,"")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Sem aba no arquivo original: projeção = orçamento reajustado pelo INCC do corte; saldo em curva linear até dez/2028 (premissa dos indiretos). Confirmar.</t>
        </is>
      </c>
      <c r="L24" s="49">
        <f>C24/IF(B24&lt;='VALOR POR PL'!$P$5,IFERROR(INDEX('"INCC-FGV"'!$B$2:$B$800,MATCH(B24,'"INCC-FGV"'!$A$2:$A$800,0)),$K$2),$K$2)</f>
        <v/>
      </c>
      <c r="M24" s="131">
        <f>'CP RESUMO'!W9</f>
        <v/>
      </c>
      <c r="N24" s="132">
        <f>MAX(0,M24-M23)</f>
        <v/>
      </c>
      <c r="O24" s="131">
        <f>IF(B24&lt;='VALOR POR PL'!$P$5,'CP RESUMO'!W51,"")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RESUMO'!X9</f>
        <v/>
      </c>
      <c r="N25" s="132">
        <f>MAX(0,M25-M24)</f>
        <v/>
      </c>
      <c r="O25" s="131">
        <f>IF(B25&lt;='VALOR POR PL'!$P$5,'CP RESUMO'!X51,"")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1200.13</v>
      </c>
      <c r="L26" s="49">
        <f>C26/IF(B26&lt;='VALOR POR PL'!$P$5,IFERROR(INDEX('"INCC-FGV"'!$B$2:$B$800,MATCH(B26,'"INCC-FGV"'!$A$2:$A$800,0)),$K$2),$K$2)</f>
        <v/>
      </c>
      <c r="M26" s="131">
        <f>'CP RESUMO'!Y9</f>
        <v/>
      </c>
      <c r="N26" s="132">
        <f>MAX(0,M26-M25)</f>
        <v/>
      </c>
      <c r="O26" s="131">
        <f>IF(B26&lt;='VALOR POR PL'!$P$5,'CP RESUMO'!Y51,"")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1200.13</v>
      </c>
      <c r="L27" s="49">
        <f>C27/IF(B27&lt;='VALOR POR PL'!$P$5,IFERROR(INDEX('"INCC-FGV"'!$B$2:$B$800,MATCH(B27,'"INCC-FGV"'!$A$2:$A$800,0)),$K$2),$K$2)</f>
        <v/>
      </c>
      <c r="M27" s="131">
        <f>'CP RESUMO'!Z9</f>
        <v/>
      </c>
      <c r="N27" s="132">
        <f>MAX(0,M27-M26)</f>
        <v/>
      </c>
      <c r="O27" s="131">
        <f>IF(B27&lt;='VALOR POR PL'!$P$5,'CP RESUMO'!Z51,"")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1200.13</v>
      </c>
      <c r="L28" s="49">
        <f>C28/IF(B28&lt;='VALOR POR PL'!$P$5,IFERROR(INDEX('"INCC-FGV"'!$B$2:$B$800,MATCH(B28,'"INCC-FGV"'!$A$2:$A$800,0)),$K$2),$K$2)</f>
        <v/>
      </c>
      <c r="M28" s="131">
        <f>'CP RESUMO'!AA9</f>
        <v/>
      </c>
      <c r="N28" s="132">
        <f>MAX(0,M28-M27)</f>
        <v/>
      </c>
      <c r="O28" s="131">
        <f>IF(B28&lt;='VALOR POR PL'!$P$5,'CP RESUMO'!AA51,"")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1200.13</v>
      </c>
      <c r="L29" s="49">
        <f>C29/IF(B29&lt;='VALOR POR PL'!$P$5,IFERROR(INDEX('"INCC-FGV"'!$B$2:$B$800,MATCH(B29,'"INCC-FGV"'!$A$2:$A$800,0)),$K$2),$K$2)</f>
        <v/>
      </c>
      <c r="M29" s="131">
        <f>'CP RESUMO'!AB9</f>
        <v/>
      </c>
      <c r="N29" s="132">
        <f>MAX(0,M29-M28)</f>
        <v/>
      </c>
      <c r="O29" s="131">
        <f>IF(B29&lt;='VALOR POR PL'!$P$5,'CP RESUMO'!AB51,"")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1200.13</v>
      </c>
      <c r="L30" s="49">
        <f>C30/IF(B30&lt;='VALOR POR PL'!$P$5,IFERROR(INDEX('"INCC-FGV"'!$B$2:$B$800,MATCH(B30,'"INCC-FGV"'!$A$2:$A$800,0)),$K$2),$K$2)</f>
        <v/>
      </c>
      <c r="M30" s="131">
        <f>'CP RESUMO'!AC9</f>
        <v/>
      </c>
      <c r="N30" s="132">
        <f>MAX(0,M30-M29)</f>
        <v/>
      </c>
      <c r="O30" s="131">
        <f>IF(B30&lt;='VALOR POR PL'!$P$5,'CP RESUMO'!AC51,"")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1200.13</v>
      </c>
      <c r="L31" s="49">
        <f>C31/IF(B31&lt;='VALOR POR PL'!$P$5,IFERROR(INDEX('"INCC-FGV"'!$B$2:$B$800,MATCH(B31,'"INCC-FGV"'!$A$2:$A$800,0)),$K$2),$K$2)</f>
        <v/>
      </c>
      <c r="M31" s="131">
        <f>'CP RESUMO'!AD9</f>
        <v/>
      </c>
      <c r="N31" s="132">
        <f>MAX(0,M31-M30)</f>
        <v/>
      </c>
      <c r="O31" s="131">
        <f>IF(B31&lt;='VALOR POR PL'!$P$5,'CP RESUMO'!AD51,"")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1200.13</v>
      </c>
      <c r="L32" s="49">
        <f>C32/IF(B32&lt;='VALOR POR PL'!$P$5,IFERROR(INDEX('"INCC-FGV"'!$B$2:$B$800,MATCH(B32,'"INCC-FGV"'!$A$2:$A$800,0)),$K$2),$K$2)</f>
        <v/>
      </c>
      <c r="M32" s="131">
        <f>'CP RESUMO'!AE9</f>
        <v/>
      </c>
      <c r="N32" s="132">
        <f>MAX(0,M32-M31)</f>
        <v/>
      </c>
      <c r="O32" s="131">
        <f>IF(B32&lt;='VALOR POR PL'!$P$5,'CP RESUMO'!AE51,"")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1200.13</v>
      </c>
      <c r="L33" s="49">
        <f>C33/IF(B33&lt;='VALOR POR PL'!$P$5,IFERROR(INDEX('"INCC-FGV"'!$B$2:$B$800,MATCH(B33,'"INCC-FGV"'!$A$2:$A$800,0)),$K$2),$K$2)</f>
        <v/>
      </c>
      <c r="M33" s="131">
        <f>'CP RESUMO'!AF9</f>
        <v/>
      </c>
      <c r="N33" s="132">
        <f>MAX(0,M33-M32)</f>
        <v/>
      </c>
      <c r="O33" s="131">
        <f>IF(B33&lt;='VALOR POR PL'!$P$5,'CP RESUMO'!AF51,"")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1200.13</v>
      </c>
      <c r="L34" s="49">
        <f>C34/IF(B34&lt;='VALOR POR PL'!$P$5,IFERROR(INDEX('"INCC-FGV"'!$B$2:$B$800,MATCH(B34,'"INCC-FGV"'!$A$2:$A$800,0)),$K$2),$K$2)</f>
        <v/>
      </c>
      <c r="M34" s="131">
        <f>'CP RESUMO'!AG9</f>
        <v/>
      </c>
      <c r="N34" s="132">
        <f>MAX(0,M34-M33)</f>
        <v/>
      </c>
      <c r="O34" s="131">
        <f>IF(B34&lt;='VALOR POR PL'!$P$5,'CP RESUMO'!AG51,"")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1200.13</v>
      </c>
      <c r="L35" s="49">
        <f>C35/IF(B35&lt;='VALOR POR PL'!$P$5,IFERROR(INDEX('"INCC-FGV"'!$B$2:$B$800,MATCH(B35,'"INCC-FGV"'!$A$2:$A$800,0)),$K$2),$K$2)</f>
        <v/>
      </c>
      <c r="M35" s="131">
        <f>'CP RESUMO'!AH9</f>
        <v/>
      </c>
      <c r="N35" s="132">
        <f>MAX(0,M35-M34)</f>
        <v/>
      </c>
      <c r="O35" s="131">
        <f>IF(B35&lt;='VALOR POR PL'!$P$5,'CP RESUMO'!AH51,"")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1200.13</v>
      </c>
      <c r="L36" s="49">
        <f>C36/IF(B36&lt;='VALOR POR PL'!$P$5,IFERROR(INDEX('"INCC-FGV"'!$B$2:$B$800,MATCH(B36,'"INCC-FGV"'!$A$2:$A$800,0)),$K$2),$K$2)</f>
        <v/>
      </c>
      <c r="M36" s="131">
        <f>'CP RESUMO'!AI9</f>
        <v/>
      </c>
      <c r="N36" s="132">
        <f>MAX(0,M36-M35)</f>
        <v/>
      </c>
      <c r="O36" s="131">
        <f>IF(B36&lt;='VALOR POR PL'!$P$5,'CP RESUMO'!AI51,"")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1200.13</v>
      </c>
      <c r="L37" s="49">
        <f>C37/IF(B37&lt;='VALOR POR PL'!$P$5,IFERROR(INDEX('"INCC-FGV"'!$B$2:$B$800,MATCH(B37,'"INCC-FGV"'!$A$2:$A$800,0)),$K$2),$K$2)</f>
        <v/>
      </c>
      <c r="M37" s="131">
        <f>'CP RESUMO'!AJ9</f>
        <v/>
      </c>
      <c r="N37" s="132">
        <f>MAX(0,M37-M36)</f>
        <v/>
      </c>
      <c r="O37" s="131">
        <f>IF(B37&lt;='VALOR POR PL'!$P$5,'CP RESUMO'!AJ51,"")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1200.13</v>
      </c>
      <c r="L38" s="49">
        <f>C38/IF(B38&lt;='VALOR POR PL'!$P$5,IFERROR(INDEX('"INCC-FGV"'!$B$2:$B$800,MATCH(B38,'"INCC-FGV"'!$A$2:$A$800,0)),$K$2),$K$2)</f>
        <v/>
      </c>
      <c r="M38" s="131">
        <f>'CP RESUMO'!AK9</f>
        <v/>
      </c>
      <c r="N38" s="132">
        <f>MAX(0,M38-M37)</f>
        <v/>
      </c>
      <c r="O38" s="131">
        <f>IF(B38&lt;='VALOR POR PL'!$P$5,'CP RESUMO'!AK51,"")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1200.13</v>
      </c>
      <c r="L39" s="49">
        <f>C39/IF(B39&lt;='VALOR POR PL'!$P$5,IFERROR(INDEX('"INCC-FGV"'!$B$2:$B$800,MATCH(B39,'"INCC-FGV"'!$A$2:$A$800,0)),$K$2),$K$2)</f>
        <v/>
      </c>
      <c r="M39" s="131">
        <f>'CP RESUMO'!AL9</f>
        <v/>
      </c>
      <c r="N39" s="132">
        <f>MAX(0,M39-M38)</f>
        <v/>
      </c>
      <c r="O39" s="131">
        <f>IF(B39&lt;='VALOR POR PL'!$P$5,'CP RESUMO'!AL51,"")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1200.13</v>
      </c>
      <c r="L40" s="49">
        <f>C40/IF(B40&lt;='VALOR POR PL'!$P$5,IFERROR(INDEX('"INCC-FGV"'!$B$2:$B$800,MATCH(B40,'"INCC-FGV"'!$A$2:$A$800,0)),$K$2),$K$2)</f>
        <v/>
      </c>
      <c r="M40" s="131">
        <f>'CP RESUMO'!AM9</f>
        <v/>
      </c>
      <c r="N40" s="132">
        <f>MAX(0,M40-M39)</f>
        <v/>
      </c>
      <c r="O40" s="131">
        <f>IF(B40&lt;='VALOR POR PL'!$P$5,'CP RESUMO'!AM51,"")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1200.13</v>
      </c>
      <c r="L41" s="49">
        <f>C41/IF(B41&lt;='VALOR POR PL'!$P$5,IFERROR(INDEX('"INCC-FGV"'!$B$2:$B$800,MATCH(B41,'"INCC-FGV"'!$A$2:$A$800,0)),$K$2),$K$2)</f>
        <v/>
      </c>
      <c r="M41" s="131">
        <f>'CP RESUMO'!AN9</f>
        <v/>
      </c>
      <c r="N41" s="132">
        <f>MAX(0,M41-M40)</f>
        <v/>
      </c>
      <c r="O41" s="131">
        <f>IF(B41&lt;='VALOR POR PL'!$P$5,'CP RESUMO'!AN51,"")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1200.13</v>
      </c>
      <c r="L42" s="49">
        <f>C42/IF(B42&lt;='VALOR POR PL'!$P$5,IFERROR(INDEX('"INCC-FGV"'!$B$2:$B$800,MATCH(B42,'"INCC-FGV"'!$A$2:$A$800,0)),$K$2),$K$2)</f>
        <v/>
      </c>
      <c r="M42" s="131">
        <f>'CP RESUMO'!AO9</f>
        <v/>
      </c>
      <c r="N42" s="132">
        <f>MAX(0,M42-M41)</f>
        <v/>
      </c>
      <c r="O42" s="131">
        <f>IF(B42&lt;='VALOR POR PL'!$P$5,'CP RESUMO'!AO51,"")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1200.13</v>
      </c>
      <c r="L43" s="49">
        <f>C43/IF(B43&lt;='VALOR POR PL'!$P$5,IFERROR(INDEX('"INCC-FGV"'!$B$2:$B$800,MATCH(B43,'"INCC-FGV"'!$A$2:$A$800,0)),$K$2),$K$2)</f>
        <v/>
      </c>
      <c r="M43" s="131">
        <f>'CP RESUMO'!AP9</f>
        <v/>
      </c>
      <c r="N43" s="132">
        <f>MAX(0,M43-M42)</f>
        <v/>
      </c>
      <c r="O43" s="131">
        <f>IF(B43&lt;='VALOR POR PL'!$P$5,'CP RESUMO'!AP51,"")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1200.13</v>
      </c>
      <c r="L44" s="49">
        <f>C44/IF(B44&lt;='VALOR POR PL'!$P$5,IFERROR(INDEX('"INCC-FGV"'!$B$2:$B$800,MATCH(B44,'"INCC-FGV"'!$A$2:$A$800,0)),$K$2),$K$2)</f>
        <v/>
      </c>
      <c r="M44" s="131">
        <f>'CP RESUMO'!AQ9</f>
        <v/>
      </c>
      <c r="N44" s="132">
        <f>MAX(0,M44-M43)</f>
        <v/>
      </c>
      <c r="O44" s="131">
        <f>IF(B44&lt;='VALOR POR PL'!$P$5,'CP RESUMO'!AQ51,"")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1200.13</v>
      </c>
      <c r="L45" s="49">
        <f>C45/IF(B45&lt;='VALOR POR PL'!$P$5,IFERROR(INDEX('"INCC-FGV"'!$B$2:$B$800,MATCH(B45,'"INCC-FGV"'!$A$2:$A$800,0)),$K$2),$K$2)</f>
        <v/>
      </c>
      <c r="M45" s="131">
        <f>'CP RESUMO'!AR9</f>
        <v/>
      </c>
      <c r="N45" s="132">
        <f>MAX(0,M45-M44)</f>
        <v/>
      </c>
      <c r="O45" s="131">
        <f>IF(B45&lt;='VALOR POR PL'!$P$5,'CP RESUMO'!AR51,"")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1200.13</v>
      </c>
      <c r="L46" s="49">
        <f>C46/IF(B46&lt;='VALOR POR PL'!$P$5,IFERROR(INDEX('"INCC-FGV"'!$B$2:$B$800,MATCH(B46,'"INCC-FGV"'!$A$2:$A$800,0)),$K$2),$K$2)</f>
        <v/>
      </c>
      <c r="M46" s="131">
        <f>'CP RESUMO'!AS9</f>
        <v/>
      </c>
      <c r="N46" s="132">
        <f>MAX(0,M46-M45)</f>
        <v/>
      </c>
      <c r="O46" s="131">
        <f>IF(B46&lt;='VALOR POR PL'!$P$5,'CP RESUMO'!AS51,"")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1200.13</v>
      </c>
      <c r="L47" s="49">
        <f>C47/IF(B47&lt;='VALOR POR PL'!$P$5,IFERROR(INDEX('"INCC-FGV"'!$B$2:$B$800,MATCH(B47,'"INCC-FGV"'!$A$2:$A$800,0)),$K$2),$K$2)</f>
        <v/>
      </c>
      <c r="M47" s="131">
        <f>'CP RESUMO'!AT9</f>
        <v/>
      </c>
      <c r="N47" s="132">
        <f>MAX(0,M47-M46)</f>
        <v/>
      </c>
      <c r="O47" s="131">
        <f>IF(B47&lt;='VALOR POR PL'!$P$5,'CP RESUMO'!AT51,"")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1200.13</v>
      </c>
      <c r="L48" s="49">
        <f>C48/IF(B48&lt;='VALOR POR PL'!$P$5,IFERROR(INDEX('"INCC-FGV"'!$B$2:$B$800,MATCH(B48,'"INCC-FGV"'!$A$2:$A$800,0)),$K$2),$K$2)</f>
        <v/>
      </c>
      <c r="M48" s="131">
        <f>'CP RESUMO'!AU9</f>
        <v/>
      </c>
      <c r="N48" s="132">
        <f>MAX(0,M48-M47)</f>
        <v/>
      </c>
      <c r="O48" s="131">
        <f>IF(B48&lt;='VALOR POR PL'!$P$5,'CP RESUMO'!AU51,"")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1200.13</v>
      </c>
      <c r="L49" s="49">
        <f>C49/IF(B49&lt;='VALOR POR PL'!$P$5,IFERROR(INDEX('"INCC-FGV"'!$B$2:$B$800,MATCH(B49,'"INCC-FGV"'!$A$2:$A$800,0)),$K$2),$K$2)</f>
        <v/>
      </c>
      <c r="M49" s="131">
        <f>'CP RESUMO'!AV9</f>
        <v/>
      </c>
      <c r="N49" s="132">
        <f>MAX(0,M49-M48)</f>
        <v/>
      </c>
      <c r="O49" s="131">
        <f>IF(B49&lt;='VALOR POR PL'!$P$5,'CP RESUMO'!AV51,"")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1200.13</v>
      </c>
      <c r="L50" s="49">
        <f>C50/IF(B50&lt;='VALOR POR PL'!$P$5,IFERROR(INDEX('"INCC-FGV"'!$B$2:$B$800,MATCH(B50,'"INCC-FGV"'!$A$2:$A$800,0)),$K$2),$K$2)</f>
        <v/>
      </c>
      <c r="M50" s="131">
        <f>'CP RESUMO'!AW9</f>
        <v/>
      </c>
      <c r="N50" s="132">
        <f>MAX(0,M50-M49)</f>
        <v/>
      </c>
      <c r="O50" s="131">
        <f>IF(B50&lt;='VALOR POR PL'!$P$5,'CP RESUMO'!AW51,"")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1200.13</v>
      </c>
      <c r="L51" s="49">
        <f>C51/IF(B51&lt;='VALOR POR PL'!$P$5,IFERROR(INDEX('"INCC-FGV"'!$B$2:$B$800,MATCH(B51,'"INCC-FGV"'!$A$2:$A$800,0)),$K$2),$K$2)</f>
        <v/>
      </c>
      <c r="M51" s="131">
        <f>'CP RESUMO'!AX9</f>
        <v/>
      </c>
      <c r="N51" s="132">
        <f>MAX(0,M51-M50)</f>
        <v/>
      </c>
      <c r="O51" s="131">
        <f>IF(B51&lt;='VALOR POR PL'!$P$5,'CP RESUMO'!AX51,"")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1200.13</v>
      </c>
      <c r="L52" s="49">
        <f>C52/IF(B52&lt;='VALOR POR PL'!$P$5,IFERROR(INDEX('"INCC-FGV"'!$B$2:$B$800,MATCH(B52,'"INCC-FGV"'!$A$2:$A$800,0)),$K$2),$K$2)</f>
        <v/>
      </c>
      <c r="M52" s="131">
        <f>'CP RESUMO'!AY9</f>
        <v/>
      </c>
      <c r="N52" s="132">
        <f>MAX(0,M52-M51)</f>
        <v/>
      </c>
      <c r="O52" s="131">
        <f>IF(B52&lt;='VALOR POR PL'!$P$5,'CP RESUMO'!AY51,"")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>
        <v>1200.13</v>
      </c>
      <c r="L53" s="49">
        <f>C53/IF(B53&lt;='VALOR POR PL'!$P$5,IFERROR(INDEX('"INCC-FGV"'!$B$2:$B$800,MATCH(B53,'"INCC-FGV"'!$A$2:$A$800,0)),$K$2),$K$2)</f>
        <v/>
      </c>
      <c r="M53" s="131">
        <f>'CP RESUMO'!AZ9</f>
        <v/>
      </c>
      <c r="N53" s="132">
        <f>MAX(0,M53-M52)</f>
        <v/>
      </c>
      <c r="O53" s="131">
        <f>IF(B53&lt;='VALOR POR PL'!$P$5,'CP RESUMO'!AZ51,"")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RESUMO'!BA9</f>
        <v/>
      </c>
      <c r="N54" s="132">
        <f>MAX(0,M54-M53)</f>
        <v/>
      </c>
      <c r="O54" s="131">
        <f>IF(B54&lt;='VALOR POR PL'!$P$5,'CP RESUMO'!BA51,"")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RESUMO'!BB9</f>
        <v/>
      </c>
      <c r="N55" s="132">
        <f>MAX(0,M55-M54)</f>
        <v/>
      </c>
      <c r="O55" s="131">
        <f>IF(B55&lt;='VALOR POR PL'!$P$5,'CP RESUMO'!BB51,"")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RESUMO'!BC9</f>
        <v/>
      </c>
      <c r="N56" s="132">
        <f>MAX(0,M56-M55)</f>
        <v/>
      </c>
      <c r="O56" s="131">
        <f>IF(B56&lt;='VALOR POR PL'!$P$5,'CP RESUMO'!BC51,"")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RESUMO'!BD9</f>
        <v/>
      </c>
      <c r="N57" s="132">
        <f>MAX(0,M57-M56)</f>
        <v/>
      </c>
      <c r="O57" s="131">
        <f>IF(B57&lt;='VALOR POR PL'!$P$5,'CP RESUMO'!BD51,"")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RESUMO'!BE9</f>
        <v/>
      </c>
      <c r="N58" s="132">
        <f>MAX(0,M58-M57)</f>
        <v/>
      </c>
      <c r="O58" s="131">
        <f>IF(B58&lt;='VALOR POR PL'!$P$5,'CP RESUMO'!BE51,"")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RESUMO'!BF9</f>
        <v/>
      </c>
      <c r="N59" s="132">
        <f>MAX(0,M59-M58)</f>
        <v/>
      </c>
      <c r="O59" s="131">
        <f>IF(B59&lt;='VALOR POR PL'!$P$5,'CP RESUMO'!BF51,"")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RESUMO'!BG9</f>
        <v/>
      </c>
      <c r="N60" s="132">
        <f>MAX(0,M60-M59)</f>
        <v/>
      </c>
      <c r="O60" s="131">
        <f>IF(B60&lt;='VALOR POR PL'!$P$5,'CP RESUMO'!BG51,"")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RESUMO'!BH9</f>
        <v/>
      </c>
      <c r="N61" s="132">
        <f>MAX(0,M61-M60)</f>
        <v/>
      </c>
      <c r="O61" s="131">
        <f>IF(B61&lt;='VALOR POR PL'!$P$5,'CP RESUMO'!BH51,"")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RESUMO'!BI9</f>
        <v/>
      </c>
      <c r="N62" s="132">
        <f>MAX(0,M62-M61)</f>
        <v/>
      </c>
      <c r="O62" s="131">
        <f>IF(B62&lt;='VALOR POR PL'!$P$5,'CP RESUMO'!BI51,"")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RESUMO'!BJ9</f>
        <v/>
      </c>
      <c r="N63" s="132">
        <f>MAX(0,M63-M62)</f>
        <v/>
      </c>
      <c r="O63" s="131">
        <f>IF(B63&lt;='VALOR POR PL'!$P$5,'CP RESUMO'!BJ51,"")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RESUMO'!BK9</f>
        <v/>
      </c>
      <c r="N64" s="132">
        <f>MAX(0,M64-M63)</f>
        <v/>
      </c>
      <c r="O64" s="131">
        <f>IF(B64&lt;='VALOR POR PL'!$P$5,'CP RESUMO'!BK51,"")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RESUMO'!BL9</f>
        <v/>
      </c>
      <c r="N65" s="132">
        <f>MAX(0,M65-M64)</f>
        <v/>
      </c>
      <c r="O65" s="131">
        <f>IF(B65&lt;='VALOR POR PL'!$P$5,'CP RESUMO'!BL51,"")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RESUMO'!BM9</f>
        <v/>
      </c>
      <c r="N66" s="132">
        <f>MAX(0,M66-M65)</f>
        <v/>
      </c>
      <c r="O66" s="131">
        <f>IF(B66&lt;='VALOR POR PL'!$P$5,'CP RESUMO'!BM51,"")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RESUMO'!BN9</f>
        <v/>
      </c>
      <c r="N67" s="132">
        <f>MAX(0,M67-M66)</f>
        <v/>
      </c>
      <c r="O67" s="131">
        <f>IF(B67&lt;='VALOR POR PL'!$P$5,'CP RESUMO'!BN51,"")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RESUMO'!BO9</f>
        <v/>
      </c>
      <c r="N68" s="132">
        <f>MAX(0,M68-M67)</f>
        <v/>
      </c>
      <c r="O68" s="131">
        <f>IF(B68&lt;='VALOR POR PL'!$P$5,'CP RESUMO'!BO51,"")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RESUMO'!BP9</f>
        <v/>
      </c>
      <c r="N69" s="132">
        <f>MAX(0,M69-M68)</f>
        <v/>
      </c>
      <c r="O69" s="131">
        <f>IF(B69&lt;='VALOR POR PL'!$P$5,'CP RESUMO'!BP51,"")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RESUMO'!BQ9</f>
        <v/>
      </c>
      <c r="N70" s="132">
        <f>MAX(0,M70-M69)</f>
        <v/>
      </c>
      <c r="O70" s="131">
        <f>IF(B70&lt;='VALOR POR PL'!$P$5,'CP RESUMO'!BQ51,"")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RESUMO'!BR9</f>
        <v/>
      </c>
      <c r="N71" s="132">
        <f>MAX(0,M71-M70)</f>
        <v/>
      </c>
      <c r="O71" s="131">
        <f>IF(B71&lt;='VALOR POR PL'!$P$5,'CP RESUMO'!BR51,"")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RESUMO'!BS9</f>
        <v/>
      </c>
      <c r="N72" s="132">
        <f>MAX(0,M72-M71)</f>
        <v/>
      </c>
      <c r="O72" s="131">
        <f>IF(B72&lt;='VALOR POR PL'!$P$5,'CP RESUMO'!BS51,"")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RESUMO'!BT9</f>
        <v/>
      </c>
      <c r="N73" s="132">
        <f>MAX(0,M73-M72)</f>
        <v/>
      </c>
      <c r="O73" s="131">
        <f>IF(B73&lt;='VALOR POR PL'!$P$5,'CP RESUMO'!BT51,"")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RESUMO'!BU9</f>
        <v/>
      </c>
      <c r="N74" s="132">
        <f>MAX(0,M74-M73)</f>
        <v/>
      </c>
      <c r="O74" s="131">
        <f>IF(B74&lt;='VALOR POR PL'!$P$5,'CP RESUMO'!BU51,"")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RESUMO'!BV9</f>
        <v/>
      </c>
      <c r="N75" s="132">
        <f>MAX(0,M75-M74)</f>
        <v/>
      </c>
      <c r="O75" s="131">
        <f>IF(B75&lt;='VALOR POR PL'!$P$5,'CP RESUMO'!BV51,"")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RESUMO'!BW9</f>
        <v/>
      </c>
      <c r="N76" s="132">
        <f>MAX(0,M76-M75)</f>
        <v/>
      </c>
      <c r="O76" s="131">
        <f>IF(B76&lt;='VALOR POR PL'!$P$5,'CP RESUMO'!BW51,"")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HISTORICOS'!D10)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PL'!F16</f>
        <v/>
      </c>
      <c r="K5" s="60">
        <f>'VALOR POR PL'!G16</f>
        <v/>
      </c>
      <c r="L5" s="60">
        <f>'DADOS HISTORICOS'!$BZ$10</f>
        <v/>
      </c>
      <c r="M5" s="131">
        <f>'CP RESUMO'!D10</f>
        <v/>
      </c>
      <c r="N5" s="132" t="n">
        <v>0</v>
      </c>
      <c r="O5" s="131">
        <f>IF(B5&lt;='VALOR POR PL'!$P$5,'CP RESUMO'!D52,"")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HISTORICOS'!E10)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PL'!H16</f>
        <v/>
      </c>
      <c r="L6" s="49">
        <f>C6/IF(B6&lt;='VALOR POR PL'!$P$5,IFERROR(INDEX('"INCC-FGV"'!$B$2:$B$800,MATCH(B6,'"INCC-FGV"'!$A$2:$A$800,0)),$K$2),$K$2)</f>
        <v/>
      </c>
      <c r="M6" s="131">
        <f>'CP RESUMO'!E10</f>
        <v/>
      </c>
      <c r="N6" s="132">
        <f>MAX(0,M6-M5)</f>
        <v/>
      </c>
      <c r="O6" s="131">
        <f>IF(B6&lt;='VALOR POR PL'!$P$5,'CP RESUMO'!E52,"")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HISTORICOS'!F10)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RESUMO'!F10</f>
        <v/>
      </c>
      <c r="N7" s="132">
        <f>MAX(0,M7-M6)</f>
        <v/>
      </c>
      <c r="O7" s="131">
        <f>IF(B7&lt;='VALOR POR PL'!$P$5,'CP RESUMO'!F52,"")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HISTORICOS'!G10)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RESUMO'!G10</f>
        <v/>
      </c>
      <c r="N8" s="132">
        <f>MAX(0,M8-M7)</f>
        <v/>
      </c>
      <c r="O8" s="131">
        <f>IF(B8&lt;='VALOR POR PL'!$P$5,'CP RESUMO'!G52,"")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HISTORICOS'!H10)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RESUMO'!H10</f>
        <v/>
      </c>
      <c r="N9" s="132">
        <f>MAX(0,M9-M8)</f>
        <v/>
      </c>
      <c r="O9" s="131">
        <f>IF(B9&lt;='VALOR POR PL'!$P$5,'CP RESUMO'!H52,"")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RESUMO'!I10</f>
        <v/>
      </c>
      <c r="N10" s="132">
        <f>MAX(0,M10-M9)</f>
        <v/>
      </c>
      <c r="O10" s="131">
        <f>IF(B10&lt;='VALOR POR PL'!$P$5,'CP RESUMO'!I52,"")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RESUMO'!J10</f>
        <v/>
      </c>
      <c r="N11" s="132">
        <f>MAX(0,M11-M10)</f>
        <v/>
      </c>
      <c r="O11" s="131">
        <f>IF(B11&lt;='VALOR POR PL'!$P$5,'CP RESUMO'!J52,"")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RESUMO'!K10</f>
        <v/>
      </c>
      <c r="N12" s="132">
        <f>MAX(0,M12-M11)</f>
        <v/>
      </c>
      <c r="O12" s="131">
        <f>IF(B12&lt;='VALOR POR PL'!$P$5,'CP RESUMO'!K52,"")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PL'!I16</f>
        <v/>
      </c>
      <c r="L13" s="49">
        <f>C13/IF(B13&lt;='VALOR POR PL'!$P$5,IFERROR(INDEX('"INCC-FGV"'!$B$2:$B$800,MATCH(B13,'"INCC-FGV"'!$A$2:$A$800,0)),$K$2),$K$2)</f>
        <v/>
      </c>
      <c r="M13" s="131">
        <f>'CP RESUMO'!L10</f>
        <v/>
      </c>
      <c r="N13" s="132">
        <f>MAX(0,M13-M12)</f>
        <v/>
      </c>
      <c r="O13" s="131">
        <f>IF(B13&lt;='VALOR POR PL'!$P$5,'CP RESUMO'!L52,"")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RESUMO'!$D$52:$BW$52,MATCH('VALOR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RESUMO'!M10</f>
        <v/>
      </c>
      <c r="N14" s="132">
        <f>MAX(0,M14-M13)</f>
        <v/>
      </c>
      <c r="O14" s="131">
        <f>IF(B14&lt;='VALOR POR PL'!$P$5,'CP RESUMO'!M52,"")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RESUMO'!N10</f>
        <v/>
      </c>
      <c r="N15" s="132">
        <f>MAX(0,M15-M14)</f>
        <v/>
      </c>
      <c r="O15" s="131">
        <f>IF(B15&lt;='VALOR POR PL'!$P$5,'CP RESUMO'!N52,"")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RESUMO'!O10</f>
        <v/>
      </c>
      <c r="N16" s="132">
        <f>MAX(0,M16-M15)</f>
        <v/>
      </c>
      <c r="O16" s="131">
        <f>IF(B16&lt;='VALOR POR PL'!$P$5,'CP RESUMO'!O52,"")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RESUMO'!P10</f>
        <v/>
      </c>
      <c r="N17" s="132">
        <f>MAX(0,M17-M16)</f>
        <v/>
      </c>
      <c r="O17" s="131">
        <f>IF(B17&lt;='VALOR POR PL'!$P$5,'CP RESUMO'!P52,"")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RESUMO'!Q10</f>
        <v/>
      </c>
      <c r="N18" s="132">
        <f>MAX(0,M18-M17)</f>
        <v/>
      </c>
      <c r="O18" s="131">
        <f>IF(B18&lt;='VALOR POR PL'!$P$5,'CP RESUMO'!Q52,"")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RESUMO'!R10</f>
        <v/>
      </c>
      <c r="N19" s="132">
        <f>MAX(0,M19-M18)</f>
        <v/>
      </c>
      <c r="O19" s="131">
        <f>IF(B19&lt;='VALOR POR PL'!$P$5,'CP RESUMO'!R52,"")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RESUMO'!S10</f>
        <v/>
      </c>
      <c r="N20" s="132">
        <f>MAX(0,M20-M19)</f>
        <v/>
      </c>
      <c r="O20" s="131">
        <f>IF(B20&lt;='VALOR POR PL'!$P$5,'CP RESUMO'!S52,"")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RESUMO'!T10</f>
        <v/>
      </c>
      <c r="N21" s="132">
        <f>MAX(0,M21-M20)</f>
        <v/>
      </c>
      <c r="O21" s="131">
        <f>IF(B21&lt;='VALOR POR PL'!$P$5,'CP RESUMO'!T52,"")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RESUMO'!U10</f>
        <v/>
      </c>
      <c r="N22" s="132">
        <f>MAX(0,M22-M21)</f>
        <v/>
      </c>
      <c r="O22" s="131">
        <f>IF(B22&lt;='VALOR POR PL'!$P$5,'CP RESUMO'!U52,"")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RESUMO'!V10</f>
        <v/>
      </c>
      <c r="N23" s="132">
        <f>MAX(0,M23-M22)</f>
        <v/>
      </c>
      <c r="O23" s="131">
        <f>IF(B23&lt;='VALOR POR PL'!$P$5,'CP RESUMO'!V52,"")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RESUMO'!W10</f>
        <v/>
      </c>
      <c r="N24" s="132">
        <f>MAX(0,M24-M23)</f>
        <v/>
      </c>
      <c r="O24" s="131">
        <f>IF(B24&lt;='VALOR POR PL'!$P$5,'CP RESUMO'!W52,"")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RESUMO'!X10</f>
        <v/>
      </c>
      <c r="N25" s="132">
        <f>MAX(0,M25-M24)</f>
        <v/>
      </c>
      <c r="O25" s="131">
        <f>IF(B25&lt;='VALOR POR PL'!$P$5,'CP RESUMO'!X52,"")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10923.41</v>
      </c>
      <c r="L26" s="49">
        <f>C26/IF(B26&lt;='VALOR POR PL'!$P$5,IFERROR(INDEX('"INCC-FGV"'!$B$2:$B$800,MATCH(B26,'"INCC-FGV"'!$A$2:$A$800,0)),$K$2),$K$2)</f>
        <v/>
      </c>
      <c r="M26" s="131">
        <f>'CP RESUMO'!Y10</f>
        <v/>
      </c>
      <c r="N26" s="132">
        <f>MAX(0,M26-M25)</f>
        <v/>
      </c>
      <c r="O26" s="131">
        <f>IF(B26&lt;='VALOR POR PL'!$P$5,'CP RESUMO'!Y52,"")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11941.36</v>
      </c>
      <c r="L27" s="49">
        <f>C27/IF(B27&lt;='VALOR POR PL'!$P$5,IFERROR(INDEX('"INCC-FGV"'!$B$2:$B$800,MATCH(B27,'"INCC-FGV"'!$A$2:$A$800,0)),$K$2),$K$2)</f>
        <v/>
      </c>
      <c r="M27" s="131">
        <f>'CP RESUMO'!Z10</f>
        <v/>
      </c>
      <c r="N27" s="132">
        <f>MAX(0,M27-M26)</f>
        <v/>
      </c>
      <c r="O27" s="131">
        <f>IF(B27&lt;='VALOR POR PL'!$P$5,'CP RESUMO'!Z52,"")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11856.53</v>
      </c>
      <c r="L28" s="49">
        <f>C28/IF(B28&lt;='VALOR POR PL'!$P$5,IFERROR(INDEX('"INCC-FGV"'!$B$2:$B$800,MATCH(B28,'"INCC-FGV"'!$A$2:$A$800,0)),$K$2),$K$2)</f>
        <v/>
      </c>
      <c r="M28" s="131">
        <f>'CP RESUMO'!AA10</f>
        <v/>
      </c>
      <c r="N28" s="132">
        <f>MAX(0,M28-M27)</f>
        <v/>
      </c>
      <c r="O28" s="131">
        <f>IF(B28&lt;='VALOR POR PL'!$P$5,'CP RESUMO'!AA52,"")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11856.53</v>
      </c>
      <c r="L29" s="49">
        <f>C29/IF(B29&lt;='VALOR POR PL'!$P$5,IFERROR(INDEX('"INCC-FGV"'!$B$2:$B$800,MATCH(B29,'"INCC-FGV"'!$A$2:$A$800,0)),$K$2),$K$2)</f>
        <v/>
      </c>
      <c r="M29" s="131">
        <f>'CP RESUMO'!AB10</f>
        <v/>
      </c>
      <c r="N29" s="132">
        <f>MAX(0,M29-M28)</f>
        <v/>
      </c>
      <c r="O29" s="131">
        <f>IF(B29&lt;='VALOR POR PL'!$P$5,'CP RESUMO'!AB52,"")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12535.16</v>
      </c>
      <c r="L30" s="49">
        <f>C30/IF(B30&lt;='VALOR POR PL'!$P$5,IFERROR(INDEX('"INCC-FGV"'!$B$2:$B$800,MATCH(B30,'"INCC-FGV"'!$A$2:$A$800,0)),$K$2),$K$2)</f>
        <v/>
      </c>
      <c r="M30" s="131">
        <f>'CP RESUMO'!AC10</f>
        <v/>
      </c>
      <c r="N30" s="132">
        <f>MAX(0,M30-M29)</f>
        <v/>
      </c>
      <c r="O30" s="131">
        <f>IF(B30&lt;='VALOR POR PL'!$P$5,'CP RESUMO'!AC52,"")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12959.3</v>
      </c>
      <c r="L31" s="49">
        <f>C31/IF(B31&lt;='VALOR POR PL'!$P$5,IFERROR(INDEX('"INCC-FGV"'!$B$2:$B$800,MATCH(B31,'"INCC-FGV"'!$A$2:$A$800,0)),$K$2),$K$2)</f>
        <v/>
      </c>
      <c r="M31" s="131">
        <f>'CP RESUMO'!AD10</f>
        <v/>
      </c>
      <c r="N31" s="132">
        <f>MAX(0,M31-M30)</f>
        <v/>
      </c>
      <c r="O31" s="131">
        <f>IF(B31&lt;='VALOR POR PL'!$P$5,'CP RESUMO'!AD52,"")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13722.76</v>
      </c>
      <c r="L32" s="49">
        <f>C32/IF(B32&lt;='VALOR POR PL'!$P$5,IFERROR(INDEX('"INCC-FGV"'!$B$2:$B$800,MATCH(B32,'"INCC-FGV"'!$A$2:$A$800,0)),$K$2),$K$2)</f>
        <v/>
      </c>
      <c r="M32" s="131">
        <f>'CP RESUMO'!AE10</f>
        <v/>
      </c>
      <c r="N32" s="132">
        <f>MAX(0,M32-M31)</f>
        <v/>
      </c>
      <c r="O32" s="131">
        <f>IF(B32&lt;='VALOR POR PL'!$P$5,'CP RESUMO'!AE52,"")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19088.95</v>
      </c>
      <c r="L33" s="49">
        <f>C33/IF(B33&lt;='VALOR POR PL'!$P$5,IFERROR(INDEX('"INCC-FGV"'!$B$2:$B$800,MATCH(B33,'"INCC-FGV"'!$A$2:$A$800,0)),$K$2),$K$2)</f>
        <v/>
      </c>
      <c r="M33" s="131">
        <f>'CP RESUMO'!AF10</f>
        <v/>
      </c>
      <c r="N33" s="132">
        <f>MAX(0,M33-M32)</f>
        <v/>
      </c>
      <c r="O33" s="131">
        <f>IF(B33&lt;='VALOR POR PL'!$P$5,'CP RESUMO'!AF52,"")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20647.7</v>
      </c>
      <c r="L34" s="49">
        <f>C34/IF(B34&lt;='VALOR POR PL'!$P$5,IFERROR(INDEX('"INCC-FGV"'!$B$2:$B$800,MATCH(B34,'"INCC-FGV"'!$A$2:$A$800,0)),$K$2),$K$2)</f>
        <v/>
      </c>
      <c r="M34" s="131">
        <f>'CP RESUMO'!AG10</f>
        <v/>
      </c>
      <c r="N34" s="132">
        <f>MAX(0,M34-M33)</f>
        <v/>
      </c>
      <c r="O34" s="131">
        <f>IF(B34&lt;='VALOR POR PL'!$P$5,'CP RESUMO'!AG52,"")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21292.17</v>
      </c>
      <c r="L35" s="49">
        <f>C35/IF(B35&lt;='VALOR POR PL'!$P$5,IFERROR(INDEX('"INCC-FGV"'!$B$2:$B$800,MATCH(B35,'"INCC-FGV"'!$A$2:$A$800,0)),$K$2),$K$2)</f>
        <v/>
      </c>
      <c r="M35" s="131">
        <f>'CP RESUMO'!AH10</f>
        <v/>
      </c>
      <c r="N35" s="132">
        <f>MAX(0,M35-M34)</f>
        <v/>
      </c>
      <c r="O35" s="131">
        <f>IF(B35&lt;='VALOR POR PL'!$P$5,'CP RESUMO'!AH52,"")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19078.46</v>
      </c>
      <c r="L36" s="49">
        <f>C36/IF(B36&lt;='VALOR POR PL'!$P$5,IFERROR(INDEX('"INCC-FGV"'!$B$2:$B$800,MATCH(B36,'"INCC-FGV"'!$A$2:$A$800,0)),$K$2),$K$2)</f>
        <v/>
      </c>
      <c r="M36" s="131">
        <f>'CP RESUMO'!AI10</f>
        <v/>
      </c>
      <c r="N36" s="132">
        <f>MAX(0,M36-M35)</f>
        <v/>
      </c>
      <c r="O36" s="131">
        <f>IF(B36&lt;='VALOR POR PL'!$P$5,'CP RESUMO'!AI52,"")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18458.35</v>
      </c>
      <c r="L37" s="49">
        <f>C37/IF(B37&lt;='VALOR POR PL'!$P$5,IFERROR(INDEX('"INCC-FGV"'!$B$2:$B$800,MATCH(B37,'"INCC-FGV"'!$A$2:$A$800,0)),$K$2),$K$2)</f>
        <v/>
      </c>
      <c r="M37" s="131">
        <f>'CP RESUMO'!AJ10</f>
        <v/>
      </c>
      <c r="N37" s="132">
        <f>MAX(0,M37-M36)</f>
        <v/>
      </c>
      <c r="O37" s="131">
        <f>IF(B37&lt;='VALOR POR PL'!$P$5,'CP RESUMO'!AJ52,"")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18251.99</v>
      </c>
      <c r="L38" s="49">
        <f>C38/IF(B38&lt;='VALOR POR PL'!$P$5,IFERROR(INDEX('"INCC-FGV"'!$B$2:$B$800,MATCH(B38,'"INCC-FGV"'!$A$2:$A$800,0)),$K$2),$K$2)</f>
        <v/>
      </c>
      <c r="M38" s="131">
        <f>'CP RESUMO'!AK10</f>
        <v/>
      </c>
      <c r="N38" s="132">
        <f>MAX(0,M38-M37)</f>
        <v/>
      </c>
      <c r="O38" s="131">
        <f>IF(B38&lt;='VALOR POR PL'!$P$5,'CP RESUMO'!AK52,"")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17901.08</v>
      </c>
      <c r="L39" s="49">
        <f>C39/IF(B39&lt;='VALOR POR PL'!$P$5,IFERROR(INDEX('"INCC-FGV"'!$B$2:$B$800,MATCH(B39,'"INCC-FGV"'!$A$2:$A$800,0)),$K$2),$K$2)</f>
        <v/>
      </c>
      <c r="M39" s="131">
        <f>'CP RESUMO'!AL10</f>
        <v/>
      </c>
      <c r="N39" s="132">
        <f>MAX(0,M39-M38)</f>
        <v/>
      </c>
      <c r="O39" s="131">
        <f>IF(B39&lt;='VALOR POR PL'!$P$5,'CP RESUMO'!AL52,"")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14857.92</v>
      </c>
      <c r="L40" s="49">
        <f>C40/IF(B40&lt;='VALOR POR PL'!$P$5,IFERROR(INDEX('"INCC-FGV"'!$B$2:$B$800,MATCH(B40,'"INCC-FGV"'!$A$2:$A$800,0)),$K$2),$K$2)</f>
        <v/>
      </c>
      <c r="M40" s="131">
        <f>'CP RESUMO'!AM10</f>
        <v/>
      </c>
      <c r="N40" s="132">
        <f>MAX(0,M40-M39)</f>
        <v/>
      </c>
      <c r="O40" s="131">
        <f>IF(B40&lt;='VALOR POR PL'!$P$5,'CP RESUMO'!AM52,"")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17071.94</v>
      </c>
      <c r="L41" s="49">
        <f>C41/IF(B41&lt;='VALOR POR PL'!$P$5,IFERROR(INDEX('"INCC-FGV"'!$B$2:$B$800,MATCH(B41,'"INCC-FGV"'!$A$2:$A$800,0)),$K$2),$K$2)</f>
        <v/>
      </c>
      <c r="M41" s="131">
        <f>'CP RESUMO'!AN10</f>
        <v/>
      </c>
      <c r="N41" s="132">
        <f>MAX(0,M41-M40)</f>
        <v/>
      </c>
      <c r="O41" s="131">
        <f>IF(B41&lt;='VALOR POR PL'!$P$5,'CP RESUMO'!AN52,"")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16919.97</v>
      </c>
      <c r="L42" s="49">
        <f>C42/IF(B42&lt;='VALOR POR PL'!$P$5,IFERROR(INDEX('"INCC-FGV"'!$B$2:$B$800,MATCH(B42,'"INCC-FGV"'!$A$2:$A$800,0)),$K$2),$K$2)</f>
        <v/>
      </c>
      <c r="M42" s="131">
        <f>'CP RESUMO'!AO10</f>
        <v/>
      </c>
      <c r="N42" s="132">
        <f>MAX(0,M42-M41)</f>
        <v/>
      </c>
      <c r="O42" s="131">
        <f>IF(B42&lt;='VALOR POR PL'!$P$5,'CP RESUMO'!AO52,"")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10976.72</v>
      </c>
      <c r="L43" s="49">
        <f>C43/IF(B43&lt;='VALOR POR PL'!$P$5,IFERROR(INDEX('"INCC-FGV"'!$B$2:$B$800,MATCH(B43,'"INCC-FGV"'!$A$2:$A$800,0)),$K$2),$K$2)</f>
        <v/>
      </c>
      <c r="M43" s="131">
        <f>'CP RESUMO'!AP10</f>
        <v/>
      </c>
      <c r="N43" s="132">
        <f>MAX(0,M43-M42)</f>
        <v/>
      </c>
      <c r="O43" s="131">
        <f>IF(B43&lt;='VALOR POR PL'!$P$5,'CP RESUMO'!AP52,"")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7212.89</v>
      </c>
      <c r="L44" s="49">
        <f>C44/IF(B44&lt;='VALOR POR PL'!$P$5,IFERROR(INDEX('"INCC-FGV"'!$B$2:$B$800,MATCH(B44,'"INCC-FGV"'!$A$2:$A$800,0)),$K$2),$K$2)</f>
        <v/>
      </c>
      <c r="M44" s="131">
        <f>'CP RESUMO'!AQ10</f>
        <v/>
      </c>
      <c r="N44" s="132">
        <f>MAX(0,M44-M43)</f>
        <v/>
      </c>
      <c r="O44" s="131">
        <f>IF(B44&lt;='VALOR POR PL'!$P$5,'CP RESUMO'!AQ52,"")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5305.66</v>
      </c>
      <c r="L45" s="49">
        <f>C45/IF(B45&lt;='VALOR POR PL'!$P$5,IFERROR(INDEX('"INCC-FGV"'!$B$2:$B$800,MATCH(B45,'"INCC-FGV"'!$A$2:$A$800,0)),$K$2),$K$2)</f>
        <v/>
      </c>
      <c r="M45" s="131">
        <f>'CP RESUMO'!AR10</f>
        <v/>
      </c>
      <c r="N45" s="132">
        <f>MAX(0,M45-M44)</f>
        <v/>
      </c>
      <c r="O45" s="131">
        <f>IF(B45&lt;='VALOR POR PL'!$P$5,'CP RESUMO'!AR52,"")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2743.21</v>
      </c>
      <c r="L46" s="49">
        <f>C46/IF(B46&lt;='VALOR POR PL'!$P$5,IFERROR(INDEX('"INCC-FGV"'!$B$2:$B$800,MATCH(B46,'"INCC-FGV"'!$A$2:$A$800,0)),$K$2),$K$2)</f>
        <v/>
      </c>
      <c r="M46" s="131">
        <f>'CP RESUMO'!AS10</f>
        <v/>
      </c>
      <c r="N46" s="132">
        <f>MAX(0,M46-M45)</f>
        <v/>
      </c>
      <c r="O46" s="131">
        <f>IF(B46&lt;='VALOR POR PL'!$P$5,'CP RESUMO'!AS52,"")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1259.33</v>
      </c>
      <c r="L47" s="49">
        <f>C47/IF(B47&lt;='VALOR POR PL'!$P$5,IFERROR(INDEX('"INCC-FGV"'!$B$2:$B$800,MATCH(B47,'"INCC-FGV"'!$A$2:$A$800,0)),$K$2),$K$2)</f>
        <v/>
      </c>
      <c r="M47" s="131">
        <f>'CP RESUMO'!AT10</f>
        <v/>
      </c>
      <c r="N47" s="132">
        <f>MAX(0,M47-M46)</f>
        <v/>
      </c>
      <c r="O47" s="131">
        <f>IF(B47&lt;='VALOR POR PL'!$P$5,'CP RESUMO'!AT52,"")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RESUMO'!AU10</f>
        <v/>
      </c>
      <c r="N48" s="132">
        <f>MAX(0,M48-M47)</f>
        <v/>
      </c>
      <c r="O48" s="131">
        <f>IF(B48&lt;='VALOR POR PL'!$P$5,'CP RESUMO'!AU52,"")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RESUMO'!AV10</f>
        <v/>
      </c>
      <c r="N49" s="132">
        <f>MAX(0,M49-M48)</f>
        <v/>
      </c>
      <c r="O49" s="131">
        <f>IF(B49&lt;='VALOR POR PL'!$P$5,'CP RESUMO'!AV52,"")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RESUMO'!AW10</f>
        <v/>
      </c>
      <c r="N50" s="132">
        <f>MAX(0,M50-M49)</f>
        <v/>
      </c>
      <c r="O50" s="131">
        <f>IF(B50&lt;='VALOR POR PL'!$P$5,'CP RESUMO'!AW52,"")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RESUMO'!AX10</f>
        <v/>
      </c>
      <c r="N51" s="132">
        <f>MAX(0,M51-M50)</f>
        <v/>
      </c>
      <c r="O51" s="131">
        <f>IF(B51&lt;='VALOR POR PL'!$P$5,'CP RESUMO'!AX52,"")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RESUMO'!AY10</f>
        <v/>
      </c>
      <c r="N52" s="132">
        <f>MAX(0,M52-M51)</f>
        <v/>
      </c>
      <c r="O52" s="131">
        <f>IF(B52&lt;='VALOR POR PL'!$P$5,'CP RESUMO'!AY52,"")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RESUMO'!AZ10</f>
        <v/>
      </c>
      <c r="N53" s="132">
        <f>MAX(0,M53-M52)</f>
        <v/>
      </c>
      <c r="O53" s="131">
        <f>IF(B53&lt;='VALOR POR PL'!$P$5,'CP RESUMO'!AZ52,"")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RESUMO'!BA10</f>
        <v/>
      </c>
      <c r="N54" s="132">
        <f>MAX(0,M54-M53)</f>
        <v/>
      </c>
      <c r="O54" s="131">
        <f>IF(B54&lt;='VALOR POR PL'!$P$5,'CP RESUMO'!BA52,"")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RESUMO'!BB10</f>
        <v/>
      </c>
      <c r="N55" s="132">
        <f>MAX(0,M55-M54)</f>
        <v/>
      </c>
      <c r="O55" s="131">
        <f>IF(B55&lt;='VALOR POR PL'!$P$5,'CP RESUMO'!BB52,"")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RESUMO'!BC10</f>
        <v/>
      </c>
      <c r="N56" s="132">
        <f>MAX(0,M56-M55)</f>
        <v/>
      </c>
      <c r="O56" s="131">
        <f>IF(B56&lt;='VALOR POR PL'!$P$5,'CP RESUMO'!BC52,"")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RESUMO'!BD10</f>
        <v/>
      </c>
      <c r="N57" s="132">
        <f>MAX(0,M57-M56)</f>
        <v/>
      </c>
      <c r="O57" s="131">
        <f>IF(B57&lt;='VALOR POR PL'!$P$5,'CP RESUMO'!BD52,"")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RESUMO'!BE10</f>
        <v/>
      </c>
      <c r="N58" s="132">
        <f>MAX(0,M58-M57)</f>
        <v/>
      </c>
      <c r="O58" s="131">
        <f>IF(B58&lt;='VALOR POR PL'!$P$5,'CP RESUMO'!BE52,"")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RESUMO'!BF10</f>
        <v/>
      </c>
      <c r="N59" s="132">
        <f>MAX(0,M59-M58)</f>
        <v/>
      </c>
      <c r="O59" s="131">
        <f>IF(B59&lt;='VALOR POR PL'!$P$5,'CP RESUMO'!BF52,"")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RESUMO'!BG10</f>
        <v/>
      </c>
      <c r="N60" s="132">
        <f>MAX(0,M60-M59)</f>
        <v/>
      </c>
      <c r="O60" s="131">
        <f>IF(B60&lt;='VALOR POR PL'!$P$5,'CP RESUMO'!BG52,"")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RESUMO'!BH10</f>
        <v/>
      </c>
      <c r="N61" s="132">
        <f>MAX(0,M61-M60)</f>
        <v/>
      </c>
      <c r="O61" s="131">
        <f>IF(B61&lt;='VALOR POR PL'!$P$5,'CP RESUMO'!BH52,"")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RESUMO'!BI10</f>
        <v/>
      </c>
      <c r="N62" s="132">
        <f>MAX(0,M62-M61)</f>
        <v/>
      </c>
      <c r="O62" s="131">
        <f>IF(B62&lt;='VALOR POR PL'!$P$5,'CP RESUMO'!BI52,"")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RESUMO'!BJ10</f>
        <v/>
      </c>
      <c r="N63" s="132">
        <f>MAX(0,M63-M62)</f>
        <v/>
      </c>
      <c r="O63" s="131">
        <f>IF(B63&lt;='VALOR POR PL'!$P$5,'CP RESUMO'!BJ52,"")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RESUMO'!BK10</f>
        <v/>
      </c>
      <c r="N64" s="132">
        <f>MAX(0,M64-M63)</f>
        <v/>
      </c>
      <c r="O64" s="131">
        <f>IF(B64&lt;='VALOR POR PL'!$P$5,'CP RESUMO'!BK52,"")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RESUMO'!BL10</f>
        <v/>
      </c>
      <c r="N65" s="132">
        <f>MAX(0,M65-M64)</f>
        <v/>
      </c>
      <c r="O65" s="131">
        <f>IF(B65&lt;='VALOR POR PL'!$P$5,'CP RESUMO'!BL52,"")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RESUMO'!BM10</f>
        <v/>
      </c>
      <c r="N66" s="132">
        <f>MAX(0,M66-M65)</f>
        <v/>
      </c>
      <c r="O66" s="131">
        <f>IF(B66&lt;='VALOR POR PL'!$P$5,'CP RESUMO'!BM52,"")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RESUMO'!BN10</f>
        <v/>
      </c>
      <c r="N67" s="132">
        <f>MAX(0,M67-M66)</f>
        <v/>
      </c>
      <c r="O67" s="131">
        <f>IF(B67&lt;='VALOR POR PL'!$P$5,'CP RESUMO'!BN52,"")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RESUMO'!BO10</f>
        <v/>
      </c>
      <c r="N68" s="132">
        <f>MAX(0,M68-M67)</f>
        <v/>
      </c>
      <c r="O68" s="131">
        <f>IF(B68&lt;='VALOR POR PL'!$P$5,'CP RESUMO'!BO52,"")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RESUMO'!BP10</f>
        <v/>
      </c>
      <c r="N69" s="132">
        <f>MAX(0,M69-M68)</f>
        <v/>
      </c>
      <c r="O69" s="131">
        <f>IF(B69&lt;='VALOR POR PL'!$P$5,'CP RESUMO'!BP52,"")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RESUMO'!BQ10</f>
        <v/>
      </c>
      <c r="N70" s="132">
        <f>MAX(0,M70-M69)</f>
        <v/>
      </c>
      <c r="O70" s="131">
        <f>IF(B70&lt;='VALOR POR PL'!$P$5,'CP RESUMO'!BQ52,"")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RESUMO'!BR10</f>
        <v/>
      </c>
      <c r="N71" s="132">
        <f>MAX(0,M71-M70)</f>
        <v/>
      </c>
      <c r="O71" s="131">
        <f>IF(B71&lt;='VALOR POR PL'!$P$5,'CP RESUMO'!BR52,"")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RESUMO'!BS10</f>
        <v/>
      </c>
      <c r="N72" s="132">
        <f>MAX(0,M72-M71)</f>
        <v/>
      </c>
      <c r="O72" s="131">
        <f>IF(B72&lt;='VALOR POR PL'!$P$5,'CP RESUMO'!BS52,"")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RESUMO'!BT10</f>
        <v/>
      </c>
      <c r="N73" s="132">
        <f>MAX(0,M73-M72)</f>
        <v/>
      </c>
      <c r="O73" s="131">
        <f>IF(B73&lt;='VALOR POR PL'!$P$5,'CP RESUMO'!BT52,"")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RESUMO'!BU10</f>
        <v/>
      </c>
      <c r="N74" s="132">
        <f>MAX(0,M74-M73)</f>
        <v/>
      </c>
      <c r="O74" s="131">
        <f>IF(B74&lt;='VALOR POR PL'!$P$5,'CP RESUMO'!BU52,"")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RESUMO'!BV10</f>
        <v/>
      </c>
      <c r="N75" s="132">
        <f>MAX(0,M75-M74)</f>
        <v/>
      </c>
      <c r="O75" s="131">
        <f>IF(B75&lt;='VALOR POR PL'!$P$5,'CP RESUMO'!BV52,"")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RESUMO'!BW10</f>
        <v/>
      </c>
      <c r="N76" s="132">
        <f>MAX(0,M76-M75)</f>
        <v/>
      </c>
      <c r="O76" s="131">
        <f>IF(B76&lt;='VALOR POR PL'!$P$5,'CP RESUMO'!BW52,"")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HISTORICOS'!D11)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PL'!F17</f>
        <v/>
      </c>
      <c r="K5" s="60">
        <f>'VALOR POR PL'!G17</f>
        <v/>
      </c>
      <c r="L5" s="60">
        <f>'DADOS HISTORICOS'!$BZ$11</f>
        <v/>
      </c>
      <c r="M5" s="131">
        <f>'CP RESUMO'!D11</f>
        <v/>
      </c>
      <c r="N5" s="132" t="n">
        <v>0</v>
      </c>
      <c r="O5" s="131">
        <f>IF(B5&lt;='VALOR POR PL'!$P$5,'CP RESUMO'!D53,"")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HISTORICOS'!E11)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PL'!H17</f>
        <v/>
      </c>
      <c r="L6" s="49">
        <f>C6/IF(B6&lt;='VALOR POR PL'!$P$5,IFERROR(INDEX('"INCC-FGV"'!$B$2:$B$800,MATCH(B6,'"INCC-FGV"'!$A$2:$A$800,0)),$K$2),$K$2)</f>
        <v/>
      </c>
      <c r="M6" s="131">
        <f>'CP RESUMO'!E11</f>
        <v/>
      </c>
      <c r="N6" s="132">
        <f>MAX(0,M6-M5)</f>
        <v/>
      </c>
      <c r="O6" s="131">
        <f>IF(B6&lt;='VALOR POR PL'!$P$5,'CP RESUMO'!E53,"")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HISTORICOS'!F11)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RESUMO'!F11</f>
        <v/>
      </c>
      <c r="N7" s="132">
        <f>MAX(0,M7-M6)</f>
        <v/>
      </c>
      <c r="O7" s="131">
        <f>IF(B7&lt;='VALOR POR PL'!$P$5,'CP RESUMO'!F53,"")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HISTORICOS'!G11)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RESUMO'!G11</f>
        <v/>
      </c>
      <c r="N8" s="132">
        <f>MAX(0,M8-M7)</f>
        <v/>
      </c>
      <c r="O8" s="131">
        <f>IF(B8&lt;='VALOR POR PL'!$P$5,'CP RESUMO'!G53,"")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HISTORICOS'!H11)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RESUMO'!H11</f>
        <v/>
      </c>
      <c r="N9" s="132">
        <f>MAX(0,M9-M8)</f>
        <v/>
      </c>
      <c r="O9" s="131">
        <f>IF(B9&lt;='VALOR POR PL'!$P$5,'CP RESUMO'!H53,"")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RESUMO'!I11</f>
        <v/>
      </c>
      <c r="N10" s="132">
        <f>MAX(0,M10-M9)</f>
        <v/>
      </c>
      <c r="O10" s="131">
        <f>IF(B10&lt;='VALOR POR PL'!$P$5,'CP RESUMO'!I53,"")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RESUMO'!J11</f>
        <v/>
      </c>
      <c r="N11" s="132">
        <f>MAX(0,M11-M10)</f>
        <v/>
      </c>
      <c r="O11" s="131">
        <f>IF(B11&lt;='VALOR POR PL'!$P$5,'CP RESUMO'!J53,"")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RESUMO'!K11</f>
        <v/>
      </c>
      <c r="N12" s="132">
        <f>MAX(0,M12-M11)</f>
        <v/>
      </c>
      <c r="O12" s="131">
        <f>IF(B12&lt;='VALOR POR PL'!$P$5,'CP RESUMO'!K53,"")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PL'!I17</f>
        <v/>
      </c>
      <c r="L13" s="49">
        <f>C13/IF(B13&lt;='VALOR POR PL'!$P$5,IFERROR(INDEX('"INCC-FGV"'!$B$2:$B$800,MATCH(B13,'"INCC-FGV"'!$A$2:$A$800,0)),$K$2),$K$2)</f>
        <v/>
      </c>
      <c r="M13" s="131">
        <f>'CP RESUMO'!L11</f>
        <v/>
      </c>
      <c r="N13" s="132">
        <f>MAX(0,M13-M12)</f>
        <v/>
      </c>
      <c r="O13" s="131">
        <f>IF(B13&lt;='VALOR POR PL'!$P$5,'CP RESUMO'!L53,"")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RESUMO'!$D$53:$BW$53,MATCH('VALOR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RESUMO'!M11</f>
        <v/>
      </c>
      <c r="N14" s="132">
        <f>MAX(0,M14-M13)</f>
        <v/>
      </c>
      <c r="O14" s="131">
        <f>IF(B14&lt;='VALOR POR PL'!$P$5,'CP RESUMO'!M53,"")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RESUMO'!N11</f>
        <v/>
      </c>
      <c r="N15" s="132">
        <f>MAX(0,M15-M14)</f>
        <v/>
      </c>
      <c r="O15" s="131">
        <f>IF(B15&lt;='VALOR POR PL'!$P$5,'CP RESUMO'!N53,"")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RESUMO'!O11</f>
        <v/>
      </c>
      <c r="N16" s="132">
        <f>MAX(0,M16-M15)</f>
        <v/>
      </c>
      <c r="O16" s="131">
        <f>IF(B16&lt;='VALOR POR PL'!$P$5,'CP RESUMO'!O53,"")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RESUMO'!P11</f>
        <v/>
      </c>
      <c r="N17" s="132">
        <f>MAX(0,M17-M16)</f>
        <v/>
      </c>
      <c r="O17" s="131">
        <f>IF(B17&lt;='VALOR POR PL'!$P$5,'CP RESUMO'!P53,"")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RESUMO'!Q11</f>
        <v/>
      </c>
      <c r="N18" s="132">
        <f>MAX(0,M18-M17)</f>
        <v/>
      </c>
      <c r="O18" s="131">
        <f>IF(B18&lt;='VALOR POR PL'!$P$5,'CP RESUMO'!Q53,"")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RESUMO'!R11</f>
        <v/>
      </c>
      <c r="N19" s="132">
        <f>MAX(0,M19-M18)</f>
        <v/>
      </c>
      <c r="O19" s="131">
        <f>IF(B19&lt;='VALOR POR PL'!$P$5,'CP RESUMO'!R53,"")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RESUMO'!S11</f>
        <v/>
      </c>
      <c r="N20" s="132">
        <f>MAX(0,M20-M19)</f>
        <v/>
      </c>
      <c r="O20" s="131">
        <f>IF(B20&lt;='VALOR POR PL'!$P$5,'CP RESUMO'!S53,"")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RESUMO'!T11</f>
        <v/>
      </c>
      <c r="N21" s="132">
        <f>MAX(0,M21-M20)</f>
        <v/>
      </c>
      <c r="O21" s="131">
        <f>IF(B21&lt;='VALOR POR PL'!$P$5,'CP RESUMO'!T53,"")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NÃO</t>
        </is>
      </c>
      <c r="L22" s="49">
        <f>C22/IF(B22&lt;='VALOR POR PL'!$P$5,IFERROR(INDEX('"INCC-FGV"'!$B$2:$B$800,MATCH(B22,'"INCC-FGV"'!$A$2:$A$800,0)),$K$2),$K$2)</f>
        <v/>
      </c>
      <c r="M22" s="131">
        <f>'CP RESUMO'!U11</f>
        <v/>
      </c>
      <c r="N22" s="132">
        <f>MAX(0,M22-M21)</f>
        <v/>
      </c>
      <c r="O22" s="131">
        <f>IF(B22&lt;='VALOR POR PL'!$P$5,'CP RESUMO'!U53,"")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RESUMO'!V11</f>
        <v/>
      </c>
      <c r="N23" s="132">
        <f>MAX(0,M23-M22)</f>
        <v/>
      </c>
      <c r="O23" s="131">
        <f>IF(B23&lt;='VALOR POR PL'!$P$5,'CP RESUMO'!V53,"")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O ERP já tinha R$ 45.630 lançados para set-out/26, o que passava a projeção. Por decisão do usuário, vale só o realizado até o corte e o saldo até a projeção é distribuído pela curva digitada (K22 = NÃO).</t>
        </is>
      </c>
      <c r="L24" s="49">
        <f>C24/IF(B24&lt;='VALOR POR PL'!$P$5,IFERROR(INDEX('"INCC-FGV"'!$B$2:$B$800,MATCH(B24,'"INCC-FGV"'!$A$2:$A$800,0)),$K$2),$K$2)</f>
        <v/>
      </c>
      <c r="M24" s="131">
        <f>'CP RESUMO'!W11</f>
        <v/>
      </c>
      <c r="N24" s="132">
        <f>MAX(0,M24-M23)</f>
        <v/>
      </c>
      <c r="O24" s="131">
        <f>IF(B24&lt;='VALOR POR PL'!$P$5,'CP RESUMO'!W53,"")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RESUMO'!X11</f>
        <v/>
      </c>
      <c r="N25" s="132">
        <f>MAX(0,M25-M24)</f>
        <v/>
      </c>
      <c r="O25" s="131">
        <f>IF(B25&lt;='VALOR POR PL'!$P$5,'CP RESUMO'!X53,"")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2494.36</v>
      </c>
      <c r="L26" s="49">
        <f>C26/IF(B26&lt;='VALOR POR PL'!$P$5,IFERROR(INDEX('"INCC-FGV"'!$B$2:$B$800,MATCH(B26,'"INCC-FGV"'!$A$2:$A$800,0)),$K$2),$K$2)</f>
        <v/>
      </c>
      <c r="M26" s="131">
        <f>'CP RESUMO'!Y11</f>
        <v/>
      </c>
      <c r="N26" s="132">
        <f>MAX(0,M26-M25)</f>
        <v/>
      </c>
      <c r="O26" s="131">
        <f>IF(B26&lt;='VALOR POR PL'!$P$5,'CP RESUMO'!Y53,"")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2494.36</v>
      </c>
      <c r="L27" s="49">
        <f>C27/IF(B27&lt;='VALOR POR PL'!$P$5,IFERROR(INDEX('"INCC-FGV"'!$B$2:$B$800,MATCH(B27,'"INCC-FGV"'!$A$2:$A$800,0)),$K$2),$K$2)</f>
        <v/>
      </c>
      <c r="M27" s="131">
        <f>'CP RESUMO'!Z11</f>
        <v/>
      </c>
      <c r="N27" s="132">
        <f>MAX(0,M27-M26)</f>
        <v/>
      </c>
      <c r="O27" s="131">
        <f>IF(B27&lt;='VALOR POR PL'!$P$5,'CP RESUMO'!Z53,"")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2494.36</v>
      </c>
      <c r="L28" s="49">
        <f>C28/IF(B28&lt;='VALOR POR PL'!$P$5,IFERROR(INDEX('"INCC-FGV"'!$B$2:$B$800,MATCH(B28,'"INCC-FGV"'!$A$2:$A$800,0)),$K$2),$K$2)</f>
        <v/>
      </c>
      <c r="M28" s="131">
        <f>'CP RESUMO'!AA11</f>
        <v/>
      </c>
      <c r="N28" s="132">
        <f>MAX(0,M28-M27)</f>
        <v/>
      </c>
      <c r="O28" s="131">
        <f>IF(B28&lt;='VALOR POR PL'!$P$5,'CP RESUMO'!AA53,"")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2494.36</v>
      </c>
      <c r="L29" s="49">
        <f>C29/IF(B29&lt;='VALOR POR PL'!$P$5,IFERROR(INDEX('"INCC-FGV"'!$B$2:$B$800,MATCH(B29,'"INCC-FGV"'!$A$2:$A$800,0)),$K$2),$K$2)</f>
        <v/>
      </c>
      <c r="M29" s="131">
        <f>'CP RESUMO'!AB11</f>
        <v/>
      </c>
      <c r="N29" s="132">
        <f>MAX(0,M29-M28)</f>
        <v/>
      </c>
      <c r="O29" s="131">
        <f>IF(B29&lt;='VALOR POR PL'!$P$5,'CP RESUMO'!AB53,"")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2494.36</v>
      </c>
      <c r="L30" s="49">
        <f>C30/IF(B30&lt;='VALOR POR PL'!$P$5,IFERROR(INDEX('"INCC-FGV"'!$B$2:$B$800,MATCH(B30,'"INCC-FGV"'!$A$2:$A$800,0)),$K$2),$K$2)</f>
        <v/>
      </c>
      <c r="M30" s="131">
        <f>'CP RESUMO'!AC11</f>
        <v/>
      </c>
      <c r="N30" s="132">
        <f>MAX(0,M30-M29)</f>
        <v/>
      </c>
      <c r="O30" s="131">
        <f>IF(B30&lt;='VALOR POR PL'!$P$5,'CP RESUMO'!AC53,"")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2494.36</v>
      </c>
      <c r="L31" s="49">
        <f>C31/IF(B31&lt;='VALOR POR PL'!$P$5,IFERROR(INDEX('"INCC-FGV"'!$B$2:$B$800,MATCH(B31,'"INCC-FGV"'!$A$2:$A$800,0)),$K$2),$K$2)</f>
        <v/>
      </c>
      <c r="M31" s="131">
        <f>'CP RESUMO'!AD11</f>
        <v/>
      </c>
      <c r="N31" s="132">
        <f>MAX(0,M31-M30)</f>
        <v/>
      </c>
      <c r="O31" s="131">
        <f>IF(B31&lt;='VALOR POR PL'!$P$5,'CP RESUMO'!AD53,"")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2494.36</v>
      </c>
      <c r="L32" s="49">
        <f>C32/IF(B32&lt;='VALOR POR PL'!$P$5,IFERROR(INDEX('"INCC-FGV"'!$B$2:$B$800,MATCH(B32,'"INCC-FGV"'!$A$2:$A$800,0)),$K$2),$K$2)</f>
        <v/>
      </c>
      <c r="M32" s="131">
        <f>'CP RESUMO'!AE11</f>
        <v/>
      </c>
      <c r="N32" s="132">
        <f>MAX(0,M32-M31)</f>
        <v/>
      </c>
      <c r="O32" s="131">
        <f>IF(B32&lt;='VALOR POR PL'!$P$5,'CP RESUMO'!AE53,"")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2494.36</v>
      </c>
      <c r="L33" s="49">
        <f>C33/IF(B33&lt;='VALOR POR PL'!$P$5,IFERROR(INDEX('"INCC-FGV"'!$B$2:$B$800,MATCH(B33,'"INCC-FGV"'!$A$2:$A$800,0)),$K$2),$K$2)</f>
        <v/>
      </c>
      <c r="M33" s="131">
        <f>'CP RESUMO'!AF11</f>
        <v/>
      </c>
      <c r="N33" s="132">
        <f>MAX(0,M33-M32)</f>
        <v/>
      </c>
      <c r="O33" s="131">
        <f>IF(B33&lt;='VALOR POR PL'!$P$5,'CP RESUMO'!AF53,"")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2494.36</v>
      </c>
      <c r="L34" s="49">
        <f>C34/IF(B34&lt;='VALOR POR PL'!$P$5,IFERROR(INDEX('"INCC-FGV"'!$B$2:$B$800,MATCH(B34,'"INCC-FGV"'!$A$2:$A$800,0)),$K$2),$K$2)</f>
        <v/>
      </c>
      <c r="M34" s="131">
        <f>'CP RESUMO'!AG11</f>
        <v/>
      </c>
      <c r="N34" s="132">
        <f>MAX(0,M34-M33)</f>
        <v/>
      </c>
      <c r="O34" s="131">
        <f>IF(B34&lt;='VALOR POR PL'!$P$5,'CP RESUMO'!AG53,"")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2494.36</v>
      </c>
      <c r="L35" s="49">
        <f>C35/IF(B35&lt;='VALOR POR PL'!$P$5,IFERROR(INDEX('"INCC-FGV"'!$B$2:$B$800,MATCH(B35,'"INCC-FGV"'!$A$2:$A$800,0)),$K$2),$K$2)</f>
        <v/>
      </c>
      <c r="M35" s="131">
        <f>'CP RESUMO'!AH11</f>
        <v/>
      </c>
      <c r="N35" s="132">
        <f>MAX(0,M35-M34)</f>
        <v/>
      </c>
      <c r="O35" s="131">
        <f>IF(B35&lt;='VALOR POR PL'!$P$5,'CP RESUMO'!AH53,"")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2494.36</v>
      </c>
      <c r="L36" s="49">
        <f>C36/IF(B36&lt;='VALOR POR PL'!$P$5,IFERROR(INDEX('"INCC-FGV"'!$B$2:$B$800,MATCH(B36,'"INCC-FGV"'!$A$2:$A$800,0)),$K$2),$K$2)</f>
        <v/>
      </c>
      <c r="M36" s="131">
        <f>'CP RESUMO'!AI11</f>
        <v/>
      </c>
      <c r="N36" s="132">
        <f>MAX(0,M36-M35)</f>
        <v/>
      </c>
      <c r="O36" s="131">
        <f>IF(B36&lt;='VALOR POR PL'!$P$5,'CP RESUMO'!AI53,"")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2494.36</v>
      </c>
      <c r="L37" s="49">
        <f>C37/IF(B37&lt;='VALOR POR PL'!$P$5,IFERROR(INDEX('"INCC-FGV"'!$B$2:$B$800,MATCH(B37,'"INCC-FGV"'!$A$2:$A$800,0)),$K$2),$K$2)</f>
        <v/>
      </c>
      <c r="M37" s="131">
        <f>'CP RESUMO'!AJ11</f>
        <v/>
      </c>
      <c r="N37" s="132">
        <f>MAX(0,M37-M36)</f>
        <v/>
      </c>
      <c r="O37" s="131">
        <f>IF(B37&lt;='VALOR POR PL'!$P$5,'CP RESUMO'!AJ53,"")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2494.36</v>
      </c>
      <c r="L38" s="49">
        <f>C38/IF(B38&lt;='VALOR POR PL'!$P$5,IFERROR(INDEX('"INCC-FGV"'!$B$2:$B$800,MATCH(B38,'"INCC-FGV"'!$A$2:$A$800,0)),$K$2),$K$2)</f>
        <v/>
      </c>
      <c r="M38" s="131">
        <f>'CP RESUMO'!AK11</f>
        <v/>
      </c>
      <c r="N38" s="132">
        <f>MAX(0,M38-M37)</f>
        <v/>
      </c>
      <c r="O38" s="131">
        <f>IF(B38&lt;='VALOR POR PL'!$P$5,'CP RESUMO'!AK53,"")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2494.36</v>
      </c>
      <c r="L39" s="49">
        <f>C39/IF(B39&lt;='VALOR POR PL'!$P$5,IFERROR(INDEX('"INCC-FGV"'!$B$2:$B$800,MATCH(B39,'"INCC-FGV"'!$A$2:$A$800,0)),$K$2),$K$2)</f>
        <v/>
      </c>
      <c r="M39" s="131">
        <f>'CP RESUMO'!AL11</f>
        <v/>
      </c>
      <c r="N39" s="132">
        <f>MAX(0,M39-M38)</f>
        <v/>
      </c>
      <c r="O39" s="131">
        <f>IF(B39&lt;='VALOR POR PL'!$P$5,'CP RESUMO'!AL53,"")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2494.36</v>
      </c>
      <c r="L40" s="49">
        <f>C40/IF(B40&lt;='VALOR POR PL'!$P$5,IFERROR(INDEX('"INCC-FGV"'!$B$2:$B$800,MATCH(B40,'"INCC-FGV"'!$A$2:$A$800,0)),$K$2),$K$2)</f>
        <v/>
      </c>
      <c r="M40" s="131">
        <f>'CP RESUMO'!AM11</f>
        <v/>
      </c>
      <c r="N40" s="132">
        <f>MAX(0,M40-M39)</f>
        <v/>
      </c>
      <c r="O40" s="131">
        <f>IF(B40&lt;='VALOR POR PL'!$P$5,'CP RESUMO'!AM53,"")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2494.36</v>
      </c>
      <c r="L41" s="49">
        <f>C41/IF(B41&lt;='VALOR POR PL'!$P$5,IFERROR(INDEX('"INCC-FGV"'!$B$2:$B$800,MATCH(B41,'"INCC-FGV"'!$A$2:$A$800,0)),$K$2),$K$2)</f>
        <v/>
      </c>
      <c r="M41" s="131">
        <f>'CP RESUMO'!AN11</f>
        <v/>
      </c>
      <c r="N41" s="132">
        <f>MAX(0,M41-M40)</f>
        <v/>
      </c>
      <c r="O41" s="131">
        <f>IF(B41&lt;='VALOR POR PL'!$P$5,'CP RESUMO'!AN53,"")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2494.36</v>
      </c>
      <c r="L42" s="49">
        <f>C42/IF(B42&lt;='VALOR POR PL'!$P$5,IFERROR(INDEX('"INCC-FGV"'!$B$2:$B$800,MATCH(B42,'"INCC-FGV"'!$A$2:$A$800,0)),$K$2),$K$2)</f>
        <v/>
      </c>
      <c r="M42" s="131">
        <f>'CP RESUMO'!AO11</f>
        <v/>
      </c>
      <c r="N42" s="132">
        <f>MAX(0,M42-M41)</f>
        <v/>
      </c>
      <c r="O42" s="131">
        <f>IF(B42&lt;='VALOR POR PL'!$P$5,'CP RESUMO'!AO53,"")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2494.36</v>
      </c>
      <c r="L43" s="49">
        <f>C43/IF(B43&lt;='VALOR POR PL'!$P$5,IFERROR(INDEX('"INCC-FGV"'!$B$2:$B$800,MATCH(B43,'"INCC-FGV"'!$A$2:$A$800,0)),$K$2),$K$2)</f>
        <v/>
      </c>
      <c r="M43" s="131">
        <f>'CP RESUMO'!AP11</f>
        <v/>
      </c>
      <c r="N43" s="132">
        <f>MAX(0,M43-M42)</f>
        <v/>
      </c>
      <c r="O43" s="131">
        <f>IF(B43&lt;='VALOR POR PL'!$P$5,'CP RESUMO'!AP53,"")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2494.36</v>
      </c>
      <c r="L44" s="49">
        <f>C44/IF(B44&lt;='VALOR POR PL'!$P$5,IFERROR(INDEX('"INCC-FGV"'!$B$2:$B$800,MATCH(B44,'"INCC-FGV"'!$A$2:$A$800,0)),$K$2),$K$2)</f>
        <v/>
      </c>
      <c r="M44" s="131">
        <f>'CP RESUMO'!AQ11</f>
        <v/>
      </c>
      <c r="N44" s="132">
        <f>MAX(0,M44-M43)</f>
        <v/>
      </c>
      <c r="O44" s="131">
        <f>IF(B44&lt;='VALOR POR PL'!$P$5,'CP RESUMO'!AQ53,"")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2494.36</v>
      </c>
      <c r="L45" s="49">
        <f>C45/IF(B45&lt;='VALOR POR PL'!$P$5,IFERROR(INDEX('"INCC-FGV"'!$B$2:$B$800,MATCH(B45,'"INCC-FGV"'!$A$2:$A$800,0)),$K$2),$K$2)</f>
        <v/>
      </c>
      <c r="M45" s="131">
        <f>'CP RESUMO'!AR11</f>
        <v/>
      </c>
      <c r="N45" s="132">
        <f>MAX(0,M45-M44)</f>
        <v/>
      </c>
      <c r="O45" s="131">
        <f>IF(B45&lt;='VALOR POR PL'!$P$5,'CP RESUMO'!AR53,"")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2494.36</v>
      </c>
      <c r="L46" s="49">
        <f>C46/IF(B46&lt;='VALOR POR PL'!$P$5,IFERROR(INDEX('"INCC-FGV"'!$B$2:$B$800,MATCH(B46,'"INCC-FGV"'!$A$2:$A$800,0)),$K$2),$K$2)</f>
        <v/>
      </c>
      <c r="M46" s="131">
        <f>'CP RESUMO'!AS11</f>
        <v/>
      </c>
      <c r="N46" s="132">
        <f>MAX(0,M46-M45)</f>
        <v/>
      </c>
      <c r="O46" s="131">
        <f>IF(B46&lt;='VALOR POR PL'!$P$5,'CP RESUMO'!AS53,"")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2494.36</v>
      </c>
      <c r="L47" s="49">
        <f>C47/IF(B47&lt;='VALOR POR PL'!$P$5,IFERROR(INDEX('"INCC-FGV"'!$B$2:$B$800,MATCH(B47,'"INCC-FGV"'!$A$2:$A$800,0)),$K$2),$K$2)</f>
        <v/>
      </c>
      <c r="M47" s="131">
        <f>'CP RESUMO'!AT11</f>
        <v/>
      </c>
      <c r="N47" s="132">
        <f>MAX(0,M47-M46)</f>
        <v/>
      </c>
      <c r="O47" s="131">
        <f>IF(B47&lt;='VALOR POR PL'!$P$5,'CP RESUMO'!AT53,"")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2494.36</v>
      </c>
      <c r="L48" s="49">
        <f>C48/IF(B48&lt;='VALOR POR PL'!$P$5,IFERROR(INDEX('"INCC-FGV"'!$B$2:$B$800,MATCH(B48,'"INCC-FGV"'!$A$2:$A$800,0)),$K$2),$K$2)</f>
        <v/>
      </c>
      <c r="M48" s="131">
        <f>'CP RESUMO'!AU11</f>
        <v/>
      </c>
      <c r="N48" s="132">
        <f>MAX(0,M48-M47)</f>
        <v/>
      </c>
      <c r="O48" s="131">
        <f>IF(B48&lt;='VALOR POR PL'!$P$5,'CP RESUMO'!AU53,"")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2494.36</v>
      </c>
      <c r="L49" s="49">
        <f>C49/IF(B49&lt;='VALOR POR PL'!$P$5,IFERROR(INDEX('"INCC-FGV"'!$B$2:$B$800,MATCH(B49,'"INCC-FGV"'!$A$2:$A$800,0)),$K$2),$K$2)</f>
        <v/>
      </c>
      <c r="M49" s="131">
        <f>'CP RESUMO'!AV11</f>
        <v/>
      </c>
      <c r="N49" s="132">
        <f>MAX(0,M49-M48)</f>
        <v/>
      </c>
      <c r="O49" s="131">
        <f>IF(B49&lt;='VALOR POR PL'!$P$5,'CP RESUMO'!AV53,"")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2494.36</v>
      </c>
      <c r="L50" s="49">
        <f>C50/IF(B50&lt;='VALOR POR PL'!$P$5,IFERROR(INDEX('"INCC-FGV"'!$B$2:$B$800,MATCH(B50,'"INCC-FGV"'!$A$2:$A$800,0)),$K$2),$K$2)</f>
        <v/>
      </c>
      <c r="M50" s="131">
        <f>'CP RESUMO'!AW11</f>
        <v/>
      </c>
      <c r="N50" s="132">
        <f>MAX(0,M50-M49)</f>
        <v/>
      </c>
      <c r="O50" s="131">
        <f>IF(B50&lt;='VALOR POR PL'!$P$5,'CP RESUMO'!AW53,"")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2494.36</v>
      </c>
      <c r="L51" s="49">
        <f>C51/IF(B51&lt;='VALOR POR PL'!$P$5,IFERROR(INDEX('"INCC-FGV"'!$B$2:$B$800,MATCH(B51,'"INCC-FGV"'!$A$2:$A$800,0)),$K$2),$K$2)</f>
        <v/>
      </c>
      <c r="M51" s="131">
        <f>'CP RESUMO'!AX11</f>
        <v/>
      </c>
      <c r="N51" s="132">
        <f>MAX(0,M51-M50)</f>
        <v/>
      </c>
      <c r="O51" s="131">
        <f>IF(B51&lt;='VALOR POR PL'!$P$5,'CP RESUMO'!AX53,"")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RESUMO'!AY11</f>
        <v/>
      </c>
      <c r="N52" s="132">
        <f>MAX(0,M52-M51)</f>
        <v/>
      </c>
      <c r="O52" s="131">
        <f>IF(B52&lt;='VALOR POR PL'!$P$5,'CP RESUMO'!AY53,"")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RESUMO'!AZ11</f>
        <v/>
      </c>
      <c r="N53" s="132">
        <f>MAX(0,M53-M52)</f>
        <v/>
      </c>
      <c r="O53" s="131">
        <f>IF(B53&lt;='VALOR POR PL'!$P$5,'CP RESUMO'!AZ53,"")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RESUMO'!BA11</f>
        <v/>
      </c>
      <c r="N54" s="132">
        <f>MAX(0,M54-M53)</f>
        <v/>
      </c>
      <c r="O54" s="131">
        <f>IF(B54&lt;='VALOR POR PL'!$P$5,'CP RESUMO'!BA53,"")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RESUMO'!BB11</f>
        <v/>
      </c>
      <c r="N55" s="132">
        <f>MAX(0,M55-M54)</f>
        <v/>
      </c>
      <c r="O55" s="131">
        <f>IF(B55&lt;='VALOR POR PL'!$P$5,'CP RESUMO'!BB53,"")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RESUMO'!BC11</f>
        <v/>
      </c>
      <c r="N56" s="132">
        <f>MAX(0,M56-M55)</f>
        <v/>
      </c>
      <c r="O56" s="131">
        <f>IF(B56&lt;='VALOR POR PL'!$P$5,'CP RESUMO'!BC53,"")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RESUMO'!BD11</f>
        <v/>
      </c>
      <c r="N57" s="132">
        <f>MAX(0,M57-M56)</f>
        <v/>
      </c>
      <c r="O57" s="131">
        <f>IF(B57&lt;='VALOR POR PL'!$P$5,'CP RESUMO'!BD53,"")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RESUMO'!BE11</f>
        <v/>
      </c>
      <c r="N58" s="132">
        <f>MAX(0,M58-M57)</f>
        <v/>
      </c>
      <c r="O58" s="131">
        <f>IF(B58&lt;='VALOR POR PL'!$P$5,'CP RESUMO'!BE53,"")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RESUMO'!BF11</f>
        <v/>
      </c>
      <c r="N59" s="132">
        <f>MAX(0,M59-M58)</f>
        <v/>
      </c>
      <c r="O59" s="131">
        <f>IF(B59&lt;='VALOR POR PL'!$P$5,'CP RESUMO'!BF53,"")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RESUMO'!BG11</f>
        <v/>
      </c>
      <c r="N60" s="132">
        <f>MAX(0,M60-M59)</f>
        <v/>
      </c>
      <c r="O60" s="131">
        <f>IF(B60&lt;='VALOR POR PL'!$P$5,'CP RESUMO'!BG53,"")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RESUMO'!BH11</f>
        <v/>
      </c>
      <c r="N61" s="132">
        <f>MAX(0,M61-M60)</f>
        <v/>
      </c>
      <c r="O61" s="131">
        <f>IF(B61&lt;='VALOR POR PL'!$P$5,'CP RESUMO'!BH53,"")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RESUMO'!BI11</f>
        <v/>
      </c>
      <c r="N62" s="132">
        <f>MAX(0,M62-M61)</f>
        <v/>
      </c>
      <c r="O62" s="131">
        <f>IF(B62&lt;='VALOR POR PL'!$P$5,'CP RESUMO'!BI53,"")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RESUMO'!BJ11</f>
        <v/>
      </c>
      <c r="N63" s="132">
        <f>MAX(0,M63-M62)</f>
        <v/>
      </c>
      <c r="O63" s="131">
        <f>IF(B63&lt;='VALOR POR PL'!$P$5,'CP RESUMO'!BJ53,"")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RESUMO'!BK11</f>
        <v/>
      </c>
      <c r="N64" s="132">
        <f>MAX(0,M64-M63)</f>
        <v/>
      </c>
      <c r="O64" s="131">
        <f>IF(B64&lt;='VALOR POR PL'!$P$5,'CP RESUMO'!BK53,"")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RESUMO'!BL11</f>
        <v/>
      </c>
      <c r="N65" s="132">
        <f>MAX(0,M65-M64)</f>
        <v/>
      </c>
      <c r="O65" s="131">
        <f>IF(B65&lt;='VALOR POR PL'!$P$5,'CP RESUMO'!BL53,"")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RESUMO'!BM11</f>
        <v/>
      </c>
      <c r="N66" s="132">
        <f>MAX(0,M66-M65)</f>
        <v/>
      </c>
      <c r="O66" s="131">
        <f>IF(B66&lt;='VALOR POR PL'!$P$5,'CP RESUMO'!BM53,"")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RESUMO'!BN11</f>
        <v/>
      </c>
      <c r="N67" s="132">
        <f>MAX(0,M67-M66)</f>
        <v/>
      </c>
      <c r="O67" s="131">
        <f>IF(B67&lt;='VALOR POR PL'!$P$5,'CP RESUMO'!BN53,"")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RESUMO'!BO11</f>
        <v/>
      </c>
      <c r="N68" s="132">
        <f>MAX(0,M68-M67)</f>
        <v/>
      </c>
      <c r="O68" s="131">
        <f>IF(B68&lt;='VALOR POR PL'!$P$5,'CP RESUMO'!BO53,"")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RESUMO'!BP11</f>
        <v/>
      </c>
      <c r="N69" s="132">
        <f>MAX(0,M69-M68)</f>
        <v/>
      </c>
      <c r="O69" s="131">
        <f>IF(B69&lt;='VALOR POR PL'!$P$5,'CP RESUMO'!BP53,"")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RESUMO'!BQ11</f>
        <v/>
      </c>
      <c r="N70" s="132">
        <f>MAX(0,M70-M69)</f>
        <v/>
      </c>
      <c r="O70" s="131">
        <f>IF(B70&lt;='VALOR POR PL'!$P$5,'CP RESUMO'!BQ53,"")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RESUMO'!BR11</f>
        <v/>
      </c>
      <c r="N71" s="132">
        <f>MAX(0,M71-M70)</f>
        <v/>
      </c>
      <c r="O71" s="131">
        <f>IF(B71&lt;='VALOR POR PL'!$P$5,'CP RESUMO'!BR53,"")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RESUMO'!BS11</f>
        <v/>
      </c>
      <c r="N72" s="132">
        <f>MAX(0,M72-M71)</f>
        <v/>
      </c>
      <c r="O72" s="131">
        <f>IF(B72&lt;='VALOR POR PL'!$P$5,'CP RESUMO'!BS53,"")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RESUMO'!BT11</f>
        <v/>
      </c>
      <c r="N73" s="132">
        <f>MAX(0,M73-M72)</f>
        <v/>
      </c>
      <c r="O73" s="131">
        <f>IF(B73&lt;='VALOR POR PL'!$P$5,'CP RESUMO'!BT53,"")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RESUMO'!BU11</f>
        <v/>
      </c>
      <c r="N74" s="132">
        <f>MAX(0,M74-M73)</f>
        <v/>
      </c>
      <c r="O74" s="131">
        <f>IF(B74&lt;='VALOR POR PL'!$P$5,'CP RESUMO'!BU53,"")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RESUMO'!BV11</f>
        <v/>
      </c>
      <c r="N75" s="132">
        <f>MAX(0,M75-M74)</f>
        <v/>
      </c>
      <c r="O75" s="131">
        <f>IF(B75&lt;='VALOR POR PL'!$P$5,'CP RESUMO'!BV53,"")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RESUMO'!BW11</f>
        <v/>
      </c>
      <c r="N76" s="132">
        <f>MAX(0,M76-M75)</f>
        <v/>
      </c>
      <c r="O76" s="131">
        <f>IF(B76&lt;='VALOR POR PL'!$P$5,'CP RESUMO'!BW53,"")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HISTORICOS'!D12)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PL'!F18</f>
        <v/>
      </c>
      <c r="K5" s="60">
        <f>'VALOR POR PL'!G18</f>
        <v/>
      </c>
      <c r="L5" s="60">
        <f>'DADOS HISTORICOS'!$BZ$12</f>
        <v/>
      </c>
      <c r="M5" s="131">
        <f>'CP RESUMO'!D12</f>
        <v/>
      </c>
      <c r="N5" s="132" t="n">
        <v>0</v>
      </c>
      <c r="O5" s="131">
        <f>IF(B5&lt;='VALOR POR PL'!$P$5,'CP RESUMO'!D54,"")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HISTORICOS'!E12)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PL'!H18</f>
        <v/>
      </c>
      <c r="L6" s="49">
        <f>C6/IF(B6&lt;='VALOR POR PL'!$P$5,IFERROR(INDEX('"INCC-FGV"'!$B$2:$B$800,MATCH(B6,'"INCC-FGV"'!$A$2:$A$800,0)),$K$2),$K$2)</f>
        <v/>
      </c>
      <c r="M6" s="131">
        <f>'CP RESUMO'!E12</f>
        <v/>
      </c>
      <c r="N6" s="132">
        <f>MAX(0,M6-M5)</f>
        <v/>
      </c>
      <c r="O6" s="131">
        <f>IF(B6&lt;='VALOR POR PL'!$P$5,'CP RESUMO'!E54,"")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HISTORICOS'!F12)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RESUMO'!F12</f>
        <v/>
      </c>
      <c r="N7" s="132">
        <f>MAX(0,M7-M6)</f>
        <v/>
      </c>
      <c r="O7" s="131">
        <f>IF(B7&lt;='VALOR POR PL'!$P$5,'CP RESUMO'!F54,"")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HISTORICOS'!G12)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RESUMO'!G12</f>
        <v/>
      </c>
      <c r="N8" s="132">
        <f>MAX(0,M8-M7)</f>
        <v/>
      </c>
      <c r="O8" s="131">
        <f>IF(B8&lt;='VALOR POR PL'!$P$5,'CP RESUMO'!G54,"")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HISTORICOS'!H12)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RESUMO'!H12</f>
        <v/>
      </c>
      <c r="N9" s="132">
        <f>MAX(0,M9-M8)</f>
        <v/>
      </c>
      <c r="O9" s="131">
        <f>IF(B9&lt;='VALOR POR PL'!$P$5,'CP RESUMO'!H54,"")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RESUMO'!I12</f>
        <v/>
      </c>
      <c r="N10" s="132">
        <f>MAX(0,M10-M9)</f>
        <v/>
      </c>
      <c r="O10" s="131">
        <f>IF(B10&lt;='VALOR POR PL'!$P$5,'CP RESUMO'!I54,"")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RESUMO'!J12</f>
        <v/>
      </c>
      <c r="N11" s="132">
        <f>MAX(0,M11-M10)</f>
        <v/>
      </c>
      <c r="O11" s="131">
        <f>IF(B11&lt;='VALOR POR PL'!$P$5,'CP RESUMO'!J54,"")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RESUMO'!K12</f>
        <v/>
      </c>
      <c r="N12" s="132">
        <f>MAX(0,M12-M11)</f>
        <v/>
      </c>
      <c r="O12" s="131">
        <f>IF(B12&lt;='VALOR POR PL'!$P$5,'CP RESUMO'!K54,"")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PL'!I18</f>
        <v/>
      </c>
      <c r="L13" s="49">
        <f>C13/IF(B13&lt;='VALOR POR PL'!$P$5,IFERROR(INDEX('"INCC-FGV"'!$B$2:$B$800,MATCH(B13,'"INCC-FGV"'!$A$2:$A$800,0)),$K$2),$K$2)</f>
        <v/>
      </c>
      <c r="M13" s="131">
        <f>'CP RESUMO'!L12</f>
        <v/>
      </c>
      <c r="N13" s="132">
        <f>MAX(0,M13-M12)</f>
        <v/>
      </c>
      <c r="O13" s="131">
        <f>IF(B13&lt;='VALOR POR PL'!$P$5,'CP RESUMO'!L54,"")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RESUMO'!$D$54:$BW$54,MATCH('VALOR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RESUMO'!M12</f>
        <v/>
      </c>
      <c r="N14" s="132">
        <f>MAX(0,M14-M13)</f>
        <v/>
      </c>
      <c r="O14" s="131">
        <f>IF(B14&lt;='VALOR POR PL'!$P$5,'CP RESUMO'!M54,"")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RESUMO'!N12</f>
        <v/>
      </c>
      <c r="N15" s="132">
        <f>MAX(0,M15-M14)</f>
        <v/>
      </c>
      <c r="O15" s="131">
        <f>IF(B15&lt;='VALOR POR PL'!$P$5,'CP RESUMO'!N54,"")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RESUMO'!O12</f>
        <v/>
      </c>
      <c r="N16" s="132">
        <f>MAX(0,M16-M15)</f>
        <v/>
      </c>
      <c r="O16" s="131">
        <f>IF(B16&lt;='VALOR POR PL'!$P$5,'CP RESUMO'!O54,"")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RESUMO'!P12</f>
        <v/>
      </c>
      <c r="N17" s="132">
        <f>MAX(0,M17-M16)</f>
        <v/>
      </c>
      <c r="O17" s="131">
        <f>IF(B17&lt;='VALOR POR PL'!$P$5,'CP RESUMO'!P54,"")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RESUMO'!Q12</f>
        <v/>
      </c>
      <c r="N18" s="132">
        <f>MAX(0,M18-M17)</f>
        <v/>
      </c>
      <c r="O18" s="131">
        <f>IF(B18&lt;='VALOR POR PL'!$P$5,'CP RESUMO'!Q54,"")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RESUMO'!R12</f>
        <v/>
      </c>
      <c r="N19" s="132">
        <f>MAX(0,M19-M18)</f>
        <v/>
      </c>
      <c r="O19" s="131">
        <f>IF(B19&lt;='VALOR POR PL'!$P$5,'CP RESUMO'!R54,"")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RESUMO'!S12</f>
        <v/>
      </c>
      <c r="N20" s="132">
        <f>MAX(0,M20-M19)</f>
        <v/>
      </c>
      <c r="O20" s="131">
        <f>IF(B20&lt;='VALOR POR PL'!$P$5,'CP RESUMO'!S54,"")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RESUMO'!T12</f>
        <v/>
      </c>
      <c r="N21" s="132">
        <f>MAX(0,M21-M20)</f>
        <v/>
      </c>
      <c r="O21" s="131">
        <f>IF(B21&lt;='VALOR POR PL'!$P$5,'CP RESUMO'!T54,"")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RESUMO'!U12</f>
        <v/>
      </c>
      <c r="N22" s="132">
        <f>MAX(0,M22-M21)</f>
        <v/>
      </c>
      <c r="O22" s="131">
        <f>IF(B22&lt;='VALOR POR PL'!$P$5,'CP RESUMO'!U54,"")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RESUMO'!V12</f>
        <v/>
      </c>
      <c r="N23" s="132">
        <f>MAX(0,M23-M22)</f>
        <v/>
      </c>
      <c r="O23" s="131">
        <f>IF(B23&lt;='VALOR POR PL'!$P$5,'CP RESUMO'!V54,"")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RESUMO'!W12</f>
        <v/>
      </c>
      <c r="N24" s="132">
        <f>MAX(0,M24-M23)</f>
        <v/>
      </c>
      <c r="O24" s="131">
        <f>IF(B24&lt;='VALOR POR PL'!$P$5,'CP RESUMO'!W54,"")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RESUMO'!X12</f>
        <v/>
      </c>
      <c r="N25" s="132">
        <f>MAX(0,M25-M24)</f>
        <v/>
      </c>
      <c r="O25" s="131">
        <f>IF(B25&lt;='VALOR POR PL'!$P$5,'CP RESUMO'!X54,"")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9977.450000000001</v>
      </c>
      <c r="L26" s="49">
        <f>C26/IF(B26&lt;='VALOR POR PL'!$P$5,IFERROR(INDEX('"INCC-FGV"'!$B$2:$B$800,MATCH(B26,'"INCC-FGV"'!$A$2:$A$800,0)),$K$2),$K$2)</f>
        <v/>
      </c>
      <c r="M26" s="131">
        <f>'CP RESUMO'!Y12</f>
        <v/>
      </c>
      <c r="N26" s="132">
        <f>MAX(0,M26-M25)</f>
        <v/>
      </c>
      <c r="O26" s="131">
        <f>IF(B26&lt;='VALOR POR PL'!$P$5,'CP RESUMO'!Y54,"")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9977.450000000001</v>
      </c>
      <c r="L27" s="49">
        <f>C27/IF(B27&lt;='VALOR POR PL'!$P$5,IFERROR(INDEX('"INCC-FGV"'!$B$2:$B$800,MATCH(B27,'"INCC-FGV"'!$A$2:$A$800,0)),$K$2),$K$2)</f>
        <v/>
      </c>
      <c r="M27" s="131">
        <f>'CP RESUMO'!Z12</f>
        <v/>
      </c>
      <c r="N27" s="132">
        <f>MAX(0,M27-M26)</f>
        <v/>
      </c>
      <c r="O27" s="131">
        <f>IF(B27&lt;='VALOR POR PL'!$P$5,'CP RESUMO'!Z54,"")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8730.27</v>
      </c>
      <c r="L28" s="49">
        <f>C28/IF(B28&lt;='VALOR POR PL'!$P$5,IFERROR(INDEX('"INCC-FGV"'!$B$2:$B$800,MATCH(B28,'"INCC-FGV"'!$A$2:$A$800,0)),$K$2),$K$2)</f>
        <v/>
      </c>
      <c r="M28" s="131">
        <f>'CP RESUMO'!AA12</f>
        <v/>
      </c>
      <c r="N28" s="132">
        <f>MAX(0,M28-M27)</f>
        <v/>
      </c>
      <c r="O28" s="131">
        <f>IF(B28&lt;='VALOR POR PL'!$P$5,'CP RESUMO'!AA54,"")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12471.81</v>
      </c>
      <c r="L29" s="49">
        <f>C29/IF(B29&lt;='VALOR POR PL'!$P$5,IFERROR(INDEX('"INCC-FGV"'!$B$2:$B$800,MATCH(B29,'"INCC-FGV"'!$A$2:$A$800,0)),$K$2),$K$2)</f>
        <v/>
      </c>
      <c r="M29" s="131">
        <f>'CP RESUMO'!AB12</f>
        <v/>
      </c>
      <c r="N29" s="132">
        <f>MAX(0,M29-M28)</f>
        <v/>
      </c>
      <c r="O29" s="131">
        <f>IF(B29&lt;='VALOR POR PL'!$P$5,'CP RESUMO'!AB54,"")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33723.77</v>
      </c>
      <c r="L30" s="49">
        <f>C30/IF(B30&lt;='VALOR POR PL'!$P$5,IFERROR(INDEX('"INCC-FGV"'!$B$2:$B$800,MATCH(B30,'"INCC-FGV"'!$A$2:$A$800,0)),$K$2),$K$2)</f>
        <v/>
      </c>
      <c r="M30" s="131">
        <f>'CP RESUMO'!AC12</f>
        <v/>
      </c>
      <c r="N30" s="132">
        <f>MAX(0,M30-M29)</f>
        <v/>
      </c>
      <c r="O30" s="131">
        <f>IF(B30&lt;='VALOR POR PL'!$P$5,'CP RESUMO'!AC54,"")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42042.47</v>
      </c>
      <c r="L31" s="49">
        <f>C31/IF(B31&lt;='VALOR POR PL'!$P$5,IFERROR(INDEX('"INCC-FGV"'!$B$2:$B$800,MATCH(B31,'"INCC-FGV"'!$A$2:$A$800,0)),$K$2),$K$2)</f>
        <v/>
      </c>
      <c r="M31" s="131">
        <f>'CP RESUMO'!AD12</f>
        <v/>
      </c>
      <c r="N31" s="132">
        <f>MAX(0,M31-M30)</f>
        <v/>
      </c>
      <c r="O31" s="131">
        <f>IF(B31&lt;='VALOR POR PL'!$P$5,'CP RESUMO'!AD54,"")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47530.07</v>
      </c>
      <c r="L32" s="49">
        <f>C32/IF(B32&lt;='VALOR POR PL'!$P$5,IFERROR(INDEX('"INCC-FGV"'!$B$2:$B$800,MATCH(B32,'"INCC-FGV"'!$A$2:$A$800,0)),$K$2),$K$2)</f>
        <v/>
      </c>
      <c r="M32" s="131">
        <f>'CP RESUMO'!AE12</f>
        <v/>
      </c>
      <c r="N32" s="132">
        <f>MAX(0,M32-M31)</f>
        <v/>
      </c>
      <c r="O32" s="131">
        <f>IF(B32&lt;='VALOR POR PL'!$P$5,'CP RESUMO'!AE54,"")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42117.3</v>
      </c>
      <c r="L33" s="49">
        <f>C33/IF(B33&lt;='VALOR POR PL'!$P$5,IFERROR(INDEX('"INCC-FGV"'!$B$2:$B$800,MATCH(B33,'"INCC-FGV"'!$A$2:$A$800,0)),$K$2),$K$2)</f>
        <v/>
      </c>
      <c r="M33" s="131">
        <f>'CP RESUMO'!AF12</f>
        <v/>
      </c>
      <c r="N33" s="132">
        <f>MAX(0,M33-M32)</f>
        <v/>
      </c>
      <c r="O33" s="131">
        <f>IF(B33&lt;='VALOR POR PL'!$P$5,'CP RESUMO'!AF54,"")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36417.69</v>
      </c>
      <c r="L34" s="49">
        <f>C34/IF(B34&lt;='VALOR POR PL'!$P$5,IFERROR(INDEX('"INCC-FGV"'!$B$2:$B$800,MATCH(B34,'"INCC-FGV"'!$A$2:$A$800,0)),$K$2),$K$2)</f>
        <v/>
      </c>
      <c r="M34" s="131">
        <f>'CP RESUMO'!AG12</f>
        <v/>
      </c>
      <c r="N34" s="132">
        <f>MAX(0,M34-M33)</f>
        <v/>
      </c>
      <c r="O34" s="131">
        <f>IF(B34&lt;='VALOR POR PL'!$P$5,'CP RESUMO'!AG54,"")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43988.07</v>
      </c>
      <c r="L35" s="49">
        <f>C35/IF(B35&lt;='VALOR POR PL'!$P$5,IFERROR(INDEX('"INCC-FGV"'!$B$2:$B$800,MATCH(B35,'"INCC-FGV"'!$A$2:$A$800,0)),$K$2),$K$2)</f>
        <v/>
      </c>
      <c r="M35" s="131">
        <f>'CP RESUMO'!AH12</f>
        <v/>
      </c>
      <c r="N35" s="132">
        <f>MAX(0,M35-M34)</f>
        <v/>
      </c>
      <c r="O35" s="131">
        <f>IF(B35&lt;='VALOR POR PL'!$P$5,'CP RESUMO'!AH54,"")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38625.2</v>
      </c>
      <c r="L36" s="49">
        <f>C36/IF(B36&lt;='VALOR POR PL'!$P$5,IFERROR(INDEX('"INCC-FGV"'!$B$2:$B$800,MATCH(B36,'"INCC-FGV"'!$A$2:$A$800,0)),$K$2),$K$2)</f>
        <v/>
      </c>
      <c r="M36" s="131">
        <f>'CP RESUMO'!AI12</f>
        <v/>
      </c>
      <c r="N36" s="132">
        <f>MAX(0,M36-M35)</f>
        <v/>
      </c>
      <c r="O36" s="131">
        <f>IF(B36&lt;='VALOR POR PL'!$P$5,'CP RESUMO'!AI54,"")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31940.31</v>
      </c>
      <c r="L37" s="49">
        <f>C37/IF(B37&lt;='VALOR POR PL'!$P$5,IFERROR(INDEX('"INCC-FGV"'!$B$2:$B$800,MATCH(B37,'"INCC-FGV"'!$A$2:$A$800,0)),$K$2),$K$2)</f>
        <v/>
      </c>
      <c r="M37" s="131">
        <f>'CP RESUMO'!AJ12</f>
        <v/>
      </c>
      <c r="N37" s="132">
        <f>MAX(0,M37-M36)</f>
        <v/>
      </c>
      <c r="O37" s="131">
        <f>IF(B37&lt;='VALOR POR PL'!$P$5,'CP RESUMO'!AJ54,"")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36405.21</v>
      </c>
      <c r="L38" s="49">
        <f>C38/IF(B38&lt;='VALOR POR PL'!$P$5,IFERROR(INDEX('"INCC-FGV"'!$B$2:$B$800,MATCH(B38,'"INCC-FGV"'!$A$2:$A$800,0)),$K$2),$K$2)</f>
        <v/>
      </c>
      <c r="M38" s="131">
        <f>'CP RESUMO'!AK12</f>
        <v/>
      </c>
      <c r="N38" s="132">
        <f>MAX(0,M38-M37)</f>
        <v/>
      </c>
      <c r="O38" s="131">
        <f>IF(B38&lt;='VALOR POR PL'!$P$5,'CP RESUMO'!AK54,"")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37415.43</v>
      </c>
      <c r="L39" s="49">
        <f>C39/IF(B39&lt;='VALOR POR PL'!$P$5,IFERROR(INDEX('"INCC-FGV"'!$B$2:$B$800,MATCH(B39,'"INCC-FGV"'!$A$2:$A$800,0)),$K$2),$K$2)</f>
        <v/>
      </c>
      <c r="M39" s="131">
        <f>'CP RESUMO'!AL12</f>
        <v/>
      </c>
      <c r="N39" s="132">
        <f>MAX(0,M39-M38)</f>
        <v/>
      </c>
      <c r="O39" s="131">
        <f>IF(B39&lt;='VALOR POR PL'!$P$5,'CP RESUMO'!AL54,"")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37415.43</v>
      </c>
      <c r="L40" s="49">
        <f>C40/IF(B40&lt;='VALOR POR PL'!$P$5,IFERROR(INDEX('"INCC-FGV"'!$B$2:$B$800,MATCH(B40,'"INCC-FGV"'!$A$2:$A$800,0)),$K$2),$K$2)</f>
        <v/>
      </c>
      <c r="M40" s="131">
        <f>'CP RESUMO'!AM12</f>
        <v/>
      </c>
      <c r="N40" s="132">
        <f>MAX(0,M40-M39)</f>
        <v/>
      </c>
      <c r="O40" s="131">
        <f>IF(B40&lt;='VALOR POR PL'!$P$5,'CP RESUMO'!AM54,"")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36130.83</v>
      </c>
      <c r="L41" s="49">
        <f>C41/IF(B41&lt;='VALOR POR PL'!$P$5,IFERROR(INDEX('"INCC-FGV"'!$B$2:$B$800,MATCH(B41,'"INCC-FGV"'!$A$2:$A$800,0)),$K$2),$K$2)</f>
        <v/>
      </c>
      <c r="M41" s="131">
        <f>'CP RESUMO'!AN12</f>
        <v/>
      </c>
      <c r="N41" s="132">
        <f>MAX(0,M41-M40)</f>
        <v/>
      </c>
      <c r="O41" s="131">
        <f>IF(B41&lt;='VALOR POR PL'!$P$5,'CP RESUMO'!AN54,"")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37415.43</v>
      </c>
      <c r="L42" s="49">
        <f>C42/IF(B42&lt;='VALOR POR PL'!$P$5,IFERROR(INDEX('"INCC-FGV"'!$B$2:$B$800,MATCH(B42,'"INCC-FGV"'!$A$2:$A$800,0)),$K$2),$K$2)</f>
        <v/>
      </c>
      <c r="M42" s="131">
        <f>'CP RESUMO'!AO12</f>
        <v/>
      </c>
      <c r="N42" s="132">
        <f>MAX(0,M42-M41)</f>
        <v/>
      </c>
      <c r="O42" s="131">
        <f>IF(B42&lt;='VALOR POR PL'!$P$5,'CP RESUMO'!AO54,"")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37019.48</v>
      </c>
      <c r="L43" s="49">
        <f>C43/IF(B43&lt;='VALOR POR PL'!$P$5,IFERROR(INDEX('"INCC-FGV"'!$B$2:$B$800,MATCH(B43,'"INCC-FGV"'!$A$2:$A$800,0)),$K$2),$K$2)</f>
        <v/>
      </c>
      <c r="M43" s="131">
        <f>'CP RESUMO'!AP12</f>
        <v/>
      </c>
      <c r="N43" s="132">
        <f>MAX(0,M43-M42)</f>
        <v/>
      </c>
      <c r="O43" s="131">
        <f>IF(B43&lt;='VALOR POR PL'!$P$5,'CP RESUMO'!AP54,"")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RESUMO'!AQ12</f>
        <v/>
      </c>
      <c r="N44" s="132">
        <f>MAX(0,M44-M43)</f>
        <v/>
      </c>
      <c r="O44" s="131">
        <f>IF(B44&lt;='VALOR POR PL'!$P$5,'CP RESUMO'!AQ54,"")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RESUMO'!AR12</f>
        <v/>
      </c>
      <c r="N45" s="132">
        <f>MAX(0,M45-M44)</f>
        <v/>
      </c>
      <c r="O45" s="131">
        <f>IF(B45&lt;='VALOR POR PL'!$P$5,'CP RESUMO'!AR54,"")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RESUMO'!AS12</f>
        <v/>
      </c>
      <c r="N46" s="132">
        <f>MAX(0,M46-M45)</f>
        <v/>
      </c>
      <c r="O46" s="131">
        <f>IF(B46&lt;='VALOR POR PL'!$P$5,'CP RESUMO'!AS54,"")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RESUMO'!AT12</f>
        <v/>
      </c>
      <c r="N47" s="132">
        <f>MAX(0,M47-M46)</f>
        <v/>
      </c>
      <c r="O47" s="131">
        <f>IF(B47&lt;='VALOR POR PL'!$P$5,'CP RESUMO'!AT54,"")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RESUMO'!AU12</f>
        <v/>
      </c>
      <c r="N48" s="132">
        <f>MAX(0,M48-M47)</f>
        <v/>
      </c>
      <c r="O48" s="131">
        <f>IF(B48&lt;='VALOR POR PL'!$P$5,'CP RESUMO'!AU54,"")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RESUMO'!AV12</f>
        <v/>
      </c>
      <c r="N49" s="132">
        <f>MAX(0,M49-M48)</f>
        <v/>
      </c>
      <c r="O49" s="131">
        <f>IF(B49&lt;='VALOR POR PL'!$P$5,'CP RESUMO'!AV54,"")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RESUMO'!AW12</f>
        <v/>
      </c>
      <c r="N50" s="132">
        <f>MAX(0,M50-M49)</f>
        <v/>
      </c>
      <c r="O50" s="131">
        <f>IF(B50&lt;='VALOR POR PL'!$P$5,'CP RESUMO'!AW54,"")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RESUMO'!AX12</f>
        <v/>
      </c>
      <c r="N51" s="132">
        <f>MAX(0,M51-M50)</f>
        <v/>
      </c>
      <c r="O51" s="131">
        <f>IF(B51&lt;='VALOR POR PL'!$P$5,'CP RESUMO'!AX54,"")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RESUMO'!AY12</f>
        <v/>
      </c>
      <c r="N52" s="132">
        <f>MAX(0,M52-M51)</f>
        <v/>
      </c>
      <c r="O52" s="131">
        <f>IF(B52&lt;='VALOR POR PL'!$P$5,'CP RESUMO'!AY54,"")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RESUMO'!AZ12</f>
        <v/>
      </c>
      <c r="N53" s="132">
        <f>MAX(0,M53-M52)</f>
        <v/>
      </c>
      <c r="O53" s="131">
        <f>IF(B53&lt;='VALOR POR PL'!$P$5,'CP RESUMO'!AZ54,"")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RESUMO'!BA12</f>
        <v/>
      </c>
      <c r="N54" s="132">
        <f>MAX(0,M54-M53)</f>
        <v/>
      </c>
      <c r="O54" s="131">
        <f>IF(B54&lt;='VALOR POR PL'!$P$5,'CP RESUMO'!BA54,"")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RESUMO'!BB12</f>
        <v/>
      </c>
      <c r="N55" s="132">
        <f>MAX(0,M55-M54)</f>
        <v/>
      </c>
      <c r="O55" s="131">
        <f>IF(B55&lt;='VALOR POR PL'!$P$5,'CP RESUMO'!BB54,"")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RESUMO'!BC12</f>
        <v/>
      </c>
      <c r="N56" s="132">
        <f>MAX(0,M56-M55)</f>
        <v/>
      </c>
      <c r="O56" s="131">
        <f>IF(B56&lt;='VALOR POR PL'!$P$5,'CP RESUMO'!BC54,"")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RESUMO'!BD12</f>
        <v/>
      </c>
      <c r="N57" s="132">
        <f>MAX(0,M57-M56)</f>
        <v/>
      </c>
      <c r="O57" s="131">
        <f>IF(B57&lt;='VALOR POR PL'!$P$5,'CP RESUMO'!BD54,"")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RESUMO'!BE12</f>
        <v/>
      </c>
      <c r="N58" s="132">
        <f>MAX(0,M58-M57)</f>
        <v/>
      </c>
      <c r="O58" s="131">
        <f>IF(B58&lt;='VALOR POR PL'!$P$5,'CP RESUMO'!BE54,"")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RESUMO'!BF12</f>
        <v/>
      </c>
      <c r="N59" s="132">
        <f>MAX(0,M59-M58)</f>
        <v/>
      </c>
      <c r="O59" s="131">
        <f>IF(B59&lt;='VALOR POR PL'!$P$5,'CP RESUMO'!BF54,"")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RESUMO'!BG12</f>
        <v/>
      </c>
      <c r="N60" s="132">
        <f>MAX(0,M60-M59)</f>
        <v/>
      </c>
      <c r="O60" s="131">
        <f>IF(B60&lt;='VALOR POR PL'!$P$5,'CP RESUMO'!BG54,"")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RESUMO'!BH12</f>
        <v/>
      </c>
      <c r="N61" s="132">
        <f>MAX(0,M61-M60)</f>
        <v/>
      </c>
      <c r="O61" s="131">
        <f>IF(B61&lt;='VALOR POR PL'!$P$5,'CP RESUMO'!BH54,"")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RESUMO'!BI12</f>
        <v/>
      </c>
      <c r="N62" s="132">
        <f>MAX(0,M62-M61)</f>
        <v/>
      </c>
      <c r="O62" s="131">
        <f>IF(B62&lt;='VALOR POR PL'!$P$5,'CP RESUMO'!BI54,"")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RESUMO'!BJ12</f>
        <v/>
      </c>
      <c r="N63" s="132">
        <f>MAX(0,M63-M62)</f>
        <v/>
      </c>
      <c r="O63" s="131">
        <f>IF(B63&lt;='VALOR POR PL'!$P$5,'CP RESUMO'!BJ54,"")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RESUMO'!BK12</f>
        <v/>
      </c>
      <c r="N64" s="132">
        <f>MAX(0,M64-M63)</f>
        <v/>
      </c>
      <c r="O64" s="131">
        <f>IF(B64&lt;='VALOR POR PL'!$P$5,'CP RESUMO'!BK54,"")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RESUMO'!BL12</f>
        <v/>
      </c>
      <c r="N65" s="132">
        <f>MAX(0,M65-M64)</f>
        <v/>
      </c>
      <c r="O65" s="131">
        <f>IF(B65&lt;='VALOR POR PL'!$P$5,'CP RESUMO'!BL54,"")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RESUMO'!BM12</f>
        <v/>
      </c>
      <c r="N66" s="132">
        <f>MAX(0,M66-M65)</f>
        <v/>
      </c>
      <c r="O66" s="131">
        <f>IF(B66&lt;='VALOR POR PL'!$P$5,'CP RESUMO'!BM54,"")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RESUMO'!BN12</f>
        <v/>
      </c>
      <c r="N67" s="132">
        <f>MAX(0,M67-M66)</f>
        <v/>
      </c>
      <c r="O67" s="131">
        <f>IF(B67&lt;='VALOR POR PL'!$P$5,'CP RESUMO'!BN54,"")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RESUMO'!BO12</f>
        <v/>
      </c>
      <c r="N68" s="132">
        <f>MAX(0,M68-M67)</f>
        <v/>
      </c>
      <c r="O68" s="131">
        <f>IF(B68&lt;='VALOR POR PL'!$P$5,'CP RESUMO'!BO54,"")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RESUMO'!BP12</f>
        <v/>
      </c>
      <c r="N69" s="132">
        <f>MAX(0,M69-M68)</f>
        <v/>
      </c>
      <c r="O69" s="131">
        <f>IF(B69&lt;='VALOR POR PL'!$P$5,'CP RESUMO'!BP54,"")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RESUMO'!BQ12</f>
        <v/>
      </c>
      <c r="N70" s="132">
        <f>MAX(0,M70-M69)</f>
        <v/>
      </c>
      <c r="O70" s="131">
        <f>IF(B70&lt;='VALOR POR PL'!$P$5,'CP RESUMO'!BQ54,"")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RESUMO'!BR12</f>
        <v/>
      </c>
      <c r="N71" s="132">
        <f>MAX(0,M71-M70)</f>
        <v/>
      </c>
      <c r="O71" s="131">
        <f>IF(B71&lt;='VALOR POR PL'!$P$5,'CP RESUMO'!BR54,"")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RESUMO'!BS12</f>
        <v/>
      </c>
      <c r="N72" s="132">
        <f>MAX(0,M72-M71)</f>
        <v/>
      </c>
      <c r="O72" s="131">
        <f>IF(B72&lt;='VALOR POR PL'!$P$5,'CP RESUMO'!BS54,"")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RESUMO'!BT12</f>
        <v/>
      </c>
      <c r="N73" s="132">
        <f>MAX(0,M73-M72)</f>
        <v/>
      </c>
      <c r="O73" s="131">
        <f>IF(B73&lt;='VALOR POR PL'!$P$5,'CP RESUMO'!BT54,"")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RESUMO'!BU12</f>
        <v/>
      </c>
      <c r="N74" s="132">
        <f>MAX(0,M74-M73)</f>
        <v/>
      </c>
      <c r="O74" s="131">
        <f>IF(B74&lt;='VALOR POR PL'!$P$5,'CP RESUMO'!BU54,"")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RESUMO'!BV12</f>
        <v/>
      </c>
      <c r="N75" s="132">
        <f>MAX(0,M75-M74)</f>
        <v/>
      </c>
      <c r="O75" s="131">
        <f>IF(B75&lt;='VALOR POR PL'!$P$5,'CP RESUMO'!BV54,"")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RESUMO'!BW12</f>
        <v/>
      </c>
      <c r="N76" s="132">
        <f>MAX(0,M76-M75)</f>
        <v/>
      </c>
      <c r="O76" s="131">
        <f>IF(B76&lt;='VALOR POR PL'!$P$5,'CP RESUMO'!BW54,"")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HISTORICOS'!D13)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PL'!F19</f>
        <v/>
      </c>
      <c r="K5" s="60">
        <f>'VALOR POR PL'!G19</f>
        <v/>
      </c>
      <c r="L5" s="60">
        <f>'DADOS HISTORICOS'!$BZ$13</f>
        <v/>
      </c>
      <c r="M5" s="131">
        <f>'CP RESUMO'!D13</f>
        <v/>
      </c>
      <c r="N5" s="132" t="n">
        <v>0</v>
      </c>
      <c r="O5" s="131">
        <f>IF(B5&lt;='VALOR POR PL'!$P$5,'CP RESUMO'!D55,"")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HISTORICOS'!E13)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PL'!H19</f>
        <v/>
      </c>
      <c r="L6" s="49">
        <f>C6/IF(B6&lt;='VALOR POR PL'!$P$5,IFERROR(INDEX('"INCC-FGV"'!$B$2:$B$800,MATCH(B6,'"INCC-FGV"'!$A$2:$A$800,0)),$K$2),$K$2)</f>
        <v/>
      </c>
      <c r="M6" s="131">
        <f>'CP RESUMO'!E13</f>
        <v/>
      </c>
      <c r="N6" s="132">
        <f>MAX(0,M6-M5)</f>
        <v/>
      </c>
      <c r="O6" s="131">
        <f>IF(B6&lt;='VALOR POR PL'!$P$5,'CP RESUMO'!E55,"")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HISTORICOS'!F13)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RESUMO'!F13</f>
        <v/>
      </c>
      <c r="N7" s="132">
        <f>MAX(0,M7-M6)</f>
        <v/>
      </c>
      <c r="O7" s="131">
        <f>IF(B7&lt;='VALOR POR PL'!$P$5,'CP RESUMO'!F55,"")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HISTORICOS'!G13)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RESUMO'!G13</f>
        <v/>
      </c>
      <c r="N8" s="132">
        <f>MAX(0,M8-M7)</f>
        <v/>
      </c>
      <c r="O8" s="131">
        <f>IF(B8&lt;='VALOR POR PL'!$P$5,'CP RESUMO'!G55,"")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HISTORICOS'!H13)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RESUMO'!H13</f>
        <v/>
      </c>
      <c r="N9" s="132">
        <f>MAX(0,M9-M8)</f>
        <v/>
      </c>
      <c r="O9" s="131">
        <f>IF(B9&lt;='VALOR POR PL'!$P$5,'CP RESUMO'!H55,"")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RESUMO'!I13</f>
        <v/>
      </c>
      <c r="N10" s="132">
        <f>MAX(0,M10-M9)</f>
        <v/>
      </c>
      <c r="O10" s="131">
        <f>IF(B10&lt;='VALOR POR PL'!$P$5,'CP RESUMO'!I55,"")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RESUMO'!J13</f>
        <v/>
      </c>
      <c r="N11" s="132">
        <f>MAX(0,M11-M10)</f>
        <v/>
      </c>
      <c r="O11" s="131">
        <f>IF(B11&lt;='VALOR POR PL'!$P$5,'CP RESUMO'!J55,"")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RESUMO'!K13</f>
        <v/>
      </c>
      <c r="N12" s="132">
        <f>MAX(0,M12-M11)</f>
        <v/>
      </c>
      <c r="O12" s="131">
        <f>IF(B12&lt;='VALOR POR PL'!$P$5,'CP RESUMO'!K55,"")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PL'!I19</f>
        <v/>
      </c>
      <c r="L13" s="49">
        <f>C13/IF(B13&lt;='VALOR POR PL'!$P$5,IFERROR(INDEX('"INCC-FGV"'!$B$2:$B$800,MATCH(B13,'"INCC-FGV"'!$A$2:$A$800,0)),$K$2),$K$2)</f>
        <v/>
      </c>
      <c r="M13" s="131">
        <f>'CP RESUMO'!L13</f>
        <v/>
      </c>
      <c r="N13" s="132">
        <f>MAX(0,M13-M12)</f>
        <v/>
      </c>
      <c r="O13" s="131">
        <f>IF(B13&lt;='VALOR POR PL'!$P$5,'CP RESUMO'!L55,"")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RESUMO'!$D$55:$BW$55,MATCH('VALOR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RESUMO'!M13</f>
        <v/>
      </c>
      <c r="N14" s="132">
        <f>MAX(0,M14-M13)</f>
        <v/>
      </c>
      <c r="O14" s="131">
        <f>IF(B14&lt;='VALOR POR PL'!$P$5,'CP RESUMO'!M55,"")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RESUMO'!N13</f>
        <v/>
      </c>
      <c r="N15" s="132">
        <f>MAX(0,M15-M14)</f>
        <v/>
      </c>
      <c r="O15" s="131">
        <f>IF(B15&lt;='VALOR POR PL'!$P$5,'CP RESUMO'!N55,"")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RESUMO'!O13</f>
        <v/>
      </c>
      <c r="N16" s="132">
        <f>MAX(0,M16-M15)</f>
        <v/>
      </c>
      <c r="O16" s="131">
        <f>IF(B16&lt;='VALOR POR PL'!$P$5,'CP RESUMO'!O55,"")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RESUMO'!P13</f>
        <v/>
      </c>
      <c r="N17" s="132">
        <f>MAX(0,M17-M16)</f>
        <v/>
      </c>
      <c r="O17" s="131">
        <f>IF(B17&lt;='VALOR POR PL'!$P$5,'CP RESUMO'!P55,"")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RESUMO'!Q13</f>
        <v/>
      </c>
      <c r="N18" s="132">
        <f>MAX(0,M18-M17)</f>
        <v/>
      </c>
      <c r="O18" s="131">
        <f>IF(B18&lt;='VALOR POR PL'!$P$5,'CP RESUMO'!Q55,"")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RESUMO'!R13</f>
        <v/>
      </c>
      <c r="N19" s="132">
        <f>MAX(0,M19-M18)</f>
        <v/>
      </c>
      <c r="O19" s="131">
        <f>IF(B19&lt;='VALOR POR PL'!$P$5,'CP RESUMO'!R55,"")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RESUMO'!S13</f>
        <v/>
      </c>
      <c r="N20" s="132">
        <f>MAX(0,M20-M19)</f>
        <v/>
      </c>
      <c r="O20" s="131">
        <f>IF(B20&lt;='VALOR POR PL'!$P$5,'CP RESUMO'!S55,"")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RESUMO'!T13</f>
        <v/>
      </c>
      <c r="N21" s="132">
        <f>MAX(0,M21-M20)</f>
        <v/>
      </c>
      <c r="O21" s="131">
        <f>IF(B21&lt;='VALOR POR PL'!$P$5,'CP RESUMO'!T55,"")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RESUMO'!U13</f>
        <v/>
      </c>
      <c r="N22" s="132">
        <f>MAX(0,M22-M21)</f>
        <v/>
      </c>
      <c r="O22" s="131">
        <f>IF(B22&lt;='VALOR POR PL'!$P$5,'CP RESUMO'!U55,"")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RESUMO'!V13</f>
        <v/>
      </c>
      <c r="N23" s="132">
        <f>MAX(0,M23-M22)</f>
        <v/>
      </c>
      <c r="O23" s="131">
        <f>IF(B23&lt;='VALOR POR PL'!$P$5,'CP RESUMO'!V55,"")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RESUMO'!W13</f>
        <v/>
      </c>
      <c r="N24" s="132">
        <f>MAX(0,M24-M23)</f>
        <v/>
      </c>
      <c r="O24" s="131">
        <f>IF(B24&lt;='VALOR POR PL'!$P$5,'CP RESUMO'!W55,"")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RESUMO'!X13</f>
        <v/>
      </c>
      <c r="N25" s="132">
        <f>MAX(0,M25-M24)</f>
        <v/>
      </c>
      <c r="O25" s="131">
        <f>IF(B25&lt;='VALOR POR PL'!$P$5,'CP RESUMO'!X55,"")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3741.54</v>
      </c>
      <c r="L26" s="49">
        <f>C26/IF(B26&lt;='VALOR POR PL'!$P$5,IFERROR(INDEX('"INCC-FGV"'!$B$2:$B$800,MATCH(B26,'"INCC-FGV"'!$A$2:$A$800,0)),$K$2),$K$2)</f>
        <v/>
      </c>
      <c r="M26" s="131">
        <f>'CP RESUMO'!Y13</f>
        <v/>
      </c>
      <c r="N26" s="132">
        <f>MAX(0,M26-M25)</f>
        <v/>
      </c>
      <c r="O26" s="131">
        <f>IF(B26&lt;='VALOR POR PL'!$P$5,'CP RESUMO'!Y55,"")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3741.54</v>
      </c>
      <c r="L27" s="49">
        <f>C27/IF(B27&lt;='VALOR POR PL'!$P$5,IFERROR(INDEX('"INCC-FGV"'!$B$2:$B$800,MATCH(B27,'"INCC-FGV"'!$A$2:$A$800,0)),$K$2),$K$2)</f>
        <v/>
      </c>
      <c r="M27" s="131">
        <f>'CP RESUMO'!Z13</f>
        <v/>
      </c>
      <c r="N27" s="132">
        <f>MAX(0,M27-M26)</f>
        <v/>
      </c>
      <c r="O27" s="131">
        <f>IF(B27&lt;='VALOR POR PL'!$P$5,'CP RESUMO'!Z55,"")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3741.54</v>
      </c>
      <c r="L28" s="49">
        <f>C28/IF(B28&lt;='VALOR POR PL'!$P$5,IFERROR(INDEX('"INCC-FGV"'!$B$2:$B$800,MATCH(B28,'"INCC-FGV"'!$A$2:$A$800,0)),$K$2),$K$2)</f>
        <v/>
      </c>
      <c r="M28" s="131">
        <f>'CP RESUMO'!AA13</f>
        <v/>
      </c>
      <c r="N28" s="132">
        <f>MAX(0,M28-M27)</f>
        <v/>
      </c>
      <c r="O28" s="131">
        <f>IF(B28&lt;='VALOR POR PL'!$P$5,'CP RESUMO'!AA55,"")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3741.54</v>
      </c>
      <c r="L29" s="49">
        <f>C29/IF(B29&lt;='VALOR POR PL'!$P$5,IFERROR(INDEX('"INCC-FGV"'!$B$2:$B$800,MATCH(B29,'"INCC-FGV"'!$A$2:$A$800,0)),$K$2),$K$2)</f>
        <v/>
      </c>
      <c r="M29" s="131">
        <f>'CP RESUMO'!AB13</f>
        <v/>
      </c>
      <c r="N29" s="132">
        <f>MAX(0,M29-M28)</f>
        <v/>
      </c>
      <c r="O29" s="131">
        <f>IF(B29&lt;='VALOR POR PL'!$P$5,'CP RESUMO'!AB55,"")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3741.54</v>
      </c>
      <c r="L30" s="49">
        <f>C30/IF(B30&lt;='VALOR POR PL'!$P$5,IFERROR(INDEX('"INCC-FGV"'!$B$2:$B$800,MATCH(B30,'"INCC-FGV"'!$A$2:$A$800,0)),$K$2),$K$2)</f>
        <v/>
      </c>
      <c r="M30" s="131">
        <f>'CP RESUMO'!AC13</f>
        <v/>
      </c>
      <c r="N30" s="132">
        <f>MAX(0,M30-M29)</f>
        <v/>
      </c>
      <c r="O30" s="131">
        <f>IF(B30&lt;='VALOR POR PL'!$P$5,'CP RESUMO'!AC55,"")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3741.54</v>
      </c>
      <c r="L31" s="49">
        <f>C31/IF(B31&lt;='VALOR POR PL'!$P$5,IFERROR(INDEX('"INCC-FGV"'!$B$2:$B$800,MATCH(B31,'"INCC-FGV"'!$A$2:$A$800,0)),$K$2),$K$2)</f>
        <v/>
      </c>
      <c r="M31" s="131">
        <f>'CP RESUMO'!AD13</f>
        <v/>
      </c>
      <c r="N31" s="132">
        <f>MAX(0,M31-M30)</f>
        <v/>
      </c>
      <c r="O31" s="131">
        <f>IF(B31&lt;='VALOR POR PL'!$P$5,'CP RESUMO'!AD55,"")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3741.54</v>
      </c>
      <c r="L32" s="49">
        <f>C32/IF(B32&lt;='VALOR POR PL'!$P$5,IFERROR(INDEX('"INCC-FGV"'!$B$2:$B$800,MATCH(B32,'"INCC-FGV"'!$A$2:$A$800,0)),$K$2),$K$2)</f>
        <v/>
      </c>
      <c r="M32" s="131">
        <f>'CP RESUMO'!AE13</f>
        <v/>
      </c>
      <c r="N32" s="132">
        <f>MAX(0,M32-M31)</f>
        <v/>
      </c>
      <c r="O32" s="131">
        <f>IF(B32&lt;='VALOR POR PL'!$P$5,'CP RESUMO'!AE55,"")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3741.54</v>
      </c>
      <c r="L33" s="49">
        <f>C33/IF(B33&lt;='VALOR POR PL'!$P$5,IFERROR(INDEX('"INCC-FGV"'!$B$2:$B$800,MATCH(B33,'"INCC-FGV"'!$A$2:$A$800,0)),$K$2),$K$2)</f>
        <v/>
      </c>
      <c r="M33" s="131">
        <f>'CP RESUMO'!AF13</f>
        <v/>
      </c>
      <c r="N33" s="132">
        <f>MAX(0,M33-M32)</f>
        <v/>
      </c>
      <c r="O33" s="131">
        <f>IF(B33&lt;='VALOR POR PL'!$P$5,'CP RESUMO'!AF55,"")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3741.54</v>
      </c>
      <c r="L34" s="49">
        <f>C34/IF(B34&lt;='VALOR POR PL'!$P$5,IFERROR(INDEX('"INCC-FGV"'!$B$2:$B$800,MATCH(B34,'"INCC-FGV"'!$A$2:$A$800,0)),$K$2),$K$2)</f>
        <v/>
      </c>
      <c r="M34" s="131">
        <f>'CP RESUMO'!AG13</f>
        <v/>
      </c>
      <c r="N34" s="132">
        <f>MAX(0,M34-M33)</f>
        <v/>
      </c>
      <c r="O34" s="131">
        <f>IF(B34&lt;='VALOR POR PL'!$P$5,'CP RESUMO'!AG55,"")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3741.54</v>
      </c>
      <c r="L35" s="49">
        <f>C35/IF(B35&lt;='VALOR POR PL'!$P$5,IFERROR(INDEX('"INCC-FGV"'!$B$2:$B$800,MATCH(B35,'"INCC-FGV"'!$A$2:$A$800,0)),$K$2),$K$2)</f>
        <v/>
      </c>
      <c r="M35" s="131">
        <f>'CP RESUMO'!AH13</f>
        <v/>
      </c>
      <c r="N35" s="132">
        <f>MAX(0,M35-M34)</f>
        <v/>
      </c>
      <c r="O35" s="131">
        <f>IF(B35&lt;='VALOR POR PL'!$P$5,'CP RESUMO'!AH55,"")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3741.54</v>
      </c>
      <c r="L36" s="49">
        <f>C36/IF(B36&lt;='VALOR POR PL'!$P$5,IFERROR(INDEX('"INCC-FGV"'!$B$2:$B$800,MATCH(B36,'"INCC-FGV"'!$A$2:$A$800,0)),$K$2),$K$2)</f>
        <v/>
      </c>
      <c r="M36" s="131">
        <f>'CP RESUMO'!AI13</f>
        <v/>
      </c>
      <c r="N36" s="132">
        <f>MAX(0,M36-M35)</f>
        <v/>
      </c>
      <c r="O36" s="131">
        <f>IF(B36&lt;='VALOR POR PL'!$P$5,'CP RESUMO'!AI55,"")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3741.54</v>
      </c>
      <c r="L37" s="49">
        <f>C37/IF(B37&lt;='VALOR POR PL'!$P$5,IFERROR(INDEX('"INCC-FGV"'!$B$2:$B$800,MATCH(B37,'"INCC-FGV"'!$A$2:$A$800,0)),$K$2),$K$2)</f>
        <v/>
      </c>
      <c r="M37" s="131">
        <f>'CP RESUMO'!AJ13</f>
        <v/>
      </c>
      <c r="N37" s="132">
        <f>MAX(0,M37-M36)</f>
        <v/>
      </c>
      <c r="O37" s="131">
        <f>IF(B37&lt;='VALOR POR PL'!$P$5,'CP RESUMO'!AJ55,"")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3741.54</v>
      </c>
      <c r="L38" s="49">
        <f>C38/IF(B38&lt;='VALOR POR PL'!$P$5,IFERROR(INDEX('"INCC-FGV"'!$B$2:$B$800,MATCH(B38,'"INCC-FGV"'!$A$2:$A$800,0)),$K$2),$K$2)</f>
        <v/>
      </c>
      <c r="M38" s="131">
        <f>'CP RESUMO'!AK13</f>
        <v/>
      </c>
      <c r="N38" s="132">
        <f>MAX(0,M38-M37)</f>
        <v/>
      </c>
      <c r="O38" s="131">
        <f>IF(B38&lt;='VALOR POR PL'!$P$5,'CP RESUMO'!AK55,"")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83249.33</v>
      </c>
      <c r="L39" s="49">
        <f>C39/IF(B39&lt;='VALOR POR PL'!$P$5,IFERROR(INDEX('"INCC-FGV"'!$B$2:$B$800,MATCH(B39,'"INCC-FGV"'!$A$2:$A$800,0)),$K$2),$K$2)</f>
        <v/>
      </c>
      <c r="M39" s="131">
        <f>'CP RESUMO'!AL13</f>
        <v/>
      </c>
      <c r="N39" s="132">
        <f>MAX(0,M39-M38)</f>
        <v/>
      </c>
      <c r="O39" s="131">
        <f>IF(B39&lt;='VALOR POR PL'!$P$5,'CP RESUMO'!AL55,"")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83249.33</v>
      </c>
      <c r="L40" s="49">
        <f>C40/IF(B40&lt;='VALOR POR PL'!$P$5,IFERROR(INDEX('"INCC-FGV"'!$B$2:$B$800,MATCH(B40,'"INCC-FGV"'!$A$2:$A$800,0)),$K$2),$K$2)</f>
        <v/>
      </c>
      <c r="M40" s="131">
        <f>'CP RESUMO'!AM13</f>
        <v/>
      </c>
      <c r="N40" s="132">
        <f>MAX(0,M40-M39)</f>
        <v/>
      </c>
      <c r="O40" s="131">
        <f>IF(B40&lt;='VALOR POR PL'!$P$5,'CP RESUMO'!AM55,"")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83249.33</v>
      </c>
      <c r="L41" s="49">
        <f>C41/IF(B41&lt;='VALOR POR PL'!$P$5,IFERROR(INDEX('"INCC-FGV"'!$B$2:$B$800,MATCH(B41,'"INCC-FGV"'!$A$2:$A$800,0)),$K$2),$K$2)</f>
        <v/>
      </c>
      <c r="M41" s="131">
        <f>'CP RESUMO'!AN13</f>
        <v/>
      </c>
      <c r="N41" s="132">
        <f>MAX(0,M41-M40)</f>
        <v/>
      </c>
      <c r="O41" s="131">
        <f>IF(B41&lt;='VALOR POR PL'!$P$5,'CP RESUMO'!AN55,"")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83249.33</v>
      </c>
      <c r="L42" s="49">
        <f>C42/IF(B42&lt;='VALOR POR PL'!$P$5,IFERROR(INDEX('"INCC-FGV"'!$B$2:$B$800,MATCH(B42,'"INCC-FGV"'!$A$2:$A$800,0)),$K$2),$K$2)</f>
        <v/>
      </c>
      <c r="M42" s="131">
        <f>'CP RESUMO'!AO13</f>
        <v/>
      </c>
      <c r="N42" s="132">
        <f>MAX(0,M42-M41)</f>
        <v/>
      </c>
      <c r="O42" s="131">
        <f>IF(B42&lt;='VALOR POR PL'!$P$5,'CP RESUMO'!AO55,"")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17750.03</v>
      </c>
      <c r="L43" s="49">
        <f>C43/IF(B43&lt;='VALOR POR PL'!$P$5,IFERROR(INDEX('"INCC-FGV"'!$B$2:$B$800,MATCH(B43,'"INCC-FGV"'!$A$2:$A$800,0)),$K$2),$K$2)</f>
        <v/>
      </c>
      <c r="M43" s="131">
        <f>'CP RESUMO'!AP13</f>
        <v/>
      </c>
      <c r="N43" s="132">
        <f>MAX(0,M43-M42)</f>
        <v/>
      </c>
      <c r="O43" s="131">
        <f>IF(B43&lt;='VALOR POR PL'!$P$5,'CP RESUMO'!AP55,"")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RESUMO'!AQ13</f>
        <v/>
      </c>
      <c r="N44" s="132">
        <f>MAX(0,M44-M43)</f>
        <v/>
      </c>
      <c r="O44" s="131">
        <f>IF(B44&lt;='VALOR POR PL'!$P$5,'CP RESUMO'!AQ55,"")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RESUMO'!AR13</f>
        <v/>
      </c>
      <c r="N45" s="132">
        <f>MAX(0,M45-M44)</f>
        <v/>
      </c>
      <c r="O45" s="131">
        <f>IF(B45&lt;='VALOR POR PL'!$P$5,'CP RESUMO'!AR55,"")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RESUMO'!AS13</f>
        <v/>
      </c>
      <c r="N46" s="132">
        <f>MAX(0,M46-M45)</f>
        <v/>
      </c>
      <c r="O46" s="131">
        <f>IF(B46&lt;='VALOR POR PL'!$P$5,'CP RESUMO'!AS55,"")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RESUMO'!AT13</f>
        <v/>
      </c>
      <c r="N47" s="132">
        <f>MAX(0,M47-M46)</f>
        <v/>
      </c>
      <c r="O47" s="131">
        <f>IF(B47&lt;='VALOR POR PL'!$P$5,'CP RESUMO'!AT55,"")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RESUMO'!AU13</f>
        <v/>
      </c>
      <c r="N48" s="132">
        <f>MAX(0,M48-M47)</f>
        <v/>
      </c>
      <c r="O48" s="131">
        <f>IF(B48&lt;='VALOR POR PL'!$P$5,'CP RESUMO'!AU55,"")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RESUMO'!AV13</f>
        <v/>
      </c>
      <c r="N49" s="132">
        <f>MAX(0,M49-M48)</f>
        <v/>
      </c>
      <c r="O49" s="131">
        <f>IF(B49&lt;='VALOR POR PL'!$P$5,'CP RESUMO'!AV55,"")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RESUMO'!AW13</f>
        <v/>
      </c>
      <c r="N50" s="132">
        <f>MAX(0,M50-M49)</f>
        <v/>
      </c>
      <c r="O50" s="131">
        <f>IF(B50&lt;='VALOR POR PL'!$P$5,'CP RESUMO'!AW55,"")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RESUMO'!AX13</f>
        <v/>
      </c>
      <c r="N51" s="132">
        <f>MAX(0,M51-M50)</f>
        <v/>
      </c>
      <c r="O51" s="131">
        <f>IF(B51&lt;='VALOR POR PL'!$P$5,'CP RESUMO'!AX55,"")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RESUMO'!AY13</f>
        <v/>
      </c>
      <c r="N52" s="132">
        <f>MAX(0,M52-M51)</f>
        <v/>
      </c>
      <c r="O52" s="131">
        <f>IF(B52&lt;='VALOR POR PL'!$P$5,'CP RESUMO'!AY55,"")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RESUMO'!AZ13</f>
        <v/>
      </c>
      <c r="N53" s="132">
        <f>MAX(0,M53-M52)</f>
        <v/>
      </c>
      <c r="O53" s="131">
        <f>IF(B53&lt;='VALOR POR PL'!$P$5,'CP RESUMO'!AZ55,"")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RESUMO'!BA13</f>
        <v/>
      </c>
      <c r="N54" s="132">
        <f>MAX(0,M54-M53)</f>
        <v/>
      </c>
      <c r="O54" s="131">
        <f>IF(B54&lt;='VALOR POR PL'!$P$5,'CP RESUMO'!BA55,"")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RESUMO'!BB13</f>
        <v/>
      </c>
      <c r="N55" s="132">
        <f>MAX(0,M55-M54)</f>
        <v/>
      </c>
      <c r="O55" s="131">
        <f>IF(B55&lt;='VALOR POR PL'!$P$5,'CP RESUMO'!BB55,"")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RESUMO'!BC13</f>
        <v/>
      </c>
      <c r="N56" s="132">
        <f>MAX(0,M56-M55)</f>
        <v/>
      </c>
      <c r="O56" s="131">
        <f>IF(B56&lt;='VALOR POR PL'!$P$5,'CP RESUMO'!BC55,"")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RESUMO'!BD13</f>
        <v/>
      </c>
      <c r="N57" s="132">
        <f>MAX(0,M57-M56)</f>
        <v/>
      </c>
      <c r="O57" s="131">
        <f>IF(B57&lt;='VALOR POR PL'!$P$5,'CP RESUMO'!BD55,"")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RESUMO'!BE13</f>
        <v/>
      </c>
      <c r="N58" s="132">
        <f>MAX(0,M58-M57)</f>
        <v/>
      </c>
      <c r="O58" s="131">
        <f>IF(B58&lt;='VALOR POR PL'!$P$5,'CP RESUMO'!BE55,"")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RESUMO'!BF13</f>
        <v/>
      </c>
      <c r="N59" s="132">
        <f>MAX(0,M59-M58)</f>
        <v/>
      </c>
      <c r="O59" s="131">
        <f>IF(B59&lt;='VALOR POR PL'!$P$5,'CP RESUMO'!BF55,"")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RESUMO'!BG13</f>
        <v/>
      </c>
      <c r="N60" s="132">
        <f>MAX(0,M60-M59)</f>
        <v/>
      </c>
      <c r="O60" s="131">
        <f>IF(B60&lt;='VALOR POR PL'!$P$5,'CP RESUMO'!BG55,"")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RESUMO'!BH13</f>
        <v/>
      </c>
      <c r="N61" s="132">
        <f>MAX(0,M61-M60)</f>
        <v/>
      </c>
      <c r="O61" s="131">
        <f>IF(B61&lt;='VALOR POR PL'!$P$5,'CP RESUMO'!BH55,"")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RESUMO'!BI13</f>
        <v/>
      </c>
      <c r="N62" s="132">
        <f>MAX(0,M62-M61)</f>
        <v/>
      </c>
      <c r="O62" s="131">
        <f>IF(B62&lt;='VALOR POR PL'!$P$5,'CP RESUMO'!BI55,"")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RESUMO'!BJ13</f>
        <v/>
      </c>
      <c r="N63" s="132">
        <f>MAX(0,M63-M62)</f>
        <v/>
      </c>
      <c r="O63" s="131">
        <f>IF(B63&lt;='VALOR POR PL'!$P$5,'CP RESUMO'!BJ55,"")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RESUMO'!BK13</f>
        <v/>
      </c>
      <c r="N64" s="132">
        <f>MAX(0,M64-M63)</f>
        <v/>
      </c>
      <c r="O64" s="131">
        <f>IF(B64&lt;='VALOR POR PL'!$P$5,'CP RESUMO'!BK55,"")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RESUMO'!BL13</f>
        <v/>
      </c>
      <c r="N65" s="132">
        <f>MAX(0,M65-M64)</f>
        <v/>
      </c>
      <c r="O65" s="131">
        <f>IF(B65&lt;='VALOR POR PL'!$P$5,'CP RESUMO'!BL55,"")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RESUMO'!BM13</f>
        <v/>
      </c>
      <c r="N66" s="132">
        <f>MAX(0,M66-M65)</f>
        <v/>
      </c>
      <c r="O66" s="131">
        <f>IF(B66&lt;='VALOR POR PL'!$P$5,'CP RESUMO'!BM55,"")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RESUMO'!BN13</f>
        <v/>
      </c>
      <c r="N67" s="132">
        <f>MAX(0,M67-M66)</f>
        <v/>
      </c>
      <c r="O67" s="131">
        <f>IF(B67&lt;='VALOR POR PL'!$P$5,'CP RESUMO'!BN55,"")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RESUMO'!BO13</f>
        <v/>
      </c>
      <c r="N68" s="132">
        <f>MAX(0,M68-M67)</f>
        <v/>
      </c>
      <c r="O68" s="131">
        <f>IF(B68&lt;='VALOR POR PL'!$P$5,'CP RESUMO'!BO55,"")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RESUMO'!BP13</f>
        <v/>
      </c>
      <c r="N69" s="132">
        <f>MAX(0,M69-M68)</f>
        <v/>
      </c>
      <c r="O69" s="131">
        <f>IF(B69&lt;='VALOR POR PL'!$P$5,'CP RESUMO'!BP55,"")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RESUMO'!BQ13</f>
        <v/>
      </c>
      <c r="N70" s="132">
        <f>MAX(0,M70-M69)</f>
        <v/>
      </c>
      <c r="O70" s="131">
        <f>IF(B70&lt;='VALOR POR PL'!$P$5,'CP RESUMO'!BQ55,"")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RESUMO'!BR13</f>
        <v/>
      </c>
      <c r="N71" s="132">
        <f>MAX(0,M71-M70)</f>
        <v/>
      </c>
      <c r="O71" s="131">
        <f>IF(B71&lt;='VALOR POR PL'!$P$5,'CP RESUMO'!BR55,"")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RESUMO'!BS13</f>
        <v/>
      </c>
      <c r="N72" s="132">
        <f>MAX(0,M72-M71)</f>
        <v/>
      </c>
      <c r="O72" s="131">
        <f>IF(B72&lt;='VALOR POR PL'!$P$5,'CP RESUMO'!BS55,"")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RESUMO'!BT13</f>
        <v/>
      </c>
      <c r="N73" s="132">
        <f>MAX(0,M73-M72)</f>
        <v/>
      </c>
      <c r="O73" s="131">
        <f>IF(B73&lt;='VALOR POR PL'!$P$5,'CP RESUMO'!BT55,"")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RESUMO'!BU13</f>
        <v/>
      </c>
      <c r="N74" s="132">
        <f>MAX(0,M74-M73)</f>
        <v/>
      </c>
      <c r="O74" s="131">
        <f>IF(B74&lt;='VALOR POR PL'!$P$5,'CP RESUMO'!BU55,"")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RESUMO'!BV13</f>
        <v/>
      </c>
      <c r="N75" s="132">
        <f>MAX(0,M75-M74)</f>
        <v/>
      </c>
      <c r="O75" s="131">
        <f>IF(B75&lt;='VALOR POR PL'!$P$5,'CP RESUMO'!BV55,"")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RESUMO'!BW13</f>
        <v/>
      </c>
      <c r="N76" s="132">
        <f>MAX(0,M76-M75)</f>
        <v/>
      </c>
      <c r="O76" s="131">
        <f>IF(B76&lt;='VALOR POR PL'!$P$5,'CP RESUMO'!BW55,"")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HISTORICOS'!D14)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PL'!F20</f>
        <v/>
      </c>
      <c r="K5" s="60">
        <f>'VALOR POR PL'!G20</f>
        <v/>
      </c>
      <c r="L5" s="60">
        <f>'DADOS HISTORICOS'!$BZ$14</f>
        <v/>
      </c>
      <c r="M5" s="131">
        <f>'CP RESUMO'!D14</f>
        <v/>
      </c>
      <c r="N5" s="132" t="n">
        <v>0</v>
      </c>
      <c r="O5" s="131">
        <f>IF(B5&lt;='VALOR POR PL'!$P$5,'CP RESUMO'!D56,"")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HISTORICOS'!E14)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PL'!H20</f>
        <v/>
      </c>
      <c r="L6" s="49">
        <f>C6/IF(B6&lt;='VALOR POR PL'!$P$5,IFERROR(INDEX('"INCC-FGV"'!$B$2:$B$800,MATCH(B6,'"INCC-FGV"'!$A$2:$A$800,0)),$K$2),$K$2)</f>
        <v/>
      </c>
      <c r="M6" s="131">
        <f>'CP RESUMO'!E14</f>
        <v/>
      </c>
      <c r="N6" s="132">
        <f>MAX(0,M6-M5)</f>
        <v/>
      </c>
      <c r="O6" s="131">
        <f>IF(B6&lt;='VALOR POR PL'!$P$5,'CP RESUMO'!E56,"")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HISTORICOS'!F14)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RESUMO'!F14</f>
        <v/>
      </c>
      <c r="N7" s="132">
        <f>MAX(0,M7-M6)</f>
        <v/>
      </c>
      <c r="O7" s="131">
        <f>IF(B7&lt;='VALOR POR PL'!$P$5,'CP RESUMO'!F56,"")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HISTORICOS'!G14)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RESUMO'!G14</f>
        <v/>
      </c>
      <c r="N8" s="132">
        <f>MAX(0,M8-M7)</f>
        <v/>
      </c>
      <c r="O8" s="131">
        <f>IF(B8&lt;='VALOR POR PL'!$P$5,'CP RESUMO'!G56,"")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HISTORICOS'!H14)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RESUMO'!H14</f>
        <v/>
      </c>
      <c r="N9" s="132">
        <f>MAX(0,M9-M8)</f>
        <v/>
      </c>
      <c r="O9" s="131">
        <f>IF(B9&lt;='VALOR POR PL'!$P$5,'CP RESUMO'!H56,"")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RESUMO'!I14</f>
        <v/>
      </c>
      <c r="N10" s="132">
        <f>MAX(0,M10-M9)</f>
        <v/>
      </c>
      <c r="O10" s="131">
        <f>IF(B10&lt;='VALOR POR PL'!$P$5,'CP RESUMO'!I56,"")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RESUMO'!J14</f>
        <v/>
      </c>
      <c r="N11" s="132">
        <f>MAX(0,M11-M10)</f>
        <v/>
      </c>
      <c r="O11" s="131">
        <f>IF(B11&lt;='VALOR POR PL'!$P$5,'CP RESUMO'!J56,"")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RESUMO'!K14</f>
        <v/>
      </c>
      <c r="N12" s="132">
        <f>MAX(0,M12-M11)</f>
        <v/>
      </c>
      <c r="O12" s="131">
        <f>IF(B12&lt;='VALOR POR PL'!$P$5,'CP RESUMO'!K56,"")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PL'!I20</f>
        <v/>
      </c>
      <c r="L13" s="49">
        <f>C13/IF(B13&lt;='VALOR POR PL'!$P$5,IFERROR(INDEX('"INCC-FGV"'!$B$2:$B$800,MATCH(B13,'"INCC-FGV"'!$A$2:$A$800,0)),$K$2),$K$2)</f>
        <v/>
      </c>
      <c r="M13" s="131">
        <f>'CP RESUMO'!L14</f>
        <v/>
      </c>
      <c r="N13" s="132">
        <f>MAX(0,M13-M12)</f>
        <v/>
      </c>
      <c r="O13" s="131">
        <f>IF(B13&lt;='VALOR POR PL'!$P$5,'CP RESUMO'!L56,"")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RESUMO'!$D$56:$BW$56,MATCH('VALOR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RESUMO'!M14</f>
        <v/>
      </c>
      <c r="N14" s="132">
        <f>MAX(0,M14-M13)</f>
        <v/>
      </c>
      <c r="O14" s="131">
        <f>IF(B14&lt;='VALOR POR PL'!$P$5,'CP RESUMO'!M56,"")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RESUMO'!N14</f>
        <v/>
      </c>
      <c r="N15" s="132">
        <f>MAX(0,M15-M14)</f>
        <v/>
      </c>
      <c r="O15" s="131">
        <f>IF(B15&lt;='VALOR POR PL'!$P$5,'CP RESUMO'!N56,"")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RESUMO'!O14</f>
        <v/>
      </c>
      <c r="N16" s="132">
        <f>MAX(0,M16-M15)</f>
        <v/>
      </c>
      <c r="O16" s="131">
        <f>IF(B16&lt;='VALOR POR PL'!$P$5,'CP RESUMO'!O56,"")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RESUMO'!P14</f>
        <v/>
      </c>
      <c r="N17" s="132">
        <f>MAX(0,M17-M16)</f>
        <v/>
      </c>
      <c r="O17" s="131">
        <f>IF(B17&lt;='VALOR POR PL'!$P$5,'CP RESUMO'!P56,"")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RESUMO'!Q14</f>
        <v/>
      </c>
      <c r="N18" s="132">
        <f>MAX(0,M18-M17)</f>
        <v/>
      </c>
      <c r="O18" s="131">
        <f>IF(B18&lt;='VALOR POR PL'!$P$5,'CP RESUMO'!Q56,"")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RESUMO'!R14</f>
        <v/>
      </c>
      <c r="N19" s="132">
        <f>MAX(0,M19-M18)</f>
        <v/>
      </c>
      <c r="O19" s="131">
        <f>IF(B19&lt;='VALOR POR PL'!$P$5,'CP RESUMO'!R56,"")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RESUMO'!S14</f>
        <v/>
      </c>
      <c r="N20" s="132">
        <f>MAX(0,M20-M19)</f>
        <v/>
      </c>
      <c r="O20" s="131">
        <f>IF(B20&lt;='VALOR POR PL'!$P$5,'CP RESUMO'!S56,"")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RESUMO'!T14</f>
        <v/>
      </c>
      <c r="N21" s="132">
        <f>MAX(0,M21-M20)</f>
        <v/>
      </c>
      <c r="O21" s="131">
        <f>IF(B21&lt;='VALOR POR PL'!$P$5,'CP RESUMO'!T56,"")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RESUMO'!U14</f>
        <v/>
      </c>
      <c r="N22" s="132">
        <f>MAX(0,M22-M21)</f>
        <v/>
      </c>
      <c r="O22" s="131">
        <f>IF(B22&lt;='VALOR POR PL'!$P$5,'CP RESUMO'!U56,"")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RESUMO'!V14</f>
        <v/>
      </c>
      <c r="N23" s="132">
        <f>MAX(0,M23-M22)</f>
        <v/>
      </c>
      <c r="O23" s="131">
        <f>IF(B23&lt;='VALOR POR PL'!$P$5,'CP RESUMO'!V56,"")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RESUMO'!W14</f>
        <v/>
      </c>
      <c r="N24" s="132">
        <f>MAX(0,M24-M23)</f>
        <v/>
      </c>
      <c r="O24" s="131">
        <f>IF(B24&lt;='VALOR POR PL'!$P$5,'CP RESUMO'!W56,"")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RESUMO'!X14</f>
        <v/>
      </c>
      <c r="N25" s="132">
        <f>MAX(0,M25-M24)</f>
        <v/>
      </c>
      <c r="O25" s="131">
        <f>IF(B25&lt;='VALOR POR PL'!$P$5,'CP RESUMO'!X56,"")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207683.15</v>
      </c>
      <c r="L26" s="49">
        <f>C26/IF(B26&lt;='VALOR POR PL'!$P$5,IFERROR(INDEX('"INCC-FGV"'!$B$2:$B$800,MATCH(B26,'"INCC-FGV"'!$A$2:$A$800,0)),$K$2),$K$2)</f>
        <v/>
      </c>
      <c r="M26" s="131">
        <f>'CP RESUMO'!Y14</f>
        <v/>
      </c>
      <c r="N26" s="132">
        <f>MAX(0,M26-M25)</f>
        <v/>
      </c>
      <c r="O26" s="131">
        <f>IF(B26&lt;='VALOR POR PL'!$P$5,'CP RESUMO'!Y56,"")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325487.04</v>
      </c>
      <c r="L27" s="49">
        <f>C27/IF(B27&lt;='VALOR POR PL'!$P$5,IFERROR(INDEX('"INCC-FGV"'!$B$2:$B$800,MATCH(B27,'"INCC-FGV"'!$A$2:$A$800,0)),$K$2),$K$2)</f>
        <v/>
      </c>
      <c r="M27" s="131">
        <f>'CP RESUMO'!Z14</f>
        <v/>
      </c>
      <c r="N27" s="132">
        <f>MAX(0,M27-M26)</f>
        <v/>
      </c>
      <c r="O27" s="131">
        <f>IF(B27&lt;='VALOR POR PL'!$P$5,'CP RESUMO'!Z56,"")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379407.27</v>
      </c>
      <c r="L28" s="49">
        <f>C28/IF(B28&lt;='VALOR POR PL'!$P$5,IFERROR(INDEX('"INCC-FGV"'!$B$2:$B$800,MATCH(B28,'"INCC-FGV"'!$A$2:$A$800,0)),$K$2),$K$2)</f>
        <v/>
      </c>
      <c r="M28" s="131">
        <f>'CP RESUMO'!AA14</f>
        <v/>
      </c>
      <c r="N28" s="132">
        <f>MAX(0,M28-M27)</f>
        <v/>
      </c>
      <c r="O28" s="131">
        <f>IF(B28&lt;='VALOR POR PL'!$P$5,'CP RESUMO'!AA56,"")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445503.27</v>
      </c>
      <c r="L29" s="49">
        <f>C29/IF(B29&lt;='VALOR POR PL'!$P$5,IFERROR(INDEX('"INCC-FGV"'!$B$2:$B$800,MATCH(B29,'"INCC-FGV"'!$A$2:$A$800,0)),$K$2),$K$2)</f>
        <v/>
      </c>
      <c r="M29" s="131">
        <f>'CP RESUMO'!AB14</f>
        <v/>
      </c>
      <c r="N29" s="132">
        <f>MAX(0,M29-M28)</f>
        <v/>
      </c>
      <c r="O29" s="131">
        <f>IF(B29&lt;='VALOR POR PL'!$P$5,'CP RESUMO'!AB56,"")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525612.3</v>
      </c>
      <c r="L30" s="49">
        <f>C30/IF(B30&lt;='VALOR POR PL'!$P$5,IFERROR(INDEX('"INCC-FGV"'!$B$2:$B$800,MATCH(B30,'"INCC-FGV"'!$A$2:$A$800,0)),$K$2),$K$2)</f>
        <v/>
      </c>
      <c r="M30" s="131">
        <f>'CP RESUMO'!AC14</f>
        <v/>
      </c>
      <c r="N30" s="132">
        <f>MAX(0,M30-M29)</f>
        <v/>
      </c>
      <c r="O30" s="131">
        <f>IF(B30&lt;='VALOR POR PL'!$P$5,'CP RESUMO'!AC56,"")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450481.95</v>
      </c>
      <c r="L31" s="49">
        <f>C31/IF(B31&lt;='VALOR POR PL'!$P$5,IFERROR(INDEX('"INCC-FGV"'!$B$2:$B$800,MATCH(B31,'"INCC-FGV"'!$A$2:$A$800,0)),$K$2),$K$2)</f>
        <v/>
      </c>
      <c r="M31" s="131">
        <f>'CP RESUMO'!AD14</f>
        <v/>
      </c>
      <c r="N31" s="132">
        <f>MAX(0,M31-M30)</f>
        <v/>
      </c>
      <c r="O31" s="131">
        <f>IF(B31&lt;='VALOR POR PL'!$P$5,'CP RESUMO'!AD56,"")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428640.02</v>
      </c>
      <c r="L32" s="49">
        <f>C32/IF(B32&lt;='VALOR POR PL'!$P$5,IFERROR(INDEX('"INCC-FGV"'!$B$2:$B$800,MATCH(B32,'"INCC-FGV"'!$A$2:$A$800,0)),$K$2),$K$2)</f>
        <v/>
      </c>
      <c r="M32" s="131">
        <f>'CP RESUMO'!AE14</f>
        <v/>
      </c>
      <c r="N32" s="132">
        <f>MAX(0,M32-M31)</f>
        <v/>
      </c>
      <c r="O32" s="131">
        <f>IF(B32&lt;='VALOR POR PL'!$P$5,'CP RESUMO'!AE56,"")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420064.43</v>
      </c>
      <c r="L33" s="49">
        <f>C33/IF(B33&lt;='VALOR POR PL'!$P$5,IFERROR(INDEX('"INCC-FGV"'!$B$2:$B$800,MATCH(B33,'"INCC-FGV"'!$A$2:$A$800,0)),$K$2),$K$2)</f>
        <v/>
      </c>
      <c r="M33" s="131">
        <f>'CP RESUMO'!AF14</f>
        <v/>
      </c>
      <c r="N33" s="132">
        <f>MAX(0,M33-M32)</f>
        <v/>
      </c>
      <c r="O33" s="131">
        <f>IF(B33&lt;='VALOR POR PL'!$P$5,'CP RESUMO'!AF56,"")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406487.28</v>
      </c>
      <c r="L34" s="49">
        <f>C34/IF(B34&lt;='VALOR POR PL'!$P$5,IFERROR(INDEX('"INCC-FGV"'!$B$2:$B$800,MATCH(B34,'"INCC-FGV"'!$A$2:$A$800,0)),$K$2),$K$2)</f>
        <v/>
      </c>
      <c r="M34" s="131">
        <f>'CP RESUMO'!AG14</f>
        <v/>
      </c>
      <c r="N34" s="132">
        <f>MAX(0,M34-M33)</f>
        <v/>
      </c>
      <c r="O34" s="131">
        <f>IF(B34&lt;='VALOR POR PL'!$P$5,'CP RESUMO'!AG56,"")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406487.28</v>
      </c>
      <c r="L35" s="49">
        <f>C35/IF(B35&lt;='VALOR POR PL'!$P$5,IFERROR(INDEX('"INCC-FGV"'!$B$2:$B$800,MATCH(B35,'"INCC-FGV"'!$A$2:$A$800,0)),$K$2),$K$2)</f>
        <v/>
      </c>
      <c r="M35" s="131">
        <f>'CP RESUMO'!AH14</f>
        <v/>
      </c>
      <c r="N35" s="132">
        <f>MAX(0,M35-M34)</f>
        <v/>
      </c>
      <c r="O35" s="131">
        <f>IF(B35&lt;='VALOR POR PL'!$P$5,'CP RESUMO'!AH56,"")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404236.86</v>
      </c>
      <c r="L36" s="49">
        <f>C36/IF(B36&lt;='VALOR POR PL'!$P$5,IFERROR(INDEX('"INCC-FGV"'!$B$2:$B$800,MATCH(B36,'"INCC-FGV"'!$A$2:$A$800,0)),$K$2),$K$2)</f>
        <v/>
      </c>
      <c r="M36" s="131">
        <f>'CP RESUMO'!AI14</f>
        <v/>
      </c>
      <c r="N36" s="132">
        <f>MAX(0,M36-M35)</f>
        <v/>
      </c>
      <c r="O36" s="131">
        <f>IF(B36&lt;='VALOR POR PL'!$P$5,'CP RESUMO'!AI56,"")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400568.99</v>
      </c>
      <c r="L37" s="49">
        <f>C37/IF(B37&lt;='VALOR POR PL'!$P$5,IFERROR(INDEX('"INCC-FGV"'!$B$2:$B$800,MATCH(B37,'"INCC-FGV"'!$A$2:$A$800,0)),$K$2),$K$2)</f>
        <v/>
      </c>
      <c r="M37" s="131">
        <f>'CP RESUMO'!AJ14</f>
        <v/>
      </c>
      <c r="N37" s="132">
        <f>MAX(0,M37-M36)</f>
        <v/>
      </c>
      <c r="O37" s="131">
        <f>IF(B37&lt;='VALOR POR PL'!$P$5,'CP RESUMO'!AJ56,"")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400568.99</v>
      </c>
      <c r="L38" s="49">
        <f>C38/IF(B38&lt;='VALOR POR PL'!$P$5,IFERROR(INDEX('"INCC-FGV"'!$B$2:$B$800,MATCH(B38,'"INCC-FGV"'!$A$2:$A$800,0)),$K$2),$K$2)</f>
        <v/>
      </c>
      <c r="M38" s="131">
        <f>'CP RESUMO'!AK14</f>
        <v/>
      </c>
      <c r="N38" s="132">
        <f>MAX(0,M38-M37)</f>
        <v/>
      </c>
      <c r="O38" s="131">
        <f>IF(B38&lt;='VALOR POR PL'!$P$5,'CP RESUMO'!AK56,"")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381985.91</v>
      </c>
      <c r="L39" s="49">
        <f>C39/IF(B39&lt;='VALOR POR PL'!$P$5,IFERROR(INDEX('"INCC-FGV"'!$B$2:$B$800,MATCH(B39,'"INCC-FGV"'!$A$2:$A$800,0)),$K$2),$K$2)</f>
        <v/>
      </c>
      <c r="M39" s="131">
        <f>'CP RESUMO'!AL14</f>
        <v/>
      </c>
      <c r="N39" s="132">
        <f>MAX(0,M39-M38)</f>
        <v/>
      </c>
      <c r="O39" s="131">
        <f>IF(B39&lt;='VALOR POR PL'!$P$5,'CP RESUMO'!AL56,"")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490172.39</v>
      </c>
      <c r="L40" s="49">
        <f>C40/IF(B40&lt;='VALOR POR PL'!$P$5,IFERROR(INDEX('"INCC-FGV"'!$B$2:$B$800,MATCH(B40,'"INCC-FGV"'!$A$2:$A$800,0)),$K$2),$K$2)</f>
        <v/>
      </c>
      <c r="M40" s="131">
        <f>'CP RESUMO'!AM14</f>
        <v/>
      </c>
      <c r="N40" s="132">
        <f>MAX(0,M40-M39)</f>
        <v/>
      </c>
      <c r="O40" s="131">
        <f>IF(B40&lt;='VALOR POR PL'!$P$5,'CP RESUMO'!AM56,"")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488292.66</v>
      </c>
      <c r="L41" s="49">
        <f>C41/IF(B41&lt;='VALOR POR PL'!$P$5,IFERROR(INDEX('"INCC-FGV"'!$B$2:$B$800,MATCH(B41,'"INCC-FGV"'!$A$2:$A$800,0)),$K$2),$K$2)</f>
        <v/>
      </c>
      <c r="M41" s="131">
        <f>'CP RESUMO'!AN14</f>
        <v/>
      </c>
      <c r="N41" s="132">
        <f>MAX(0,M41-M40)</f>
        <v/>
      </c>
      <c r="O41" s="131">
        <f>IF(B41&lt;='VALOR POR PL'!$P$5,'CP RESUMO'!AN56,"")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353850.8</v>
      </c>
      <c r="L42" s="49">
        <f>C42/IF(B42&lt;='VALOR POR PL'!$P$5,IFERROR(INDEX('"INCC-FGV"'!$B$2:$B$800,MATCH(B42,'"INCC-FGV"'!$A$2:$A$800,0)),$K$2),$K$2)</f>
        <v/>
      </c>
      <c r="M42" s="131">
        <f>'CP RESUMO'!AO14</f>
        <v/>
      </c>
      <c r="N42" s="132">
        <f>MAX(0,M42-M41)</f>
        <v/>
      </c>
      <c r="O42" s="131">
        <f>IF(B42&lt;='VALOR POR PL'!$P$5,'CP RESUMO'!AO56,"")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337380.21</v>
      </c>
      <c r="L43" s="49">
        <f>C43/IF(B43&lt;='VALOR POR PL'!$P$5,IFERROR(INDEX('"INCC-FGV"'!$B$2:$B$800,MATCH(B43,'"INCC-FGV"'!$A$2:$A$800,0)),$K$2),$K$2)</f>
        <v/>
      </c>
      <c r="M43" s="131">
        <f>'CP RESUMO'!AP14</f>
        <v/>
      </c>
      <c r="N43" s="132">
        <f>MAX(0,M43-M42)</f>
        <v/>
      </c>
      <c r="O43" s="131">
        <f>IF(B43&lt;='VALOR POR PL'!$P$5,'CP RESUMO'!AP56,"")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337380.21</v>
      </c>
      <c r="L44" s="49">
        <f>C44/IF(B44&lt;='VALOR POR PL'!$P$5,IFERROR(INDEX('"INCC-FGV"'!$B$2:$B$800,MATCH(B44,'"INCC-FGV"'!$A$2:$A$800,0)),$K$2),$K$2)</f>
        <v/>
      </c>
      <c r="M44" s="131">
        <f>'CP RESUMO'!AQ14</f>
        <v/>
      </c>
      <c r="N44" s="132">
        <f>MAX(0,M44-M43)</f>
        <v/>
      </c>
      <c r="O44" s="131">
        <f>IF(B44&lt;='VALOR POR PL'!$P$5,'CP RESUMO'!AQ56,"")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145360.31</v>
      </c>
      <c r="L45" s="49">
        <f>C45/IF(B45&lt;='VALOR POR PL'!$P$5,IFERROR(INDEX('"INCC-FGV"'!$B$2:$B$800,MATCH(B45,'"INCC-FGV"'!$A$2:$A$800,0)),$K$2),$K$2)</f>
        <v/>
      </c>
      <c r="M45" s="131">
        <f>'CP RESUMO'!AR14</f>
        <v/>
      </c>
      <c r="N45" s="132">
        <f>MAX(0,M45-M44)</f>
        <v/>
      </c>
      <c r="O45" s="131">
        <f>IF(B45&lt;='VALOR POR PL'!$P$5,'CP RESUMO'!AR56,"")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145360.31</v>
      </c>
      <c r="L46" s="49">
        <f>C46/IF(B46&lt;='VALOR POR PL'!$P$5,IFERROR(INDEX('"INCC-FGV"'!$B$2:$B$800,MATCH(B46,'"INCC-FGV"'!$A$2:$A$800,0)),$K$2),$K$2)</f>
        <v/>
      </c>
      <c r="M46" s="131">
        <f>'CP RESUMO'!AS14</f>
        <v/>
      </c>
      <c r="N46" s="132">
        <f>MAX(0,M46-M45)</f>
        <v/>
      </c>
      <c r="O46" s="131">
        <f>IF(B46&lt;='VALOR POR PL'!$P$5,'CP RESUMO'!AS56,"")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107199.49</v>
      </c>
      <c r="L47" s="49">
        <f>C47/IF(B47&lt;='VALOR POR PL'!$P$5,IFERROR(INDEX('"INCC-FGV"'!$B$2:$B$800,MATCH(B47,'"INCC-FGV"'!$A$2:$A$800,0)),$K$2),$K$2)</f>
        <v/>
      </c>
      <c r="M47" s="131">
        <f>'CP RESUMO'!AT14</f>
        <v/>
      </c>
      <c r="N47" s="132">
        <f>MAX(0,M47-M46)</f>
        <v/>
      </c>
      <c r="O47" s="131">
        <f>IF(B47&lt;='VALOR POR PL'!$P$5,'CP RESUMO'!AT56,"")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107199.49</v>
      </c>
      <c r="L48" s="49">
        <f>C48/IF(B48&lt;='VALOR POR PL'!$P$5,IFERROR(INDEX('"INCC-FGV"'!$B$2:$B$800,MATCH(B48,'"INCC-FGV"'!$A$2:$A$800,0)),$K$2),$K$2)</f>
        <v/>
      </c>
      <c r="M48" s="131">
        <f>'CP RESUMO'!AU14</f>
        <v/>
      </c>
      <c r="N48" s="132">
        <f>MAX(0,M48-M47)</f>
        <v/>
      </c>
      <c r="O48" s="131">
        <f>IF(B48&lt;='VALOR POR PL'!$P$5,'CP RESUMO'!AU56,"")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107199.49</v>
      </c>
      <c r="L49" s="49">
        <f>C49/IF(B49&lt;='VALOR POR PL'!$P$5,IFERROR(INDEX('"INCC-FGV"'!$B$2:$B$800,MATCH(B49,'"INCC-FGV"'!$A$2:$A$800,0)),$K$2),$K$2)</f>
        <v/>
      </c>
      <c r="M49" s="131">
        <f>'CP RESUMO'!AV14</f>
        <v/>
      </c>
      <c r="N49" s="132">
        <f>MAX(0,M49-M48)</f>
        <v/>
      </c>
      <c r="O49" s="131">
        <f>IF(B49&lt;='VALOR POR PL'!$P$5,'CP RESUMO'!AV56,"")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107199.49</v>
      </c>
      <c r="L50" s="49">
        <f>C50/IF(B50&lt;='VALOR POR PL'!$P$5,IFERROR(INDEX('"INCC-FGV"'!$B$2:$B$800,MATCH(B50,'"INCC-FGV"'!$A$2:$A$800,0)),$K$2),$K$2)</f>
        <v/>
      </c>
      <c r="M50" s="131">
        <f>'CP RESUMO'!AW14</f>
        <v/>
      </c>
      <c r="N50" s="132">
        <f>MAX(0,M50-M49)</f>
        <v/>
      </c>
      <c r="O50" s="131">
        <f>IF(B50&lt;='VALOR POR PL'!$P$5,'CP RESUMO'!AW56,"")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107199.49</v>
      </c>
      <c r="L51" s="49">
        <f>C51/IF(B51&lt;='VALOR POR PL'!$P$5,IFERROR(INDEX('"INCC-FGV"'!$B$2:$B$800,MATCH(B51,'"INCC-FGV"'!$A$2:$A$800,0)),$K$2),$K$2)</f>
        <v/>
      </c>
      <c r="M51" s="131">
        <f>'CP RESUMO'!AX14</f>
        <v/>
      </c>
      <c r="N51" s="132">
        <f>MAX(0,M51-M50)</f>
        <v/>
      </c>
      <c r="O51" s="131">
        <f>IF(B51&lt;='VALOR POR PL'!$P$5,'CP RESUMO'!AX56,"")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146942.06</v>
      </c>
      <c r="L52" s="49">
        <f>C52/IF(B52&lt;='VALOR POR PL'!$P$5,IFERROR(INDEX('"INCC-FGV"'!$B$2:$B$800,MATCH(B52,'"INCC-FGV"'!$A$2:$A$800,0)),$K$2),$K$2)</f>
        <v/>
      </c>
      <c r="M52" s="131">
        <f>'CP RESUMO'!AY14</f>
        <v/>
      </c>
      <c r="N52" s="132">
        <f>MAX(0,M52-M51)</f>
        <v/>
      </c>
      <c r="O52" s="131">
        <f>IF(B52&lt;='VALOR POR PL'!$P$5,'CP RESUMO'!AY56,"")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>
        <v>146942.06</v>
      </c>
      <c r="L53" s="49">
        <f>C53/IF(B53&lt;='VALOR POR PL'!$P$5,IFERROR(INDEX('"INCC-FGV"'!$B$2:$B$800,MATCH(B53,'"INCC-FGV"'!$A$2:$A$800,0)),$K$2),$K$2)</f>
        <v/>
      </c>
      <c r="M53" s="131">
        <f>'CP RESUMO'!AZ14</f>
        <v/>
      </c>
      <c r="N53" s="132">
        <f>MAX(0,M53-M52)</f>
        <v/>
      </c>
      <c r="O53" s="131">
        <f>IF(B53&lt;='VALOR POR PL'!$P$5,'CP RESUMO'!AZ56,"")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RESUMO'!BA14</f>
        <v/>
      </c>
      <c r="N54" s="132">
        <f>MAX(0,M54-M53)</f>
        <v/>
      </c>
      <c r="O54" s="131">
        <f>IF(B54&lt;='VALOR POR PL'!$P$5,'CP RESUMO'!BA56,"")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RESUMO'!BB14</f>
        <v/>
      </c>
      <c r="N55" s="132">
        <f>MAX(0,M55-M54)</f>
        <v/>
      </c>
      <c r="O55" s="131">
        <f>IF(B55&lt;='VALOR POR PL'!$P$5,'CP RESUMO'!BB56,"")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>
        <v>949652.6899999999</v>
      </c>
      <c r="L56" s="49">
        <f>C56/IF(B56&lt;='VALOR POR PL'!$P$5,IFERROR(INDEX('"INCC-FGV"'!$B$2:$B$800,MATCH(B56,'"INCC-FGV"'!$A$2:$A$800,0)),$K$2),$K$2)</f>
        <v/>
      </c>
      <c r="M56" s="131">
        <f>'CP RESUMO'!BC14</f>
        <v/>
      </c>
      <c r="N56" s="132">
        <f>MAX(0,M56-M55)</f>
        <v/>
      </c>
      <c r="O56" s="131">
        <f>IF(B56&lt;='VALOR POR PL'!$P$5,'CP RESUMO'!BC56,"")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RESUMO'!BD14</f>
        <v/>
      </c>
      <c r="N57" s="132">
        <f>MAX(0,M57-M56)</f>
        <v/>
      </c>
      <c r="O57" s="131">
        <f>IF(B57&lt;='VALOR POR PL'!$P$5,'CP RESUMO'!BD56,"")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RESUMO'!BE14</f>
        <v/>
      </c>
      <c r="N58" s="132">
        <f>MAX(0,M58-M57)</f>
        <v/>
      </c>
      <c r="O58" s="131">
        <f>IF(B58&lt;='VALOR POR PL'!$P$5,'CP RESUMO'!BE56,"")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RESUMO'!BF14</f>
        <v/>
      </c>
      <c r="N59" s="132">
        <f>MAX(0,M59-M58)</f>
        <v/>
      </c>
      <c r="O59" s="131">
        <f>IF(B59&lt;='VALOR POR PL'!$P$5,'CP RESUMO'!BF56,"")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RESUMO'!BG14</f>
        <v/>
      </c>
      <c r="N60" s="132">
        <f>MAX(0,M60-M59)</f>
        <v/>
      </c>
      <c r="O60" s="131">
        <f>IF(B60&lt;='VALOR POR PL'!$P$5,'CP RESUMO'!BG56,"")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RESUMO'!BH14</f>
        <v/>
      </c>
      <c r="N61" s="132">
        <f>MAX(0,M61-M60)</f>
        <v/>
      </c>
      <c r="O61" s="131">
        <f>IF(B61&lt;='VALOR POR PL'!$P$5,'CP RESUMO'!BH56,"")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RESUMO'!BI14</f>
        <v/>
      </c>
      <c r="N62" s="132">
        <f>MAX(0,M62-M61)</f>
        <v/>
      </c>
      <c r="O62" s="131">
        <f>IF(B62&lt;='VALOR POR PL'!$P$5,'CP RESUMO'!BI56,"")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RESUMO'!BJ14</f>
        <v/>
      </c>
      <c r="N63" s="132">
        <f>MAX(0,M63-M62)</f>
        <v/>
      </c>
      <c r="O63" s="131">
        <f>IF(B63&lt;='VALOR POR PL'!$P$5,'CP RESUMO'!BJ56,"")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RESUMO'!BK14</f>
        <v/>
      </c>
      <c r="N64" s="132">
        <f>MAX(0,M64-M63)</f>
        <v/>
      </c>
      <c r="O64" s="131">
        <f>IF(B64&lt;='VALOR POR PL'!$P$5,'CP RESUMO'!BK56,"")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RESUMO'!BL14</f>
        <v/>
      </c>
      <c r="N65" s="132">
        <f>MAX(0,M65-M64)</f>
        <v/>
      </c>
      <c r="O65" s="131">
        <f>IF(B65&lt;='VALOR POR PL'!$P$5,'CP RESUMO'!BL56,"")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RESUMO'!BM14</f>
        <v/>
      </c>
      <c r="N66" s="132">
        <f>MAX(0,M66-M65)</f>
        <v/>
      </c>
      <c r="O66" s="131">
        <f>IF(B66&lt;='VALOR POR PL'!$P$5,'CP RESUMO'!BM56,"")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RESUMO'!BN14</f>
        <v/>
      </c>
      <c r="N67" s="132">
        <f>MAX(0,M67-M66)</f>
        <v/>
      </c>
      <c r="O67" s="131">
        <f>IF(B67&lt;='VALOR POR PL'!$P$5,'CP RESUMO'!BN56,"")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RESUMO'!BO14</f>
        <v/>
      </c>
      <c r="N68" s="132">
        <f>MAX(0,M68-M67)</f>
        <v/>
      </c>
      <c r="O68" s="131">
        <f>IF(B68&lt;='VALOR POR PL'!$P$5,'CP RESUMO'!BO56,"")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RESUMO'!BP14</f>
        <v/>
      </c>
      <c r="N69" s="132">
        <f>MAX(0,M69-M68)</f>
        <v/>
      </c>
      <c r="O69" s="131">
        <f>IF(B69&lt;='VALOR POR PL'!$P$5,'CP RESUMO'!BP56,"")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RESUMO'!BQ14</f>
        <v/>
      </c>
      <c r="N70" s="132">
        <f>MAX(0,M70-M69)</f>
        <v/>
      </c>
      <c r="O70" s="131">
        <f>IF(B70&lt;='VALOR POR PL'!$P$5,'CP RESUMO'!BQ56,"")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RESUMO'!BR14</f>
        <v/>
      </c>
      <c r="N71" s="132">
        <f>MAX(0,M71-M70)</f>
        <v/>
      </c>
      <c r="O71" s="131">
        <f>IF(B71&lt;='VALOR POR PL'!$P$5,'CP RESUMO'!BR56,"")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RESUMO'!BS14</f>
        <v/>
      </c>
      <c r="N72" s="132">
        <f>MAX(0,M72-M71)</f>
        <v/>
      </c>
      <c r="O72" s="131">
        <f>IF(B72&lt;='VALOR POR PL'!$P$5,'CP RESUMO'!BS56,"")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RESUMO'!BT14</f>
        <v/>
      </c>
      <c r="N73" s="132">
        <f>MAX(0,M73-M72)</f>
        <v/>
      </c>
      <c r="O73" s="131">
        <f>IF(B73&lt;='VALOR POR PL'!$P$5,'CP RESUMO'!BT56,"")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RESUMO'!BU14</f>
        <v/>
      </c>
      <c r="N74" s="132">
        <f>MAX(0,M74-M73)</f>
        <v/>
      </c>
      <c r="O74" s="131">
        <f>IF(B74&lt;='VALOR POR PL'!$P$5,'CP RESUMO'!BU56,"")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RESUMO'!BV14</f>
        <v/>
      </c>
      <c r="N75" s="132">
        <f>MAX(0,M75-M74)</f>
        <v/>
      </c>
      <c r="O75" s="131">
        <f>IF(B75&lt;='VALOR POR PL'!$P$5,'CP RESUMO'!BV56,"")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RESUMO'!BW14</f>
        <v/>
      </c>
      <c r="N76" s="132">
        <f>MAX(0,M76-M75)</f>
        <v/>
      </c>
      <c r="O76" s="131">
        <f>IF(B76&lt;='VALOR POR PL'!$P$5,'CP RESUMO'!BW56,"")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HISTORICOS'!D15)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PL'!F21</f>
        <v/>
      </c>
      <c r="K5" s="60">
        <f>'VALOR POR PL'!G21</f>
        <v/>
      </c>
      <c r="L5" s="60">
        <f>'DADOS HISTORICOS'!$BZ$15</f>
        <v/>
      </c>
      <c r="M5" s="131">
        <f>'CP RESUMO'!D15</f>
        <v/>
      </c>
      <c r="N5" s="132" t="n">
        <v>0</v>
      </c>
      <c r="O5" s="131">
        <f>IF(B5&lt;='VALOR POR PL'!$P$5,'CP RESUMO'!D57,"")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HISTORICOS'!E15)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PL'!H21</f>
        <v/>
      </c>
      <c r="L6" s="49">
        <f>C6/IF(B6&lt;='VALOR POR PL'!$P$5,IFERROR(INDEX('"INCC-FGV"'!$B$2:$B$800,MATCH(B6,'"INCC-FGV"'!$A$2:$A$800,0)),$K$2),$K$2)</f>
        <v/>
      </c>
      <c r="M6" s="131">
        <f>'CP RESUMO'!E15</f>
        <v/>
      </c>
      <c r="N6" s="132">
        <f>MAX(0,M6-M5)</f>
        <v/>
      </c>
      <c r="O6" s="131">
        <f>IF(B6&lt;='VALOR POR PL'!$P$5,'CP RESUMO'!E57,"")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HISTORICOS'!F15)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RESUMO'!F15</f>
        <v/>
      </c>
      <c r="N7" s="132">
        <f>MAX(0,M7-M6)</f>
        <v/>
      </c>
      <c r="O7" s="131">
        <f>IF(B7&lt;='VALOR POR PL'!$P$5,'CP RESUMO'!F57,"")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HISTORICOS'!G15)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RESUMO'!G15</f>
        <v/>
      </c>
      <c r="N8" s="132">
        <f>MAX(0,M8-M7)</f>
        <v/>
      </c>
      <c r="O8" s="131">
        <f>IF(B8&lt;='VALOR POR PL'!$P$5,'CP RESUMO'!G57,"")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HISTORICOS'!H15)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RESUMO'!H15</f>
        <v/>
      </c>
      <c r="N9" s="132">
        <f>MAX(0,M9-M8)</f>
        <v/>
      </c>
      <c r="O9" s="131">
        <f>IF(B9&lt;='VALOR POR PL'!$P$5,'CP RESUMO'!H57,"")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RESUMO'!I15</f>
        <v/>
      </c>
      <c r="N10" s="132">
        <f>MAX(0,M10-M9)</f>
        <v/>
      </c>
      <c r="O10" s="131">
        <f>IF(B10&lt;='VALOR POR PL'!$P$5,'CP RESUMO'!I57,"")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RESUMO'!J15</f>
        <v/>
      </c>
      <c r="N11" s="132">
        <f>MAX(0,M11-M10)</f>
        <v/>
      </c>
      <c r="O11" s="131">
        <f>IF(B11&lt;='VALOR POR PL'!$P$5,'CP RESUMO'!J57,"")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RESUMO'!K15</f>
        <v/>
      </c>
      <c r="N12" s="132">
        <f>MAX(0,M12-M11)</f>
        <v/>
      </c>
      <c r="O12" s="131">
        <f>IF(B12&lt;='VALOR POR PL'!$P$5,'CP RESUMO'!K57,"")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PL'!I21</f>
        <v/>
      </c>
      <c r="L13" s="49">
        <f>C13/IF(B13&lt;='VALOR POR PL'!$P$5,IFERROR(INDEX('"INCC-FGV"'!$B$2:$B$800,MATCH(B13,'"INCC-FGV"'!$A$2:$A$800,0)),$K$2),$K$2)</f>
        <v/>
      </c>
      <c r="M13" s="131">
        <f>'CP RESUMO'!L15</f>
        <v/>
      </c>
      <c r="N13" s="132">
        <f>MAX(0,M13-M12)</f>
        <v/>
      </c>
      <c r="O13" s="131">
        <f>IF(B13&lt;='VALOR POR PL'!$P$5,'CP RESUMO'!L57,"")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RESUMO'!$D$57:$BW$57,MATCH('VALOR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RESUMO'!M15</f>
        <v/>
      </c>
      <c r="N14" s="132">
        <f>MAX(0,M14-M13)</f>
        <v/>
      </c>
      <c r="O14" s="131">
        <f>IF(B14&lt;='VALOR POR PL'!$P$5,'CP RESUMO'!M57,"")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RESUMO'!N15</f>
        <v/>
      </c>
      <c r="N15" s="132">
        <f>MAX(0,M15-M14)</f>
        <v/>
      </c>
      <c r="O15" s="131">
        <f>IF(B15&lt;='VALOR POR PL'!$P$5,'CP RESUMO'!N57,"")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RESUMO'!O15</f>
        <v/>
      </c>
      <c r="N16" s="132">
        <f>MAX(0,M16-M15)</f>
        <v/>
      </c>
      <c r="O16" s="131">
        <f>IF(B16&lt;='VALOR POR PL'!$P$5,'CP RESUMO'!O57,"")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RESUMO'!P15</f>
        <v/>
      </c>
      <c r="N17" s="132">
        <f>MAX(0,M17-M16)</f>
        <v/>
      </c>
      <c r="O17" s="131">
        <f>IF(B17&lt;='VALOR POR PL'!$P$5,'CP RESUMO'!P57,"")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RESUMO'!Q15</f>
        <v/>
      </c>
      <c r="N18" s="132">
        <f>MAX(0,M18-M17)</f>
        <v/>
      </c>
      <c r="O18" s="131">
        <f>IF(B18&lt;='VALOR POR PL'!$P$5,'CP RESUMO'!Q57,"")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RESUMO'!R15</f>
        <v/>
      </c>
      <c r="N19" s="132">
        <f>MAX(0,M19-M18)</f>
        <v/>
      </c>
      <c r="O19" s="131">
        <f>IF(B19&lt;='VALOR POR PL'!$P$5,'CP RESUMO'!R57,"")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RESUMO'!S15</f>
        <v/>
      </c>
      <c r="N20" s="132">
        <f>MAX(0,M20-M19)</f>
        <v/>
      </c>
      <c r="O20" s="131">
        <f>IF(B20&lt;='VALOR POR PL'!$P$5,'CP RESUMO'!S57,"")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RESUMO'!T15</f>
        <v/>
      </c>
      <c r="N21" s="132">
        <f>MAX(0,M21-M20)</f>
        <v/>
      </c>
      <c r="O21" s="131">
        <f>IF(B21&lt;='VALOR POR PL'!$P$5,'CP RESUMO'!T57,"")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RESUMO'!U15</f>
        <v/>
      </c>
      <c r="N22" s="132">
        <f>MAX(0,M22-M21)</f>
        <v/>
      </c>
      <c r="O22" s="131">
        <f>IF(B22&lt;='VALOR POR PL'!$P$5,'CP RESUMO'!U57,"")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RESUMO'!V15</f>
        <v/>
      </c>
      <c r="N23" s="132">
        <f>MAX(0,M23-M22)</f>
        <v/>
      </c>
      <c r="O23" s="131">
        <f>IF(B23&lt;='VALOR POR PL'!$P$5,'CP RESUMO'!V57,"")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Reorçamento pendente: na planilha de medição financeira (ANÁLISE IEC, coluna W) a projeção está com R$ 93.886.240 (19,9× o orçamento reajustado), valor inconsistente. Mantido o orçamento (fator 1) até confirmação.</t>
        </is>
      </c>
      <c r="L24" s="49">
        <f>C24/IF(B24&lt;='VALOR POR PL'!$P$5,IFERROR(INDEX('"INCC-FGV"'!$B$2:$B$800,MATCH(B24,'"INCC-FGV"'!$A$2:$A$800,0)),$K$2),$K$2)</f>
        <v/>
      </c>
      <c r="M24" s="131">
        <f>'CP RESUMO'!W15</f>
        <v/>
      </c>
      <c r="N24" s="132">
        <f>MAX(0,M24-M23)</f>
        <v/>
      </c>
      <c r="O24" s="131">
        <f>IF(B24&lt;='VALOR POR PL'!$P$5,'CP RESUMO'!W57,"")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RESUMO'!X15</f>
        <v/>
      </c>
      <c r="N25" s="132">
        <f>MAX(0,M25-M24)</f>
        <v/>
      </c>
      <c r="O25" s="131">
        <f>IF(B25&lt;='VALOR POR PL'!$P$5,'CP RESUMO'!X57,"")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73971.77</v>
      </c>
      <c r="L26" s="49">
        <f>C26/IF(B26&lt;='VALOR POR PL'!$P$5,IFERROR(INDEX('"INCC-FGV"'!$B$2:$B$800,MATCH(B26,'"INCC-FGV"'!$A$2:$A$800,0)),$K$2),$K$2)</f>
        <v/>
      </c>
      <c r="M26" s="131">
        <f>'CP RESUMO'!Y15</f>
        <v/>
      </c>
      <c r="N26" s="132">
        <f>MAX(0,M26-M25)</f>
        <v/>
      </c>
      <c r="O26" s="131">
        <f>IF(B26&lt;='VALOR POR PL'!$P$5,'CP RESUMO'!Y57,"")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169587.83</v>
      </c>
      <c r="L27" s="49">
        <f>C27/IF(B27&lt;='VALOR POR PL'!$P$5,IFERROR(INDEX('"INCC-FGV"'!$B$2:$B$800,MATCH(B27,'"INCC-FGV"'!$A$2:$A$800,0)),$K$2),$K$2)</f>
        <v/>
      </c>
      <c r="M27" s="131">
        <f>'CP RESUMO'!Z15</f>
        <v/>
      </c>
      <c r="N27" s="132">
        <f>MAX(0,M27-M26)</f>
        <v/>
      </c>
      <c r="O27" s="131">
        <f>IF(B27&lt;='VALOR POR PL'!$P$5,'CP RESUMO'!Z57,"")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138370.85</v>
      </c>
      <c r="L28" s="49">
        <f>C28/IF(B28&lt;='VALOR POR PL'!$P$5,IFERROR(INDEX('"INCC-FGV"'!$B$2:$B$800,MATCH(B28,'"INCC-FGV"'!$A$2:$A$800,0)),$K$2),$K$2)</f>
        <v/>
      </c>
      <c r="M28" s="131">
        <f>'CP RESUMO'!AA15</f>
        <v/>
      </c>
      <c r="N28" s="132">
        <f>MAX(0,M28-M27)</f>
        <v/>
      </c>
      <c r="O28" s="131">
        <f>IF(B28&lt;='VALOR POR PL'!$P$5,'CP RESUMO'!AA57,"")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167442.39</v>
      </c>
      <c r="L29" s="49">
        <f>C29/IF(B29&lt;='VALOR POR PL'!$P$5,IFERROR(INDEX('"INCC-FGV"'!$B$2:$B$800,MATCH(B29,'"INCC-FGV"'!$A$2:$A$800,0)),$K$2),$K$2)</f>
        <v/>
      </c>
      <c r="M29" s="131">
        <f>'CP RESUMO'!AB15</f>
        <v/>
      </c>
      <c r="N29" s="132">
        <f>MAX(0,M29-M28)</f>
        <v/>
      </c>
      <c r="O29" s="131">
        <f>IF(B29&lt;='VALOR POR PL'!$P$5,'CP RESUMO'!AB57,"")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145942.51</v>
      </c>
      <c r="L30" s="49">
        <f>C30/IF(B30&lt;='VALOR POR PL'!$P$5,IFERROR(INDEX('"INCC-FGV"'!$B$2:$B$800,MATCH(B30,'"INCC-FGV"'!$A$2:$A$800,0)),$K$2),$K$2)</f>
        <v/>
      </c>
      <c r="M30" s="131">
        <f>'CP RESUMO'!AC15</f>
        <v/>
      </c>
      <c r="N30" s="132">
        <f>MAX(0,M30-M29)</f>
        <v/>
      </c>
      <c r="O30" s="131">
        <f>IF(B30&lt;='VALOR POR PL'!$P$5,'CP RESUMO'!AC57,"")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126915.85</v>
      </c>
      <c r="L31" s="49">
        <f>C31/IF(B31&lt;='VALOR POR PL'!$P$5,IFERROR(INDEX('"INCC-FGV"'!$B$2:$B$800,MATCH(B31,'"INCC-FGV"'!$A$2:$A$800,0)),$K$2),$K$2)</f>
        <v/>
      </c>
      <c r="M31" s="131">
        <f>'CP RESUMO'!AD15</f>
        <v/>
      </c>
      <c r="N31" s="132">
        <f>MAX(0,M31-M30)</f>
        <v/>
      </c>
      <c r="O31" s="131">
        <f>IF(B31&lt;='VALOR POR PL'!$P$5,'CP RESUMO'!AD57,"")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146949.18</v>
      </c>
      <c r="L32" s="49">
        <f>C32/IF(B32&lt;='VALOR POR PL'!$P$5,IFERROR(INDEX('"INCC-FGV"'!$B$2:$B$800,MATCH(B32,'"INCC-FGV"'!$A$2:$A$800,0)),$K$2),$K$2)</f>
        <v/>
      </c>
      <c r="M32" s="131">
        <f>'CP RESUMO'!AE15</f>
        <v/>
      </c>
      <c r="N32" s="132">
        <f>MAX(0,M32-M31)</f>
        <v/>
      </c>
      <c r="O32" s="131">
        <f>IF(B32&lt;='VALOR POR PL'!$P$5,'CP RESUMO'!AE57,"")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125682.51</v>
      </c>
      <c r="L33" s="49">
        <f>C33/IF(B33&lt;='VALOR POR PL'!$P$5,IFERROR(INDEX('"INCC-FGV"'!$B$2:$B$800,MATCH(B33,'"INCC-FGV"'!$A$2:$A$800,0)),$K$2),$K$2)</f>
        <v/>
      </c>
      <c r="M33" s="131">
        <f>'CP RESUMO'!AF15</f>
        <v/>
      </c>
      <c r="N33" s="132">
        <f>MAX(0,M33-M32)</f>
        <v/>
      </c>
      <c r="O33" s="131">
        <f>IF(B33&lt;='VALOR POR PL'!$P$5,'CP RESUMO'!AF57,"")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118188.71</v>
      </c>
      <c r="L34" s="49">
        <f>C34/IF(B34&lt;='VALOR POR PL'!$P$5,IFERROR(INDEX('"INCC-FGV"'!$B$2:$B$800,MATCH(B34,'"INCC-FGV"'!$A$2:$A$800,0)),$K$2),$K$2)</f>
        <v/>
      </c>
      <c r="M34" s="131">
        <f>'CP RESUMO'!AG15</f>
        <v/>
      </c>
      <c r="N34" s="132">
        <f>MAX(0,M34-M33)</f>
        <v/>
      </c>
      <c r="O34" s="131">
        <f>IF(B34&lt;='VALOR POR PL'!$P$5,'CP RESUMO'!AG57,"")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98015.37</v>
      </c>
      <c r="L35" s="49">
        <f>C35/IF(B35&lt;='VALOR POR PL'!$P$5,IFERROR(INDEX('"INCC-FGV"'!$B$2:$B$800,MATCH(B35,'"INCC-FGV"'!$A$2:$A$800,0)),$K$2),$K$2)</f>
        <v/>
      </c>
      <c r="M35" s="131">
        <f>'CP RESUMO'!AH15</f>
        <v/>
      </c>
      <c r="N35" s="132">
        <f>MAX(0,M35-M34)</f>
        <v/>
      </c>
      <c r="O35" s="131">
        <f>IF(B35&lt;='VALOR POR PL'!$P$5,'CP RESUMO'!AH57,"")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80835.37</v>
      </c>
      <c r="L36" s="49">
        <f>C36/IF(B36&lt;='VALOR POR PL'!$P$5,IFERROR(INDEX('"INCC-FGV"'!$B$2:$B$800,MATCH(B36,'"INCC-FGV"'!$A$2:$A$800,0)),$K$2),$K$2)</f>
        <v/>
      </c>
      <c r="M36" s="131">
        <f>'CP RESUMO'!AI15</f>
        <v/>
      </c>
      <c r="N36" s="132">
        <f>MAX(0,M36-M35)</f>
        <v/>
      </c>
      <c r="O36" s="131">
        <f>IF(B36&lt;='VALOR POR PL'!$P$5,'CP RESUMO'!AI57,"")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92468.71000000001</v>
      </c>
      <c r="L37" s="49">
        <f>C37/IF(B37&lt;='VALOR POR PL'!$P$5,IFERROR(INDEX('"INCC-FGV"'!$B$2:$B$800,MATCH(B37,'"INCC-FGV"'!$A$2:$A$800,0)),$K$2),$K$2)</f>
        <v/>
      </c>
      <c r="M37" s="131">
        <f>'CP RESUMO'!AJ15</f>
        <v/>
      </c>
      <c r="N37" s="132">
        <f>MAX(0,M37-M36)</f>
        <v/>
      </c>
      <c r="O37" s="131">
        <f>IF(B37&lt;='VALOR POR PL'!$P$5,'CP RESUMO'!AJ57,"")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112148.57</v>
      </c>
      <c r="L38" s="49">
        <f>C38/IF(B38&lt;='VALOR POR PL'!$P$5,IFERROR(INDEX('"INCC-FGV"'!$B$2:$B$800,MATCH(B38,'"INCC-FGV"'!$A$2:$A$800,0)),$K$2),$K$2)</f>
        <v/>
      </c>
      <c r="M38" s="131">
        <f>'CP RESUMO'!AK15</f>
        <v/>
      </c>
      <c r="N38" s="132">
        <f>MAX(0,M38-M37)</f>
        <v/>
      </c>
      <c r="O38" s="131">
        <f>IF(B38&lt;='VALOR POR PL'!$P$5,'CP RESUMO'!AK57,"")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51688.71</v>
      </c>
      <c r="L39" s="49">
        <f>C39/IF(B39&lt;='VALOR POR PL'!$P$5,IFERROR(INDEX('"INCC-FGV"'!$B$2:$B$800,MATCH(B39,'"INCC-FGV"'!$A$2:$A$800,0)),$K$2),$K$2)</f>
        <v/>
      </c>
      <c r="M39" s="131">
        <f>'CP RESUMO'!AL15</f>
        <v/>
      </c>
      <c r="N39" s="132">
        <f>MAX(0,M39-M38)</f>
        <v/>
      </c>
      <c r="O39" s="131">
        <f>IF(B39&lt;='VALOR POR PL'!$P$5,'CP RESUMO'!AL57,"")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58408.71</v>
      </c>
      <c r="L40" s="49">
        <f>C40/IF(B40&lt;='VALOR POR PL'!$P$5,IFERROR(INDEX('"INCC-FGV"'!$B$2:$B$800,MATCH(B40,'"INCC-FGV"'!$A$2:$A$800,0)),$K$2),$K$2)</f>
        <v/>
      </c>
      <c r="M40" s="131">
        <f>'CP RESUMO'!AM15</f>
        <v/>
      </c>
      <c r="N40" s="132">
        <f>MAX(0,M40-M39)</f>
        <v/>
      </c>
      <c r="O40" s="131">
        <f>IF(B40&lt;='VALOR POR PL'!$P$5,'CP RESUMO'!AM57,"")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46408.71</v>
      </c>
      <c r="L41" s="49">
        <f>C41/IF(B41&lt;='VALOR POR PL'!$P$5,IFERROR(INDEX('"INCC-FGV"'!$B$2:$B$800,MATCH(B41,'"INCC-FGV"'!$A$2:$A$800,0)),$K$2),$K$2)</f>
        <v/>
      </c>
      <c r="M41" s="131">
        <f>'CP RESUMO'!AN15</f>
        <v/>
      </c>
      <c r="N41" s="132">
        <f>MAX(0,M41-M40)</f>
        <v/>
      </c>
      <c r="O41" s="131">
        <f>IF(B41&lt;='VALOR POR PL'!$P$5,'CP RESUMO'!AN57,"")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48975.37</v>
      </c>
      <c r="L42" s="49">
        <f>C42/IF(B42&lt;='VALOR POR PL'!$P$5,IFERROR(INDEX('"INCC-FGV"'!$B$2:$B$800,MATCH(B42,'"INCC-FGV"'!$A$2:$A$800,0)),$K$2),$K$2)</f>
        <v/>
      </c>
      <c r="M42" s="131">
        <f>'CP RESUMO'!AO15</f>
        <v/>
      </c>
      <c r="N42" s="132">
        <f>MAX(0,M42-M41)</f>
        <v/>
      </c>
      <c r="O42" s="131">
        <f>IF(B42&lt;='VALOR POR PL'!$P$5,'CP RESUMO'!AO57,"")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49031.4</v>
      </c>
      <c r="L43" s="49">
        <f>C43/IF(B43&lt;='VALOR POR PL'!$P$5,IFERROR(INDEX('"INCC-FGV"'!$B$2:$B$800,MATCH(B43,'"INCC-FGV"'!$A$2:$A$800,0)),$K$2),$K$2)</f>
        <v/>
      </c>
      <c r="M43" s="131">
        <f>'CP RESUMO'!AP15</f>
        <v/>
      </c>
      <c r="N43" s="132">
        <f>MAX(0,M43-M42)</f>
        <v/>
      </c>
      <c r="O43" s="131">
        <f>IF(B43&lt;='VALOR POR PL'!$P$5,'CP RESUMO'!AP57,"")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37552.81</v>
      </c>
      <c r="L44" s="49">
        <f>C44/IF(B44&lt;='VALOR POR PL'!$P$5,IFERROR(INDEX('"INCC-FGV"'!$B$2:$B$800,MATCH(B44,'"INCC-FGV"'!$A$2:$A$800,0)),$K$2),$K$2)</f>
        <v/>
      </c>
      <c r="M44" s="131">
        <f>'CP RESUMO'!AQ15</f>
        <v/>
      </c>
      <c r="N44" s="132">
        <f>MAX(0,M44-M43)</f>
        <v/>
      </c>
      <c r="O44" s="131">
        <f>IF(B44&lt;='VALOR POR PL'!$P$5,'CP RESUMO'!AQ57,"")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37552.81</v>
      </c>
      <c r="L45" s="49">
        <f>C45/IF(B45&lt;='VALOR POR PL'!$P$5,IFERROR(INDEX('"INCC-FGV"'!$B$2:$B$800,MATCH(B45,'"INCC-FGV"'!$A$2:$A$800,0)),$K$2),$K$2)</f>
        <v/>
      </c>
      <c r="M45" s="131">
        <f>'CP RESUMO'!AR15</f>
        <v/>
      </c>
      <c r="N45" s="132">
        <f>MAX(0,M45-M44)</f>
        <v/>
      </c>
      <c r="O45" s="131">
        <f>IF(B45&lt;='VALOR POR PL'!$P$5,'CP RESUMO'!AR57,"")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15902.81</v>
      </c>
      <c r="L46" s="49">
        <f>C46/IF(B46&lt;='VALOR POR PL'!$P$5,IFERROR(INDEX('"INCC-FGV"'!$B$2:$B$800,MATCH(B46,'"INCC-FGV"'!$A$2:$A$800,0)),$K$2),$K$2)</f>
        <v/>
      </c>
      <c r="M46" s="131">
        <f>'CP RESUMO'!AS15</f>
        <v/>
      </c>
      <c r="N46" s="132">
        <f>MAX(0,M46-M45)</f>
        <v/>
      </c>
      <c r="O46" s="131">
        <f>IF(B46&lt;='VALOR POR PL'!$P$5,'CP RESUMO'!AS57,"")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15552.81</v>
      </c>
      <c r="L47" s="49">
        <f>C47/IF(B47&lt;='VALOR POR PL'!$P$5,IFERROR(INDEX('"INCC-FGV"'!$B$2:$B$800,MATCH(B47,'"INCC-FGV"'!$A$2:$A$800,0)),$K$2),$K$2)</f>
        <v/>
      </c>
      <c r="M47" s="131">
        <f>'CP RESUMO'!AT15</f>
        <v/>
      </c>
      <c r="N47" s="132">
        <f>MAX(0,M47-M46)</f>
        <v/>
      </c>
      <c r="O47" s="131">
        <f>IF(B47&lt;='VALOR POR PL'!$P$5,'CP RESUMO'!AT57,"")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6499.89</v>
      </c>
      <c r="L48" s="49">
        <f>C48/IF(B48&lt;='VALOR POR PL'!$P$5,IFERROR(INDEX('"INCC-FGV"'!$B$2:$B$800,MATCH(B48,'"INCC-FGV"'!$A$2:$A$800,0)),$K$2),$K$2)</f>
        <v/>
      </c>
      <c r="M48" s="131">
        <f>'CP RESUMO'!AU15</f>
        <v/>
      </c>
      <c r="N48" s="132">
        <f>MAX(0,M48-M47)</f>
        <v/>
      </c>
      <c r="O48" s="131">
        <f>IF(B48&lt;='VALOR POR PL'!$P$5,'CP RESUMO'!AU57,"")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6499.89</v>
      </c>
      <c r="L49" s="49">
        <f>C49/IF(B49&lt;='VALOR POR PL'!$P$5,IFERROR(INDEX('"INCC-FGV"'!$B$2:$B$800,MATCH(B49,'"INCC-FGV"'!$A$2:$A$800,0)),$K$2),$K$2)</f>
        <v/>
      </c>
      <c r="M49" s="131">
        <f>'CP RESUMO'!AV15</f>
        <v/>
      </c>
      <c r="N49" s="132">
        <f>MAX(0,M49-M48)</f>
        <v/>
      </c>
      <c r="O49" s="131">
        <f>IF(B49&lt;='VALOR POR PL'!$P$5,'CP RESUMO'!AV57,"")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4499.89</v>
      </c>
      <c r="L50" s="49">
        <f>C50/IF(B50&lt;='VALOR POR PL'!$P$5,IFERROR(INDEX('"INCC-FGV"'!$B$2:$B$800,MATCH(B50,'"INCC-FGV"'!$A$2:$A$800,0)),$K$2),$K$2)</f>
        <v/>
      </c>
      <c r="M50" s="131">
        <f>'CP RESUMO'!AW15</f>
        <v/>
      </c>
      <c r="N50" s="132">
        <f>MAX(0,M50-M49)</f>
        <v/>
      </c>
      <c r="O50" s="131">
        <f>IF(B50&lt;='VALOR POR PL'!$P$5,'CP RESUMO'!AW57,"")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RESUMO'!AX15</f>
        <v/>
      </c>
      <c r="N51" s="132">
        <f>MAX(0,M51-M50)</f>
        <v/>
      </c>
      <c r="O51" s="131">
        <f>IF(B51&lt;='VALOR POR PL'!$P$5,'CP RESUMO'!AX57,"")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746804.61</v>
      </c>
      <c r="L52" s="49">
        <f>C52/IF(B52&lt;='VALOR POR PL'!$P$5,IFERROR(INDEX('"INCC-FGV"'!$B$2:$B$800,MATCH(B52,'"INCC-FGV"'!$A$2:$A$800,0)),$K$2),$K$2)</f>
        <v/>
      </c>
      <c r="M52" s="131">
        <f>'CP RESUMO'!AY15</f>
        <v/>
      </c>
      <c r="N52" s="132">
        <f>MAX(0,M52-M51)</f>
        <v/>
      </c>
      <c r="O52" s="131">
        <f>IF(B52&lt;='VALOR POR PL'!$P$5,'CP RESUMO'!AY57,"")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RESUMO'!AZ15</f>
        <v/>
      </c>
      <c r="N53" s="132">
        <f>MAX(0,M53-M52)</f>
        <v/>
      </c>
      <c r="O53" s="131">
        <f>IF(B53&lt;='VALOR POR PL'!$P$5,'CP RESUMO'!AZ57,"")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RESUMO'!BA15</f>
        <v/>
      </c>
      <c r="N54" s="132">
        <f>MAX(0,M54-M53)</f>
        <v/>
      </c>
      <c r="O54" s="131">
        <f>IF(B54&lt;='VALOR POR PL'!$P$5,'CP RESUMO'!BA57,"")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RESUMO'!BB15</f>
        <v/>
      </c>
      <c r="N55" s="132">
        <f>MAX(0,M55-M54)</f>
        <v/>
      </c>
      <c r="O55" s="131">
        <f>IF(B55&lt;='VALOR POR PL'!$P$5,'CP RESUMO'!BB57,"")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RESUMO'!BC15</f>
        <v/>
      </c>
      <c r="N56" s="132">
        <f>MAX(0,M56-M55)</f>
        <v/>
      </c>
      <c r="O56" s="131">
        <f>IF(B56&lt;='VALOR POR PL'!$P$5,'CP RESUMO'!BC57,"")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RESUMO'!BD15</f>
        <v/>
      </c>
      <c r="N57" s="132">
        <f>MAX(0,M57-M56)</f>
        <v/>
      </c>
      <c r="O57" s="131">
        <f>IF(B57&lt;='VALOR POR PL'!$P$5,'CP RESUMO'!BD57,"")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RESUMO'!BE15</f>
        <v/>
      </c>
      <c r="N58" s="132">
        <f>MAX(0,M58-M57)</f>
        <v/>
      </c>
      <c r="O58" s="131">
        <f>IF(B58&lt;='VALOR POR PL'!$P$5,'CP RESUMO'!BE57,"")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RESUMO'!BF15</f>
        <v/>
      </c>
      <c r="N59" s="132">
        <f>MAX(0,M59-M58)</f>
        <v/>
      </c>
      <c r="O59" s="131">
        <f>IF(B59&lt;='VALOR POR PL'!$P$5,'CP RESUMO'!BF57,"")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RESUMO'!BG15</f>
        <v/>
      </c>
      <c r="N60" s="132">
        <f>MAX(0,M60-M59)</f>
        <v/>
      </c>
      <c r="O60" s="131">
        <f>IF(B60&lt;='VALOR POR PL'!$P$5,'CP RESUMO'!BG57,"")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RESUMO'!BH15</f>
        <v/>
      </c>
      <c r="N61" s="132">
        <f>MAX(0,M61-M60)</f>
        <v/>
      </c>
      <c r="O61" s="131">
        <f>IF(B61&lt;='VALOR POR PL'!$P$5,'CP RESUMO'!BH57,"")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RESUMO'!BI15</f>
        <v/>
      </c>
      <c r="N62" s="132">
        <f>MAX(0,M62-M61)</f>
        <v/>
      </c>
      <c r="O62" s="131">
        <f>IF(B62&lt;='VALOR POR PL'!$P$5,'CP RESUMO'!BI57,"")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RESUMO'!BJ15</f>
        <v/>
      </c>
      <c r="N63" s="132">
        <f>MAX(0,M63-M62)</f>
        <v/>
      </c>
      <c r="O63" s="131">
        <f>IF(B63&lt;='VALOR POR PL'!$P$5,'CP RESUMO'!BJ57,"")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RESUMO'!BK15</f>
        <v/>
      </c>
      <c r="N64" s="132">
        <f>MAX(0,M64-M63)</f>
        <v/>
      </c>
      <c r="O64" s="131">
        <f>IF(B64&lt;='VALOR POR PL'!$P$5,'CP RESUMO'!BK57,"")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RESUMO'!BL15</f>
        <v/>
      </c>
      <c r="N65" s="132">
        <f>MAX(0,M65-M64)</f>
        <v/>
      </c>
      <c r="O65" s="131">
        <f>IF(B65&lt;='VALOR POR PL'!$P$5,'CP RESUMO'!BL57,"")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RESUMO'!BM15</f>
        <v/>
      </c>
      <c r="N66" s="132">
        <f>MAX(0,M66-M65)</f>
        <v/>
      </c>
      <c r="O66" s="131">
        <f>IF(B66&lt;='VALOR POR PL'!$P$5,'CP RESUMO'!BM57,"")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RESUMO'!BN15</f>
        <v/>
      </c>
      <c r="N67" s="132">
        <f>MAX(0,M67-M66)</f>
        <v/>
      </c>
      <c r="O67" s="131">
        <f>IF(B67&lt;='VALOR POR PL'!$P$5,'CP RESUMO'!BN57,"")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RESUMO'!BO15</f>
        <v/>
      </c>
      <c r="N68" s="132">
        <f>MAX(0,M68-M67)</f>
        <v/>
      </c>
      <c r="O68" s="131">
        <f>IF(B68&lt;='VALOR POR PL'!$P$5,'CP RESUMO'!BO57,"")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RESUMO'!BP15</f>
        <v/>
      </c>
      <c r="N69" s="132">
        <f>MAX(0,M69-M68)</f>
        <v/>
      </c>
      <c r="O69" s="131">
        <f>IF(B69&lt;='VALOR POR PL'!$P$5,'CP RESUMO'!BP57,"")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RESUMO'!BQ15</f>
        <v/>
      </c>
      <c r="N70" s="132">
        <f>MAX(0,M70-M69)</f>
        <v/>
      </c>
      <c r="O70" s="131">
        <f>IF(B70&lt;='VALOR POR PL'!$P$5,'CP RESUMO'!BQ57,"")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RESUMO'!BR15</f>
        <v/>
      </c>
      <c r="N71" s="132">
        <f>MAX(0,M71-M70)</f>
        <v/>
      </c>
      <c r="O71" s="131">
        <f>IF(B71&lt;='VALOR POR PL'!$P$5,'CP RESUMO'!BR57,"")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RESUMO'!BS15</f>
        <v/>
      </c>
      <c r="N72" s="132">
        <f>MAX(0,M72-M71)</f>
        <v/>
      </c>
      <c r="O72" s="131">
        <f>IF(B72&lt;='VALOR POR PL'!$P$5,'CP RESUMO'!BS57,"")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RESUMO'!BT15</f>
        <v/>
      </c>
      <c r="N73" s="132">
        <f>MAX(0,M73-M72)</f>
        <v/>
      </c>
      <c r="O73" s="131">
        <f>IF(B73&lt;='VALOR POR PL'!$P$5,'CP RESUMO'!BT57,"")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RESUMO'!BU15</f>
        <v/>
      </c>
      <c r="N74" s="132">
        <f>MAX(0,M74-M73)</f>
        <v/>
      </c>
      <c r="O74" s="131">
        <f>IF(B74&lt;='VALOR POR PL'!$P$5,'CP RESUMO'!BU57,"")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RESUMO'!BV15</f>
        <v/>
      </c>
      <c r="N75" s="132">
        <f>MAX(0,M75-M74)</f>
        <v/>
      </c>
      <c r="O75" s="131">
        <f>IF(B75&lt;='VALOR POR PL'!$P$5,'CP RESUMO'!BV57,"")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RESUMO'!BW15</f>
        <v/>
      </c>
      <c r="N76" s="132">
        <f>MAX(0,M76-M75)</f>
        <v/>
      </c>
      <c r="O76" s="131">
        <f>IF(B76&lt;='VALOR POR PL'!$P$5,'CP RESUMO'!BW57,"")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HISTORICOS'!D16)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PL'!F22</f>
        <v/>
      </c>
      <c r="K5" s="60">
        <f>'VALOR POR PL'!G22</f>
        <v/>
      </c>
      <c r="L5" s="60">
        <f>'DADOS HISTORICOS'!$BZ$16</f>
        <v/>
      </c>
      <c r="M5" s="131">
        <f>'CP RESUMO'!D16</f>
        <v/>
      </c>
      <c r="N5" s="132" t="n">
        <v>0</v>
      </c>
      <c r="O5" s="131">
        <f>IF(B5&lt;='VALOR POR PL'!$P$5,'CP RESUMO'!D58,"")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HISTORICOS'!E16)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PL'!H22</f>
        <v/>
      </c>
      <c r="L6" s="49">
        <f>C6/IF(B6&lt;='VALOR POR PL'!$P$5,IFERROR(INDEX('"INCC-FGV"'!$B$2:$B$800,MATCH(B6,'"INCC-FGV"'!$A$2:$A$800,0)),$K$2),$K$2)</f>
        <v/>
      </c>
      <c r="M6" s="131">
        <f>'CP RESUMO'!E16</f>
        <v/>
      </c>
      <c r="N6" s="132">
        <f>MAX(0,M6-M5)</f>
        <v/>
      </c>
      <c r="O6" s="131">
        <f>IF(B6&lt;='VALOR POR PL'!$P$5,'CP RESUMO'!E58,"")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HISTORICOS'!F16)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RESUMO'!F16</f>
        <v/>
      </c>
      <c r="N7" s="132">
        <f>MAX(0,M7-M6)</f>
        <v/>
      </c>
      <c r="O7" s="131">
        <f>IF(B7&lt;='VALOR POR PL'!$P$5,'CP RESUMO'!F58,"")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HISTORICOS'!G16)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RESUMO'!G16</f>
        <v/>
      </c>
      <c r="N8" s="132">
        <f>MAX(0,M8-M7)</f>
        <v/>
      </c>
      <c r="O8" s="131">
        <f>IF(B8&lt;='VALOR POR PL'!$P$5,'CP RESUMO'!G58,"")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HISTORICOS'!H16)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RESUMO'!H16</f>
        <v/>
      </c>
      <c r="N9" s="132">
        <f>MAX(0,M9-M8)</f>
        <v/>
      </c>
      <c r="O9" s="131">
        <f>IF(B9&lt;='VALOR POR PL'!$P$5,'CP RESUMO'!H58,"")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RESUMO'!I16</f>
        <v/>
      </c>
      <c r="N10" s="132">
        <f>MAX(0,M10-M9)</f>
        <v/>
      </c>
      <c r="O10" s="131">
        <f>IF(B10&lt;='VALOR POR PL'!$P$5,'CP RESUMO'!I58,"")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RESUMO'!J16</f>
        <v/>
      </c>
      <c r="N11" s="132">
        <f>MAX(0,M11-M10)</f>
        <v/>
      </c>
      <c r="O11" s="131">
        <f>IF(B11&lt;='VALOR POR PL'!$P$5,'CP RESUMO'!J58,"")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RESUMO'!K16</f>
        <v/>
      </c>
      <c r="N12" s="132">
        <f>MAX(0,M12-M11)</f>
        <v/>
      </c>
      <c r="O12" s="131">
        <f>IF(B12&lt;='VALOR POR PL'!$P$5,'CP RESUMO'!K58,"")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PL'!I22</f>
        <v/>
      </c>
      <c r="L13" s="49">
        <f>C13/IF(B13&lt;='VALOR POR PL'!$P$5,IFERROR(INDEX('"INCC-FGV"'!$B$2:$B$800,MATCH(B13,'"INCC-FGV"'!$A$2:$A$800,0)),$K$2),$K$2)</f>
        <v/>
      </c>
      <c r="M13" s="131">
        <f>'CP RESUMO'!L16</f>
        <v/>
      </c>
      <c r="N13" s="132">
        <f>MAX(0,M13-M12)</f>
        <v/>
      </c>
      <c r="O13" s="131">
        <f>IF(B13&lt;='VALOR POR PL'!$P$5,'CP RESUMO'!L58,"")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RESUMO'!$D$58:$BW$58,MATCH('VALOR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RESUMO'!M16</f>
        <v/>
      </c>
      <c r="N14" s="132">
        <f>MAX(0,M14-M13)</f>
        <v/>
      </c>
      <c r="O14" s="131">
        <f>IF(B14&lt;='VALOR POR PL'!$P$5,'CP RESUMO'!M58,"")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RESUMO'!N16</f>
        <v/>
      </c>
      <c r="N15" s="132">
        <f>MAX(0,M15-M14)</f>
        <v/>
      </c>
      <c r="O15" s="131">
        <f>IF(B15&lt;='VALOR POR PL'!$P$5,'CP RESUMO'!N58,"")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RESUMO'!O16</f>
        <v/>
      </c>
      <c r="N16" s="132">
        <f>MAX(0,M16-M15)</f>
        <v/>
      </c>
      <c r="O16" s="131">
        <f>IF(B16&lt;='VALOR POR PL'!$P$5,'CP RESUMO'!O58,"")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RESUMO'!P16</f>
        <v/>
      </c>
      <c r="N17" s="132">
        <f>MAX(0,M17-M16)</f>
        <v/>
      </c>
      <c r="O17" s="131">
        <f>IF(B17&lt;='VALOR POR PL'!$P$5,'CP RESUMO'!P58,"")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RESUMO'!Q16</f>
        <v/>
      </c>
      <c r="N18" s="132">
        <f>MAX(0,M18-M17)</f>
        <v/>
      </c>
      <c r="O18" s="131">
        <f>IF(B18&lt;='VALOR POR PL'!$P$5,'CP RESUMO'!Q58,"")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RESUMO'!R16</f>
        <v/>
      </c>
      <c r="N19" s="132">
        <f>MAX(0,M19-M18)</f>
        <v/>
      </c>
      <c r="O19" s="131">
        <f>IF(B19&lt;='VALOR POR PL'!$P$5,'CP RESUMO'!R58,"")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RESUMO'!S16</f>
        <v/>
      </c>
      <c r="N20" s="132">
        <f>MAX(0,M20-M19)</f>
        <v/>
      </c>
      <c r="O20" s="131">
        <f>IF(B20&lt;='VALOR POR PL'!$P$5,'CP RESUMO'!S58,"")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RESUMO'!T16</f>
        <v/>
      </c>
      <c r="N21" s="132">
        <f>MAX(0,M21-M20)</f>
        <v/>
      </c>
      <c r="O21" s="131">
        <f>IF(B21&lt;='VALOR POR PL'!$P$5,'CP RESUMO'!T58,"")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RESUMO'!U16</f>
        <v/>
      </c>
      <c r="N22" s="132">
        <f>MAX(0,M22-M21)</f>
        <v/>
      </c>
      <c r="O22" s="131">
        <f>IF(B22&lt;='VALOR POR PL'!$P$5,'CP RESUMO'!U58,"")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RESUMO'!V16</f>
        <v/>
      </c>
      <c r="N23" s="132">
        <f>MAX(0,M23-M22)</f>
        <v/>
      </c>
      <c r="O23" s="131">
        <f>IF(B23&lt;='VALOR POR PL'!$P$5,'CP RESUMO'!V58,"")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RESUMO'!W16</f>
        <v/>
      </c>
      <c r="N24" s="132">
        <f>MAX(0,M24-M23)</f>
        <v/>
      </c>
      <c r="O24" s="131">
        <f>IF(B24&lt;='VALOR POR PL'!$P$5,'CP RESUMO'!W58,"")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RESUMO'!X16</f>
        <v/>
      </c>
      <c r="N25" s="132">
        <f>MAX(0,M25-M24)</f>
        <v/>
      </c>
      <c r="O25" s="131">
        <f>IF(B25&lt;='VALOR POR PL'!$P$5,'CP RESUMO'!X58,"")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RESUMO'!Y16</f>
        <v/>
      </c>
      <c r="N26" s="132">
        <f>MAX(0,M26-M25)</f>
        <v/>
      </c>
      <c r="O26" s="131">
        <f>IF(B26&lt;='VALOR POR PL'!$P$5,'CP RESUMO'!Y58,"")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RESUMO'!Z16</f>
        <v/>
      </c>
      <c r="N27" s="132">
        <f>MAX(0,M27-M26)</f>
        <v/>
      </c>
      <c r="O27" s="131">
        <f>IF(B27&lt;='VALOR POR PL'!$P$5,'CP RESUMO'!Z58,"")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RESUMO'!AA16</f>
        <v/>
      </c>
      <c r="N28" s="132">
        <f>MAX(0,M28-M27)</f>
        <v/>
      </c>
      <c r="O28" s="131">
        <f>IF(B28&lt;='VALOR POR PL'!$P$5,'CP RESUMO'!AA58,"")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RESUMO'!AB16</f>
        <v/>
      </c>
      <c r="N29" s="132">
        <f>MAX(0,M29-M28)</f>
        <v/>
      </c>
      <c r="O29" s="131">
        <f>IF(B29&lt;='VALOR POR PL'!$P$5,'CP RESUMO'!AB58,"")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RESUMO'!AC16</f>
        <v/>
      </c>
      <c r="N30" s="132">
        <f>MAX(0,M30-M29)</f>
        <v/>
      </c>
      <c r="O30" s="131">
        <f>IF(B30&lt;='VALOR POR PL'!$P$5,'CP RESUMO'!AC58,"")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RESUMO'!AD16</f>
        <v/>
      </c>
      <c r="N31" s="132">
        <f>MAX(0,M31-M30)</f>
        <v/>
      </c>
      <c r="O31" s="131">
        <f>IF(B31&lt;='VALOR POR PL'!$P$5,'CP RESUMO'!AD58,"")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RESUMO'!AE16</f>
        <v/>
      </c>
      <c r="N32" s="132">
        <f>MAX(0,M32-M31)</f>
        <v/>
      </c>
      <c r="O32" s="131">
        <f>IF(B32&lt;='VALOR POR PL'!$P$5,'CP RESUMO'!AE58,"")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RESUMO'!AF16</f>
        <v/>
      </c>
      <c r="N33" s="132">
        <f>MAX(0,M33-M32)</f>
        <v/>
      </c>
      <c r="O33" s="131">
        <f>IF(B33&lt;='VALOR POR PL'!$P$5,'CP RESUMO'!AF58,"")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RESUMO'!AG16</f>
        <v/>
      </c>
      <c r="N34" s="132">
        <f>MAX(0,M34-M33)</f>
        <v/>
      </c>
      <c r="O34" s="131">
        <f>IF(B34&lt;='VALOR POR PL'!$P$5,'CP RESUMO'!AG58,"")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RESUMO'!AH16</f>
        <v/>
      </c>
      <c r="N35" s="132">
        <f>MAX(0,M35-M34)</f>
        <v/>
      </c>
      <c r="O35" s="131">
        <f>IF(B35&lt;='VALOR POR PL'!$P$5,'CP RESUMO'!AH58,"")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RESUMO'!AI16</f>
        <v/>
      </c>
      <c r="N36" s="132">
        <f>MAX(0,M36-M35)</f>
        <v/>
      </c>
      <c r="O36" s="131">
        <f>IF(B36&lt;='VALOR POR PL'!$P$5,'CP RESUMO'!AI58,"")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RESUMO'!AJ16</f>
        <v/>
      </c>
      <c r="N37" s="132">
        <f>MAX(0,M37-M36)</f>
        <v/>
      </c>
      <c r="O37" s="131">
        <f>IF(B37&lt;='VALOR POR PL'!$P$5,'CP RESUMO'!AJ58,"")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/>
      <c r="L38" s="49">
        <f>C38/IF(B38&lt;='VALOR POR PL'!$P$5,IFERROR(INDEX('"INCC-FGV"'!$B$2:$B$800,MATCH(B38,'"INCC-FGV"'!$A$2:$A$800,0)),$K$2),$K$2)</f>
        <v/>
      </c>
      <c r="M38" s="131">
        <f>'CP RESUMO'!AK16</f>
        <v/>
      </c>
      <c r="N38" s="132">
        <f>MAX(0,M38-M37)</f>
        <v/>
      </c>
      <c r="O38" s="131">
        <f>IF(B38&lt;='VALOR POR PL'!$P$5,'CP RESUMO'!AK58,"")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RESUMO'!AL16</f>
        <v/>
      </c>
      <c r="N39" s="132">
        <f>MAX(0,M39-M38)</f>
        <v/>
      </c>
      <c r="O39" s="131">
        <f>IF(B39&lt;='VALOR POR PL'!$P$5,'CP RESUMO'!AL58,"")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RESUMO'!AM16</f>
        <v/>
      </c>
      <c r="N40" s="132">
        <f>MAX(0,M40-M39)</f>
        <v/>
      </c>
      <c r="O40" s="131">
        <f>IF(B40&lt;='VALOR POR PL'!$P$5,'CP RESUMO'!AM58,"")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54839.8</v>
      </c>
      <c r="L41" s="49">
        <f>C41/IF(B41&lt;='VALOR POR PL'!$P$5,IFERROR(INDEX('"INCC-FGV"'!$B$2:$B$800,MATCH(B41,'"INCC-FGV"'!$A$2:$A$800,0)),$K$2),$K$2)</f>
        <v/>
      </c>
      <c r="M41" s="131">
        <f>'CP RESUMO'!AN16</f>
        <v/>
      </c>
      <c r="N41" s="132">
        <f>MAX(0,M41-M40)</f>
        <v/>
      </c>
      <c r="O41" s="131">
        <f>IF(B41&lt;='VALOR POR PL'!$P$5,'CP RESUMO'!AN58,"")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RESUMO'!AO16</f>
        <v/>
      </c>
      <c r="N42" s="132">
        <f>MAX(0,M42-M41)</f>
        <v/>
      </c>
      <c r="O42" s="131">
        <f>IF(B42&lt;='VALOR POR PL'!$P$5,'CP RESUMO'!AO58,"")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RESUMO'!AP16</f>
        <v/>
      </c>
      <c r="N43" s="132">
        <f>MAX(0,M43-M42)</f>
        <v/>
      </c>
      <c r="O43" s="131">
        <f>IF(B43&lt;='VALOR POR PL'!$P$5,'CP RESUMO'!AP58,"")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RESUMO'!AQ16</f>
        <v/>
      </c>
      <c r="N44" s="132">
        <f>MAX(0,M44-M43)</f>
        <v/>
      </c>
      <c r="O44" s="131">
        <f>IF(B44&lt;='VALOR POR PL'!$P$5,'CP RESUMO'!AQ58,"")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RESUMO'!AR16</f>
        <v/>
      </c>
      <c r="N45" s="132">
        <f>MAX(0,M45-M44)</f>
        <v/>
      </c>
      <c r="O45" s="131">
        <f>IF(B45&lt;='VALOR POR PL'!$P$5,'CP RESUMO'!AR58,"")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RESUMO'!AS16</f>
        <v/>
      </c>
      <c r="N46" s="132">
        <f>MAX(0,M46-M45)</f>
        <v/>
      </c>
      <c r="O46" s="131">
        <f>IF(B46&lt;='VALOR POR PL'!$P$5,'CP RESUMO'!AS58,"")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RESUMO'!AT16</f>
        <v/>
      </c>
      <c r="N47" s="132">
        <f>MAX(0,M47-M46)</f>
        <v/>
      </c>
      <c r="O47" s="131">
        <f>IF(B47&lt;='VALOR POR PL'!$P$5,'CP RESUMO'!AT58,"")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RESUMO'!AU16</f>
        <v/>
      </c>
      <c r="N48" s="132">
        <f>MAX(0,M48-M47)</f>
        <v/>
      </c>
      <c r="O48" s="131">
        <f>IF(B48&lt;='VALOR POR PL'!$P$5,'CP RESUMO'!AU58,"")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RESUMO'!AV16</f>
        <v/>
      </c>
      <c r="N49" s="132">
        <f>MAX(0,M49-M48)</f>
        <v/>
      </c>
      <c r="O49" s="131">
        <f>IF(B49&lt;='VALOR POR PL'!$P$5,'CP RESUMO'!AV58,"")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RESUMO'!AW16</f>
        <v/>
      </c>
      <c r="N50" s="132">
        <f>MAX(0,M50-M49)</f>
        <v/>
      </c>
      <c r="O50" s="131">
        <f>IF(B50&lt;='VALOR POR PL'!$P$5,'CP RESUMO'!AW58,"")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RESUMO'!AX16</f>
        <v/>
      </c>
      <c r="N51" s="132">
        <f>MAX(0,M51-M50)</f>
        <v/>
      </c>
      <c r="O51" s="131">
        <f>IF(B51&lt;='VALOR POR PL'!$P$5,'CP RESUMO'!AX58,"")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RESUMO'!AY16</f>
        <v/>
      </c>
      <c r="N52" s="132">
        <f>MAX(0,M52-M51)</f>
        <v/>
      </c>
      <c r="O52" s="131">
        <f>IF(B52&lt;='VALOR POR PL'!$P$5,'CP RESUMO'!AY58,"")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RESUMO'!AZ16</f>
        <v/>
      </c>
      <c r="N53" s="132">
        <f>MAX(0,M53-M52)</f>
        <v/>
      </c>
      <c r="O53" s="131">
        <f>IF(B53&lt;='VALOR POR PL'!$P$5,'CP RESUMO'!AZ58,"")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RESUMO'!BA16</f>
        <v/>
      </c>
      <c r="N54" s="132">
        <f>MAX(0,M54-M53)</f>
        <v/>
      </c>
      <c r="O54" s="131">
        <f>IF(B54&lt;='VALOR POR PL'!$P$5,'CP RESUMO'!BA58,"")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RESUMO'!BB16</f>
        <v/>
      </c>
      <c r="N55" s="132">
        <f>MAX(0,M55-M54)</f>
        <v/>
      </c>
      <c r="O55" s="131">
        <f>IF(B55&lt;='VALOR POR PL'!$P$5,'CP RESUMO'!BB58,"")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RESUMO'!BC16</f>
        <v/>
      </c>
      <c r="N56" s="132">
        <f>MAX(0,M56-M55)</f>
        <v/>
      </c>
      <c r="O56" s="131">
        <f>IF(B56&lt;='VALOR POR PL'!$P$5,'CP RESUMO'!BC58,"")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RESUMO'!BD16</f>
        <v/>
      </c>
      <c r="N57" s="132">
        <f>MAX(0,M57-M56)</f>
        <v/>
      </c>
      <c r="O57" s="131">
        <f>IF(B57&lt;='VALOR POR PL'!$P$5,'CP RESUMO'!BD58,"")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RESUMO'!BE16</f>
        <v/>
      </c>
      <c r="N58" s="132">
        <f>MAX(0,M58-M57)</f>
        <v/>
      </c>
      <c r="O58" s="131">
        <f>IF(B58&lt;='VALOR POR PL'!$P$5,'CP RESUMO'!BE58,"")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RESUMO'!BF16</f>
        <v/>
      </c>
      <c r="N59" s="132">
        <f>MAX(0,M59-M58)</f>
        <v/>
      </c>
      <c r="O59" s="131">
        <f>IF(B59&lt;='VALOR POR PL'!$P$5,'CP RESUMO'!BF58,"")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RESUMO'!BG16</f>
        <v/>
      </c>
      <c r="N60" s="132">
        <f>MAX(0,M60-M59)</f>
        <v/>
      </c>
      <c r="O60" s="131">
        <f>IF(B60&lt;='VALOR POR PL'!$P$5,'CP RESUMO'!BG58,"")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RESUMO'!BH16</f>
        <v/>
      </c>
      <c r="N61" s="132">
        <f>MAX(0,M61-M60)</f>
        <v/>
      </c>
      <c r="O61" s="131">
        <f>IF(B61&lt;='VALOR POR PL'!$P$5,'CP RESUMO'!BH58,"")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RESUMO'!BI16</f>
        <v/>
      </c>
      <c r="N62" s="132">
        <f>MAX(0,M62-M61)</f>
        <v/>
      </c>
      <c r="O62" s="131">
        <f>IF(B62&lt;='VALOR POR PL'!$P$5,'CP RESUMO'!BI58,"")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RESUMO'!BJ16</f>
        <v/>
      </c>
      <c r="N63" s="132">
        <f>MAX(0,M63-M62)</f>
        <v/>
      </c>
      <c r="O63" s="131">
        <f>IF(B63&lt;='VALOR POR PL'!$P$5,'CP RESUMO'!BJ58,"")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RESUMO'!BK16</f>
        <v/>
      </c>
      <c r="N64" s="132">
        <f>MAX(0,M64-M63)</f>
        <v/>
      </c>
      <c r="O64" s="131">
        <f>IF(B64&lt;='VALOR POR PL'!$P$5,'CP RESUMO'!BK58,"")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RESUMO'!BL16</f>
        <v/>
      </c>
      <c r="N65" s="132">
        <f>MAX(0,M65-M64)</f>
        <v/>
      </c>
      <c r="O65" s="131">
        <f>IF(B65&lt;='VALOR POR PL'!$P$5,'CP RESUMO'!BL58,"")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RESUMO'!BM16</f>
        <v/>
      </c>
      <c r="N66" s="132">
        <f>MAX(0,M66-M65)</f>
        <v/>
      </c>
      <c r="O66" s="131">
        <f>IF(B66&lt;='VALOR POR PL'!$P$5,'CP RESUMO'!BM58,"")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RESUMO'!BN16</f>
        <v/>
      </c>
      <c r="N67" s="132">
        <f>MAX(0,M67-M66)</f>
        <v/>
      </c>
      <c r="O67" s="131">
        <f>IF(B67&lt;='VALOR POR PL'!$P$5,'CP RESUMO'!BN58,"")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RESUMO'!BO16</f>
        <v/>
      </c>
      <c r="N68" s="132">
        <f>MAX(0,M68-M67)</f>
        <v/>
      </c>
      <c r="O68" s="131">
        <f>IF(B68&lt;='VALOR POR PL'!$P$5,'CP RESUMO'!BO58,"")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RESUMO'!BP16</f>
        <v/>
      </c>
      <c r="N69" s="132">
        <f>MAX(0,M69-M68)</f>
        <v/>
      </c>
      <c r="O69" s="131">
        <f>IF(B69&lt;='VALOR POR PL'!$P$5,'CP RESUMO'!BP58,"")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RESUMO'!BQ16</f>
        <v/>
      </c>
      <c r="N70" s="132">
        <f>MAX(0,M70-M69)</f>
        <v/>
      </c>
      <c r="O70" s="131">
        <f>IF(B70&lt;='VALOR POR PL'!$P$5,'CP RESUMO'!BQ58,"")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RESUMO'!BR16</f>
        <v/>
      </c>
      <c r="N71" s="132">
        <f>MAX(0,M71-M70)</f>
        <v/>
      </c>
      <c r="O71" s="131">
        <f>IF(B71&lt;='VALOR POR PL'!$P$5,'CP RESUMO'!BR58,"")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RESUMO'!BS16</f>
        <v/>
      </c>
      <c r="N72" s="132">
        <f>MAX(0,M72-M71)</f>
        <v/>
      </c>
      <c r="O72" s="131">
        <f>IF(B72&lt;='VALOR POR PL'!$P$5,'CP RESUMO'!BS58,"")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RESUMO'!BT16</f>
        <v/>
      </c>
      <c r="N73" s="132">
        <f>MAX(0,M73-M72)</f>
        <v/>
      </c>
      <c r="O73" s="131">
        <f>IF(B73&lt;='VALOR POR PL'!$P$5,'CP RESUMO'!BT58,"")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RESUMO'!BU16</f>
        <v/>
      </c>
      <c r="N74" s="132">
        <f>MAX(0,M74-M73)</f>
        <v/>
      </c>
      <c r="O74" s="131">
        <f>IF(B74&lt;='VALOR POR PL'!$P$5,'CP RESUMO'!BU58,"")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RESUMO'!BV16</f>
        <v/>
      </c>
      <c r="N75" s="132">
        <f>MAX(0,M75-M74)</f>
        <v/>
      </c>
      <c r="O75" s="131">
        <f>IF(B75&lt;='VALOR POR PL'!$P$5,'CP RESUMO'!BV58,"")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RESUMO'!BW16</f>
        <v/>
      </c>
      <c r="N76" s="132">
        <f>MAX(0,M76-M75)</f>
        <v/>
      </c>
      <c r="O76" s="131">
        <f>IF(B76&lt;='VALOR POR PL'!$P$5,'CP RESUMO'!BW58,"")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HISTORICOS'!D17)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PL'!F23</f>
        <v/>
      </c>
      <c r="K5" s="60">
        <f>'VALOR POR PL'!G23</f>
        <v/>
      </c>
      <c r="L5" s="60">
        <f>'DADOS HISTORICOS'!$BZ$17</f>
        <v/>
      </c>
      <c r="M5" s="131">
        <f>'CP RESUMO'!D17</f>
        <v/>
      </c>
      <c r="N5" s="132" t="n">
        <v>0</v>
      </c>
      <c r="O5" s="131">
        <f>IF(B5&lt;='VALOR POR PL'!$P$5,'CP RESUMO'!D59,"")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HISTORICOS'!E17)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PL'!H23</f>
        <v/>
      </c>
      <c r="L6" s="49">
        <f>C6/IF(B6&lt;='VALOR POR PL'!$P$5,IFERROR(INDEX('"INCC-FGV"'!$B$2:$B$800,MATCH(B6,'"INCC-FGV"'!$A$2:$A$800,0)),$K$2),$K$2)</f>
        <v/>
      </c>
      <c r="M6" s="131">
        <f>'CP RESUMO'!E17</f>
        <v/>
      </c>
      <c r="N6" s="132">
        <f>MAX(0,M6-M5)</f>
        <v/>
      </c>
      <c r="O6" s="131">
        <f>IF(B6&lt;='VALOR POR PL'!$P$5,'CP RESUMO'!E59,"")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HISTORICOS'!F17)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RESUMO'!F17</f>
        <v/>
      </c>
      <c r="N7" s="132">
        <f>MAX(0,M7-M6)</f>
        <v/>
      </c>
      <c r="O7" s="131">
        <f>IF(B7&lt;='VALOR POR PL'!$P$5,'CP RESUMO'!F59,"")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HISTORICOS'!G17)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RESUMO'!G17</f>
        <v/>
      </c>
      <c r="N8" s="132">
        <f>MAX(0,M8-M7)</f>
        <v/>
      </c>
      <c r="O8" s="131">
        <f>IF(B8&lt;='VALOR POR PL'!$P$5,'CP RESUMO'!G59,"")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HISTORICOS'!H17)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RESUMO'!H17</f>
        <v/>
      </c>
      <c r="N9" s="132">
        <f>MAX(0,M9-M8)</f>
        <v/>
      </c>
      <c r="O9" s="131">
        <f>IF(B9&lt;='VALOR POR PL'!$P$5,'CP RESUMO'!H59,"")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RESUMO'!I17</f>
        <v/>
      </c>
      <c r="N10" s="132">
        <f>MAX(0,M10-M9)</f>
        <v/>
      </c>
      <c r="O10" s="131">
        <f>IF(B10&lt;='VALOR POR PL'!$P$5,'CP RESUMO'!I59,"")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RESUMO'!J17</f>
        <v/>
      </c>
      <c r="N11" s="132">
        <f>MAX(0,M11-M10)</f>
        <v/>
      </c>
      <c r="O11" s="131">
        <f>IF(B11&lt;='VALOR POR PL'!$P$5,'CP RESUMO'!J59,"")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RESUMO'!K17</f>
        <v/>
      </c>
      <c r="N12" s="132">
        <f>MAX(0,M12-M11)</f>
        <v/>
      </c>
      <c r="O12" s="131">
        <f>IF(B12&lt;='VALOR POR PL'!$P$5,'CP RESUMO'!K59,"")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PL'!I23</f>
        <v/>
      </c>
      <c r="L13" s="49">
        <f>C13/IF(B13&lt;='VALOR POR PL'!$P$5,IFERROR(INDEX('"INCC-FGV"'!$B$2:$B$800,MATCH(B13,'"INCC-FGV"'!$A$2:$A$800,0)),$K$2),$K$2)</f>
        <v/>
      </c>
      <c r="M13" s="131">
        <f>'CP RESUMO'!L17</f>
        <v/>
      </c>
      <c r="N13" s="132">
        <f>MAX(0,M13-M12)</f>
        <v/>
      </c>
      <c r="O13" s="131">
        <f>IF(B13&lt;='VALOR POR PL'!$P$5,'CP RESUMO'!L59,"")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RESUMO'!$D$59:$BW$59,MATCH('VALOR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RESUMO'!M17</f>
        <v/>
      </c>
      <c r="N14" s="132">
        <f>MAX(0,M14-M13)</f>
        <v/>
      </c>
      <c r="O14" s="131">
        <f>IF(B14&lt;='VALOR POR PL'!$P$5,'CP RESUMO'!M59,"")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RESUMO'!N17</f>
        <v/>
      </c>
      <c r="N15" s="132">
        <f>MAX(0,M15-M14)</f>
        <v/>
      </c>
      <c r="O15" s="131">
        <f>IF(B15&lt;='VALOR POR PL'!$P$5,'CP RESUMO'!N59,"")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RESUMO'!O17</f>
        <v/>
      </c>
      <c r="N16" s="132">
        <f>MAX(0,M16-M15)</f>
        <v/>
      </c>
      <c r="O16" s="131">
        <f>IF(B16&lt;='VALOR POR PL'!$P$5,'CP RESUMO'!O59,"")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RESUMO'!P17</f>
        <v/>
      </c>
      <c r="N17" s="132">
        <f>MAX(0,M17-M16)</f>
        <v/>
      </c>
      <c r="O17" s="131">
        <f>IF(B17&lt;='VALOR POR PL'!$P$5,'CP RESUMO'!P59,"")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RESUMO'!Q17</f>
        <v/>
      </c>
      <c r="N18" s="132">
        <f>MAX(0,M18-M17)</f>
        <v/>
      </c>
      <c r="O18" s="131">
        <f>IF(B18&lt;='VALOR POR PL'!$P$5,'CP RESUMO'!Q59,"")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RESUMO'!R17</f>
        <v/>
      </c>
      <c r="N19" s="132">
        <f>MAX(0,M19-M18)</f>
        <v/>
      </c>
      <c r="O19" s="131">
        <f>IF(B19&lt;='VALOR POR PL'!$P$5,'CP RESUMO'!R59,"")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RESUMO'!S17</f>
        <v/>
      </c>
      <c r="N20" s="132">
        <f>MAX(0,M20-M19)</f>
        <v/>
      </c>
      <c r="O20" s="131">
        <f>IF(B20&lt;='VALOR POR PL'!$P$5,'CP RESUMO'!S59,"")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RESUMO'!T17</f>
        <v/>
      </c>
      <c r="N21" s="132">
        <f>MAX(0,M21-M20)</f>
        <v/>
      </c>
      <c r="O21" s="131">
        <f>IF(B21&lt;='VALOR POR PL'!$P$5,'CP RESUMO'!T59,"")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RESUMO'!U17</f>
        <v/>
      </c>
      <c r="N22" s="132">
        <f>MAX(0,M22-M21)</f>
        <v/>
      </c>
      <c r="O22" s="131">
        <f>IF(B22&lt;='VALOR POR PL'!$P$5,'CP RESUMO'!U59,"")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RESUMO'!V17</f>
        <v/>
      </c>
      <c r="N23" s="132">
        <f>MAX(0,M23-M22)</f>
        <v/>
      </c>
      <c r="O23" s="131">
        <f>IF(B23&lt;='VALOR POR PL'!$P$5,'CP RESUMO'!V59,"")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RESUMO'!W17</f>
        <v/>
      </c>
      <c r="N24" s="132">
        <f>MAX(0,M24-M23)</f>
        <v/>
      </c>
      <c r="O24" s="131">
        <f>IF(B24&lt;='VALOR POR PL'!$P$5,'CP RESUMO'!W59,"")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RESUMO'!X17</f>
        <v/>
      </c>
      <c r="N25" s="132">
        <f>MAX(0,M25-M24)</f>
        <v/>
      </c>
      <c r="O25" s="131">
        <f>IF(B25&lt;='VALOR POR PL'!$P$5,'CP RESUMO'!X59,"")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RESUMO'!Y17</f>
        <v/>
      </c>
      <c r="N26" s="132">
        <f>MAX(0,M26-M25)</f>
        <v/>
      </c>
      <c r="O26" s="131">
        <f>IF(B26&lt;='VALOR POR PL'!$P$5,'CP RESUMO'!Y59,"")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RESUMO'!Z17</f>
        <v/>
      </c>
      <c r="N27" s="132">
        <f>MAX(0,M27-M26)</f>
        <v/>
      </c>
      <c r="O27" s="131">
        <f>IF(B27&lt;='VALOR POR PL'!$P$5,'CP RESUMO'!Z59,"")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RESUMO'!AA17</f>
        <v/>
      </c>
      <c r="N28" s="132">
        <f>MAX(0,M28-M27)</f>
        <v/>
      </c>
      <c r="O28" s="131">
        <f>IF(B28&lt;='VALOR POR PL'!$P$5,'CP RESUMO'!AA59,"")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35587.31</v>
      </c>
      <c r="L29" s="49">
        <f>C29/IF(B29&lt;='VALOR POR PL'!$P$5,IFERROR(INDEX('"INCC-FGV"'!$B$2:$B$800,MATCH(B29,'"INCC-FGV"'!$A$2:$A$800,0)),$K$2),$K$2)</f>
        <v/>
      </c>
      <c r="M29" s="131">
        <f>'CP RESUMO'!AB17</f>
        <v/>
      </c>
      <c r="N29" s="132">
        <f>MAX(0,M29-M28)</f>
        <v/>
      </c>
      <c r="O29" s="131">
        <f>IF(B29&lt;='VALOR POR PL'!$P$5,'CP RESUMO'!AB59,"")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RESUMO'!AC17</f>
        <v/>
      </c>
      <c r="N30" s="132">
        <f>MAX(0,M30-M29)</f>
        <v/>
      </c>
      <c r="O30" s="131">
        <f>IF(B30&lt;='VALOR POR PL'!$P$5,'CP RESUMO'!AC59,"")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RESUMO'!AD17</f>
        <v/>
      </c>
      <c r="N31" s="132">
        <f>MAX(0,M31-M30)</f>
        <v/>
      </c>
      <c r="O31" s="131">
        <f>IF(B31&lt;='VALOR POR PL'!$P$5,'CP RESUMO'!AD59,"")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RESUMO'!AE17</f>
        <v/>
      </c>
      <c r="N32" s="132">
        <f>MAX(0,M32-M31)</f>
        <v/>
      </c>
      <c r="O32" s="131">
        <f>IF(B32&lt;='VALOR POR PL'!$P$5,'CP RESUMO'!AE59,"")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RESUMO'!AF17</f>
        <v/>
      </c>
      <c r="N33" s="132">
        <f>MAX(0,M33-M32)</f>
        <v/>
      </c>
      <c r="O33" s="131">
        <f>IF(B33&lt;='VALOR POR PL'!$P$5,'CP RESUMO'!AF59,"")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RESUMO'!AG17</f>
        <v/>
      </c>
      <c r="N34" s="132">
        <f>MAX(0,M34-M33)</f>
        <v/>
      </c>
      <c r="O34" s="131">
        <f>IF(B34&lt;='VALOR POR PL'!$P$5,'CP RESUMO'!AG59,"")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RESUMO'!AH17</f>
        <v/>
      </c>
      <c r="N35" s="132">
        <f>MAX(0,M35-M34)</f>
        <v/>
      </c>
      <c r="O35" s="131">
        <f>IF(B35&lt;='VALOR POR PL'!$P$5,'CP RESUMO'!AH59,"")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RESUMO'!AI17</f>
        <v/>
      </c>
      <c r="N36" s="132">
        <f>MAX(0,M36-M35)</f>
        <v/>
      </c>
      <c r="O36" s="131">
        <f>IF(B36&lt;='VALOR POR PL'!$P$5,'CP RESUMO'!AI59,"")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RESUMO'!AJ17</f>
        <v/>
      </c>
      <c r="N37" s="132">
        <f>MAX(0,M37-M36)</f>
        <v/>
      </c>
      <c r="O37" s="131">
        <f>IF(B37&lt;='VALOR POR PL'!$P$5,'CP RESUMO'!AJ59,"")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/>
      <c r="L38" s="49">
        <f>C38/IF(B38&lt;='VALOR POR PL'!$P$5,IFERROR(INDEX('"INCC-FGV"'!$B$2:$B$800,MATCH(B38,'"INCC-FGV"'!$A$2:$A$800,0)),$K$2),$K$2)</f>
        <v/>
      </c>
      <c r="M38" s="131">
        <f>'CP RESUMO'!AK17</f>
        <v/>
      </c>
      <c r="N38" s="132">
        <f>MAX(0,M38-M37)</f>
        <v/>
      </c>
      <c r="O38" s="131">
        <f>IF(B38&lt;='VALOR POR PL'!$P$5,'CP RESUMO'!AK59,"")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RESUMO'!AL17</f>
        <v/>
      </c>
      <c r="N39" s="132">
        <f>MAX(0,M39-M38)</f>
        <v/>
      </c>
      <c r="O39" s="131">
        <f>IF(B39&lt;='VALOR POR PL'!$P$5,'CP RESUMO'!AL59,"")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RESUMO'!AM17</f>
        <v/>
      </c>
      <c r="N40" s="132">
        <f>MAX(0,M40-M39)</f>
        <v/>
      </c>
      <c r="O40" s="131">
        <f>IF(B40&lt;='VALOR POR PL'!$P$5,'CP RESUMO'!AM59,"")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RESUMO'!AN17</f>
        <v/>
      </c>
      <c r="N41" s="132">
        <f>MAX(0,M41-M40)</f>
        <v/>
      </c>
      <c r="O41" s="131">
        <f>IF(B41&lt;='VALOR POR PL'!$P$5,'CP RESUMO'!AN59,"")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RESUMO'!AO17</f>
        <v/>
      </c>
      <c r="N42" s="132">
        <f>MAX(0,M42-M41)</f>
        <v/>
      </c>
      <c r="O42" s="131">
        <f>IF(B42&lt;='VALOR POR PL'!$P$5,'CP RESUMO'!AO59,"")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RESUMO'!AP17</f>
        <v/>
      </c>
      <c r="N43" s="132">
        <f>MAX(0,M43-M42)</f>
        <v/>
      </c>
      <c r="O43" s="131">
        <f>IF(B43&lt;='VALOR POR PL'!$P$5,'CP RESUMO'!AP59,"")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RESUMO'!AQ17</f>
        <v/>
      </c>
      <c r="N44" s="132">
        <f>MAX(0,M44-M43)</f>
        <v/>
      </c>
      <c r="O44" s="131">
        <f>IF(B44&lt;='VALOR POR PL'!$P$5,'CP RESUMO'!AQ59,"")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RESUMO'!AR17</f>
        <v/>
      </c>
      <c r="N45" s="132">
        <f>MAX(0,M45-M44)</f>
        <v/>
      </c>
      <c r="O45" s="131">
        <f>IF(B45&lt;='VALOR POR PL'!$P$5,'CP RESUMO'!AR59,"")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RESUMO'!AS17</f>
        <v/>
      </c>
      <c r="N46" s="132">
        <f>MAX(0,M46-M45)</f>
        <v/>
      </c>
      <c r="O46" s="131">
        <f>IF(B46&lt;='VALOR POR PL'!$P$5,'CP RESUMO'!AS59,"")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RESUMO'!AT17</f>
        <v/>
      </c>
      <c r="N47" s="132">
        <f>MAX(0,M47-M46)</f>
        <v/>
      </c>
      <c r="O47" s="131">
        <f>IF(B47&lt;='VALOR POR PL'!$P$5,'CP RESUMO'!AT59,"")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RESUMO'!AU17</f>
        <v/>
      </c>
      <c r="N48" s="132">
        <f>MAX(0,M48-M47)</f>
        <v/>
      </c>
      <c r="O48" s="131">
        <f>IF(B48&lt;='VALOR POR PL'!$P$5,'CP RESUMO'!AU59,"")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RESUMO'!AV17</f>
        <v/>
      </c>
      <c r="N49" s="132">
        <f>MAX(0,M49-M48)</f>
        <v/>
      </c>
      <c r="O49" s="131">
        <f>IF(B49&lt;='VALOR POR PL'!$P$5,'CP RESUMO'!AV59,"")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RESUMO'!AW17</f>
        <v/>
      </c>
      <c r="N50" s="132">
        <f>MAX(0,M50-M49)</f>
        <v/>
      </c>
      <c r="O50" s="131">
        <f>IF(B50&lt;='VALOR POR PL'!$P$5,'CP RESUMO'!AW59,"")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RESUMO'!AX17</f>
        <v/>
      </c>
      <c r="N51" s="132">
        <f>MAX(0,M51-M50)</f>
        <v/>
      </c>
      <c r="O51" s="131">
        <f>IF(B51&lt;='VALOR POR PL'!$P$5,'CP RESUMO'!AX59,"")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RESUMO'!AY17</f>
        <v/>
      </c>
      <c r="N52" s="132">
        <f>MAX(0,M52-M51)</f>
        <v/>
      </c>
      <c r="O52" s="131">
        <f>IF(B52&lt;='VALOR POR PL'!$P$5,'CP RESUMO'!AY59,"")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RESUMO'!AZ17</f>
        <v/>
      </c>
      <c r="N53" s="132">
        <f>MAX(0,M53-M52)</f>
        <v/>
      </c>
      <c r="O53" s="131">
        <f>IF(B53&lt;='VALOR POR PL'!$P$5,'CP RESUMO'!AZ59,"")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RESUMO'!BA17</f>
        <v/>
      </c>
      <c r="N54" s="132">
        <f>MAX(0,M54-M53)</f>
        <v/>
      </c>
      <c r="O54" s="131">
        <f>IF(B54&lt;='VALOR POR PL'!$P$5,'CP RESUMO'!BA59,"")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RESUMO'!BB17</f>
        <v/>
      </c>
      <c r="N55" s="132">
        <f>MAX(0,M55-M54)</f>
        <v/>
      </c>
      <c r="O55" s="131">
        <f>IF(B55&lt;='VALOR POR PL'!$P$5,'CP RESUMO'!BB59,"")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RESUMO'!BC17</f>
        <v/>
      </c>
      <c r="N56" s="132">
        <f>MAX(0,M56-M55)</f>
        <v/>
      </c>
      <c r="O56" s="131">
        <f>IF(B56&lt;='VALOR POR PL'!$P$5,'CP RESUMO'!BC59,"")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RESUMO'!BD17</f>
        <v/>
      </c>
      <c r="N57" s="132">
        <f>MAX(0,M57-M56)</f>
        <v/>
      </c>
      <c r="O57" s="131">
        <f>IF(B57&lt;='VALOR POR PL'!$P$5,'CP RESUMO'!BD59,"")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RESUMO'!BE17</f>
        <v/>
      </c>
      <c r="N58" s="132">
        <f>MAX(0,M58-M57)</f>
        <v/>
      </c>
      <c r="O58" s="131">
        <f>IF(B58&lt;='VALOR POR PL'!$P$5,'CP RESUMO'!BE59,"")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RESUMO'!BF17</f>
        <v/>
      </c>
      <c r="N59" s="132">
        <f>MAX(0,M59-M58)</f>
        <v/>
      </c>
      <c r="O59" s="131">
        <f>IF(B59&lt;='VALOR POR PL'!$P$5,'CP RESUMO'!BF59,"")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RESUMO'!BG17</f>
        <v/>
      </c>
      <c r="N60" s="132">
        <f>MAX(0,M60-M59)</f>
        <v/>
      </c>
      <c r="O60" s="131">
        <f>IF(B60&lt;='VALOR POR PL'!$P$5,'CP RESUMO'!BG59,"")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RESUMO'!BH17</f>
        <v/>
      </c>
      <c r="N61" s="132">
        <f>MAX(0,M61-M60)</f>
        <v/>
      </c>
      <c r="O61" s="131">
        <f>IF(B61&lt;='VALOR POR PL'!$P$5,'CP RESUMO'!BH59,"")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RESUMO'!BI17</f>
        <v/>
      </c>
      <c r="N62" s="132">
        <f>MAX(0,M62-M61)</f>
        <v/>
      </c>
      <c r="O62" s="131">
        <f>IF(B62&lt;='VALOR POR PL'!$P$5,'CP RESUMO'!BI59,"")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RESUMO'!BJ17</f>
        <v/>
      </c>
      <c r="N63" s="132">
        <f>MAX(0,M63-M62)</f>
        <v/>
      </c>
      <c r="O63" s="131">
        <f>IF(B63&lt;='VALOR POR PL'!$P$5,'CP RESUMO'!BJ59,"")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RESUMO'!BK17</f>
        <v/>
      </c>
      <c r="N64" s="132">
        <f>MAX(0,M64-M63)</f>
        <v/>
      </c>
      <c r="O64" s="131">
        <f>IF(B64&lt;='VALOR POR PL'!$P$5,'CP RESUMO'!BK59,"")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RESUMO'!BL17</f>
        <v/>
      </c>
      <c r="N65" s="132">
        <f>MAX(0,M65-M64)</f>
        <v/>
      </c>
      <c r="O65" s="131">
        <f>IF(B65&lt;='VALOR POR PL'!$P$5,'CP RESUMO'!BL59,"")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RESUMO'!BM17</f>
        <v/>
      </c>
      <c r="N66" s="132">
        <f>MAX(0,M66-M65)</f>
        <v/>
      </c>
      <c r="O66" s="131">
        <f>IF(B66&lt;='VALOR POR PL'!$P$5,'CP RESUMO'!BM59,"")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RESUMO'!BN17</f>
        <v/>
      </c>
      <c r="N67" s="132">
        <f>MAX(0,M67-M66)</f>
        <v/>
      </c>
      <c r="O67" s="131">
        <f>IF(B67&lt;='VALOR POR PL'!$P$5,'CP RESUMO'!BN59,"")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RESUMO'!BO17</f>
        <v/>
      </c>
      <c r="N68" s="132">
        <f>MAX(0,M68-M67)</f>
        <v/>
      </c>
      <c r="O68" s="131">
        <f>IF(B68&lt;='VALOR POR PL'!$P$5,'CP RESUMO'!BO59,"")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RESUMO'!BP17</f>
        <v/>
      </c>
      <c r="N69" s="132">
        <f>MAX(0,M69-M68)</f>
        <v/>
      </c>
      <c r="O69" s="131">
        <f>IF(B69&lt;='VALOR POR PL'!$P$5,'CP RESUMO'!BP59,"")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RESUMO'!BQ17</f>
        <v/>
      </c>
      <c r="N70" s="132">
        <f>MAX(0,M70-M69)</f>
        <v/>
      </c>
      <c r="O70" s="131">
        <f>IF(B70&lt;='VALOR POR PL'!$P$5,'CP RESUMO'!BQ59,"")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RESUMO'!BR17</f>
        <v/>
      </c>
      <c r="N71" s="132">
        <f>MAX(0,M71-M70)</f>
        <v/>
      </c>
      <c r="O71" s="131">
        <f>IF(B71&lt;='VALOR POR PL'!$P$5,'CP RESUMO'!BR59,"")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RESUMO'!BS17</f>
        <v/>
      </c>
      <c r="N72" s="132">
        <f>MAX(0,M72-M71)</f>
        <v/>
      </c>
      <c r="O72" s="131">
        <f>IF(B72&lt;='VALOR POR PL'!$P$5,'CP RESUMO'!BS59,"")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RESUMO'!BT17</f>
        <v/>
      </c>
      <c r="N73" s="132">
        <f>MAX(0,M73-M72)</f>
        <v/>
      </c>
      <c r="O73" s="131">
        <f>IF(B73&lt;='VALOR POR PL'!$P$5,'CP RESUMO'!BT59,"")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RESUMO'!BU17</f>
        <v/>
      </c>
      <c r="N74" s="132">
        <f>MAX(0,M74-M73)</f>
        <v/>
      </c>
      <c r="O74" s="131">
        <f>IF(B74&lt;='VALOR POR PL'!$P$5,'CP RESUMO'!BU59,"")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RESUMO'!BV17</f>
        <v/>
      </c>
      <c r="N75" s="132">
        <f>MAX(0,M75-M74)</f>
        <v/>
      </c>
      <c r="O75" s="131">
        <f>IF(B75&lt;='VALOR POR PL'!$P$5,'CP RESUMO'!BV59,"")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RESUMO'!BW17</f>
        <v/>
      </c>
      <c r="N76" s="132">
        <f>MAX(0,M76-M75)</f>
        <v/>
      </c>
      <c r="O76" s="131">
        <f>IF(B76&lt;='VALOR POR PL'!$P$5,'CP RESUMO'!BW59,"")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HISTORICOS'!D18)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PL'!F24</f>
        <v/>
      </c>
      <c r="K5" s="60">
        <f>'VALOR POR PL'!G24</f>
        <v/>
      </c>
      <c r="L5" s="60">
        <f>'DADOS HISTORICOS'!$BZ$18</f>
        <v/>
      </c>
      <c r="M5" s="131">
        <f>'CP RESUMO'!D18</f>
        <v/>
      </c>
      <c r="N5" s="132" t="n">
        <v>0</v>
      </c>
      <c r="O5" s="131">
        <f>IF(B5&lt;='VALOR POR PL'!$P$5,'CP RESUMO'!D60,"")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HISTORICOS'!E18)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PL'!H24</f>
        <v/>
      </c>
      <c r="L6" s="49">
        <f>C6/IF(B6&lt;='VALOR POR PL'!$P$5,IFERROR(INDEX('"INCC-FGV"'!$B$2:$B$800,MATCH(B6,'"INCC-FGV"'!$A$2:$A$800,0)),$K$2),$K$2)</f>
        <v/>
      </c>
      <c r="M6" s="131">
        <f>'CP RESUMO'!E18</f>
        <v/>
      </c>
      <c r="N6" s="132">
        <f>MAX(0,M6-M5)</f>
        <v/>
      </c>
      <c r="O6" s="131">
        <f>IF(B6&lt;='VALOR POR PL'!$P$5,'CP RESUMO'!E60,"")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HISTORICOS'!F18)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RESUMO'!F18</f>
        <v/>
      </c>
      <c r="N7" s="132">
        <f>MAX(0,M7-M6)</f>
        <v/>
      </c>
      <c r="O7" s="131">
        <f>IF(B7&lt;='VALOR POR PL'!$P$5,'CP RESUMO'!F60,"")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HISTORICOS'!G18)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RESUMO'!G18</f>
        <v/>
      </c>
      <c r="N8" s="132">
        <f>MAX(0,M8-M7)</f>
        <v/>
      </c>
      <c r="O8" s="131">
        <f>IF(B8&lt;='VALOR POR PL'!$P$5,'CP RESUMO'!G60,"")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HISTORICOS'!H18)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RESUMO'!H18</f>
        <v/>
      </c>
      <c r="N9" s="132">
        <f>MAX(0,M9-M8)</f>
        <v/>
      </c>
      <c r="O9" s="131">
        <f>IF(B9&lt;='VALOR POR PL'!$P$5,'CP RESUMO'!H60,"")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RESUMO'!I18</f>
        <v/>
      </c>
      <c r="N10" s="132">
        <f>MAX(0,M10-M9)</f>
        <v/>
      </c>
      <c r="O10" s="131">
        <f>IF(B10&lt;='VALOR POR PL'!$P$5,'CP RESUMO'!I60,"")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RESUMO'!J18</f>
        <v/>
      </c>
      <c r="N11" s="132">
        <f>MAX(0,M11-M10)</f>
        <v/>
      </c>
      <c r="O11" s="131">
        <f>IF(B11&lt;='VALOR POR PL'!$P$5,'CP RESUMO'!J60,"")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RESUMO'!K18</f>
        <v/>
      </c>
      <c r="N12" s="132">
        <f>MAX(0,M12-M11)</f>
        <v/>
      </c>
      <c r="O12" s="131">
        <f>IF(B12&lt;='VALOR POR PL'!$P$5,'CP RESUMO'!K60,"")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PL'!I24</f>
        <v/>
      </c>
      <c r="L13" s="49">
        <f>C13/IF(B13&lt;='VALOR POR PL'!$P$5,IFERROR(INDEX('"INCC-FGV"'!$B$2:$B$800,MATCH(B13,'"INCC-FGV"'!$A$2:$A$800,0)),$K$2),$K$2)</f>
        <v/>
      </c>
      <c r="M13" s="131">
        <f>'CP RESUMO'!L18</f>
        <v/>
      </c>
      <c r="N13" s="132">
        <f>MAX(0,M13-M12)</f>
        <v/>
      </c>
      <c r="O13" s="131">
        <f>IF(B13&lt;='VALOR POR PL'!$P$5,'CP RESUMO'!L60,"")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RESUMO'!$D$60:$BW$60,MATCH('VALOR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RESUMO'!M18</f>
        <v/>
      </c>
      <c r="N14" s="132">
        <f>MAX(0,M14-M13)</f>
        <v/>
      </c>
      <c r="O14" s="131">
        <f>IF(B14&lt;='VALOR POR PL'!$P$5,'CP RESUMO'!M60,"")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RESUMO'!N18</f>
        <v/>
      </c>
      <c r="N15" s="132">
        <f>MAX(0,M15-M14)</f>
        <v/>
      </c>
      <c r="O15" s="131">
        <f>IF(B15&lt;='VALOR POR PL'!$P$5,'CP RESUMO'!N60,"")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RESUMO'!O18</f>
        <v/>
      </c>
      <c r="N16" s="132">
        <f>MAX(0,M16-M15)</f>
        <v/>
      </c>
      <c r="O16" s="131">
        <f>IF(B16&lt;='VALOR POR PL'!$P$5,'CP RESUMO'!O60,"")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RESUMO'!P18</f>
        <v/>
      </c>
      <c r="N17" s="132">
        <f>MAX(0,M17-M16)</f>
        <v/>
      </c>
      <c r="O17" s="131">
        <f>IF(B17&lt;='VALOR POR PL'!$P$5,'CP RESUMO'!P60,"")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RESUMO'!Q18</f>
        <v/>
      </c>
      <c r="N18" s="132">
        <f>MAX(0,M18-M17)</f>
        <v/>
      </c>
      <c r="O18" s="131">
        <f>IF(B18&lt;='VALOR POR PL'!$P$5,'CP RESUMO'!Q60,"")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RESUMO'!R18</f>
        <v/>
      </c>
      <c r="N19" s="132">
        <f>MAX(0,M19-M18)</f>
        <v/>
      </c>
      <c r="O19" s="131">
        <f>IF(B19&lt;='VALOR POR PL'!$P$5,'CP RESUMO'!R60,"")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RESUMO'!S18</f>
        <v/>
      </c>
      <c r="N20" s="132">
        <f>MAX(0,M20-M19)</f>
        <v/>
      </c>
      <c r="O20" s="131">
        <f>IF(B20&lt;='VALOR POR PL'!$P$5,'CP RESUMO'!S60,"")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RESUMO'!T18</f>
        <v/>
      </c>
      <c r="N21" s="132">
        <f>MAX(0,M21-M20)</f>
        <v/>
      </c>
      <c r="O21" s="131">
        <f>IF(B21&lt;='VALOR POR PL'!$P$5,'CP RESUMO'!T60,"")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RESUMO'!U18</f>
        <v/>
      </c>
      <c r="N22" s="132">
        <f>MAX(0,M22-M21)</f>
        <v/>
      </c>
      <c r="O22" s="131">
        <f>IF(B22&lt;='VALOR POR PL'!$P$5,'CP RESUMO'!U60,"")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RESUMO'!V18</f>
        <v/>
      </c>
      <c r="N23" s="132">
        <f>MAX(0,M23-M22)</f>
        <v/>
      </c>
      <c r="O23" s="131">
        <f>IF(B23&lt;='VALOR POR PL'!$P$5,'CP RESUMO'!V60,"")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RESUMO'!W18</f>
        <v/>
      </c>
      <c r="N24" s="132">
        <f>MAX(0,M24-M23)</f>
        <v/>
      </c>
      <c r="O24" s="131">
        <f>IF(B24&lt;='VALOR POR PL'!$P$5,'CP RESUMO'!W60,"")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RESUMO'!X18</f>
        <v/>
      </c>
      <c r="N25" s="132">
        <f>MAX(0,M25-M24)</f>
        <v/>
      </c>
      <c r="O25" s="131">
        <f>IF(B25&lt;='VALOR POR PL'!$P$5,'CP RESUMO'!X60,"")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RESUMO'!Y18</f>
        <v/>
      </c>
      <c r="N26" s="132">
        <f>MAX(0,M26-M25)</f>
        <v/>
      </c>
      <c r="O26" s="131">
        <f>IF(B26&lt;='VALOR POR PL'!$P$5,'CP RESUMO'!Y60,"")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RESUMO'!Z18</f>
        <v/>
      </c>
      <c r="N27" s="132">
        <f>MAX(0,M27-M26)</f>
        <v/>
      </c>
      <c r="O27" s="131">
        <f>IF(B27&lt;='VALOR POR PL'!$P$5,'CP RESUMO'!Z60,"")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RESUMO'!AA18</f>
        <v/>
      </c>
      <c r="N28" s="132">
        <f>MAX(0,M28-M27)</f>
        <v/>
      </c>
      <c r="O28" s="131">
        <f>IF(B28&lt;='VALOR POR PL'!$P$5,'CP RESUMO'!AA60,"")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RESUMO'!AB18</f>
        <v/>
      </c>
      <c r="N29" s="132">
        <f>MAX(0,M29-M28)</f>
        <v/>
      </c>
      <c r="O29" s="131">
        <f>IF(B29&lt;='VALOR POR PL'!$P$5,'CP RESUMO'!AB60,"")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118482.2</v>
      </c>
      <c r="L30" s="49">
        <f>C30/IF(B30&lt;='VALOR POR PL'!$P$5,IFERROR(INDEX('"INCC-FGV"'!$B$2:$B$800,MATCH(B30,'"INCC-FGV"'!$A$2:$A$800,0)),$K$2),$K$2)</f>
        <v/>
      </c>
      <c r="M30" s="131">
        <f>'CP RESUMO'!AC18</f>
        <v/>
      </c>
      <c r="N30" s="132">
        <f>MAX(0,M30-M29)</f>
        <v/>
      </c>
      <c r="O30" s="131">
        <f>IF(B30&lt;='VALOR POR PL'!$P$5,'CP RESUMO'!AC60,"")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79190.02</v>
      </c>
      <c r="L31" s="49">
        <f>C31/IF(B31&lt;='VALOR POR PL'!$P$5,IFERROR(INDEX('"INCC-FGV"'!$B$2:$B$800,MATCH(B31,'"INCC-FGV"'!$A$2:$A$800,0)),$K$2),$K$2)</f>
        <v/>
      </c>
      <c r="M31" s="131">
        <f>'CP RESUMO'!AD18</f>
        <v/>
      </c>
      <c r="N31" s="132">
        <f>MAX(0,M31-M30)</f>
        <v/>
      </c>
      <c r="O31" s="131">
        <f>IF(B31&lt;='VALOR POR PL'!$P$5,'CP RESUMO'!AD60,"")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RESUMO'!AE18</f>
        <v/>
      </c>
      <c r="N32" s="132">
        <f>MAX(0,M32-M31)</f>
        <v/>
      </c>
      <c r="O32" s="131">
        <f>IF(B32&lt;='VALOR POR PL'!$P$5,'CP RESUMO'!AE60,"")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RESUMO'!AF18</f>
        <v/>
      </c>
      <c r="N33" s="132">
        <f>MAX(0,M33-M32)</f>
        <v/>
      </c>
      <c r="O33" s="131">
        <f>IF(B33&lt;='VALOR POR PL'!$P$5,'CP RESUMO'!AF60,"")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RESUMO'!AG18</f>
        <v/>
      </c>
      <c r="N34" s="132">
        <f>MAX(0,M34-M33)</f>
        <v/>
      </c>
      <c r="O34" s="131">
        <f>IF(B34&lt;='VALOR POR PL'!$P$5,'CP RESUMO'!AG60,"")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RESUMO'!AH18</f>
        <v/>
      </c>
      <c r="N35" s="132">
        <f>MAX(0,M35-M34)</f>
        <v/>
      </c>
      <c r="O35" s="131">
        <f>IF(B35&lt;='VALOR POR PL'!$P$5,'CP RESUMO'!AH60,"")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RESUMO'!AI18</f>
        <v/>
      </c>
      <c r="N36" s="132">
        <f>MAX(0,M36-M35)</f>
        <v/>
      </c>
      <c r="O36" s="131">
        <f>IF(B36&lt;='VALOR POR PL'!$P$5,'CP RESUMO'!AI60,"")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RESUMO'!AJ18</f>
        <v/>
      </c>
      <c r="N37" s="132">
        <f>MAX(0,M37-M36)</f>
        <v/>
      </c>
      <c r="O37" s="131">
        <f>IF(B37&lt;='VALOR POR PL'!$P$5,'CP RESUMO'!AJ60,"")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/>
      <c r="L38" s="49">
        <f>C38/IF(B38&lt;='VALOR POR PL'!$P$5,IFERROR(INDEX('"INCC-FGV"'!$B$2:$B$800,MATCH(B38,'"INCC-FGV"'!$A$2:$A$800,0)),$K$2),$K$2)</f>
        <v/>
      </c>
      <c r="M38" s="131">
        <f>'CP RESUMO'!AK18</f>
        <v/>
      </c>
      <c r="N38" s="132">
        <f>MAX(0,M38-M37)</f>
        <v/>
      </c>
      <c r="O38" s="131">
        <f>IF(B38&lt;='VALOR POR PL'!$P$5,'CP RESUMO'!AK60,"")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RESUMO'!AL18</f>
        <v/>
      </c>
      <c r="N39" s="132">
        <f>MAX(0,M39-M38)</f>
        <v/>
      </c>
      <c r="O39" s="131">
        <f>IF(B39&lt;='VALOR POR PL'!$P$5,'CP RESUMO'!AL60,"")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RESUMO'!AM18</f>
        <v/>
      </c>
      <c r="N40" s="132">
        <f>MAX(0,M40-M39)</f>
        <v/>
      </c>
      <c r="O40" s="131">
        <f>IF(B40&lt;='VALOR POR PL'!$P$5,'CP RESUMO'!AM60,"")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RESUMO'!AN18</f>
        <v/>
      </c>
      <c r="N41" s="132">
        <f>MAX(0,M41-M40)</f>
        <v/>
      </c>
      <c r="O41" s="131">
        <f>IF(B41&lt;='VALOR POR PL'!$P$5,'CP RESUMO'!AN60,"")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RESUMO'!AO18</f>
        <v/>
      </c>
      <c r="N42" s="132">
        <f>MAX(0,M42-M41)</f>
        <v/>
      </c>
      <c r="O42" s="131">
        <f>IF(B42&lt;='VALOR POR PL'!$P$5,'CP RESUMO'!AO60,"")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RESUMO'!AP18</f>
        <v/>
      </c>
      <c r="N43" s="132">
        <f>MAX(0,M43-M42)</f>
        <v/>
      </c>
      <c r="O43" s="131">
        <f>IF(B43&lt;='VALOR POR PL'!$P$5,'CP RESUMO'!AP60,"")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RESUMO'!AQ18</f>
        <v/>
      </c>
      <c r="N44" s="132">
        <f>MAX(0,M44-M43)</f>
        <v/>
      </c>
      <c r="O44" s="131">
        <f>IF(B44&lt;='VALOR POR PL'!$P$5,'CP RESUMO'!AQ60,"")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RESUMO'!AR18</f>
        <v/>
      </c>
      <c r="N45" s="132">
        <f>MAX(0,M45-M44)</f>
        <v/>
      </c>
      <c r="O45" s="131">
        <f>IF(B45&lt;='VALOR POR PL'!$P$5,'CP RESUMO'!AR60,"")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RESUMO'!AS18</f>
        <v/>
      </c>
      <c r="N46" s="132">
        <f>MAX(0,M46-M45)</f>
        <v/>
      </c>
      <c r="O46" s="131">
        <f>IF(B46&lt;='VALOR POR PL'!$P$5,'CP RESUMO'!AS60,"")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RESUMO'!AT18</f>
        <v/>
      </c>
      <c r="N47" s="132">
        <f>MAX(0,M47-M46)</f>
        <v/>
      </c>
      <c r="O47" s="131">
        <f>IF(B47&lt;='VALOR POR PL'!$P$5,'CP RESUMO'!AT60,"")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RESUMO'!AU18</f>
        <v/>
      </c>
      <c r="N48" s="132">
        <f>MAX(0,M48-M47)</f>
        <v/>
      </c>
      <c r="O48" s="131">
        <f>IF(B48&lt;='VALOR POR PL'!$P$5,'CP RESUMO'!AU60,"")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RESUMO'!AV18</f>
        <v/>
      </c>
      <c r="N49" s="132">
        <f>MAX(0,M49-M48)</f>
        <v/>
      </c>
      <c r="O49" s="131">
        <f>IF(B49&lt;='VALOR POR PL'!$P$5,'CP RESUMO'!AV60,"")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RESUMO'!AW18</f>
        <v/>
      </c>
      <c r="N50" s="132">
        <f>MAX(0,M50-M49)</f>
        <v/>
      </c>
      <c r="O50" s="131">
        <f>IF(B50&lt;='VALOR POR PL'!$P$5,'CP RESUMO'!AW60,"")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RESUMO'!AX18</f>
        <v/>
      </c>
      <c r="N51" s="132">
        <f>MAX(0,M51-M50)</f>
        <v/>
      </c>
      <c r="O51" s="131">
        <f>IF(B51&lt;='VALOR POR PL'!$P$5,'CP RESUMO'!AX60,"")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RESUMO'!AY18</f>
        <v/>
      </c>
      <c r="N52" s="132">
        <f>MAX(0,M52-M51)</f>
        <v/>
      </c>
      <c r="O52" s="131">
        <f>IF(B52&lt;='VALOR POR PL'!$P$5,'CP RESUMO'!AY60,"")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RESUMO'!AZ18</f>
        <v/>
      </c>
      <c r="N53" s="132">
        <f>MAX(0,M53-M52)</f>
        <v/>
      </c>
      <c r="O53" s="131">
        <f>IF(B53&lt;='VALOR POR PL'!$P$5,'CP RESUMO'!AZ60,"")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RESUMO'!BA18</f>
        <v/>
      </c>
      <c r="N54" s="132">
        <f>MAX(0,M54-M53)</f>
        <v/>
      </c>
      <c r="O54" s="131">
        <f>IF(B54&lt;='VALOR POR PL'!$P$5,'CP RESUMO'!BA60,"")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RESUMO'!BB18</f>
        <v/>
      </c>
      <c r="N55" s="132">
        <f>MAX(0,M55-M54)</f>
        <v/>
      </c>
      <c r="O55" s="131">
        <f>IF(B55&lt;='VALOR POR PL'!$P$5,'CP RESUMO'!BB60,"")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RESUMO'!BC18</f>
        <v/>
      </c>
      <c r="N56" s="132">
        <f>MAX(0,M56-M55)</f>
        <v/>
      </c>
      <c r="O56" s="131">
        <f>IF(B56&lt;='VALOR POR PL'!$P$5,'CP RESUMO'!BC60,"")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RESUMO'!BD18</f>
        <v/>
      </c>
      <c r="N57" s="132">
        <f>MAX(0,M57-M56)</f>
        <v/>
      </c>
      <c r="O57" s="131">
        <f>IF(B57&lt;='VALOR POR PL'!$P$5,'CP RESUMO'!BD60,"")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RESUMO'!BE18</f>
        <v/>
      </c>
      <c r="N58" s="132">
        <f>MAX(0,M58-M57)</f>
        <v/>
      </c>
      <c r="O58" s="131">
        <f>IF(B58&lt;='VALOR POR PL'!$P$5,'CP RESUMO'!BE60,"")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RESUMO'!BF18</f>
        <v/>
      </c>
      <c r="N59" s="132">
        <f>MAX(0,M59-M58)</f>
        <v/>
      </c>
      <c r="O59" s="131">
        <f>IF(B59&lt;='VALOR POR PL'!$P$5,'CP RESUMO'!BF60,"")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RESUMO'!BG18</f>
        <v/>
      </c>
      <c r="N60" s="132">
        <f>MAX(0,M60-M59)</f>
        <v/>
      </c>
      <c r="O60" s="131">
        <f>IF(B60&lt;='VALOR POR PL'!$P$5,'CP RESUMO'!BG60,"")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RESUMO'!BH18</f>
        <v/>
      </c>
      <c r="N61" s="132">
        <f>MAX(0,M61-M60)</f>
        <v/>
      </c>
      <c r="O61" s="131">
        <f>IF(B61&lt;='VALOR POR PL'!$P$5,'CP RESUMO'!BH60,"")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RESUMO'!BI18</f>
        <v/>
      </c>
      <c r="N62" s="132">
        <f>MAX(0,M62-M61)</f>
        <v/>
      </c>
      <c r="O62" s="131">
        <f>IF(B62&lt;='VALOR POR PL'!$P$5,'CP RESUMO'!BI60,"")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RESUMO'!BJ18</f>
        <v/>
      </c>
      <c r="N63" s="132">
        <f>MAX(0,M63-M62)</f>
        <v/>
      </c>
      <c r="O63" s="131">
        <f>IF(B63&lt;='VALOR POR PL'!$P$5,'CP RESUMO'!BJ60,"")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RESUMO'!BK18</f>
        <v/>
      </c>
      <c r="N64" s="132">
        <f>MAX(0,M64-M63)</f>
        <v/>
      </c>
      <c r="O64" s="131">
        <f>IF(B64&lt;='VALOR POR PL'!$P$5,'CP RESUMO'!BK60,"")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RESUMO'!BL18</f>
        <v/>
      </c>
      <c r="N65" s="132">
        <f>MAX(0,M65-M64)</f>
        <v/>
      </c>
      <c r="O65" s="131">
        <f>IF(B65&lt;='VALOR POR PL'!$P$5,'CP RESUMO'!BL60,"")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RESUMO'!BM18</f>
        <v/>
      </c>
      <c r="N66" s="132">
        <f>MAX(0,M66-M65)</f>
        <v/>
      </c>
      <c r="O66" s="131">
        <f>IF(B66&lt;='VALOR POR PL'!$P$5,'CP RESUMO'!BM60,"")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RESUMO'!BN18</f>
        <v/>
      </c>
      <c r="N67" s="132">
        <f>MAX(0,M67-M66)</f>
        <v/>
      </c>
      <c r="O67" s="131">
        <f>IF(B67&lt;='VALOR POR PL'!$P$5,'CP RESUMO'!BN60,"")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RESUMO'!BO18</f>
        <v/>
      </c>
      <c r="N68" s="132">
        <f>MAX(0,M68-M67)</f>
        <v/>
      </c>
      <c r="O68" s="131">
        <f>IF(B68&lt;='VALOR POR PL'!$P$5,'CP RESUMO'!BO60,"")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RESUMO'!BP18</f>
        <v/>
      </c>
      <c r="N69" s="132">
        <f>MAX(0,M69-M68)</f>
        <v/>
      </c>
      <c r="O69" s="131">
        <f>IF(B69&lt;='VALOR POR PL'!$P$5,'CP RESUMO'!BP60,"")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RESUMO'!BQ18</f>
        <v/>
      </c>
      <c r="N70" s="132">
        <f>MAX(0,M70-M69)</f>
        <v/>
      </c>
      <c r="O70" s="131">
        <f>IF(B70&lt;='VALOR POR PL'!$P$5,'CP RESUMO'!BQ60,"")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RESUMO'!BR18</f>
        <v/>
      </c>
      <c r="N71" s="132">
        <f>MAX(0,M71-M70)</f>
        <v/>
      </c>
      <c r="O71" s="131">
        <f>IF(B71&lt;='VALOR POR PL'!$P$5,'CP RESUMO'!BR60,"")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RESUMO'!BS18</f>
        <v/>
      </c>
      <c r="N72" s="132">
        <f>MAX(0,M72-M71)</f>
        <v/>
      </c>
      <c r="O72" s="131">
        <f>IF(B72&lt;='VALOR POR PL'!$P$5,'CP RESUMO'!BS60,"")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RESUMO'!BT18</f>
        <v/>
      </c>
      <c r="N73" s="132">
        <f>MAX(0,M73-M72)</f>
        <v/>
      </c>
      <c r="O73" s="131">
        <f>IF(B73&lt;='VALOR POR PL'!$P$5,'CP RESUMO'!BT60,"")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RESUMO'!BU18</f>
        <v/>
      </c>
      <c r="N74" s="132">
        <f>MAX(0,M74-M73)</f>
        <v/>
      </c>
      <c r="O74" s="131">
        <f>IF(B74&lt;='VALOR POR PL'!$P$5,'CP RESUMO'!BU60,"")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RESUMO'!BV18</f>
        <v/>
      </c>
      <c r="N75" s="132">
        <f>MAX(0,M75-M74)</f>
        <v/>
      </c>
      <c r="O75" s="131">
        <f>IF(B75&lt;='VALOR POR PL'!$P$5,'CP RESUMO'!BV60,"")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RESUMO'!BW18</f>
        <v/>
      </c>
      <c r="N76" s="132">
        <f>MAX(0,M76-M75)</f>
        <v/>
      </c>
      <c r="O76" s="131">
        <f>IF(B76&lt;='VALOR POR PL'!$P$5,'CP RESUMO'!BW60,"")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HISTORICOS'!D19)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PL'!F25</f>
        <v/>
      </c>
      <c r="K5" s="60">
        <f>'VALOR POR PL'!G25</f>
        <v/>
      </c>
      <c r="L5" s="60">
        <f>'DADOS HISTORICOS'!$BZ$19</f>
        <v/>
      </c>
      <c r="M5" s="131">
        <f>'CP RESUMO'!D19</f>
        <v/>
      </c>
      <c r="N5" s="132" t="n">
        <v>0</v>
      </c>
      <c r="O5" s="131">
        <f>IF(B5&lt;='VALOR POR PL'!$P$5,'CP RESUMO'!D61,"")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HISTORICOS'!E19)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PL'!H25</f>
        <v/>
      </c>
      <c r="L6" s="49">
        <f>C6/IF(B6&lt;='VALOR POR PL'!$P$5,IFERROR(INDEX('"INCC-FGV"'!$B$2:$B$800,MATCH(B6,'"INCC-FGV"'!$A$2:$A$800,0)),$K$2),$K$2)</f>
        <v/>
      </c>
      <c r="M6" s="131">
        <f>'CP RESUMO'!E19</f>
        <v/>
      </c>
      <c r="N6" s="132">
        <f>MAX(0,M6-M5)</f>
        <v/>
      </c>
      <c r="O6" s="131">
        <f>IF(B6&lt;='VALOR POR PL'!$P$5,'CP RESUMO'!E61,"")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HISTORICOS'!F19)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RESUMO'!F19</f>
        <v/>
      </c>
      <c r="N7" s="132">
        <f>MAX(0,M7-M6)</f>
        <v/>
      </c>
      <c r="O7" s="131">
        <f>IF(B7&lt;='VALOR POR PL'!$P$5,'CP RESUMO'!F61,"")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HISTORICOS'!G19)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RESUMO'!G19</f>
        <v/>
      </c>
      <c r="N8" s="132">
        <f>MAX(0,M8-M7)</f>
        <v/>
      </c>
      <c r="O8" s="131">
        <f>IF(B8&lt;='VALOR POR PL'!$P$5,'CP RESUMO'!G61,"")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HISTORICOS'!H19)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RESUMO'!H19</f>
        <v/>
      </c>
      <c r="N9" s="132">
        <f>MAX(0,M9-M8)</f>
        <v/>
      </c>
      <c r="O9" s="131">
        <f>IF(B9&lt;='VALOR POR PL'!$P$5,'CP RESUMO'!H61,"")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RESUMO'!I19</f>
        <v/>
      </c>
      <c r="N10" s="132">
        <f>MAX(0,M10-M9)</f>
        <v/>
      </c>
      <c r="O10" s="131">
        <f>IF(B10&lt;='VALOR POR PL'!$P$5,'CP RESUMO'!I61,"")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RESUMO'!J19</f>
        <v/>
      </c>
      <c r="N11" s="132">
        <f>MAX(0,M11-M10)</f>
        <v/>
      </c>
      <c r="O11" s="131">
        <f>IF(B11&lt;='VALOR POR PL'!$P$5,'CP RESUMO'!J61,"")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RESUMO'!K19</f>
        <v/>
      </c>
      <c r="N12" s="132">
        <f>MAX(0,M12-M11)</f>
        <v/>
      </c>
      <c r="O12" s="131">
        <f>IF(B12&lt;='VALOR POR PL'!$P$5,'CP RESUMO'!K61,"")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PL'!I25</f>
        <v/>
      </c>
      <c r="L13" s="49">
        <f>C13/IF(B13&lt;='VALOR POR PL'!$P$5,IFERROR(INDEX('"INCC-FGV"'!$B$2:$B$800,MATCH(B13,'"INCC-FGV"'!$A$2:$A$800,0)),$K$2),$K$2)</f>
        <v/>
      </c>
      <c r="M13" s="131">
        <f>'CP RESUMO'!L19</f>
        <v/>
      </c>
      <c r="N13" s="132">
        <f>MAX(0,M13-M12)</f>
        <v/>
      </c>
      <c r="O13" s="131">
        <f>IF(B13&lt;='VALOR POR PL'!$P$5,'CP RESUMO'!L61,"")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RESUMO'!$D$61:$BW$61,MATCH('VALOR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RESUMO'!M19</f>
        <v/>
      </c>
      <c r="N14" s="132">
        <f>MAX(0,M14-M13)</f>
        <v/>
      </c>
      <c r="O14" s="131">
        <f>IF(B14&lt;='VALOR POR PL'!$P$5,'CP RESUMO'!M61,"")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RESUMO'!N19</f>
        <v/>
      </c>
      <c r="N15" s="132">
        <f>MAX(0,M15-M14)</f>
        <v/>
      </c>
      <c r="O15" s="131">
        <f>IF(B15&lt;='VALOR POR PL'!$P$5,'CP RESUMO'!N61,"")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RESUMO'!O19</f>
        <v/>
      </c>
      <c r="N16" s="132">
        <f>MAX(0,M16-M15)</f>
        <v/>
      </c>
      <c r="O16" s="131">
        <f>IF(B16&lt;='VALOR POR PL'!$P$5,'CP RESUMO'!O61,"")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RESUMO'!P19</f>
        <v/>
      </c>
      <c r="N17" s="132">
        <f>MAX(0,M17-M16)</f>
        <v/>
      </c>
      <c r="O17" s="131">
        <f>IF(B17&lt;='VALOR POR PL'!$P$5,'CP RESUMO'!P61,"")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RESUMO'!Q19</f>
        <v/>
      </c>
      <c r="N18" s="132">
        <f>MAX(0,M18-M17)</f>
        <v/>
      </c>
      <c r="O18" s="131">
        <f>IF(B18&lt;='VALOR POR PL'!$P$5,'CP RESUMO'!Q61,"")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RESUMO'!R19</f>
        <v/>
      </c>
      <c r="N19" s="132">
        <f>MAX(0,M19-M18)</f>
        <v/>
      </c>
      <c r="O19" s="131">
        <f>IF(B19&lt;='VALOR POR PL'!$P$5,'CP RESUMO'!R61,"")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RESUMO'!S19</f>
        <v/>
      </c>
      <c r="N20" s="132">
        <f>MAX(0,M20-M19)</f>
        <v/>
      </c>
      <c r="O20" s="131">
        <f>IF(B20&lt;='VALOR POR PL'!$P$5,'CP RESUMO'!S61,"")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RESUMO'!T19</f>
        <v/>
      </c>
      <c r="N21" s="132">
        <f>MAX(0,M21-M20)</f>
        <v/>
      </c>
      <c r="O21" s="131">
        <f>IF(B21&lt;='VALOR POR PL'!$P$5,'CP RESUMO'!T61,"")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RESUMO'!U19</f>
        <v/>
      </c>
      <c r="N22" s="132">
        <f>MAX(0,M22-M21)</f>
        <v/>
      </c>
      <c r="O22" s="131">
        <f>IF(B22&lt;='VALOR POR PL'!$P$5,'CP RESUMO'!U61,"")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RESUMO'!V19</f>
        <v/>
      </c>
      <c r="N23" s="132">
        <f>MAX(0,M23-M22)</f>
        <v/>
      </c>
      <c r="O23" s="131">
        <f>IF(B23&lt;='VALOR POR PL'!$P$5,'CP RESUMO'!V61,"")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RESUMO'!W19</f>
        <v/>
      </c>
      <c r="N24" s="132">
        <f>MAX(0,M24-M23)</f>
        <v/>
      </c>
      <c r="O24" s="131">
        <f>IF(B24&lt;='VALOR POR PL'!$P$5,'CP RESUMO'!W61,"")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RESUMO'!X19</f>
        <v/>
      </c>
      <c r="N25" s="132">
        <f>MAX(0,M25-M24)</f>
        <v/>
      </c>
      <c r="O25" s="131">
        <f>IF(B25&lt;='VALOR POR PL'!$P$5,'CP RESUMO'!X61,"")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RESUMO'!Y19</f>
        <v/>
      </c>
      <c r="N26" s="132">
        <f>MAX(0,M26-M25)</f>
        <v/>
      </c>
      <c r="O26" s="131">
        <f>IF(B26&lt;='VALOR POR PL'!$P$5,'CP RESUMO'!Y61,"")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RESUMO'!Z19</f>
        <v/>
      </c>
      <c r="N27" s="132">
        <f>MAX(0,M27-M26)</f>
        <v/>
      </c>
      <c r="O27" s="131">
        <f>IF(B27&lt;='VALOR POR PL'!$P$5,'CP RESUMO'!Z61,"")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RESUMO'!AA19</f>
        <v/>
      </c>
      <c r="N28" s="132">
        <f>MAX(0,M28-M27)</f>
        <v/>
      </c>
      <c r="O28" s="131">
        <f>IF(B28&lt;='VALOR POR PL'!$P$5,'CP RESUMO'!AA61,"")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RESUMO'!AB19</f>
        <v/>
      </c>
      <c r="N29" s="132">
        <f>MAX(0,M29-M28)</f>
        <v/>
      </c>
      <c r="O29" s="131">
        <f>IF(B29&lt;='VALOR POR PL'!$P$5,'CP RESUMO'!AB61,"")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RESUMO'!AC19</f>
        <v/>
      </c>
      <c r="N30" s="132">
        <f>MAX(0,M30-M29)</f>
        <v/>
      </c>
      <c r="O30" s="131">
        <f>IF(B30&lt;='VALOR POR PL'!$P$5,'CP RESUMO'!AC61,"")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5194.25</v>
      </c>
      <c r="L31" s="49">
        <f>C31/IF(B31&lt;='VALOR POR PL'!$P$5,IFERROR(INDEX('"INCC-FGV"'!$B$2:$B$800,MATCH(B31,'"INCC-FGV"'!$A$2:$A$800,0)),$K$2),$K$2)</f>
        <v/>
      </c>
      <c r="M31" s="131">
        <f>'CP RESUMO'!AD19</f>
        <v/>
      </c>
      <c r="N31" s="132">
        <f>MAX(0,M31-M30)</f>
        <v/>
      </c>
      <c r="O31" s="131">
        <f>IF(B31&lt;='VALOR POR PL'!$P$5,'CP RESUMO'!AD61,"")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RESUMO'!AE19</f>
        <v/>
      </c>
      <c r="N32" s="132">
        <f>MAX(0,M32-M31)</f>
        <v/>
      </c>
      <c r="O32" s="131">
        <f>IF(B32&lt;='VALOR POR PL'!$P$5,'CP RESUMO'!AE61,"")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RESUMO'!AF19</f>
        <v/>
      </c>
      <c r="N33" s="132">
        <f>MAX(0,M33-M32)</f>
        <v/>
      </c>
      <c r="O33" s="131">
        <f>IF(B33&lt;='VALOR POR PL'!$P$5,'CP RESUMO'!AF61,"")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RESUMO'!AG19</f>
        <v/>
      </c>
      <c r="N34" s="132">
        <f>MAX(0,M34-M33)</f>
        <v/>
      </c>
      <c r="O34" s="131">
        <f>IF(B34&lt;='VALOR POR PL'!$P$5,'CP RESUMO'!AG61,"")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RESUMO'!AH19</f>
        <v/>
      </c>
      <c r="N35" s="132">
        <f>MAX(0,M35-M34)</f>
        <v/>
      </c>
      <c r="O35" s="131">
        <f>IF(B35&lt;='VALOR POR PL'!$P$5,'CP RESUMO'!AH61,"")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RESUMO'!AI19</f>
        <v/>
      </c>
      <c r="N36" s="132">
        <f>MAX(0,M36-M35)</f>
        <v/>
      </c>
      <c r="O36" s="131">
        <f>IF(B36&lt;='VALOR POR PL'!$P$5,'CP RESUMO'!AI61,"")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RESUMO'!AJ19</f>
        <v/>
      </c>
      <c r="N37" s="132">
        <f>MAX(0,M37-M36)</f>
        <v/>
      </c>
      <c r="O37" s="131">
        <f>IF(B37&lt;='VALOR POR PL'!$P$5,'CP RESUMO'!AJ61,"")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/>
      <c r="L38" s="49">
        <f>C38/IF(B38&lt;='VALOR POR PL'!$P$5,IFERROR(INDEX('"INCC-FGV"'!$B$2:$B$800,MATCH(B38,'"INCC-FGV"'!$A$2:$A$800,0)),$K$2),$K$2)</f>
        <v/>
      </c>
      <c r="M38" s="131">
        <f>'CP RESUMO'!AK19</f>
        <v/>
      </c>
      <c r="N38" s="132">
        <f>MAX(0,M38-M37)</f>
        <v/>
      </c>
      <c r="O38" s="131">
        <f>IF(B38&lt;='VALOR POR PL'!$P$5,'CP RESUMO'!AK61,"")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RESUMO'!AL19</f>
        <v/>
      </c>
      <c r="N39" s="132">
        <f>MAX(0,M39-M38)</f>
        <v/>
      </c>
      <c r="O39" s="131">
        <f>IF(B39&lt;='VALOR POR PL'!$P$5,'CP RESUMO'!AL61,"")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RESUMO'!AM19</f>
        <v/>
      </c>
      <c r="N40" s="132">
        <f>MAX(0,M40-M39)</f>
        <v/>
      </c>
      <c r="O40" s="131">
        <f>IF(B40&lt;='VALOR POR PL'!$P$5,'CP RESUMO'!AM61,"")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RESUMO'!AN19</f>
        <v/>
      </c>
      <c r="N41" s="132">
        <f>MAX(0,M41-M40)</f>
        <v/>
      </c>
      <c r="O41" s="131">
        <f>IF(B41&lt;='VALOR POR PL'!$P$5,'CP RESUMO'!AN61,"")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RESUMO'!AO19</f>
        <v/>
      </c>
      <c r="N42" s="132">
        <f>MAX(0,M42-M41)</f>
        <v/>
      </c>
      <c r="O42" s="131">
        <f>IF(B42&lt;='VALOR POR PL'!$P$5,'CP RESUMO'!AO61,"")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RESUMO'!AP19</f>
        <v/>
      </c>
      <c r="N43" s="132">
        <f>MAX(0,M43-M42)</f>
        <v/>
      </c>
      <c r="O43" s="131">
        <f>IF(B43&lt;='VALOR POR PL'!$P$5,'CP RESUMO'!AP61,"")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RESUMO'!AQ19</f>
        <v/>
      </c>
      <c r="N44" s="132">
        <f>MAX(0,M44-M43)</f>
        <v/>
      </c>
      <c r="O44" s="131">
        <f>IF(B44&lt;='VALOR POR PL'!$P$5,'CP RESUMO'!AQ61,"")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RESUMO'!AR19</f>
        <v/>
      </c>
      <c r="N45" s="132">
        <f>MAX(0,M45-M44)</f>
        <v/>
      </c>
      <c r="O45" s="131">
        <f>IF(B45&lt;='VALOR POR PL'!$P$5,'CP RESUMO'!AR61,"")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RESUMO'!AS19</f>
        <v/>
      </c>
      <c r="N46" s="132">
        <f>MAX(0,M46-M45)</f>
        <v/>
      </c>
      <c r="O46" s="131">
        <f>IF(B46&lt;='VALOR POR PL'!$P$5,'CP RESUMO'!AS61,"")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RESUMO'!AT19</f>
        <v/>
      </c>
      <c r="N47" s="132">
        <f>MAX(0,M47-M46)</f>
        <v/>
      </c>
      <c r="O47" s="131">
        <f>IF(B47&lt;='VALOR POR PL'!$P$5,'CP RESUMO'!AT61,"")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RESUMO'!AU19</f>
        <v/>
      </c>
      <c r="N48" s="132">
        <f>MAX(0,M48-M47)</f>
        <v/>
      </c>
      <c r="O48" s="131">
        <f>IF(B48&lt;='VALOR POR PL'!$P$5,'CP RESUMO'!AU61,"")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RESUMO'!AV19</f>
        <v/>
      </c>
      <c r="N49" s="132">
        <f>MAX(0,M49-M48)</f>
        <v/>
      </c>
      <c r="O49" s="131">
        <f>IF(B49&lt;='VALOR POR PL'!$P$5,'CP RESUMO'!AV61,"")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RESUMO'!AW19</f>
        <v/>
      </c>
      <c r="N50" s="132">
        <f>MAX(0,M50-M49)</f>
        <v/>
      </c>
      <c r="O50" s="131">
        <f>IF(B50&lt;='VALOR POR PL'!$P$5,'CP RESUMO'!AW61,"")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RESUMO'!AX19</f>
        <v/>
      </c>
      <c r="N51" s="132">
        <f>MAX(0,M51-M50)</f>
        <v/>
      </c>
      <c r="O51" s="131">
        <f>IF(B51&lt;='VALOR POR PL'!$P$5,'CP RESUMO'!AX61,"")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RESUMO'!AY19</f>
        <v/>
      </c>
      <c r="N52" s="132">
        <f>MAX(0,M52-M51)</f>
        <v/>
      </c>
      <c r="O52" s="131">
        <f>IF(B52&lt;='VALOR POR PL'!$P$5,'CP RESUMO'!AY61,"")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RESUMO'!AZ19</f>
        <v/>
      </c>
      <c r="N53" s="132">
        <f>MAX(0,M53-M52)</f>
        <v/>
      </c>
      <c r="O53" s="131">
        <f>IF(B53&lt;='VALOR POR PL'!$P$5,'CP RESUMO'!AZ61,"")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RESUMO'!BA19</f>
        <v/>
      </c>
      <c r="N54" s="132">
        <f>MAX(0,M54-M53)</f>
        <v/>
      </c>
      <c r="O54" s="131">
        <f>IF(B54&lt;='VALOR POR PL'!$P$5,'CP RESUMO'!BA61,"")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RESUMO'!BB19</f>
        <v/>
      </c>
      <c r="N55" s="132">
        <f>MAX(0,M55-M54)</f>
        <v/>
      </c>
      <c r="O55" s="131">
        <f>IF(B55&lt;='VALOR POR PL'!$P$5,'CP RESUMO'!BB61,"")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RESUMO'!BC19</f>
        <v/>
      </c>
      <c r="N56" s="132">
        <f>MAX(0,M56-M55)</f>
        <v/>
      </c>
      <c r="O56" s="131">
        <f>IF(B56&lt;='VALOR POR PL'!$P$5,'CP RESUMO'!BC61,"")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RESUMO'!BD19</f>
        <v/>
      </c>
      <c r="N57" s="132">
        <f>MAX(0,M57-M56)</f>
        <v/>
      </c>
      <c r="O57" s="131">
        <f>IF(B57&lt;='VALOR POR PL'!$P$5,'CP RESUMO'!BD61,"")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RESUMO'!BE19</f>
        <v/>
      </c>
      <c r="N58" s="132">
        <f>MAX(0,M58-M57)</f>
        <v/>
      </c>
      <c r="O58" s="131">
        <f>IF(B58&lt;='VALOR POR PL'!$P$5,'CP RESUMO'!BE61,"")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RESUMO'!BF19</f>
        <v/>
      </c>
      <c r="N59" s="132">
        <f>MAX(0,M59-M58)</f>
        <v/>
      </c>
      <c r="O59" s="131">
        <f>IF(B59&lt;='VALOR POR PL'!$P$5,'CP RESUMO'!BF61,"")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RESUMO'!BG19</f>
        <v/>
      </c>
      <c r="N60" s="132">
        <f>MAX(0,M60-M59)</f>
        <v/>
      </c>
      <c r="O60" s="131">
        <f>IF(B60&lt;='VALOR POR PL'!$P$5,'CP RESUMO'!BG61,"")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RESUMO'!BH19</f>
        <v/>
      </c>
      <c r="N61" s="132">
        <f>MAX(0,M61-M60)</f>
        <v/>
      </c>
      <c r="O61" s="131">
        <f>IF(B61&lt;='VALOR POR PL'!$P$5,'CP RESUMO'!BH61,"")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RESUMO'!BI19</f>
        <v/>
      </c>
      <c r="N62" s="132">
        <f>MAX(0,M62-M61)</f>
        <v/>
      </c>
      <c r="O62" s="131">
        <f>IF(B62&lt;='VALOR POR PL'!$P$5,'CP RESUMO'!BI61,"")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RESUMO'!BJ19</f>
        <v/>
      </c>
      <c r="N63" s="132">
        <f>MAX(0,M63-M62)</f>
        <v/>
      </c>
      <c r="O63" s="131">
        <f>IF(B63&lt;='VALOR POR PL'!$P$5,'CP RESUMO'!BJ61,"")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RESUMO'!BK19</f>
        <v/>
      </c>
      <c r="N64" s="132">
        <f>MAX(0,M64-M63)</f>
        <v/>
      </c>
      <c r="O64" s="131">
        <f>IF(B64&lt;='VALOR POR PL'!$P$5,'CP RESUMO'!BK61,"")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RESUMO'!BL19</f>
        <v/>
      </c>
      <c r="N65" s="132">
        <f>MAX(0,M65-M64)</f>
        <v/>
      </c>
      <c r="O65" s="131">
        <f>IF(B65&lt;='VALOR POR PL'!$P$5,'CP RESUMO'!BL61,"")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RESUMO'!BM19</f>
        <v/>
      </c>
      <c r="N66" s="132">
        <f>MAX(0,M66-M65)</f>
        <v/>
      </c>
      <c r="O66" s="131">
        <f>IF(B66&lt;='VALOR POR PL'!$P$5,'CP RESUMO'!BM61,"")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RESUMO'!BN19</f>
        <v/>
      </c>
      <c r="N67" s="132">
        <f>MAX(0,M67-M66)</f>
        <v/>
      </c>
      <c r="O67" s="131">
        <f>IF(B67&lt;='VALOR POR PL'!$P$5,'CP RESUMO'!BN61,"")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RESUMO'!BO19</f>
        <v/>
      </c>
      <c r="N68" s="132">
        <f>MAX(0,M68-M67)</f>
        <v/>
      </c>
      <c r="O68" s="131">
        <f>IF(B68&lt;='VALOR POR PL'!$P$5,'CP RESUMO'!BO61,"")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RESUMO'!BP19</f>
        <v/>
      </c>
      <c r="N69" s="132">
        <f>MAX(0,M69-M68)</f>
        <v/>
      </c>
      <c r="O69" s="131">
        <f>IF(B69&lt;='VALOR POR PL'!$P$5,'CP RESUMO'!BP61,"")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RESUMO'!BQ19</f>
        <v/>
      </c>
      <c r="N70" s="132">
        <f>MAX(0,M70-M69)</f>
        <v/>
      </c>
      <c r="O70" s="131">
        <f>IF(B70&lt;='VALOR POR PL'!$P$5,'CP RESUMO'!BQ61,"")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RESUMO'!BR19</f>
        <v/>
      </c>
      <c r="N71" s="132">
        <f>MAX(0,M71-M70)</f>
        <v/>
      </c>
      <c r="O71" s="131">
        <f>IF(B71&lt;='VALOR POR PL'!$P$5,'CP RESUMO'!BR61,"")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RESUMO'!BS19</f>
        <v/>
      </c>
      <c r="N72" s="132">
        <f>MAX(0,M72-M71)</f>
        <v/>
      </c>
      <c r="O72" s="131">
        <f>IF(B72&lt;='VALOR POR PL'!$P$5,'CP RESUMO'!BS61,"")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RESUMO'!BT19</f>
        <v/>
      </c>
      <c r="N73" s="132">
        <f>MAX(0,M73-M72)</f>
        <v/>
      </c>
      <c r="O73" s="131">
        <f>IF(B73&lt;='VALOR POR PL'!$P$5,'CP RESUMO'!BT61,"")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RESUMO'!BU19</f>
        <v/>
      </c>
      <c r="N74" s="132">
        <f>MAX(0,M74-M73)</f>
        <v/>
      </c>
      <c r="O74" s="131">
        <f>IF(B74&lt;='VALOR POR PL'!$P$5,'CP RESUMO'!BU61,"")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RESUMO'!BV19</f>
        <v/>
      </c>
      <c r="N75" s="132">
        <f>MAX(0,M75-M74)</f>
        <v/>
      </c>
      <c r="O75" s="131">
        <f>IF(B75&lt;='VALOR POR PL'!$P$5,'CP RESUMO'!BV61,"")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RESUMO'!BW19</f>
        <v/>
      </c>
      <c r="N76" s="132">
        <f>MAX(0,M76-M75)</f>
        <v/>
      </c>
      <c r="O76" s="131">
        <f>IF(B76&lt;='VALOR POR PL'!$P$5,'CP RESUMO'!BW61,"")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HISTORICOS'!D20)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PL'!F26</f>
        <v/>
      </c>
      <c r="K5" s="60">
        <f>'VALOR POR PL'!G26</f>
        <v/>
      </c>
      <c r="L5" s="60">
        <f>'DADOS HISTORICOS'!$BZ$20</f>
        <v/>
      </c>
      <c r="M5" s="131">
        <f>'CP RESUMO'!D20</f>
        <v/>
      </c>
      <c r="N5" s="132" t="n">
        <v>0</v>
      </c>
      <c r="O5" s="131">
        <f>IF(B5&lt;='VALOR POR PL'!$P$5,'CP RESUMO'!D62,"")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HISTORICOS'!E20)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PL'!H26</f>
        <v/>
      </c>
      <c r="L6" s="49">
        <f>C6/IF(B6&lt;='VALOR POR PL'!$P$5,IFERROR(INDEX('"INCC-FGV"'!$B$2:$B$800,MATCH(B6,'"INCC-FGV"'!$A$2:$A$800,0)),$K$2),$K$2)</f>
        <v/>
      </c>
      <c r="M6" s="131">
        <f>'CP RESUMO'!E20</f>
        <v/>
      </c>
      <c r="N6" s="132">
        <f>MAX(0,M6-M5)</f>
        <v/>
      </c>
      <c r="O6" s="131">
        <f>IF(B6&lt;='VALOR POR PL'!$P$5,'CP RESUMO'!E62,"")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HISTORICOS'!F20)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RESUMO'!F20</f>
        <v/>
      </c>
      <c r="N7" s="132">
        <f>MAX(0,M7-M6)</f>
        <v/>
      </c>
      <c r="O7" s="131">
        <f>IF(B7&lt;='VALOR POR PL'!$P$5,'CP RESUMO'!F62,"")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HISTORICOS'!G20)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RESUMO'!G20</f>
        <v/>
      </c>
      <c r="N8" s="132">
        <f>MAX(0,M8-M7)</f>
        <v/>
      </c>
      <c r="O8" s="131">
        <f>IF(B8&lt;='VALOR POR PL'!$P$5,'CP RESUMO'!G62,"")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HISTORICOS'!H20)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RESUMO'!H20</f>
        <v/>
      </c>
      <c r="N9" s="132">
        <f>MAX(0,M9-M8)</f>
        <v/>
      </c>
      <c r="O9" s="131">
        <f>IF(B9&lt;='VALOR POR PL'!$P$5,'CP RESUMO'!H62,"")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RESUMO'!I20</f>
        <v/>
      </c>
      <c r="N10" s="132">
        <f>MAX(0,M10-M9)</f>
        <v/>
      </c>
      <c r="O10" s="131">
        <f>IF(B10&lt;='VALOR POR PL'!$P$5,'CP RESUMO'!I62,"")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RESUMO'!J20</f>
        <v/>
      </c>
      <c r="N11" s="132">
        <f>MAX(0,M11-M10)</f>
        <v/>
      </c>
      <c r="O11" s="131">
        <f>IF(B11&lt;='VALOR POR PL'!$P$5,'CP RESUMO'!J62,"")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RESUMO'!K20</f>
        <v/>
      </c>
      <c r="N12" s="132">
        <f>MAX(0,M12-M11)</f>
        <v/>
      </c>
      <c r="O12" s="131">
        <f>IF(B12&lt;='VALOR POR PL'!$P$5,'CP RESUMO'!K62,"")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PL'!I26</f>
        <v/>
      </c>
      <c r="L13" s="49">
        <f>C13/IF(B13&lt;='VALOR POR PL'!$P$5,IFERROR(INDEX('"INCC-FGV"'!$B$2:$B$800,MATCH(B13,'"INCC-FGV"'!$A$2:$A$800,0)),$K$2),$K$2)</f>
        <v/>
      </c>
      <c r="M13" s="131">
        <f>'CP RESUMO'!L20</f>
        <v/>
      </c>
      <c r="N13" s="132">
        <f>MAX(0,M13-M12)</f>
        <v/>
      </c>
      <c r="O13" s="131">
        <f>IF(B13&lt;='VALOR POR PL'!$P$5,'CP RESUMO'!L62,"")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RESUMO'!$D$62:$BW$62,MATCH('VALOR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RESUMO'!M20</f>
        <v/>
      </c>
      <c r="N14" s="132">
        <f>MAX(0,M14-M13)</f>
        <v/>
      </c>
      <c r="O14" s="131">
        <f>IF(B14&lt;='VALOR POR PL'!$P$5,'CP RESUMO'!M62,"")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1">
        <f>'CP RESUMO'!N20</f>
        <v/>
      </c>
      <c r="N15" s="132">
        <f>MAX(0,M15-M14)</f>
        <v/>
      </c>
      <c r="O15" s="131">
        <f>IF(B15&lt;='VALOR POR PL'!$P$5,'CP RESUMO'!N62,"")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RESUMO'!O20</f>
        <v/>
      </c>
      <c r="N16" s="132">
        <f>MAX(0,M16-M15)</f>
        <v/>
      </c>
      <c r="O16" s="131">
        <f>IF(B16&lt;='VALOR POR PL'!$P$5,'CP RESUMO'!O62,"")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RESUMO'!P20</f>
        <v/>
      </c>
      <c r="N17" s="132">
        <f>MAX(0,M17-M16)</f>
        <v/>
      </c>
      <c r="O17" s="131">
        <f>IF(B17&lt;='VALOR POR PL'!$P$5,'CP RESUMO'!P62,"")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RESUMO'!Q20</f>
        <v/>
      </c>
      <c r="N18" s="132">
        <f>MAX(0,M18-M17)</f>
        <v/>
      </c>
      <c r="O18" s="131">
        <f>IF(B18&lt;='VALOR POR PL'!$P$5,'CP RESUMO'!Q62,"")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RESUMO'!R20</f>
        <v/>
      </c>
      <c r="N19" s="132">
        <f>MAX(0,M19-M18)</f>
        <v/>
      </c>
      <c r="O19" s="131">
        <f>IF(B19&lt;='VALOR POR PL'!$P$5,'CP RESUMO'!R62,"")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RESUMO'!S20</f>
        <v/>
      </c>
      <c r="N20" s="132">
        <f>MAX(0,M20-M19)</f>
        <v/>
      </c>
      <c r="O20" s="131">
        <f>IF(B20&lt;='VALOR POR PL'!$P$5,'CP RESUMO'!S62,"")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RESUMO'!T20</f>
        <v/>
      </c>
      <c r="N21" s="132">
        <f>MAX(0,M21-M20)</f>
        <v/>
      </c>
      <c r="O21" s="131">
        <f>IF(B21&lt;='VALOR POR PL'!$P$5,'CP RESUMO'!T62,"")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RESUMO'!U20</f>
        <v/>
      </c>
      <c r="N22" s="132">
        <f>MAX(0,M22-M21)</f>
        <v/>
      </c>
      <c r="O22" s="131">
        <f>IF(B22&lt;='VALOR POR PL'!$P$5,'CP RESUMO'!U62,"")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RESUMO'!V20</f>
        <v/>
      </c>
      <c r="N23" s="132">
        <f>MAX(0,M23-M22)</f>
        <v/>
      </c>
      <c r="O23" s="131">
        <f>IF(B23&lt;='VALOR POR PL'!$P$5,'CP RESUMO'!V62,"")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Cenário Prevision ajustado: este PL volta para a curva digitada (simulação pedida pelo usuário).</t>
        </is>
      </c>
      <c r="L24" s="49">
        <f>C24/IF(B24&lt;='VALOR POR PL'!$P$5,IFERROR(INDEX('"INCC-FGV"'!$B$2:$B$800,MATCH(B24,'"INCC-FGV"'!$A$2:$A$800,0)),$K$2),$K$2)</f>
        <v/>
      </c>
      <c r="M24" s="131">
        <f>'CP RESUMO'!W20</f>
        <v/>
      </c>
      <c r="N24" s="132">
        <f>MAX(0,M24-M23)</f>
        <v/>
      </c>
      <c r="O24" s="131">
        <f>IF(B24&lt;='VALOR POR PL'!$P$5,'CP RESUMO'!W62,"")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RESUMO'!X20</f>
        <v/>
      </c>
      <c r="N25" s="132">
        <f>MAX(0,M25-M24)</f>
        <v/>
      </c>
      <c r="O25" s="131">
        <f>IF(B25&lt;='VALOR POR PL'!$P$5,'CP RESUMO'!X62,"")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246530.27</v>
      </c>
      <c r="L26" s="49">
        <f>C26/IF(B26&lt;='VALOR POR PL'!$P$5,IFERROR(INDEX('"INCC-FGV"'!$B$2:$B$800,MATCH(B26,'"INCC-FGV"'!$A$2:$A$800,0)),$K$2),$K$2)</f>
        <v/>
      </c>
      <c r="M26" s="131">
        <f>'CP RESUMO'!Y20</f>
        <v/>
      </c>
      <c r="N26" s="132">
        <f>MAX(0,M26-M25)</f>
        <v/>
      </c>
      <c r="O26" s="131">
        <f>IF(B26&lt;='VALOR POR PL'!$P$5,'CP RESUMO'!Y62,"")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312244.24</v>
      </c>
      <c r="L27" s="49">
        <f>C27/IF(B27&lt;='VALOR POR PL'!$P$5,IFERROR(INDEX('"INCC-FGV"'!$B$2:$B$800,MATCH(B27,'"INCC-FGV"'!$A$2:$A$800,0)),$K$2),$K$2)</f>
        <v/>
      </c>
      <c r="M27" s="131">
        <f>'CP RESUMO'!Z20</f>
        <v/>
      </c>
      <c r="N27" s="132">
        <f>MAX(0,M27-M26)</f>
        <v/>
      </c>
      <c r="O27" s="131">
        <f>IF(B27&lt;='VALOR POR PL'!$P$5,'CP RESUMO'!Z62,"")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153041.58</v>
      </c>
      <c r="L28" s="49">
        <f>C28/IF(B28&lt;='VALOR POR PL'!$P$5,IFERROR(INDEX('"INCC-FGV"'!$B$2:$B$800,MATCH(B28,'"INCC-FGV"'!$A$2:$A$800,0)),$K$2),$K$2)</f>
        <v/>
      </c>
      <c r="M28" s="131">
        <f>'CP RESUMO'!AA20</f>
        <v/>
      </c>
      <c r="N28" s="132">
        <f>MAX(0,M28-M27)</f>
        <v/>
      </c>
      <c r="O28" s="131">
        <f>IF(B28&lt;='VALOR POR PL'!$P$5,'CP RESUMO'!AA62,"")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RESUMO'!AB20</f>
        <v/>
      </c>
      <c r="N29" s="132">
        <f>MAX(0,M29-M28)</f>
        <v/>
      </c>
      <c r="O29" s="131">
        <f>IF(B29&lt;='VALOR POR PL'!$P$5,'CP RESUMO'!AB62,"")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RESUMO'!AC20</f>
        <v/>
      </c>
      <c r="N30" s="132">
        <f>MAX(0,M30-M29)</f>
        <v/>
      </c>
      <c r="O30" s="131">
        <f>IF(B30&lt;='VALOR POR PL'!$P$5,'CP RESUMO'!AC62,"")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124718.1</v>
      </c>
      <c r="L31" s="49">
        <f>C31/IF(B31&lt;='VALOR POR PL'!$P$5,IFERROR(INDEX('"INCC-FGV"'!$B$2:$B$800,MATCH(B31,'"INCC-FGV"'!$A$2:$A$800,0)),$K$2),$K$2)</f>
        <v/>
      </c>
      <c r="M31" s="131">
        <f>'CP RESUMO'!AD20</f>
        <v/>
      </c>
      <c r="N31" s="132">
        <f>MAX(0,M31-M30)</f>
        <v/>
      </c>
      <c r="O31" s="131">
        <f>IF(B31&lt;='VALOR POR PL'!$P$5,'CP RESUMO'!AD62,"")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124718.1</v>
      </c>
      <c r="L32" s="49">
        <f>C32/IF(B32&lt;='VALOR POR PL'!$P$5,IFERROR(INDEX('"INCC-FGV"'!$B$2:$B$800,MATCH(B32,'"INCC-FGV"'!$A$2:$A$800,0)),$K$2),$K$2)</f>
        <v/>
      </c>
      <c r="M32" s="131">
        <f>'CP RESUMO'!AE20</f>
        <v/>
      </c>
      <c r="N32" s="132">
        <f>MAX(0,M32-M31)</f>
        <v/>
      </c>
      <c r="O32" s="131">
        <f>IF(B32&lt;='VALOR POR PL'!$P$5,'CP RESUMO'!AE62,"")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RESUMO'!AF20</f>
        <v/>
      </c>
      <c r="N33" s="132">
        <f>MAX(0,M33-M32)</f>
        <v/>
      </c>
      <c r="O33" s="131">
        <f>IF(B33&lt;='VALOR POR PL'!$P$5,'CP RESUMO'!AF62,"")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RESUMO'!AG20</f>
        <v/>
      </c>
      <c r="N34" s="132">
        <f>MAX(0,M34-M33)</f>
        <v/>
      </c>
      <c r="O34" s="131">
        <f>IF(B34&lt;='VALOR POR PL'!$P$5,'CP RESUMO'!AG62,"")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RESUMO'!AH20</f>
        <v/>
      </c>
      <c r="N35" s="132">
        <f>MAX(0,M35-M34)</f>
        <v/>
      </c>
      <c r="O35" s="131">
        <f>IF(B35&lt;='VALOR POR PL'!$P$5,'CP RESUMO'!AH62,"")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RESUMO'!AI20</f>
        <v/>
      </c>
      <c r="N36" s="132">
        <f>MAX(0,M36-M35)</f>
        <v/>
      </c>
      <c r="O36" s="131">
        <f>IF(B36&lt;='VALOR POR PL'!$P$5,'CP RESUMO'!AI62,"")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RESUMO'!AJ20</f>
        <v/>
      </c>
      <c r="N37" s="132">
        <f>MAX(0,M37-M36)</f>
        <v/>
      </c>
      <c r="O37" s="131">
        <f>IF(B37&lt;='VALOR POR PL'!$P$5,'CP RESUMO'!AJ62,"")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/>
      <c r="L38" s="49">
        <f>C38/IF(B38&lt;='VALOR POR PL'!$P$5,IFERROR(INDEX('"INCC-FGV"'!$B$2:$B$800,MATCH(B38,'"INCC-FGV"'!$A$2:$A$800,0)),$K$2),$K$2)</f>
        <v/>
      </c>
      <c r="M38" s="131">
        <f>'CP RESUMO'!AK20</f>
        <v/>
      </c>
      <c r="N38" s="132">
        <f>MAX(0,M38-M37)</f>
        <v/>
      </c>
      <c r="O38" s="131">
        <f>IF(B38&lt;='VALOR POR PL'!$P$5,'CP RESUMO'!AK62,"")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RESUMO'!AL20</f>
        <v/>
      </c>
      <c r="N39" s="132">
        <f>MAX(0,M39-M38)</f>
        <v/>
      </c>
      <c r="O39" s="131">
        <f>IF(B39&lt;='VALOR POR PL'!$P$5,'CP RESUMO'!AL62,"")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RESUMO'!AM20</f>
        <v/>
      </c>
      <c r="N40" s="132">
        <f>MAX(0,M40-M39)</f>
        <v/>
      </c>
      <c r="O40" s="131">
        <f>IF(B40&lt;='VALOR POR PL'!$P$5,'CP RESUMO'!AM62,"")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RESUMO'!AN20</f>
        <v/>
      </c>
      <c r="N41" s="132">
        <f>MAX(0,M41-M40)</f>
        <v/>
      </c>
      <c r="O41" s="131">
        <f>IF(B41&lt;='VALOR POR PL'!$P$5,'CP RESUMO'!AN62,"")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13473.45</v>
      </c>
      <c r="L42" s="49">
        <f>C42/IF(B42&lt;='VALOR POR PL'!$P$5,IFERROR(INDEX('"INCC-FGV"'!$B$2:$B$800,MATCH(B42,'"INCC-FGV"'!$A$2:$A$800,0)),$K$2),$K$2)</f>
        <v/>
      </c>
      <c r="M42" s="131">
        <f>'CP RESUMO'!AO20</f>
        <v/>
      </c>
      <c r="N42" s="132">
        <f>MAX(0,M42-M41)</f>
        <v/>
      </c>
      <c r="O42" s="131">
        <f>IF(B42&lt;='VALOR POR PL'!$P$5,'CP RESUMO'!AO62,"")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RESUMO'!AP20</f>
        <v/>
      </c>
      <c r="N43" s="132">
        <f>MAX(0,M43-M42)</f>
        <v/>
      </c>
      <c r="O43" s="131">
        <f>IF(B43&lt;='VALOR POR PL'!$P$5,'CP RESUMO'!AP62,"")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RESUMO'!AQ20</f>
        <v/>
      </c>
      <c r="N44" s="132">
        <f>MAX(0,M44-M43)</f>
        <v/>
      </c>
      <c r="O44" s="131">
        <f>IF(B44&lt;='VALOR POR PL'!$P$5,'CP RESUMO'!AQ62,"")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RESUMO'!AR20</f>
        <v/>
      </c>
      <c r="N45" s="132">
        <f>MAX(0,M45-M44)</f>
        <v/>
      </c>
      <c r="O45" s="131">
        <f>IF(B45&lt;='VALOR POR PL'!$P$5,'CP RESUMO'!AR62,"")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RESUMO'!AS20</f>
        <v/>
      </c>
      <c r="N46" s="132">
        <f>MAX(0,M46-M45)</f>
        <v/>
      </c>
      <c r="O46" s="131">
        <f>IF(B46&lt;='VALOR POR PL'!$P$5,'CP RESUMO'!AS62,"")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RESUMO'!AT20</f>
        <v/>
      </c>
      <c r="N47" s="132">
        <f>MAX(0,M47-M46)</f>
        <v/>
      </c>
      <c r="O47" s="131">
        <f>IF(B47&lt;='VALOR POR PL'!$P$5,'CP RESUMO'!AT62,"")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RESUMO'!AU20</f>
        <v/>
      </c>
      <c r="N48" s="132">
        <f>MAX(0,M48-M47)</f>
        <v/>
      </c>
      <c r="O48" s="131">
        <f>IF(B48&lt;='VALOR POR PL'!$P$5,'CP RESUMO'!AU62,"")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RESUMO'!AV20</f>
        <v/>
      </c>
      <c r="N49" s="132">
        <f>MAX(0,M49-M48)</f>
        <v/>
      </c>
      <c r="O49" s="131">
        <f>IF(B49&lt;='VALOR POR PL'!$P$5,'CP RESUMO'!AV62,"")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RESUMO'!AW20</f>
        <v/>
      </c>
      <c r="N50" s="132">
        <f>MAX(0,M50-M49)</f>
        <v/>
      </c>
      <c r="O50" s="131">
        <f>IF(B50&lt;='VALOR POR PL'!$P$5,'CP RESUMO'!AW62,"")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RESUMO'!AX20</f>
        <v/>
      </c>
      <c r="N51" s="132">
        <f>MAX(0,M51-M50)</f>
        <v/>
      </c>
      <c r="O51" s="131">
        <f>IF(B51&lt;='VALOR POR PL'!$P$5,'CP RESUMO'!AX62,"")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RESUMO'!AY20</f>
        <v/>
      </c>
      <c r="N52" s="132">
        <f>MAX(0,M52-M51)</f>
        <v/>
      </c>
      <c r="O52" s="131">
        <f>IF(B52&lt;='VALOR POR PL'!$P$5,'CP RESUMO'!AY62,"")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RESUMO'!AZ20</f>
        <v/>
      </c>
      <c r="N53" s="132">
        <f>MAX(0,M53-M52)</f>
        <v/>
      </c>
      <c r="O53" s="131">
        <f>IF(B53&lt;='VALOR POR PL'!$P$5,'CP RESUMO'!AZ62,"")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RESUMO'!BA20</f>
        <v/>
      </c>
      <c r="N54" s="132">
        <f>MAX(0,M54-M53)</f>
        <v/>
      </c>
      <c r="O54" s="131">
        <f>IF(B54&lt;='VALOR POR PL'!$P$5,'CP RESUMO'!BA62,"")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RESUMO'!BB20</f>
        <v/>
      </c>
      <c r="N55" s="132">
        <f>MAX(0,M55-M54)</f>
        <v/>
      </c>
      <c r="O55" s="131">
        <f>IF(B55&lt;='VALOR POR PL'!$P$5,'CP RESUMO'!BB62,"")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RESUMO'!BC20</f>
        <v/>
      </c>
      <c r="N56" s="132">
        <f>MAX(0,M56-M55)</f>
        <v/>
      </c>
      <c r="O56" s="131">
        <f>IF(B56&lt;='VALOR POR PL'!$P$5,'CP RESUMO'!BC62,"")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RESUMO'!BD20</f>
        <v/>
      </c>
      <c r="N57" s="132">
        <f>MAX(0,M57-M56)</f>
        <v/>
      </c>
      <c r="O57" s="131">
        <f>IF(B57&lt;='VALOR POR PL'!$P$5,'CP RESUMO'!BD62,"")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RESUMO'!BE20</f>
        <v/>
      </c>
      <c r="N58" s="132">
        <f>MAX(0,M58-M57)</f>
        <v/>
      </c>
      <c r="O58" s="131">
        <f>IF(B58&lt;='VALOR POR PL'!$P$5,'CP RESUMO'!BE62,"")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RESUMO'!BF20</f>
        <v/>
      </c>
      <c r="N59" s="132">
        <f>MAX(0,M59-M58)</f>
        <v/>
      </c>
      <c r="O59" s="131">
        <f>IF(B59&lt;='VALOR POR PL'!$P$5,'CP RESUMO'!BF62,"")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RESUMO'!BG20</f>
        <v/>
      </c>
      <c r="N60" s="132">
        <f>MAX(0,M60-M59)</f>
        <v/>
      </c>
      <c r="O60" s="131">
        <f>IF(B60&lt;='VALOR POR PL'!$P$5,'CP RESUMO'!BG62,"")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RESUMO'!BH20</f>
        <v/>
      </c>
      <c r="N61" s="132">
        <f>MAX(0,M61-M60)</f>
        <v/>
      </c>
      <c r="O61" s="131">
        <f>IF(B61&lt;='VALOR POR PL'!$P$5,'CP RESUMO'!BH62,"")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RESUMO'!BI20</f>
        <v/>
      </c>
      <c r="N62" s="132">
        <f>MAX(0,M62-M61)</f>
        <v/>
      </c>
      <c r="O62" s="131">
        <f>IF(B62&lt;='VALOR POR PL'!$P$5,'CP RESUMO'!BI62,"")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RESUMO'!BJ20</f>
        <v/>
      </c>
      <c r="N63" s="132">
        <f>MAX(0,M63-M62)</f>
        <v/>
      </c>
      <c r="O63" s="131">
        <f>IF(B63&lt;='VALOR POR PL'!$P$5,'CP RESUMO'!BJ62,"")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RESUMO'!BK20</f>
        <v/>
      </c>
      <c r="N64" s="132">
        <f>MAX(0,M64-M63)</f>
        <v/>
      </c>
      <c r="O64" s="131">
        <f>IF(B64&lt;='VALOR POR PL'!$P$5,'CP RESUMO'!BK62,"")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RESUMO'!BL20</f>
        <v/>
      </c>
      <c r="N65" s="132">
        <f>MAX(0,M65-M64)</f>
        <v/>
      </c>
      <c r="O65" s="131">
        <f>IF(B65&lt;='VALOR POR PL'!$P$5,'CP RESUMO'!BL62,"")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RESUMO'!BM20</f>
        <v/>
      </c>
      <c r="N66" s="132">
        <f>MAX(0,M66-M65)</f>
        <v/>
      </c>
      <c r="O66" s="131">
        <f>IF(B66&lt;='VALOR POR PL'!$P$5,'CP RESUMO'!BM62,"")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RESUMO'!BN20</f>
        <v/>
      </c>
      <c r="N67" s="132">
        <f>MAX(0,M67-M66)</f>
        <v/>
      </c>
      <c r="O67" s="131">
        <f>IF(B67&lt;='VALOR POR PL'!$P$5,'CP RESUMO'!BN62,"")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RESUMO'!BO20</f>
        <v/>
      </c>
      <c r="N68" s="132">
        <f>MAX(0,M68-M67)</f>
        <v/>
      </c>
      <c r="O68" s="131">
        <f>IF(B68&lt;='VALOR POR PL'!$P$5,'CP RESUMO'!BO62,"")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RESUMO'!BP20</f>
        <v/>
      </c>
      <c r="N69" s="132">
        <f>MAX(0,M69-M68)</f>
        <v/>
      </c>
      <c r="O69" s="131">
        <f>IF(B69&lt;='VALOR POR PL'!$P$5,'CP RESUMO'!BP62,"")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RESUMO'!BQ20</f>
        <v/>
      </c>
      <c r="N70" s="132">
        <f>MAX(0,M70-M69)</f>
        <v/>
      </c>
      <c r="O70" s="131">
        <f>IF(B70&lt;='VALOR POR PL'!$P$5,'CP RESUMO'!BQ62,"")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RESUMO'!BR20</f>
        <v/>
      </c>
      <c r="N71" s="132">
        <f>MAX(0,M71-M70)</f>
        <v/>
      </c>
      <c r="O71" s="131">
        <f>IF(B71&lt;='VALOR POR PL'!$P$5,'CP RESUMO'!BR62,"")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RESUMO'!BS20</f>
        <v/>
      </c>
      <c r="N72" s="132">
        <f>MAX(0,M72-M71)</f>
        <v/>
      </c>
      <c r="O72" s="131">
        <f>IF(B72&lt;='VALOR POR PL'!$P$5,'CP RESUMO'!BS62,"")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RESUMO'!BT20</f>
        <v/>
      </c>
      <c r="N73" s="132">
        <f>MAX(0,M73-M72)</f>
        <v/>
      </c>
      <c r="O73" s="131">
        <f>IF(B73&lt;='VALOR POR PL'!$P$5,'CP RESUMO'!BT62,"")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RESUMO'!BU20</f>
        <v/>
      </c>
      <c r="N74" s="132">
        <f>MAX(0,M74-M73)</f>
        <v/>
      </c>
      <c r="O74" s="131">
        <f>IF(B74&lt;='VALOR POR PL'!$P$5,'CP RESUMO'!BU62,"")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RESUMO'!BV20</f>
        <v/>
      </c>
      <c r="N75" s="132">
        <f>MAX(0,M75-M74)</f>
        <v/>
      </c>
      <c r="O75" s="131">
        <f>IF(B75&lt;='VALOR POR PL'!$P$5,'CP RESUMO'!BV62,"")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RESUMO'!BW20</f>
        <v/>
      </c>
      <c r="N76" s="132">
        <f>MAX(0,M76-M75)</f>
        <v/>
      </c>
      <c r="O76" s="131">
        <f>IF(B76&lt;='VALOR POR PL'!$P$5,'CP RESUMO'!BW62,"")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HISTORICOS'!D21)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PL'!F27</f>
        <v/>
      </c>
      <c r="K5" s="60">
        <f>'VALOR POR PL'!G27</f>
        <v/>
      </c>
      <c r="L5" s="60">
        <f>'DADOS HISTORICOS'!$BZ$21</f>
        <v/>
      </c>
      <c r="M5" s="131">
        <f>'CP RESUMO'!D21</f>
        <v/>
      </c>
      <c r="N5" s="132" t="n">
        <v>0</v>
      </c>
      <c r="O5" s="131">
        <f>IF(B5&lt;='VALOR POR PL'!$P$5,'CP RESUMO'!D63,"")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HISTORICOS'!E21)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PL'!H27</f>
        <v/>
      </c>
      <c r="L6" s="49">
        <f>C6/IF(B6&lt;='VALOR POR PL'!$P$5,IFERROR(INDEX('"INCC-FGV"'!$B$2:$B$800,MATCH(B6,'"INCC-FGV"'!$A$2:$A$800,0)),$K$2),$K$2)</f>
        <v/>
      </c>
      <c r="M6" s="131">
        <f>'CP RESUMO'!E21</f>
        <v/>
      </c>
      <c r="N6" s="132">
        <f>MAX(0,M6-M5)</f>
        <v/>
      </c>
      <c r="O6" s="131">
        <f>IF(B6&lt;='VALOR POR PL'!$P$5,'CP RESUMO'!E63,"")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HISTORICOS'!F21)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RESUMO'!F21</f>
        <v/>
      </c>
      <c r="N7" s="132">
        <f>MAX(0,M7-M6)</f>
        <v/>
      </c>
      <c r="O7" s="131">
        <f>IF(B7&lt;='VALOR POR PL'!$P$5,'CP RESUMO'!F63,"")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HISTORICOS'!G21)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RESUMO'!G21</f>
        <v/>
      </c>
      <c r="N8" s="132">
        <f>MAX(0,M8-M7)</f>
        <v/>
      </c>
      <c r="O8" s="131">
        <f>IF(B8&lt;='VALOR POR PL'!$P$5,'CP RESUMO'!G63,"")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HISTORICOS'!H21)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RESUMO'!H21</f>
        <v/>
      </c>
      <c r="N9" s="132">
        <f>MAX(0,M9-M8)</f>
        <v/>
      </c>
      <c r="O9" s="131">
        <f>IF(B9&lt;='VALOR POR PL'!$P$5,'CP RESUMO'!H63,"")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RESUMO'!I21</f>
        <v/>
      </c>
      <c r="N10" s="132">
        <f>MAX(0,M10-M9)</f>
        <v/>
      </c>
      <c r="O10" s="131">
        <f>IF(B10&lt;='VALOR POR PL'!$P$5,'CP RESUMO'!I63,"")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RESUMO'!J21</f>
        <v/>
      </c>
      <c r="N11" s="132">
        <f>MAX(0,M11-M10)</f>
        <v/>
      </c>
      <c r="O11" s="131">
        <f>IF(B11&lt;='VALOR POR PL'!$P$5,'CP RESUMO'!J63,"")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RESUMO'!K21</f>
        <v/>
      </c>
      <c r="N12" s="132">
        <f>MAX(0,M12-M11)</f>
        <v/>
      </c>
      <c r="O12" s="131">
        <f>IF(B12&lt;='VALOR POR PL'!$P$5,'CP RESUMO'!K63,"")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PL'!I27</f>
        <v/>
      </c>
      <c r="L13" s="49">
        <f>C13/IF(B13&lt;='VALOR POR PL'!$P$5,IFERROR(INDEX('"INCC-FGV"'!$B$2:$B$800,MATCH(B13,'"INCC-FGV"'!$A$2:$A$800,0)),$K$2),$K$2)</f>
        <v/>
      </c>
      <c r="M13" s="131">
        <f>'CP RESUMO'!L21</f>
        <v/>
      </c>
      <c r="N13" s="132">
        <f>MAX(0,M13-M12)</f>
        <v/>
      </c>
      <c r="O13" s="131">
        <f>IF(B13&lt;='VALOR POR PL'!$P$5,'CP RESUMO'!L63,"")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RESUMO'!$D$63:$BW$63,MATCH('VALOR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RESUMO'!M21</f>
        <v/>
      </c>
      <c r="N14" s="132">
        <f>MAX(0,M14-M13)</f>
        <v/>
      </c>
      <c r="O14" s="131">
        <f>IF(B14&lt;='VALOR POR PL'!$P$5,'CP RESUMO'!M63,"")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1">
        <f>'CP RESUMO'!N21</f>
        <v/>
      </c>
      <c r="N15" s="132">
        <f>MAX(0,M15-M14)</f>
        <v/>
      </c>
      <c r="O15" s="131">
        <f>IF(B15&lt;='VALOR POR PL'!$P$5,'CP RESUMO'!N63,"")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RESUMO'!O21</f>
        <v/>
      </c>
      <c r="N16" s="132">
        <f>MAX(0,M16-M15)</f>
        <v/>
      </c>
      <c r="O16" s="131">
        <f>IF(B16&lt;='VALOR POR PL'!$P$5,'CP RESUMO'!O63,"")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RESUMO'!P21</f>
        <v/>
      </c>
      <c r="N17" s="132">
        <f>MAX(0,M17-M16)</f>
        <v/>
      </c>
      <c r="O17" s="131">
        <f>IF(B17&lt;='VALOR POR PL'!$P$5,'CP RESUMO'!P63,"")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RESUMO'!Q21</f>
        <v/>
      </c>
      <c r="N18" s="132">
        <f>MAX(0,M18-M17)</f>
        <v/>
      </c>
      <c r="O18" s="131">
        <f>IF(B18&lt;='VALOR POR PL'!$P$5,'CP RESUMO'!Q63,"")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RESUMO'!R21</f>
        <v/>
      </c>
      <c r="N19" s="132">
        <f>MAX(0,M19-M18)</f>
        <v/>
      </c>
      <c r="O19" s="131">
        <f>IF(B19&lt;='VALOR POR PL'!$P$5,'CP RESUMO'!R63,"")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RESUMO'!S21</f>
        <v/>
      </c>
      <c r="N20" s="132">
        <f>MAX(0,M20-M19)</f>
        <v/>
      </c>
      <c r="O20" s="131">
        <f>IF(B20&lt;='VALOR POR PL'!$P$5,'CP RESUMO'!S63,"")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RESUMO'!T21</f>
        <v/>
      </c>
      <c r="N21" s="132">
        <f>MAX(0,M21-M20)</f>
        <v/>
      </c>
      <c r="O21" s="131">
        <f>IF(B21&lt;='VALOR POR PL'!$P$5,'CP RESUMO'!T63,"")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RESUMO'!U21</f>
        <v/>
      </c>
      <c r="N22" s="132">
        <f>MAX(0,M22-M21)</f>
        <v/>
      </c>
      <c r="O22" s="131">
        <f>IF(B22&lt;='VALOR POR PL'!$P$5,'CP RESUMO'!U63,"")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RESUMO'!V21</f>
        <v/>
      </c>
      <c r="N23" s="132">
        <f>MAX(0,M23-M22)</f>
        <v/>
      </c>
      <c r="O23" s="131">
        <f>IF(B23&lt;='VALOR POR PL'!$P$5,'CP RESUMO'!V63,"")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Curva digitada mantida no cenário Prevision (decisão do usuário: estrutura, elevadores, esquadrias e indiretos não seguem o Prevision).</t>
        </is>
      </c>
      <c r="L24" s="49">
        <f>C24/IF(B24&lt;='VALOR POR PL'!$P$5,IFERROR(INDEX('"INCC-FGV"'!$B$2:$B$800,MATCH(B24,'"INCC-FGV"'!$A$2:$A$800,0)),$K$2),$K$2)</f>
        <v/>
      </c>
      <c r="M24" s="131">
        <f>'CP RESUMO'!W21</f>
        <v/>
      </c>
      <c r="N24" s="132">
        <f>MAX(0,M24-M23)</f>
        <v/>
      </c>
      <c r="O24" s="131">
        <f>IF(B24&lt;='VALOR POR PL'!$P$5,'CP RESUMO'!W63,"")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RESUMO'!X21</f>
        <v/>
      </c>
      <c r="N25" s="132">
        <f>MAX(0,M25-M24)</f>
        <v/>
      </c>
      <c r="O25" s="131">
        <f>IF(B25&lt;='VALOR POR PL'!$P$5,'CP RESUMO'!X63,"")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-109519.22</v>
      </c>
      <c r="L26" s="49">
        <f>C26/IF(B26&lt;='VALOR POR PL'!$P$5,IFERROR(INDEX('"INCC-FGV"'!$B$2:$B$800,MATCH(B26,'"INCC-FGV"'!$A$2:$A$800,0)),$K$2),$K$2)</f>
        <v/>
      </c>
      <c r="M26" s="131">
        <f>'CP RESUMO'!Y21</f>
        <v/>
      </c>
      <c r="N26" s="132">
        <f>MAX(0,M26-M25)</f>
        <v/>
      </c>
      <c r="O26" s="131">
        <f>IF(B26&lt;='VALOR POR PL'!$P$5,'CP RESUMO'!Y63,"")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673750.35</v>
      </c>
      <c r="L27" s="49">
        <f>C27/IF(B27&lt;='VALOR POR PL'!$P$5,IFERROR(INDEX('"INCC-FGV"'!$B$2:$B$800,MATCH(B27,'"INCC-FGV"'!$A$2:$A$800,0)),$K$2),$K$2)</f>
        <v/>
      </c>
      <c r="M27" s="131">
        <f>'CP RESUMO'!Z21</f>
        <v/>
      </c>
      <c r="N27" s="132">
        <f>MAX(0,M27-M26)</f>
        <v/>
      </c>
      <c r="O27" s="131">
        <f>IF(B27&lt;='VALOR POR PL'!$P$5,'CP RESUMO'!Z63,"")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1092763.63</v>
      </c>
      <c r="L28" s="49">
        <f>C28/IF(B28&lt;='VALOR POR PL'!$P$5,IFERROR(INDEX('"INCC-FGV"'!$B$2:$B$800,MATCH(B28,'"INCC-FGV"'!$A$2:$A$800,0)),$K$2),$K$2)</f>
        <v/>
      </c>
      <c r="M28" s="131">
        <f>'CP RESUMO'!AA21</f>
        <v/>
      </c>
      <c r="N28" s="132">
        <f>MAX(0,M28-M27)</f>
        <v/>
      </c>
      <c r="O28" s="131">
        <f>IF(B28&lt;='VALOR POR PL'!$P$5,'CP RESUMO'!AA63,"")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884564.27</v>
      </c>
      <c r="L29" s="49">
        <f>C29/IF(B29&lt;='VALOR POR PL'!$P$5,IFERROR(INDEX('"INCC-FGV"'!$B$2:$B$800,MATCH(B29,'"INCC-FGV"'!$A$2:$A$800,0)),$K$2),$K$2)</f>
        <v/>
      </c>
      <c r="M29" s="131">
        <f>'CP RESUMO'!AB21</f>
        <v/>
      </c>
      <c r="N29" s="132">
        <f>MAX(0,M29-M28)</f>
        <v/>
      </c>
      <c r="O29" s="131">
        <f>IF(B29&lt;='VALOR POR PL'!$P$5,'CP RESUMO'!AB63,"")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962505.12</v>
      </c>
      <c r="L30" s="49">
        <f>C30/IF(B30&lt;='VALOR POR PL'!$P$5,IFERROR(INDEX('"INCC-FGV"'!$B$2:$B$800,MATCH(B30,'"INCC-FGV"'!$A$2:$A$800,0)),$K$2),$K$2)</f>
        <v/>
      </c>
      <c r="M30" s="131">
        <f>'CP RESUMO'!AC21</f>
        <v/>
      </c>
      <c r="N30" s="132">
        <f>MAX(0,M30-M29)</f>
        <v/>
      </c>
      <c r="O30" s="131">
        <f>IF(B30&lt;='VALOR POR PL'!$P$5,'CP RESUMO'!AC63,"")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1069741.3</v>
      </c>
      <c r="L31" s="49">
        <f>C31/IF(B31&lt;='VALOR POR PL'!$P$5,IFERROR(INDEX('"INCC-FGV"'!$B$2:$B$800,MATCH(B31,'"INCC-FGV"'!$A$2:$A$800,0)),$K$2),$K$2)</f>
        <v/>
      </c>
      <c r="M31" s="131">
        <f>'CP RESUMO'!AD21</f>
        <v/>
      </c>
      <c r="N31" s="132">
        <f>MAX(0,M31-M30)</f>
        <v/>
      </c>
      <c r="O31" s="131">
        <f>IF(B31&lt;='VALOR POR PL'!$P$5,'CP RESUMO'!AD63,"")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899697.9300000001</v>
      </c>
      <c r="L32" s="49">
        <f>C32/IF(B32&lt;='VALOR POR PL'!$P$5,IFERROR(INDEX('"INCC-FGV"'!$B$2:$B$800,MATCH(B32,'"INCC-FGV"'!$A$2:$A$800,0)),$K$2),$K$2)</f>
        <v/>
      </c>
      <c r="M32" s="131">
        <f>'CP RESUMO'!AE21</f>
        <v/>
      </c>
      <c r="N32" s="132">
        <f>MAX(0,M32-M31)</f>
        <v/>
      </c>
      <c r="O32" s="131">
        <f>IF(B32&lt;='VALOR POR PL'!$P$5,'CP RESUMO'!AE63,"")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643185.16</v>
      </c>
      <c r="L33" s="49">
        <f>C33/IF(B33&lt;='VALOR POR PL'!$P$5,IFERROR(INDEX('"INCC-FGV"'!$B$2:$B$800,MATCH(B33,'"INCC-FGV"'!$A$2:$A$800,0)),$K$2),$K$2)</f>
        <v/>
      </c>
      <c r="M33" s="131">
        <f>'CP RESUMO'!AF21</f>
        <v/>
      </c>
      <c r="N33" s="132">
        <f>MAX(0,M33-M32)</f>
        <v/>
      </c>
      <c r="O33" s="131">
        <f>IF(B33&lt;='VALOR POR PL'!$P$5,'CP RESUMO'!AF63,"")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404556.53</v>
      </c>
      <c r="L34" s="49">
        <f>C34/IF(B34&lt;='VALOR POR PL'!$P$5,IFERROR(INDEX('"INCC-FGV"'!$B$2:$B$800,MATCH(B34,'"INCC-FGV"'!$A$2:$A$800,0)),$K$2),$K$2)</f>
        <v/>
      </c>
      <c r="M34" s="131">
        <f>'CP RESUMO'!AG21</f>
        <v/>
      </c>
      <c r="N34" s="132">
        <f>MAX(0,M34-M33)</f>
        <v/>
      </c>
      <c r="O34" s="131">
        <f>IF(B34&lt;='VALOR POR PL'!$P$5,'CP RESUMO'!AG63,"")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RESUMO'!AH21</f>
        <v/>
      </c>
      <c r="N35" s="132">
        <f>MAX(0,M35-M34)</f>
        <v/>
      </c>
      <c r="O35" s="131">
        <f>IF(B35&lt;='VALOR POR PL'!$P$5,'CP RESUMO'!AH63,"")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RESUMO'!AI21</f>
        <v/>
      </c>
      <c r="N36" s="132">
        <f>MAX(0,M36-M35)</f>
        <v/>
      </c>
      <c r="O36" s="131">
        <f>IF(B36&lt;='VALOR POR PL'!$P$5,'CP RESUMO'!AI63,"")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389772.32</v>
      </c>
      <c r="L37" s="49">
        <f>C37/IF(B37&lt;='VALOR POR PL'!$P$5,IFERROR(INDEX('"INCC-FGV"'!$B$2:$B$800,MATCH(B37,'"INCC-FGV"'!$A$2:$A$800,0)),$K$2),$K$2)</f>
        <v/>
      </c>
      <c r="M37" s="131">
        <f>'CP RESUMO'!AJ21</f>
        <v/>
      </c>
      <c r="N37" s="132">
        <f>MAX(0,M37-M36)</f>
        <v/>
      </c>
      <c r="O37" s="131">
        <f>IF(B37&lt;='VALOR POR PL'!$P$5,'CP RESUMO'!AJ63,"")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/>
      <c r="L38" s="49">
        <f>C38/IF(B38&lt;='VALOR POR PL'!$P$5,IFERROR(INDEX('"INCC-FGV"'!$B$2:$B$800,MATCH(B38,'"INCC-FGV"'!$A$2:$A$800,0)),$K$2),$K$2)</f>
        <v/>
      </c>
      <c r="M38" s="131">
        <f>'CP RESUMO'!AK21</f>
        <v/>
      </c>
      <c r="N38" s="132">
        <f>MAX(0,M38-M37)</f>
        <v/>
      </c>
      <c r="O38" s="131">
        <f>IF(B38&lt;='VALOR POR PL'!$P$5,'CP RESUMO'!AK63,"")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RESUMO'!AL21</f>
        <v/>
      </c>
      <c r="N39" s="132">
        <f>MAX(0,M39-M38)</f>
        <v/>
      </c>
      <c r="O39" s="131">
        <f>IF(B39&lt;='VALOR POR PL'!$P$5,'CP RESUMO'!AL63,"")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RESUMO'!AM21</f>
        <v/>
      </c>
      <c r="N40" s="132">
        <f>MAX(0,M40-M39)</f>
        <v/>
      </c>
      <c r="O40" s="131">
        <f>IF(B40&lt;='VALOR POR PL'!$P$5,'CP RESUMO'!AM63,"")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RESUMO'!AN21</f>
        <v/>
      </c>
      <c r="N41" s="132">
        <f>MAX(0,M41-M40)</f>
        <v/>
      </c>
      <c r="O41" s="131">
        <f>IF(B41&lt;='VALOR POR PL'!$P$5,'CP RESUMO'!AN63,"")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RESUMO'!AO21</f>
        <v/>
      </c>
      <c r="N42" s="132">
        <f>MAX(0,M42-M41)</f>
        <v/>
      </c>
      <c r="O42" s="131">
        <f>IF(B42&lt;='VALOR POR PL'!$P$5,'CP RESUMO'!AO63,"")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RESUMO'!AP21</f>
        <v/>
      </c>
      <c r="N43" s="132">
        <f>MAX(0,M43-M42)</f>
        <v/>
      </c>
      <c r="O43" s="131">
        <f>IF(B43&lt;='VALOR POR PL'!$P$5,'CP RESUMO'!AP63,"")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236029.76</v>
      </c>
      <c r="L44" s="49">
        <f>C44/IF(B44&lt;='VALOR POR PL'!$P$5,IFERROR(INDEX('"INCC-FGV"'!$B$2:$B$800,MATCH(B44,'"INCC-FGV"'!$A$2:$A$800,0)),$K$2),$K$2)</f>
        <v/>
      </c>
      <c r="M44" s="131">
        <f>'CP RESUMO'!AQ21</f>
        <v/>
      </c>
      <c r="N44" s="132">
        <f>MAX(0,M44-M43)</f>
        <v/>
      </c>
      <c r="O44" s="131">
        <f>IF(B44&lt;='VALOR POR PL'!$P$5,'CP RESUMO'!AQ63,"")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RESUMO'!AR21</f>
        <v/>
      </c>
      <c r="N45" s="132">
        <f>MAX(0,M45-M44)</f>
        <v/>
      </c>
      <c r="O45" s="131">
        <f>IF(B45&lt;='VALOR POR PL'!$P$5,'CP RESUMO'!AR63,"")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RESUMO'!AS21</f>
        <v/>
      </c>
      <c r="N46" s="132">
        <f>MAX(0,M46-M45)</f>
        <v/>
      </c>
      <c r="O46" s="131">
        <f>IF(B46&lt;='VALOR POR PL'!$P$5,'CP RESUMO'!AS63,"")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RESUMO'!AT21</f>
        <v/>
      </c>
      <c r="N47" s="132">
        <f>MAX(0,M47-M46)</f>
        <v/>
      </c>
      <c r="O47" s="131">
        <f>IF(B47&lt;='VALOR POR PL'!$P$5,'CP RESUMO'!AT63,"")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RESUMO'!AU21</f>
        <v/>
      </c>
      <c r="N48" s="132">
        <f>MAX(0,M48-M47)</f>
        <v/>
      </c>
      <c r="O48" s="131">
        <f>IF(B48&lt;='VALOR POR PL'!$P$5,'CP RESUMO'!AU63,"")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RESUMO'!AV21</f>
        <v/>
      </c>
      <c r="N49" s="132">
        <f>MAX(0,M49-M48)</f>
        <v/>
      </c>
      <c r="O49" s="131">
        <f>IF(B49&lt;='VALOR POR PL'!$P$5,'CP RESUMO'!AV63,"")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RESUMO'!AW21</f>
        <v/>
      </c>
      <c r="N50" s="132">
        <f>MAX(0,M50-M49)</f>
        <v/>
      </c>
      <c r="O50" s="131">
        <f>IF(B50&lt;='VALOR POR PL'!$P$5,'CP RESUMO'!AW63,"")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RESUMO'!AX21</f>
        <v/>
      </c>
      <c r="N51" s="132">
        <f>MAX(0,M51-M50)</f>
        <v/>
      </c>
      <c r="O51" s="131">
        <f>IF(B51&lt;='VALOR POR PL'!$P$5,'CP RESUMO'!AX63,"")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RESUMO'!AY21</f>
        <v/>
      </c>
      <c r="N52" s="132">
        <f>MAX(0,M52-M51)</f>
        <v/>
      </c>
      <c r="O52" s="131">
        <f>IF(B52&lt;='VALOR POR PL'!$P$5,'CP RESUMO'!AY63,"")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RESUMO'!AZ21</f>
        <v/>
      </c>
      <c r="N53" s="132">
        <f>MAX(0,M53-M52)</f>
        <v/>
      </c>
      <c r="O53" s="131">
        <f>IF(B53&lt;='VALOR POR PL'!$P$5,'CP RESUMO'!AZ63,"")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RESUMO'!BA21</f>
        <v/>
      </c>
      <c r="N54" s="132">
        <f>MAX(0,M54-M53)</f>
        <v/>
      </c>
      <c r="O54" s="131">
        <f>IF(B54&lt;='VALOR POR PL'!$P$5,'CP RESUMO'!BA63,"")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RESUMO'!BB21</f>
        <v/>
      </c>
      <c r="N55" s="132">
        <f>MAX(0,M55-M54)</f>
        <v/>
      </c>
      <c r="O55" s="131">
        <f>IF(B55&lt;='VALOR POR PL'!$P$5,'CP RESUMO'!BB63,"")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RESUMO'!BC21</f>
        <v/>
      </c>
      <c r="N56" s="132">
        <f>MAX(0,M56-M55)</f>
        <v/>
      </c>
      <c r="O56" s="131">
        <f>IF(B56&lt;='VALOR POR PL'!$P$5,'CP RESUMO'!BC63,"")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RESUMO'!BD21</f>
        <v/>
      </c>
      <c r="N57" s="132">
        <f>MAX(0,M57-M56)</f>
        <v/>
      </c>
      <c r="O57" s="131">
        <f>IF(B57&lt;='VALOR POR PL'!$P$5,'CP RESUMO'!BD63,"")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RESUMO'!BE21</f>
        <v/>
      </c>
      <c r="N58" s="132">
        <f>MAX(0,M58-M57)</f>
        <v/>
      </c>
      <c r="O58" s="131">
        <f>IF(B58&lt;='VALOR POR PL'!$P$5,'CP RESUMO'!BE63,"")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RESUMO'!BF21</f>
        <v/>
      </c>
      <c r="N59" s="132">
        <f>MAX(0,M59-M58)</f>
        <v/>
      </c>
      <c r="O59" s="131">
        <f>IF(B59&lt;='VALOR POR PL'!$P$5,'CP RESUMO'!BF63,"")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RESUMO'!BG21</f>
        <v/>
      </c>
      <c r="N60" s="132">
        <f>MAX(0,M60-M59)</f>
        <v/>
      </c>
      <c r="O60" s="131">
        <f>IF(B60&lt;='VALOR POR PL'!$P$5,'CP RESUMO'!BG63,"")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RESUMO'!BH21</f>
        <v/>
      </c>
      <c r="N61" s="132">
        <f>MAX(0,M61-M60)</f>
        <v/>
      </c>
      <c r="O61" s="131">
        <f>IF(B61&lt;='VALOR POR PL'!$P$5,'CP RESUMO'!BH63,"")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RESUMO'!BI21</f>
        <v/>
      </c>
      <c r="N62" s="132">
        <f>MAX(0,M62-M61)</f>
        <v/>
      </c>
      <c r="O62" s="131">
        <f>IF(B62&lt;='VALOR POR PL'!$P$5,'CP RESUMO'!BI63,"")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RESUMO'!BJ21</f>
        <v/>
      </c>
      <c r="N63" s="132">
        <f>MAX(0,M63-M62)</f>
        <v/>
      </c>
      <c r="O63" s="131">
        <f>IF(B63&lt;='VALOR POR PL'!$P$5,'CP RESUMO'!BJ63,"")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RESUMO'!BK21</f>
        <v/>
      </c>
      <c r="N64" s="132">
        <f>MAX(0,M64-M63)</f>
        <v/>
      </c>
      <c r="O64" s="131">
        <f>IF(B64&lt;='VALOR POR PL'!$P$5,'CP RESUMO'!BK63,"")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RESUMO'!BL21</f>
        <v/>
      </c>
      <c r="N65" s="132">
        <f>MAX(0,M65-M64)</f>
        <v/>
      </c>
      <c r="O65" s="131">
        <f>IF(B65&lt;='VALOR POR PL'!$P$5,'CP RESUMO'!BL63,"")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RESUMO'!BM21</f>
        <v/>
      </c>
      <c r="N66" s="132">
        <f>MAX(0,M66-M65)</f>
        <v/>
      </c>
      <c r="O66" s="131">
        <f>IF(B66&lt;='VALOR POR PL'!$P$5,'CP RESUMO'!BM63,"")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RESUMO'!BN21</f>
        <v/>
      </c>
      <c r="N67" s="132">
        <f>MAX(0,M67-M66)</f>
        <v/>
      </c>
      <c r="O67" s="131">
        <f>IF(B67&lt;='VALOR POR PL'!$P$5,'CP RESUMO'!BN63,"")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RESUMO'!BO21</f>
        <v/>
      </c>
      <c r="N68" s="132">
        <f>MAX(0,M68-M67)</f>
        <v/>
      </c>
      <c r="O68" s="131">
        <f>IF(B68&lt;='VALOR POR PL'!$P$5,'CP RESUMO'!BO63,"")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RESUMO'!BP21</f>
        <v/>
      </c>
      <c r="N69" s="132">
        <f>MAX(0,M69-M68)</f>
        <v/>
      </c>
      <c r="O69" s="131">
        <f>IF(B69&lt;='VALOR POR PL'!$P$5,'CP RESUMO'!BP63,"")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RESUMO'!BQ21</f>
        <v/>
      </c>
      <c r="N70" s="132">
        <f>MAX(0,M70-M69)</f>
        <v/>
      </c>
      <c r="O70" s="131">
        <f>IF(B70&lt;='VALOR POR PL'!$P$5,'CP RESUMO'!BQ63,"")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RESUMO'!BR21</f>
        <v/>
      </c>
      <c r="N71" s="132">
        <f>MAX(0,M71-M70)</f>
        <v/>
      </c>
      <c r="O71" s="131">
        <f>IF(B71&lt;='VALOR POR PL'!$P$5,'CP RESUMO'!BR63,"")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RESUMO'!BS21</f>
        <v/>
      </c>
      <c r="N72" s="132">
        <f>MAX(0,M72-M71)</f>
        <v/>
      </c>
      <c r="O72" s="131">
        <f>IF(B72&lt;='VALOR POR PL'!$P$5,'CP RESUMO'!BS63,"")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RESUMO'!BT21</f>
        <v/>
      </c>
      <c r="N73" s="132">
        <f>MAX(0,M73-M72)</f>
        <v/>
      </c>
      <c r="O73" s="131">
        <f>IF(B73&lt;='VALOR POR PL'!$P$5,'CP RESUMO'!BT63,"")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RESUMO'!BU21</f>
        <v/>
      </c>
      <c r="N74" s="132">
        <f>MAX(0,M74-M73)</f>
        <v/>
      </c>
      <c r="O74" s="131">
        <f>IF(B74&lt;='VALOR POR PL'!$P$5,'CP RESUMO'!BU63,"")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RESUMO'!BV21</f>
        <v/>
      </c>
      <c r="N75" s="132">
        <f>MAX(0,M75-M74)</f>
        <v/>
      </c>
      <c r="O75" s="131">
        <f>IF(B75&lt;='VALOR POR PL'!$P$5,'CP RESUMO'!BV63,"")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RESUMO'!BW21</f>
        <v/>
      </c>
      <c r="N76" s="132">
        <f>MAX(0,M76-M75)</f>
        <v/>
      </c>
      <c r="O76" s="131">
        <f>IF(B76&lt;='VALOR POR PL'!$P$5,'CP RESUMO'!BW63,"")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HISTORICOS'!D22)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PL'!F28</f>
        <v/>
      </c>
      <c r="K5" s="60">
        <f>'VALOR POR PL'!G28</f>
        <v/>
      </c>
      <c r="L5" s="60">
        <f>'DADOS HISTORICOS'!$BZ$22</f>
        <v/>
      </c>
      <c r="M5" s="131">
        <f>'CP RESUMO'!D22</f>
        <v/>
      </c>
      <c r="N5" s="132" t="n">
        <v>0</v>
      </c>
      <c r="O5" s="131">
        <f>IF(B5&lt;='VALOR POR PL'!$P$5,'CP RESUMO'!D64,"")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HISTORICOS'!E22)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PL'!H28</f>
        <v/>
      </c>
      <c r="L6" s="49">
        <f>C6/IF(B6&lt;='VALOR POR PL'!$P$5,IFERROR(INDEX('"INCC-FGV"'!$B$2:$B$800,MATCH(B6,'"INCC-FGV"'!$A$2:$A$800,0)),$K$2),$K$2)</f>
        <v/>
      </c>
      <c r="M6" s="131">
        <f>'CP RESUMO'!E22</f>
        <v/>
      </c>
      <c r="N6" s="132">
        <f>MAX(0,M6-M5)</f>
        <v/>
      </c>
      <c r="O6" s="131">
        <f>IF(B6&lt;='VALOR POR PL'!$P$5,'CP RESUMO'!E64,"")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HISTORICOS'!F22)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RESUMO'!F22</f>
        <v/>
      </c>
      <c r="N7" s="132">
        <f>MAX(0,M7-M6)</f>
        <v/>
      </c>
      <c r="O7" s="131">
        <f>IF(B7&lt;='VALOR POR PL'!$P$5,'CP RESUMO'!F64,"")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HISTORICOS'!G22)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RESUMO'!G22</f>
        <v/>
      </c>
      <c r="N8" s="132">
        <f>MAX(0,M8-M7)</f>
        <v/>
      </c>
      <c r="O8" s="131">
        <f>IF(B8&lt;='VALOR POR PL'!$P$5,'CP RESUMO'!G64,"")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HISTORICOS'!H22)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RESUMO'!H22</f>
        <v/>
      </c>
      <c r="N9" s="132">
        <f>MAX(0,M9-M8)</f>
        <v/>
      </c>
      <c r="O9" s="131">
        <f>IF(B9&lt;='VALOR POR PL'!$P$5,'CP RESUMO'!H64,"")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RESUMO'!I22</f>
        <v/>
      </c>
      <c r="N10" s="132">
        <f>MAX(0,M10-M9)</f>
        <v/>
      </c>
      <c r="O10" s="131">
        <f>IF(B10&lt;='VALOR POR PL'!$P$5,'CP RESUMO'!I64,"")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RESUMO'!J22</f>
        <v/>
      </c>
      <c r="N11" s="132">
        <f>MAX(0,M11-M10)</f>
        <v/>
      </c>
      <c r="O11" s="131">
        <f>IF(B11&lt;='VALOR POR PL'!$P$5,'CP RESUMO'!J64,"")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RESUMO'!K22</f>
        <v/>
      </c>
      <c r="N12" s="132">
        <f>MAX(0,M12-M11)</f>
        <v/>
      </c>
      <c r="O12" s="131">
        <f>IF(B12&lt;='VALOR POR PL'!$P$5,'CP RESUMO'!K64,"")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PL'!I28</f>
        <v/>
      </c>
      <c r="L13" s="49">
        <f>C13/IF(B13&lt;='VALOR POR PL'!$P$5,IFERROR(INDEX('"INCC-FGV"'!$B$2:$B$800,MATCH(B13,'"INCC-FGV"'!$A$2:$A$800,0)),$K$2),$K$2)</f>
        <v/>
      </c>
      <c r="M13" s="131">
        <f>'CP RESUMO'!L22</f>
        <v/>
      </c>
      <c r="N13" s="132">
        <f>MAX(0,M13-M12)</f>
        <v/>
      </c>
      <c r="O13" s="131">
        <f>IF(B13&lt;='VALOR POR PL'!$P$5,'CP RESUMO'!L64,"")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RESUMO'!$D$64:$BW$64,MATCH('VALOR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RESUMO'!M22</f>
        <v/>
      </c>
      <c r="N14" s="132">
        <f>MAX(0,M14-M13)</f>
        <v/>
      </c>
      <c r="O14" s="131">
        <f>IF(B14&lt;='VALOR POR PL'!$P$5,'CP RESUMO'!M64,"")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RESUMO'!N22</f>
        <v/>
      </c>
      <c r="N15" s="132">
        <f>MAX(0,M15-M14)</f>
        <v/>
      </c>
      <c r="O15" s="131">
        <f>IF(B15&lt;='VALOR POR PL'!$P$5,'CP RESUMO'!N64,"")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RESUMO'!O22</f>
        <v/>
      </c>
      <c r="N16" s="132">
        <f>MAX(0,M16-M15)</f>
        <v/>
      </c>
      <c r="O16" s="131">
        <f>IF(B16&lt;='VALOR POR PL'!$P$5,'CP RESUMO'!O64,"")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RESUMO'!P22</f>
        <v/>
      </c>
      <c r="N17" s="132">
        <f>MAX(0,M17-M16)</f>
        <v/>
      </c>
      <c r="O17" s="131">
        <f>IF(B17&lt;='VALOR POR PL'!$P$5,'CP RESUMO'!P64,"")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RESUMO'!Q22</f>
        <v/>
      </c>
      <c r="N18" s="132">
        <f>MAX(0,M18-M17)</f>
        <v/>
      </c>
      <c r="O18" s="131">
        <f>IF(B18&lt;='VALOR POR PL'!$P$5,'CP RESUMO'!Q64,"")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RESUMO'!R22</f>
        <v/>
      </c>
      <c r="N19" s="132">
        <f>MAX(0,M19-M18)</f>
        <v/>
      </c>
      <c r="O19" s="131">
        <f>IF(B19&lt;='VALOR POR PL'!$P$5,'CP RESUMO'!R64,"")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RESUMO'!S22</f>
        <v/>
      </c>
      <c r="N20" s="132">
        <f>MAX(0,M20-M19)</f>
        <v/>
      </c>
      <c r="O20" s="131">
        <f>IF(B20&lt;='VALOR POR PL'!$P$5,'CP RESUMO'!S64,"")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RESUMO'!T22</f>
        <v/>
      </c>
      <c r="N21" s="132">
        <f>MAX(0,M21-M20)</f>
        <v/>
      </c>
      <c r="O21" s="131">
        <f>IF(B21&lt;='VALOR POR PL'!$P$5,'CP RESUMO'!T64,"")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RESUMO'!U22</f>
        <v/>
      </c>
      <c r="N22" s="132">
        <f>MAX(0,M22-M21)</f>
        <v/>
      </c>
      <c r="O22" s="131">
        <f>IF(B22&lt;='VALOR POR PL'!$P$5,'CP RESUMO'!U64,"")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RESUMO'!V22</f>
        <v/>
      </c>
      <c r="N23" s="132">
        <f>MAX(0,M23-M22)</f>
        <v/>
      </c>
      <c r="O23" s="131">
        <f>IF(B23&lt;='VALOR POR PL'!$P$5,'CP RESUMO'!V64,"")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RESUMO'!W22</f>
        <v/>
      </c>
      <c r="N24" s="132">
        <f>MAX(0,M24-M23)</f>
        <v/>
      </c>
      <c r="O24" s="131">
        <f>IF(B24&lt;='VALOR POR PL'!$P$5,'CP RESUMO'!W64,"")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RESUMO'!X22</f>
        <v/>
      </c>
      <c r="N25" s="132">
        <f>MAX(0,M25-M24)</f>
        <v/>
      </c>
      <c r="O25" s="131">
        <f>IF(B25&lt;='VALOR POR PL'!$P$5,'CP RESUMO'!X64,"")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121053.01</v>
      </c>
      <c r="L26" s="49">
        <f>C26/IF(B26&lt;='VALOR POR PL'!$P$5,IFERROR(INDEX('"INCC-FGV"'!$B$2:$B$800,MATCH(B26,'"INCC-FGV"'!$A$2:$A$800,0)),$K$2),$K$2)</f>
        <v/>
      </c>
      <c r="M26" s="131">
        <f>'CP RESUMO'!Y22</f>
        <v/>
      </c>
      <c r="N26" s="132">
        <f>MAX(0,M26-M25)</f>
        <v/>
      </c>
      <c r="O26" s="131">
        <f>IF(B26&lt;='VALOR POR PL'!$P$5,'CP RESUMO'!Y64,"")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43464.14</v>
      </c>
      <c r="L27" s="49">
        <f>C27/IF(B27&lt;='VALOR POR PL'!$P$5,IFERROR(INDEX('"INCC-FGV"'!$B$2:$B$800,MATCH(B27,'"INCC-FGV"'!$A$2:$A$800,0)),$K$2),$K$2)</f>
        <v/>
      </c>
      <c r="M27" s="131">
        <f>'CP RESUMO'!Z22</f>
        <v/>
      </c>
      <c r="N27" s="132">
        <f>MAX(0,M27-M26)</f>
        <v/>
      </c>
      <c r="O27" s="131">
        <f>IF(B27&lt;='VALOR POR PL'!$P$5,'CP RESUMO'!Z64,"")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126800.33</v>
      </c>
      <c r="L28" s="49">
        <f>C28/IF(B28&lt;='VALOR POR PL'!$P$5,IFERROR(INDEX('"INCC-FGV"'!$B$2:$B$800,MATCH(B28,'"INCC-FGV"'!$A$2:$A$800,0)),$K$2),$K$2)</f>
        <v/>
      </c>
      <c r="M28" s="131">
        <f>'CP RESUMO'!AA22</f>
        <v/>
      </c>
      <c r="N28" s="132">
        <f>MAX(0,M28-M27)</f>
        <v/>
      </c>
      <c r="O28" s="131">
        <f>IF(B28&lt;='VALOR POR PL'!$P$5,'CP RESUMO'!AA64,"")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102733.42</v>
      </c>
      <c r="L29" s="49">
        <f>C29/IF(B29&lt;='VALOR POR PL'!$P$5,IFERROR(INDEX('"INCC-FGV"'!$B$2:$B$800,MATCH(B29,'"INCC-FGV"'!$A$2:$A$800,0)),$K$2),$K$2)</f>
        <v/>
      </c>
      <c r="M29" s="131">
        <f>'CP RESUMO'!AB22</f>
        <v/>
      </c>
      <c r="N29" s="132">
        <f>MAX(0,M29-M28)</f>
        <v/>
      </c>
      <c r="O29" s="131">
        <f>IF(B29&lt;='VALOR POR PL'!$P$5,'CP RESUMO'!AB64,"")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229174.54</v>
      </c>
      <c r="L30" s="49">
        <f>C30/IF(B30&lt;='VALOR POR PL'!$P$5,IFERROR(INDEX('"INCC-FGV"'!$B$2:$B$800,MATCH(B30,'"INCC-FGV"'!$A$2:$A$800,0)),$K$2),$K$2)</f>
        <v/>
      </c>
      <c r="M30" s="131">
        <f>'CP RESUMO'!AC22</f>
        <v/>
      </c>
      <c r="N30" s="132">
        <f>MAX(0,M30-M29)</f>
        <v/>
      </c>
      <c r="O30" s="131">
        <f>IF(B30&lt;='VALOR POR PL'!$P$5,'CP RESUMO'!AC64,"")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228096.92</v>
      </c>
      <c r="L31" s="49">
        <f>C31/IF(B31&lt;='VALOR POR PL'!$P$5,IFERROR(INDEX('"INCC-FGV"'!$B$2:$B$800,MATCH(B31,'"INCC-FGV"'!$A$2:$A$800,0)),$K$2),$K$2)</f>
        <v/>
      </c>
      <c r="M31" s="131">
        <f>'CP RESUMO'!AD22</f>
        <v/>
      </c>
      <c r="N31" s="132">
        <f>MAX(0,M31-M30)</f>
        <v/>
      </c>
      <c r="O31" s="131">
        <f>IF(B31&lt;='VALOR POR PL'!$P$5,'CP RESUMO'!AD64,"")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313229.16</v>
      </c>
      <c r="L32" s="49">
        <f>C32/IF(B32&lt;='VALOR POR PL'!$P$5,IFERROR(INDEX('"INCC-FGV"'!$B$2:$B$800,MATCH(B32,'"INCC-FGV"'!$A$2:$A$800,0)),$K$2),$K$2)</f>
        <v/>
      </c>
      <c r="M32" s="131">
        <f>'CP RESUMO'!AE22</f>
        <v/>
      </c>
      <c r="N32" s="132">
        <f>MAX(0,M32-M31)</f>
        <v/>
      </c>
      <c r="O32" s="131">
        <f>IF(B32&lt;='VALOR POR PL'!$P$5,'CP RESUMO'!AE64,"")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369983.98</v>
      </c>
      <c r="L33" s="49">
        <f>C33/IF(B33&lt;='VALOR POR PL'!$P$5,IFERROR(INDEX('"INCC-FGV"'!$B$2:$B$800,MATCH(B33,'"INCC-FGV"'!$A$2:$A$800,0)),$K$2),$K$2)</f>
        <v/>
      </c>
      <c r="M33" s="131">
        <f>'CP RESUMO'!AF22</f>
        <v/>
      </c>
      <c r="N33" s="132">
        <f>MAX(0,M33-M32)</f>
        <v/>
      </c>
      <c r="O33" s="131">
        <f>IF(B33&lt;='VALOR POR PL'!$P$5,'CP RESUMO'!AF64,"")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251804.63</v>
      </c>
      <c r="L34" s="49">
        <f>C34/IF(B34&lt;='VALOR POR PL'!$P$5,IFERROR(INDEX('"INCC-FGV"'!$B$2:$B$800,MATCH(B34,'"INCC-FGV"'!$A$2:$A$800,0)),$K$2),$K$2)</f>
        <v/>
      </c>
      <c r="M34" s="131">
        <f>'CP RESUMO'!AG22</f>
        <v/>
      </c>
      <c r="N34" s="132">
        <f>MAX(0,M34-M33)</f>
        <v/>
      </c>
      <c r="O34" s="131">
        <f>IF(B34&lt;='VALOR POR PL'!$P$5,'CP RESUMO'!AG64,"")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261144.03</v>
      </c>
      <c r="L35" s="49">
        <f>C35/IF(B35&lt;='VALOR POR PL'!$P$5,IFERROR(INDEX('"INCC-FGV"'!$B$2:$B$800,MATCH(B35,'"INCC-FGV"'!$A$2:$A$800,0)),$K$2),$K$2)</f>
        <v/>
      </c>
      <c r="M35" s="131">
        <f>'CP RESUMO'!AH22</f>
        <v/>
      </c>
      <c r="N35" s="132">
        <f>MAX(0,M35-M34)</f>
        <v/>
      </c>
      <c r="O35" s="131">
        <f>IF(B35&lt;='VALOR POR PL'!$P$5,'CP RESUMO'!AH64,"")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157332.99</v>
      </c>
      <c r="L36" s="49">
        <f>C36/IF(B36&lt;='VALOR POR PL'!$P$5,IFERROR(INDEX('"INCC-FGV"'!$B$2:$B$800,MATCH(B36,'"INCC-FGV"'!$A$2:$A$800,0)),$K$2),$K$2)</f>
        <v/>
      </c>
      <c r="M36" s="131">
        <f>'CP RESUMO'!AI22</f>
        <v/>
      </c>
      <c r="N36" s="132">
        <f>MAX(0,M36-M35)</f>
        <v/>
      </c>
      <c r="O36" s="131">
        <f>IF(B36&lt;='VALOR POR PL'!$P$5,'CP RESUMO'!AI64,"")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56395.62</v>
      </c>
      <c r="L37" s="49">
        <f>C37/IF(B37&lt;='VALOR POR PL'!$P$5,IFERROR(INDEX('"INCC-FGV"'!$B$2:$B$800,MATCH(B37,'"INCC-FGV"'!$A$2:$A$800,0)),$K$2),$K$2)</f>
        <v/>
      </c>
      <c r="M37" s="131">
        <f>'CP RESUMO'!AJ22</f>
        <v/>
      </c>
      <c r="N37" s="132">
        <f>MAX(0,M37-M36)</f>
        <v/>
      </c>
      <c r="O37" s="131">
        <f>IF(B37&lt;='VALOR POR PL'!$P$5,'CP RESUMO'!AJ64,"")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20834.05</v>
      </c>
      <c r="L38" s="49">
        <f>C38/IF(B38&lt;='VALOR POR PL'!$P$5,IFERROR(INDEX('"INCC-FGV"'!$B$2:$B$800,MATCH(B38,'"INCC-FGV"'!$A$2:$A$800,0)),$K$2),$K$2)</f>
        <v/>
      </c>
      <c r="M38" s="131">
        <f>'CP RESUMO'!AK22</f>
        <v/>
      </c>
      <c r="N38" s="132">
        <f>MAX(0,M38-M37)</f>
        <v/>
      </c>
      <c r="O38" s="131">
        <f>IF(B38&lt;='VALOR POR PL'!$P$5,'CP RESUMO'!AK64,"")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11494.65</v>
      </c>
      <c r="L39" s="49">
        <f>C39/IF(B39&lt;='VALOR POR PL'!$P$5,IFERROR(INDEX('"INCC-FGV"'!$B$2:$B$800,MATCH(B39,'"INCC-FGV"'!$A$2:$A$800,0)),$K$2),$K$2)</f>
        <v/>
      </c>
      <c r="M39" s="131">
        <f>'CP RESUMO'!AL22</f>
        <v/>
      </c>
      <c r="N39" s="132">
        <f>MAX(0,M39-M38)</f>
        <v/>
      </c>
      <c r="O39" s="131">
        <f>IF(B39&lt;='VALOR POR PL'!$P$5,'CP RESUMO'!AL64,"")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8261.780000000001</v>
      </c>
      <c r="L40" s="49">
        <f>C40/IF(B40&lt;='VALOR POR PL'!$P$5,IFERROR(INDEX('"INCC-FGV"'!$B$2:$B$800,MATCH(B40,'"INCC-FGV"'!$A$2:$A$800,0)),$K$2),$K$2)</f>
        <v/>
      </c>
      <c r="M40" s="131">
        <f>'CP RESUMO'!AM22</f>
        <v/>
      </c>
      <c r="N40" s="132">
        <f>MAX(0,M40-M39)</f>
        <v/>
      </c>
      <c r="O40" s="131">
        <f>IF(B40&lt;='VALOR POR PL'!$P$5,'CP RESUMO'!AM64,"")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RESUMO'!AN22</f>
        <v/>
      </c>
      <c r="N41" s="132">
        <f>MAX(0,M41-M40)</f>
        <v/>
      </c>
      <c r="O41" s="131">
        <f>IF(B41&lt;='VALOR POR PL'!$P$5,'CP RESUMO'!AN64,"")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RESUMO'!AO22</f>
        <v/>
      </c>
      <c r="N42" s="132">
        <f>MAX(0,M42-M41)</f>
        <v/>
      </c>
      <c r="O42" s="131">
        <f>IF(B42&lt;='VALOR POR PL'!$P$5,'CP RESUMO'!AO64,"")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10000</v>
      </c>
      <c r="L43" s="49">
        <f>C43/IF(B43&lt;='VALOR POR PL'!$P$5,IFERROR(INDEX('"INCC-FGV"'!$B$2:$B$800,MATCH(B43,'"INCC-FGV"'!$A$2:$A$800,0)),$K$2),$K$2)</f>
        <v/>
      </c>
      <c r="M43" s="131">
        <f>'CP RESUMO'!AP22</f>
        <v/>
      </c>
      <c r="N43" s="132">
        <f>MAX(0,M43-M42)</f>
        <v/>
      </c>
      <c r="O43" s="131">
        <f>IF(B43&lt;='VALOR POR PL'!$P$5,'CP RESUMO'!AP64,"")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RESUMO'!AQ22</f>
        <v/>
      </c>
      <c r="N44" s="132">
        <f>MAX(0,M44-M43)</f>
        <v/>
      </c>
      <c r="O44" s="131">
        <f>IF(B44&lt;='VALOR POR PL'!$P$5,'CP RESUMO'!AQ64,"")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RESUMO'!AR22</f>
        <v/>
      </c>
      <c r="N45" s="132">
        <f>MAX(0,M45-M44)</f>
        <v/>
      </c>
      <c r="O45" s="131">
        <f>IF(B45&lt;='VALOR POR PL'!$P$5,'CP RESUMO'!AR64,"")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RESUMO'!AS22</f>
        <v/>
      </c>
      <c r="N46" s="132">
        <f>MAX(0,M46-M45)</f>
        <v/>
      </c>
      <c r="O46" s="131">
        <f>IF(B46&lt;='VALOR POR PL'!$P$5,'CP RESUMO'!AS64,"")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27108.27</v>
      </c>
      <c r="L47" s="49">
        <f>C47/IF(B47&lt;='VALOR POR PL'!$P$5,IFERROR(INDEX('"INCC-FGV"'!$B$2:$B$800,MATCH(B47,'"INCC-FGV"'!$A$2:$A$800,0)),$K$2),$K$2)</f>
        <v/>
      </c>
      <c r="M47" s="131">
        <f>'CP RESUMO'!AT22</f>
        <v/>
      </c>
      <c r="N47" s="132">
        <f>MAX(0,M47-M46)</f>
        <v/>
      </c>
      <c r="O47" s="131">
        <f>IF(B47&lt;='VALOR POR PL'!$P$5,'CP RESUMO'!AT64,"")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RESUMO'!AU22</f>
        <v/>
      </c>
      <c r="N48" s="132">
        <f>MAX(0,M48-M47)</f>
        <v/>
      </c>
      <c r="O48" s="131">
        <f>IF(B48&lt;='VALOR POR PL'!$P$5,'CP RESUMO'!AU64,"")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RESUMO'!AV22</f>
        <v/>
      </c>
      <c r="N49" s="132">
        <f>MAX(0,M49-M48)</f>
        <v/>
      </c>
      <c r="O49" s="131">
        <f>IF(B49&lt;='VALOR POR PL'!$P$5,'CP RESUMO'!AV64,"")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RESUMO'!AW22</f>
        <v/>
      </c>
      <c r="N50" s="132">
        <f>MAX(0,M50-M49)</f>
        <v/>
      </c>
      <c r="O50" s="131">
        <f>IF(B50&lt;='VALOR POR PL'!$P$5,'CP RESUMO'!AW64,"")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RESUMO'!AX22</f>
        <v/>
      </c>
      <c r="N51" s="132">
        <f>MAX(0,M51-M50)</f>
        <v/>
      </c>
      <c r="O51" s="131">
        <f>IF(B51&lt;='VALOR POR PL'!$P$5,'CP RESUMO'!AX64,"")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RESUMO'!AY22</f>
        <v/>
      </c>
      <c r="N52" s="132">
        <f>MAX(0,M52-M51)</f>
        <v/>
      </c>
      <c r="O52" s="131">
        <f>IF(B52&lt;='VALOR POR PL'!$P$5,'CP RESUMO'!AY64,"")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RESUMO'!AZ22</f>
        <v/>
      </c>
      <c r="N53" s="132">
        <f>MAX(0,M53-M52)</f>
        <v/>
      </c>
      <c r="O53" s="131">
        <f>IF(B53&lt;='VALOR POR PL'!$P$5,'CP RESUMO'!AZ64,"")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RESUMO'!BA22</f>
        <v/>
      </c>
      <c r="N54" s="132">
        <f>MAX(0,M54-M53)</f>
        <v/>
      </c>
      <c r="O54" s="131">
        <f>IF(B54&lt;='VALOR POR PL'!$P$5,'CP RESUMO'!BA64,"")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RESUMO'!BB22</f>
        <v/>
      </c>
      <c r="N55" s="132">
        <f>MAX(0,M55-M54)</f>
        <v/>
      </c>
      <c r="O55" s="131">
        <f>IF(B55&lt;='VALOR POR PL'!$P$5,'CP RESUMO'!BB64,"")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RESUMO'!BC22</f>
        <v/>
      </c>
      <c r="N56" s="132">
        <f>MAX(0,M56-M55)</f>
        <v/>
      </c>
      <c r="O56" s="131">
        <f>IF(B56&lt;='VALOR POR PL'!$P$5,'CP RESUMO'!BC64,"")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RESUMO'!BD22</f>
        <v/>
      </c>
      <c r="N57" s="132">
        <f>MAX(0,M57-M56)</f>
        <v/>
      </c>
      <c r="O57" s="131">
        <f>IF(B57&lt;='VALOR POR PL'!$P$5,'CP RESUMO'!BD64,"")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RESUMO'!BE22</f>
        <v/>
      </c>
      <c r="N58" s="132">
        <f>MAX(0,M58-M57)</f>
        <v/>
      </c>
      <c r="O58" s="131">
        <f>IF(B58&lt;='VALOR POR PL'!$P$5,'CP RESUMO'!BE64,"")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RESUMO'!BF22</f>
        <v/>
      </c>
      <c r="N59" s="132">
        <f>MAX(0,M59-M58)</f>
        <v/>
      </c>
      <c r="O59" s="131">
        <f>IF(B59&lt;='VALOR POR PL'!$P$5,'CP RESUMO'!BF64,"")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RESUMO'!BG22</f>
        <v/>
      </c>
      <c r="N60" s="132">
        <f>MAX(0,M60-M59)</f>
        <v/>
      </c>
      <c r="O60" s="131">
        <f>IF(B60&lt;='VALOR POR PL'!$P$5,'CP RESUMO'!BG64,"")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RESUMO'!BH22</f>
        <v/>
      </c>
      <c r="N61" s="132">
        <f>MAX(0,M61-M60)</f>
        <v/>
      </c>
      <c r="O61" s="131">
        <f>IF(B61&lt;='VALOR POR PL'!$P$5,'CP RESUMO'!BH64,"")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RESUMO'!BI22</f>
        <v/>
      </c>
      <c r="N62" s="132">
        <f>MAX(0,M62-M61)</f>
        <v/>
      </c>
      <c r="O62" s="131">
        <f>IF(B62&lt;='VALOR POR PL'!$P$5,'CP RESUMO'!BI64,"")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RESUMO'!BJ22</f>
        <v/>
      </c>
      <c r="N63" s="132">
        <f>MAX(0,M63-M62)</f>
        <v/>
      </c>
      <c r="O63" s="131">
        <f>IF(B63&lt;='VALOR POR PL'!$P$5,'CP RESUMO'!BJ64,"")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RESUMO'!BK22</f>
        <v/>
      </c>
      <c r="N64" s="132">
        <f>MAX(0,M64-M63)</f>
        <v/>
      </c>
      <c r="O64" s="131">
        <f>IF(B64&lt;='VALOR POR PL'!$P$5,'CP RESUMO'!BK64,"")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RESUMO'!BL22</f>
        <v/>
      </c>
      <c r="N65" s="132">
        <f>MAX(0,M65-M64)</f>
        <v/>
      </c>
      <c r="O65" s="131">
        <f>IF(B65&lt;='VALOR POR PL'!$P$5,'CP RESUMO'!BL64,"")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RESUMO'!BM22</f>
        <v/>
      </c>
      <c r="N66" s="132">
        <f>MAX(0,M66-M65)</f>
        <v/>
      </c>
      <c r="O66" s="131">
        <f>IF(B66&lt;='VALOR POR PL'!$P$5,'CP RESUMO'!BM64,"")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RESUMO'!BN22</f>
        <v/>
      </c>
      <c r="N67" s="132">
        <f>MAX(0,M67-M66)</f>
        <v/>
      </c>
      <c r="O67" s="131">
        <f>IF(B67&lt;='VALOR POR PL'!$P$5,'CP RESUMO'!BN64,"")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RESUMO'!BO22</f>
        <v/>
      </c>
      <c r="N68" s="132">
        <f>MAX(0,M68-M67)</f>
        <v/>
      </c>
      <c r="O68" s="131">
        <f>IF(B68&lt;='VALOR POR PL'!$P$5,'CP RESUMO'!BO64,"")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RESUMO'!BP22</f>
        <v/>
      </c>
      <c r="N69" s="132">
        <f>MAX(0,M69-M68)</f>
        <v/>
      </c>
      <c r="O69" s="131">
        <f>IF(B69&lt;='VALOR POR PL'!$P$5,'CP RESUMO'!BP64,"")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RESUMO'!BQ22</f>
        <v/>
      </c>
      <c r="N70" s="132">
        <f>MAX(0,M70-M69)</f>
        <v/>
      </c>
      <c r="O70" s="131">
        <f>IF(B70&lt;='VALOR POR PL'!$P$5,'CP RESUMO'!BQ64,"")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RESUMO'!BR22</f>
        <v/>
      </c>
      <c r="N71" s="132">
        <f>MAX(0,M71-M70)</f>
        <v/>
      </c>
      <c r="O71" s="131">
        <f>IF(B71&lt;='VALOR POR PL'!$P$5,'CP RESUMO'!BR64,"")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RESUMO'!BS22</f>
        <v/>
      </c>
      <c r="N72" s="132">
        <f>MAX(0,M72-M71)</f>
        <v/>
      </c>
      <c r="O72" s="131">
        <f>IF(B72&lt;='VALOR POR PL'!$P$5,'CP RESUMO'!BS64,"")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RESUMO'!BT22</f>
        <v/>
      </c>
      <c r="N73" s="132">
        <f>MAX(0,M73-M72)</f>
        <v/>
      </c>
      <c r="O73" s="131">
        <f>IF(B73&lt;='VALOR POR PL'!$P$5,'CP RESUMO'!BT64,"")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RESUMO'!BU22</f>
        <v/>
      </c>
      <c r="N74" s="132">
        <f>MAX(0,M74-M73)</f>
        <v/>
      </c>
      <c r="O74" s="131">
        <f>IF(B74&lt;='VALOR POR PL'!$P$5,'CP RESUMO'!BU64,"")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RESUMO'!BV22</f>
        <v/>
      </c>
      <c r="N75" s="132">
        <f>MAX(0,M75-M74)</f>
        <v/>
      </c>
      <c r="O75" s="131">
        <f>IF(B75&lt;='VALOR POR PL'!$P$5,'CP RESUMO'!BV64,"")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RESUMO'!BW22</f>
        <v/>
      </c>
      <c r="N76" s="132">
        <f>MAX(0,M76-M75)</f>
        <v/>
      </c>
      <c r="O76" s="131">
        <f>IF(B76&lt;='VALOR POR PL'!$P$5,'CP RESUMO'!BW64,"")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HISTORICOS'!D23)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PL'!F29</f>
        <v/>
      </c>
      <c r="K5" s="60">
        <f>'VALOR POR PL'!G29</f>
        <v/>
      </c>
      <c r="L5" s="60">
        <f>'DADOS HISTORICOS'!$BZ$23</f>
        <v/>
      </c>
      <c r="M5" s="131">
        <f>'CP RESUMO'!D23</f>
        <v/>
      </c>
      <c r="N5" s="132" t="n">
        <v>0</v>
      </c>
      <c r="O5" s="131">
        <f>IF(B5&lt;='VALOR POR PL'!$P$5,'CP RESUMO'!D65,"")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HISTORICOS'!E23)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PL'!H29</f>
        <v/>
      </c>
      <c r="L6" s="49">
        <f>C6/IF(B6&lt;='VALOR POR PL'!$P$5,IFERROR(INDEX('"INCC-FGV"'!$B$2:$B$800,MATCH(B6,'"INCC-FGV"'!$A$2:$A$800,0)),$K$2),$K$2)</f>
        <v/>
      </c>
      <c r="M6" s="131">
        <f>'CP RESUMO'!E23</f>
        <v/>
      </c>
      <c r="N6" s="132">
        <f>MAX(0,M6-M5)</f>
        <v/>
      </c>
      <c r="O6" s="131">
        <f>IF(B6&lt;='VALOR POR PL'!$P$5,'CP RESUMO'!E65,"")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HISTORICOS'!F23)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RESUMO'!F23</f>
        <v/>
      </c>
      <c r="N7" s="132">
        <f>MAX(0,M7-M6)</f>
        <v/>
      </c>
      <c r="O7" s="131">
        <f>IF(B7&lt;='VALOR POR PL'!$P$5,'CP RESUMO'!F65,"")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HISTORICOS'!G23)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RESUMO'!G23</f>
        <v/>
      </c>
      <c r="N8" s="132">
        <f>MAX(0,M8-M7)</f>
        <v/>
      </c>
      <c r="O8" s="131">
        <f>IF(B8&lt;='VALOR POR PL'!$P$5,'CP RESUMO'!G65,"")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HISTORICOS'!H23)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RESUMO'!H23</f>
        <v/>
      </c>
      <c r="N9" s="132">
        <f>MAX(0,M9-M8)</f>
        <v/>
      </c>
      <c r="O9" s="131">
        <f>IF(B9&lt;='VALOR POR PL'!$P$5,'CP RESUMO'!H65,"")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RESUMO'!I23</f>
        <v/>
      </c>
      <c r="N10" s="132">
        <f>MAX(0,M10-M9)</f>
        <v/>
      </c>
      <c r="O10" s="131">
        <f>IF(B10&lt;='VALOR POR PL'!$P$5,'CP RESUMO'!I65,"")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RESUMO'!J23</f>
        <v/>
      </c>
      <c r="N11" s="132">
        <f>MAX(0,M11-M10)</f>
        <v/>
      </c>
      <c r="O11" s="131">
        <f>IF(B11&lt;='VALOR POR PL'!$P$5,'CP RESUMO'!J65,"")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RESUMO'!K23</f>
        <v/>
      </c>
      <c r="N12" s="132">
        <f>MAX(0,M12-M11)</f>
        <v/>
      </c>
      <c r="O12" s="131">
        <f>IF(B12&lt;='VALOR POR PL'!$P$5,'CP RESUMO'!K65,"")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PL'!I29</f>
        <v/>
      </c>
      <c r="L13" s="49">
        <f>C13/IF(B13&lt;='VALOR POR PL'!$P$5,IFERROR(INDEX('"INCC-FGV"'!$B$2:$B$800,MATCH(B13,'"INCC-FGV"'!$A$2:$A$800,0)),$K$2),$K$2)</f>
        <v/>
      </c>
      <c r="M13" s="131">
        <f>'CP RESUMO'!L23</f>
        <v/>
      </c>
      <c r="N13" s="132">
        <f>MAX(0,M13-M12)</f>
        <v/>
      </c>
      <c r="O13" s="131">
        <f>IF(B13&lt;='VALOR POR PL'!$P$5,'CP RESUMO'!L65,"")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RESUMO'!$D$65:$BW$65,MATCH('VALOR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RESUMO'!M23</f>
        <v/>
      </c>
      <c r="N14" s="132">
        <f>MAX(0,M14-M13)</f>
        <v/>
      </c>
      <c r="O14" s="131">
        <f>IF(B14&lt;='VALOR POR PL'!$P$5,'CP RESUMO'!M65,"")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RESUMO'!N23</f>
        <v/>
      </c>
      <c r="N15" s="132">
        <f>MAX(0,M15-M14)</f>
        <v/>
      </c>
      <c r="O15" s="131">
        <f>IF(B15&lt;='VALOR POR PL'!$P$5,'CP RESUMO'!N65,"")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RESUMO'!O23</f>
        <v/>
      </c>
      <c r="N16" s="132">
        <f>MAX(0,M16-M15)</f>
        <v/>
      </c>
      <c r="O16" s="131">
        <f>IF(B16&lt;='VALOR POR PL'!$P$5,'CP RESUMO'!O65,"")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RESUMO'!P23</f>
        <v/>
      </c>
      <c r="N17" s="132">
        <f>MAX(0,M17-M16)</f>
        <v/>
      </c>
      <c r="O17" s="131">
        <f>IF(B17&lt;='VALOR POR PL'!$P$5,'CP RESUMO'!P65,"")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RESUMO'!Q23</f>
        <v/>
      </c>
      <c r="N18" s="132">
        <f>MAX(0,M18-M17)</f>
        <v/>
      </c>
      <c r="O18" s="131">
        <f>IF(B18&lt;='VALOR POR PL'!$P$5,'CP RESUMO'!Q65,"")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RESUMO'!R23</f>
        <v/>
      </c>
      <c r="N19" s="132">
        <f>MAX(0,M19-M18)</f>
        <v/>
      </c>
      <c r="O19" s="131">
        <f>IF(B19&lt;='VALOR POR PL'!$P$5,'CP RESUMO'!R65,"")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RESUMO'!S23</f>
        <v/>
      </c>
      <c r="N20" s="132">
        <f>MAX(0,M20-M19)</f>
        <v/>
      </c>
      <c r="O20" s="131">
        <f>IF(B20&lt;='VALOR POR PL'!$P$5,'CP RESUMO'!S65,"")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RESUMO'!T23</f>
        <v/>
      </c>
      <c r="N21" s="132">
        <f>MAX(0,M21-M20)</f>
        <v/>
      </c>
      <c r="O21" s="131">
        <f>IF(B21&lt;='VALOR POR PL'!$P$5,'CP RESUMO'!T65,"")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RESUMO'!U23</f>
        <v/>
      </c>
      <c r="N22" s="132">
        <f>MAX(0,M22-M21)</f>
        <v/>
      </c>
      <c r="O22" s="131">
        <f>IF(B22&lt;='VALOR POR PL'!$P$5,'CP RESUMO'!U65,"")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RESUMO'!V23</f>
        <v/>
      </c>
      <c r="N23" s="132">
        <f>MAX(0,M23-M22)</f>
        <v/>
      </c>
      <c r="O23" s="131">
        <f>IF(B23&lt;='VALOR POR PL'!$P$5,'CP RESUMO'!V65,"")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RESUMO'!W23</f>
        <v/>
      </c>
      <c r="N24" s="132">
        <f>MAX(0,M24-M23)</f>
        <v/>
      </c>
      <c r="O24" s="131">
        <f>IF(B24&lt;='VALOR POR PL'!$P$5,'CP RESUMO'!W65,"")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RESUMO'!X23</f>
        <v/>
      </c>
      <c r="N25" s="132">
        <f>MAX(0,M25-M24)</f>
        <v/>
      </c>
      <c r="O25" s="131">
        <f>IF(B25&lt;='VALOR POR PL'!$P$5,'CP RESUMO'!X65,"")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47730</v>
      </c>
      <c r="L26" s="49">
        <f>C26/IF(B26&lt;='VALOR POR PL'!$P$5,IFERROR(INDEX('"INCC-FGV"'!$B$2:$B$800,MATCH(B26,'"INCC-FGV"'!$A$2:$A$800,0)),$K$2),$K$2)</f>
        <v/>
      </c>
      <c r="M26" s="131">
        <f>'CP RESUMO'!Y23</f>
        <v/>
      </c>
      <c r="N26" s="132">
        <f>MAX(0,M26-M25)</f>
        <v/>
      </c>
      <c r="O26" s="131">
        <f>IF(B26&lt;='VALOR POR PL'!$P$5,'CP RESUMO'!Y65,"")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126000</v>
      </c>
      <c r="L27" s="49">
        <f>C27/IF(B27&lt;='VALOR POR PL'!$P$5,IFERROR(INDEX('"INCC-FGV"'!$B$2:$B$800,MATCH(B27,'"INCC-FGV"'!$A$2:$A$800,0)),$K$2),$K$2)</f>
        <v/>
      </c>
      <c r="M27" s="131">
        <f>'CP RESUMO'!Z23</f>
        <v/>
      </c>
      <c r="N27" s="132">
        <f>MAX(0,M27-M26)</f>
        <v/>
      </c>
      <c r="O27" s="131">
        <f>IF(B27&lt;='VALOR POR PL'!$P$5,'CP RESUMO'!Z65,"")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194009.08</v>
      </c>
      <c r="L28" s="49">
        <f>C28/IF(B28&lt;='VALOR POR PL'!$P$5,IFERROR(INDEX('"INCC-FGV"'!$B$2:$B$800,MATCH(B28,'"INCC-FGV"'!$A$2:$A$800,0)),$K$2),$K$2)</f>
        <v/>
      </c>
      <c r="M28" s="131">
        <f>'CP RESUMO'!AA23</f>
        <v/>
      </c>
      <c r="N28" s="132">
        <f>MAX(0,M28-M27)</f>
        <v/>
      </c>
      <c r="O28" s="131">
        <f>IF(B28&lt;='VALOR POR PL'!$P$5,'CP RESUMO'!AA65,"")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170582.96</v>
      </c>
      <c r="L29" s="49">
        <f>C29/IF(B29&lt;='VALOR POR PL'!$P$5,IFERROR(INDEX('"INCC-FGV"'!$B$2:$B$800,MATCH(B29,'"INCC-FGV"'!$A$2:$A$800,0)),$K$2),$K$2)</f>
        <v/>
      </c>
      <c r="M29" s="131">
        <f>'CP RESUMO'!AB23</f>
        <v/>
      </c>
      <c r="N29" s="132">
        <f>MAX(0,M29-M28)</f>
        <v/>
      </c>
      <c r="O29" s="131">
        <f>IF(B29&lt;='VALOR POR PL'!$P$5,'CP RESUMO'!AB65,"")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223719.45</v>
      </c>
      <c r="L30" s="49">
        <f>C30/IF(B30&lt;='VALOR POR PL'!$P$5,IFERROR(INDEX('"INCC-FGV"'!$B$2:$B$800,MATCH(B30,'"INCC-FGV"'!$A$2:$A$800,0)),$K$2),$K$2)</f>
        <v/>
      </c>
      <c r="M30" s="131">
        <f>'CP RESUMO'!AC23</f>
        <v/>
      </c>
      <c r="N30" s="132">
        <f>MAX(0,M30-M29)</f>
        <v/>
      </c>
      <c r="O30" s="131">
        <f>IF(B30&lt;='VALOR POR PL'!$P$5,'CP RESUMO'!AC65,"")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50366.16</v>
      </c>
      <c r="L31" s="49">
        <f>C31/IF(B31&lt;='VALOR POR PL'!$P$5,IFERROR(INDEX('"INCC-FGV"'!$B$2:$B$800,MATCH(B31,'"INCC-FGV"'!$A$2:$A$800,0)),$K$2),$K$2)</f>
        <v/>
      </c>
      <c r="M31" s="131">
        <f>'CP RESUMO'!AD23</f>
        <v/>
      </c>
      <c r="N31" s="132">
        <f>MAX(0,M31-M30)</f>
        <v/>
      </c>
      <c r="O31" s="131">
        <f>IF(B31&lt;='VALOR POR PL'!$P$5,'CP RESUMO'!AD65,"")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144656.29</v>
      </c>
      <c r="L32" s="49">
        <f>C32/IF(B32&lt;='VALOR POR PL'!$P$5,IFERROR(INDEX('"INCC-FGV"'!$B$2:$B$800,MATCH(B32,'"INCC-FGV"'!$A$2:$A$800,0)),$K$2),$K$2)</f>
        <v/>
      </c>
      <c r="M32" s="131">
        <f>'CP RESUMO'!AE23</f>
        <v/>
      </c>
      <c r="N32" s="132">
        <f>MAX(0,M32-M31)</f>
        <v/>
      </c>
      <c r="O32" s="131">
        <f>IF(B32&lt;='VALOR POR PL'!$P$5,'CP RESUMO'!AE65,"")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232797.07</v>
      </c>
      <c r="L33" s="49">
        <f>C33/IF(B33&lt;='VALOR POR PL'!$P$5,IFERROR(INDEX('"INCC-FGV"'!$B$2:$B$800,MATCH(B33,'"INCC-FGV"'!$A$2:$A$800,0)),$K$2),$K$2)</f>
        <v/>
      </c>
      <c r="M33" s="131">
        <f>'CP RESUMO'!AF23</f>
        <v/>
      </c>
      <c r="N33" s="132">
        <f>MAX(0,M33-M32)</f>
        <v/>
      </c>
      <c r="O33" s="131">
        <f>IF(B33&lt;='VALOR POR PL'!$P$5,'CP RESUMO'!AF65,"")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263836.68</v>
      </c>
      <c r="L34" s="49">
        <f>C34/IF(B34&lt;='VALOR POR PL'!$P$5,IFERROR(INDEX('"INCC-FGV"'!$B$2:$B$800,MATCH(B34,'"INCC-FGV"'!$A$2:$A$800,0)),$K$2),$K$2)</f>
        <v/>
      </c>
      <c r="M34" s="131">
        <f>'CP RESUMO'!AG23</f>
        <v/>
      </c>
      <c r="N34" s="132">
        <f>MAX(0,M34-M33)</f>
        <v/>
      </c>
      <c r="O34" s="131">
        <f>IF(B34&lt;='VALOR POR PL'!$P$5,'CP RESUMO'!AG65,"")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412592.54</v>
      </c>
      <c r="L35" s="49">
        <f>C35/IF(B35&lt;='VALOR POR PL'!$P$5,IFERROR(INDEX('"INCC-FGV"'!$B$2:$B$800,MATCH(B35,'"INCC-FGV"'!$A$2:$A$800,0)),$K$2),$K$2)</f>
        <v/>
      </c>
      <c r="M35" s="131">
        <f>'CP RESUMO'!AH23</f>
        <v/>
      </c>
      <c r="N35" s="132">
        <f>MAX(0,M35-M34)</f>
        <v/>
      </c>
      <c r="O35" s="131">
        <f>IF(B35&lt;='VALOR POR PL'!$P$5,'CP RESUMO'!AH65,"")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232797.07</v>
      </c>
      <c r="L36" s="49">
        <f>C36/IF(B36&lt;='VALOR POR PL'!$P$5,IFERROR(INDEX('"INCC-FGV"'!$B$2:$B$800,MATCH(B36,'"INCC-FGV"'!$A$2:$A$800,0)),$K$2),$K$2)</f>
        <v/>
      </c>
      <c r="M36" s="131">
        <f>'CP RESUMO'!AI23</f>
        <v/>
      </c>
      <c r="N36" s="132">
        <f>MAX(0,M36-M35)</f>
        <v/>
      </c>
      <c r="O36" s="131">
        <f>IF(B36&lt;='VALOR POR PL'!$P$5,'CP RESUMO'!AI65,"")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216398.78</v>
      </c>
      <c r="L37" s="49">
        <f>C37/IF(B37&lt;='VALOR POR PL'!$P$5,IFERROR(INDEX('"INCC-FGV"'!$B$2:$B$800,MATCH(B37,'"INCC-FGV"'!$A$2:$A$800,0)),$K$2),$K$2)</f>
        <v/>
      </c>
      <c r="M37" s="131">
        <f>'CP RESUMO'!AJ23</f>
        <v/>
      </c>
      <c r="N37" s="132">
        <f>MAX(0,M37-M36)</f>
        <v/>
      </c>
      <c r="O37" s="131">
        <f>IF(B37&lt;='VALOR POR PL'!$P$5,'CP RESUMO'!AJ65,"")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363397.69</v>
      </c>
      <c r="L38" s="49">
        <f>C38/IF(B38&lt;='VALOR POR PL'!$P$5,IFERROR(INDEX('"INCC-FGV"'!$B$2:$B$800,MATCH(B38,'"INCC-FGV"'!$A$2:$A$800,0)),$K$2),$K$2)</f>
        <v/>
      </c>
      <c r="M38" s="131">
        <f>'CP RESUMO'!AK23</f>
        <v/>
      </c>
      <c r="N38" s="132">
        <f>MAX(0,M38-M37)</f>
        <v/>
      </c>
      <c r="O38" s="131">
        <f>IF(B38&lt;='VALOR POR PL'!$P$5,'CP RESUMO'!AK65,"")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326794.37</v>
      </c>
      <c r="L39" s="49">
        <f>C39/IF(B39&lt;='VALOR POR PL'!$P$5,IFERROR(INDEX('"INCC-FGV"'!$B$2:$B$800,MATCH(B39,'"INCC-FGV"'!$A$2:$A$800,0)),$K$2),$K$2)</f>
        <v/>
      </c>
      <c r="M39" s="131">
        <f>'CP RESUMO'!AL23</f>
        <v/>
      </c>
      <c r="N39" s="132">
        <f>MAX(0,M39-M38)</f>
        <v/>
      </c>
      <c r="O39" s="131">
        <f>IF(B39&lt;='VALOR POR PL'!$P$5,'CP RESUMO'!AL65,"")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137042.8</v>
      </c>
      <c r="L40" s="49">
        <f>C40/IF(B40&lt;='VALOR POR PL'!$P$5,IFERROR(INDEX('"INCC-FGV"'!$B$2:$B$800,MATCH(B40,'"INCC-FGV"'!$A$2:$A$800,0)),$K$2),$K$2)</f>
        <v/>
      </c>
      <c r="M40" s="131">
        <f>'CP RESUMO'!AM23</f>
        <v/>
      </c>
      <c r="N40" s="132">
        <f>MAX(0,M40-M39)</f>
        <v/>
      </c>
      <c r="O40" s="131">
        <f>IF(B40&lt;='VALOR POR PL'!$P$5,'CP RESUMO'!AM65,"")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81698.59</v>
      </c>
      <c r="L41" s="49">
        <f>C41/IF(B41&lt;='VALOR POR PL'!$P$5,IFERROR(INDEX('"INCC-FGV"'!$B$2:$B$800,MATCH(B41,'"INCC-FGV"'!$A$2:$A$800,0)),$K$2),$K$2)</f>
        <v/>
      </c>
      <c r="M41" s="131">
        <f>'CP RESUMO'!AN23</f>
        <v/>
      </c>
      <c r="N41" s="132">
        <f>MAX(0,M41-M40)</f>
        <v/>
      </c>
      <c r="O41" s="131">
        <f>IF(B41&lt;='VALOR POR PL'!$P$5,'CP RESUMO'!AN65,"")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29575.48</v>
      </c>
      <c r="L42" s="49">
        <f>C42/IF(B42&lt;='VALOR POR PL'!$P$5,IFERROR(INDEX('"INCC-FGV"'!$B$2:$B$800,MATCH(B42,'"INCC-FGV"'!$A$2:$A$800,0)),$K$2),$K$2)</f>
        <v/>
      </c>
      <c r="M42" s="131">
        <f>'CP RESUMO'!AO23</f>
        <v/>
      </c>
      <c r="N42" s="132">
        <f>MAX(0,M42-M41)</f>
        <v/>
      </c>
      <c r="O42" s="131">
        <f>IF(B42&lt;='VALOR POR PL'!$P$5,'CP RESUMO'!AO65,"")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RESUMO'!AP23</f>
        <v/>
      </c>
      <c r="N43" s="132">
        <f>MAX(0,M43-M42)</f>
        <v/>
      </c>
      <c r="O43" s="131">
        <f>IF(B43&lt;='VALOR POR PL'!$P$5,'CP RESUMO'!AP65,"")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RESUMO'!AQ23</f>
        <v/>
      </c>
      <c r="N44" s="132">
        <f>MAX(0,M44-M43)</f>
        <v/>
      </c>
      <c r="O44" s="131">
        <f>IF(B44&lt;='VALOR POR PL'!$P$5,'CP RESUMO'!AQ65,"")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RESUMO'!AR23</f>
        <v/>
      </c>
      <c r="N45" s="132">
        <f>MAX(0,M45-M44)</f>
        <v/>
      </c>
      <c r="O45" s="131">
        <f>IF(B45&lt;='VALOR POR PL'!$P$5,'CP RESUMO'!AR65,"")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RESUMO'!AS23</f>
        <v/>
      </c>
      <c r="N46" s="132">
        <f>MAX(0,M46-M45)</f>
        <v/>
      </c>
      <c r="O46" s="131">
        <f>IF(B46&lt;='VALOR POR PL'!$P$5,'CP RESUMO'!AS65,"")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RESUMO'!AT23</f>
        <v/>
      </c>
      <c r="N47" s="132">
        <f>MAX(0,M47-M46)</f>
        <v/>
      </c>
      <c r="O47" s="131">
        <f>IF(B47&lt;='VALOR POR PL'!$P$5,'CP RESUMO'!AT65,"")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RESUMO'!AU23</f>
        <v/>
      </c>
      <c r="N48" s="132">
        <f>MAX(0,M48-M47)</f>
        <v/>
      </c>
      <c r="O48" s="131">
        <f>IF(B48&lt;='VALOR POR PL'!$P$5,'CP RESUMO'!AU65,"")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RESUMO'!AV23</f>
        <v/>
      </c>
      <c r="N49" s="132">
        <f>MAX(0,M49-M48)</f>
        <v/>
      </c>
      <c r="O49" s="131">
        <f>IF(B49&lt;='VALOR POR PL'!$P$5,'CP RESUMO'!AV65,"")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RESUMO'!AW23</f>
        <v/>
      </c>
      <c r="N50" s="132">
        <f>MAX(0,M50-M49)</f>
        <v/>
      </c>
      <c r="O50" s="131">
        <f>IF(B50&lt;='VALOR POR PL'!$P$5,'CP RESUMO'!AW65,"")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RESUMO'!AX23</f>
        <v/>
      </c>
      <c r="N51" s="132">
        <f>MAX(0,M51-M50)</f>
        <v/>
      </c>
      <c r="O51" s="131">
        <f>IF(B51&lt;='VALOR POR PL'!$P$5,'CP RESUMO'!AX65,"")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RESUMO'!AY23</f>
        <v/>
      </c>
      <c r="N52" s="132">
        <f>MAX(0,M52-M51)</f>
        <v/>
      </c>
      <c r="O52" s="131">
        <f>IF(B52&lt;='VALOR POR PL'!$P$5,'CP RESUMO'!AY65,"")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RESUMO'!AZ23</f>
        <v/>
      </c>
      <c r="N53" s="132">
        <f>MAX(0,M53-M52)</f>
        <v/>
      </c>
      <c r="O53" s="131">
        <f>IF(B53&lt;='VALOR POR PL'!$P$5,'CP RESUMO'!AZ65,"")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RESUMO'!BA23</f>
        <v/>
      </c>
      <c r="N54" s="132">
        <f>MAX(0,M54-M53)</f>
        <v/>
      </c>
      <c r="O54" s="131">
        <f>IF(B54&lt;='VALOR POR PL'!$P$5,'CP RESUMO'!BA65,"")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RESUMO'!BB23</f>
        <v/>
      </c>
      <c r="N55" s="132">
        <f>MAX(0,M55-M54)</f>
        <v/>
      </c>
      <c r="O55" s="131">
        <f>IF(B55&lt;='VALOR POR PL'!$P$5,'CP RESUMO'!BB65,"")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RESUMO'!BC23</f>
        <v/>
      </c>
      <c r="N56" s="132">
        <f>MAX(0,M56-M55)</f>
        <v/>
      </c>
      <c r="O56" s="131">
        <f>IF(B56&lt;='VALOR POR PL'!$P$5,'CP RESUMO'!BC65,"")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RESUMO'!BD23</f>
        <v/>
      </c>
      <c r="N57" s="132">
        <f>MAX(0,M57-M56)</f>
        <v/>
      </c>
      <c r="O57" s="131">
        <f>IF(B57&lt;='VALOR POR PL'!$P$5,'CP RESUMO'!BD65,"")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RESUMO'!BE23</f>
        <v/>
      </c>
      <c r="N58" s="132">
        <f>MAX(0,M58-M57)</f>
        <v/>
      </c>
      <c r="O58" s="131">
        <f>IF(B58&lt;='VALOR POR PL'!$P$5,'CP RESUMO'!BE65,"")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RESUMO'!BF23</f>
        <v/>
      </c>
      <c r="N59" s="132">
        <f>MAX(0,M59-M58)</f>
        <v/>
      </c>
      <c r="O59" s="131">
        <f>IF(B59&lt;='VALOR POR PL'!$P$5,'CP RESUMO'!BF65,"")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RESUMO'!BG23</f>
        <v/>
      </c>
      <c r="N60" s="132">
        <f>MAX(0,M60-M59)</f>
        <v/>
      </c>
      <c r="O60" s="131">
        <f>IF(B60&lt;='VALOR POR PL'!$P$5,'CP RESUMO'!BG65,"")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RESUMO'!BH23</f>
        <v/>
      </c>
      <c r="N61" s="132">
        <f>MAX(0,M61-M60)</f>
        <v/>
      </c>
      <c r="O61" s="131">
        <f>IF(B61&lt;='VALOR POR PL'!$P$5,'CP RESUMO'!BH65,"")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RESUMO'!BI23</f>
        <v/>
      </c>
      <c r="N62" s="132">
        <f>MAX(0,M62-M61)</f>
        <v/>
      </c>
      <c r="O62" s="131">
        <f>IF(B62&lt;='VALOR POR PL'!$P$5,'CP RESUMO'!BI65,"")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RESUMO'!BJ23</f>
        <v/>
      </c>
      <c r="N63" s="132">
        <f>MAX(0,M63-M62)</f>
        <v/>
      </c>
      <c r="O63" s="131">
        <f>IF(B63&lt;='VALOR POR PL'!$P$5,'CP RESUMO'!BJ65,"")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RESUMO'!BK23</f>
        <v/>
      </c>
      <c r="N64" s="132">
        <f>MAX(0,M64-M63)</f>
        <v/>
      </c>
      <c r="O64" s="131">
        <f>IF(B64&lt;='VALOR POR PL'!$P$5,'CP RESUMO'!BK65,"")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RESUMO'!BL23</f>
        <v/>
      </c>
      <c r="N65" s="132">
        <f>MAX(0,M65-M64)</f>
        <v/>
      </c>
      <c r="O65" s="131">
        <f>IF(B65&lt;='VALOR POR PL'!$P$5,'CP RESUMO'!BL65,"")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RESUMO'!BM23</f>
        <v/>
      </c>
      <c r="N66" s="132">
        <f>MAX(0,M66-M65)</f>
        <v/>
      </c>
      <c r="O66" s="131">
        <f>IF(B66&lt;='VALOR POR PL'!$P$5,'CP RESUMO'!BM65,"")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RESUMO'!BN23</f>
        <v/>
      </c>
      <c r="N67" s="132">
        <f>MAX(0,M67-M66)</f>
        <v/>
      </c>
      <c r="O67" s="131">
        <f>IF(B67&lt;='VALOR POR PL'!$P$5,'CP RESUMO'!BN65,"")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RESUMO'!BO23</f>
        <v/>
      </c>
      <c r="N68" s="132">
        <f>MAX(0,M68-M67)</f>
        <v/>
      </c>
      <c r="O68" s="131">
        <f>IF(B68&lt;='VALOR POR PL'!$P$5,'CP RESUMO'!BO65,"")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RESUMO'!BP23</f>
        <v/>
      </c>
      <c r="N69" s="132">
        <f>MAX(0,M69-M68)</f>
        <v/>
      </c>
      <c r="O69" s="131">
        <f>IF(B69&lt;='VALOR POR PL'!$P$5,'CP RESUMO'!BP65,"")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RESUMO'!BQ23</f>
        <v/>
      </c>
      <c r="N70" s="132">
        <f>MAX(0,M70-M69)</f>
        <v/>
      </c>
      <c r="O70" s="131">
        <f>IF(B70&lt;='VALOR POR PL'!$P$5,'CP RESUMO'!BQ65,"")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RESUMO'!BR23</f>
        <v/>
      </c>
      <c r="N71" s="132">
        <f>MAX(0,M71-M70)</f>
        <v/>
      </c>
      <c r="O71" s="131">
        <f>IF(B71&lt;='VALOR POR PL'!$P$5,'CP RESUMO'!BR65,"")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RESUMO'!BS23</f>
        <v/>
      </c>
      <c r="N72" s="132">
        <f>MAX(0,M72-M71)</f>
        <v/>
      </c>
      <c r="O72" s="131">
        <f>IF(B72&lt;='VALOR POR PL'!$P$5,'CP RESUMO'!BS65,"")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RESUMO'!BT23</f>
        <v/>
      </c>
      <c r="N73" s="132">
        <f>MAX(0,M73-M72)</f>
        <v/>
      </c>
      <c r="O73" s="131">
        <f>IF(B73&lt;='VALOR POR PL'!$P$5,'CP RESUMO'!BT65,"")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RESUMO'!BU23</f>
        <v/>
      </c>
      <c r="N74" s="132">
        <f>MAX(0,M74-M73)</f>
        <v/>
      </c>
      <c r="O74" s="131">
        <f>IF(B74&lt;='VALOR POR PL'!$P$5,'CP RESUMO'!BU65,"")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RESUMO'!BV23</f>
        <v/>
      </c>
      <c r="N75" s="132">
        <f>MAX(0,M75-M74)</f>
        <v/>
      </c>
      <c r="O75" s="131">
        <f>IF(B75&lt;='VALOR POR PL'!$P$5,'CP RESUMO'!BV65,"")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RESUMO'!BW23</f>
        <v/>
      </c>
      <c r="N76" s="132">
        <f>MAX(0,M76-M75)</f>
        <v/>
      </c>
      <c r="O76" s="131">
        <f>IF(B76&lt;='VALOR POR PL'!$P$5,'CP RESUMO'!BW65,"")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HISTORICOS'!D24)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PL'!F30</f>
        <v/>
      </c>
      <c r="K5" s="60">
        <f>'VALOR POR PL'!G30</f>
        <v/>
      </c>
      <c r="L5" s="60">
        <f>'DADOS HISTORICOS'!$BZ$24</f>
        <v/>
      </c>
      <c r="M5" s="131">
        <f>'CP RESUMO'!D24</f>
        <v/>
      </c>
      <c r="N5" s="132" t="n">
        <v>0</v>
      </c>
      <c r="O5" s="131">
        <f>IF(B5&lt;='VALOR POR PL'!$P$5,'CP RESUMO'!D66,"")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HISTORICOS'!E24)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PL'!H30</f>
        <v/>
      </c>
      <c r="L6" s="49">
        <f>C6/IF(B6&lt;='VALOR POR PL'!$P$5,IFERROR(INDEX('"INCC-FGV"'!$B$2:$B$800,MATCH(B6,'"INCC-FGV"'!$A$2:$A$800,0)),$K$2),$K$2)</f>
        <v/>
      </c>
      <c r="M6" s="131">
        <f>'CP RESUMO'!E24</f>
        <v/>
      </c>
      <c r="N6" s="132">
        <f>MAX(0,M6-M5)</f>
        <v/>
      </c>
      <c r="O6" s="131">
        <f>IF(B6&lt;='VALOR POR PL'!$P$5,'CP RESUMO'!E66,"")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HISTORICOS'!F24)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RESUMO'!F24</f>
        <v/>
      </c>
      <c r="N7" s="132">
        <f>MAX(0,M7-M6)</f>
        <v/>
      </c>
      <c r="O7" s="131">
        <f>IF(B7&lt;='VALOR POR PL'!$P$5,'CP RESUMO'!F66,"")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HISTORICOS'!G24)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RESUMO'!G24</f>
        <v/>
      </c>
      <c r="N8" s="132">
        <f>MAX(0,M8-M7)</f>
        <v/>
      </c>
      <c r="O8" s="131">
        <f>IF(B8&lt;='VALOR POR PL'!$P$5,'CP RESUMO'!G66,"")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HISTORICOS'!H24)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RESUMO'!H24</f>
        <v/>
      </c>
      <c r="N9" s="132">
        <f>MAX(0,M9-M8)</f>
        <v/>
      </c>
      <c r="O9" s="131">
        <f>IF(B9&lt;='VALOR POR PL'!$P$5,'CP RESUMO'!H66,"")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RESUMO'!I24</f>
        <v/>
      </c>
      <c r="N10" s="132">
        <f>MAX(0,M10-M9)</f>
        <v/>
      </c>
      <c r="O10" s="131">
        <f>IF(B10&lt;='VALOR POR PL'!$P$5,'CP RESUMO'!I66,"")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RESUMO'!J24</f>
        <v/>
      </c>
      <c r="N11" s="132">
        <f>MAX(0,M11-M10)</f>
        <v/>
      </c>
      <c r="O11" s="131">
        <f>IF(B11&lt;='VALOR POR PL'!$P$5,'CP RESUMO'!J66,"")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RESUMO'!K24</f>
        <v/>
      </c>
      <c r="N12" s="132">
        <f>MAX(0,M12-M11)</f>
        <v/>
      </c>
      <c r="O12" s="131">
        <f>IF(B12&lt;='VALOR POR PL'!$P$5,'CP RESUMO'!K66,"")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PL'!I30</f>
        <v/>
      </c>
      <c r="L13" s="49">
        <f>C13/IF(B13&lt;='VALOR POR PL'!$P$5,IFERROR(INDEX('"INCC-FGV"'!$B$2:$B$800,MATCH(B13,'"INCC-FGV"'!$A$2:$A$800,0)),$K$2),$K$2)</f>
        <v/>
      </c>
      <c r="M13" s="131">
        <f>'CP RESUMO'!L24</f>
        <v/>
      </c>
      <c r="N13" s="132">
        <f>MAX(0,M13-M12)</f>
        <v/>
      </c>
      <c r="O13" s="131">
        <f>IF(B13&lt;='VALOR POR PL'!$P$5,'CP RESUMO'!L66,"")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RESUMO'!$D$66:$BW$66,MATCH('VALOR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RESUMO'!M24</f>
        <v/>
      </c>
      <c r="N14" s="132">
        <f>MAX(0,M14-M13)</f>
        <v/>
      </c>
      <c r="O14" s="131">
        <f>IF(B14&lt;='VALOR POR PL'!$P$5,'CP RESUMO'!M66,"")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RESUMO'!N24</f>
        <v/>
      </c>
      <c r="N15" s="132">
        <f>MAX(0,M15-M14)</f>
        <v/>
      </c>
      <c r="O15" s="131">
        <f>IF(B15&lt;='VALOR POR PL'!$P$5,'CP RESUMO'!N66,"")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RESUMO'!O24</f>
        <v/>
      </c>
      <c r="N16" s="132">
        <f>MAX(0,M16-M15)</f>
        <v/>
      </c>
      <c r="O16" s="131">
        <f>IF(B16&lt;='VALOR POR PL'!$P$5,'CP RESUMO'!O66,"")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RESUMO'!P24</f>
        <v/>
      </c>
      <c r="N17" s="132">
        <f>MAX(0,M17-M16)</f>
        <v/>
      </c>
      <c r="O17" s="131">
        <f>IF(B17&lt;='VALOR POR PL'!$P$5,'CP RESUMO'!P66,"")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RESUMO'!Q24</f>
        <v/>
      </c>
      <c r="N18" s="132">
        <f>MAX(0,M18-M17)</f>
        <v/>
      </c>
      <c r="O18" s="131">
        <f>IF(B18&lt;='VALOR POR PL'!$P$5,'CP RESUMO'!Q66,"")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RESUMO'!R24</f>
        <v/>
      </c>
      <c r="N19" s="132">
        <f>MAX(0,M19-M18)</f>
        <v/>
      </c>
      <c r="O19" s="131">
        <f>IF(B19&lt;='VALOR POR PL'!$P$5,'CP RESUMO'!R66,"")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RESUMO'!S24</f>
        <v/>
      </c>
      <c r="N20" s="132">
        <f>MAX(0,M20-M19)</f>
        <v/>
      </c>
      <c r="O20" s="131">
        <f>IF(B20&lt;='VALOR POR PL'!$P$5,'CP RESUMO'!S66,"")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RESUMO'!T24</f>
        <v/>
      </c>
      <c r="N21" s="132">
        <f>MAX(0,M21-M20)</f>
        <v/>
      </c>
      <c r="O21" s="131">
        <f>IF(B21&lt;='VALOR POR PL'!$P$5,'CP RESUMO'!T66,"")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RESUMO'!U24</f>
        <v/>
      </c>
      <c r="N22" s="132">
        <f>MAX(0,M22-M21)</f>
        <v/>
      </c>
      <c r="O22" s="131">
        <f>IF(B22&lt;='VALOR POR PL'!$P$5,'CP RESUMO'!U66,"")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RESUMO'!V24</f>
        <v/>
      </c>
      <c r="N23" s="132">
        <f>MAX(0,M23-M22)</f>
        <v/>
      </c>
      <c r="O23" s="131">
        <f>IF(B23&lt;='VALOR POR PL'!$P$5,'CP RESUMO'!V66,"")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RESUMO'!W24</f>
        <v/>
      </c>
      <c r="N24" s="132">
        <f>MAX(0,M24-M23)</f>
        <v/>
      </c>
      <c r="O24" s="131">
        <f>IF(B24&lt;='VALOR POR PL'!$P$5,'CP RESUMO'!W66,"")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RESUMO'!X24</f>
        <v/>
      </c>
      <c r="N25" s="132">
        <f>MAX(0,M25-M24)</f>
        <v/>
      </c>
      <c r="O25" s="131">
        <f>IF(B25&lt;='VALOR POR PL'!$P$5,'CP RESUMO'!X66,"")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61700.27</v>
      </c>
      <c r="L26" s="49">
        <f>C26/IF(B26&lt;='VALOR POR PL'!$P$5,IFERROR(INDEX('"INCC-FGV"'!$B$2:$B$800,MATCH(B26,'"INCC-FGV"'!$A$2:$A$800,0)),$K$2),$K$2)</f>
        <v/>
      </c>
      <c r="M26" s="131">
        <f>'CP RESUMO'!Y24</f>
        <v/>
      </c>
      <c r="N26" s="132">
        <f>MAX(0,M26-M25)</f>
        <v/>
      </c>
      <c r="O26" s="131">
        <f>IF(B26&lt;='VALOR POR PL'!$P$5,'CP RESUMO'!Y66,"")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111856.75</v>
      </c>
      <c r="L27" s="49">
        <f>C27/IF(B27&lt;='VALOR POR PL'!$P$5,IFERROR(INDEX('"INCC-FGV"'!$B$2:$B$800,MATCH(B27,'"INCC-FGV"'!$A$2:$A$800,0)),$K$2),$K$2)</f>
        <v/>
      </c>
      <c r="M27" s="131">
        <f>'CP RESUMO'!Z24</f>
        <v/>
      </c>
      <c r="N27" s="132">
        <f>MAX(0,M27-M26)</f>
        <v/>
      </c>
      <c r="O27" s="131">
        <f>IF(B27&lt;='VALOR POR PL'!$P$5,'CP RESUMO'!Z66,"")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165179.61</v>
      </c>
      <c r="L28" s="49">
        <f>C28/IF(B28&lt;='VALOR POR PL'!$P$5,IFERROR(INDEX('"INCC-FGV"'!$B$2:$B$800,MATCH(B28,'"INCC-FGV"'!$A$2:$A$800,0)),$K$2),$K$2)</f>
        <v/>
      </c>
      <c r="M28" s="131">
        <f>'CP RESUMO'!AA24</f>
        <v/>
      </c>
      <c r="N28" s="132">
        <f>MAX(0,M28-M27)</f>
        <v/>
      </c>
      <c r="O28" s="131">
        <f>IF(B28&lt;='VALOR POR PL'!$P$5,'CP RESUMO'!AA66,"")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131060.6</v>
      </c>
      <c r="L29" s="49">
        <f>C29/IF(B29&lt;='VALOR POR PL'!$P$5,IFERROR(INDEX('"INCC-FGV"'!$B$2:$B$800,MATCH(B29,'"INCC-FGV"'!$A$2:$A$800,0)),$K$2),$K$2)</f>
        <v/>
      </c>
      <c r="M29" s="131">
        <f>'CP RESUMO'!AB24</f>
        <v/>
      </c>
      <c r="N29" s="132">
        <f>MAX(0,M29-M28)</f>
        <v/>
      </c>
      <c r="O29" s="131">
        <f>IF(B29&lt;='VALOR POR PL'!$P$5,'CP RESUMO'!AB66,"")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149288.74</v>
      </c>
      <c r="L30" s="49">
        <f>C30/IF(B30&lt;='VALOR POR PL'!$P$5,IFERROR(INDEX('"INCC-FGV"'!$B$2:$B$800,MATCH(B30,'"INCC-FGV"'!$A$2:$A$800,0)),$K$2),$K$2)</f>
        <v/>
      </c>
      <c r="M30" s="131">
        <f>'CP RESUMO'!AC24</f>
        <v/>
      </c>
      <c r="N30" s="132">
        <f>MAX(0,M30-M29)</f>
        <v/>
      </c>
      <c r="O30" s="131">
        <f>IF(B30&lt;='VALOR POR PL'!$P$5,'CP RESUMO'!AC66,"")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188806.34</v>
      </c>
      <c r="L31" s="49">
        <f>C31/IF(B31&lt;='VALOR POR PL'!$P$5,IFERROR(INDEX('"INCC-FGV"'!$B$2:$B$800,MATCH(B31,'"INCC-FGV"'!$A$2:$A$800,0)),$K$2),$K$2)</f>
        <v/>
      </c>
      <c r="M31" s="131">
        <f>'CP RESUMO'!AD24</f>
        <v/>
      </c>
      <c r="N31" s="132">
        <f>MAX(0,M31-M30)</f>
        <v/>
      </c>
      <c r="O31" s="131">
        <f>IF(B31&lt;='VALOR POR PL'!$P$5,'CP RESUMO'!AD66,"")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246307.64</v>
      </c>
      <c r="L32" s="49">
        <f>C32/IF(B32&lt;='VALOR POR PL'!$P$5,IFERROR(INDEX('"INCC-FGV"'!$B$2:$B$800,MATCH(B32,'"INCC-FGV"'!$A$2:$A$800,0)),$K$2),$K$2)</f>
        <v/>
      </c>
      <c r="M32" s="131">
        <f>'CP RESUMO'!AE24</f>
        <v/>
      </c>
      <c r="N32" s="132">
        <f>MAX(0,M32-M31)</f>
        <v/>
      </c>
      <c r="O32" s="131">
        <f>IF(B32&lt;='VALOR POR PL'!$P$5,'CP RESUMO'!AE66,"")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225553.41</v>
      </c>
      <c r="L33" s="49">
        <f>C33/IF(B33&lt;='VALOR POR PL'!$P$5,IFERROR(INDEX('"INCC-FGV"'!$B$2:$B$800,MATCH(B33,'"INCC-FGV"'!$A$2:$A$800,0)),$K$2),$K$2)</f>
        <v/>
      </c>
      <c r="M33" s="131">
        <f>'CP RESUMO'!AF24</f>
        <v/>
      </c>
      <c r="N33" s="132">
        <f>MAX(0,M33-M32)</f>
        <v/>
      </c>
      <c r="O33" s="131">
        <f>IF(B33&lt;='VALOR POR PL'!$P$5,'CP RESUMO'!AF66,"")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224144.24</v>
      </c>
      <c r="L34" s="49">
        <f>C34/IF(B34&lt;='VALOR POR PL'!$P$5,IFERROR(INDEX('"INCC-FGV"'!$B$2:$B$800,MATCH(B34,'"INCC-FGV"'!$A$2:$A$800,0)),$K$2),$K$2)</f>
        <v/>
      </c>
      <c r="M34" s="131">
        <f>'CP RESUMO'!AG24</f>
        <v/>
      </c>
      <c r="N34" s="132">
        <f>MAX(0,M34-M33)</f>
        <v/>
      </c>
      <c r="O34" s="131">
        <f>IF(B34&lt;='VALOR POR PL'!$P$5,'CP RESUMO'!AG66,"")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222955.82</v>
      </c>
      <c r="L35" s="49">
        <f>C35/IF(B35&lt;='VALOR POR PL'!$P$5,IFERROR(INDEX('"INCC-FGV"'!$B$2:$B$800,MATCH(B35,'"INCC-FGV"'!$A$2:$A$800,0)),$K$2),$K$2)</f>
        <v/>
      </c>
      <c r="M35" s="131">
        <f>'CP RESUMO'!AH24</f>
        <v/>
      </c>
      <c r="N35" s="132">
        <f>MAX(0,M35-M34)</f>
        <v/>
      </c>
      <c r="O35" s="131">
        <f>IF(B35&lt;='VALOR POR PL'!$P$5,'CP RESUMO'!AH66,"")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435582.23</v>
      </c>
      <c r="L36" s="49">
        <f>C36/IF(B36&lt;='VALOR POR PL'!$P$5,IFERROR(INDEX('"INCC-FGV"'!$B$2:$B$800,MATCH(B36,'"INCC-FGV"'!$A$2:$A$800,0)),$K$2),$K$2)</f>
        <v/>
      </c>
      <c r="M36" s="131">
        <f>'CP RESUMO'!AI24</f>
        <v/>
      </c>
      <c r="N36" s="132">
        <f>MAX(0,M36-M35)</f>
        <v/>
      </c>
      <c r="O36" s="131">
        <f>IF(B36&lt;='VALOR POR PL'!$P$5,'CP RESUMO'!AI66,"")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397162.69</v>
      </c>
      <c r="L37" s="49">
        <f>C37/IF(B37&lt;='VALOR POR PL'!$P$5,IFERROR(INDEX('"INCC-FGV"'!$B$2:$B$800,MATCH(B37,'"INCC-FGV"'!$A$2:$A$800,0)),$K$2),$K$2)</f>
        <v/>
      </c>
      <c r="M37" s="131">
        <f>'CP RESUMO'!AJ24</f>
        <v/>
      </c>
      <c r="N37" s="132">
        <f>MAX(0,M37-M36)</f>
        <v/>
      </c>
      <c r="O37" s="131">
        <f>IF(B37&lt;='VALOR POR PL'!$P$5,'CP RESUMO'!AJ66,"")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390671.44</v>
      </c>
      <c r="L38" s="49">
        <f>C38/IF(B38&lt;='VALOR POR PL'!$P$5,IFERROR(INDEX('"INCC-FGV"'!$B$2:$B$800,MATCH(B38,'"INCC-FGV"'!$A$2:$A$800,0)),$K$2),$K$2)</f>
        <v/>
      </c>
      <c r="M38" s="131">
        <f>'CP RESUMO'!AK24</f>
        <v/>
      </c>
      <c r="N38" s="132">
        <f>MAX(0,M38-M37)</f>
        <v/>
      </c>
      <c r="O38" s="131">
        <f>IF(B38&lt;='VALOR POR PL'!$P$5,'CP RESUMO'!AK66,"")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393220.84</v>
      </c>
      <c r="L39" s="49">
        <f>C39/IF(B39&lt;='VALOR POR PL'!$P$5,IFERROR(INDEX('"INCC-FGV"'!$B$2:$B$800,MATCH(B39,'"INCC-FGV"'!$A$2:$A$800,0)),$K$2),$K$2)</f>
        <v/>
      </c>
      <c r="M39" s="131">
        <f>'CP RESUMO'!AL24</f>
        <v/>
      </c>
      <c r="N39" s="132">
        <f>MAX(0,M39-M38)</f>
        <v/>
      </c>
      <c r="O39" s="131">
        <f>IF(B39&lt;='VALOR POR PL'!$P$5,'CP RESUMO'!AL66,"")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467610.51</v>
      </c>
      <c r="L40" s="49">
        <f>C40/IF(B40&lt;='VALOR POR PL'!$P$5,IFERROR(INDEX('"INCC-FGV"'!$B$2:$B$800,MATCH(B40,'"INCC-FGV"'!$A$2:$A$800,0)),$K$2),$K$2)</f>
        <v/>
      </c>
      <c r="M40" s="131">
        <f>'CP RESUMO'!AM24</f>
        <v/>
      </c>
      <c r="N40" s="132">
        <f>MAX(0,M40-M39)</f>
        <v/>
      </c>
      <c r="O40" s="131">
        <f>IF(B40&lt;='VALOR POR PL'!$P$5,'CP RESUMO'!AM66,"")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441433.45</v>
      </c>
      <c r="L41" s="49">
        <f>C41/IF(B41&lt;='VALOR POR PL'!$P$5,IFERROR(INDEX('"INCC-FGV"'!$B$2:$B$800,MATCH(B41,'"INCC-FGV"'!$A$2:$A$800,0)),$K$2),$K$2)</f>
        <v/>
      </c>
      <c r="M41" s="131">
        <f>'CP RESUMO'!AN24</f>
        <v/>
      </c>
      <c r="N41" s="132">
        <f>MAX(0,M41-M40)</f>
        <v/>
      </c>
      <c r="O41" s="131">
        <f>IF(B41&lt;='VALOR POR PL'!$P$5,'CP RESUMO'!AN66,"")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934984.97</v>
      </c>
      <c r="L42" s="49">
        <f>C42/IF(B42&lt;='VALOR POR PL'!$P$5,IFERROR(INDEX('"INCC-FGV"'!$B$2:$B$800,MATCH(B42,'"INCC-FGV"'!$A$2:$A$800,0)),$K$2),$K$2)</f>
        <v/>
      </c>
      <c r="M42" s="131">
        <f>'CP RESUMO'!AO24</f>
        <v/>
      </c>
      <c r="N42" s="132">
        <f>MAX(0,M42-M41)</f>
        <v/>
      </c>
      <c r="O42" s="131">
        <f>IF(B42&lt;='VALOR POR PL'!$P$5,'CP RESUMO'!AO66,"")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767664.4</v>
      </c>
      <c r="L43" s="49">
        <f>C43/IF(B43&lt;='VALOR POR PL'!$P$5,IFERROR(INDEX('"INCC-FGV"'!$B$2:$B$800,MATCH(B43,'"INCC-FGV"'!$A$2:$A$800,0)),$K$2),$K$2)</f>
        <v/>
      </c>
      <c r="M43" s="131">
        <f>'CP RESUMO'!AP24</f>
        <v/>
      </c>
      <c r="N43" s="132">
        <f>MAX(0,M43-M42)</f>
        <v/>
      </c>
      <c r="O43" s="131">
        <f>IF(B43&lt;='VALOR POR PL'!$P$5,'CP RESUMO'!AP66,"")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784149.83</v>
      </c>
      <c r="L44" s="49">
        <f>C44/IF(B44&lt;='VALOR POR PL'!$P$5,IFERROR(INDEX('"INCC-FGV"'!$B$2:$B$800,MATCH(B44,'"INCC-FGV"'!$A$2:$A$800,0)),$K$2),$K$2)</f>
        <v/>
      </c>
      <c r="M44" s="131">
        <f>'CP RESUMO'!AQ24</f>
        <v/>
      </c>
      <c r="N44" s="132">
        <f>MAX(0,M44-M43)</f>
        <v/>
      </c>
      <c r="O44" s="131">
        <f>IF(B44&lt;='VALOR POR PL'!$P$5,'CP RESUMO'!AQ66,"")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337037.34</v>
      </c>
      <c r="L45" s="49">
        <f>C45/IF(B45&lt;='VALOR POR PL'!$P$5,IFERROR(INDEX('"INCC-FGV"'!$B$2:$B$800,MATCH(B45,'"INCC-FGV"'!$A$2:$A$800,0)),$K$2),$K$2)</f>
        <v/>
      </c>
      <c r="M45" s="131">
        <f>'CP RESUMO'!AR24</f>
        <v/>
      </c>
      <c r="N45" s="132">
        <f>MAX(0,M45-M44)</f>
        <v/>
      </c>
      <c r="O45" s="131">
        <f>IF(B45&lt;='VALOR POR PL'!$P$5,'CP RESUMO'!AR66,"")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207812.12</v>
      </c>
      <c r="L46" s="49">
        <f>C46/IF(B46&lt;='VALOR POR PL'!$P$5,IFERROR(INDEX('"INCC-FGV"'!$B$2:$B$800,MATCH(B46,'"INCC-FGV"'!$A$2:$A$800,0)),$K$2),$K$2)</f>
        <v/>
      </c>
      <c r="M46" s="131">
        <f>'CP RESUMO'!AS24</f>
        <v/>
      </c>
      <c r="N46" s="132">
        <f>MAX(0,M46-M45)</f>
        <v/>
      </c>
      <c r="O46" s="131">
        <f>IF(B46&lt;='VALOR POR PL'!$P$5,'CP RESUMO'!AS66,"")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144172.44</v>
      </c>
      <c r="L47" s="49">
        <f>C47/IF(B47&lt;='VALOR POR PL'!$P$5,IFERROR(INDEX('"INCC-FGV"'!$B$2:$B$800,MATCH(B47,'"INCC-FGV"'!$A$2:$A$800,0)),$K$2),$K$2)</f>
        <v/>
      </c>
      <c r="M47" s="131">
        <f>'CP RESUMO'!AT24</f>
        <v/>
      </c>
      <c r="N47" s="132">
        <f>MAX(0,M47-M46)</f>
        <v/>
      </c>
      <c r="O47" s="131">
        <f>IF(B47&lt;='VALOR POR PL'!$P$5,'CP RESUMO'!AT66,"")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105324.5</v>
      </c>
      <c r="L48" s="49">
        <f>C48/IF(B48&lt;='VALOR POR PL'!$P$5,IFERROR(INDEX('"INCC-FGV"'!$B$2:$B$800,MATCH(B48,'"INCC-FGV"'!$A$2:$A$800,0)),$K$2),$K$2)</f>
        <v/>
      </c>
      <c r="M48" s="131">
        <f>'CP RESUMO'!AU24</f>
        <v/>
      </c>
      <c r="N48" s="132">
        <f>MAX(0,M48-M47)</f>
        <v/>
      </c>
      <c r="O48" s="131">
        <f>IF(B48&lt;='VALOR POR PL'!$P$5,'CP RESUMO'!AU66,"")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48359.25</v>
      </c>
      <c r="L49" s="49">
        <f>C49/IF(B49&lt;='VALOR POR PL'!$P$5,IFERROR(INDEX('"INCC-FGV"'!$B$2:$B$800,MATCH(B49,'"INCC-FGV"'!$A$2:$A$800,0)),$K$2),$K$2)</f>
        <v/>
      </c>
      <c r="M49" s="131">
        <f>'CP RESUMO'!AV24</f>
        <v/>
      </c>
      <c r="N49" s="132">
        <f>MAX(0,M49-M48)</f>
        <v/>
      </c>
      <c r="O49" s="131">
        <f>IF(B49&lt;='VALOR POR PL'!$P$5,'CP RESUMO'!AV66,"")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36042.92</v>
      </c>
      <c r="L50" s="49">
        <f>C50/IF(B50&lt;='VALOR POR PL'!$P$5,IFERROR(INDEX('"INCC-FGV"'!$B$2:$B$800,MATCH(B50,'"INCC-FGV"'!$A$2:$A$800,0)),$K$2),$K$2)</f>
        <v/>
      </c>
      <c r="M50" s="131">
        <f>'CP RESUMO'!AW24</f>
        <v/>
      </c>
      <c r="N50" s="132">
        <f>MAX(0,M50-M49)</f>
        <v/>
      </c>
      <c r="O50" s="131">
        <f>IF(B50&lt;='VALOR POR PL'!$P$5,'CP RESUMO'!AW66,"")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36042.92</v>
      </c>
      <c r="L51" s="49">
        <f>C51/IF(B51&lt;='VALOR POR PL'!$P$5,IFERROR(INDEX('"INCC-FGV"'!$B$2:$B$800,MATCH(B51,'"INCC-FGV"'!$A$2:$A$800,0)),$K$2),$K$2)</f>
        <v/>
      </c>
      <c r="M51" s="131">
        <f>'CP RESUMO'!AX24</f>
        <v/>
      </c>
      <c r="N51" s="132">
        <f>MAX(0,M51-M50)</f>
        <v/>
      </c>
      <c r="O51" s="131">
        <f>IF(B51&lt;='VALOR POR PL'!$P$5,'CP RESUMO'!AX66,"")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36042.92</v>
      </c>
      <c r="L52" s="49">
        <f>C52/IF(B52&lt;='VALOR POR PL'!$P$5,IFERROR(INDEX('"INCC-FGV"'!$B$2:$B$800,MATCH(B52,'"INCC-FGV"'!$A$2:$A$800,0)),$K$2),$K$2)</f>
        <v/>
      </c>
      <c r="M52" s="131">
        <f>'CP RESUMO'!AY24</f>
        <v/>
      </c>
      <c r="N52" s="132">
        <f>MAX(0,M52-M51)</f>
        <v/>
      </c>
      <c r="O52" s="131">
        <f>IF(B52&lt;='VALOR POR PL'!$P$5,'CP RESUMO'!AY66,"")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>
        <v>36042.92</v>
      </c>
      <c r="L53" s="49">
        <f>C53/IF(B53&lt;='VALOR POR PL'!$P$5,IFERROR(INDEX('"INCC-FGV"'!$B$2:$B$800,MATCH(B53,'"INCC-FGV"'!$A$2:$A$800,0)),$K$2),$K$2)</f>
        <v/>
      </c>
      <c r="M53" s="131">
        <f>'CP RESUMO'!AZ24</f>
        <v/>
      </c>
      <c r="N53" s="132">
        <f>MAX(0,M53-M52)</f>
        <v/>
      </c>
      <c r="O53" s="131">
        <f>IF(B53&lt;='VALOR POR PL'!$P$5,'CP RESUMO'!AZ66,"")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RESUMO'!BA24</f>
        <v/>
      </c>
      <c r="N54" s="132">
        <f>MAX(0,M54-M53)</f>
        <v/>
      </c>
      <c r="O54" s="131">
        <f>IF(B54&lt;='VALOR POR PL'!$P$5,'CP RESUMO'!BA66,"")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RESUMO'!BB24</f>
        <v/>
      </c>
      <c r="N55" s="132">
        <f>MAX(0,M55-M54)</f>
        <v/>
      </c>
      <c r="O55" s="131">
        <f>IF(B55&lt;='VALOR POR PL'!$P$5,'CP RESUMO'!BB66,"")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>
        <v>517382.46</v>
      </c>
      <c r="L56" s="49">
        <f>C56/IF(B56&lt;='VALOR POR PL'!$P$5,IFERROR(INDEX('"INCC-FGV"'!$B$2:$B$800,MATCH(B56,'"INCC-FGV"'!$A$2:$A$800,0)),$K$2),$K$2)</f>
        <v/>
      </c>
      <c r="M56" s="131">
        <f>'CP RESUMO'!BC24</f>
        <v/>
      </c>
      <c r="N56" s="132">
        <f>MAX(0,M56-M55)</f>
        <v/>
      </c>
      <c r="O56" s="131">
        <f>IF(B56&lt;='VALOR POR PL'!$P$5,'CP RESUMO'!BC66,"")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RESUMO'!BD24</f>
        <v/>
      </c>
      <c r="N57" s="132">
        <f>MAX(0,M57-M56)</f>
        <v/>
      </c>
      <c r="O57" s="131">
        <f>IF(B57&lt;='VALOR POR PL'!$P$5,'CP RESUMO'!BD66,"")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RESUMO'!BE24</f>
        <v/>
      </c>
      <c r="N58" s="132">
        <f>MAX(0,M58-M57)</f>
        <v/>
      </c>
      <c r="O58" s="131">
        <f>IF(B58&lt;='VALOR POR PL'!$P$5,'CP RESUMO'!BE66,"")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RESUMO'!BF24</f>
        <v/>
      </c>
      <c r="N59" s="132">
        <f>MAX(0,M59-M58)</f>
        <v/>
      </c>
      <c r="O59" s="131">
        <f>IF(B59&lt;='VALOR POR PL'!$P$5,'CP RESUMO'!BF66,"")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RESUMO'!BG24</f>
        <v/>
      </c>
      <c r="N60" s="132">
        <f>MAX(0,M60-M59)</f>
        <v/>
      </c>
      <c r="O60" s="131">
        <f>IF(B60&lt;='VALOR POR PL'!$P$5,'CP RESUMO'!BG66,"")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RESUMO'!BH24</f>
        <v/>
      </c>
      <c r="N61" s="132">
        <f>MAX(0,M61-M60)</f>
        <v/>
      </c>
      <c r="O61" s="131">
        <f>IF(B61&lt;='VALOR POR PL'!$P$5,'CP RESUMO'!BH66,"")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RESUMO'!BI24</f>
        <v/>
      </c>
      <c r="N62" s="132">
        <f>MAX(0,M62-M61)</f>
        <v/>
      </c>
      <c r="O62" s="131">
        <f>IF(B62&lt;='VALOR POR PL'!$P$5,'CP RESUMO'!BI66,"")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RESUMO'!BJ24</f>
        <v/>
      </c>
      <c r="N63" s="132">
        <f>MAX(0,M63-M62)</f>
        <v/>
      </c>
      <c r="O63" s="131">
        <f>IF(B63&lt;='VALOR POR PL'!$P$5,'CP RESUMO'!BJ66,"")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RESUMO'!BK24</f>
        <v/>
      </c>
      <c r="N64" s="132">
        <f>MAX(0,M64-M63)</f>
        <v/>
      </c>
      <c r="O64" s="131">
        <f>IF(B64&lt;='VALOR POR PL'!$P$5,'CP RESUMO'!BK66,"")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RESUMO'!BL24</f>
        <v/>
      </c>
      <c r="N65" s="132">
        <f>MAX(0,M65-M64)</f>
        <v/>
      </c>
      <c r="O65" s="131">
        <f>IF(B65&lt;='VALOR POR PL'!$P$5,'CP RESUMO'!BL66,"")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RESUMO'!BM24</f>
        <v/>
      </c>
      <c r="N66" s="132">
        <f>MAX(0,M66-M65)</f>
        <v/>
      </c>
      <c r="O66" s="131">
        <f>IF(B66&lt;='VALOR POR PL'!$P$5,'CP RESUMO'!BM66,"")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RESUMO'!BN24</f>
        <v/>
      </c>
      <c r="N67" s="132">
        <f>MAX(0,M67-M66)</f>
        <v/>
      </c>
      <c r="O67" s="131">
        <f>IF(B67&lt;='VALOR POR PL'!$P$5,'CP RESUMO'!BN66,"")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RESUMO'!BO24</f>
        <v/>
      </c>
      <c r="N68" s="132">
        <f>MAX(0,M68-M67)</f>
        <v/>
      </c>
      <c r="O68" s="131">
        <f>IF(B68&lt;='VALOR POR PL'!$P$5,'CP RESUMO'!BO66,"")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RESUMO'!BP24</f>
        <v/>
      </c>
      <c r="N69" s="132">
        <f>MAX(0,M69-M68)</f>
        <v/>
      </c>
      <c r="O69" s="131">
        <f>IF(B69&lt;='VALOR POR PL'!$P$5,'CP RESUMO'!BP66,"")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RESUMO'!BQ24</f>
        <v/>
      </c>
      <c r="N70" s="132">
        <f>MAX(0,M70-M69)</f>
        <v/>
      </c>
      <c r="O70" s="131">
        <f>IF(B70&lt;='VALOR POR PL'!$P$5,'CP RESUMO'!BQ66,"")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RESUMO'!BR24</f>
        <v/>
      </c>
      <c r="N71" s="132">
        <f>MAX(0,M71-M70)</f>
        <v/>
      </c>
      <c r="O71" s="131">
        <f>IF(B71&lt;='VALOR POR PL'!$P$5,'CP RESUMO'!BR66,"")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RESUMO'!BS24</f>
        <v/>
      </c>
      <c r="N72" s="132">
        <f>MAX(0,M72-M71)</f>
        <v/>
      </c>
      <c r="O72" s="131">
        <f>IF(B72&lt;='VALOR POR PL'!$P$5,'CP RESUMO'!BS66,"")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RESUMO'!BT24</f>
        <v/>
      </c>
      <c r="N73" s="132">
        <f>MAX(0,M73-M72)</f>
        <v/>
      </c>
      <c r="O73" s="131">
        <f>IF(B73&lt;='VALOR POR PL'!$P$5,'CP RESUMO'!BT66,"")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RESUMO'!BU24</f>
        <v/>
      </c>
      <c r="N74" s="132">
        <f>MAX(0,M74-M73)</f>
        <v/>
      </c>
      <c r="O74" s="131">
        <f>IF(B74&lt;='VALOR POR PL'!$P$5,'CP RESUMO'!BU66,"")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RESUMO'!BV24</f>
        <v/>
      </c>
      <c r="N75" s="132">
        <f>MAX(0,M75-M74)</f>
        <v/>
      </c>
      <c r="O75" s="131">
        <f>IF(B75&lt;='VALOR POR PL'!$P$5,'CP RESUMO'!BV66,"")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RESUMO'!BW24</f>
        <v/>
      </c>
      <c r="N76" s="132">
        <f>MAX(0,M76-M75)</f>
        <v/>
      </c>
      <c r="O76" s="131">
        <f>IF(B76&lt;='VALOR POR PL'!$P$5,'CP RESUMO'!BW66,"")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HISTORICOS'!D25)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PL'!F31</f>
        <v/>
      </c>
      <c r="K5" s="60">
        <f>'VALOR POR PL'!G31</f>
        <v/>
      </c>
      <c r="L5" s="60">
        <f>'DADOS HISTORICOS'!$BZ$25</f>
        <v/>
      </c>
      <c r="M5" s="131">
        <f>'CP RESUMO'!D25</f>
        <v/>
      </c>
      <c r="N5" s="132" t="n">
        <v>0</v>
      </c>
      <c r="O5" s="131">
        <f>IF(B5&lt;='VALOR POR PL'!$P$5,'CP RESUMO'!D67,"")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HISTORICOS'!E25)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PL'!H31</f>
        <v/>
      </c>
      <c r="L6" s="49">
        <f>C6/IF(B6&lt;='VALOR POR PL'!$P$5,IFERROR(INDEX('"INCC-FGV"'!$B$2:$B$800,MATCH(B6,'"INCC-FGV"'!$A$2:$A$800,0)),$K$2),$K$2)</f>
        <v/>
      </c>
      <c r="M6" s="131">
        <f>'CP RESUMO'!E25</f>
        <v/>
      </c>
      <c r="N6" s="132">
        <f>MAX(0,M6-M5)</f>
        <v/>
      </c>
      <c r="O6" s="131">
        <f>IF(B6&lt;='VALOR POR PL'!$P$5,'CP RESUMO'!E67,"")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HISTORICOS'!F25)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RESUMO'!F25</f>
        <v/>
      </c>
      <c r="N7" s="132">
        <f>MAX(0,M7-M6)</f>
        <v/>
      </c>
      <c r="O7" s="131">
        <f>IF(B7&lt;='VALOR POR PL'!$P$5,'CP RESUMO'!F67,"")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HISTORICOS'!G25)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RESUMO'!G25</f>
        <v/>
      </c>
      <c r="N8" s="132">
        <f>MAX(0,M8-M7)</f>
        <v/>
      </c>
      <c r="O8" s="131">
        <f>IF(B8&lt;='VALOR POR PL'!$P$5,'CP RESUMO'!G67,"")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HISTORICOS'!H25)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RESUMO'!H25</f>
        <v/>
      </c>
      <c r="N9" s="132">
        <f>MAX(0,M9-M8)</f>
        <v/>
      </c>
      <c r="O9" s="131">
        <f>IF(B9&lt;='VALOR POR PL'!$P$5,'CP RESUMO'!H67,"")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RESUMO'!I25</f>
        <v/>
      </c>
      <c r="N10" s="132">
        <f>MAX(0,M10-M9)</f>
        <v/>
      </c>
      <c r="O10" s="131">
        <f>IF(B10&lt;='VALOR POR PL'!$P$5,'CP RESUMO'!I67,"")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RESUMO'!J25</f>
        <v/>
      </c>
      <c r="N11" s="132">
        <f>MAX(0,M11-M10)</f>
        <v/>
      </c>
      <c r="O11" s="131">
        <f>IF(B11&lt;='VALOR POR PL'!$P$5,'CP RESUMO'!J67,"")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RESUMO'!K25</f>
        <v/>
      </c>
      <c r="N12" s="132">
        <f>MAX(0,M12-M11)</f>
        <v/>
      </c>
      <c r="O12" s="131">
        <f>IF(B12&lt;='VALOR POR PL'!$P$5,'CP RESUMO'!K67,"")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PL'!I31</f>
        <v/>
      </c>
      <c r="L13" s="49">
        <f>C13/IF(B13&lt;='VALOR POR PL'!$P$5,IFERROR(INDEX('"INCC-FGV"'!$B$2:$B$800,MATCH(B13,'"INCC-FGV"'!$A$2:$A$800,0)),$K$2),$K$2)</f>
        <v/>
      </c>
      <c r="M13" s="131">
        <f>'CP RESUMO'!L25</f>
        <v/>
      </c>
      <c r="N13" s="132">
        <f>MAX(0,M13-M12)</f>
        <v/>
      </c>
      <c r="O13" s="131">
        <f>IF(B13&lt;='VALOR POR PL'!$P$5,'CP RESUMO'!L67,"")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RESUMO'!$D$67:$BW$67,MATCH('VALOR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RESUMO'!M25</f>
        <v/>
      </c>
      <c r="N14" s="132">
        <f>MAX(0,M14-M13)</f>
        <v/>
      </c>
      <c r="O14" s="131">
        <f>IF(B14&lt;='VALOR POR PL'!$P$5,'CP RESUMO'!M67,"")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RESUMO'!N25</f>
        <v/>
      </c>
      <c r="N15" s="132">
        <f>MAX(0,M15-M14)</f>
        <v/>
      </c>
      <c r="O15" s="131">
        <f>IF(B15&lt;='VALOR POR PL'!$P$5,'CP RESUMO'!N67,"")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RESUMO'!O25</f>
        <v/>
      </c>
      <c r="N16" s="132">
        <f>MAX(0,M16-M15)</f>
        <v/>
      </c>
      <c r="O16" s="131">
        <f>IF(B16&lt;='VALOR POR PL'!$P$5,'CP RESUMO'!O67,"")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RESUMO'!P25</f>
        <v/>
      </c>
      <c r="N17" s="132">
        <f>MAX(0,M17-M16)</f>
        <v/>
      </c>
      <c r="O17" s="131">
        <f>IF(B17&lt;='VALOR POR PL'!$P$5,'CP RESUMO'!P67,"")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RESUMO'!Q25</f>
        <v/>
      </c>
      <c r="N18" s="132">
        <f>MAX(0,M18-M17)</f>
        <v/>
      </c>
      <c r="O18" s="131">
        <f>IF(B18&lt;='VALOR POR PL'!$P$5,'CP RESUMO'!Q67,"")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RESUMO'!R25</f>
        <v/>
      </c>
      <c r="N19" s="132">
        <f>MAX(0,M19-M18)</f>
        <v/>
      </c>
      <c r="O19" s="131">
        <f>IF(B19&lt;='VALOR POR PL'!$P$5,'CP RESUMO'!R67,"")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RESUMO'!S25</f>
        <v/>
      </c>
      <c r="N20" s="132">
        <f>MAX(0,M20-M19)</f>
        <v/>
      </c>
      <c r="O20" s="131">
        <f>IF(B20&lt;='VALOR POR PL'!$P$5,'CP RESUMO'!S67,"")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RESUMO'!T25</f>
        <v/>
      </c>
      <c r="N21" s="132">
        <f>MAX(0,M21-M20)</f>
        <v/>
      </c>
      <c r="O21" s="131">
        <f>IF(B21&lt;='VALOR POR PL'!$P$5,'CP RESUMO'!T67,"")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RESUMO'!U25</f>
        <v/>
      </c>
      <c r="N22" s="132">
        <f>MAX(0,M22-M21)</f>
        <v/>
      </c>
      <c r="O22" s="131">
        <f>IF(B22&lt;='VALOR POR PL'!$P$5,'CP RESUMO'!U67,"")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RESUMO'!V25</f>
        <v/>
      </c>
      <c r="N23" s="132">
        <f>MAX(0,M23-M22)</f>
        <v/>
      </c>
      <c r="O23" s="131">
        <f>IF(B23&lt;='VALOR POR PL'!$P$5,'CP RESUMO'!V67,"")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Cenário Prevision ajustado: curva prevista igual ao andamento das instalações elétricas no Prevision (VALOR POR PL!R); o realizado continua o da hidráulica.</t>
        </is>
      </c>
      <c r="L24" s="49">
        <f>C24/IF(B24&lt;='VALOR POR PL'!$P$5,IFERROR(INDEX('"INCC-FGV"'!$B$2:$B$800,MATCH(B24,'"INCC-FGV"'!$A$2:$A$800,0)),$K$2),$K$2)</f>
        <v/>
      </c>
      <c r="M24" s="131">
        <f>'CP RESUMO'!W25</f>
        <v/>
      </c>
      <c r="N24" s="132">
        <f>MAX(0,M24-M23)</f>
        <v/>
      </c>
      <c r="O24" s="131">
        <f>IF(B24&lt;='VALOR POR PL'!$P$5,'CP RESUMO'!W67,"")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RESUMO'!X25</f>
        <v/>
      </c>
      <c r="N25" s="132">
        <f>MAX(0,M25-M24)</f>
        <v/>
      </c>
      <c r="O25" s="131">
        <f>IF(B25&lt;='VALOR POR PL'!$P$5,'CP RESUMO'!X67,"")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129965.83</v>
      </c>
      <c r="L26" s="49">
        <f>C26/IF(B26&lt;='VALOR POR PL'!$P$5,IFERROR(INDEX('"INCC-FGV"'!$B$2:$B$800,MATCH(B26,'"INCC-FGV"'!$A$2:$A$800,0)),$K$2),$K$2)</f>
        <v/>
      </c>
      <c r="M26" s="131">
        <f>'CP RESUMO'!Y25</f>
        <v/>
      </c>
      <c r="N26" s="132">
        <f>MAX(0,M26-M25)</f>
        <v/>
      </c>
      <c r="O26" s="131">
        <f>IF(B26&lt;='VALOR POR PL'!$P$5,'CP RESUMO'!Y67,"")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106514.42</v>
      </c>
      <c r="L27" s="49">
        <f>C27/IF(B27&lt;='VALOR POR PL'!$P$5,IFERROR(INDEX('"INCC-FGV"'!$B$2:$B$800,MATCH(B27,'"INCC-FGV"'!$A$2:$A$800,0)),$K$2),$K$2)</f>
        <v/>
      </c>
      <c r="M27" s="131">
        <f>'CP RESUMO'!Z25</f>
        <v/>
      </c>
      <c r="N27" s="132">
        <f>MAX(0,M27-M26)</f>
        <v/>
      </c>
      <c r="O27" s="131">
        <f>IF(B27&lt;='VALOR POR PL'!$P$5,'CP RESUMO'!Z67,"")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118735.58</v>
      </c>
      <c r="L28" s="49">
        <f>C28/IF(B28&lt;='VALOR POR PL'!$P$5,IFERROR(INDEX('"INCC-FGV"'!$B$2:$B$800,MATCH(B28,'"INCC-FGV"'!$A$2:$A$800,0)),$K$2),$K$2)</f>
        <v/>
      </c>
      <c r="M28" s="131">
        <f>'CP RESUMO'!AA25</f>
        <v/>
      </c>
      <c r="N28" s="132">
        <f>MAX(0,M28-M27)</f>
        <v/>
      </c>
      <c r="O28" s="131">
        <f>IF(B28&lt;='VALOR POR PL'!$P$5,'CP RESUMO'!AA67,"")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60712.61</v>
      </c>
      <c r="L29" s="49">
        <f>C29/IF(B29&lt;='VALOR POR PL'!$P$5,IFERROR(INDEX('"INCC-FGV"'!$B$2:$B$800,MATCH(B29,'"INCC-FGV"'!$A$2:$A$800,0)),$K$2),$K$2)</f>
        <v/>
      </c>
      <c r="M29" s="131">
        <f>'CP RESUMO'!AB25</f>
        <v/>
      </c>
      <c r="N29" s="132">
        <f>MAX(0,M29-M28)</f>
        <v/>
      </c>
      <c r="O29" s="131">
        <f>IF(B29&lt;='VALOR POR PL'!$P$5,'CP RESUMO'!AB67,"")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94293.25999999999</v>
      </c>
      <c r="L30" s="49">
        <f>C30/IF(B30&lt;='VALOR POR PL'!$P$5,IFERROR(INDEX('"INCC-FGV"'!$B$2:$B$800,MATCH(B30,'"INCC-FGV"'!$A$2:$A$800,0)),$K$2),$K$2)</f>
        <v/>
      </c>
      <c r="M30" s="131">
        <f>'CP RESUMO'!AC25</f>
        <v/>
      </c>
      <c r="N30" s="132">
        <f>MAX(0,M30-M29)</f>
        <v/>
      </c>
      <c r="O30" s="131">
        <f>IF(B30&lt;='VALOR POR PL'!$P$5,'CP RESUMO'!AC67,"")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203748.91</v>
      </c>
      <c r="L31" s="49">
        <f>C31/IF(B31&lt;='VALOR POR PL'!$P$5,IFERROR(INDEX('"INCC-FGV"'!$B$2:$B$800,MATCH(B31,'"INCC-FGV"'!$A$2:$A$800,0)),$K$2),$K$2)</f>
        <v/>
      </c>
      <c r="M31" s="131">
        <f>'CP RESUMO'!AD25</f>
        <v/>
      </c>
      <c r="N31" s="132">
        <f>MAX(0,M31-M30)</f>
        <v/>
      </c>
      <c r="O31" s="131">
        <f>IF(B31&lt;='VALOR POR PL'!$P$5,'CP RESUMO'!AD67,"")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243825.49</v>
      </c>
      <c r="L32" s="49">
        <f>C32/IF(B32&lt;='VALOR POR PL'!$P$5,IFERROR(INDEX('"INCC-FGV"'!$B$2:$B$800,MATCH(B32,'"INCC-FGV"'!$A$2:$A$800,0)),$K$2),$K$2)</f>
        <v/>
      </c>
      <c r="M32" s="131">
        <f>'CP RESUMO'!AE25</f>
        <v/>
      </c>
      <c r="N32" s="132">
        <f>MAX(0,M32-M31)</f>
        <v/>
      </c>
      <c r="O32" s="131">
        <f>IF(B32&lt;='VALOR POR PL'!$P$5,'CP RESUMO'!AE67,"")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273332.42</v>
      </c>
      <c r="L33" s="49">
        <f>C33/IF(B33&lt;='VALOR POR PL'!$P$5,IFERROR(INDEX('"INCC-FGV"'!$B$2:$B$800,MATCH(B33,'"INCC-FGV"'!$A$2:$A$800,0)),$K$2),$K$2)</f>
        <v/>
      </c>
      <c r="M33" s="131">
        <f>'CP RESUMO'!AF25</f>
        <v/>
      </c>
      <c r="N33" s="132">
        <f>MAX(0,M33-M32)</f>
        <v/>
      </c>
      <c r="O33" s="131">
        <f>IF(B33&lt;='VALOR POR PL'!$P$5,'CP RESUMO'!AF67,"")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295792.92</v>
      </c>
      <c r="L34" s="49">
        <f>C34/IF(B34&lt;='VALOR POR PL'!$P$5,IFERROR(INDEX('"INCC-FGV"'!$B$2:$B$800,MATCH(B34,'"INCC-FGV"'!$A$2:$A$800,0)),$K$2),$K$2)</f>
        <v/>
      </c>
      <c r="M34" s="131">
        <f>'CP RESUMO'!AG25</f>
        <v/>
      </c>
      <c r="N34" s="132">
        <f>MAX(0,M34-M33)</f>
        <v/>
      </c>
      <c r="O34" s="131">
        <f>IF(B34&lt;='VALOR POR PL'!$P$5,'CP RESUMO'!AG67,"")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375285.48</v>
      </c>
      <c r="L35" s="49">
        <f>C35/IF(B35&lt;='VALOR POR PL'!$P$5,IFERROR(INDEX('"INCC-FGV"'!$B$2:$B$800,MATCH(B35,'"INCC-FGV"'!$A$2:$A$800,0)),$K$2),$K$2)</f>
        <v/>
      </c>
      <c r="M35" s="131">
        <f>'CP RESUMO'!AH25</f>
        <v/>
      </c>
      <c r="N35" s="132">
        <f>MAX(0,M35-M34)</f>
        <v/>
      </c>
      <c r="O35" s="131">
        <f>IF(B35&lt;='VALOR POR PL'!$P$5,'CP RESUMO'!AH67,"")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484851.22</v>
      </c>
      <c r="L36" s="49">
        <f>C36/IF(B36&lt;='VALOR POR PL'!$P$5,IFERROR(INDEX('"INCC-FGV"'!$B$2:$B$800,MATCH(B36,'"INCC-FGV"'!$A$2:$A$800,0)),$K$2),$K$2)</f>
        <v/>
      </c>
      <c r="M36" s="131">
        <f>'CP RESUMO'!AI25</f>
        <v/>
      </c>
      <c r="N36" s="132">
        <f>MAX(0,M36-M35)</f>
        <v/>
      </c>
      <c r="O36" s="131">
        <f>IF(B36&lt;='VALOR POR PL'!$P$5,'CP RESUMO'!AI67,"")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286450.13</v>
      </c>
      <c r="L37" s="49">
        <f>C37/IF(B37&lt;='VALOR POR PL'!$P$5,IFERROR(INDEX('"INCC-FGV"'!$B$2:$B$800,MATCH(B37,'"INCC-FGV"'!$A$2:$A$800,0)),$K$2),$K$2)</f>
        <v/>
      </c>
      <c r="M37" s="131">
        <f>'CP RESUMO'!AJ25</f>
        <v/>
      </c>
      <c r="N37" s="132">
        <f>MAX(0,M37-M36)</f>
        <v/>
      </c>
      <c r="O37" s="131">
        <f>IF(B37&lt;='VALOR POR PL'!$P$5,'CP RESUMO'!AJ67,"")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290633.94</v>
      </c>
      <c r="L38" s="49">
        <f>C38/IF(B38&lt;='VALOR POR PL'!$P$5,IFERROR(INDEX('"INCC-FGV"'!$B$2:$B$800,MATCH(B38,'"INCC-FGV"'!$A$2:$A$800,0)),$K$2),$K$2)</f>
        <v/>
      </c>
      <c r="M38" s="131">
        <f>'CP RESUMO'!AK25</f>
        <v/>
      </c>
      <c r="N38" s="132">
        <f>MAX(0,M38-M37)</f>
        <v/>
      </c>
      <c r="O38" s="131">
        <f>IF(B38&lt;='VALOR POR PL'!$P$5,'CP RESUMO'!AK67,"")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191433.4</v>
      </c>
      <c r="L39" s="49">
        <f>C39/IF(B39&lt;='VALOR POR PL'!$P$5,IFERROR(INDEX('"INCC-FGV"'!$B$2:$B$800,MATCH(B39,'"INCC-FGV"'!$A$2:$A$800,0)),$K$2),$K$2)</f>
        <v/>
      </c>
      <c r="M39" s="131">
        <f>'CP RESUMO'!AL25</f>
        <v/>
      </c>
      <c r="N39" s="132">
        <f>MAX(0,M39-M38)</f>
        <v/>
      </c>
      <c r="O39" s="131">
        <f>IF(B39&lt;='VALOR POR PL'!$P$5,'CP RESUMO'!AL67,"")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158513.35</v>
      </c>
      <c r="L40" s="49">
        <f>C40/IF(B40&lt;='VALOR POR PL'!$P$5,IFERROR(INDEX('"INCC-FGV"'!$B$2:$B$800,MATCH(B40,'"INCC-FGV"'!$A$2:$A$800,0)),$K$2),$K$2)</f>
        <v/>
      </c>
      <c r="M40" s="131">
        <f>'CP RESUMO'!AM25</f>
        <v/>
      </c>
      <c r="N40" s="132">
        <f>MAX(0,M40-M39)</f>
        <v/>
      </c>
      <c r="O40" s="131">
        <f>IF(B40&lt;='VALOR POR PL'!$P$5,'CP RESUMO'!AM67,"")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135722.54</v>
      </c>
      <c r="L41" s="49">
        <f>C41/IF(B41&lt;='VALOR POR PL'!$P$5,IFERROR(INDEX('"INCC-FGV"'!$B$2:$B$800,MATCH(B41,'"INCC-FGV"'!$A$2:$A$800,0)),$K$2),$K$2)</f>
        <v/>
      </c>
      <c r="M41" s="131">
        <f>'CP RESUMO'!AN25</f>
        <v/>
      </c>
      <c r="N41" s="132">
        <f>MAX(0,M41-M40)</f>
        <v/>
      </c>
      <c r="O41" s="131">
        <f>IF(B41&lt;='VALOR POR PL'!$P$5,'CP RESUMO'!AN67,"")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101040.89</v>
      </c>
      <c r="L42" s="49">
        <f>C42/IF(B42&lt;='VALOR POR PL'!$P$5,IFERROR(INDEX('"INCC-FGV"'!$B$2:$B$800,MATCH(B42,'"INCC-FGV"'!$A$2:$A$800,0)),$K$2),$K$2)</f>
        <v/>
      </c>
      <c r="M42" s="131">
        <f>'CP RESUMO'!AO25</f>
        <v/>
      </c>
      <c r="N42" s="132">
        <f>MAX(0,M42-M41)</f>
        <v/>
      </c>
      <c r="O42" s="131">
        <f>IF(B42&lt;='VALOR POR PL'!$P$5,'CP RESUMO'!AO67,"")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97407.57000000001</v>
      </c>
      <c r="L43" s="49">
        <f>C43/IF(B43&lt;='VALOR POR PL'!$P$5,IFERROR(INDEX('"INCC-FGV"'!$B$2:$B$800,MATCH(B43,'"INCC-FGV"'!$A$2:$A$800,0)),$K$2),$K$2)</f>
        <v/>
      </c>
      <c r="M43" s="131">
        <f>'CP RESUMO'!AP25</f>
        <v/>
      </c>
      <c r="N43" s="132">
        <f>MAX(0,M43-M42)</f>
        <v/>
      </c>
      <c r="O43" s="131">
        <f>IF(B43&lt;='VALOR POR PL'!$P$5,'CP RESUMO'!AP67,"")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96416.67</v>
      </c>
      <c r="L44" s="49">
        <f>C44/IF(B44&lt;='VALOR POR PL'!$P$5,IFERROR(INDEX('"INCC-FGV"'!$B$2:$B$800,MATCH(B44,'"INCC-FGV"'!$A$2:$A$800,0)),$K$2),$K$2)</f>
        <v/>
      </c>
      <c r="M44" s="131">
        <f>'CP RESUMO'!AQ25</f>
        <v/>
      </c>
      <c r="N44" s="132">
        <f>MAX(0,M44-M43)</f>
        <v/>
      </c>
      <c r="O44" s="131">
        <f>IF(B44&lt;='VALOR POR PL'!$P$5,'CP RESUMO'!AQ67,"")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77133.33</v>
      </c>
      <c r="L45" s="49">
        <f>C45/IF(B45&lt;='VALOR POR PL'!$P$5,IFERROR(INDEX('"INCC-FGV"'!$B$2:$B$800,MATCH(B45,'"INCC-FGV"'!$A$2:$A$800,0)),$K$2),$K$2)</f>
        <v/>
      </c>
      <c r="M45" s="131">
        <f>'CP RESUMO'!AR25</f>
        <v/>
      </c>
      <c r="N45" s="132">
        <f>MAX(0,M45-M44)</f>
        <v/>
      </c>
      <c r="O45" s="131">
        <f>IF(B45&lt;='VALOR POR PL'!$P$5,'CP RESUMO'!AR67,"")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77133.33</v>
      </c>
      <c r="L46" s="49">
        <f>C46/IF(B46&lt;='VALOR POR PL'!$P$5,IFERROR(INDEX('"INCC-FGV"'!$B$2:$B$800,MATCH(B46,'"INCC-FGV"'!$A$2:$A$800,0)),$K$2),$K$2)</f>
        <v/>
      </c>
      <c r="M46" s="131">
        <f>'CP RESUMO'!AS25</f>
        <v/>
      </c>
      <c r="N46" s="132">
        <f>MAX(0,M46-M45)</f>
        <v/>
      </c>
      <c r="O46" s="131">
        <f>IF(B46&lt;='VALOR POR PL'!$P$5,'CP RESUMO'!AS67,"")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77133.33</v>
      </c>
      <c r="L47" s="49">
        <f>C47/IF(B47&lt;='VALOR POR PL'!$P$5,IFERROR(INDEX('"INCC-FGV"'!$B$2:$B$800,MATCH(B47,'"INCC-FGV"'!$A$2:$A$800,0)),$K$2),$K$2)</f>
        <v/>
      </c>
      <c r="M47" s="131">
        <f>'CP RESUMO'!AT25</f>
        <v/>
      </c>
      <c r="N47" s="132">
        <f>MAX(0,M47-M46)</f>
        <v/>
      </c>
      <c r="O47" s="131">
        <f>IF(B47&lt;='VALOR POR PL'!$P$5,'CP RESUMO'!AT67,"")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40572.76</v>
      </c>
      <c r="L48" s="49">
        <f>C48/IF(B48&lt;='VALOR POR PL'!$P$5,IFERROR(INDEX('"INCC-FGV"'!$B$2:$B$800,MATCH(B48,'"INCC-FGV"'!$A$2:$A$800,0)),$K$2),$K$2)</f>
        <v/>
      </c>
      <c r="M48" s="131">
        <f>'CP RESUMO'!AU25</f>
        <v/>
      </c>
      <c r="N48" s="132">
        <f>MAX(0,M48-M47)</f>
        <v/>
      </c>
      <c r="O48" s="131">
        <f>IF(B48&lt;='VALOR POR PL'!$P$5,'CP RESUMO'!AU67,"")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40572.76</v>
      </c>
      <c r="L49" s="49">
        <f>C49/IF(B49&lt;='VALOR POR PL'!$P$5,IFERROR(INDEX('"INCC-FGV"'!$B$2:$B$800,MATCH(B49,'"INCC-FGV"'!$A$2:$A$800,0)),$K$2),$K$2)</f>
        <v/>
      </c>
      <c r="M49" s="131">
        <f>'CP RESUMO'!AV25</f>
        <v/>
      </c>
      <c r="N49" s="132">
        <f>MAX(0,M49-M48)</f>
        <v/>
      </c>
      <c r="O49" s="131">
        <f>IF(B49&lt;='VALOR POR PL'!$P$5,'CP RESUMO'!AV67,"")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36042.92</v>
      </c>
      <c r="L50" s="49">
        <f>C50/IF(B50&lt;='VALOR POR PL'!$P$5,IFERROR(INDEX('"INCC-FGV"'!$B$2:$B$800,MATCH(B50,'"INCC-FGV"'!$A$2:$A$800,0)),$K$2),$K$2)</f>
        <v/>
      </c>
      <c r="M50" s="131">
        <f>'CP RESUMO'!AW25</f>
        <v/>
      </c>
      <c r="N50" s="132">
        <f>MAX(0,M50-M49)</f>
        <v/>
      </c>
      <c r="O50" s="131">
        <f>IF(B50&lt;='VALOR POR PL'!$P$5,'CP RESUMO'!AW67,"")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36042.92</v>
      </c>
      <c r="L51" s="49">
        <f>C51/IF(B51&lt;='VALOR POR PL'!$P$5,IFERROR(INDEX('"INCC-FGV"'!$B$2:$B$800,MATCH(B51,'"INCC-FGV"'!$A$2:$A$800,0)),$K$2),$K$2)</f>
        <v/>
      </c>
      <c r="M51" s="131">
        <f>'CP RESUMO'!AX25</f>
        <v/>
      </c>
      <c r="N51" s="132">
        <f>MAX(0,M51-M50)</f>
        <v/>
      </c>
      <c r="O51" s="131">
        <f>IF(B51&lt;='VALOR POR PL'!$P$5,'CP RESUMO'!AX67,"")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36042.92</v>
      </c>
      <c r="L52" s="49">
        <f>C52/IF(B52&lt;='VALOR POR PL'!$P$5,IFERROR(INDEX('"INCC-FGV"'!$B$2:$B$800,MATCH(B52,'"INCC-FGV"'!$A$2:$A$800,0)),$K$2),$K$2)</f>
        <v/>
      </c>
      <c r="M52" s="131">
        <f>'CP RESUMO'!AY25</f>
        <v/>
      </c>
      <c r="N52" s="132">
        <f>MAX(0,M52-M51)</f>
        <v/>
      </c>
      <c r="O52" s="131">
        <f>IF(B52&lt;='VALOR POR PL'!$P$5,'CP RESUMO'!AY67,"")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>
        <v>36042.92</v>
      </c>
      <c r="L53" s="49">
        <f>C53/IF(B53&lt;='VALOR POR PL'!$P$5,IFERROR(INDEX('"INCC-FGV"'!$B$2:$B$800,MATCH(B53,'"INCC-FGV"'!$A$2:$A$800,0)),$K$2),$K$2)</f>
        <v/>
      </c>
      <c r="M53" s="131">
        <f>'CP RESUMO'!AZ25</f>
        <v/>
      </c>
      <c r="N53" s="132">
        <f>MAX(0,M53-M52)</f>
        <v/>
      </c>
      <c r="O53" s="131">
        <f>IF(B53&lt;='VALOR POR PL'!$P$5,'CP RESUMO'!AZ67,"")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>
        <v>36042.92</v>
      </c>
      <c r="L54" s="49">
        <f>C54/IF(B54&lt;='VALOR POR PL'!$P$5,IFERROR(INDEX('"INCC-FGV"'!$B$2:$B$800,MATCH(B54,'"INCC-FGV"'!$A$2:$A$800,0)),$K$2),$K$2)</f>
        <v/>
      </c>
      <c r="M54" s="131">
        <f>'CP RESUMO'!BA25</f>
        <v/>
      </c>
      <c r="N54" s="132">
        <f>MAX(0,M54-M53)</f>
        <v/>
      </c>
      <c r="O54" s="131">
        <f>IF(B54&lt;='VALOR POR PL'!$P$5,'CP RESUMO'!BA67,"")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RESUMO'!BB25</f>
        <v/>
      </c>
      <c r="N55" s="132">
        <f>MAX(0,M55-M54)</f>
        <v/>
      </c>
      <c r="O55" s="131">
        <f>IF(B55&lt;='VALOR POR PL'!$P$5,'CP RESUMO'!BB67,"")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RESUMO'!BC25</f>
        <v/>
      </c>
      <c r="N56" s="132">
        <f>MAX(0,M56-M55)</f>
        <v/>
      </c>
      <c r="O56" s="131">
        <f>IF(B56&lt;='VALOR POR PL'!$P$5,'CP RESUMO'!BC67,"")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RESUMO'!BD25</f>
        <v/>
      </c>
      <c r="N57" s="132">
        <f>MAX(0,M57-M56)</f>
        <v/>
      </c>
      <c r="O57" s="131">
        <f>IF(B57&lt;='VALOR POR PL'!$P$5,'CP RESUMO'!BD67,"")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RESUMO'!BE25</f>
        <v/>
      </c>
      <c r="N58" s="132">
        <f>MAX(0,M58-M57)</f>
        <v/>
      </c>
      <c r="O58" s="131">
        <f>IF(B58&lt;='VALOR POR PL'!$P$5,'CP RESUMO'!BE67,"")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RESUMO'!BF25</f>
        <v/>
      </c>
      <c r="N59" s="132">
        <f>MAX(0,M59-M58)</f>
        <v/>
      </c>
      <c r="O59" s="131">
        <f>IF(B59&lt;='VALOR POR PL'!$P$5,'CP RESUMO'!BF67,"")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RESUMO'!BG25</f>
        <v/>
      </c>
      <c r="N60" s="132">
        <f>MAX(0,M60-M59)</f>
        <v/>
      </c>
      <c r="O60" s="131">
        <f>IF(B60&lt;='VALOR POR PL'!$P$5,'CP RESUMO'!BG67,"")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RESUMO'!BH25</f>
        <v/>
      </c>
      <c r="N61" s="132">
        <f>MAX(0,M61-M60)</f>
        <v/>
      </c>
      <c r="O61" s="131">
        <f>IF(B61&lt;='VALOR POR PL'!$P$5,'CP RESUMO'!BH67,"")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RESUMO'!BI25</f>
        <v/>
      </c>
      <c r="N62" s="132">
        <f>MAX(0,M62-M61)</f>
        <v/>
      </c>
      <c r="O62" s="131">
        <f>IF(B62&lt;='VALOR POR PL'!$P$5,'CP RESUMO'!BI67,"")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RESUMO'!BJ25</f>
        <v/>
      </c>
      <c r="N63" s="132">
        <f>MAX(0,M63-M62)</f>
        <v/>
      </c>
      <c r="O63" s="131">
        <f>IF(B63&lt;='VALOR POR PL'!$P$5,'CP RESUMO'!BJ67,"")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RESUMO'!BK25</f>
        <v/>
      </c>
      <c r="N64" s="132">
        <f>MAX(0,M64-M63)</f>
        <v/>
      </c>
      <c r="O64" s="131">
        <f>IF(B64&lt;='VALOR POR PL'!$P$5,'CP RESUMO'!BK67,"")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RESUMO'!BL25</f>
        <v/>
      </c>
      <c r="N65" s="132">
        <f>MAX(0,M65-M64)</f>
        <v/>
      </c>
      <c r="O65" s="131">
        <f>IF(B65&lt;='VALOR POR PL'!$P$5,'CP RESUMO'!BL67,"")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RESUMO'!BM25</f>
        <v/>
      </c>
      <c r="N66" s="132">
        <f>MAX(0,M66-M65)</f>
        <v/>
      </c>
      <c r="O66" s="131">
        <f>IF(B66&lt;='VALOR POR PL'!$P$5,'CP RESUMO'!BM67,"")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RESUMO'!BN25</f>
        <v/>
      </c>
      <c r="N67" s="132">
        <f>MAX(0,M67-M66)</f>
        <v/>
      </c>
      <c r="O67" s="131">
        <f>IF(B67&lt;='VALOR POR PL'!$P$5,'CP RESUMO'!BN67,"")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RESUMO'!BO25</f>
        <v/>
      </c>
      <c r="N68" s="132">
        <f>MAX(0,M68-M67)</f>
        <v/>
      </c>
      <c r="O68" s="131">
        <f>IF(B68&lt;='VALOR POR PL'!$P$5,'CP RESUMO'!BO67,"")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RESUMO'!BP25</f>
        <v/>
      </c>
      <c r="N69" s="132">
        <f>MAX(0,M69-M68)</f>
        <v/>
      </c>
      <c r="O69" s="131">
        <f>IF(B69&lt;='VALOR POR PL'!$P$5,'CP RESUMO'!BP67,"")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RESUMO'!BQ25</f>
        <v/>
      </c>
      <c r="N70" s="132">
        <f>MAX(0,M70-M69)</f>
        <v/>
      </c>
      <c r="O70" s="131">
        <f>IF(B70&lt;='VALOR POR PL'!$P$5,'CP RESUMO'!BQ67,"")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RESUMO'!BR25</f>
        <v/>
      </c>
      <c r="N71" s="132">
        <f>MAX(0,M71-M70)</f>
        <v/>
      </c>
      <c r="O71" s="131">
        <f>IF(B71&lt;='VALOR POR PL'!$P$5,'CP RESUMO'!BR67,"")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RESUMO'!BS25</f>
        <v/>
      </c>
      <c r="N72" s="132">
        <f>MAX(0,M72-M71)</f>
        <v/>
      </c>
      <c r="O72" s="131">
        <f>IF(B72&lt;='VALOR POR PL'!$P$5,'CP RESUMO'!BS67,"")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RESUMO'!BT25</f>
        <v/>
      </c>
      <c r="N73" s="132">
        <f>MAX(0,M73-M72)</f>
        <v/>
      </c>
      <c r="O73" s="131">
        <f>IF(B73&lt;='VALOR POR PL'!$P$5,'CP RESUMO'!BT67,"")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RESUMO'!BU25</f>
        <v/>
      </c>
      <c r="N74" s="132">
        <f>MAX(0,M74-M73)</f>
        <v/>
      </c>
      <c r="O74" s="131">
        <f>IF(B74&lt;='VALOR POR PL'!$P$5,'CP RESUMO'!BU67,"")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RESUMO'!BV25</f>
        <v/>
      </c>
      <c r="N75" s="132">
        <f>MAX(0,M75-M74)</f>
        <v/>
      </c>
      <c r="O75" s="131">
        <f>IF(B75&lt;='VALOR POR PL'!$P$5,'CP RESUMO'!BV67,"")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RESUMO'!BW25</f>
        <v/>
      </c>
      <c r="N76" s="132">
        <f>MAX(0,M76-M75)</f>
        <v/>
      </c>
      <c r="O76" s="131">
        <f>IF(B76&lt;='VALOR POR PL'!$P$5,'CP RESUMO'!BW67,"")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HISTORICOS'!D26)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PL'!F32</f>
        <v/>
      </c>
      <c r="K5" s="60">
        <f>'VALOR POR PL'!G32</f>
        <v/>
      </c>
      <c r="L5" s="60">
        <f>'DADOS HISTORICOS'!$BZ$26</f>
        <v/>
      </c>
      <c r="M5" s="131">
        <f>'CP RESUMO'!D26</f>
        <v/>
      </c>
      <c r="N5" s="132" t="n">
        <v>0</v>
      </c>
      <c r="O5" s="131">
        <f>IF(B5&lt;='VALOR POR PL'!$P$5,'CP RESUMO'!D68,"")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HISTORICOS'!E26)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PL'!H32</f>
        <v/>
      </c>
      <c r="L6" s="49">
        <f>C6/IF(B6&lt;='VALOR POR PL'!$P$5,IFERROR(INDEX('"INCC-FGV"'!$B$2:$B$800,MATCH(B6,'"INCC-FGV"'!$A$2:$A$800,0)),$K$2),$K$2)</f>
        <v/>
      </c>
      <c r="M6" s="131">
        <f>'CP RESUMO'!E26</f>
        <v/>
      </c>
      <c r="N6" s="132">
        <f>MAX(0,M6-M5)</f>
        <v/>
      </c>
      <c r="O6" s="131">
        <f>IF(B6&lt;='VALOR POR PL'!$P$5,'CP RESUMO'!E68,"")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HISTORICOS'!F26)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RESUMO'!F26</f>
        <v/>
      </c>
      <c r="N7" s="132">
        <f>MAX(0,M7-M6)</f>
        <v/>
      </c>
      <c r="O7" s="131">
        <f>IF(B7&lt;='VALOR POR PL'!$P$5,'CP RESUMO'!F68,"")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HISTORICOS'!G26)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RESUMO'!G26</f>
        <v/>
      </c>
      <c r="N8" s="132">
        <f>MAX(0,M8-M7)</f>
        <v/>
      </c>
      <c r="O8" s="131">
        <f>IF(B8&lt;='VALOR POR PL'!$P$5,'CP RESUMO'!G68,"")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HISTORICOS'!H26)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RESUMO'!H26</f>
        <v/>
      </c>
      <c r="N9" s="132">
        <f>MAX(0,M9-M8)</f>
        <v/>
      </c>
      <c r="O9" s="131">
        <f>IF(B9&lt;='VALOR POR PL'!$P$5,'CP RESUMO'!H68,"")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RESUMO'!I26</f>
        <v/>
      </c>
      <c r="N10" s="132">
        <f>MAX(0,M10-M9)</f>
        <v/>
      </c>
      <c r="O10" s="131">
        <f>IF(B10&lt;='VALOR POR PL'!$P$5,'CP RESUMO'!I68,"")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RESUMO'!J26</f>
        <v/>
      </c>
      <c r="N11" s="132">
        <f>MAX(0,M11-M10)</f>
        <v/>
      </c>
      <c r="O11" s="131">
        <f>IF(B11&lt;='VALOR POR PL'!$P$5,'CP RESUMO'!J68,"")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RESUMO'!K26</f>
        <v/>
      </c>
      <c r="N12" s="132">
        <f>MAX(0,M12-M11)</f>
        <v/>
      </c>
      <c r="O12" s="131">
        <f>IF(B12&lt;='VALOR POR PL'!$P$5,'CP RESUMO'!K68,"")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PL'!I32</f>
        <v/>
      </c>
      <c r="L13" s="49">
        <f>C13/IF(B13&lt;='VALOR POR PL'!$P$5,IFERROR(INDEX('"INCC-FGV"'!$B$2:$B$800,MATCH(B13,'"INCC-FGV"'!$A$2:$A$800,0)),$K$2),$K$2)</f>
        <v/>
      </c>
      <c r="M13" s="131">
        <f>'CP RESUMO'!L26</f>
        <v/>
      </c>
      <c r="N13" s="132">
        <f>MAX(0,M13-M12)</f>
        <v/>
      </c>
      <c r="O13" s="131">
        <f>IF(B13&lt;='VALOR POR PL'!$P$5,'CP RESUMO'!L68,"")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RESUMO'!$D$68:$BW$68,MATCH('VALOR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RESUMO'!M26</f>
        <v/>
      </c>
      <c r="N14" s="132">
        <f>MAX(0,M14-M13)</f>
        <v/>
      </c>
      <c r="O14" s="131">
        <f>IF(B14&lt;='VALOR POR PL'!$P$5,'CP RESUMO'!M68,"")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RESUMO'!N26</f>
        <v/>
      </c>
      <c r="N15" s="132">
        <f>MAX(0,M15-M14)</f>
        <v/>
      </c>
      <c r="O15" s="131">
        <f>IF(B15&lt;='VALOR POR PL'!$P$5,'CP RESUMO'!N68,"")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RESUMO'!O26</f>
        <v/>
      </c>
      <c r="N16" s="132">
        <f>MAX(0,M16-M15)</f>
        <v/>
      </c>
      <c r="O16" s="131">
        <f>IF(B16&lt;='VALOR POR PL'!$P$5,'CP RESUMO'!O68,"")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RESUMO'!P26</f>
        <v/>
      </c>
      <c r="N17" s="132">
        <f>MAX(0,M17-M16)</f>
        <v/>
      </c>
      <c r="O17" s="131">
        <f>IF(B17&lt;='VALOR POR PL'!$P$5,'CP RESUMO'!P68,"")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RESUMO'!Q26</f>
        <v/>
      </c>
      <c r="N18" s="132">
        <f>MAX(0,M18-M17)</f>
        <v/>
      </c>
      <c r="O18" s="131">
        <f>IF(B18&lt;='VALOR POR PL'!$P$5,'CP RESUMO'!Q68,"")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RESUMO'!R26</f>
        <v/>
      </c>
      <c r="N19" s="132">
        <f>MAX(0,M19-M18)</f>
        <v/>
      </c>
      <c r="O19" s="131">
        <f>IF(B19&lt;='VALOR POR PL'!$P$5,'CP RESUMO'!R68,"")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RESUMO'!S26</f>
        <v/>
      </c>
      <c r="N20" s="132">
        <f>MAX(0,M20-M19)</f>
        <v/>
      </c>
      <c r="O20" s="131">
        <f>IF(B20&lt;='VALOR POR PL'!$P$5,'CP RESUMO'!S68,"")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RESUMO'!T26</f>
        <v/>
      </c>
      <c r="N21" s="132">
        <f>MAX(0,M21-M20)</f>
        <v/>
      </c>
      <c r="O21" s="131">
        <f>IF(B21&lt;='VALOR POR PL'!$P$5,'CP RESUMO'!T68,"")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RESUMO'!U26</f>
        <v/>
      </c>
      <c r="N22" s="132">
        <f>MAX(0,M22-M21)</f>
        <v/>
      </c>
      <c r="O22" s="131">
        <f>IF(B22&lt;='VALOR POR PL'!$P$5,'CP RESUMO'!U68,"")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RESUMO'!V26</f>
        <v/>
      </c>
      <c r="N23" s="132">
        <f>MAX(0,M23-M22)</f>
        <v/>
      </c>
      <c r="O23" s="131">
        <f>IF(B23&lt;='VALOR POR PL'!$P$5,'CP RESUMO'!V68,"")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RESUMO'!W26</f>
        <v/>
      </c>
      <c r="N24" s="132">
        <f>MAX(0,M24-M23)</f>
        <v/>
      </c>
      <c r="O24" s="131">
        <f>IF(B24&lt;='VALOR POR PL'!$P$5,'CP RESUMO'!W68,"")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RESUMO'!X26</f>
        <v/>
      </c>
      <c r="N25" s="132">
        <f>MAX(0,M25-M24)</f>
        <v/>
      </c>
      <c r="O25" s="131">
        <f>IF(B25&lt;='VALOR POR PL'!$P$5,'CP RESUMO'!X68,"")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27976.77</v>
      </c>
      <c r="L26" s="49">
        <f>C26/IF(B26&lt;='VALOR POR PL'!$P$5,IFERROR(INDEX('"INCC-FGV"'!$B$2:$B$800,MATCH(B26,'"INCC-FGV"'!$A$2:$A$800,0)),$K$2),$K$2)</f>
        <v/>
      </c>
      <c r="M26" s="131">
        <f>'CP RESUMO'!Y26</f>
        <v/>
      </c>
      <c r="N26" s="132">
        <f>MAX(0,M26-M25)</f>
        <v/>
      </c>
      <c r="O26" s="131">
        <f>IF(B26&lt;='VALOR POR PL'!$P$5,'CP RESUMO'!Y68,"")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32639.57</v>
      </c>
      <c r="L27" s="49">
        <f>C27/IF(B27&lt;='VALOR POR PL'!$P$5,IFERROR(INDEX('"INCC-FGV"'!$B$2:$B$800,MATCH(B27,'"INCC-FGV"'!$A$2:$A$800,0)),$K$2),$K$2)</f>
        <v/>
      </c>
      <c r="M27" s="131">
        <f>'CP RESUMO'!Z26</f>
        <v/>
      </c>
      <c r="N27" s="132">
        <f>MAX(0,M27-M26)</f>
        <v/>
      </c>
      <c r="O27" s="131">
        <f>IF(B27&lt;='VALOR POR PL'!$P$5,'CP RESUMO'!Z68,"")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RESUMO'!AA26</f>
        <v/>
      </c>
      <c r="N28" s="132">
        <f>MAX(0,M28-M27)</f>
        <v/>
      </c>
      <c r="O28" s="131">
        <f>IF(B28&lt;='VALOR POR PL'!$P$5,'CP RESUMO'!AA68,"")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16350.87</v>
      </c>
      <c r="L29" s="49">
        <f>C29/IF(B29&lt;='VALOR POR PL'!$P$5,IFERROR(INDEX('"INCC-FGV"'!$B$2:$B$800,MATCH(B29,'"INCC-FGV"'!$A$2:$A$800,0)),$K$2),$K$2)</f>
        <v/>
      </c>
      <c r="M29" s="131">
        <f>'CP RESUMO'!AB26</f>
        <v/>
      </c>
      <c r="N29" s="132">
        <f>MAX(0,M29-M28)</f>
        <v/>
      </c>
      <c r="O29" s="131">
        <f>IF(B29&lt;='VALOR POR PL'!$P$5,'CP RESUMO'!AB68,"")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23873.51</v>
      </c>
      <c r="L30" s="49">
        <f>C30/IF(B30&lt;='VALOR POR PL'!$P$5,IFERROR(INDEX('"INCC-FGV"'!$B$2:$B$800,MATCH(B30,'"INCC-FGV"'!$A$2:$A$800,0)),$K$2),$K$2)</f>
        <v/>
      </c>
      <c r="M30" s="131">
        <f>'CP RESUMO'!AC26</f>
        <v/>
      </c>
      <c r="N30" s="132">
        <f>MAX(0,M30-M29)</f>
        <v/>
      </c>
      <c r="O30" s="131">
        <f>IF(B30&lt;='VALOR POR PL'!$P$5,'CP RESUMO'!AC68,"")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43581.6</v>
      </c>
      <c r="L31" s="49">
        <f>C31/IF(B31&lt;='VALOR POR PL'!$P$5,IFERROR(INDEX('"INCC-FGV"'!$B$2:$B$800,MATCH(B31,'"INCC-FGV"'!$A$2:$A$800,0)),$K$2),$K$2)</f>
        <v/>
      </c>
      <c r="M31" s="131">
        <f>'CP RESUMO'!AD26</f>
        <v/>
      </c>
      <c r="N31" s="132">
        <f>MAX(0,M31-M30)</f>
        <v/>
      </c>
      <c r="O31" s="131">
        <f>IF(B31&lt;='VALOR POR PL'!$P$5,'CP RESUMO'!AD68,"")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27230.73</v>
      </c>
      <c r="L32" s="49">
        <f>C32/IF(B32&lt;='VALOR POR PL'!$P$5,IFERROR(INDEX('"INCC-FGV"'!$B$2:$B$800,MATCH(B32,'"INCC-FGV"'!$A$2:$A$800,0)),$K$2),$K$2)</f>
        <v/>
      </c>
      <c r="M32" s="131">
        <f>'CP RESUMO'!AE26</f>
        <v/>
      </c>
      <c r="N32" s="132">
        <f>MAX(0,M32-M31)</f>
        <v/>
      </c>
      <c r="O32" s="131">
        <f>IF(B32&lt;='VALOR POR PL'!$P$5,'CP RESUMO'!AE68,"")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45384.54</v>
      </c>
      <c r="L33" s="49">
        <f>C33/IF(B33&lt;='VALOR POR PL'!$P$5,IFERROR(INDEX('"INCC-FGV"'!$B$2:$B$800,MATCH(B33,'"INCC-FGV"'!$A$2:$A$800,0)),$K$2),$K$2)</f>
        <v/>
      </c>
      <c r="M33" s="131">
        <f>'CP RESUMO'!AF26</f>
        <v/>
      </c>
      <c r="N33" s="132">
        <f>MAX(0,M33-M32)</f>
        <v/>
      </c>
      <c r="O33" s="131">
        <f>IF(B33&lt;='VALOR POR PL'!$P$5,'CP RESUMO'!AF68,"")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42649.04</v>
      </c>
      <c r="L34" s="49">
        <f>C34/IF(B34&lt;='VALOR POR PL'!$P$5,IFERROR(INDEX('"INCC-FGV"'!$B$2:$B$800,MATCH(B34,'"INCC-FGV"'!$A$2:$A$800,0)),$K$2),$K$2)</f>
        <v/>
      </c>
      <c r="M34" s="131">
        <f>'CP RESUMO'!AG26</f>
        <v/>
      </c>
      <c r="N34" s="132">
        <f>MAX(0,M34-M33)</f>
        <v/>
      </c>
      <c r="O34" s="131">
        <f>IF(B34&lt;='VALOR POR PL'!$P$5,'CP RESUMO'!AG68,"")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61984.1</v>
      </c>
      <c r="L35" s="49">
        <f>C35/IF(B35&lt;='VALOR POR PL'!$P$5,IFERROR(INDEX('"INCC-FGV"'!$B$2:$B$800,MATCH(B35,'"INCC-FGV"'!$A$2:$A$800,0)),$K$2),$K$2)</f>
        <v/>
      </c>
      <c r="M35" s="131">
        <f>'CP RESUMO'!AH26</f>
        <v/>
      </c>
      <c r="N35" s="132">
        <f>MAX(0,M35-M34)</f>
        <v/>
      </c>
      <c r="O35" s="131">
        <f>IF(B35&lt;='VALOR POR PL'!$P$5,'CP RESUMO'!AH68,"")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51539.43</v>
      </c>
      <c r="L36" s="49">
        <f>C36/IF(B36&lt;='VALOR POR PL'!$P$5,IFERROR(INDEX('"INCC-FGV"'!$B$2:$B$800,MATCH(B36,'"INCC-FGV"'!$A$2:$A$800,0)),$K$2),$K$2)</f>
        <v/>
      </c>
      <c r="M36" s="131">
        <f>'CP RESUMO'!AI26</f>
        <v/>
      </c>
      <c r="N36" s="132">
        <f>MAX(0,M36-M35)</f>
        <v/>
      </c>
      <c r="O36" s="131">
        <f>IF(B36&lt;='VALOR POR PL'!$P$5,'CP RESUMO'!AI68,"")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49114.78</v>
      </c>
      <c r="L37" s="49">
        <f>C37/IF(B37&lt;='VALOR POR PL'!$P$5,IFERROR(INDEX('"INCC-FGV"'!$B$2:$B$800,MATCH(B37,'"INCC-FGV"'!$A$2:$A$800,0)),$K$2),$K$2)</f>
        <v/>
      </c>
      <c r="M37" s="131">
        <f>'CP RESUMO'!AJ26</f>
        <v/>
      </c>
      <c r="N37" s="132">
        <f>MAX(0,M37-M36)</f>
        <v/>
      </c>
      <c r="O37" s="131">
        <f>IF(B37&lt;='VALOR POR PL'!$P$5,'CP RESUMO'!AJ68,"")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16537.38</v>
      </c>
      <c r="L38" s="49">
        <f>C38/IF(B38&lt;='VALOR POR PL'!$P$5,IFERROR(INDEX('"INCC-FGV"'!$B$2:$B$800,MATCH(B38,'"INCC-FGV"'!$A$2:$A$800,0)),$K$2),$K$2)</f>
        <v/>
      </c>
      <c r="M38" s="131">
        <f>'CP RESUMO'!AK26</f>
        <v/>
      </c>
      <c r="N38" s="132">
        <f>MAX(0,M38-M37)</f>
        <v/>
      </c>
      <c r="O38" s="131">
        <f>IF(B38&lt;='VALOR POR PL'!$P$5,'CP RESUMO'!AK68,"")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8330.860000000001</v>
      </c>
      <c r="L39" s="49">
        <f>C39/IF(B39&lt;='VALOR POR PL'!$P$5,IFERROR(INDEX('"INCC-FGV"'!$B$2:$B$800,MATCH(B39,'"INCC-FGV"'!$A$2:$A$800,0)),$K$2),$K$2)</f>
        <v/>
      </c>
      <c r="M39" s="131">
        <f>'CP RESUMO'!AL26</f>
        <v/>
      </c>
      <c r="N39" s="132">
        <f>MAX(0,M39-M38)</f>
        <v/>
      </c>
      <c r="O39" s="131">
        <f>IF(B39&lt;='VALOR POR PL'!$P$5,'CP RESUMO'!AL68,"")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9512.1</v>
      </c>
      <c r="L40" s="49">
        <f>C40/IF(B40&lt;='VALOR POR PL'!$P$5,IFERROR(INDEX('"INCC-FGV"'!$B$2:$B$800,MATCH(B40,'"INCC-FGV"'!$A$2:$A$800,0)),$K$2),$K$2)</f>
        <v/>
      </c>
      <c r="M40" s="131">
        <f>'CP RESUMO'!AM26</f>
        <v/>
      </c>
      <c r="N40" s="132">
        <f>MAX(0,M40-M39)</f>
        <v/>
      </c>
      <c r="O40" s="131">
        <f>IF(B40&lt;='VALOR POR PL'!$P$5,'CP RESUMO'!AM68,"")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7398.3</v>
      </c>
      <c r="L41" s="49">
        <f>C41/IF(B41&lt;='VALOR POR PL'!$P$5,IFERROR(INDEX('"INCC-FGV"'!$B$2:$B$800,MATCH(B41,'"INCC-FGV"'!$A$2:$A$800,0)),$K$2),$K$2)</f>
        <v/>
      </c>
      <c r="M41" s="131">
        <f>'CP RESUMO'!AN26</f>
        <v/>
      </c>
      <c r="N41" s="132">
        <f>MAX(0,M41-M40)</f>
        <v/>
      </c>
      <c r="O41" s="131">
        <f>IF(B41&lt;='VALOR POR PL'!$P$5,'CP RESUMO'!AN68,"")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RESUMO'!AO26</f>
        <v/>
      </c>
      <c r="N42" s="132">
        <f>MAX(0,M42-M41)</f>
        <v/>
      </c>
      <c r="O42" s="131">
        <f>IF(B42&lt;='VALOR POR PL'!$P$5,'CP RESUMO'!AO68,"")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RESUMO'!AP26</f>
        <v/>
      </c>
      <c r="N43" s="132">
        <f>MAX(0,M43-M42)</f>
        <v/>
      </c>
      <c r="O43" s="131">
        <f>IF(B43&lt;='VALOR POR PL'!$P$5,'CP RESUMO'!AP68,"")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42283.59</v>
      </c>
      <c r="L44" s="49">
        <f>C44/IF(B44&lt;='VALOR POR PL'!$P$5,IFERROR(INDEX('"INCC-FGV"'!$B$2:$B$800,MATCH(B44,'"INCC-FGV"'!$A$2:$A$800,0)),$K$2),$K$2)</f>
        <v/>
      </c>
      <c r="M44" s="131">
        <f>'CP RESUMO'!AQ26</f>
        <v/>
      </c>
      <c r="N44" s="132">
        <f>MAX(0,M44-M43)</f>
        <v/>
      </c>
      <c r="O44" s="131">
        <f>IF(B44&lt;='VALOR POR PL'!$P$5,'CP RESUMO'!AQ68,"")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RESUMO'!AR26</f>
        <v/>
      </c>
      <c r="N45" s="132">
        <f>MAX(0,M45-M44)</f>
        <v/>
      </c>
      <c r="O45" s="131">
        <f>IF(B45&lt;='VALOR POR PL'!$P$5,'CP RESUMO'!AR68,"")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RESUMO'!AS26</f>
        <v/>
      </c>
      <c r="N46" s="132">
        <f>MAX(0,M46-M45)</f>
        <v/>
      </c>
      <c r="O46" s="131">
        <f>IF(B46&lt;='VALOR POR PL'!$P$5,'CP RESUMO'!AS68,"")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RESUMO'!AT26</f>
        <v/>
      </c>
      <c r="N47" s="132">
        <f>MAX(0,M47-M46)</f>
        <v/>
      </c>
      <c r="O47" s="131">
        <f>IF(B47&lt;='VALOR POR PL'!$P$5,'CP RESUMO'!AT68,"")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RESUMO'!AU26</f>
        <v/>
      </c>
      <c r="N48" s="132">
        <f>MAX(0,M48-M47)</f>
        <v/>
      </c>
      <c r="O48" s="131">
        <f>IF(B48&lt;='VALOR POR PL'!$P$5,'CP RESUMO'!AU68,"")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RESUMO'!AV26</f>
        <v/>
      </c>
      <c r="N49" s="132">
        <f>MAX(0,M49-M48)</f>
        <v/>
      </c>
      <c r="O49" s="131">
        <f>IF(B49&lt;='VALOR POR PL'!$P$5,'CP RESUMO'!AV68,"")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RESUMO'!AW26</f>
        <v/>
      </c>
      <c r="N50" s="132">
        <f>MAX(0,M50-M49)</f>
        <v/>
      </c>
      <c r="O50" s="131">
        <f>IF(B50&lt;='VALOR POR PL'!$P$5,'CP RESUMO'!AW68,"")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RESUMO'!AX26</f>
        <v/>
      </c>
      <c r="N51" s="132">
        <f>MAX(0,M51-M50)</f>
        <v/>
      </c>
      <c r="O51" s="131">
        <f>IF(B51&lt;='VALOR POR PL'!$P$5,'CP RESUMO'!AX68,"")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RESUMO'!AY26</f>
        <v/>
      </c>
      <c r="N52" s="132">
        <f>MAX(0,M52-M51)</f>
        <v/>
      </c>
      <c r="O52" s="131">
        <f>IF(B52&lt;='VALOR POR PL'!$P$5,'CP RESUMO'!AY68,"")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RESUMO'!AZ26</f>
        <v/>
      </c>
      <c r="N53" s="132">
        <f>MAX(0,M53-M52)</f>
        <v/>
      </c>
      <c r="O53" s="131">
        <f>IF(B53&lt;='VALOR POR PL'!$P$5,'CP RESUMO'!AZ68,"")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RESUMO'!BA26</f>
        <v/>
      </c>
      <c r="N54" s="132">
        <f>MAX(0,M54-M53)</f>
        <v/>
      </c>
      <c r="O54" s="131">
        <f>IF(B54&lt;='VALOR POR PL'!$P$5,'CP RESUMO'!BA68,"")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RESUMO'!BB26</f>
        <v/>
      </c>
      <c r="N55" s="132">
        <f>MAX(0,M55-M54)</f>
        <v/>
      </c>
      <c r="O55" s="131">
        <f>IF(B55&lt;='VALOR POR PL'!$P$5,'CP RESUMO'!BB68,"")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RESUMO'!BC26</f>
        <v/>
      </c>
      <c r="N56" s="132">
        <f>MAX(0,M56-M55)</f>
        <v/>
      </c>
      <c r="O56" s="131">
        <f>IF(B56&lt;='VALOR POR PL'!$P$5,'CP RESUMO'!BC68,"")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RESUMO'!BD26</f>
        <v/>
      </c>
      <c r="N57" s="132">
        <f>MAX(0,M57-M56)</f>
        <v/>
      </c>
      <c r="O57" s="131">
        <f>IF(B57&lt;='VALOR POR PL'!$P$5,'CP RESUMO'!BD68,"")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RESUMO'!BE26</f>
        <v/>
      </c>
      <c r="N58" s="132">
        <f>MAX(0,M58-M57)</f>
        <v/>
      </c>
      <c r="O58" s="131">
        <f>IF(B58&lt;='VALOR POR PL'!$P$5,'CP RESUMO'!BE68,"")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RESUMO'!BF26</f>
        <v/>
      </c>
      <c r="N59" s="132">
        <f>MAX(0,M59-M58)</f>
        <v/>
      </c>
      <c r="O59" s="131">
        <f>IF(B59&lt;='VALOR POR PL'!$P$5,'CP RESUMO'!BF68,"")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RESUMO'!BG26</f>
        <v/>
      </c>
      <c r="N60" s="132">
        <f>MAX(0,M60-M59)</f>
        <v/>
      </c>
      <c r="O60" s="131">
        <f>IF(B60&lt;='VALOR POR PL'!$P$5,'CP RESUMO'!BG68,"")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RESUMO'!BH26</f>
        <v/>
      </c>
      <c r="N61" s="132">
        <f>MAX(0,M61-M60)</f>
        <v/>
      </c>
      <c r="O61" s="131">
        <f>IF(B61&lt;='VALOR POR PL'!$P$5,'CP RESUMO'!BH68,"")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RESUMO'!BI26</f>
        <v/>
      </c>
      <c r="N62" s="132">
        <f>MAX(0,M62-M61)</f>
        <v/>
      </c>
      <c r="O62" s="131">
        <f>IF(B62&lt;='VALOR POR PL'!$P$5,'CP RESUMO'!BI68,"")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RESUMO'!BJ26</f>
        <v/>
      </c>
      <c r="N63" s="132">
        <f>MAX(0,M63-M62)</f>
        <v/>
      </c>
      <c r="O63" s="131">
        <f>IF(B63&lt;='VALOR POR PL'!$P$5,'CP RESUMO'!BJ68,"")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RESUMO'!BK26</f>
        <v/>
      </c>
      <c r="N64" s="132">
        <f>MAX(0,M64-M63)</f>
        <v/>
      </c>
      <c r="O64" s="131">
        <f>IF(B64&lt;='VALOR POR PL'!$P$5,'CP RESUMO'!BK68,"")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RESUMO'!BL26</f>
        <v/>
      </c>
      <c r="N65" s="132">
        <f>MAX(0,M65-M64)</f>
        <v/>
      </c>
      <c r="O65" s="131">
        <f>IF(B65&lt;='VALOR POR PL'!$P$5,'CP RESUMO'!BL68,"")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RESUMO'!BM26</f>
        <v/>
      </c>
      <c r="N66" s="132">
        <f>MAX(0,M66-M65)</f>
        <v/>
      </c>
      <c r="O66" s="131">
        <f>IF(B66&lt;='VALOR POR PL'!$P$5,'CP RESUMO'!BM68,"")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RESUMO'!BN26</f>
        <v/>
      </c>
      <c r="N67" s="132">
        <f>MAX(0,M67-M66)</f>
        <v/>
      </c>
      <c r="O67" s="131">
        <f>IF(B67&lt;='VALOR POR PL'!$P$5,'CP RESUMO'!BN68,"")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RESUMO'!BO26</f>
        <v/>
      </c>
      <c r="N68" s="132">
        <f>MAX(0,M68-M67)</f>
        <v/>
      </c>
      <c r="O68" s="131">
        <f>IF(B68&lt;='VALOR POR PL'!$P$5,'CP RESUMO'!BO68,"")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RESUMO'!BP26</f>
        <v/>
      </c>
      <c r="N69" s="132">
        <f>MAX(0,M69-M68)</f>
        <v/>
      </c>
      <c r="O69" s="131">
        <f>IF(B69&lt;='VALOR POR PL'!$P$5,'CP RESUMO'!BP68,"")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RESUMO'!BQ26</f>
        <v/>
      </c>
      <c r="N70" s="132">
        <f>MAX(0,M70-M69)</f>
        <v/>
      </c>
      <c r="O70" s="131">
        <f>IF(B70&lt;='VALOR POR PL'!$P$5,'CP RESUMO'!BQ68,"")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RESUMO'!BR26</f>
        <v/>
      </c>
      <c r="N71" s="132">
        <f>MAX(0,M71-M70)</f>
        <v/>
      </c>
      <c r="O71" s="131">
        <f>IF(B71&lt;='VALOR POR PL'!$P$5,'CP RESUMO'!BR68,"")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RESUMO'!BS26</f>
        <v/>
      </c>
      <c r="N72" s="132">
        <f>MAX(0,M72-M71)</f>
        <v/>
      </c>
      <c r="O72" s="131">
        <f>IF(B72&lt;='VALOR POR PL'!$P$5,'CP RESUMO'!BS68,"")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RESUMO'!BT26</f>
        <v/>
      </c>
      <c r="N73" s="132">
        <f>MAX(0,M73-M72)</f>
        <v/>
      </c>
      <c r="O73" s="131">
        <f>IF(B73&lt;='VALOR POR PL'!$P$5,'CP RESUMO'!BT68,"")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RESUMO'!BU26</f>
        <v/>
      </c>
      <c r="N74" s="132">
        <f>MAX(0,M74-M73)</f>
        <v/>
      </c>
      <c r="O74" s="131">
        <f>IF(B74&lt;='VALOR POR PL'!$P$5,'CP RESUMO'!BU68,"")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RESUMO'!BV26</f>
        <v/>
      </c>
      <c r="N75" s="132">
        <f>MAX(0,M75-M74)</f>
        <v/>
      </c>
      <c r="O75" s="131">
        <f>IF(B75&lt;='VALOR POR PL'!$P$5,'CP RESUMO'!BV68,"")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RESUMO'!BW26</f>
        <v/>
      </c>
      <c r="N76" s="132">
        <f>MAX(0,M76-M75)</f>
        <v/>
      </c>
      <c r="O76" s="131">
        <f>IF(B76&lt;='VALOR POR PL'!$P$5,'CP RESUMO'!BW68,"")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HISTORICOS'!D27)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PL'!F33</f>
        <v/>
      </c>
      <c r="K5" s="60">
        <f>'VALOR POR PL'!G33</f>
        <v/>
      </c>
      <c r="L5" s="60">
        <f>'DADOS HISTORICOS'!$BZ$27</f>
        <v/>
      </c>
      <c r="M5" s="131">
        <f>'CP RESUMO'!D27</f>
        <v/>
      </c>
      <c r="N5" s="132" t="n">
        <v>0</v>
      </c>
      <c r="O5" s="131">
        <f>IF(B5&lt;='VALOR POR PL'!$P$5,'CP RESUMO'!D69,"")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HISTORICOS'!E27)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PL'!H33</f>
        <v/>
      </c>
      <c r="L6" s="49">
        <f>C6/IF(B6&lt;='VALOR POR PL'!$P$5,IFERROR(INDEX('"INCC-FGV"'!$B$2:$B$800,MATCH(B6,'"INCC-FGV"'!$A$2:$A$800,0)),$K$2),$K$2)</f>
        <v/>
      </c>
      <c r="M6" s="131">
        <f>'CP RESUMO'!E27</f>
        <v/>
      </c>
      <c r="N6" s="132">
        <f>MAX(0,M6-M5)</f>
        <v/>
      </c>
      <c r="O6" s="131">
        <f>IF(B6&lt;='VALOR POR PL'!$P$5,'CP RESUMO'!E69,"")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HISTORICOS'!F27)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RESUMO'!F27</f>
        <v/>
      </c>
      <c r="N7" s="132">
        <f>MAX(0,M7-M6)</f>
        <v/>
      </c>
      <c r="O7" s="131">
        <f>IF(B7&lt;='VALOR POR PL'!$P$5,'CP RESUMO'!F69,"")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HISTORICOS'!G27)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RESUMO'!G27</f>
        <v/>
      </c>
      <c r="N8" s="132">
        <f>MAX(0,M8-M7)</f>
        <v/>
      </c>
      <c r="O8" s="131">
        <f>IF(B8&lt;='VALOR POR PL'!$P$5,'CP RESUMO'!G69,"")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HISTORICOS'!H27)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RESUMO'!H27</f>
        <v/>
      </c>
      <c r="N9" s="132">
        <f>MAX(0,M9-M8)</f>
        <v/>
      </c>
      <c r="O9" s="131">
        <f>IF(B9&lt;='VALOR POR PL'!$P$5,'CP RESUMO'!H69,"")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RESUMO'!I27</f>
        <v/>
      </c>
      <c r="N10" s="132">
        <f>MAX(0,M10-M9)</f>
        <v/>
      </c>
      <c r="O10" s="131">
        <f>IF(B10&lt;='VALOR POR PL'!$P$5,'CP RESUMO'!I69,"")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RESUMO'!J27</f>
        <v/>
      </c>
      <c r="N11" s="132">
        <f>MAX(0,M11-M10)</f>
        <v/>
      </c>
      <c r="O11" s="131">
        <f>IF(B11&lt;='VALOR POR PL'!$P$5,'CP RESUMO'!J69,"")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RESUMO'!K27</f>
        <v/>
      </c>
      <c r="N12" s="132">
        <f>MAX(0,M12-M11)</f>
        <v/>
      </c>
      <c r="O12" s="131">
        <f>IF(B12&lt;='VALOR POR PL'!$P$5,'CP RESUMO'!K69,"")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PL'!I33</f>
        <v/>
      </c>
      <c r="L13" s="49">
        <f>C13/IF(B13&lt;='VALOR POR PL'!$P$5,IFERROR(INDEX('"INCC-FGV"'!$B$2:$B$800,MATCH(B13,'"INCC-FGV"'!$A$2:$A$800,0)),$K$2),$K$2)</f>
        <v/>
      </c>
      <c r="M13" s="131">
        <f>'CP RESUMO'!L27</f>
        <v/>
      </c>
      <c r="N13" s="132">
        <f>MAX(0,M13-M12)</f>
        <v/>
      </c>
      <c r="O13" s="131">
        <f>IF(B13&lt;='VALOR POR PL'!$P$5,'CP RESUMO'!L69,"")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RESUMO'!$D$69:$BW$69,MATCH('VALOR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RESUMO'!M27</f>
        <v/>
      </c>
      <c r="N14" s="132">
        <f>MAX(0,M14-M13)</f>
        <v/>
      </c>
      <c r="O14" s="131">
        <f>IF(B14&lt;='VALOR POR PL'!$P$5,'CP RESUMO'!M69,"")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1">
        <f>'CP RESUMO'!N27</f>
        <v/>
      </c>
      <c r="N15" s="132">
        <f>MAX(0,M15-M14)</f>
        <v/>
      </c>
      <c r="O15" s="131">
        <f>IF(B15&lt;='VALOR POR PL'!$P$5,'CP RESUMO'!N69,"")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RESUMO'!O27</f>
        <v/>
      </c>
      <c r="N16" s="132">
        <f>MAX(0,M16-M15)</f>
        <v/>
      </c>
      <c r="O16" s="131">
        <f>IF(B16&lt;='VALOR POR PL'!$P$5,'CP RESUMO'!O69,"")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RESUMO'!P27</f>
        <v/>
      </c>
      <c r="N17" s="132">
        <f>MAX(0,M17-M16)</f>
        <v/>
      </c>
      <c r="O17" s="131">
        <f>IF(B17&lt;='VALOR POR PL'!$P$5,'CP RESUMO'!P69,"")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RESUMO'!Q27</f>
        <v/>
      </c>
      <c r="N18" s="132">
        <f>MAX(0,M18-M17)</f>
        <v/>
      </c>
      <c r="O18" s="131">
        <f>IF(B18&lt;='VALOR POR PL'!$P$5,'CP RESUMO'!Q69,"")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RESUMO'!R27</f>
        <v/>
      </c>
      <c r="N19" s="132">
        <f>MAX(0,M19-M18)</f>
        <v/>
      </c>
      <c r="O19" s="131">
        <f>IF(B19&lt;='VALOR POR PL'!$P$5,'CP RESUMO'!R69,"")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RESUMO'!S27</f>
        <v/>
      </c>
      <c r="N20" s="132">
        <f>MAX(0,M20-M19)</f>
        <v/>
      </c>
      <c r="O20" s="131">
        <f>IF(B20&lt;='VALOR POR PL'!$P$5,'CP RESUMO'!S69,"")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RESUMO'!T27</f>
        <v/>
      </c>
      <c r="N21" s="132">
        <f>MAX(0,M21-M20)</f>
        <v/>
      </c>
      <c r="O21" s="131">
        <f>IF(B21&lt;='VALOR POR PL'!$P$5,'CP RESUMO'!T69,"")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RESUMO'!U27</f>
        <v/>
      </c>
      <c r="N22" s="132">
        <f>MAX(0,M22-M21)</f>
        <v/>
      </c>
      <c r="O22" s="131">
        <f>IF(B22&lt;='VALOR POR PL'!$P$5,'CP RESUMO'!U69,"")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RESUMO'!V27</f>
        <v/>
      </c>
      <c r="N23" s="132">
        <f>MAX(0,M23-M22)</f>
        <v/>
      </c>
      <c r="O23" s="131">
        <f>IF(B23&lt;='VALOR POR PL'!$P$5,'CP RESUMO'!V69,"")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Cenário Prevision ajustado: este PL volta para a curva digitada (simulação pedida pelo usuário).</t>
        </is>
      </c>
      <c r="L24" s="49">
        <f>C24/IF(B24&lt;='VALOR POR PL'!$P$5,IFERROR(INDEX('"INCC-FGV"'!$B$2:$B$800,MATCH(B24,'"INCC-FGV"'!$A$2:$A$800,0)),$K$2),$K$2)</f>
        <v/>
      </c>
      <c r="M24" s="131">
        <f>'CP RESUMO'!W27</f>
        <v/>
      </c>
      <c r="N24" s="132">
        <f>MAX(0,M24-M23)</f>
        <v/>
      </c>
      <c r="O24" s="131">
        <f>IF(B24&lt;='VALOR POR PL'!$P$5,'CP RESUMO'!W69,"")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RESUMO'!X27</f>
        <v/>
      </c>
      <c r="N25" s="132">
        <f>MAX(0,M25-M24)</f>
        <v/>
      </c>
      <c r="O25" s="131">
        <f>IF(B25&lt;='VALOR POR PL'!$P$5,'CP RESUMO'!X69,"")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2108.66</v>
      </c>
      <c r="L26" s="49">
        <f>C26/IF(B26&lt;='VALOR POR PL'!$P$5,IFERROR(INDEX('"INCC-FGV"'!$B$2:$B$800,MATCH(B26,'"INCC-FGV"'!$A$2:$A$800,0)),$K$2),$K$2)</f>
        <v/>
      </c>
      <c r="M26" s="131">
        <f>'CP RESUMO'!Y27</f>
        <v/>
      </c>
      <c r="N26" s="132">
        <f>MAX(0,M26-M25)</f>
        <v/>
      </c>
      <c r="O26" s="131">
        <f>IF(B26&lt;='VALOR POR PL'!$P$5,'CP RESUMO'!Y69,"")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3477.93</v>
      </c>
      <c r="L27" s="49">
        <f>C27/IF(B27&lt;='VALOR POR PL'!$P$5,IFERROR(INDEX('"INCC-FGV"'!$B$2:$B$800,MATCH(B27,'"INCC-FGV"'!$A$2:$A$800,0)),$K$2),$K$2)</f>
        <v/>
      </c>
      <c r="M27" s="131">
        <f>'CP RESUMO'!Z27</f>
        <v/>
      </c>
      <c r="N27" s="132">
        <f>MAX(0,M27-M26)</f>
        <v/>
      </c>
      <c r="O27" s="131">
        <f>IF(B27&lt;='VALOR POR PL'!$P$5,'CP RESUMO'!Z69,"")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8847.01</v>
      </c>
      <c r="L28" s="49">
        <f>C28/IF(B28&lt;='VALOR POR PL'!$P$5,IFERROR(INDEX('"INCC-FGV"'!$B$2:$B$800,MATCH(B28,'"INCC-FGV"'!$A$2:$A$800,0)),$K$2),$K$2)</f>
        <v/>
      </c>
      <c r="M28" s="131">
        <f>'CP RESUMO'!AA27</f>
        <v/>
      </c>
      <c r="N28" s="132">
        <f>MAX(0,M28-M27)</f>
        <v/>
      </c>
      <c r="O28" s="131">
        <f>IF(B28&lt;='VALOR POR PL'!$P$5,'CP RESUMO'!AA69,"")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13585.01</v>
      </c>
      <c r="L29" s="49">
        <f>C29/IF(B29&lt;='VALOR POR PL'!$P$5,IFERROR(INDEX('"INCC-FGV"'!$B$2:$B$800,MATCH(B29,'"INCC-FGV"'!$A$2:$A$800,0)),$K$2),$K$2)</f>
        <v/>
      </c>
      <c r="M29" s="131">
        <f>'CP RESUMO'!AB27</f>
        <v/>
      </c>
      <c r="N29" s="132">
        <f>MAX(0,M29-M28)</f>
        <v/>
      </c>
      <c r="O29" s="131">
        <f>IF(B29&lt;='VALOR POR PL'!$P$5,'CP RESUMO'!AB69,"")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89009.24000000001</v>
      </c>
      <c r="L30" s="49">
        <f>C30/IF(B30&lt;='VALOR POR PL'!$P$5,IFERROR(INDEX('"INCC-FGV"'!$B$2:$B$800,MATCH(B30,'"INCC-FGV"'!$A$2:$A$800,0)),$K$2),$K$2)</f>
        <v/>
      </c>
      <c r="M30" s="131">
        <f>'CP RESUMO'!AC27</f>
        <v/>
      </c>
      <c r="N30" s="132">
        <f>MAX(0,M30-M29)</f>
        <v/>
      </c>
      <c r="O30" s="131">
        <f>IF(B30&lt;='VALOR POR PL'!$P$5,'CP RESUMO'!AC69,"")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97775.42999999999</v>
      </c>
      <c r="L31" s="49">
        <f>C31/IF(B31&lt;='VALOR POR PL'!$P$5,IFERROR(INDEX('"INCC-FGV"'!$B$2:$B$800,MATCH(B31,'"INCC-FGV"'!$A$2:$A$800,0)),$K$2),$K$2)</f>
        <v/>
      </c>
      <c r="M31" s="131">
        <f>'CP RESUMO'!AD27</f>
        <v/>
      </c>
      <c r="N31" s="132">
        <f>MAX(0,M31-M30)</f>
        <v/>
      </c>
      <c r="O31" s="131">
        <f>IF(B31&lt;='VALOR POR PL'!$P$5,'CP RESUMO'!AD69,"")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164074.48</v>
      </c>
      <c r="L32" s="49">
        <f>C32/IF(B32&lt;='VALOR POR PL'!$P$5,IFERROR(INDEX('"INCC-FGV"'!$B$2:$B$800,MATCH(B32,'"INCC-FGV"'!$A$2:$A$800,0)),$K$2),$K$2)</f>
        <v/>
      </c>
      <c r="M32" s="131">
        <f>'CP RESUMO'!AE27</f>
        <v/>
      </c>
      <c r="N32" s="132">
        <f>MAX(0,M32-M31)</f>
        <v/>
      </c>
      <c r="O32" s="131">
        <f>IF(B32&lt;='VALOR POR PL'!$P$5,'CP RESUMO'!AE69,"")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162176.45</v>
      </c>
      <c r="L33" s="49">
        <f>C33/IF(B33&lt;='VALOR POR PL'!$P$5,IFERROR(INDEX('"INCC-FGV"'!$B$2:$B$800,MATCH(B33,'"INCC-FGV"'!$A$2:$A$800,0)),$K$2),$K$2)</f>
        <v/>
      </c>
      <c r="M33" s="131">
        <f>'CP RESUMO'!AF27</f>
        <v/>
      </c>
      <c r="N33" s="132">
        <f>MAX(0,M33-M32)</f>
        <v/>
      </c>
      <c r="O33" s="131">
        <f>IF(B33&lt;='VALOR POR PL'!$P$5,'CP RESUMO'!AF69,"")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198279.99</v>
      </c>
      <c r="L34" s="49">
        <f>C34/IF(B34&lt;='VALOR POR PL'!$P$5,IFERROR(INDEX('"INCC-FGV"'!$B$2:$B$800,MATCH(B34,'"INCC-FGV"'!$A$2:$A$800,0)),$K$2),$K$2)</f>
        <v/>
      </c>
      <c r="M34" s="131">
        <f>'CP RESUMO'!AG27</f>
        <v/>
      </c>
      <c r="N34" s="132">
        <f>MAX(0,M34-M33)</f>
        <v/>
      </c>
      <c r="O34" s="131">
        <f>IF(B34&lt;='VALOR POR PL'!$P$5,'CP RESUMO'!AG69,"")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134897.95</v>
      </c>
      <c r="L35" s="49">
        <f>C35/IF(B35&lt;='VALOR POR PL'!$P$5,IFERROR(INDEX('"INCC-FGV"'!$B$2:$B$800,MATCH(B35,'"INCC-FGV"'!$A$2:$A$800,0)),$K$2),$K$2)</f>
        <v/>
      </c>
      <c r="M35" s="131">
        <f>'CP RESUMO'!AH27</f>
        <v/>
      </c>
      <c r="N35" s="132">
        <f>MAX(0,M35-M34)</f>
        <v/>
      </c>
      <c r="O35" s="131">
        <f>IF(B35&lt;='VALOR POR PL'!$P$5,'CP RESUMO'!AH69,"")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134426.8</v>
      </c>
      <c r="L36" s="49">
        <f>C36/IF(B36&lt;='VALOR POR PL'!$P$5,IFERROR(INDEX('"INCC-FGV"'!$B$2:$B$800,MATCH(B36,'"INCC-FGV"'!$A$2:$A$800,0)),$K$2),$K$2)</f>
        <v/>
      </c>
      <c r="M36" s="131">
        <f>'CP RESUMO'!AI27</f>
        <v/>
      </c>
      <c r="N36" s="132">
        <f>MAX(0,M36-M35)</f>
        <v/>
      </c>
      <c r="O36" s="131">
        <f>IF(B36&lt;='VALOR POR PL'!$P$5,'CP RESUMO'!AI69,"")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270261.29</v>
      </c>
      <c r="L37" s="49">
        <f>C37/IF(B37&lt;='VALOR POR PL'!$P$5,IFERROR(INDEX('"INCC-FGV"'!$B$2:$B$800,MATCH(B37,'"INCC-FGV"'!$A$2:$A$800,0)),$K$2),$K$2)</f>
        <v/>
      </c>
      <c r="M37" s="131">
        <f>'CP RESUMO'!AJ27</f>
        <v/>
      </c>
      <c r="N37" s="132">
        <f>MAX(0,M37-M36)</f>
        <v/>
      </c>
      <c r="O37" s="131">
        <f>IF(B37&lt;='VALOR POR PL'!$P$5,'CP RESUMO'!AJ69,"")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311960.24</v>
      </c>
      <c r="L38" s="49">
        <f>C38/IF(B38&lt;='VALOR POR PL'!$P$5,IFERROR(INDEX('"INCC-FGV"'!$B$2:$B$800,MATCH(B38,'"INCC-FGV"'!$A$2:$A$800,0)),$K$2),$K$2)</f>
        <v/>
      </c>
      <c r="M38" s="131">
        <f>'CP RESUMO'!AK27</f>
        <v/>
      </c>
      <c r="N38" s="132">
        <f>MAX(0,M38-M37)</f>
        <v/>
      </c>
      <c r="O38" s="131">
        <f>IF(B38&lt;='VALOR POR PL'!$P$5,'CP RESUMO'!AK69,"")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562701</v>
      </c>
      <c r="L39" s="49">
        <f>C39/IF(B39&lt;='VALOR POR PL'!$P$5,IFERROR(INDEX('"INCC-FGV"'!$B$2:$B$800,MATCH(B39,'"INCC-FGV"'!$A$2:$A$800,0)),$K$2),$K$2)</f>
        <v/>
      </c>
      <c r="M39" s="131">
        <f>'CP RESUMO'!AL27</f>
        <v/>
      </c>
      <c r="N39" s="132">
        <f>MAX(0,M39-M38)</f>
        <v/>
      </c>
      <c r="O39" s="131">
        <f>IF(B39&lt;='VALOR POR PL'!$P$5,'CP RESUMO'!AL69,"")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579252.3</v>
      </c>
      <c r="L40" s="49">
        <f>C40/IF(B40&lt;='VALOR POR PL'!$P$5,IFERROR(INDEX('"INCC-FGV"'!$B$2:$B$800,MATCH(B40,'"INCC-FGV"'!$A$2:$A$800,0)),$K$2),$K$2)</f>
        <v/>
      </c>
      <c r="M40" s="131">
        <f>'CP RESUMO'!AM27</f>
        <v/>
      </c>
      <c r="N40" s="132">
        <f>MAX(0,M40-M39)</f>
        <v/>
      </c>
      <c r="O40" s="131">
        <f>IF(B40&lt;='VALOR POR PL'!$P$5,'CP RESUMO'!AM69,"")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577805.76</v>
      </c>
      <c r="L41" s="49">
        <f>C41/IF(B41&lt;='VALOR POR PL'!$P$5,IFERROR(INDEX('"INCC-FGV"'!$B$2:$B$800,MATCH(B41,'"INCC-FGV"'!$A$2:$A$800,0)),$K$2),$K$2)</f>
        <v/>
      </c>
      <c r="M41" s="131">
        <f>'CP RESUMO'!AN27</f>
        <v/>
      </c>
      <c r="N41" s="132">
        <f>MAX(0,M41-M40)</f>
        <v/>
      </c>
      <c r="O41" s="131">
        <f>IF(B41&lt;='VALOR POR PL'!$P$5,'CP RESUMO'!AN69,"")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381554.3</v>
      </c>
      <c r="L42" s="49">
        <f>C42/IF(B42&lt;='VALOR POR PL'!$P$5,IFERROR(INDEX('"INCC-FGV"'!$B$2:$B$800,MATCH(B42,'"INCC-FGV"'!$A$2:$A$800,0)),$K$2),$K$2)</f>
        <v/>
      </c>
      <c r="M42" s="131">
        <f>'CP RESUMO'!AO27</f>
        <v/>
      </c>
      <c r="N42" s="132">
        <f>MAX(0,M42-M41)</f>
        <v/>
      </c>
      <c r="O42" s="131">
        <f>IF(B42&lt;='VALOR POR PL'!$P$5,'CP RESUMO'!AO69,"")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174324.57</v>
      </c>
      <c r="L43" s="49">
        <f>C43/IF(B43&lt;='VALOR POR PL'!$P$5,IFERROR(INDEX('"INCC-FGV"'!$B$2:$B$800,MATCH(B43,'"INCC-FGV"'!$A$2:$A$800,0)),$K$2),$K$2)</f>
        <v/>
      </c>
      <c r="M43" s="131">
        <f>'CP RESUMO'!AP27</f>
        <v/>
      </c>
      <c r="N43" s="132">
        <f>MAX(0,M43-M42)</f>
        <v/>
      </c>
      <c r="O43" s="131">
        <f>IF(B43&lt;='VALOR POR PL'!$P$5,'CP RESUMO'!AP69,"")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215293.07</v>
      </c>
      <c r="L44" s="49">
        <f>C44/IF(B44&lt;='VALOR POR PL'!$P$5,IFERROR(INDEX('"INCC-FGV"'!$B$2:$B$800,MATCH(B44,'"INCC-FGV"'!$A$2:$A$800,0)),$K$2),$K$2)</f>
        <v/>
      </c>
      <c r="M44" s="131">
        <f>'CP RESUMO'!AQ27</f>
        <v/>
      </c>
      <c r="N44" s="132">
        <f>MAX(0,M44-M43)</f>
        <v/>
      </c>
      <c r="O44" s="131">
        <f>IF(B44&lt;='VALOR POR PL'!$P$5,'CP RESUMO'!AQ69,"")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32880.2</v>
      </c>
      <c r="L45" s="49">
        <f>C45/IF(B45&lt;='VALOR POR PL'!$P$5,IFERROR(INDEX('"INCC-FGV"'!$B$2:$B$800,MATCH(B45,'"INCC-FGV"'!$A$2:$A$800,0)),$K$2),$K$2)</f>
        <v/>
      </c>
      <c r="M45" s="131">
        <f>'CP RESUMO'!AR27</f>
        <v/>
      </c>
      <c r="N45" s="132">
        <f>MAX(0,M45-M44)</f>
        <v/>
      </c>
      <c r="O45" s="131">
        <f>IF(B45&lt;='VALOR POR PL'!$P$5,'CP RESUMO'!AR69,"")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29882.14</v>
      </c>
      <c r="L46" s="49">
        <f>C46/IF(B46&lt;='VALOR POR PL'!$P$5,IFERROR(INDEX('"INCC-FGV"'!$B$2:$B$800,MATCH(B46,'"INCC-FGV"'!$A$2:$A$800,0)),$K$2),$K$2)</f>
        <v/>
      </c>
      <c r="M46" s="131">
        <f>'CP RESUMO'!AS27</f>
        <v/>
      </c>
      <c r="N46" s="132">
        <f>MAX(0,M46-M45)</f>
        <v/>
      </c>
      <c r="O46" s="131">
        <f>IF(B46&lt;='VALOR POR PL'!$P$5,'CP RESUMO'!AS69,"")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19277.27</v>
      </c>
      <c r="L47" s="49">
        <f>C47/IF(B47&lt;='VALOR POR PL'!$P$5,IFERROR(INDEX('"INCC-FGV"'!$B$2:$B$800,MATCH(B47,'"INCC-FGV"'!$A$2:$A$800,0)),$K$2),$K$2)</f>
        <v/>
      </c>
      <c r="M47" s="131">
        <f>'CP RESUMO'!AT27</f>
        <v/>
      </c>
      <c r="N47" s="132">
        <f>MAX(0,M47-M46)</f>
        <v/>
      </c>
      <c r="O47" s="131">
        <f>IF(B47&lt;='VALOR POR PL'!$P$5,'CP RESUMO'!AT69,"")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19287.83</v>
      </c>
      <c r="L48" s="49">
        <f>C48/IF(B48&lt;='VALOR POR PL'!$P$5,IFERROR(INDEX('"INCC-FGV"'!$B$2:$B$800,MATCH(B48,'"INCC-FGV"'!$A$2:$A$800,0)),$K$2),$K$2)</f>
        <v/>
      </c>
      <c r="M48" s="131">
        <f>'CP RESUMO'!AU27</f>
        <v/>
      </c>
      <c r="N48" s="132">
        <f>MAX(0,M48-M47)</f>
        <v/>
      </c>
      <c r="O48" s="131">
        <f>IF(B48&lt;='VALOR POR PL'!$P$5,'CP RESUMO'!AU69,"")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19006.95</v>
      </c>
      <c r="L49" s="49">
        <f>C49/IF(B49&lt;='VALOR POR PL'!$P$5,IFERROR(INDEX('"INCC-FGV"'!$B$2:$B$800,MATCH(B49,'"INCC-FGV"'!$A$2:$A$800,0)),$K$2),$K$2)</f>
        <v/>
      </c>
      <c r="M49" s="131">
        <f>'CP RESUMO'!AV27</f>
        <v/>
      </c>
      <c r="N49" s="132">
        <f>MAX(0,M49-M48)</f>
        <v/>
      </c>
      <c r="O49" s="131">
        <f>IF(B49&lt;='VALOR POR PL'!$P$5,'CP RESUMO'!AV69,"")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RESUMO'!AW27</f>
        <v/>
      </c>
      <c r="N50" s="132">
        <f>MAX(0,M50-M49)</f>
        <v/>
      </c>
      <c r="O50" s="131">
        <f>IF(B50&lt;='VALOR POR PL'!$P$5,'CP RESUMO'!AW69,"")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RESUMO'!AX27</f>
        <v/>
      </c>
      <c r="N51" s="132">
        <f>MAX(0,M51-M50)</f>
        <v/>
      </c>
      <c r="O51" s="131">
        <f>IF(B51&lt;='VALOR POR PL'!$P$5,'CP RESUMO'!AX69,"")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RESUMO'!AY27</f>
        <v/>
      </c>
      <c r="N52" s="132">
        <f>MAX(0,M52-M51)</f>
        <v/>
      </c>
      <c r="O52" s="131">
        <f>IF(B52&lt;='VALOR POR PL'!$P$5,'CP RESUMO'!AY69,"")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RESUMO'!AZ27</f>
        <v/>
      </c>
      <c r="N53" s="132">
        <f>MAX(0,M53-M52)</f>
        <v/>
      </c>
      <c r="O53" s="131">
        <f>IF(B53&lt;='VALOR POR PL'!$P$5,'CP RESUMO'!AZ69,"")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>
        <v>883674.36</v>
      </c>
      <c r="L54" s="49">
        <f>C54/IF(B54&lt;='VALOR POR PL'!$P$5,IFERROR(INDEX('"INCC-FGV"'!$B$2:$B$800,MATCH(B54,'"INCC-FGV"'!$A$2:$A$800,0)),$K$2),$K$2)</f>
        <v/>
      </c>
      <c r="M54" s="131">
        <f>'CP RESUMO'!BA27</f>
        <v/>
      </c>
      <c r="N54" s="132">
        <f>MAX(0,M54-M53)</f>
        <v/>
      </c>
      <c r="O54" s="131">
        <f>IF(B54&lt;='VALOR POR PL'!$P$5,'CP RESUMO'!BA69,"")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RESUMO'!BB27</f>
        <v/>
      </c>
      <c r="N55" s="132">
        <f>MAX(0,M55-M54)</f>
        <v/>
      </c>
      <c r="O55" s="131">
        <f>IF(B55&lt;='VALOR POR PL'!$P$5,'CP RESUMO'!BB69,"")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RESUMO'!BC27</f>
        <v/>
      </c>
      <c r="N56" s="132">
        <f>MAX(0,M56-M55)</f>
        <v/>
      </c>
      <c r="O56" s="131">
        <f>IF(B56&lt;='VALOR POR PL'!$P$5,'CP RESUMO'!BC69,"")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RESUMO'!BD27</f>
        <v/>
      </c>
      <c r="N57" s="132">
        <f>MAX(0,M57-M56)</f>
        <v/>
      </c>
      <c r="O57" s="131">
        <f>IF(B57&lt;='VALOR POR PL'!$P$5,'CP RESUMO'!BD69,"")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RESUMO'!BE27</f>
        <v/>
      </c>
      <c r="N58" s="132">
        <f>MAX(0,M58-M57)</f>
        <v/>
      </c>
      <c r="O58" s="131">
        <f>IF(B58&lt;='VALOR POR PL'!$P$5,'CP RESUMO'!BE69,"")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RESUMO'!BF27</f>
        <v/>
      </c>
      <c r="N59" s="132">
        <f>MAX(0,M59-M58)</f>
        <v/>
      </c>
      <c r="O59" s="131">
        <f>IF(B59&lt;='VALOR POR PL'!$P$5,'CP RESUMO'!BF69,"")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RESUMO'!BG27</f>
        <v/>
      </c>
      <c r="N60" s="132">
        <f>MAX(0,M60-M59)</f>
        <v/>
      </c>
      <c r="O60" s="131">
        <f>IF(B60&lt;='VALOR POR PL'!$P$5,'CP RESUMO'!BG69,"")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RESUMO'!BH27</f>
        <v/>
      </c>
      <c r="N61" s="132">
        <f>MAX(0,M61-M60)</f>
        <v/>
      </c>
      <c r="O61" s="131">
        <f>IF(B61&lt;='VALOR POR PL'!$P$5,'CP RESUMO'!BH69,"")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RESUMO'!BI27</f>
        <v/>
      </c>
      <c r="N62" s="132">
        <f>MAX(0,M62-M61)</f>
        <v/>
      </c>
      <c r="O62" s="131">
        <f>IF(B62&lt;='VALOR POR PL'!$P$5,'CP RESUMO'!BI69,"")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RESUMO'!BJ27</f>
        <v/>
      </c>
      <c r="N63" s="132">
        <f>MAX(0,M63-M62)</f>
        <v/>
      </c>
      <c r="O63" s="131">
        <f>IF(B63&lt;='VALOR POR PL'!$P$5,'CP RESUMO'!BJ69,"")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RESUMO'!BK27</f>
        <v/>
      </c>
      <c r="N64" s="132">
        <f>MAX(0,M64-M63)</f>
        <v/>
      </c>
      <c r="O64" s="131">
        <f>IF(B64&lt;='VALOR POR PL'!$P$5,'CP RESUMO'!BK69,"")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RESUMO'!BL27</f>
        <v/>
      </c>
      <c r="N65" s="132">
        <f>MAX(0,M65-M64)</f>
        <v/>
      </c>
      <c r="O65" s="131">
        <f>IF(B65&lt;='VALOR POR PL'!$P$5,'CP RESUMO'!BL69,"")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RESUMO'!BM27</f>
        <v/>
      </c>
      <c r="N66" s="132">
        <f>MAX(0,M66-M65)</f>
        <v/>
      </c>
      <c r="O66" s="131">
        <f>IF(B66&lt;='VALOR POR PL'!$P$5,'CP RESUMO'!BM69,"")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RESUMO'!BN27</f>
        <v/>
      </c>
      <c r="N67" s="132">
        <f>MAX(0,M67-M66)</f>
        <v/>
      </c>
      <c r="O67" s="131">
        <f>IF(B67&lt;='VALOR POR PL'!$P$5,'CP RESUMO'!BN69,"")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RESUMO'!BO27</f>
        <v/>
      </c>
      <c r="N68" s="132">
        <f>MAX(0,M68-M67)</f>
        <v/>
      </c>
      <c r="O68" s="131">
        <f>IF(B68&lt;='VALOR POR PL'!$P$5,'CP RESUMO'!BO69,"")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RESUMO'!BP27</f>
        <v/>
      </c>
      <c r="N69" s="132">
        <f>MAX(0,M69-M68)</f>
        <v/>
      </c>
      <c r="O69" s="131">
        <f>IF(B69&lt;='VALOR POR PL'!$P$5,'CP RESUMO'!BP69,"")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RESUMO'!BQ27</f>
        <v/>
      </c>
      <c r="N70" s="132">
        <f>MAX(0,M70-M69)</f>
        <v/>
      </c>
      <c r="O70" s="131">
        <f>IF(B70&lt;='VALOR POR PL'!$P$5,'CP RESUMO'!BQ69,"")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RESUMO'!BR27</f>
        <v/>
      </c>
      <c r="N71" s="132">
        <f>MAX(0,M71-M70)</f>
        <v/>
      </c>
      <c r="O71" s="131">
        <f>IF(B71&lt;='VALOR POR PL'!$P$5,'CP RESUMO'!BR69,"")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RESUMO'!BS27</f>
        <v/>
      </c>
      <c r="N72" s="132">
        <f>MAX(0,M72-M71)</f>
        <v/>
      </c>
      <c r="O72" s="131">
        <f>IF(B72&lt;='VALOR POR PL'!$P$5,'CP RESUMO'!BS69,"")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RESUMO'!BT27</f>
        <v/>
      </c>
      <c r="N73" s="132">
        <f>MAX(0,M73-M72)</f>
        <v/>
      </c>
      <c r="O73" s="131">
        <f>IF(B73&lt;='VALOR POR PL'!$P$5,'CP RESUMO'!BT69,"")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RESUMO'!BU27</f>
        <v/>
      </c>
      <c r="N74" s="132">
        <f>MAX(0,M74-M73)</f>
        <v/>
      </c>
      <c r="O74" s="131">
        <f>IF(B74&lt;='VALOR POR PL'!$P$5,'CP RESUMO'!BU69,"")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RESUMO'!BV27</f>
        <v/>
      </c>
      <c r="N75" s="132">
        <f>MAX(0,M75-M74)</f>
        <v/>
      </c>
      <c r="O75" s="131">
        <f>IF(B75&lt;='VALOR POR PL'!$P$5,'CP RESUMO'!BV69,"")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RESUMO'!BW27</f>
        <v/>
      </c>
      <c r="N76" s="132">
        <f>MAX(0,M76-M75)</f>
        <v/>
      </c>
      <c r="O76" s="131">
        <f>IF(B76&lt;='VALOR POR PL'!$P$5,'CP RESUMO'!BW69,"")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HISTORICOS'!D28)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PL'!F34</f>
        <v/>
      </c>
      <c r="K5" s="60">
        <f>'VALOR POR PL'!G34</f>
        <v/>
      </c>
      <c r="L5" s="60">
        <f>'DADOS HISTORICOS'!$BZ$28</f>
        <v/>
      </c>
      <c r="M5" s="131">
        <f>'CP RESUMO'!D28</f>
        <v/>
      </c>
      <c r="N5" s="132" t="n">
        <v>0</v>
      </c>
      <c r="O5" s="131">
        <f>IF(B5&lt;='VALOR POR PL'!$P$5,'CP RESUMO'!D70,"")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HISTORICOS'!E28)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PL'!H34</f>
        <v/>
      </c>
      <c r="L6" s="49">
        <f>C6/IF(B6&lt;='VALOR POR PL'!$P$5,IFERROR(INDEX('"INCC-FGV"'!$B$2:$B$800,MATCH(B6,'"INCC-FGV"'!$A$2:$A$800,0)),$K$2),$K$2)</f>
        <v/>
      </c>
      <c r="M6" s="131">
        <f>'CP RESUMO'!E28</f>
        <v/>
      </c>
      <c r="N6" s="132">
        <f>MAX(0,M6-M5)</f>
        <v/>
      </c>
      <c r="O6" s="131">
        <f>IF(B6&lt;='VALOR POR PL'!$P$5,'CP RESUMO'!E70,"")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HISTORICOS'!F28)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RESUMO'!F28</f>
        <v/>
      </c>
      <c r="N7" s="132">
        <f>MAX(0,M7-M6)</f>
        <v/>
      </c>
      <c r="O7" s="131">
        <f>IF(B7&lt;='VALOR POR PL'!$P$5,'CP RESUMO'!F70,"")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HISTORICOS'!G28)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RESUMO'!G28</f>
        <v/>
      </c>
      <c r="N8" s="132">
        <f>MAX(0,M8-M7)</f>
        <v/>
      </c>
      <c r="O8" s="131">
        <f>IF(B8&lt;='VALOR POR PL'!$P$5,'CP RESUMO'!G70,"")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HISTORICOS'!H28)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RESUMO'!H28</f>
        <v/>
      </c>
      <c r="N9" s="132">
        <f>MAX(0,M9-M8)</f>
        <v/>
      </c>
      <c r="O9" s="131">
        <f>IF(B9&lt;='VALOR POR PL'!$P$5,'CP RESUMO'!H70,"")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RESUMO'!I28</f>
        <v/>
      </c>
      <c r="N10" s="132">
        <f>MAX(0,M10-M9)</f>
        <v/>
      </c>
      <c r="O10" s="131">
        <f>IF(B10&lt;='VALOR POR PL'!$P$5,'CP RESUMO'!I70,"")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RESUMO'!J28</f>
        <v/>
      </c>
      <c r="N11" s="132">
        <f>MAX(0,M11-M10)</f>
        <v/>
      </c>
      <c r="O11" s="131">
        <f>IF(B11&lt;='VALOR POR PL'!$P$5,'CP RESUMO'!J70,"")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RESUMO'!K28</f>
        <v/>
      </c>
      <c r="N12" s="132">
        <f>MAX(0,M12-M11)</f>
        <v/>
      </c>
      <c r="O12" s="131">
        <f>IF(B12&lt;='VALOR POR PL'!$P$5,'CP RESUMO'!K70,"")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PL'!I34</f>
        <v/>
      </c>
      <c r="L13" s="49">
        <f>C13/IF(B13&lt;='VALOR POR PL'!$P$5,IFERROR(INDEX('"INCC-FGV"'!$B$2:$B$800,MATCH(B13,'"INCC-FGV"'!$A$2:$A$800,0)),$K$2),$K$2)</f>
        <v/>
      </c>
      <c r="M13" s="131">
        <f>'CP RESUMO'!L28</f>
        <v/>
      </c>
      <c r="N13" s="132">
        <f>MAX(0,M13-M12)</f>
        <v/>
      </c>
      <c r="O13" s="131">
        <f>IF(B13&lt;='VALOR POR PL'!$P$5,'CP RESUMO'!L70,"")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RESUMO'!$D$70:$BW$70,MATCH('VALOR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RESUMO'!M28</f>
        <v/>
      </c>
      <c r="N14" s="132">
        <f>MAX(0,M14-M13)</f>
        <v/>
      </c>
      <c r="O14" s="131">
        <f>IF(B14&lt;='VALOR POR PL'!$P$5,'CP RESUMO'!M70,"")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1">
        <f>'CP RESUMO'!N28</f>
        <v/>
      </c>
      <c r="N15" s="132">
        <f>MAX(0,M15-M14)</f>
        <v/>
      </c>
      <c r="O15" s="131">
        <f>IF(B15&lt;='VALOR POR PL'!$P$5,'CP RESUMO'!N70,"")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RESUMO'!O28</f>
        <v/>
      </c>
      <c r="N16" s="132">
        <f>MAX(0,M16-M15)</f>
        <v/>
      </c>
      <c r="O16" s="131">
        <f>IF(B16&lt;='VALOR POR PL'!$P$5,'CP RESUMO'!O70,"")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RESUMO'!P28</f>
        <v/>
      </c>
      <c r="N17" s="132">
        <f>MAX(0,M17-M16)</f>
        <v/>
      </c>
      <c r="O17" s="131">
        <f>IF(B17&lt;='VALOR POR PL'!$P$5,'CP RESUMO'!P70,"")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RESUMO'!Q28</f>
        <v/>
      </c>
      <c r="N18" s="132">
        <f>MAX(0,M18-M17)</f>
        <v/>
      </c>
      <c r="O18" s="131">
        <f>IF(B18&lt;='VALOR POR PL'!$P$5,'CP RESUMO'!Q70,"")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RESUMO'!R28</f>
        <v/>
      </c>
      <c r="N19" s="132">
        <f>MAX(0,M19-M18)</f>
        <v/>
      </c>
      <c r="O19" s="131">
        <f>IF(B19&lt;='VALOR POR PL'!$P$5,'CP RESUMO'!R70,"")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RESUMO'!S28</f>
        <v/>
      </c>
      <c r="N20" s="132">
        <f>MAX(0,M20-M19)</f>
        <v/>
      </c>
      <c r="O20" s="131">
        <f>IF(B20&lt;='VALOR POR PL'!$P$5,'CP RESUMO'!S70,"")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RESUMO'!T28</f>
        <v/>
      </c>
      <c r="N21" s="132">
        <f>MAX(0,M21-M20)</f>
        <v/>
      </c>
      <c r="O21" s="131">
        <f>IF(B21&lt;='VALOR POR PL'!$P$5,'CP RESUMO'!T70,"")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RESUMO'!U28</f>
        <v/>
      </c>
      <c r="N22" s="132">
        <f>MAX(0,M22-M21)</f>
        <v/>
      </c>
      <c r="O22" s="131">
        <f>IF(B22&lt;='VALOR POR PL'!$P$5,'CP RESUMO'!U70,"")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RESUMO'!V28</f>
        <v/>
      </c>
      <c r="N23" s="132">
        <f>MAX(0,M23-M22)</f>
        <v/>
      </c>
      <c r="O23" s="131">
        <f>IF(B23&lt;='VALOR POR PL'!$P$5,'CP RESUMO'!V70,"")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Previsão informada mantida (decisão do usuário). Premissa: pedido 1 ano antes, 12 pagamentos.</t>
        </is>
      </c>
      <c r="L24" s="49">
        <f>C24/IF(B24&lt;='VALOR POR PL'!$P$5,IFERROR(INDEX('"INCC-FGV"'!$B$2:$B$800,MATCH(B24,'"INCC-FGV"'!$A$2:$A$800,0)),$K$2),$K$2)</f>
        <v/>
      </c>
      <c r="M24" s="131">
        <f>'CP RESUMO'!W28</f>
        <v/>
      </c>
      <c r="N24" s="132">
        <f>MAX(0,M24-M23)</f>
        <v/>
      </c>
      <c r="O24" s="131">
        <f>IF(B24&lt;='VALOR POR PL'!$P$5,'CP RESUMO'!W70,"")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RESUMO'!X28</f>
        <v/>
      </c>
      <c r="N25" s="132">
        <f>MAX(0,M25-M24)</f>
        <v/>
      </c>
      <c r="O25" s="131">
        <f>IF(B25&lt;='VALOR POR PL'!$P$5,'CP RESUMO'!X70,"")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176363.64</v>
      </c>
      <c r="L26" s="49">
        <f>C26/IF(B26&lt;='VALOR POR PL'!$P$5,IFERROR(INDEX('"INCC-FGV"'!$B$2:$B$800,MATCH(B26,'"INCC-FGV"'!$A$2:$A$800,0)),$K$2),$K$2)</f>
        <v/>
      </c>
      <c r="M26" s="131">
        <f>'CP RESUMO'!Y28</f>
        <v/>
      </c>
      <c r="N26" s="132">
        <f>MAX(0,M26-M25)</f>
        <v/>
      </c>
      <c r="O26" s="131">
        <f>IF(B26&lt;='VALOR POR PL'!$P$5,'CP RESUMO'!Y70,"")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176363.64</v>
      </c>
      <c r="L27" s="49">
        <f>C27/IF(B27&lt;='VALOR POR PL'!$P$5,IFERROR(INDEX('"INCC-FGV"'!$B$2:$B$800,MATCH(B27,'"INCC-FGV"'!$A$2:$A$800,0)),$K$2),$K$2)</f>
        <v/>
      </c>
      <c r="M27" s="131">
        <f>'CP RESUMO'!Z28</f>
        <v/>
      </c>
      <c r="N27" s="132">
        <f>MAX(0,M27-M26)</f>
        <v/>
      </c>
      <c r="O27" s="131">
        <f>IF(B27&lt;='VALOR POR PL'!$P$5,'CP RESUMO'!Z70,"")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176363.64</v>
      </c>
      <c r="L28" s="49">
        <f>C28/IF(B28&lt;='VALOR POR PL'!$P$5,IFERROR(INDEX('"INCC-FGV"'!$B$2:$B$800,MATCH(B28,'"INCC-FGV"'!$A$2:$A$800,0)),$K$2),$K$2)</f>
        <v/>
      </c>
      <c r="M28" s="131">
        <f>'CP RESUMO'!AA28</f>
        <v/>
      </c>
      <c r="N28" s="132">
        <f>MAX(0,M28-M27)</f>
        <v/>
      </c>
      <c r="O28" s="131">
        <f>IF(B28&lt;='VALOR POR PL'!$P$5,'CP RESUMO'!AA70,"")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176363.64</v>
      </c>
      <c r="L29" s="49">
        <f>C29/IF(B29&lt;='VALOR POR PL'!$P$5,IFERROR(INDEX('"INCC-FGV"'!$B$2:$B$800,MATCH(B29,'"INCC-FGV"'!$A$2:$A$800,0)),$K$2),$K$2)</f>
        <v/>
      </c>
      <c r="M29" s="131">
        <f>'CP RESUMO'!AB28</f>
        <v/>
      </c>
      <c r="N29" s="132">
        <f>MAX(0,M29-M28)</f>
        <v/>
      </c>
      <c r="O29" s="131">
        <f>IF(B29&lt;='VALOR POR PL'!$P$5,'CP RESUMO'!AB70,"")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176363.64</v>
      </c>
      <c r="L30" s="49">
        <f>C30/IF(B30&lt;='VALOR POR PL'!$P$5,IFERROR(INDEX('"INCC-FGV"'!$B$2:$B$800,MATCH(B30,'"INCC-FGV"'!$A$2:$A$800,0)),$K$2),$K$2)</f>
        <v/>
      </c>
      <c r="M30" s="131">
        <f>'CP RESUMO'!AC28</f>
        <v/>
      </c>
      <c r="N30" s="132">
        <f>MAX(0,M30-M29)</f>
        <v/>
      </c>
      <c r="O30" s="131">
        <f>IF(B30&lt;='VALOR POR PL'!$P$5,'CP RESUMO'!AC70,"")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176363.64</v>
      </c>
      <c r="L31" s="49">
        <f>C31/IF(B31&lt;='VALOR POR PL'!$P$5,IFERROR(INDEX('"INCC-FGV"'!$B$2:$B$800,MATCH(B31,'"INCC-FGV"'!$A$2:$A$800,0)),$K$2),$K$2)</f>
        <v/>
      </c>
      <c r="M31" s="131">
        <f>'CP RESUMO'!AD28</f>
        <v/>
      </c>
      <c r="N31" s="132">
        <f>MAX(0,M31-M30)</f>
        <v/>
      </c>
      <c r="O31" s="131">
        <f>IF(B31&lt;='VALOR POR PL'!$P$5,'CP RESUMO'!AD70,"")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176363.64</v>
      </c>
      <c r="L32" s="49">
        <f>C32/IF(B32&lt;='VALOR POR PL'!$P$5,IFERROR(INDEX('"INCC-FGV"'!$B$2:$B$800,MATCH(B32,'"INCC-FGV"'!$A$2:$A$800,0)),$K$2),$K$2)</f>
        <v/>
      </c>
      <c r="M32" s="131">
        <f>'CP RESUMO'!AE28</f>
        <v/>
      </c>
      <c r="N32" s="132">
        <f>MAX(0,M32-M31)</f>
        <v/>
      </c>
      <c r="O32" s="131">
        <f>IF(B32&lt;='VALOR POR PL'!$P$5,'CP RESUMO'!AE70,"")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176363.64</v>
      </c>
      <c r="L33" s="49">
        <f>C33/IF(B33&lt;='VALOR POR PL'!$P$5,IFERROR(INDEX('"INCC-FGV"'!$B$2:$B$800,MATCH(B33,'"INCC-FGV"'!$A$2:$A$800,0)),$K$2),$K$2)</f>
        <v/>
      </c>
      <c r="M33" s="131">
        <f>'CP RESUMO'!AF28</f>
        <v/>
      </c>
      <c r="N33" s="132">
        <f>MAX(0,M33-M32)</f>
        <v/>
      </c>
      <c r="O33" s="131">
        <f>IF(B33&lt;='VALOR POR PL'!$P$5,'CP RESUMO'!AF70,"")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184035.06</v>
      </c>
      <c r="L34" s="49">
        <f>C34/IF(B34&lt;='VALOR POR PL'!$P$5,IFERROR(INDEX('"INCC-FGV"'!$B$2:$B$800,MATCH(B34,'"INCC-FGV"'!$A$2:$A$800,0)),$K$2),$K$2)</f>
        <v/>
      </c>
      <c r="M34" s="131">
        <f>'CP RESUMO'!AG28</f>
        <v/>
      </c>
      <c r="N34" s="132">
        <f>MAX(0,M34-M33)</f>
        <v/>
      </c>
      <c r="O34" s="131">
        <f>IF(B34&lt;='VALOR POR PL'!$P$5,'CP RESUMO'!AG70,"")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7671.43</v>
      </c>
      <c r="L35" s="49">
        <f>C35/IF(B35&lt;='VALOR POR PL'!$P$5,IFERROR(INDEX('"INCC-FGV"'!$B$2:$B$800,MATCH(B35,'"INCC-FGV"'!$A$2:$A$800,0)),$K$2),$K$2)</f>
        <v/>
      </c>
      <c r="M35" s="131">
        <f>'CP RESUMO'!AH28</f>
        <v/>
      </c>
      <c r="N35" s="132">
        <f>MAX(0,M35-M34)</f>
        <v/>
      </c>
      <c r="O35" s="131">
        <f>IF(B35&lt;='VALOR POR PL'!$P$5,'CP RESUMO'!AH70,"")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7671.43</v>
      </c>
      <c r="L36" s="49">
        <f>C36/IF(B36&lt;='VALOR POR PL'!$P$5,IFERROR(INDEX('"INCC-FGV"'!$B$2:$B$800,MATCH(B36,'"INCC-FGV"'!$A$2:$A$800,0)),$K$2),$K$2)</f>
        <v/>
      </c>
      <c r="M36" s="131">
        <f>'CP RESUMO'!AI28</f>
        <v/>
      </c>
      <c r="N36" s="132">
        <f>MAX(0,M36-M35)</f>
        <v/>
      </c>
      <c r="O36" s="131">
        <f>IF(B36&lt;='VALOR POR PL'!$P$5,'CP RESUMO'!AI70,"")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6232.5</v>
      </c>
      <c r="L37" s="49">
        <f>C37/IF(B37&lt;='VALOR POR PL'!$P$5,IFERROR(INDEX('"INCC-FGV"'!$B$2:$B$800,MATCH(B37,'"INCC-FGV"'!$A$2:$A$800,0)),$K$2),$K$2)</f>
        <v/>
      </c>
      <c r="M37" s="131">
        <f>'CP RESUMO'!AJ28</f>
        <v/>
      </c>
      <c r="N37" s="132">
        <f>MAX(0,M37-M36)</f>
        <v/>
      </c>
      <c r="O37" s="131">
        <f>IF(B37&lt;='VALOR POR PL'!$P$5,'CP RESUMO'!AJ70,"")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6232.5</v>
      </c>
      <c r="L38" s="49">
        <f>C38/IF(B38&lt;='VALOR POR PL'!$P$5,IFERROR(INDEX('"INCC-FGV"'!$B$2:$B$800,MATCH(B38,'"INCC-FGV"'!$A$2:$A$800,0)),$K$2),$K$2)</f>
        <v/>
      </c>
      <c r="M38" s="131">
        <f>'CP RESUMO'!AK28</f>
        <v/>
      </c>
      <c r="N38" s="132">
        <f>MAX(0,M38-M37)</f>
        <v/>
      </c>
      <c r="O38" s="131">
        <f>IF(B38&lt;='VALOR POR PL'!$P$5,'CP RESUMO'!AK70,"")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7671.43</v>
      </c>
      <c r="L39" s="49">
        <f>C39/IF(B39&lt;='VALOR POR PL'!$P$5,IFERROR(INDEX('"INCC-FGV"'!$B$2:$B$800,MATCH(B39,'"INCC-FGV"'!$A$2:$A$800,0)),$K$2),$K$2)</f>
        <v/>
      </c>
      <c r="M39" s="131">
        <f>'CP RESUMO'!AL28</f>
        <v/>
      </c>
      <c r="N39" s="132">
        <f>MAX(0,M39-M38)</f>
        <v/>
      </c>
      <c r="O39" s="131">
        <f>IF(B39&lt;='VALOR POR PL'!$P$5,'CP RESUMO'!AL70,"")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7671.43</v>
      </c>
      <c r="L40" s="49">
        <f>C40/IF(B40&lt;='VALOR POR PL'!$P$5,IFERROR(INDEX('"INCC-FGV"'!$B$2:$B$800,MATCH(B40,'"INCC-FGV"'!$A$2:$A$800,0)),$K$2),$K$2)</f>
        <v/>
      </c>
      <c r="M40" s="131">
        <f>'CP RESUMO'!AM28</f>
        <v/>
      </c>
      <c r="N40" s="132">
        <f>MAX(0,M40-M39)</f>
        <v/>
      </c>
      <c r="O40" s="131">
        <f>IF(B40&lt;='VALOR POR PL'!$P$5,'CP RESUMO'!AM70,"")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7671.43</v>
      </c>
      <c r="L41" s="49">
        <f>C41/IF(B41&lt;='VALOR POR PL'!$P$5,IFERROR(INDEX('"INCC-FGV"'!$B$2:$B$800,MATCH(B41,'"INCC-FGV"'!$A$2:$A$800,0)),$K$2),$K$2)</f>
        <v/>
      </c>
      <c r="M41" s="131">
        <f>'CP RESUMO'!AN28</f>
        <v/>
      </c>
      <c r="N41" s="132">
        <f>MAX(0,M41-M40)</f>
        <v/>
      </c>
      <c r="O41" s="131">
        <f>IF(B41&lt;='VALOR POR PL'!$P$5,'CP RESUMO'!AN70,"")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10303.93</v>
      </c>
      <c r="L42" s="49">
        <f>C42/IF(B42&lt;='VALOR POR PL'!$P$5,IFERROR(INDEX('"INCC-FGV"'!$B$2:$B$800,MATCH(B42,'"INCC-FGV"'!$A$2:$A$800,0)),$K$2),$K$2)</f>
        <v/>
      </c>
      <c r="M42" s="131">
        <f>'CP RESUMO'!AO28</f>
        <v/>
      </c>
      <c r="N42" s="132">
        <f>MAX(0,M42-M41)</f>
        <v/>
      </c>
      <c r="O42" s="131">
        <f>IF(B42&lt;='VALOR POR PL'!$P$5,'CP RESUMO'!AO70,"")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6232.5</v>
      </c>
      <c r="L43" s="49">
        <f>C43/IF(B43&lt;='VALOR POR PL'!$P$5,IFERROR(INDEX('"INCC-FGV"'!$B$2:$B$800,MATCH(B43,'"INCC-FGV"'!$A$2:$A$800,0)),$K$2),$K$2)</f>
        <v/>
      </c>
      <c r="M43" s="131">
        <f>'CP RESUMO'!AP28</f>
        <v/>
      </c>
      <c r="N43" s="132">
        <f>MAX(0,M43-M42)</f>
        <v/>
      </c>
      <c r="O43" s="131">
        <f>IF(B43&lt;='VALOR POR PL'!$P$5,'CP RESUMO'!AP70,"")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3600</v>
      </c>
      <c r="L44" s="49">
        <f>C44/IF(B44&lt;='VALOR POR PL'!$P$5,IFERROR(INDEX('"INCC-FGV"'!$B$2:$B$800,MATCH(B44,'"INCC-FGV"'!$A$2:$A$800,0)),$K$2),$K$2)</f>
        <v/>
      </c>
      <c r="M44" s="131">
        <f>'CP RESUMO'!AQ28</f>
        <v/>
      </c>
      <c r="N44" s="132">
        <f>MAX(0,M44-M43)</f>
        <v/>
      </c>
      <c r="O44" s="131">
        <f>IF(B44&lt;='VALOR POR PL'!$P$5,'CP RESUMO'!AQ70,"")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3600</v>
      </c>
      <c r="L45" s="49">
        <f>C45/IF(B45&lt;='VALOR POR PL'!$P$5,IFERROR(INDEX('"INCC-FGV"'!$B$2:$B$800,MATCH(B45,'"INCC-FGV"'!$A$2:$A$800,0)),$K$2),$K$2)</f>
        <v/>
      </c>
      <c r="M45" s="131">
        <f>'CP RESUMO'!AR28</f>
        <v/>
      </c>
      <c r="N45" s="132">
        <f>MAX(0,M45-M44)</f>
        <v/>
      </c>
      <c r="O45" s="131">
        <f>IF(B45&lt;='VALOR POR PL'!$P$5,'CP RESUMO'!AR70,"")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RESUMO'!AS28</f>
        <v/>
      </c>
      <c r="N46" s="132">
        <f>MAX(0,M46-M45)</f>
        <v/>
      </c>
      <c r="O46" s="131">
        <f>IF(B46&lt;='VALOR POR PL'!$P$5,'CP RESUMO'!AS70,"")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RESUMO'!AT28</f>
        <v/>
      </c>
      <c r="N47" s="132">
        <f>MAX(0,M47-M46)</f>
        <v/>
      </c>
      <c r="O47" s="131">
        <f>IF(B47&lt;='VALOR POR PL'!$P$5,'CP RESUMO'!AT70,"")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163512.89</v>
      </c>
      <c r="L48" s="49">
        <f>C48/IF(B48&lt;='VALOR POR PL'!$P$5,IFERROR(INDEX('"INCC-FGV"'!$B$2:$B$800,MATCH(B48,'"INCC-FGV"'!$A$2:$A$800,0)),$K$2),$K$2)</f>
        <v/>
      </c>
      <c r="M48" s="131">
        <f>'CP RESUMO'!AU28</f>
        <v/>
      </c>
      <c r="N48" s="132">
        <f>MAX(0,M48-M47)</f>
        <v/>
      </c>
      <c r="O48" s="131">
        <f>IF(B48&lt;='VALOR POR PL'!$P$5,'CP RESUMO'!AU70,"")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RESUMO'!AV28</f>
        <v/>
      </c>
      <c r="N49" s="132">
        <f>MAX(0,M49-M48)</f>
        <v/>
      </c>
      <c r="O49" s="131">
        <f>IF(B49&lt;='VALOR POR PL'!$P$5,'CP RESUMO'!AV70,"")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RESUMO'!AW28</f>
        <v/>
      </c>
      <c r="N50" s="132">
        <f>MAX(0,M50-M49)</f>
        <v/>
      </c>
      <c r="O50" s="131">
        <f>IF(B50&lt;='VALOR POR PL'!$P$5,'CP RESUMO'!AW70,"")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RESUMO'!AX28</f>
        <v/>
      </c>
      <c r="N51" s="132">
        <f>MAX(0,M51-M50)</f>
        <v/>
      </c>
      <c r="O51" s="131">
        <f>IF(B51&lt;='VALOR POR PL'!$P$5,'CP RESUMO'!AX70,"")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RESUMO'!AY28</f>
        <v/>
      </c>
      <c r="N52" s="132">
        <f>MAX(0,M52-M51)</f>
        <v/>
      </c>
      <c r="O52" s="131">
        <f>IF(B52&lt;='VALOR POR PL'!$P$5,'CP RESUMO'!AY70,"")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RESUMO'!AZ28</f>
        <v/>
      </c>
      <c r="N53" s="132">
        <f>MAX(0,M53-M52)</f>
        <v/>
      </c>
      <c r="O53" s="131">
        <f>IF(B53&lt;='VALOR POR PL'!$P$5,'CP RESUMO'!AZ70,"")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RESUMO'!BA28</f>
        <v/>
      </c>
      <c r="N54" s="132">
        <f>MAX(0,M54-M53)</f>
        <v/>
      </c>
      <c r="O54" s="131">
        <f>IF(B54&lt;='VALOR POR PL'!$P$5,'CP RESUMO'!BA70,"")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RESUMO'!BB28</f>
        <v/>
      </c>
      <c r="N55" s="132">
        <f>MAX(0,M55-M54)</f>
        <v/>
      </c>
      <c r="O55" s="131">
        <f>IF(B55&lt;='VALOR POR PL'!$P$5,'CP RESUMO'!BB70,"")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RESUMO'!BC28</f>
        <v/>
      </c>
      <c r="N56" s="132">
        <f>MAX(0,M56-M55)</f>
        <v/>
      </c>
      <c r="O56" s="131">
        <f>IF(B56&lt;='VALOR POR PL'!$P$5,'CP RESUMO'!BC70,"")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RESUMO'!BD28</f>
        <v/>
      </c>
      <c r="N57" s="132">
        <f>MAX(0,M57-M56)</f>
        <v/>
      </c>
      <c r="O57" s="131">
        <f>IF(B57&lt;='VALOR POR PL'!$P$5,'CP RESUMO'!BD70,"")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RESUMO'!BE28</f>
        <v/>
      </c>
      <c r="N58" s="132">
        <f>MAX(0,M58-M57)</f>
        <v/>
      </c>
      <c r="O58" s="131">
        <f>IF(B58&lt;='VALOR POR PL'!$P$5,'CP RESUMO'!BE70,"")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RESUMO'!BF28</f>
        <v/>
      </c>
      <c r="N59" s="132">
        <f>MAX(0,M59-M58)</f>
        <v/>
      </c>
      <c r="O59" s="131">
        <f>IF(B59&lt;='VALOR POR PL'!$P$5,'CP RESUMO'!BF70,"")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RESUMO'!BG28</f>
        <v/>
      </c>
      <c r="N60" s="132">
        <f>MAX(0,M60-M59)</f>
        <v/>
      </c>
      <c r="O60" s="131">
        <f>IF(B60&lt;='VALOR POR PL'!$P$5,'CP RESUMO'!BG70,"")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RESUMO'!BH28</f>
        <v/>
      </c>
      <c r="N61" s="132">
        <f>MAX(0,M61-M60)</f>
        <v/>
      </c>
      <c r="O61" s="131">
        <f>IF(B61&lt;='VALOR POR PL'!$P$5,'CP RESUMO'!BH70,"")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RESUMO'!BI28</f>
        <v/>
      </c>
      <c r="N62" s="132">
        <f>MAX(0,M62-M61)</f>
        <v/>
      </c>
      <c r="O62" s="131">
        <f>IF(B62&lt;='VALOR POR PL'!$P$5,'CP RESUMO'!BI70,"")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RESUMO'!BJ28</f>
        <v/>
      </c>
      <c r="N63" s="132">
        <f>MAX(0,M63-M62)</f>
        <v/>
      </c>
      <c r="O63" s="131">
        <f>IF(B63&lt;='VALOR POR PL'!$P$5,'CP RESUMO'!BJ70,"")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RESUMO'!BK28</f>
        <v/>
      </c>
      <c r="N64" s="132">
        <f>MAX(0,M64-M63)</f>
        <v/>
      </c>
      <c r="O64" s="131">
        <f>IF(B64&lt;='VALOR POR PL'!$P$5,'CP RESUMO'!BK70,"")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RESUMO'!BL28</f>
        <v/>
      </c>
      <c r="N65" s="132">
        <f>MAX(0,M65-M64)</f>
        <v/>
      </c>
      <c r="O65" s="131">
        <f>IF(B65&lt;='VALOR POR PL'!$P$5,'CP RESUMO'!BL70,"")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RESUMO'!BM28</f>
        <v/>
      </c>
      <c r="N66" s="132">
        <f>MAX(0,M66-M65)</f>
        <v/>
      </c>
      <c r="O66" s="131">
        <f>IF(B66&lt;='VALOR POR PL'!$P$5,'CP RESUMO'!BM70,"")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RESUMO'!BN28</f>
        <v/>
      </c>
      <c r="N67" s="132">
        <f>MAX(0,M67-M66)</f>
        <v/>
      </c>
      <c r="O67" s="131">
        <f>IF(B67&lt;='VALOR POR PL'!$P$5,'CP RESUMO'!BN70,"")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RESUMO'!BO28</f>
        <v/>
      </c>
      <c r="N68" s="132">
        <f>MAX(0,M68-M67)</f>
        <v/>
      </c>
      <c r="O68" s="131">
        <f>IF(B68&lt;='VALOR POR PL'!$P$5,'CP RESUMO'!BO70,"")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RESUMO'!BP28</f>
        <v/>
      </c>
      <c r="N69" s="132">
        <f>MAX(0,M69-M68)</f>
        <v/>
      </c>
      <c r="O69" s="131">
        <f>IF(B69&lt;='VALOR POR PL'!$P$5,'CP RESUMO'!BP70,"")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RESUMO'!BQ28</f>
        <v/>
      </c>
      <c r="N70" s="132">
        <f>MAX(0,M70-M69)</f>
        <v/>
      </c>
      <c r="O70" s="131">
        <f>IF(B70&lt;='VALOR POR PL'!$P$5,'CP RESUMO'!BQ70,"")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RESUMO'!BR28</f>
        <v/>
      </c>
      <c r="N71" s="132">
        <f>MAX(0,M71-M70)</f>
        <v/>
      </c>
      <c r="O71" s="131">
        <f>IF(B71&lt;='VALOR POR PL'!$P$5,'CP RESUMO'!BR70,"")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RESUMO'!BS28</f>
        <v/>
      </c>
      <c r="N72" s="132">
        <f>MAX(0,M72-M71)</f>
        <v/>
      </c>
      <c r="O72" s="131">
        <f>IF(B72&lt;='VALOR POR PL'!$P$5,'CP RESUMO'!BS70,"")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RESUMO'!BT28</f>
        <v/>
      </c>
      <c r="N73" s="132">
        <f>MAX(0,M73-M72)</f>
        <v/>
      </c>
      <c r="O73" s="131">
        <f>IF(B73&lt;='VALOR POR PL'!$P$5,'CP RESUMO'!BT70,"")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RESUMO'!BU28</f>
        <v/>
      </c>
      <c r="N74" s="132">
        <f>MAX(0,M74-M73)</f>
        <v/>
      </c>
      <c r="O74" s="131">
        <f>IF(B74&lt;='VALOR POR PL'!$P$5,'CP RESUMO'!BU70,"")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RESUMO'!BV28</f>
        <v/>
      </c>
      <c r="N75" s="132">
        <f>MAX(0,M75-M74)</f>
        <v/>
      </c>
      <c r="O75" s="131">
        <f>IF(B75&lt;='VALOR POR PL'!$P$5,'CP RESUMO'!BV70,"")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RESUMO'!BW28</f>
        <v/>
      </c>
      <c r="N76" s="132">
        <f>MAX(0,M76-M75)</f>
        <v/>
      </c>
      <c r="O76" s="131">
        <f>IF(B76&lt;='VALOR POR PL'!$P$5,'CP RESUMO'!BW70,"")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HISTORICOS'!D29)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PL'!F35</f>
        <v/>
      </c>
      <c r="K5" s="60">
        <f>'VALOR POR PL'!G35</f>
        <v/>
      </c>
      <c r="L5" s="60">
        <f>'DADOS HISTORICOS'!$BZ$29</f>
        <v/>
      </c>
      <c r="M5" s="131">
        <f>'CP RESUMO'!D29</f>
        <v/>
      </c>
      <c r="N5" s="132" t="n">
        <v>0</v>
      </c>
      <c r="O5" s="131">
        <f>IF(B5&lt;='VALOR POR PL'!$P$5,'CP RESUMO'!D71,"")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HISTORICOS'!E29)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PL'!H35</f>
        <v/>
      </c>
      <c r="L6" s="49">
        <f>C6/IF(B6&lt;='VALOR POR PL'!$P$5,IFERROR(INDEX('"INCC-FGV"'!$B$2:$B$800,MATCH(B6,'"INCC-FGV"'!$A$2:$A$800,0)),$K$2),$K$2)</f>
        <v/>
      </c>
      <c r="M6" s="131">
        <f>'CP RESUMO'!E29</f>
        <v/>
      </c>
      <c r="N6" s="132">
        <f>MAX(0,M6-M5)</f>
        <v/>
      </c>
      <c r="O6" s="131">
        <f>IF(B6&lt;='VALOR POR PL'!$P$5,'CP RESUMO'!E71,"")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HISTORICOS'!F29)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RESUMO'!F29</f>
        <v/>
      </c>
      <c r="N7" s="132">
        <f>MAX(0,M7-M6)</f>
        <v/>
      </c>
      <c r="O7" s="131">
        <f>IF(B7&lt;='VALOR POR PL'!$P$5,'CP RESUMO'!F71,"")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HISTORICOS'!G29)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RESUMO'!G29</f>
        <v/>
      </c>
      <c r="N8" s="132">
        <f>MAX(0,M8-M7)</f>
        <v/>
      </c>
      <c r="O8" s="131">
        <f>IF(B8&lt;='VALOR POR PL'!$P$5,'CP RESUMO'!G71,"")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HISTORICOS'!H29)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RESUMO'!H29</f>
        <v/>
      </c>
      <c r="N9" s="132">
        <f>MAX(0,M9-M8)</f>
        <v/>
      </c>
      <c r="O9" s="131">
        <f>IF(B9&lt;='VALOR POR PL'!$P$5,'CP RESUMO'!H71,"")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RESUMO'!I29</f>
        <v/>
      </c>
      <c r="N10" s="132">
        <f>MAX(0,M10-M9)</f>
        <v/>
      </c>
      <c r="O10" s="131">
        <f>IF(B10&lt;='VALOR POR PL'!$P$5,'CP RESUMO'!I71,"")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RESUMO'!J29</f>
        <v/>
      </c>
      <c r="N11" s="132">
        <f>MAX(0,M11-M10)</f>
        <v/>
      </c>
      <c r="O11" s="131">
        <f>IF(B11&lt;='VALOR POR PL'!$P$5,'CP RESUMO'!J71,"")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RESUMO'!K29</f>
        <v/>
      </c>
      <c r="N12" s="132">
        <f>MAX(0,M12-M11)</f>
        <v/>
      </c>
      <c r="O12" s="131">
        <f>IF(B12&lt;='VALOR POR PL'!$P$5,'CP RESUMO'!K71,"")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PL'!I35</f>
        <v/>
      </c>
      <c r="L13" s="49">
        <f>C13/IF(B13&lt;='VALOR POR PL'!$P$5,IFERROR(INDEX('"INCC-FGV"'!$B$2:$B$800,MATCH(B13,'"INCC-FGV"'!$A$2:$A$800,0)),$K$2),$K$2)</f>
        <v/>
      </c>
      <c r="M13" s="131">
        <f>'CP RESUMO'!L29</f>
        <v/>
      </c>
      <c r="N13" s="132">
        <f>MAX(0,M13-M12)</f>
        <v/>
      </c>
      <c r="O13" s="131">
        <f>IF(B13&lt;='VALOR POR PL'!$P$5,'CP RESUMO'!L71,"")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RESUMO'!$D$71:$BW$71,MATCH('VALOR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RESUMO'!M29</f>
        <v/>
      </c>
      <c r="N14" s="132">
        <f>MAX(0,M14-M13)</f>
        <v/>
      </c>
      <c r="O14" s="131">
        <f>IF(B14&lt;='VALOR POR PL'!$P$5,'CP RESUMO'!M71,"")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1">
        <f>'CP RESUMO'!N29</f>
        <v/>
      </c>
      <c r="N15" s="132">
        <f>MAX(0,M15-M14)</f>
        <v/>
      </c>
      <c r="O15" s="131">
        <f>IF(B15&lt;='VALOR POR PL'!$P$5,'CP RESUMO'!N71,"")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RESUMO'!O29</f>
        <v/>
      </c>
      <c r="N16" s="132">
        <f>MAX(0,M16-M15)</f>
        <v/>
      </c>
      <c r="O16" s="131">
        <f>IF(B16&lt;='VALOR POR PL'!$P$5,'CP RESUMO'!O71,"")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RESUMO'!P29</f>
        <v/>
      </c>
      <c r="N17" s="132">
        <f>MAX(0,M17-M16)</f>
        <v/>
      </c>
      <c r="O17" s="131">
        <f>IF(B17&lt;='VALOR POR PL'!$P$5,'CP RESUMO'!P71,"")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RESUMO'!Q29</f>
        <v/>
      </c>
      <c r="N18" s="132">
        <f>MAX(0,M18-M17)</f>
        <v/>
      </c>
      <c r="O18" s="131">
        <f>IF(B18&lt;='VALOR POR PL'!$P$5,'CP RESUMO'!Q71,"")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RESUMO'!R29</f>
        <v/>
      </c>
      <c r="N19" s="132">
        <f>MAX(0,M19-M18)</f>
        <v/>
      </c>
      <c r="O19" s="131">
        <f>IF(B19&lt;='VALOR POR PL'!$P$5,'CP RESUMO'!R71,"")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RESUMO'!S29</f>
        <v/>
      </c>
      <c r="N20" s="132">
        <f>MAX(0,M20-M19)</f>
        <v/>
      </c>
      <c r="O20" s="131">
        <f>IF(B20&lt;='VALOR POR PL'!$P$5,'CP RESUMO'!S71,"")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RESUMO'!T29</f>
        <v/>
      </c>
      <c r="N21" s="132">
        <f>MAX(0,M21-M20)</f>
        <v/>
      </c>
      <c r="O21" s="131">
        <f>IF(B21&lt;='VALOR POR PL'!$P$5,'CP RESUMO'!T71,"")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RESUMO'!U29</f>
        <v/>
      </c>
      <c r="N22" s="132">
        <f>MAX(0,M22-M21)</f>
        <v/>
      </c>
      <c r="O22" s="131">
        <f>IF(B22&lt;='VALOR POR PL'!$P$5,'CP RESUMO'!U71,"")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RESUMO'!V29</f>
        <v/>
      </c>
      <c r="N23" s="132">
        <f>MAX(0,M23-M22)</f>
        <v/>
      </c>
      <c r="O23" s="131">
        <f>IF(B23&lt;='VALOR POR PL'!$P$5,'CP RESUMO'!V71,"")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Previsão informada mantida (decisão do usuário). Premissa: 60% em 10 pagamentos + 40% por medição direta.</t>
        </is>
      </c>
      <c r="L24" s="49">
        <f>C24/IF(B24&lt;='VALOR POR PL'!$P$5,IFERROR(INDEX('"INCC-FGV"'!$B$2:$B$800,MATCH(B24,'"INCC-FGV"'!$A$2:$A$800,0)),$K$2),$K$2)</f>
        <v/>
      </c>
      <c r="M24" s="131">
        <f>'CP RESUMO'!W29</f>
        <v/>
      </c>
      <c r="N24" s="132">
        <f>MAX(0,M24-M23)</f>
        <v/>
      </c>
      <c r="O24" s="131">
        <f>IF(B24&lt;='VALOR POR PL'!$P$5,'CP RESUMO'!W71,"")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RESUMO'!X29</f>
        <v/>
      </c>
      <c r="N25" s="132">
        <f>MAX(0,M25-M24)</f>
        <v/>
      </c>
      <c r="O25" s="131">
        <f>IF(B25&lt;='VALOR POR PL'!$P$5,'CP RESUMO'!X71,"")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RESUMO'!Y29</f>
        <v/>
      </c>
      <c r="N26" s="132">
        <f>MAX(0,M26-M25)</f>
        <v/>
      </c>
      <c r="O26" s="131">
        <f>IF(B26&lt;='VALOR POR PL'!$P$5,'CP RESUMO'!Y71,"")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505000</v>
      </c>
      <c r="L27" s="49">
        <f>C27/IF(B27&lt;='VALOR POR PL'!$P$5,IFERROR(INDEX('"INCC-FGV"'!$B$2:$B$800,MATCH(B27,'"INCC-FGV"'!$A$2:$A$800,0)),$K$2),$K$2)</f>
        <v/>
      </c>
      <c r="M27" s="131">
        <f>'CP RESUMO'!Z29</f>
        <v/>
      </c>
      <c r="N27" s="132">
        <f>MAX(0,M27-M26)</f>
        <v/>
      </c>
      <c r="O27" s="131">
        <f>IF(B27&lt;='VALOR POR PL'!$P$5,'CP RESUMO'!Z71,"")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505000</v>
      </c>
      <c r="L28" s="49">
        <f>C28/IF(B28&lt;='VALOR POR PL'!$P$5,IFERROR(INDEX('"INCC-FGV"'!$B$2:$B$800,MATCH(B28,'"INCC-FGV"'!$A$2:$A$800,0)),$K$2),$K$2)</f>
        <v/>
      </c>
      <c r="M28" s="131">
        <f>'CP RESUMO'!AA29</f>
        <v/>
      </c>
      <c r="N28" s="132">
        <f>MAX(0,M28-M27)</f>
        <v/>
      </c>
      <c r="O28" s="131">
        <f>IF(B28&lt;='VALOR POR PL'!$P$5,'CP RESUMO'!AA71,"")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505000</v>
      </c>
      <c r="L29" s="49">
        <f>C29/IF(B29&lt;='VALOR POR PL'!$P$5,IFERROR(INDEX('"INCC-FGV"'!$B$2:$B$800,MATCH(B29,'"INCC-FGV"'!$A$2:$A$800,0)),$K$2),$K$2)</f>
        <v/>
      </c>
      <c r="M29" s="131">
        <f>'CP RESUMO'!AB29</f>
        <v/>
      </c>
      <c r="N29" s="132">
        <f>MAX(0,M29-M28)</f>
        <v/>
      </c>
      <c r="O29" s="131">
        <f>IF(B29&lt;='VALOR POR PL'!$P$5,'CP RESUMO'!AB71,"")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982874.3</v>
      </c>
      <c r="L30" s="49">
        <f>C30/IF(B30&lt;='VALOR POR PL'!$P$5,IFERROR(INDEX('"INCC-FGV"'!$B$2:$B$800,MATCH(B30,'"INCC-FGV"'!$A$2:$A$800,0)),$K$2),$K$2)</f>
        <v/>
      </c>
      <c r="M30" s="131">
        <f>'CP RESUMO'!AC29</f>
        <v/>
      </c>
      <c r="N30" s="132">
        <f>MAX(0,M30-M29)</f>
        <v/>
      </c>
      <c r="O30" s="131">
        <f>IF(B30&lt;='VALOR POR PL'!$P$5,'CP RESUMO'!AC71,"")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1278889.16</v>
      </c>
      <c r="L31" s="49">
        <f>C31/IF(B31&lt;='VALOR POR PL'!$P$5,IFERROR(INDEX('"INCC-FGV"'!$B$2:$B$800,MATCH(B31,'"INCC-FGV"'!$A$2:$A$800,0)),$K$2),$K$2)</f>
        <v/>
      </c>
      <c r="M31" s="131">
        <f>'CP RESUMO'!AD29</f>
        <v/>
      </c>
      <c r="N31" s="132">
        <f>MAX(0,M31-M30)</f>
        <v/>
      </c>
      <c r="O31" s="131">
        <f>IF(B31&lt;='VALOR POR PL'!$P$5,'CP RESUMO'!AD71,"")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1278889.16</v>
      </c>
      <c r="L32" s="49">
        <f>C32/IF(B32&lt;='VALOR POR PL'!$P$5,IFERROR(INDEX('"INCC-FGV"'!$B$2:$B$800,MATCH(B32,'"INCC-FGV"'!$A$2:$A$800,0)),$K$2),$K$2)</f>
        <v/>
      </c>
      <c r="M32" s="131">
        <f>'CP RESUMO'!AE29</f>
        <v/>
      </c>
      <c r="N32" s="132">
        <f>MAX(0,M32-M31)</f>
        <v/>
      </c>
      <c r="O32" s="131">
        <f>IF(B32&lt;='VALOR POR PL'!$P$5,'CP RESUMO'!AE71,"")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303814.86</v>
      </c>
      <c r="L33" s="49">
        <f>C33/IF(B33&lt;='VALOR POR PL'!$P$5,IFERROR(INDEX('"INCC-FGV"'!$B$2:$B$800,MATCH(B33,'"INCC-FGV"'!$A$2:$A$800,0)),$K$2),$K$2)</f>
        <v/>
      </c>
      <c r="M33" s="131">
        <f>'CP RESUMO'!AF29</f>
        <v/>
      </c>
      <c r="N33" s="132">
        <f>MAX(0,M33-M32)</f>
        <v/>
      </c>
      <c r="O33" s="131">
        <f>IF(B33&lt;='VALOR POR PL'!$P$5,'CP RESUMO'!AF71,"")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7800</v>
      </c>
      <c r="L34" s="49">
        <f>C34/IF(B34&lt;='VALOR POR PL'!$P$5,IFERROR(INDEX('"INCC-FGV"'!$B$2:$B$800,MATCH(B34,'"INCC-FGV"'!$A$2:$A$800,0)),$K$2),$K$2)</f>
        <v/>
      </c>
      <c r="M34" s="131">
        <f>'CP RESUMO'!AG29</f>
        <v/>
      </c>
      <c r="N34" s="132">
        <f>MAX(0,M34-M33)</f>
        <v/>
      </c>
      <c r="O34" s="131">
        <f>IF(B34&lt;='VALOR POR PL'!$P$5,'CP RESUMO'!AG71,"")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7800</v>
      </c>
      <c r="L35" s="49">
        <f>C35/IF(B35&lt;='VALOR POR PL'!$P$5,IFERROR(INDEX('"INCC-FGV"'!$B$2:$B$800,MATCH(B35,'"INCC-FGV"'!$A$2:$A$800,0)),$K$2),$K$2)</f>
        <v/>
      </c>
      <c r="M35" s="131">
        <f>'CP RESUMO'!AH29</f>
        <v/>
      </c>
      <c r="N35" s="132">
        <f>MAX(0,M35-M34)</f>
        <v/>
      </c>
      <c r="O35" s="131">
        <f>IF(B35&lt;='VALOR POR PL'!$P$5,'CP RESUMO'!AH71,"")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451822.29</v>
      </c>
      <c r="L36" s="49">
        <f>C36/IF(B36&lt;='VALOR POR PL'!$P$5,IFERROR(INDEX('"INCC-FGV"'!$B$2:$B$800,MATCH(B36,'"INCC-FGV"'!$A$2:$A$800,0)),$K$2),$K$2)</f>
        <v/>
      </c>
      <c r="M36" s="131">
        <f>'CP RESUMO'!AI29</f>
        <v/>
      </c>
      <c r="N36" s="132">
        <f>MAX(0,M36-M35)</f>
        <v/>
      </c>
      <c r="O36" s="131">
        <f>IF(B36&lt;='VALOR POR PL'!$P$5,'CP RESUMO'!AI71,"")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629431.21</v>
      </c>
      <c r="L37" s="49">
        <f>C37/IF(B37&lt;='VALOR POR PL'!$P$5,IFERROR(INDEX('"INCC-FGV"'!$B$2:$B$800,MATCH(B37,'"INCC-FGV"'!$A$2:$A$800,0)),$K$2),$K$2)</f>
        <v/>
      </c>
      <c r="M37" s="131">
        <f>'CP RESUMO'!AJ29</f>
        <v/>
      </c>
      <c r="N37" s="132">
        <f>MAX(0,M37-M36)</f>
        <v/>
      </c>
      <c r="O37" s="131">
        <f>IF(B37&lt;='VALOR POR PL'!$P$5,'CP RESUMO'!AJ71,"")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621631.21</v>
      </c>
      <c r="L38" s="49">
        <f>C38/IF(B38&lt;='VALOR POR PL'!$P$5,IFERROR(INDEX('"INCC-FGV"'!$B$2:$B$800,MATCH(B38,'"INCC-FGV"'!$A$2:$A$800,0)),$K$2),$K$2)</f>
        <v/>
      </c>
      <c r="M38" s="131">
        <f>'CP RESUMO'!AK29</f>
        <v/>
      </c>
      <c r="N38" s="132">
        <f>MAX(0,M38-M37)</f>
        <v/>
      </c>
      <c r="O38" s="131">
        <f>IF(B38&lt;='VALOR POR PL'!$P$5,'CP RESUMO'!AK71,"")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621631.21</v>
      </c>
      <c r="L39" s="49">
        <f>C39/IF(B39&lt;='VALOR POR PL'!$P$5,IFERROR(INDEX('"INCC-FGV"'!$B$2:$B$800,MATCH(B39,'"INCC-FGV"'!$A$2:$A$800,0)),$K$2),$K$2)</f>
        <v/>
      </c>
      <c r="M39" s="131">
        <f>'CP RESUMO'!AL29</f>
        <v/>
      </c>
      <c r="N39" s="132">
        <f>MAX(0,M39-M38)</f>
        <v/>
      </c>
      <c r="O39" s="131">
        <f>IF(B39&lt;='VALOR POR PL'!$P$5,'CP RESUMO'!AL71,"")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177608.92</v>
      </c>
      <c r="L40" s="49">
        <f>C40/IF(B40&lt;='VALOR POR PL'!$P$5,IFERROR(INDEX('"INCC-FGV"'!$B$2:$B$800,MATCH(B40,'"INCC-FGV"'!$A$2:$A$800,0)),$K$2),$K$2)</f>
        <v/>
      </c>
      <c r="M40" s="131">
        <f>'CP RESUMO'!AM29</f>
        <v/>
      </c>
      <c r="N40" s="132">
        <f>MAX(0,M40-M39)</f>
        <v/>
      </c>
      <c r="O40" s="131">
        <f>IF(B40&lt;='VALOR POR PL'!$P$5,'CP RESUMO'!AM71,"")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177608.92</v>
      </c>
      <c r="L41" s="49">
        <f>C41/IF(B41&lt;='VALOR POR PL'!$P$5,IFERROR(INDEX('"INCC-FGV"'!$B$2:$B$800,MATCH(B41,'"INCC-FGV"'!$A$2:$A$800,0)),$K$2),$K$2)</f>
        <v/>
      </c>
      <c r="M41" s="131">
        <f>'CP RESUMO'!AN29</f>
        <v/>
      </c>
      <c r="N41" s="132">
        <f>MAX(0,M41-M40)</f>
        <v/>
      </c>
      <c r="O41" s="131">
        <f>IF(B41&lt;='VALOR POR PL'!$P$5,'CP RESUMO'!AN71,"")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177608.92</v>
      </c>
      <c r="L42" s="49">
        <f>C42/IF(B42&lt;='VALOR POR PL'!$P$5,IFERROR(INDEX('"INCC-FGV"'!$B$2:$B$800,MATCH(B42,'"INCC-FGV"'!$A$2:$A$800,0)),$K$2),$K$2)</f>
        <v/>
      </c>
      <c r="M42" s="131">
        <f>'CP RESUMO'!AO29</f>
        <v/>
      </c>
      <c r="N42" s="132">
        <f>MAX(0,M42-M41)</f>
        <v/>
      </c>
      <c r="O42" s="131">
        <f>IF(B42&lt;='VALOR POR PL'!$P$5,'CP RESUMO'!AO71,"")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177608.92</v>
      </c>
      <c r="L43" s="49">
        <f>C43/IF(B43&lt;='VALOR POR PL'!$P$5,IFERROR(INDEX('"INCC-FGV"'!$B$2:$B$800,MATCH(B43,'"INCC-FGV"'!$A$2:$A$800,0)),$K$2),$K$2)</f>
        <v/>
      </c>
      <c r="M43" s="131">
        <f>'CP RESUMO'!AP29</f>
        <v/>
      </c>
      <c r="N43" s="132">
        <f>MAX(0,M43-M42)</f>
        <v/>
      </c>
      <c r="O43" s="131">
        <f>IF(B43&lt;='VALOR POR PL'!$P$5,'CP RESUMO'!AP71,"")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177608.92</v>
      </c>
      <c r="L44" s="49">
        <f>C44/IF(B44&lt;='VALOR POR PL'!$P$5,IFERROR(INDEX('"INCC-FGV"'!$B$2:$B$800,MATCH(B44,'"INCC-FGV"'!$A$2:$A$800,0)),$K$2),$K$2)</f>
        <v/>
      </c>
      <c r="M44" s="131">
        <f>'CP RESUMO'!AQ29</f>
        <v/>
      </c>
      <c r="N44" s="132">
        <f>MAX(0,M44-M43)</f>
        <v/>
      </c>
      <c r="O44" s="131">
        <f>IF(B44&lt;='VALOR POR PL'!$P$5,'CP RESUMO'!AQ71,"")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177608.92</v>
      </c>
      <c r="L45" s="49">
        <f>C45/IF(B45&lt;='VALOR POR PL'!$P$5,IFERROR(INDEX('"INCC-FGV"'!$B$2:$B$800,MATCH(B45,'"INCC-FGV"'!$A$2:$A$800,0)),$K$2),$K$2)</f>
        <v/>
      </c>
      <c r="M45" s="131">
        <f>'CP RESUMO'!AR29</f>
        <v/>
      </c>
      <c r="N45" s="132">
        <f>MAX(0,M45-M44)</f>
        <v/>
      </c>
      <c r="O45" s="131">
        <f>IF(B45&lt;='VALOR POR PL'!$P$5,'CP RESUMO'!AR71,"")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177608.92</v>
      </c>
      <c r="L46" s="49">
        <f>C46/IF(B46&lt;='VALOR POR PL'!$P$5,IFERROR(INDEX('"INCC-FGV"'!$B$2:$B$800,MATCH(B46,'"INCC-FGV"'!$A$2:$A$800,0)),$K$2),$K$2)</f>
        <v/>
      </c>
      <c r="M46" s="131">
        <f>'CP RESUMO'!AS29</f>
        <v/>
      </c>
      <c r="N46" s="132">
        <f>MAX(0,M46-M45)</f>
        <v/>
      </c>
      <c r="O46" s="131">
        <f>IF(B46&lt;='VALOR POR PL'!$P$5,'CP RESUMO'!AS71,"")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RESUMO'!AT29</f>
        <v/>
      </c>
      <c r="N47" s="132">
        <f>MAX(0,M47-M46)</f>
        <v/>
      </c>
      <c r="O47" s="131">
        <f>IF(B47&lt;='VALOR POR PL'!$P$5,'CP RESUMO'!AT71,"")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RESUMO'!AU29</f>
        <v/>
      </c>
      <c r="N48" s="132">
        <f>MAX(0,M48-M47)</f>
        <v/>
      </c>
      <c r="O48" s="131">
        <f>IF(B48&lt;='VALOR POR PL'!$P$5,'CP RESUMO'!AU71,"")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RESUMO'!AV29</f>
        <v/>
      </c>
      <c r="N49" s="132">
        <f>MAX(0,M49-M48)</f>
        <v/>
      </c>
      <c r="O49" s="131">
        <f>IF(B49&lt;='VALOR POR PL'!$P$5,'CP RESUMO'!AV71,"")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RESUMO'!AW29</f>
        <v/>
      </c>
      <c r="N50" s="132">
        <f>MAX(0,M50-M49)</f>
        <v/>
      </c>
      <c r="O50" s="131">
        <f>IF(B50&lt;='VALOR POR PL'!$P$5,'CP RESUMO'!AW71,"")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RESUMO'!AX29</f>
        <v/>
      </c>
      <c r="N51" s="132">
        <f>MAX(0,M51-M50)</f>
        <v/>
      </c>
      <c r="O51" s="131">
        <f>IF(B51&lt;='VALOR POR PL'!$P$5,'CP RESUMO'!AX71,"")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3975247.29</v>
      </c>
      <c r="L52" s="49">
        <f>C52/IF(B52&lt;='VALOR POR PL'!$P$5,IFERROR(INDEX('"INCC-FGV"'!$B$2:$B$800,MATCH(B52,'"INCC-FGV"'!$A$2:$A$800,0)),$K$2),$K$2)</f>
        <v/>
      </c>
      <c r="M52" s="131">
        <f>'CP RESUMO'!AY29</f>
        <v/>
      </c>
      <c r="N52" s="132">
        <f>MAX(0,M52-M51)</f>
        <v/>
      </c>
      <c r="O52" s="131">
        <f>IF(B52&lt;='VALOR POR PL'!$P$5,'CP RESUMO'!AY71,"")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RESUMO'!AZ29</f>
        <v/>
      </c>
      <c r="N53" s="132">
        <f>MAX(0,M53-M52)</f>
        <v/>
      </c>
      <c r="O53" s="131">
        <f>IF(B53&lt;='VALOR POR PL'!$P$5,'CP RESUMO'!AZ71,"")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RESUMO'!BA29</f>
        <v/>
      </c>
      <c r="N54" s="132">
        <f>MAX(0,M54-M53)</f>
        <v/>
      </c>
      <c r="O54" s="131">
        <f>IF(B54&lt;='VALOR POR PL'!$P$5,'CP RESUMO'!BA71,"")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RESUMO'!BB29</f>
        <v/>
      </c>
      <c r="N55" s="132">
        <f>MAX(0,M55-M54)</f>
        <v/>
      </c>
      <c r="O55" s="131">
        <f>IF(B55&lt;='VALOR POR PL'!$P$5,'CP RESUMO'!BB71,"")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RESUMO'!BC29</f>
        <v/>
      </c>
      <c r="N56" s="132">
        <f>MAX(0,M56-M55)</f>
        <v/>
      </c>
      <c r="O56" s="131">
        <f>IF(B56&lt;='VALOR POR PL'!$P$5,'CP RESUMO'!BC71,"")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RESUMO'!BD29</f>
        <v/>
      </c>
      <c r="N57" s="132">
        <f>MAX(0,M57-M56)</f>
        <v/>
      </c>
      <c r="O57" s="131">
        <f>IF(B57&lt;='VALOR POR PL'!$P$5,'CP RESUMO'!BD71,"")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RESUMO'!BE29</f>
        <v/>
      </c>
      <c r="N58" s="132">
        <f>MAX(0,M58-M57)</f>
        <v/>
      </c>
      <c r="O58" s="131">
        <f>IF(B58&lt;='VALOR POR PL'!$P$5,'CP RESUMO'!BE71,"")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RESUMO'!BF29</f>
        <v/>
      </c>
      <c r="N59" s="132">
        <f>MAX(0,M59-M58)</f>
        <v/>
      </c>
      <c r="O59" s="131">
        <f>IF(B59&lt;='VALOR POR PL'!$P$5,'CP RESUMO'!BF71,"")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RESUMO'!BG29</f>
        <v/>
      </c>
      <c r="N60" s="132">
        <f>MAX(0,M60-M59)</f>
        <v/>
      </c>
      <c r="O60" s="131">
        <f>IF(B60&lt;='VALOR POR PL'!$P$5,'CP RESUMO'!BG71,"")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RESUMO'!BH29</f>
        <v/>
      </c>
      <c r="N61" s="132">
        <f>MAX(0,M61-M60)</f>
        <v/>
      </c>
      <c r="O61" s="131">
        <f>IF(B61&lt;='VALOR POR PL'!$P$5,'CP RESUMO'!BH71,"")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RESUMO'!BI29</f>
        <v/>
      </c>
      <c r="N62" s="132">
        <f>MAX(0,M62-M61)</f>
        <v/>
      </c>
      <c r="O62" s="131">
        <f>IF(B62&lt;='VALOR POR PL'!$P$5,'CP RESUMO'!BI71,"")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RESUMO'!BJ29</f>
        <v/>
      </c>
      <c r="N63" s="132">
        <f>MAX(0,M63-M62)</f>
        <v/>
      </c>
      <c r="O63" s="131">
        <f>IF(B63&lt;='VALOR POR PL'!$P$5,'CP RESUMO'!BJ71,"")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RESUMO'!BK29</f>
        <v/>
      </c>
      <c r="N64" s="132">
        <f>MAX(0,M64-M63)</f>
        <v/>
      </c>
      <c r="O64" s="131">
        <f>IF(B64&lt;='VALOR POR PL'!$P$5,'CP RESUMO'!BK71,"")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RESUMO'!BL29</f>
        <v/>
      </c>
      <c r="N65" s="132">
        <f>MAX(0,M65-M64)</f>
        <v/>
      </c>
      <c r="O65" s="131">
        <f>IF(B65&lt;='VALOR POR PL'!$P$5,'CP RESUMO'!BL71,"")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RESUMO'!BM29</f>
        <v/>
      </c>
      <c r="N66" s="132">
        <f>MAX(0,M66-M65)</f>
        <v/>
      </c>
      <c r="O66" s="131">
        <f>IF(B66&lt;='VALOR POR PL'!$P$5,'CP RESUMO'!BM71,"")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RESUMO'!BN29</f>
        <v/>
      </c>
      <c r="N67" s="132">
        <f>MAX(0,M67-M66)</f>
        <v/>
      </c>
      <c r="O67" s="131">
        <f>IF(B67&lt;='VALOR POR PL'!$P$5,'CP RESUMO'!BN71,"")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RESUMO'!BO29</f>
        <v/>
      </c>
      <c r="N68" s="132">
        <f>MAX(0,M68-M67)</f>
        <v/>
      </c>
      <c r="O68" s="131">
        <f>IF(B68&lt;='VALOR POR PL'!$P$5,'CP RESUMO'!BO71,"")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RESUMO'!BP29</f>
        <v/>
      </c>
      <c r="N69" s="132">
        <f>MAX(0,M69-M68)</f>
        <v/>
      </c>
      <c r="O69" s="131">
        <f>IF(B69&lt;='VALOR POR PL'!$P$5,'CP RESUMO'!BP71,"")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RESUMO'!BQ29</f>
        <v/>
      </c>
      <c r="N70" s="132">
        <f>MAX(0,M70-M69)</f>
        <v/>
      </c>
      <c r="O70" s="131">
        <f>IF(B70&lt;='VALOR POR PL'!$P$5,'CP RESUMO'!BQ71,"")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RESUMO'!BR29</f>
        <v/>
      </c>
      <c r="N71" s="132">
        <f>MAX(0,M71-M70)</f>
        <v/>
      </c>
      <c r="O71" s="131">
        <f>IF(B71&lt;='VALOR POR PL'!$P$5,'CP RESUMO'!BR71,"")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RESUMO'!BS29</f>
        <v/>
      </c>
      <c r="N72" s="132">
        <f>MAX(0,M72-M71)</f>
        <v/>
      </c>
      <c r="O72" s="131">
        <f>IF(B72&lt;='VALOR POR PL'!$P$5,'CP RESUMO'!BS71,"")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RESUMO'!BT29</f>
        <v/>
      </c>
      <c r="N73" s="132">
        <f>MAX(0,M73-M72)</f>
        <v/>
      </c>
      <c r="O73" s="131">
        <f>IF(B73&lt;='VALOR POR PL'!$P$5,'CP RESUMO'!BT71,"")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RESUMO'!BU29</f>
        <v/>
      </c>
      <c r="N74" s="132">
        <f>MAX(0,M74-M73)</f>
        <v/>
      </c>
      <c r="O74" s="131">
        <f>IF(B74&lt;='VALOR POR PL'!$P$5,'CP RESUMO'!BU71,"")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RESUMO'!BV29</f>
        <v/>
      </c>
      <c r="N75" s="132">
        <f>MAX(0,M75-M74)</f>
        <v/>
      </c>
      <c r="O75" s="131">
        <f>IF(B75&lt;='VALOR POR PL'!$P$5,'CP RESUMO'!BV71,"")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RESUMO'!BW29</f>
        <v/>
      </c>
      <c r="N76" s="132">
        <f>MAX(0,M76-M75)</f>
        <v/>
      </c>
      <c r="O76" s="131">
        <f>IF(B76&lt;='VALOR POR PL'!$P$5,'CP RESUMO'!BW71,"")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HISTORICOS'!D30)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PL'!F36</f>
        <v/>
      </c>
      <c r="K5" s="60">
        <f>'VALOR POR PL'!G36</f>
        <v/>
      </c>
      <c r="L5" s="60">
        <f>'DADOS HISTORICOS'!$BZ$30</f>
        <v/>
      </c>
      <c r="M5" s="131">
        <f>'CP RESUMO'!D30</f>
        <v/>
      </c>
      <c r="N5" s="132" t="n">
        <v>0</v>
      </c>
      <c r="O5" s="131">
        <f>IF(B5&lt;='VALOR POR PL'!$P$5,'CP RESUMO'!D72,"")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HISTORICOS'!E30)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PL'!H36</f>
        <v/>
      </c>
      <c r="L6" s="49">
        <f>C6/IF(B6&lt;='VALOR POR PL'!$P$5,IFERROR(INDEX('"INCC-FGV"'!$B$2:$B$800,MATCH(B6,'"INCC-FGV"'!$A$2:$A$800,0)),$K$2),$K$2)</f>
        <v/>
      </c>
      <c r="M6" s="131">
        <f>'CP RESUMO'!E30</f>
        <v/>
      </c>
      <c r="N6" s="132">
        <f>MAX(0,M6-M5)</f>
        <v/>
      </c>
      <c r="O6" s="131">
        <f>IF(B6&lt;='VALOR POR PL'!$P$5,'CP RESUMO'!E72,"")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HISTORICOS'!F30)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RESUMO'!F30</f>
        <v/>
      </c>
      <c r="N7" s="132">
        <f>MAX(0,M7-M6)</f>
        <v/>
      </c>
      <c r="O7" s="131">
        <f>IF(B7&lt;='VALOR POR PL'!$P$5,'CP RESUMO'!F72,"")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HISTORICOS'!G30)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RESUMO'!G30</f>
        <v/>
      </c>
      <c r="N8" s="132">
        <f>MAX(0,M8-M7)</f>
        <v/>
      </c>
      <c r="O8" s="131">
        <f>IF(B8&lt;='VALOR POR PL'!$P$5,'CP RESUMO'!G72,"")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HISTORICOS'!H30)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RESUMO'!H30</f>
        <v/>
      </c>
      <c r="N9" s="132">
        <f>MAX(0,M9-M8)</f>
        <v/>
      </c>
      <c r="O9" s="131">
        <f>IF(B9&lt;='VALOR POR PL'!$P$5,'CP RESUMO'!H72,"")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RESUMO'!I30</f>
        <v/>
      </c>
      <c r="N10" s="132">
        <f>MAX(0,M10-M9)</f>
        <v/>
      </c>
      <c r="O10" s="131">
        <f>IF(B10&lt;='VALOR POR PL'!$P$5,'CP RESUMO'!I72,"")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RESUMO'!J30</f>
        <v/>
      </c>
      <c r="N11" s="132">
        <f>MAX(0,M11-M10)</f>
        <v/>
      </c>
      <c r="O11" s="131">
        <f>IF(B11&lt;='VALOR POR PL'!$P$5,'CP RESUMO'!J72,"")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RESUMO'!K30</f>
        <v/>
      </c>
      <c r="N12" s="132">
        <f>MAX(0,M12-M11)</f>
        <v/>
      </c>
      <c r="O12" s="131">
        <f>IF(B12&lt;='VALOR POR PL'!$P$5,'CP RESUMO'!K72,"")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PL'!I36</f>
        <v/>
      </c>
      <c r="L13" s="49">
        <f>C13/IF(B13&lt;='VALOR POR PL'!$P$5,IFERROR(INDEX('"INCC-FGV"'!$B$2:$B$800,MATCH(B13,'"INCC-FGV"'!$A$2:$A$800,0)),$K$2),$K$2)</f>
        <v/>
      </c>
      <c r="M13" s="131">
        <f>'CP RESUMO'!L30</f>
        <v/>
      </c>
      <c r="N13" s="132">
        <f>MAX(0,M13-M12)</f>
        <v/>
      </c>
      <c r="O13" s="131">
        <f>IF(B13&lt;='VALOR POR PL'!$P$5,'CP RESUMO'!L72,"")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RESUMO'!$D$72:$BW$72,MATCH('VALOR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RESUMO'!M30</f>
        <v/>
      </c>
      <c r="N14" s="132">
        <f>MAX(0,M14-M13)</f>
        <v/>
      </c>
      <c r="O14" s="131">
        <f>IF(B14&lt;='VALOR POR PL'!$P$5,'CP RESUMO'!M72,"")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RESUMO'!N30</f>
        <v/>
      </c>
      <c r="N15" s="132">
        <f>MAX(0,M15-M14)</f>
        <v/>
      </c>
      <c r="O15" s="131">
        <f>IF(B15&lt;='VALOR POR PL'!$P$5,'CP RESUMO'!N72,"")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RESUMO'!O30</f>
        <v/>
      </c>
      <c r="N16" s="132">
        <f>MAX(0,M16-M15)</f>
        <v/>
      </c>
      <c r="O16" s="131">
        <f>IF(B16&lt;='VALOR POR PL'!$P$5,'CP RESUMO'!O72,"")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RESUMO'!P30</f>
        <v/>
      </c>
      <c r="N17" s="132">
        <f>MAX(0,M17-M16)</f>
        <v/>
      </c>
      <c r="O17" s="131">
        <f>IF(B17&lt;='VALOR POR PL'!$P$5,'CP RESUMO'!P72,"")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RESUMO'!Q30</f>
        <v/>
      </c>
      <c r="N18" s="132">
        <f>MAX(0,M18-M17)</f>
        <v/>
      </c>
      <c r="O18" s="131">
        <f>IF(B18&lt;='VALOR POR PL'!$P$5,'CP RESUMO'!Q72,"")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RESUMO'!R30</f>
        <v/>
      </c>
      <c r="N19" s="132">
        <f>MAX(0,M19-M18)</f>
        <v/>
      </c>
      <c r="O19" s="131">
        <f>IF(B19&lt;='VALOR POR PL'!$P$5,'CP RESUMO'!R72,"")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RESUMO'!S30</f>
        <v/>
      </c>
      <c r="N20" s="132">
        <f>MAX(0,M20-M19)</f>
        <v/>
      </c>
      <c r="O20" s="131">
        <f>IF(B20&lt;='VALOR POR PL'!$P$5,'CP RESUMO'!S72,"")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RESUMO'!T30</f>
        <v/>
      </c>
      <c r="N21" s="132">
        <f>MAX(0,M21-M20)</f>
        <v/>
      </c>
      <c r="O21" s="131">
        <f>IF(B21&lt;='VALOR POR PL'!$P$5,'CP RESUMO'!T72,"")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RESUMO'!U30</f>
        <v/>
      </c>
      <c r="N22" s="132">
        <f>MAX(0,M22-M21)</f>
        <v/>
      </c>
      <c r="O22" s="131">
        <f>IF(B22&lt;='VALOR POR PL'!$P$5,'CP RESUMO'!U72,"")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RESUMO'!V30</f>
        <v/>
      </c>
      <c r="N23" s="132">
        <f>MAX(0,M23-M22)</f>
        <v/>
      </c>
      <c r="O23" s="131">
        <f>IF(B23&lt;='VALOR POR PL'!$P$5,'CP RESUMO'!V72,"")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RESUMO'!W30</f>
        <v/>
      </c>
      <c r="N24" s="132">
        <f>MAX(0,M24-M23)</f>
        <v/>
      </c>
      <c r="O24" s="131">
        <f>IF(B24&lt;='VALOR POR PL'!$P$5,'CP RESUMO'!W72,"")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RESUMO'!X30</f>
        <v/>
      </c>
      <c r="N25" s="132">
        <f>MAX(0,M25-M24)</f>
        <v/>
      </c>
      <c r="O25" s="131">
        <f>IF(B25&lt;='VALOR POR PL'!$P$5,'CP RESUMO'!X72,"")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RESUMO'!Y30</f>
        <v/>
      </c>
      <c r="N26" s="132">
        <f>MAX(0,M26-M25)</f>
        <v/>
      </c>
      <c r="O26" s="131">
        <f>IF(B26&lt;='VALOR POR PL'!$P$5,'CP RESUMO'!Y72,"")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RESUMO'!Z30</f>
        <v/>
      </c>
      <c r="N27" s="132">
        <f>MAX(0,M27-M26)</f>
        <v/>
      </c>
      <c r="O27" s="131">
        <f>IF(B27&lt;='VALOR POR PL'!$P$5,'CP RESUMO'!Z72,"")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RESUMO'!AA30</f>
        <v/>
      </c>
      <c r="N28" s="132">
        <f>MAX(0,M28-M27)</f>
        <v/>
      </c>
      <c r="O28" s="131">
        <f>IF(B28&lt;='VALOR POR PL'!$P$5,'CP RESUMO'!AA72,"")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RESUMO'!AB30</f>
        <v/>
      </c>
      <c r="N29" s="132">
        <f>MAX(0,M29-M28)</f>
        <v/>
      </c>
      <c r="O29" s="131">
        <f>IF(B29&lt;='VALOR POR PL'!$P$5,'CP RESUMO'!AB72,"")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RESUMO'!AC30</f>
        <v/>
      </c>
      <c r="N30" s="132">
        <f>MAX(0,M30-M29)</f>
        <v/>
      </c>
      <c r="O30" s="131">
        <f>IF(B30&lt;='VALOR POR PL'!$P$5,'CP RESUMO'!AC72,"")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RESUMO'!AD30</f>
        <v/>
      </c>
      <c r="N31" s="132">
        <f>MAX(0,M31-M30)</f>
        <v/>
      </c>
      <c r="O31" s="131">
        <f>IF(B31&lt;='VALOR POR PL'!$P$5,'CP RESUMO'!AD72,"")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RESUMO'!AE30</f>
        <v/>
      </c>
      <c r="N32" s="132">
        <f>MAX(0,M32-M31)</f>
        <v/>
      </c>
      <c r="O32" s="131">
        <f>IF(B32&lt;='VALOR POR PL'!$P$5,'CP RESUMO'!AE72,"")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RESUMO'!AF30</f>
        <v/>
      </c>
      <c r="N33" s="132">
        <f>MAX(0,M33-M32)</f>
        <v/>
      </c>
      <c r="O33" s="131">
        <f>IF(B33&lt;='VALOR POR PL'!$P$5,'CP RESUMO'!AF72,"")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RESUMO'!AG30</f>
        <v/>
      </c>
      <c r="N34" s="132">
        <f>MAX(0,M34-M33)</f>
        <v/>
      </c>
      <c r="O34" s="131">
        <f>IF(B34&lt;='VALOR POR PL'!$P$5,'CP RESUMO'!AG72,"")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RESUMO'!AH30</f>
        <v/>
      </c>
      <c r="N35" s="132">
        <f>MAX(0,M35-M34)</f>
        <v/>
      </c>
      <c r="O35" s="131">
        <f>IF(B35&lt;='VALOR POR PL'!$P$5,'CP RESUMO'!AH72,"")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14464.15</v>
      </c>
      <c r="L36" s="49">
        <f>C36/IF(B36&lt;='VALOR POR PL'!$P$5,IFERROR(INDEX('"INCC-FGV"'!$B$2:$B$800,MATCH(B36,'"INCC-FGV"'!$A$2:$A$800,0)),$K$2),$K$2)</f>
        <v/>
      </c>
      <c r="M36" s="131">
        <f>'CP RESUMO'!AI30</f>
        <v/>
      </c>
      <c r="N36" s="132">
        <f>MAX(0,M36-M35)</f>
        <v/>
      </c>
      <c r="O36" s="131">
        <f>IF(B36&lt;='VALOR POR PL'!$P$5,'CP RESUMO'!AI72,"")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9187.33</v>
      </c>
      <c r="L37" s="49">
        <f>C37/IF(B37&lt;='VALOR POR PL'!$P$5,IFERROR(INDEX('"INCC-FGV"'!$B$2:$B$800,MATCH(B37,'"INCC-FGV"'!$A$2:$A$800,0)),$K$2),$K$2)</f>
        <v/>
      </c>
      <c r="M37" s="131">
        <f>'CP RESUMO'!AJ30</f>
        <v/>
      </c>
      <c r="N37" s="132">
        <f>MAX(0,M37-M36)</f>
        <v/>
      </c>
      <c r="O37" s="131">
        <f>IF(B37&lt;='VALOR POR PL'!$P$5,'CP RESUMO'!AJ72,"")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15783.36</v>
      </c>
      <c r="L38" s="49">
        <f>C38/IF(B38&lt;='VALOR POR PL'!$P$5,IFERROR(INDEX('"INCC-FGV"'!$B$2:$B$800,MATCH(B38,'"INCC-FGV"'!$A$2:$A$800,0)),$K$2),$K$2)</f>
        <v/>
      </c>
      <c r="M38" s="131">
        <f>'CP RESUMO'!AK30</f>
        <v/>
      </c>
      <c r="N38" s="132">
        <f>MAX(0,M38-M37)</f>
        <v/>
      </c>
      <c r="O38" s="131">
        <f>IF(B38&lt;='VALOR POR PL'!$P$5,'CP RESUMO'!AK72,"")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7915.24</v>
      </c>
      <c r="L39" s="49">
        <f>C39/IF(B39&lt;='VALOR POR PL'!$P$5,IFERROR(INDEX('"INCC-FGV"'!$B$2:$B$800,MATCH(B39,'"INCC-FGV"'!$A$2:$A$800,0)),$K$2),$K$2)</f>
        <v/>
      </c>
      <c r="M39" s="131">
        <f>'CP RESUMO'!AL30</f>
        <v/>
      </c>
      <c r="N39" s="132">
        <f>MAX(0,M39-M38)</f>
        <v/>
      </c>
      <c r="O39" s="131">
        <f>IF(B39&lt;='VALOR POR PL'!$P$5,'CP RESUMO'!AL72,"")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14181.47</v>
      </c>
      <c r="L40" s="49">
        <f>C40/IF(B40&lt;='VALOR POR PL'!$P$5,IFERROR(INDEX('"INCC-FGV"'!$B$2:$B$800,MATCH(B40,'"INCC-FGV"'!$A$2:$A$800,0)),$K$2),$K$2)</f>
        <v/>
      </c>
      <c r="M40" s="131">
        <f>'CP RESUMO'!AM30</f>
        <v/>
      </c>
      <c r="N40" s="132">
        <f>MAX(0,M40-M39)</f>
        <v/>
      </c>
      <c r="O40" s="131">
        <f>IF(B40&lt;='VALOR POR PL'!$P$5,'CP RESUMO'!AM72,"")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64499.76</v>
      </c>
      <c r="L41" s="49">
        <f>C41/IF(B41&lt;='VALOR POR PL'!$P$5,IFERROR(INDEX('"INCC-FGV"'!$B$2:$B$800,MATCH(B41,'"INCC-FGV"'!$A$2:$A$800,0)),$K$2),$K$2)</f>
        <v/>
      </c>
      <c r="M41" s="131">
        <f>'CP RESUMO'!AN30</f>
        <v/>
      </c>
      <c r="N41" s="132">
        <f>MAX(0,M41-M40)</f>
        <v/>
      </c>
      <c r="O41" s="131">
        <f>IF(B41&lt;='VALOR POR PL'!$P$5,'CP RESUMO'!AN72,"")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85465.72</v>
      </c>
      <c r="L42" s="49">
        <f>C42/IF(B42&lt;='VALOR POR PL'!$P$5,IFERROR(INDEX('"INCC-FGV"'!$B$2:$B$800,MATCH(B42,'"INCC-FGV"'!$A$2:$A$800,0)),$K$2),$K$2)</f>
        <v/>
      </c>
      <c r="M42" s="131">
        <f>'CP RESUMO'!AO30</f>
        <v/>
      </c>
      <c r="N42" s="132">
        <f>MAX(0,M42-M41)</f>
        <v/>
      </c>
      <c r="O42" s="131">
        <f>IF(B42&lt;='VALOR POR PL'!$P$5,'CP RESUMO'!AO72,"")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131355.25</v>
      </c>
      <c r="L43" s="49">
        <f>C43/IF(B43&lt;='VALOR POR PL'!$P$5,IFERROR(INDEX('"INCC-FGV"'!$B$2:$B$800,MATCH(B43,'"INCC-FGV"'!$A$2:$A$800,0)),$K$2),$K$2)</f>
        <v/>
      </c>
      <c r="M43" s="131">
        <f>'CP RESUMO'!AP30</f>
        <v/>
      </c>
      <c r="N43" s="132">
        <f>MAX(0,M43-M42)</f>
        <v/>
      </c>
      <c r="O43" s="131">
        <f>IF(B43&lt;='VALOR POR PL'!$P$5,'CP RESUMO'!AP72,"")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24970.69</v>
      </c>
      <c r="L44" s="49">
        <f>C44/IF(B44&lt;='VALOR POR PL'!$P$5,IFERROR(INDEX('"INCC-FGV"'!$B$2:$B$800,MATCH(B44,'"INCC-FGV"'!$A$2:$A$800,0)),$K$2),$K$2)</f>
        <v/>
      </c>
      <c r="M44" s="131">
        <f>'CP RESUMO'!AQ30</f>
        <v/>
      </c>
      <c r="N44" s="132">
        <f>MAX(0,M44-M43)</f>
        <v/>
      </c>
      <c r="O44" s="131">
        <f>IF(B44&lt;='VALOR POR PL'!$P$5,'CP RESUMO'!AQ72,"")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39434.85</v>
      </c>
      <c r="L45" s="49">
        <f>C45/IF(B45&lt;='VALOR POR PL'!$P$5,IFERROR(INDEX('"INCC-FGV"'!$B$2:$B$800,MATCH(B45,'"INCC-FGV"'!$A$2:$A$800,0)),$K$2),$K$2)</f>
        <v/>
      </c>
      <c r="M45" s="131">
        <f>'CP RESUMO'!AR30</f>
        <v/>
      </c>
      <c r="N45" s="132">
        <f>MAX(0,M45-M44)</f>
        <v/>
      </c>
      <c r="O45" s="131">
        <f>IF(B45&lt;='VALOR POR PL'!$P$5,'CP RESUMO'!AR72,"")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24970.69</v>
      </c>
      <c r="L46" s="49">
        <f>C46/IF(B46&lt;='VALOR POR PL'!$P$5,IFERROR(INDEX('"INCC-FGV"'!$B$2:$B$800,MATCH(B46,'"INCC-FGV"'!$A$2:$A$800,0)),$K$2),$K$2)</f>
        <v/>
      </c>
      <c r="M46" s="131">
        <f>'CP RESUMO'!AS30</f>
        <v/>
      </c>
      <c r="N46" s="132">
        <f>MAX(0,M46-M45)</f>
        <v/>
      </c>
      <c r="O46" s="131">
        <f>IF(B46&lt;='VALOR POR PL'!$P$5,'CP RESUMO'!AS72,"")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28221.59</v>
      </c>
      <c r="L47" s="49">
        <f>C47/IF(B47&lt;='VALOR POR PL'!$P$5,IFERROR(INDEX('"INCC-FGV"'!$B$2:$B$800,MATCH(B47,'"INCC-FGV"'!$A$2:$A$800,0)),$K$2),$K$2)</f>
        <v/>
      </c>
      <c r="M47" s="131">
        <f>'CP RESUMO'!AT30</f>
        <v/>
      </c>
      <c r="N47" s="132">
        <f>MAX(0,M47-M46)</f>
        <v/>
      </c>
      <c r="O47" s="131">
        <f>IF(B47&lt;='VALOR POR PL'!$P$5,'CP RESUMO'!AT72,"")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10694.99</v>
      </c>
      <c r="L48" s="49">
        <f>C48/IF(B48&lt;='VALOR POR PL'!$P$5,IFERROR(INDEX('"INCC-FGV"'!$B$2:$B$800,MATCH(B48,'"INCC-FGV"'!$A$2:$A$800,0)),$K$2),$K$2)</f>
        <v/>
      </c>
      <c r="M48" s="131">
        <f>'CP RESUMO'!AU30</f>
        <v/>
      </c>
      <c r="N48" s="132">
        <f>MAX(0,M48-M47)</f>
        <v/>
      </c>
      <c r="O48" s="131">
        <f>IF(B48&lt;='VALOR POR PL'!$P$5,'CP RESUMO'!AU72,"")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RESUMO'!AV30</f>
        <v/>
      </c>
      <c r="N49" s="132">
        <f>MAX(0,M49-M48)</f>
        <v/>
      </c>
      <c r="O49" s="131">
        <f>IF(B49&lt;='VALOR POR PL'!$P$5,'CP RESUMO'!AV72,"")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RESUMO'!AW30</f>
        <v/>
      </c>
      <c r="N50" s="132">
        <f>MAX(0,M50-M49)</f>
        <v/>
      </c>
      <c r="O50" s="131">
        <f>IF(B50&lt;='VALOR POR PL'!$P$5,'CP RESUMO'!AW72,"")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RESUMO'!AX30</f>
        <v/>
      </c>
      <c r="N51" s="132">
        <f>MAX(0,M51-M50)</f>
        <v/>
      </c>
      <c r="O51" s="131">
        <f>IF(B51&lt;='VALOR POR PL'!$P$5,'CP RESUMO'!AX72,"")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RESUMO'!AY30</f>
        <v/>
      </c>
      <c r="N52" s="132">
        <f>MAX(0,M52-M51)</f>
        <v/>
      </c>
      <c r="O52" s="131">
        <f>IF(B52&lt;='VALOR POR PL'!$P$5,'CP RESUMO'!AY72,"")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RESUMO'!AZ30</f>
        <v/>
      </c>
      <c r="N53" s="132">
        <f>MAX(0,M53-M52)</f>
        <v/>
      </c>
      <c r="O53" s="131">
        <f>IF(B53&lt;='VALOR POR PL'!$P$5,'CP RESUMO'!AZ72,"")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RESUMO'!BA30</f>
        <v/>
      </c>
      <c r="N54" s="132">
        <f>MAX(0,M54-M53)</f>
        <v/>
      </c>
      <c r="O54" s="131">
        <f>IF(B54&lt;='VALOR POR PL'!$P$5,'CP RESUMO'!BA72,"")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RESUMO'!BB30</f>
        <v/>
      </c>
      <c r="N55" s="132">
        <f>MAX(0,M55-M54)</f>
        <v/>
      </c>
      <c r="O55" s="131">
        <f>IF(B55&lt;='VALOR POR PL'!$P$5,'CP RESUMO'!BB72,"")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RESUMO'!BC30</f>
        <v/>
      </c>
      <c r="N56" s="132">
        <f>MAX(0,M56-M55)</f>
        <v/>
      </c>
      <c r="O56" s="131">
        <f>IF(B56&lt;='VALOR POR PL'!$P$5,'CP RESUMO'!BC72,"")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RESUMO'!BD30</f>
        <v/>
      </c>
      <c r="N57" s="132">
        <f>MAX(0,M57-M56)</f>
        <v/>
      </c>
      <c r="O57" s="131">
        <f>IF(B57&lt;='VALOR POR PL'!$P$5,'CP RESUMO'!BD72,"")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RESUMO'!BE30</f>
        <v/>
      </c>
      <c r="N58" s="132">
        <f>MAX(0,M58-M57)</f>
        <v/>
      </c>
      <c r="O58" s="131">
        <f>IF(B58&lt;='VALOR POR PL'!$P$5,'CP RESUMO'!BE72,"")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RESUMO'!BF30</f>
        <v/>
      </c>
      <c r="N59" s="132">
        <f>MAX(0,M59-M58)</f>
        <v/>
      </c>
      <c r="O59" s="131">
        <f>IF(B59&lt;='VALOR POR PL'!$P$5,'CP RESUMO'!BF72,"")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RESUMO'!BG30</f>
        <v/>
      </c>
      <c r="N60" s="132">
        <f>MAX(0,M60-M59)</f>
        <v/>
      </c>
      <c r="O60" s="131">
        <f>IF(B60&lt;='VALOR POR PL'!$P$5,'CP RESUMO'!BG72,"")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RESUMO'!BH30</f>
        <v/>
      </c>
      <c r="N61" s="132">
        <f>MAX(0,M61-M60)</f>
        <v/>
      </c>
      <c r="O61" s="131">
        <f>IF(B61&lt;='VALOR POR PL'!$P$5,'CP RESUMO'!BH72,"")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RESUMO'!BI30</f>
        <v/>
      </c>
      <c r="N62" s="132">
        <f>MAX(0,M62-M61)</f>
        <v/>
      </c>
      <c r="O62" s="131">
        <f>IF(B62&lt;='VALOR POR PL'!$P$5,'CP RESUMO'!BI72,"")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RESUMO'!BJ30</f>
        <v/>
      </c>
      <c r="N63" s="132">
        <f>MAX(0,M63-M62)</f>
        <v/>
      </c>
      <c r="O63" s="131">
        <f>IF(B63&lt;='VALOR POR PL'!$P$5,'CP RESUMO'!BJ72,"")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RESUMO'!BK30</f>
        <v/>
      </c>
      <c r="N64" s="132">
        <f>MAX(0,M64-M63)</f>
        <v/>
      </c>
      <c r="O64" s="131">
        <f>IF(B64&lt;='VALOR POR PL'!$P$5,'CP RESUMO'!BK72,"")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RESUMO'!BL30</f>
        <v/>
      </c>
      <c r="N65" s="132">
        <f>MAX(0,M65-M64)</f>
        <v/>
      </c>
      <c r="O65" s="131">
        <f>IF(B65&lt;='VALOR POR PL'!$P$5,'CP RESUMO'!BL72,"")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RESUMO'!BM30</f>
        <v/>
      </c>
      <c r="N66" s="132">
        <f>MAX(0,M66-M65)</f>
        <v/>
      </c>
      <c r="O66" s="131">
        <f>IF(B66&lt;='VALOR POR PL'!$P$5,'CP RESUMO'!BM72,"")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RESUMO'!BN30</f>
        <v/>
      </c>
      <c r="N67" s="132">
        <f>MAX(0,M67-M66)</f>
        <v/>
      </c>
      <c r="O67" s="131">
        <f>IF(B67&lt;='VALOR POR PL'!$P$5,'CP RESUMO'!BN72,"")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RESUMO'!BO30</f>
        <v/>
      </c>
      <c r="N68" s="132">
        <f>MAX(0,M68-M67)</f>
        <v/>
      </c>
      <c r="O68" s="131">
        <f>IF(B68&lt;='VALOR POR PL'!$P$5,'CP RESUMO'!BO72,"")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RESUMO'!BP30</f>
        <v/>
      </c>
      <c r="N69" s="132">
        <f>MAX(0,M69-M68)</f>
        <v/>
      </c>
      <c r="O69" s="131">
        <f>IF(B69&lt;='VALOR POR PL'!$P$5,'CP RESUMO'!BP72,"")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RESUMO'!BQ30</f>
        <v/>
      </c>
      <c r="N70" s="132">
        <f>MAX(0,M70-M69)</f>
        <v/>
      </c>
      <c r="O70" s="131">
        <f>IF(B70&lt;='VALOR POR PL'!$P$5,'CP RESUMO'!BQ72,"")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RESUMO'!BR30</f>
        <v/>
      </c>
      <c r="N71" s="132">
        <f>MAX(0,M71-M70)</f>
        <v/>
      </c>
      <c r="O71" s="131">
        <f>IF(B71&lt;='VALOR POR PL'!$P$5,'CP RESUMO'!BR72,"")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RESUMO'!BS30</f>
        <v/>
      </c>
      <c r="N72" s="132">
        <f>MAX(0,M72-M71)</f>
        <v/>
      </c>
      <c r="O72" s="131">
        <f>IF(B72&lt;='VALOR POR PL'!$P$5,'CP RESUMO'!BS72,"")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RESUMO'!BT30</f>
        <v/>
      </c>
      <c r="N73" s="132">
        <f>MAX(0,M73-M72)</f>
        <v/>
      </c>
      <c r="O73" s="131">
        <f>IF(B73&lt;='VALOR POR PL'!$P$5,'CP RESUMO'!BT72,"")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RESUMO'!BU30</f>
        <v/>
      </c>
      <c r="N74" s="132">
        <f>MAX(0,M74-M73)</f>
        <v/>
      </c>
      <c r="O74" s="131">
        <f>IF(B74&lt;='VALOR POR PL'!$P$5,'CP RESUMO'!BU72,"")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RESUMO'!BV30</f>
        <v/>
      </c>
      <c r="N75" s="132">
        <f>MAX(0,M75-M74)</f>
        <v/>
      </c>
      <c r="O75" s="131">
        <f>IF(B75&lt;='VALOR POR PL'!$P$5,'CP RESUMO'!BV72,"")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RESUMO'!BW30</f>
        <v/>
      </c>
      <c r="N76" s="132">
        <f>MAX(0,M76-M75)</f>
        <v/>
      </c>
      <c r="O76" s="131">
        <f>IF(B76&lt;='VALOR POR PL'!$P$5,'CP RESUMO'!BW72,"")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HISTORICOS'!D31)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PL'!F37</f>
        <v/>
      </c>
      <c r="K5" s="60">
        <f>'VALOR POR PL'!G37</f>
        <v/>
      </c>
      <c r="L5" s="60">
        <f>'DADOS HISTORICOS'!$BZ$31</f>
        <v/>
      </c>
      <c r="M5" s="131">
        <f>'CP RESUMO'!D31</f>
        <v/>
      </c>
      <c r="N5" s="132" t="n">
        <v>0</v>
      </c>
      <c r="O5" s="131">
        <f>IF(B5&lt;='VALOR POR PL'!$P$5,'CP RESUMO'!D73,"")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HISTORICOS'!E31)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PL'!H37</f>
        <v/>
      </c>
      <c r="L6" s="49">
        <f>C6/IF(B6&lt;='VALOR POR PL'!$P$5,IFERROR(INDEX('"INCC-FGV"'!$B$2:$B$800,MATCH(B6,'"INCC-FGV"'!$A$2:$A$800,0)),$K$2),$K$2)</f>
        <v/>
      </c>
      <c r="M6" s="131">
        <f>'CP RESUMO'!E31</f>
        <v/>
      </c>
      <c r="N6" s="132">
        <f>MAX(0,M6-M5)</f>
        <v/>
      </c>
      <c r="O6" s="131">
        <f>IF(B6&lt;='VALOR POR PL'!$P$5,'CP RESUMO'!E73,"")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HISTORICOS'!F31)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RESUMO'!F31</f>
        <v/>
      </c>
      <c r="N7" s="132">
        <f>MAX(0,M7-M6)</f>
        <v/>
      </c>
      <c r="O7" s="131">
        <f>IF(B7&lt;='VALOR POR PL'!$P$5,'CP RESUMO'!F73,"")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HISTORICOS'!G31)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RESUMO'!G31</f>
        <v/>
      </c>
      <c r="N8" s="132">
        <f>MAX(0,M8-M7)</f>
        <v/>
      </c>
      <c r="O8" s="131">
        <f>IF(B8&lt;='VALOR POR PL'!$P$5,'CP RESUMO'!G73,"")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HISTORICOS'!H31)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RESUMO'!H31</f>
        <v/>
      </c>
      <c r="N9" s="132">
        <f>MAX(0,M9-M8)</f>
        <v/>
      </c>
      <c r="O9" s="131">
        <f>IF(B9&lt;='VALOR POR PL'!$P$5,'CP RESUMO'!H73,"")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RESUMO'!I31</f>
        <v/>
      </c>
      <c r="N10" s="132">
        <f>MAX(0,M10-M9)</f>
        <v/>
      </c>
      <c r="O10" s="131">
        <f>IF(B10&lt;='VALOR POR PL'!$P$5,'CP RESUMO'!I73,"")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RESUMO'!J31</f>
        <v/>
      </c>
      <c r="N11" s="132">
        <f>MAX(0,M11-M10)</f>
        <v/>
      </c>
      <c r="O11" s="131">
        <f>IF(B11&lt;='VALOR POR PL'!$P$5,'CP RESUMO'!J73,"")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RESUMO'!K31</f>
        <v/>
      </c>
      <c r="N12" s="132">
        <f>MAX(0,M12-M11)</f>
        <v/>
      </c>
      <c r="O12" s="131">
        <f>IF(B12&lt;='VALOR POR PL'!$P$5,'CP RESUMO'!K73,"")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PL'!I37</f>
        <v/>
      </c>
      <c r="L13" s="49">
        <f>C13/IF(B13&lt;='VALOR POR PL'!$P$5,IFERROR(INDEX('"INCC-FGV"'!$B$2:$B$800,MATCH(B13,'"INCC-FGV"'!$A$2:$A$800,0)),$K$2),$K$2)</f>
        <v/>
      </c>
      <c r="M13" s="131">
        <f>'CP RESUMO'!L31</f>
        <v/>
      </c>
      <c r="N13" s="132">
        <f>MAX(0,M13-M12)</f>
        <v/>
      </c>
      <c r="O13" s="131">
        <f>IF(B13&lt;='VALOR POR PL'!$P$5,'CP RESUMO'!L73,"")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RESUMO'!$D$73:$BW$73,MATCH('VALOR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RESUMO'!M31</f>
        <v/>
      </c>
      <c r="N14" s="132">
        <f>MAX(0,M14-M13)</f>
        <v/>
      </c>
      <c r="O14" s="131">
        <f>IF(B14&lt;='VALOR POR PL'!$P$5,'CP RESUMO'!M73,"")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RESUMO'!N31</f>
        <v/>
      </c>
      <c r="N15" s="132">
        <f>MAX(0,M15-M14)</f>
        <v/>
      </c>
      <c r="O15" s="131">
        <f>IF(B15&lt;='VALOR POR PL'!$P$5,'CP RESUMO'!N73,"")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RESUMO'!O31</f>
        <v/>
      </c>
      <c r="N16" s="132">
        <f>MAX(0,M16-M15)</f>
        <v/>
      </c>
      <c r="O16" s="131">
        <f>IF(B16&lt;='VALOR POR PL'!$P$5,'CP RESUMO'!O73,"")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RESUMO'!P31</f>
        <v/>
      </c>
      <c r="N17" s="132">
        <f>MAX(0,M17-M16)</f>
        <v/>
      </c>
      <c r="O17" s="131">
        <f>IF(B17&lt;='VALOR POR PL'!$P$5,'CP RESUMO'!P73,"")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RESUMO'!Q31</f>
        <v/>
      </c>
      <c r="N18" s="132">
        <f>MAX(0,M18-M17)</f>
        <v/>
      </c>
      <c r="O18" s="131">
        <f>IF(B18&lt;='VALOR POR PL'!$P$5,'CP RESUMO'!Q73,"")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RESUMO'!R31</f>
        <v/>
      </c>
      <c r="N19" s="132">
        <f>MAX(0,M19-M18)</f>
        <v/>
      </c>
      <c r="O19" s="131">
        <f>IF(B19&lt;='VALOR POR PL'!$P$5,'CP RESUMO'!R73,"")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RESUMO'!S31</f>
        <v/>
      </c>
      <c r="N20" s="132">
        <f>MAX(0,M20-M19)</f>
        <v/>
      </c>
      <c r="O20" s="131">
        <f>IF(B20&lt;='VALOR POR PL'!$P$5,'CP RESUMO'!S73,"")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RESUMO'!T31</f>
        <v/>
      </c>
      <c r="N21" s="132">
        <f>MAX(0,M21-M20)</f>
        <v/>
      </c>
      <c r="O21" s="131">
        <f>IF(B21&lt;='VALOR POR PL'!$P$5,'CP RESUMO'!T73,"")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RESUMO'!U31</f>
        <v/>
      </c>
      <c r="N22" s="132">
        <f>MAX(0,M22-M21)</f>
        <v/>
      </c>
      <c r="O22" s="131">
        <f>IF(B22&lt;='VALOR POR PL'!$P$5,'CP RESUMO'!U73,"")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RESUMO'!V31</f>
        <v/>
      </c>
      <c r="N23" s="132">
        <f>MAX(0,M23-M22)</f>
        <v/>
      </c>
      <c r="O23" s="131">
        <f>IF(B23&lt;='VALOR POR PL'!$P$5,'CP RESUMO'!V73,"")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RESUMO'!W31</f>
        <v/>
      </c>
      <c r="N24" s="132">
        <f>MAX(0,M24-M23)</f>
        <v/>
      </c>
      <c r="O24" s="131">
        <f>IF(B24&lt;='VALOR POR PL'!$P$5,'CP RESUMO'!W73,"")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RESUMO'!X31</f>
        <v/>
      </c>
      <c r="N25" s="132">
        <f>MAX(0,M25-M24)</f>
        <v/>
      </c>
      <c r="O25" s="131">
        <f>IF(B25&lt;='VALOR POR PL'!$P$5,'CP RESUMO'!X73,"")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RESUMO'!Y31</f>
        <v/>
      </c>
      <c r="N26" s="132">
        <f>MAX(0,M26-M25)</f>
        <v/>
      </c>
      <c r="O26" s="131">
        <f>IF(B26&lt;='VALOR POR PL'!$P$5,'CP RESUMO'!Y73,"")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RESUMO'!Z31</f>
        <v/>
      </c>
      <c r="N27" s="132">
        <f>MAX(0,M27-M26)</f>
        <v/>
      </c>
      <c r="O27" s="131">
        <f>IF(B27&lt;='VALOR POR PL'!$P$5,'CP RESUMO'!Z73,"")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RESUMO'!AA31</f>
        <v/>
      </c>
      <c r="N28" s="132">
        <f>MAX(0,M28-M27)</f>
        <v/>
      </c>
      <c r="O28" s="131">
        <f>IF(B28&lt;='VALOR POR PL'!$P$5,'CP RESUMO'!AA73,"")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RESUMO'!AB31</f>
        <v/>
      </c>
      <c r="N29" s="132">
        <f>MAX(0,M29-M28)</f>
        <v/>
      </c>
      <c r="O29" s="131">
        <f>IF(B29&lt;='VALOR POR PL'!$P$5,'CP RESUMO'!AB73,"")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RESUMO'!AC31</f>
        <v/>
      </c>
      <c r="N30" s="132">
        <f>MAX(0,M30-M29)</f>
        <v/>
      </c>
      <c r="O30" s="131">
        <f>IF(B30&lt;='VALOR POR PL'!$P$5,'CP RESUMO'!AC73,"")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RESUMO'!AD31</f>
        <v/>
      </c>
      <c r="N31" s="132">
        <f>MAX(0,M31-M30)</f>
        <v/>
      </c>
      <c r="O31" s="131">
        <f>IF(B31&lt;='VALOR POR PL'!$P$5,'CP RESUMO'!AD73,"")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RESUMO'!AE31</f>
        <v/>
      </c>
      <c r="N32" s="132">
        <f>MAX(0,M32-M31)</f>
        <v/>
      </c>
      <c r="O32" s="131">
        <f>IF(B32&lt;='VALOR POR PL'!$P$5,'CP RESUMO'!AE73,"")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RESUMO'!AF31</f>
        <v/>
      </c>
      <c r="N33" s="132">
        <f>MAX(0,M33-M32)</f>
        <v/>
      </c>
      <c r="O33" s="131">
        <f>IF(B33&lt;='VALOR POR PL'!$P$5,'CP RESUMO'!AF73,"")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RESUMO'!AG31</f>
        <v/>
      </c>
      <c r="N34" s="132">
        <f>MAX(0,M34-M33)</f>
        <v/>
      </c>
      <c r="O34" s="131">
        <f>IF(B34&lt;='VALOR POR PL'!$P$5,'CP RESUMO'!AG73,"")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RESUMO'!AH31</f>
        <v/>
      </c>
      <c r="N35" s="132">
        <f>MAX(0,M35-M34)</f>
        <v/>
      </c>
      <c r="O35" s="131">
        <f>IF(B35&lt;='VALOR POR PL'!$P$5,'CP RESUMO'!AH73,"")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RESUMO'!AI31</f>
        <v/>
      </c>
      <c r="N36" s="132">
        <f>MAX(0,M36-M35)</f>
        <v/>
      </c>
      <c r="O36" s="131">
        <f>IF(B36&lt;='VALOR POR PL'!$P$5,'CP RESUMO'!AI73,"")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RESUMO'!AJ31</f>
        <v/>
      </c>
      <c r="N37" s="132">
        <f>MAX(0,M37-M36)</f>
        <v/>
      </c>
      <c r="O37" s="131">
        <f>IF(B37&lt;='VALOR POR PL'!$P$5,'CP RESUMO'!AJ73,"")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/>
      <c r="L38" s="49">
        <f>C38/IF(B38&lt;='VALOR POR PL'!$P$5,IFERROR(INDEX('"INCC-FGV"'!$B$2:$B$800,MATCH(B38,'"INCC-FGV"'!$A$2:$A$800,0)),$K$2),$K$2)</f>
        <v/>
      </c>
      <c r="M38" s="131">
        <f>'CP RESUMO'!AK31</f>
        <v/>
      </c>
      <c r="N38" s="132">
        <f>MAX(0,M38-M37)</f>
        <v/>
      </c>
      <c r="O38" s="131">
        <f>IF(B38&lt;='VALOR POR PL'!$P$5,'CP RESUMO'!AK73,"")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RESUMO'!AL31</f>
        <v/>
      </c>
      <c r="N39" s="132">
        <f>MAX(0,M39-M38)</f>
        <v/>
      </c>
      <c r="O39" s="131">
        <f>IF(B39&lt;='VALOR POR PL'!$P$5,'CP RESUMO'!AL73,"")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RESUMO'!AM31</f>
        <v/>
      </c>
      <c r="N40" s="132">
        <f>MAX(0,M40-M39)</f>
        <v/>
      </c>
      <c r="O40" s="131">
        <f>IF(B40&lt;='VALOR POR PL'!$P$5,'CP RESUMO'!AM73,"")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RESUMO'!AN31</f>
        <v/>
      </c>
      <c r="N41" s="132">
        <f>MAX(0,M41-M40)</f>
        <v/>
      </c>
      <c r="O41" s="131">
        <f>IF(B41&lt;='VALOR POR PL'!$P$5,'CP RESUMO'!AN73,"")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RESUMO'!AO31</f>
        <v/>
      </c>
      <c r="N42" s="132">
        <f>MAX(0,M42-M41)</f>
        <v/>
      </c>
      <c r="O42" s="131">
        <f>IF(B42&lt;='VALOR POR PL'!$P$5,'CP RESUMO'!AO73,"")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288141.96</v>
      </c>
      <c r="L43" s="49">
        <f>C43/IF(B43&lt;='VALOR POR PL'!$P$5,IFERROR(INDEX('"INCC-FGV"'!$B$2:$B$800,MATCH(B43,'"INCC-FGV"'!$A$2:$A$800,0)),$K$2),$K$2)</f>
        <v/>
      </c>
      <c r="M43" s="131">
        <f>'CP RESUMO'!AP31</f>
        <v/>
      </c>
      <c r="N43" s="132">
        <f>MAX(0,M43-M42)</f>
        <v/>
      </c>
      <c r="O43" s="131">
        <f>IF(B43&lt;='VALOR POR PL'!$P$5,'CP RESUMO'!AP73,"")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288141.96</v>
      </c>
      <c r="L44" s="49">
        <f>C44/IF(B44&lt;='VALOR POR PL'!$P$5,IFERROR(INDEX('"INCC-FGV"'!$B$2:$B$800,MATCH(B44,'"INCC-FGV"'!$A$2:$A$800,0)),$K$2),$K$2)</f>
        <v/>
      </c>
      <c r="M44" s="131">
        <f>'CP RESUMO'!AQ31</f>
        <v/>
      </c>
      <c r="N44" s="132">
        <f>MAX(0,M44-M43)</f>
        <v/>
      </c>
      <c r="O44" s="131">
        <f>IF(B44&lt;='VALOR POR PL'!$P$5,'CP RESUMO'!AQ73,"")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288141.96</v>
      </c>
      <c r="L45" s="49">
        <f>C45/IF(B45&lt;='VALOR POR PL'!$P$5,IFERROR(INDEX('"INCC-FGV"'!$B$2:$B$800,MATCH(B45,'"INCC-FGV"'!$A$2:$A$800,0)),$K$2),$K$2)</f>
        <v/>
      </c>
      <c r="M45" s="131">
        <f>'CP RESUMO'!AR31</f>
        <v/>
      </c>
      <c r="N45" s="132">
        <f>MAX(0,M45-M44)</f>
        <v/>
      </c>
      <c r="O45" s="131">
        <f>IF(B45&lt;='VALOR POR PL'!$P$5,'CP RESUMO'!AR73,"")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288141.96</v>
      </c>
      <c r="L46" s="49">
        <f>C46/IF(B46&lt;='VALOR POR PL'!$P$5,IFERROR(INDEX('"INCC-FGV"'!$B$2:$B$800,MATCH(B46,'"INCC-FGV"'!$A$2:$A$800,0)),$K$2),$K$2)</f>
        <v/>
      </c>
      <c r="M46" s="131">
        <f>'CP RESUMO'!AS31</f>
        <v/>
      </c>
      <c r="N46" s="132">
        <f>MAX(0,M46-M45)</f>
        <v/>
      </c>
      <c r="O46" s="131">
        <f>IF(B46&lt;='VALOR POR PL'!$P$5,'CP RESUMO'!AS73,"")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288141.96</v>
      </c>
      <c r="L47" s="49">
        <f>C47/IF(B47&lt;='VALOR POR PL'!$P$5,IFERROR(INDEX('"INCC-FGV"'!$B$2:$B$800,MATCH(B47,'"INCC-FGV"'!$A$2:$A$800,0)),$K$2),$K$2)</f>
        <v/>
      </c>
      <c r="M47" s="131">
        <f>'CP RESUMO'!AT31</f>
        <v/>
      </c>
      <c r="N47" s="132">
        <f>MAX(0,M47-M46)</f>
        <v/>
      </c>
      <c r="O47" s="131">
        <f>IF(B47&lt;='VALOR POR PL'!$P$5,'CP RESUMO'!AT73,"")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288141.96</v>
      </c>
      <c r="L48" s="49">
        <f>C48/IF(B48&lt;='VALOR POR PL'!$P$5,IFERROR(INDEX('"INCC-FGV"'!$B$2:$B$800,MATCH(B48,'"INCC-FGV"'!$A$2:$A$800,0)),$K$2),$K$2)</f>
        <v/>
      </c>
      <c r="M48" s="131">
        <f>'CP RESUMO'!AU31</f>
        <v/>
      </c>
      <c r="N48" s="132">
        <f>MAX(0,M48-M47)</f>
        <v/>
      </c>
      <c r="O48" s="131">
        <f>IF(B48&lt;='VALOR POR PL'!$P$5,'CP RESUMO'!AU73,"")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RESUMO'!AV31</f>
        <v/>
      </c>
      <c r="N49" s="132">
        <f>MAX(0,M49-M48)</f>
        <v/>
      </c>
      <c r="O49" s="131">
        <f>IF(B49&lt;='VALOR POR PL'!$P$5,'CP RESUMO'!AV73,"")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RESUMO'!AW31</f>
        <v/>
      </c>
      <c r="N50" s="132">
        <f>MAX(0,M50-M49)</f>
        <v/>
      </c>
      <c r="O50" s="131">
        <f>IF(B50&lt;='VALOR POR PL'!$P$5,'CP RESUMO'!AW73,"")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RESUMO'!AX31</f>
        <v/>
      </c>
      <c r="N51" s="132">
        <f>MAX(0,M51-M50)</f>
        <v/>
      </c>
      <c r="O51" s="131">
        <f>IF(B51&lt;='VALOR POR PL'!$P$5,'CP RESUMO'!AX73,"")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RESUMO'!AY31</f>
        <v/>
      </c>
      <c r="N52" s="132">
        <f>MAX(0,M52-M51)</f>
        <v/>
      </c>
      <c r="O52" s="131">
        <f>IF(B52&lt;='VALOR POR PL'!$P$5,'CP RESUMO'!AY73,"")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RESUMO'!AZ31</f>
        <v/>
      </c>
      <c r="N53" s="132">
        <f>MAX(0,M53-M52)</f>
        <v/>
      </c>
      <c r="O53" s="131">
        <f>IF(B53&lt;='VALOR POR PL'!$P$5,'CP RESUMO'!AZ73,"")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RESUMO'!BA31</f>
        <v/>
      </c>
      <c r="N54" s="132">
        <f>MAX(0,M54-M53)</f>
        <v/>
      </c>
      <c r="O54" s="131">
        <f>IF(B54&lt;='VALOR POR PL'!$P$5,'CP RESUMO'!BA73,"")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RESUMO'!BB31</f>
        <v/>
      </c>
      <c r="N55" s="132">
        <f>MAX(0,M55-M54)</f>
        <v/>
      </c>
      <c r="O55" s="131">
        <f>IF(B55&lt;='VALOR POR PL'!$P$5,'CP RESUMO'!BB73,"")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RESUMO'!BC31</f>
        <v/>
      </c>
      <c r="N56" s="132">
        <f>MAX(0,M56-M55)</f>
        <v/>
      </c>
      <c r="O56" s="131">
        <f>IF(B56&lt;='VALOR POR PL'!$P$5,'CP RESUMO'!BC73,"")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RESUMO'!BD31</f>
        <v/>
      </c>
      <c r="N57" s="132">
        <f>MAX(0,M57-M56)</f>
        <v/>
      </c>
      <c r="O57" s="131">
        <f>IF(B57&lt;='VALOR POR PL'!$P$5,'CP RESUMO'!BD73,"")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RESUMO'!BE31</f>
        <v/>
      </c>
      <c r="N58" s="132">
        <f>MAX(0,M58-M57)</f>
        <v/>
      </c>
      <c r="O58" s="131">
        <f>IF(B58&lt;='VALOR POR PL'!$P$5,'CP RESUMO'!BE73,"")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RESUMO'!BF31</f>
        <v/>
      </c>
      <c r="N59" s="132">
        <f>MAX(0,M59-M58)</f>
        <v/>
      </c>
      <c r="O59" s="131">
        <f>IF(B59&lt;='VALOR POR PL'!$P$5,'CP RESUMO'!BF73,"")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RESUMO'!BG31</f>
        <v/>
      </c>
      <c r="N60" s="132">
        <f>MAX(0,M60-M59)</f>
        <v/>
      </c>
      <c r="O60" s="131">
        <f>IF(B60&lt;='VALOR POR PL'!$P$5,'CP RESUMO'!BG73,"")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RESUMO'!BH31</f>
        <v/>
      </c>
      <c r="N61" s="132">
        <f>MAX(0,M61-M60)</f>
        <v/>
      </c>
      <c r="O61" s="131">
        <f>IF(B61&lt;='VALOR POR PL'!$P$5,'CP RESUMO'!BH73,"")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RESUMO'!BI31</f>
        <v/>
      </c>
      <c r="N62" s="132">
        <f>MAX(0,M62-M61)</f>
        <v/>
      </c>
      <c r="O62" s="131">
        <f>IF(B62&lt;='VALOR POR PL'!$P$5,'CP RESUMO'!BI73,"")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RESUMO'!BJ31</f>
        <v/>
      </c>
      <c r="N63" s="132">
        <f>MAX(0,M63-M62)</f>
        <v/>
      </c>
      <c r="O63" s="131">
        <f>IF(B63&lt;='VALOR POR PL'!$P$5,'CP RESUMO'!BJ73,"")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RESUMO'!BK31</f>
        <v/>
      </c>
      <c r="N64" s="132">
        <f>MAX(0,M64-M63)</f>
        <v/>
      </c>
      <c r="O64" s="131">
        <f>IF(B64&lt;='VALOR POR PL'!$P$5,'CP RESUMO'!BK73,"")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RESUMO'!BL31</f>
        <v/>
      </c>
      <c r="N65" s="132">
        <f>MAX(0,M65-M64)</f>
        <v/>
      </c>
      <c r="O65" s="131">
        <f>IF(B65&lt;='VALOR POR PL'!$P$5,'CP RESUMO'!BL73,"")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RESUMO'!BM31</f>
        <v/>
      </c>
      <c r="N66" s="132">
        <f>MAX(0,M66-M65)</f>
        <v/>
      </c>
      <c r="O66" s="131">
        <f>IF(B66&lt;='VALOR POR PL'!$P$5,'CP RESUMO'!BM73,"")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RESUMO'!BN31</f>
        <v/>
      </c>
      <c r="N67" s="132">
        <f>MAX(0,M67-M66)</f>
        <v/>
      </c>
      <c r="O67" s="131">
        <f>IF(B67&lt;='VALOR POR PL'!$P$5,'CP RESUMO'!BN73,"")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RESUMO'!BO31</f>
        <v/>
      </c>
      <c r="N68" s="132">
        <f>MAX(0,M68-M67)</f>
        <v/>
      </c>
      <c r="O68" s="131">
        <f>IF(B68&lt;='VALOR POR PL'!$P$5,'CP RESUMO'!BO73,"")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RESUMO'!BP31</f>
        <v/>
      </c>
      <c r="N69" s="132">
        <f>MAX(0,M69-M68)</f>
        <v/>
      </c>
      <c r="O69" s="131">
        <f>IF(B69&lt;='VALOR POR PL'!$P$5,'CP RESUMO'!BP73,"")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RESUMO'!BQ31</f>
        <v/>
      </c>
      <c r="N70" s="132">
        <f>MAX(0,M70-M69)</f>
        <v/>
      </c>
      <c r="O70" s="131">
        <f>IF(B70&lt;='VALOR POR PL'!$P$5,'CP RESUMO'!BQ73,"")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RESUMO'!BR31</f>
        <v/>
      </c>
      <c r="N71" s="132">
        <f>MAX(0,M71-M70)</f>
        <v/>
      </c>
      <c r="O71" s="131">
        <f>IF(B71&lt;='VALOR POR PL'!$P$5,'CP RESUMO'!BR73,"")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RESUMO'!BS31</f>
        <v/>
      </c>
      <c r="N72" s="132">
        <f>MAX(0,M72-M71)</f>
        <v/>
      </c>
      <c r="O72" s="131">
        <f>IF(B72&lt;='VALOR POR PL'!$P$5,'CP RESUMO'!BS73,"")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RESUMO'!BT31</f>
        <v/>
      </c>
      <c r="N73" s="132">
        <f>MAX(0,M73-M72)</f>
        <v/>
      </c>
      <c r="O73" s="131">
        <f>IF(B73&lt;='VALOR POR PL'!$P$5,'CP RESUMO'!BT73,"")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RESUMO'!BU31</f>
        <v/>
      </c>
      <c r="N74" s="132">
        <f>MAX(0,M74-M73)</f>
        <v/>
      </c>
      <c r="O74" s="131">
        <f>IF(B74&lt;='VALOR POR PL'!$P$5,'CP RESUMO'!BU73,"")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RESUMO'!BV31</f>
        <v/>
      </c>
      <c r="N75" s="132">
        <f>MAX(0,M75-M74)</f>
        <v/>
      </c>
      <c r="O75" s="131">
        <f>IF(B75&lt;='VALOR POR PL'!$P$5,'CP RESUMO'!BV73,"")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RESUMO'!BW31</f>
        <v/>
      </c>
      <c r="N76" s="132">
        <f>MAX(0,M76-M75)</f>
        <v/>
      </c>
      <c r="O76" s="131">
        <f>IF(B76&lt;='VALOR POR PL'!$P$5,'CP RESUMO'!BW73,"")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HISTORICOS'!D32)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PL'!F38</f>
        <v/>
      </c>
      <c r="K5" s="60">
        <f>'VALOR POR PL'!G38</f>
        <v/>
      </c>
      <c r="L5" s="60">
        <f>'DADOS HISTORICOS'!$BZ$32</f>
        <v/>
      </c>
      <c r="M5" s="131">
        <f>'CP RESUMO'!D32</f>
        <v/>
      </c>
      <c r="N5" s="132" t="n">
        <v>0</v>
      </c>
      <c r="O5" s="131">
        <f>IF(B5&lt;='VALOR POR PL'!$P$5,'CP RESUMO'!D74,"")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HISTORICOS'!E32)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PL'!H38</f>
        <v/>
      </c>
      <c r="L6" s="49">
        <f>C6/IF(B6&lt;='VALOR POR PL'!$P$5,IFERROR(INDEX('"INCC-FGV"'!$B$2:$B$800,MATCH(B6,'"INCC-FGV"'!$A$2:$A$800,0)),$K$2),$K$2)</f>
        <v/>
      </c>
      <c r="M6" s="131">
        <f>'CP RESUMO'!E32</f>
        <v/>
      </c>
      <c r="N6" s="132">
        <f>MAX(0,M6-M5)</f>
        <v/>
      </c>
      <c r="O6" s="131">
        <f>IF(B6&lt;='VALOR POR PL'!$P$5,'CP RESUMO'!E74,"")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HISTORICOS'!F32)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RESUMO'!F32</f>
        <v/>
      </c>
      <c r="N7" s="132">
        <f>MAX(0,M7-M6)</f>
        <v/>
      </c>
      <c r="O7" s="131">
        <f>IF(B7&lt;='VALOR POR PL'!$P$5,'CP RESUMO'!F74,"")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HISTORICOS'!G32)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RESUMO'!G32</f>
        <v/>
      </c>
      <c r="N8" s="132">
        <f>MAX(0,M8-M7)</f>
        <v/>
      </c>
      <c r="O8" s="131">
        <f>IF(B8&lt;='VALOR POR PL'!$P$5,'CP RESUMO'!G74,"")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HISTORICOS'!H32)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RESUMO'!H32</f>
        <v/>
      </c>
      <c r="N9" s="132">
        <f>MAX(0,M9-M8)</f>
        <v/>
      </c>
      <c r="O9" s="131">
        <f>IF(B9&lt;='VALOR POR PL'!$P$5,'CP RESUMO'!H74,"")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RESUMO'!I32</f>
        <v/>
      </c>
      <c r="N10" s="132">
        <f>MAX(0,M10-M9)</f>
        <v/>
      </c>
      <c r="O10" s="131">
        <f>IF(B10&lt;='VALOR POR PL'!$P$5,'CP RESUMO'!I74,"")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RESUMO'!J32</f>
        <v/>
      </c>
      <c r="N11" s="132">
        <f>MAX(0,M11-M10)</f>
        <v/>
      </c>
      <c r="O11" s="131">
        <f>IF(B11&lt;='VALOR POR PL'!$P$5,'CP RESUMO'!J74,"")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RESUMO'!K32</f>
        <v/>
      </c>
      <c r="N12" s="132">
        <f>MAX(0,M12-M11)</f>
        <v/>
      </c>
      <c r="O12" s="131">
        <f>IF(B12&lt;='VALOR POR PL'!$P$5,'CP RESUMO'!K74,"")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PL'!I38</f>
        <v/>
      </c>
      <c r="L13" s="49">
        <f>C13/IF(B13&lt;='VALOR POR PL'!$P$5,IFERROR(INDEX('"INCC-FGV"'!$B$2:$B$800,MATCH(B13,'"INCC-FGV"'!$A$2:$A$800,0)),$K$2),$K$2)</f>
        <v/>
      </c>
      <c r="M13" s="131">
        <f>'CP RESUMO'!L32</f>
        <v/>
      </c>
      <c r="N13" s="132">
        <f>MAX(0,M13-M12)</f>
        <v/>
      </c>
      <c r="O13" s="131">
        <f>IF(B13&lt;='VALOR POR PL'!$P$5,'CP RESUMO'!L74,"")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RESUMO'!$D$74:$BW$74,MATCH('VALOR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RESUMO'!M32</f>
        <v/>
      </c>
      <c r="N14" s="132">
        <f>MAX(0,M14-M13)</f>
        <v/>
      </c>
      <c r="O14" s="131">
        <f>IF(B14&lt;='VALOR POR PL'!$P$5,'CP RESUMO'!M74,"")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RESUMO'!N32</f>
        <v/>
      </c>
      <c r="N15" s="132">
        <f>MAX(0,M15-M14)</f>
        <v/>
      </c>
      <c r="O15" s="131">
        <f>IF(B15&lt;='VALOR POR PL'!$P$5,'CP RESUMO'!N74,"")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RESUMO'!O32</f>
        <v/>
      </c>
      <c r="N16" s="132">
        <f>MAX(0,M16-M15)</f>
        <v/>
      </c>
      <c r="O16" s="131">
        <f>IF(B16&lt;='VALOR POR PL'!$P$5,'CP RESUMO'!O74,"")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RESUMO'!P32</f>
        <v/>
      </c>
      <c r="N17" s="132">
        <f>MAX(0,M17-M16)</f>
        <v/>
      </c>
      <c r="O17" s="131">
        <f>IF(B17&lt;='VALOR POR PL'!$P$5,'CP RESUMO'!P74,"")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RESUMO'!Q32</f>
        <v/>
      </c>
      <c r="N18" s="132">
        <f>MAX(0,M18-M17)</f>
        <v/>
      </c>
      <c r="O18" s="131">
        <f>IF(B18&lt;='VALOR POR PL'!$P$5,'CP RESUMO'!Q74,"")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RESUMO'!R32</f>
        <v/>
      </c>
      <c r="N19" s="132">
        <f>MAX(0,M19-M18)</f>
        <v/>
      </c>
      <c r="O19" s="131">
        <f>IF(B19&lt;='VALOR POR PL'!$P$5,'CP RESUMO'!R74,"")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RESUMO'!S32</f>
        <v/>
      </c>
      <c r="N20" s="132">
        <f>MAX(0,M20-M19)</f>
        <v/>
      </c>
      <c r="O20" s="131">
        <f>IF(B20&lt;='VALOR POR PL'!$P$5,'CP RESUMO'!S74,"")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RESUMO'!T32</f>
        <v/>
      </c>
      <c r="N21" s="132">
        <f>MAX(0,M21-M20)</f>
        <v/>
      </c>
      <c r="O21" s="131">
        <f>IF(B21&lt;='VALOR POR PL'!$P$5,'CP RESUMO'!T74,"")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RESUMO'!U32</f>
        <v/>
      </c>
      <c r="N22" s="132">
        <f>MAX(0,M22-M21)</f>
        <v/>
      </c>
      <c r="O22" s="131">
        <f>IF(B22&lt;='VALOR POR PL'!$P$5,'CP RESUMO'!U74,"")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RESUMO'!V32</f>
        <v/>
      </c>
      <c r="N23" s="132">
        <f>MAX(0,M23-M22)</f>
        <v/>
      </c>
      <c r="O23" s="131">
        <f>IF(B23&lt;='VALOR POR PL'!$P$5,'CP RESUMO'!V74,"")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No original, REV. PISOS e REV. PAREDE liam a mesma linha do ERP (R$ 380.967 contado duas vezes). Corrigido: o ERP tem esse valor só em PAREDES.</t>
        </is>
      </c>
      <c r="L24" s="49">
        <f>C24/IF(B24&lt;='VALOR POR PL'!$P$5,IFERROR(INDEX('"INCC-FGV"'!$B$2:$B$800,MATCH(B24,'"INCC-FGV"'!$A$2:$A$800,0)),$K$2),$K$2)</f>
        <v/>
      </c>
      <c r="M24" s="131">
        <f>'CP RESUMO'!W32</f>
        <v/>
      </c>
      <c r="N24" s="132">
        <f>MAX(0,M24-M23)</f>
        <v/>
      </c>
      <c r="O24" s="131">
        <f>IF(B24&lt;='VALOR POR PL'!$P$5,'CP RESUMO'!W74,"")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RESUMO'!X32</f>
        <v/>
      </c>
      <c r="N25" s="132">
        <f>MAX(0,M25-M24)</f>
        <v/>
      </c>
      <c r="O25" s="131">
        <f>IF(B25&lt;='VALOR POR PL'!$P$5,'CP RESUMO'!X74,"")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RESUMO'!Y32</f>
        <v/>
      </c>
      <c r="N26" s="132">
        <f>MAX(0,M26-M25)</f>
        <v/>
      </c>
      <c r="O26" s="131">
        <f>IF(B26&lt;='VALOR POR PL'!$P$5,'CP RESUMO'!Y74,"")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3226.59</v>
      </c>
      <c r="L27" s="49">
        <f>C27/IF(B27&lt;='VALOR POR PL'!$P$5,IFERROR(INDEX('"INCC-FGV"'!$B$2:$B$800,MATCH(B27,'"INCC-FGV"'!$A$2:$A$800,0)),$K$2),$K$2)</f>
        <v/>
      </c>
      <c r="M27" s="131">
        <f>'CP RESUMO'!Z32</f>
        <v/>
      </c>
      <c r="N27" s="132">
        <f>MAX(0,M27-M26)</f>
        <v/>
      </c>
      <c r="O27" s="131">
        <f>IF(B27&lt;='VALOR POR PL'!$P$5,'CP RESUMO'!Z74,"")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28746.02</v>
      </c>
      <c r="L28" s="49">
        <f>C28/IF(B28&lt;='VALOR POR PL'!$P$5,IFERROR(INDEX('"INCC-FGV"'!$B$2:$B$800,MATCH(B28,'"INCC-FGV"'!$A$2:$A$800,0)),$K$2),$K$2)</f>
        <v/>
      </c>
      <c r="M28" s="131">
        <f>'CP RESUMO'!AA32</f>
        <v/>
      </c>
      <c r="N28" s="132">
        <f>MAX(0,M28-M27)</f>
        <v/>
      </c>
      <c r="O28" s="131">
        <f>IF(B28&lt;='VALOR POR PL'!$P$5,'CP RESUMO'!AA74,"")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80469.3</v>
      </c>
      <c r="L29" s="49">
        <f>C29/IF(B29&lt;='VALOR POR PL'!$P$5,IFERROR(INDEX('"INCC-FGV"'!$B$2:$B$800,MATCH(B29,'"INCC-FGV"'!$A$2:$A$800,0)),$K$2),$K$2)</f>
        <v/>
      </c>
      <c r="M29" s="131">
        <f>'CP RESUMO'!AB32</f>
        <v/>
      </c>
      <c r="N29" s="132">
        <f>MAX(0,M29-M28)</f>
        <v/>
      </c>
      <c r="O29" s="131">
        <f>IF(B29&lt;='VALOR POR PL'!$P$5,'CP RESUMO'!AB74,"")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63749.67</v>
      </c>
      <c r="L30" s="49">
        <f>C30/IF(B30&lt;='VALOR POR PL'!$P$5,IFERROR(INDEX('"INCC-FGV"'!$B$2:$B$800,MATCH(B30,'"INCC-FGV"'!$A$2:$A$800,0)),$K$2),$K$2)</f>
        <v/>
      </c>
      <c r="M30" s="131">
        <f>'CP RESUMO'!AC32</f>
        <v/>
      </c>
      <c r="N30" s="132">
        <f>MAX(0,M30-M29)</f>
        <v/>
      </c>
      <c r="O30" s="131">
        <f>IF(B30&lt;='VALOR POR PL'!$P$5,'CP RESUMO'!AC74,"")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28257.14</v>
      </c>
      <c r="L31" s="49">
        <f>C31/IF(B31&lt;='VALOR POR PL'!$P$5,IFERROR(INDEX('"INCC-FGV"'!$B$2:$B$800,MATCH(B31,'"INCC-FGV"'!$A$2:$A$800,0)),$K$2),$K$2)</f>
        <v/>
      </c>
      <c r="M31" s="131">
        <f>'CP RESUMO'!AD32</f>
        <v/>
      </c>
      <c r="N31" s="132">
        <f>MAX(0,M31-M30)</f>
        <v/>
      </c>
      <c r="O31" s="131">
        <f>IF(B31&lt;='VALOR POR PL'!$P$5,'CP RESUMO'!AD74,"")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31483.73</v>
      </c>
      <c r="L32" s="49">
        <f>C32/IF(B32&lt;='VALOR POR PL'!$P$5,IFERROR(INDEX('"INCC-FGV"'!$B$2:$B$800,MATCH(B32,'"INCC-FGV"'!$A$2:$A$800,0)),$K$2),$K$2)</f>
        <v/>
      </c>
      <c r="M32" s="131">
        <f>'CP RESUMO'!AE32</f>
        <v/>
      </c>
      <c r="N32" s="132">
        <f>MAX(0,M32-M31)</f>
        <v/>
      </c>
      <c r="O32" s="131">
        <f>IF(B32&lt;='VALOR POR PL'!$P$5,'CP RESUMO'!AE74,"")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74113.88</v>
      </c>
      <c r="L33" s="49">
        <f>C33/IF(B33&lt;='VALOR POR PL'!$P$5,IFERROR(INDEX('"INCC-FGV"'!$B$2:$B$800,MATCH(B33,'"INCC-FGV"'!$A$2:$A$800,0)),$K$2),$K$2)</f>
        <v/>
      </c>
      <c r="M33" s="131">
        <f>'CP RESUMO'!AF32</f>
        <v/>
      </c>
      <c r="N33" s="132">
        <f>MAX(0,M33-M32)</f>
        <v/>
      </c>
      <c r="O33" s="131">
        <f>IF(B33&lt;='VALOR POR PL'!$P$5,'CP RESUMO'!AF74,"")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108335.33</v>
      </c>
      <c r="L34" s="49">
        <f>C34/IF(B34&lt;='VALOR POR PL'!$P$5,IFERROR(INDEX('"INCC-FGV"'!$B$2:$B$800,MATCH(B34,'"INCC-FGV"'!$A$2:$A$800,0)),$K$2),$K$2)</f>
        <v/>
      </c>
      <c r="M34" s="131">
        <f>'CP RESUMO'!AG32</f>
        <v/>
      </c>
      <c r="N34" s="132">
        <f>MAX(0,M34-M33)</f>
        <v/>
      </c>
      <c r="O34" s="131">
        <f>IF(B34&lt;='VALOR POR PL'!$P$5,'CP RESUMO'!AG74,"")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99828.86</v>
      </c>
      <c r="L35" s="49">
        <f>C35/IF(B35&lt;='VALOR POR PL'!$P$5,IFERROR(INDEX('"INCC-FGV"'!$B$2:$B$800,MATCH(B35,'"INCC-FGV"'!$A$2:$A$800,0)),$K$2),$K$2)</f>
        <v/>
      </c>
      <c r="M35" s="131">
        <f>'CP RESUMO'!AH32</f>
        <v/>
      </c>
      <c r="N35" s="132">
        <f>MAX(0,M35-M34)</f>
        <v/>
      </c>
      <c r="O35" s="131">
        <f>IF(B35&lt;='VALOR POR PL'!$P$5,'CP RESUMO'!AH74,"")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99828.86</v>
      </c>
      <c r="L36" s="49">
        <f>C36/IF(B36&lt;='VALOR POR PL'!$P$5,IFERROR(INDEX('"INCC-FGV"'!$B$2:$B$800,MATCH(B36,'"INCC-FGV"'!$A$2:$A$800,0)),$K$2),$K$2)</f>
        <v/>
      </c>
      <c r="M36" s="131">
        <f>'CP RESUMO'!AI32</f>
        <v/>
      </c>
      <c r="N36" s="132">
        <f>MAX(0,M36-M35)</f>
        <v/>
      </c>
      <c r="O36" s="131">
        <f>IF(B36&lt;='VALOR POR PL'!$P$5,'CP RESUMO'!AI74,"")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43216.8</v>
      </c>
      <c r="L37" s="49">
        <f>C37/IF(B37&lt;='VALOR POR PL'!$P$5,IFERROR(INDEX('"INCC-FGV"'!$B$2:$B$800,MATCH(B37,'"INCC-FGV"'!$A$2:$A$800,0)),$K$2),$K$2)</f>
        <v/>
      </c>
      <c r="M37" s="131">
        <f>'CP RESUMO'!AJ32</f>
        <v/>
      </c>
      <c r="N37" s="132">
        <f>MAX(0,M37-M36)</f>
        <v/>
      </c>
      <c r="O37" s="131">
        <f>IF(B37&lt;='VALOR POR PL'!$P$5,'CP RESUMO'!AJ74,"")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96504.49000000001</v>
      </c>
      <c r="L38" s="49">
        <f>C38/IF(B38&lt;='VALOR POR PL'!$P$5,IFERROR(INDEX('"INCC-FGV"'!$B$2:$B$800,MATCH(B38,'"INCC-FGV"'!$A$2:$A$800,0)),$K$2),$K$2)</f>
        <v/>
      </c>
      <c r="M38" s="131">
        <f>'CP RESUMO'!AK32</f>
        <v/>
      </c>
      <c r="N38" s="132">
        <f>MAX(0,M38-M37)</f>
        <v/>
      </c>
      <c r="O38" s="131">
        <f>IF(B38&lt;='VALOR POR PL'!$P$5,'CP RESUMO'!AK74,"")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79198.21000000001</v>
      </c>
      <c r="L39" s="49">
        <f>C39/IF(B39&lt;='VALOR POR PL'!$P$5,IFERROR(INDEX('"INCC-FGV"'!$B$2:$B$800,MATCH(B39,'"INCC-FGV"'!$A$2:$A$800,0)),$K$2),$K$2)</f>
        <v/>
      </c>
      <c r="M39" s="131">
        <f>'CP RESUMO'!AL32</f>
        <v/>
      </c>
      <c r="N39" s="132">
        <f>MAX(0,M39-M38)</f>
        <v/>
      </c>
      <c r="O39" s="131">
        <f>IF(B39&lt;='VALOR POR PL'!$P$5,'CP RESUMO'!AL74,"")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40870.19</v>
      </c>
      <c r="L40" s="49">
        <f>C40/IF(B40&lt;='VALOR POR PL'!$P$5,IFERROR(INDEX('"INCC-FGV"'!$B$2:$B$800,MATCH(B40,'"INCC-FGV"'!$A$2:$A$800,0)),$K$2),$K$2)</f>
        <v/>
      </c>
      <c r="M40" s="131">
        <f>'CP RESUMO'!AM32</f>
        <v/>
      </c>
      <c r="N40" s="132">
        <f>MAX(0,M40-M39)</f>
        <v/>
      </c>
      <c r="O40" s="131">
        <f>IF(B40&lt;='VALOR POR PL'!$P$5,'CP RESUMO'!AM74,"")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65509.63</v>
      </c>
      <c r="L41" s="49">
        <f>C41/IF(B41&lt;='VALOR POR PL'!$P$5,IFERROR(INDEX('"INCC-FGV"'!$B$2:$B$800,MATCH(B41,'"INCC-FGV"'!$A$2:$A$800,0)),$K$2),$K$2)</f>
        <v/>
      </c>
      <c r="M41" s="131">
        <f>'CP RESUMO'!AN32</f>
        <v/>
      </c>
      <c r="N41" s="132">
        <f>MAX(0,M41-M40)</f>
        <v/>
      </c>
      <c r="O41" s="131">
        <f>IF(B41&lt;='VALOR POR PL'!$P$5,'CP RESUMO'!AN74,"")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RESUMO'!AO32</f>
        <v/>
      </c>
      <c r="N42" s="132">
        <f>MAX(0,M42-M41)</f>
        <v/>
      </c>
      <c r="O42" s="131">
        <f>IF(B42&lt;='VALOR POR PL'!$P$5,'CP RESUMO'!AO74,"")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586.65</v>
      </c>
      <c r="L43" s="49">
        <f>C43/IF(B43&lt;='VALOR POR PL'!$P$5,IFERROR(INDEX('"INCC-FGV"'!$B$2:$B$800,MATCH(B43,'"INCC-FGV"'!$A$2:$A$800,0)),$K$2),$K$2)</f>
        <v/>
      </c>
      <c r="M43" s="131">
        <f>'CP RESUMO'!AP32</f>
        <v/>
      </c>
      <c r="N43" s="132">
        <f>MAX(0,M43-M42)</f>
        <v/>
      </c>
      <c r="O43" s="131">
        <f>IF(B43&lt;='VALOR POR PL'!$P$5,'CP RESUMO'!AP74,"")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RESUMO'!AQ32</f>
        <v/>
      </c>
      <c r="N44" s="132">
        <f>MAX(0,M44-M43)</f>
        <v/>
      </c>
      <c r="O44" s="131">
        <f>IF(B44&lt;='VALOR POR PL'!$P$5,'CP RESUMO'!AQ74,"")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RESUMO'!AR32</f>
        <v/>
      </c>
      <c r="N45" s="132">
        <f>MAX(0,M45-M44)</f>
        <v/>
      </c>
      <c r="O45" s="131">
        <f>IF(B45&lt;='VALOR POR PL'!$P$5,'CP RESUMO'!AR74,"")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RESUMO'!AS32</f>
        <v/>
      </c>
      <c r="N46" s="132">
        <f>MAX(0,M46-M45)</f>
        <v/>
      </c>
      <c r="O46" s="131">
        <f>IF(B46&lt;='VALOR POR PL'!$P$5,'CP RESUMO'!AS74,"")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RESUMO'!AT32</f>
        <v/>
      </c>
      <c r="N47" s="132">
        <f>MAX(0,M47-M46)</f>
        <v/>
      </c>
      <c r="O47" s="131">
        <f>IF(B47&lt;='VALOR POR PL'!$P$5,'CP RESUMO'!AT74,"")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RESUMO'!AU32</f>
        <v/>
      </c>
      <c r="N48" s="132">
        <f>MAX(0,M48-M47)</f>
        <v/>
      </c>
      <c r="O48" s="131">
        <f>IF(B48&lt;='VALOR POR PL'!$P$5,'CP RESUMO'!AU74,"")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RESUMO'!AV32</f>
        <v/>
      </c>
      <c r="N49" s="132">
        <f>MAX(0,M49-M48)</f>
        <v/>
      </c>
      <c r="O49" s="131">
        <f>IF(B49&lt;='VALOR POR PL'!$P$5,'CP RESUMO'!AV74,"")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RESUMO'!AW32</f>
        <v/>
      </c>
      <c r="N50" s="132">
        <f>MAX(0,M50-M49)</f>
        <v/>
      </c>
      <c r="O50" s="131">
        <f>IF(B50&lt;='VALOR POR PL'!$P$5,'CP RESUMO'!AW74,"")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RESUMO'!AX32</f>
        <v/>
      </c>
      <c r="N51" s="132">
        <f>MAX(0,M51-M50)</f>
        <v/>
      </c>
      <c r="O51" s="131">
        <f>IF(B51&lt;='VALOR POR PL'!$P$5,'CP RESUMO'!AX74,"")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RESUMO'!AY32</f>
        <v/>
      </c>
      <c r="N52" s="132">
        <f>MAX(0,M52-M51)</f>
        <v/>
      </c>
      <c r="O52" s="131">
        <f>IF(B52&lt;='VALOR POR PL'!$P$5,'CP RESUMO'!AY74,"")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RESUMO'!AZ32</f>
        <v/>
      </c>
      <c r="N53" s="132">
        <f>MAX(0,M53-M52)</f>
        <v/>
      </c>
      <c r="O53" s="131">
        <f>IF(B53&lt;='VALOR POR PL'!$P$5,'CP RESUMO'!AZ74,"")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RESUMO'!BA32</f>
        <v/>
      </c>
      <c r="N54" s="132">
        <f>MAX(0,M54-M53)</f>
        <v/>
      </c>
      <c r="O54" s="131">
        <f>IF(B54&lt;='VALOR POR PL'!$P$5,'CP RESUMO'!BA74,"")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RESUMO'!BB32</f>
        <v/>
      </c>
      <c r="N55" s="132">
        <f>MAX(0,M55-M54)</f>
        <v/>
      </c>
      <c r="O55" s="131">
        <f>IF(B55&lt;='VALOR POR PL'!$P$5,'CP RESUMO'!BB74,"")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RESUMO'!BC32</f>
        <v/>
      </c>
      <c r="N56" s="132">
        <f>MAX(0,M56-M55)</f>
        <v/>
      </c>
      <c r="O56" s="131">
        <f>IF(B56&lt;='VALOR POR PL'!$P$5,'CP RESUMO'!BC74,"")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RESUMO'!BD32</f>
        <v/>
      </c>
      <c r="N57" s="132">
        <f>MAX(0,M57-M56)</f>
        <v/>
      </c>
      <c r="O57" s="131">
        <f>IF(B57&lt;='VALOR POR PL'!$P$5,'CP RESUMO'!BD74,"")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RESUMO'!BE32</f>
        <v/>
      </c>
      <c r="N58" s="132">
        <f>MAX(0,M58-M57)</f>
        <v/>
      </c>
      <c r="O58" s="131">
        <f>IF(B58&lt;='VALOR POR PL'!$P$5,'CP RESUMO'!BE74,"")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RESUMO'!BF32</f>
        <v/>
      </c>
      <c r="N59" s="132">
        <f>MAX(0,M59-M58)</f>
        <v/>
      </c>
      <c r="O59" s="131">
        <f>IF(B59&lt;='VALOR POR PL'!$P$5,'CP RESUMO'!BF74,"")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RESUMO'!BG32</f>
        <v/>
      </c>
      <c r="N60" s="132">
        <f>MAX(0,M60-M59)</f>
        <v/>
      </c>
      <c r="O60" s="131">
        <f>IF(B60&lt;='VALOR POR PL'!$P$5,'CP RESUMO'!BG74,"")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RESUMO'!BH32</f>
        <v/>
      </c>
      <c r="N61" s="132">
        <f>MAX(0,M61-M60)</f>
        <v/>
      </c>
      <c r="O61" s="131">
        <f>IF(B61&lt;='VALOR POR PL'!$P$5,'CP RESUMO'!BH74,"")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RESUMO'!BI32</f>
        <v/>
      </c>
      <c r="N62" s="132">
        <f>MAX(0,M62-M61)</f>
        <v/>
      </c>
      <c r="O62" s="131">
        <f>IF(B62&lt;='VALOR POR PL'!$P$5,'CP RESUMO'!BI74,"")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RESUMO'!BJ32</f>
        <v/>
      </c>
      <c r="N63" s="132">
        <f>MAX(0,M63-M62)</f>
        <v/>
      </c>
      <c r="O63" s="131">
        <f>IF(B63&lt;='VALOR POR PL'!$P$5,'CP RESUMO'!BJ74,"")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RESUMO'!BK32</f>
        <v/>
      </c>
      <c r="N64" s="132">
        <f>MAX(0,M64-M63)</f>
        <v/>
      </c>
      <c r="O64" s="131">
        <f>IF(B64&lt;='VALOR POR PL'!$P$5,'CP RESUMO'!BK74,"")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RESUMO'!BL32</f>
        <v/>
      </c>
      <c r="N65" s="132">
        <f>MAX(0,M65-M64)</f>
        <v/>
      </c>
      <c r="O65" s="131">
        <f>IF(B65&lt;='VALOR POR PL'!$P$5,'CP RESUMO'!BL74,"")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RESUMO'!BM32</f>
        <v/>
      </c>
      <c r="N66" s="132">
        <f>MAX(0,M66-M65)</f>
        <v/>
      </c>
      <c r="O66" s="131">
        <f>IF(B66&lt;='VALOR POR PL'!$P$5,'CP RESUMO'!BM74,"")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RESUMO'!BN32</f>
        <v/>
      </c>
      <c r="N67" s="132">
        <f>MAX(0,M67-M66)</f>
        <v/>
      </c>
      <c r="O67" s="131">
        <f>IF(B67&lt;='VALOR POR PL'!$P$5,'CP RESUMO'!BN74,"")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RESUMO'!BO32</f>
        <v/>
      </c>
      <c r="N68" s="132">
        <f>MAX(0,M68-M67)</f>
        <v/>
      </c>
      <c r="O68" s="131">
        <f>IF(B68&lt;='VALOR POR PL'!$P$5,'CP RESUMO'!BO74,"")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RESUMO'!BP32</f>
        <v/>
      </c>
      <c r="N69" s="132">
        <f>MAX(0,M69-M68)</f>
        <v/>
      </c>
      <c r="O69" s="131">
        <f>IF(B69&lt;='VALOR POR PL'!$P$5,'CP RESUMO'!BP74,"")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RESUMO'!BQ32</f>
        <v/>
      </c>
      <c r="N70" s="132">
        <f>MAX(0,M70-M69)</f>
        <v/>
      </c>
      <c r="O70" s="131">
        <f>IF(B70&lt;='VALOR POR PL'!$P$5,'CP RESUMO'!BQ74,"")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RESUMO'!BR32</f>
        <v/>
      </c>
      <c r="N71" s="132">
        <f>MAX(0,M71-M70)</f>
        <v/>
      </c>
      <c r="O71" s="131">
        <f>IF(B71&lt;='VALOR POR PL'!$P$5,'CP RESUMO'!BR74,"")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RESUMO'!BS32</f>
        <v/>
      </c>
      <c r="N72" s="132">
        <f>MAX(0,M72-M71)</f>
        <v/>
      </c>
      <c r="O72" s="131">
        <f>IF(B72&lt;='VALOR POR PL'!$P$5,'CP RESUMO'!BS74,"")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RESUMO'!BT32</f>
        <v/>
      </c>
      <c r="N73" s="132">
        <f>MAX(0,M73-M72)</f>
        <v/>
      </c>
      <c r="O73" s="131">
        <f>IF(B73&lt;='VALOR POR PL'!$P$5,'CP RESUMO'!BT74,"")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RESUMO'!BU32</f>
        <v/>
      </c>
      <c r="N74" s="132">
        <f>MAX(0,M74-M73)</f>
        <v/>
      </c>
      <c r="O74" s="131">
        <f>IF(B74&lt;='VALOR POR PL'!$P$5,'CP RESUMO'!BU74,"")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RESUMO'!BV32</f>
        <v/>
      </c>
      <c r="N75" s="132">
        <f>MAX(0,M75-M74)</f>
        <v/>
      </c>
      <c r="O75" s="131">
        <f>IF(B75&lt;='VALOR POR PL'!$P$5,'CP RESUMO'!BV74,"")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RESUMO'!BW32</f>
        <v/>
      </c>
      <c r="N76" s="132">
        <f>MAX(0,M76-M75)</f>
        <v/>
      </c>
      <c r="O76" s="131">
        <f>IF(B76&lt;='VALOR POR PL'!$P$5,'CP RESUMO'!BW74,"")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HISTORICOS'!D33)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PL'!F39</f>
        <v/>
      </c>
      <c r="K5" s="60">
        <f>'VALOR POR PL'!G39</f>
        <v/>
      </c>
      <c r="L5" s="60">
        <f>'DADOS HISTORICOS'!$BZ$33</f>
        <v/>
      </c>
      <c r="M5" s="131">
        <f>'CP RESUMO'!D33</f>
        <v/>
      </c>
      <c r="N5" s="132" t="n">
        <v>0</v>
      </c>
      <c r="O5" s="131">
        <f>IF(B5&lt;='VALOR POR PL'!$P$5,'CP RESUMO'!D75,"")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HISTORICOS'!E33)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PL'!H39</f>
        <v/>
      </c>
      <c r="L6" s="49">
        <f>C6/IF(B6&lt;='VALOR POR PL'!$P$5,IFERROR(INDEX('"INCC-FGV"'!$B$2:$B$800,MATCH(B6,'"INCC-FGV"'!$A$2:$A$800,0)),$K$2),$K$2)</f>
        <v/>
      </c>
      <c r="M6" s="131">
        <f>'CP RESUMO'!E33</f>
        <v/>
      </c>
      <c r="N6" s="132">
        <f>MAX(0,M6-M5)</f>
        <v/>
      </c>
      <c r="O6" s="131">
        <f>IF(B6&lt;='VALOR POR PL'!$P$5,'CP RESUMO'!E75,"")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HISTORICOS'!F33)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RESUMO'!F33</f>
        <v/>
      </c>
      <c r="N7" s="132">
        <f>MAX(0,M7-M6)</f>
        <v/>
      </c>
      <c r="O7" s="131">
        <f>IF(B7&lt;='VALOR POR PL'!$P$5,'CP RESUMO'!F75,"")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HISTORICOS'!G33)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RESUMO'!G33</f>
        <v/>
      </c>
      <c r="N8" s="132">
        <f>MAX(0,M8-M7)</f>
        <v/>
      </c>
      <c r="O8" s="131">
        <f>IF(B8&lt;='VALOR POR PL'!$P$5,'CP RESUMO'!G75,"")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HISTORICOS'!H33)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RESUMO'!H33</f>
        <v/>
      </c>
      <c r="N9" s="132">
        <f>MAX(0,M9-M8)</f>
        <v/>
      </c>
      <c r="O9" s="131">
        <f>IF(B9&lt;='VALOR POR PL'!$P$5,'CP RESUMO'!H75,"")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RESUMO'!I33</f>
        <v/>
      </c>
      <c r="N10" s="132">
        <f>MAX(0,M10-M9)</f>
        <v/>
      </c>
      <c r="O10" s="131">
        <f>IF(B10&lt;='VALOR POR PL'!$P$5,'CP RESUMO'!I75,"")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RESUMO'!J33</f>
        <v/>
      </c>
      <c r="N11" s="132">
        <f>MAX(0,M11-M10)</f>
        <v/>
      </c>
      <c r="O11" s="131">
        <f>IF(B11&lt;='VALOR POR PL'!$P$5,'CP RESUMO'!J75,"")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RESUMO'!K33</f>
        <v/>
      </c>
      <c r="N12" s="132">
        <f>MAX(0,M12-M11)</f>
        <v/>
      </c>
      <c r="O12" s="131">
        <f>IF(B12&lt;='VALOR POR PL'!$P$5,'CP RESUMO'!K75,"")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PL'!I39</f>
        <v/>
      </c>
      <c r="L13" s="49">
        <f>C13/IF(B13&lt;='VALOR POR PL'!$P$5,IFERROR(INDEX('"INCC-FGV"'!$B$2:$B$800,MATCH(B13,'"INCC-FGV"'!$A$2:$A$800,0)),$K$2),$K$2)</f>
        <v/>
      </c>
      <c r="M13" s="131">
        <f>'CP RESUMO'!L33</f>
        <v/>
      </c>
      <c r="N13" s="132">
        <f>MAX(0,M13-M12)</f>
        <v/>
      </c>
      <c r="O13" s="131">
        <f>IF(B13&lt;='VALOR POR PL'!$P$5,'CP RESUMO'!L75,"")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RESUMO'!$D$75:$BW$75,MATCH('VALOR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RESUMO'!M33</f>
        <v/>
      </c>
      <c r="N14" s="132">
        <f>MAX(0,M14-M13)</f>
        <v/>
      </c>
      <c r="O14" s="131">
        <f>IF(B14&lt;='VALOR POR PL'!$P$5,'CP RESUMO'!M75,"")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RESUMO'!N33</f>
        <v/>
      </c>
      <c r="N15" s="132">
        <f>MAX(0,M15-M14)</f>
        <v/>
      </c>
      <c r="O15" s="131">
        <f>IF(B15&lt;='VALOR POR PL'!$P$5,'CP RESUMO'!N75,"")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RESUMO'!O33</f>
        <v/>
      </c>
      <c r="N16" s="132">
        <f>MAX(0,M16-M15)</f>
        <v/>
      </c>
      <c r="O16" s="131">
        <f>IF(B16&lt;='VALOR POR PL'!$P$5,'CP RESUMO'!O75,"")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RESUMO'!P33</f>
        <v/>
      </c>
      <c r="N17" s="132">
        <f>MAX(0,M17-M16)</f>
        <v/>
      </c>
      <c r="O17" s="131">
        <f>IF(B17&lt;='VALOR POR PL'!$P$5,'CP RESUMO'!P75,"")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RESUMO'!Q33</f>
        <v/>
      </c>
      <c r="N18" s="132">
        <f>MAX(0,M18-M17)</f>
        <v/>
      </c>
      <c r="O18" s="131">
        <f>IF(B18&lt;='VALOR POR PL'!$P$5,'CP RESUMO'!Q75,"")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RESUMO'!R33</f>
        <v/>
      </c>
      <c r="N19" s="132">
        <f>MAX(0,M19-M18)</f>
        <v/>
      </c>
      <c r="O19" s="131">
        <f>IF(B19&lt;='VALOR POR PL'!$P$5,'CP RESUMO'!R75,"")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RESUMO'!S33</f>
        <v/>
      </c>
      <c r="N20" s="132">
        <f>MAX(0,M20-M19)</f>
        <v/>
      </c>
      <c r="O20" s="131">
        <f>IF(B20&lt;='VALOR POR PL'!$P$5,'CP RESUMO'!S75,"")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RESUMO'!T33</f>
        <v/>
      </c>
      <c r="N21" s="132">
        <f>MAX(0,M21-M20)</f>
        <v/>
      </c>
      <c r="O21" s="131">
        <f>IF(B21&lt;='VALOR POR PL'!$P$5,'CP RESUMO'!T75,"")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RESUMO'!U33</f>
        <v/>
      </c>
      <c r="N22" s="132">
        <f>MAX(0,M22-M21)</f>
        <v/>
      </c>
      <c r="O22" s="131">
        <f>IF(B22&lt;='VALOR POR PL'!$P$5,'CP RESUMO'!U75,"")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RESUMO'!V33</f>
        <v/>
      </c>
      <c r="N23" s="132">
        <f>MAX(0,M23-M22)</f>
        <v/>
      </c>
      <c r="O23" s="131">
        <f>IF(B23&lt;='VALOR POR PL'!$P$5,'CP RESUMO'!V75,"")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RESUMO'!W33</f>
        <v/>
      </c>
      <c r="N24" s="132">
        <f>MAX(0,M24-M23)</f>
        <v/>
      </c>
      <c r="O24" s="131">
        <f>IF(B24&lt;='VALOR POR PL'!$P$5,'CP RESUMO'!W75,"")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RESUMO'!X33</f>
        <v/>
      </c>
      <c r="N25" s="132">
        <f>MAX(0,M25-M24)</f>
        <v/>
      </c>
      <c r="O25" s="131">
        <f>IF(B25&lt;='VALOR POR PL'!$P$5,'CP RESUMO'!X75,"")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188.02</v>
      </c>
      <c r="L26" s="49">
        <f>C26/IF(B26&lt;='VALOR POR PL'!$P$5,IFERROR(INDEX('"INCC-FGV"'!$B$2:$B$800,MATCH(B26,'"INCC-FGV"'!$A$2:$A$800,0)),$K$2),$K$2)</f>
        <v/>
      </c>
      <c r="M26" s="131">
        <f>'CP RESUMO'!Y33</f>
        <v/>
      </c>
      <c r="N26" s="132">
        <f>MAX(0,M26-M25)</f>
        <v/>
      </c>
      <c r="O26" s="131">
        <f>IF(B26&lt;='VALOR POR PL'!$P$5,'CP RESUMO'!Y75,"")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234754.56</v>
      </c>
      <c r="L27" s="49">
        <f>C27/IF(B27&lt;='VALOR POR PL'!$P$5,IFERROR(INDEX('"INCC-FGV"'!$B$2:$B$800,MATCH(B27,'"INCC-FGV"'!$A$2:$A$800,0)),$K$2),$K$2)</f>
        <v/>
      </c>
      <c r="M27" s="131">
        <f>'CP RESUMO'!Z33</f>
        <v/>
      </c>
      <c r="N27" s="132">
        <f>MAX(0,M27-M26)</f>
        <v/>
      </c>
      <c r="O27" s="131">
        <f>IF(B27&lt;='VALOR POR PL'!$P$5,'CP RESUMO'!Z75,"")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114348.19</v>
      </c>
      <c r="L28" s="49">
        <f>C28/IF(B28&lt;='VALOR POR PL'!$P$5,IFERROR(INDEX('"INCC-FGV"'!$B$2:$B$800,MATCH(B28,'"INCC-FGV"'!$A$2:$A$800,0)),$K$2),$K$2)</f>
        <v/>
      </c>
      <c r="M28" s="131">
        <f>'CP RESUMO'!AA33</f>
        <v/>
      </c>
      <c r="N28" s="132">
        <f>MAX(0,M28-M27)</f>
        <v/>
      </c>
      <c r="O28" s="131">
        <f>IF(B28&lt;='VALOR POR PL'!$P$5,'CP RESUMO'!AA75,"")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17669.7</v>
      </c>
      <c r="L29" s="49">
        <f>C29/IF(B29&lt;='VALOR POR PL'!$P$5,IFERROR(INDEX('"INCC-FGV"'!$B$2:$B$800,MATCH(B29,'"INCC-FGV"'!$A$2:$A$800,0)),$K$2),$K$2)</f>
        <v/>
      </c>
      <c r="M29" s="131">
        <f>'CP RESUMO'!AB33</f>
        <v/>
      </c>
      <c r="N29" s="132">
        <f>MAX(0,M29-M28)</f>
        <v/>
      </c>
      <c r="O29" s="131">
        <f>IF(B29&lt;='VALOR POR PL'!$P$5,'CP RESUMO'!AB75,"")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79261.22</v>
      </c>
      <c r="L30" s="49">
        <f>C30/IF(B30&lt;='VALOR POR PL'!$P$5,IFERROR(INDEX('"INCC-FGV"'!$B$2:$B$800,MATCH(B30,'"INCC-FGV"'!$A$2:$A$800,0)),$K$2),$K$2)</f>
        <v/>
      </c>
      <c r="M30" s="131">
        <f>'CP RESUMO'!AC33</f>
        <v/>
      </c>
      <c r="N30" s="132">
        <f>MAX(0,M30-M29)</f>
        <v/>
      </c>
      <c r="O30" s="131">
        <f>IF(B30&lt;='VALOR POR PL'!$P$5,'CP RESUMO'!AC75,"")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158522.43</v>
      </c>
      <c r="L31" s="49">
        <f>C31/IF(B31&lt;='VALOR POR PL'!$P$5,IFERROR(INDEX('"INCC-FGV"'!$B$2:$B$800,MATCH(B31,'"INCC-FGV"'!$A$2:$A$800,0)),$K$2),$K$2)</f>
        <v/>
      </c>
      <c r="M31" s="131">
        <f>'CP RESUMO'!AD33</f>
        <v/>
      </c>
      <c r="N31" s="132">
        <f>MAX(0,M31-M30)</f>
        <v/>
      </c>
      <c r="O31" s="131">
        <f>IF(B31&lt;='VALOR POR PL'!$P$5,'CP RESUMO'!AD75,"")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167357.28</v>
      </c>
      <c r="L32" s="49">
        <f>C32/IF(B32&lt;='VALOR POR PL'!$P$5,IFERROR(INDEX('"INCC-FGV"'!$B$2:$B$800,MATCH(B32,'"INCC-FGV"'!$A$2:$A$800,0)),$K$2),$K$2)</f>
        <v/>
      </c>
      <c r="M32" s="131">
        <f>'CP RESUMO'!AE33</f>
        <v/>
      </c>
      <c r="N32" s="132">
        <f>MAX(0,M32-M31)</f>
        <v/>
      </c>
      <c r="O32" s="131">
        <f>IF(B32&lt;='VALOR POR PL'!$P$5,'CP RESUMO'!AE75,"")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202444.25</v>
      </c>
      <c r="L33" s="49">
        <f>C33/IF(B33&lt;='VALOR POR PL'!$P$5,IFERROR(INDEX('"INCC-FGV"'!$B$2:$B$800,MATCH(B33,'"INCC-FGV"'!$A$2:$A$800,0)),$K$2),$K$2)</f>
        <v/>
      </c>
      <c r="M33" s="131">
        <f>'CP RESUMO'!AF33</f>
        <v/>
      </c>
      <c r="N33" s="132">
        <f>MAX(0,M33-M32)</f>
        <v/>
      </c>
      <c r="O33" s="131">
        <f>IF(B33&lt;='VALOR POR PL'!$P$5,'CP RESUMO'!AF75,"")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185026.98</v>
      </c>
      <c r="L34" s="49">
        <f>C34/IF(B34&lt;='VALOR POR PL'!$P$5,IFERROR(INDEX('"INCC-FGV"'!$B$2:$B$800,MATCH(B34,'"INCC-FGV"'!$A$2:$A$800,0)),$K$2),$K$2)</f>
        <v/>
      </c>
      <c r="M34" s="131">
        <f>'CP RESUMO'!AG33</f>
        <v/>
      </c>
      <c r="N34" s="132">
        <f>MAX(0,M34-M33)</f>
        <v/>
      </c>
      <c r="O34" s="131">
        <f>IF(B34&lt;='VALOR POR PL'!$P$5,'CP RESUMO'!AG75,"")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123183.04</v>
      </c>
      <c r="L35" s="49">
        <f>C35/IF(B35&lt;='VALOR POR PL'!$P$5,IFERROR(INDEX('"INCC-FGV"'!$B$2:$B$800,MATCH(B35,'"INCC-FGV"'!$A$2:$A$800,0)),$K$2),$K$2)</f>
        <v/>
      </c>
      <c r="M35" s="131">
        <f>'CP RESUMO'!AH33</f>
        <v/>
      </c>
      <c r="N35" s="132">
        <f>MAX(0,M35-M34)</f>
        <v/>
      </c>
      <c r="O35" s="131">
        <f>IF(B35&lt;='VALOR POR PL'!$P$5,'CP RESUMO'!AH75,"")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273123.05</v>
      </c>
      <c r="L36" s="49">
        <f>C36/IF(B36&lt;='VALOR POR PL'!$P$5,IFERROR(INDEX('"INCC-FGV"'!$B$2:$B$800,MATCH(B36,'"INCC-FGV"'!$A$2:$A$800,0)),$K$2),$K$2)</f>
        <v/>
      </c>
      <c r="M36" s="131">
        <f>'CP RESUMO'!AI33</f>
        <v/>
      </c>
      <c r="N36" s="132">
        <f>MAX(0,M36-M35)</f>
        <v/>
      </c>
      <c r="O36" s="131">
        <f>IF(B36&lt;='VALOR POR PL'!$P$5,'CP RESUMO'!AI75,"")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185026.98</v>
      </c>
      <c r="L37" s="49">
        <f>C37/IF(B37&lt;='VALOR POR PL'!$P$5,IFERROR(INDEX('"INCC-FGV"'!$B$2:$B$800,MATCH(B37,'"INCC-FGV"'!$A$2:$A$800,0)),$K$2),$K$2)</f>
        <v/>
      </c>
      <c r="M37" s="131">
        <f>'CP RESUMO'!AJ33</f>
        <v/>
      </c>
      <c r="N37" s="132">
        <f>MAX(0,M37-M36)</f>
        <v/>
      </c>
      <c r="O37" s="131">
        <f>IF(B37&lt;='VALOR POR PL'!$P$5,'CP RESUMO'!AJ75,"")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86329.10000000001</v>
      </c>
      <c r="L38" s="49">
        <f>C38/IF(B38&lt;='VALOR POR PL'!$P$5,IFERROR(INDEX('"INCC-FGV"'!$B$2:$B$800,MATCH(B38,'"INCC-FGV"'!$A$2:$A$800,0)),$K$2),$K$2)</f>
        <v/>
      </c>
      <c r="M38" s="131">
        <f>'CP RESUMO'!AK33</f>
        <v/>
      </c>
      <c r="N38" s="132">
        <f>MAX(0,M38-M37)</f>
        <v/>
      </c>
      <c r="O38" s="131">
        <f>IF(B38&lt;='VALOR POR PL'!$P$5,'CP RESUMO'!AK75,"")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49222.73</v>
      </c>
      <c r="L39" s="49">
        <f>C39/IF(B39&lt;='VALOR POR PL'!$P$5,IFERROR(INDEX('"INCC-FGV"'!$B$2:$B$800,MATCH(B39,'"INCC-FGV"'!$A$2:$A$800,0)),$K$2),$K$2)</f>
        <v/>
      </c>
      <c r="M39" s="131">
        <f>'CP RESUMO'!AL33</f>
        <v/>
      </c>
      <c r="N39" s="132">
        <f>MAX(0,M39-M38)</f>
        <v/>
      </c>
      <c r="O39" s="131">
        <f>IF(B39&lt;='VALOR POR PL'!$P$5,'CP RESUMO'!AL75,"")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32562.73</v>
      </c>
      <c r="L40" s="49">
        <f>C40/IF(B40&lt;='VALOR POR PL'!$P$5,IFERROR(INDEX('"INCC-FGV"'!$B$2:$B$800,MATCH(B40,'"INCC-FGV"'!$A$2:$A$800,0)),$K$2),$K$2)</f>
        <v/>
      </c>
      <c r="M40" s="131">
        <f>'CP RESUMO'!AM33</f>
        <v/>
      </c>
      <c r="N40" s="132">
        <f>MAX(0,M40-M39)</f>
        <v/>
      </c>
      <c r="O40" s="131">
        <f>IF(B40&lt;='VALOR POR PL'!$P$5,'CP RESUMO'!AM75,"")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36464.8</v>
      </c>
      <c r="L41" s="49">
        <f>C41/IF(B41&lt;='VALOR POR PL'!$P$5,IFERROR(INDEX('"INCC-FGV"'!$B$2:$B$800,MATCH(B41,'"INCC-FGV"'!$A$2:$A$800,0)),$K$2),$K$2)</f>
        <v/>
      </c>
      <c r="M41" s="131">
        <f>'CP RESUMO'!AN33</f>
        <v/>
      </c>
      <c r="N41" s="132">
        <f>MAX(0,M41-M40)</f>
        <v/>
      </c>
      <c r="O41" s="131">
        <f>IF(B41&lt;='VALOR POR PL'!$P$5,'CP RESUMO'!AN75,"")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RESUMO'!AO33</f>
        <v/>
      </c>
      <c r="N42" s="132">
        <f>MAX(0,M42-M41)</f>
        <v/>
      </c>
      <c r="O42" s="131">
        <f>IF(B42&lt;='VALOR POR PL'!$P$5,'CP RESUMO'!AO75,"")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194188.65</v>
      </c>
      <c r="L43" s="49">
        <f>C43/IF(B43&lt;='VALOR POR PL'!$P$5,IFERROR(INDEX('"INCC-FGV"'!$B$2:$B$800,MATCH(B43,'"INCC-FGV"'!$A$2:$A$800,0)),$K$2),$K$2)</f>
        <v/>
      </c>
      <c r="M43" s="131">
        <f>'CP RESUMO'!AP33</f>
        <v/>
      </c>
      <c r="N43" s="132">
        <f>MAX(0,M43-M42)</f>
        <v/>
      </c>
      <c r="O43" s="131">
        <f>IF(B43&lt;='VALOR POR PL'!$P$5,'CP RESUMO'!AP75,"")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3601.94</v>
      </c>
      <c r="L44" s="49">
        <f>C44/IF(B44&lt;='VALOR POR PL'!$P$5,IFERROR(INDEX('"INCC-FGV"'!$B$2:$B$800,MATCH(B44,'"INCC-FGV"'!$A$2:$A$800,0)),$K$2),$K$2)</f>
        <v/>
      </c>
      <c r="M44" s="131">
        <f>'CP RESUMO'!AQ33</f>
        <v/>
      </c>
      <c r="N44" s="132">
        <f>MAX(0,M44-M43)</f>
        <v/>
      </c>
      <c r="O44" s="131">
        <f>IF(B44&lt;='VALOR POR PL'!$P$5,'CP RESUMO'!AQ75,"")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RESUMO'!AR33</f>
        <v/>
      </c>
      <c r="N45" s="132">
        <f>MAX(0,M45-M44)</f>
        <v/>
      </c>
      <c r="O45" s="131">
        <f>IF(B45&lt;='VALOR POR PL'!$P$5,'CP RESUMO'!AR75,"")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RESUMO'!AS33</f>
        <v/>
      </c>
      <c r="N46" s="132">
        <f>MAX(0,M46-M45)</f>
        <v/>
      </c>
      <c r="O46" s="131">
        <f>IF(B46&lt;='VALOR POR PL'!$P$5,'CP RESUMO'!AS75,"")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RESUMO'!AT33</f>
        <v/>
      </c>
      <c r="N47" s="132">
        <f>MAX(0,M47-M46)</f>
        <v/>
      </c>
      <c r="O47" s="131">
        <f>IF(B47&lt;='VALOR POR PL'!$P$5,'CP RESUMO'!AT75,"")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RESUMO'!AU33</f>
        <v/>
      </c>
      <c r="N48" s="132">
        <f>MAX(0,M48-M47)</f>
        <v/>
      </c>
      <c r="O48" s="131">
        <f>IF(B48&lt;='VALOR POR PL'!$P$5,'CP RESUMO'!AU75,"")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RESUMO'!AV33</f>
        <v/>
      </c>
      <c r="N49" s="132">
        <f>MAX(0,M49-M48)</f>
        <v/>
      </c>
      <c r="O49" s="131">
        <f>IF(B49&lt;='VALOR POR PL'!$P$5,'CP RESUMO'!AV75,"")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RESUMO'!AW33</f>
        <v/>
      </c>
      <c r="N50" s="132">
        <f>MAX(0,M50-M49)</f>
        <v/>
      </c>
      <c r="O50" s="131">
        <f>IF(B50&lt;='VALOR POR PL'!$P$5,'CP RESUMO'!AW75,"")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RESUMO'!AX33</f>
        <v/>
      </c>
      <c r="N51" s="132">
        <f>MAX(0,M51-M50)</f>
        <v/>
      </c>
      <c r="O51" s="131">
        <f>IF(B51&lt;='VALOR POR PL'!$P$5,'CP RESUMO'!AX75,"")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RESUMO'!AY33</f>
        <v/>
      </c>
      <c r="N52" s="132">
        <f>MAX(0,M52-M51)</f>
        <v/>
      </c>
      <c r="O52" s="131">
        <f>IF(B52&lt;='VALOR POR PL'!$P$5,'CP RESUMO'!AY75,"")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RESUMO'!AZ33</f>
        <v/>
      </c>
      <c r="N53" s="132">
        <f>MAX(0,M53-M52)</f>
        <v/>
      </c>
      <c r="O53" s="131">
        <f>IF(B53&lt;='VALOR POR PL'!$P$5,'CP RESUMO'!AZ75,"")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RESUMO'!BA33</f>
        <v/>
      </c>
      <c r="N54" s="132">
        <f>MAX(0,M54-M53)</f>
        <v/>
      </c>
      <c r="O54" s="131">
        <f>IF(B54&lt;='VALOR POR PL'!$P$5,'CP RESUMO'!BA75,"")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RESUMO'!BB33</f>
        <v/>
      </c>
      <c r="N55" s="132">
        <f>MAX(0,M55-M54)</f>
        <v/>
      </c>
      <c r="O55" s="131">
        <f>IF(B55&lt;='VALOR POR PL'!$P$5,'CP RESUMO'!BB75,"")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RESUMO'!BC33</f>
        <v/>
      </c>
      <c r="N56" s="132">
        <f>MAX(0,M56-M55)</f>
        <v/>
      </c>
      <c r="O56" s="131">
        <f>IF(B56&lt;='VALOR POR PL'!$P$5,'CP RESUMO'!BC75,"")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RESUMO'!BD33</f>
        <v/>
      </c>
      <c r="N57" s="132">
        <f>MAX(0,M57-M56)</f>
        <v/>
      </c>
      <c r="O57" s="131">
        <f>IF(B57&lt;='VALOR POR PL'!$P$5,'CP RESUMO'!BD75,"")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RESUMO'!BE33</f>
        <v/>
      </c>
      <c r="N58" s="132">
        <f>MAX(0,M58-M57)</f>
        <v/>
      </c>
      <c r="O58" s="131">
        <f>IF(B58&lt;='VALOR POR PL'!$P$5,'CP RESUMO'!BE75,"")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RESUMO'!BF33</f>
        <v/>
      </c>
      <c r="N59" s="132">
        <f>MAX(0,M59-M58)</f>
        <v/>
      </c>
      <c r="O59" s="131">
        <f>IF(B59&lt;='VALOR POR PL'!$P$5,'CP RESUMO'!BF75,"")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RESUMO'!BG33</f>
        <v/>
      </c>
      <c r="N60" s="132">
        <f>MAX(0,M60-M59)</f>
        <v/>
      </c>
      <c r="O60" s="131">
        <f>IF(B60&lt;='VALOR POR PL'!$P$5,'CP RESUMO'!BG75,"")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RESUMO'!BH33</f>
        <v/>
      </c>
      <c r="N61" s="132">
        <f>MAX(0,M61-M60)</f>
        <v/>
      </c>
      <c r="O61" s="131">
        <f>IF(B61&lt;='VALOR POR PL'!$P$5,'CP RESUMO'!BH75,"")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RESUMO'!BI33</f>
        <v/>
      </c>
      <c r="N62" s="132">
        <f>MAX(0,M62-M61)</f>
        <v/>
      </c>
      <c r="O62" s="131">
        <f>IF(B62&lt;='VALOR POR PL'!$P$5,'CP RESUMO'!BI75,"")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RESUMO'!BJ33</f>
        <v/>
      </c>
      <c r="N63" s="132">
        <f>MAX(0,M63-M62)</f>
        <v/>
      </c>
      <c r="O63" s="131">
        <f>IF(B63&lt;='VALOR POR PL'!$P$5,'CP RESUMO'!BJ75,"")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RESUMO'!BK33</f>
        <v/>
      </c>
      <c r="N64" s="132">
        <f>MAX(0,M64-M63)</f>
        <v/>
      </c>
      <c r="O64" s="131">
        <f>IF(B64&lt;='VALOR POR PL'!$P$5,'CP RESUMO'!BK75,"")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RESUMO'!BL33</f>
        <v/>
      </c>
      <c r="N65" s="132">
        <f>MAX(0,M65-M64)</f>
        <v/>
      </c>
      <c r="O65" s="131">
        <f>IF(B65&lt;='VALOR POR PL'!$P$5,'CP RESUMO'!BL75,"")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RESUMO'!BM33</f>
        <v/>
      </c>
      <c r="N66" s="132">
        <f>MAX(0,M66-M65)</f>
        <v/>
      </c>
      <c r="O66" s="131">
        <f>IF(B66&lt;='VALOR POR PL'!$P$5,'CP RESUMO'!BM75,"")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RESUMO'!BN33</f>
        <v/>
      </c>
      <c r="N67" s="132">
        <f>MAX(0,M67-M66)</f>
        <v/>
      </c>
      <c r="O67" s="131">
        <f>IF(B67&lt;='VALOR POR PL'!$P$5,'CP RESUMO'!BN75,"")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RESUMO'!BO33</f>
        <v/>
      </c>
      <c r="N68" s="132">
        <f>MAX(0,M68-M67)</f>
        <v/>
      </c>
      <c r="O68" s="131">
        <f>IF(B68&lt;='VALOR POR PL'!$P$5,'CP RESUMO'!BO75,"")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RESUMO'!BP33</f>
        <v/>
      </c>
      <c r="N69" s="132">
        <f>MAX(0,M69-M68)</f>
        <v/>
      </c>
      <c r="O69" s="131">
        <f>IF(B69&lt;='VALOR POR PL'!$P$5,'CP RESUMO'!BP75,"")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RESUMO'!BQ33</f>
        <v/>
      </c>
      <c r="N70" s="132">
        <f>MAX(0,M70-M69)</f>
        <v/>
      </c>
      <c r="O70" s="131">
        <f>IF(B70&lt;='VALOR POR PL'!$P$5,'CP RESUMO'!BQ75,"")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RESUMO'!BR33</f>
        <v/>
      </c>
      <c r="N71" s="132">
        <f>MAX(0,M71-M70)</f>
        <v/>
      </c>
      <c r="O71" s="131">
        <f>IF(B71&lt;='VALOR POR PL'!$P$5,'CP RESUMO'!BR75,"")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RESUMO'!BS33</f>
        <v/>
      </c>
      <c r="N72" s="132">
        <f>MAX(0,M72-M71)</f>
        <v/>
      </c>
      <c r="O72" s="131">
        <f>IF(B72&lt;='VALOR POR PL'!$P$5,'CP RESUMO'!BS75,"")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RESUMO'!BT33</f>
        <v/>
      </c>
      <c r="N73" s="132">
        <f>MAX(0,M73-M72)</f>
        <v/>
      </c>
      <c r="O73" s="131">
        <f>IF(B73&lt;='VALOR POR PL'!$P$5,'CP RESUMO'!BT75,"")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RESUMO'!BU33</f>
        <v/>
      </c>
      <c r="N74" s="132">
        <f>MAX(0,M74-M73)</f>
        <v/>
      </c>
      <c r="O74" s="131">
        <f>IF(B74&lt;='VALOR POR PL'!$P$5,'CP RESUMO'!BU75,"")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RESUMO'!BV33</f>
        <v/>
      </c>
      <c r="N75" s="132">
        <f>MAX(0,M75-M74)</f>
        <v/>
      </c>
      <c r="O75" s="131">
        <f>IF(B75&lt;='VALOR POR PL'!$P$5,'CP RESUMO'!BV75,"")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RESUMO'!BW33</f>
        <v/>
      </c>
      <c r="N76" s="132">
        <f>MAX(0,M76-M75)</f>
        <v/>
      </c>
      <c r="O76" s="131">
        <f>IF(B76&lt;='VALOR POR PL'!$P$5,'CP RESUMO'!BW75,"")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HISTORICOS'!D34)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PL'!F40</f>
        <v/>
      </c>
      <c r="K5" s="60">
        <f>'VALOR POR PL'!G40</f>
        <v/>
      </c>
      <c r="L5" s="60">
        <f>'DADOS HISTORICOS'!$BZ$34</f>
        <v/>
      </c>
      <c r="M5" s="131">
        <f>'CP RESUMO'!D34</f>
        <v/>
      </c>
      <c r="N5" s="132" t="n">
        <v>0</v>
      </c>
      <c r="O5" s="131">
        <f>IF(B5&lt;='VALOR POR PL'!$P$5,'CP RESUMO'!D76,"")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HISTORICOS'!E34)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PL'!H40</f>
        <v/>
      </c>
      <c r="L6" s="49">
        <f>C6/IF(B6&lt;='VALOR POR PL'!$P$5,IFERROR(INDEX('"INCC-FGV"'!$B$2:$B$800,MATCH(B6,'"INCC-FGV"'!$A$2:$A$800,0)),$K$2),$K$2)</f>
        <v/>
      </c>
      <c r="M6" s="131">
        <f>'CP RESUMO'!E34</f>
        <v/>
      </c>
      <c r="N6" s="132">
        <f>MAX(0,M6-M5)</f>
        <v/>
      </c>
      <c r="O6" s="131">
        <f>IF(B6&lt;='VALOR POR PL'!$P$5,'CP RESUMO'!E76,"")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HISTORICOS'!F34)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RESUMO'!F34</f>
        <v/>
      </c>
      <c r="N7" s="132">
        <f>MAX(0,M7-M6)</f>
        <v/>
      </c>
      <c r="O7" s="131">
        <f>IF(B7&lt;='VALOR POR PL'!$P$5,'CP RESUMO'!F76,"")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HISTORICOS'!G34)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RESUMO'!G34</f>
        <v/>
      </c>
      <c r="N8" s="132">
        <f>MAX(0,M8-M7)</f>
        <v/>
      </c>
      <c r="O8" s="131">
        <f>IF(B8&lt;='VALOR POR PL'!$P$5,'CP RESUMO'!G76,"")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HISTORICOS'!H34)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RESUMO'!H34</f>
        <v/>
      </c>
      <c r="N9" s="132">
        <f>MAX(0,M9-M8)</f>
        <v/>
      </c>
      <c r="O9" s="131">
        <f>IF(B9&lt;='VALOR POR PL'!$P$5,'CP RESUMO'!H76,"")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RESUMO'!I34</f>
        <v/>
      </c>
      <c r="N10" s="132">
        <f>MAX(0,M10-M9)</f>
        <v/>
      </c>
      <c r="O10" s="131">
        <f>IF(B10&lt;='VALOR POR PL'!$P$5,'CP RESUMO'!I76,"")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RESUMO'!J34</f>
        <v/>
      </c>
      <c r="N11" s="132">
        <f>MAX(0,M11-M10)</f>
        <v/>
      </c>
      <c r="O11" s="131">
        <f>IF(B11&lt;='VALOR POR PL'!$P$5,'CP RESUMO'!J76,"")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RESUMO'!K34</f>
        <v/>
      </c>
      <c r="N12" s="132">
        <f>MAX(0,M12-M11)</f>
        <v/>
      </c>
      <c r="O12" s="131">
        <f>IF(B12&lt;='VALOR POR PL'!$P$5,'CP RESUMO'!K76,"")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PL'!I40</f>
        <v/>
      </c>
      <c r="L13" s="49">
        <f>C13/IF(B13&lt;='VALOR POR PL'!$P$5,IFERROR(INDEX('"INCC-FGV"'!$B$2:$B$800,MATCH(B13,'"INCC-FGV"'!$A$2:$A$800,0)),$K$2),$K$2)</f>
        <v/>
      </c>
      <c r="M13" s="131">
        <f>'CP RESUMO'!L34</f>
        <v/>
      </c>
      <c r="N13" s="132">
        <f>MAX(0,M13-M12)</f>
        <v/>
      </c>
      <c r="O13" s="131">
        <f>IF(B13&lt;='VALOR POR PL'!$P$5,'CP RESUMO'!L76,"")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RESUMO'!$D$76:$BW$76,MATCH('VALOR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RESUMO'!M34</f>
        <v/>
      </c>
      <c r="N14" s="132">
        <f>MAX(0,M14-M13)</f>
        <v/>
      </c>
      <c r="O14" s="131">
        <f>IF(B14&lt;='VALOR POR PL'!$P$5,'CP RESUMO'!M76,"")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1">
        <f>'CP RESUMO'!N34</f>
        <v/>
      </c>
      <c r="N15" s="132">
        <f>MAX(0,M15-M14)</f>
        <v/>
      </c>
      <c r="O15" s="131">
        <f>IF(B15&lt;='VALOR POR PL'!$P$5,'CP RESUMO'!N76,"")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RESUMO'!O34</f>
        <v/>
      </c>
      <c r="N16" s="132">
        <f>MAX(0,M16-M15)</f>
        <v/>
      </c>
      <c r="O16" s="131">
        <f>IF(B16&lt;='VALOR POR PL'!$P$5,'CP RESUMO'!O76,"")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RESUMO'!P34</f>
        <v/>
      </c>
      <c r="N17" s="132">
        <f>MAX(0,M17-M16)</f>
        <v/>
      </c>
      <c r="O17" s="131">
        <f>IF(B17&lt;='VALOR POR PL'!$P$5,'CP RESUMO'!P76,"")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RESUMO'!Q34</f>
        <v/>
      </c>
      <c r="N18" s="132">
        <f>MAX(0,M18-M17)</f>
        <v/>
      </c>
      <c r="O18" s="131">
        <f>IF(B18&lt;='VALOR POR PL'!$P$5,'CP RESUMO'!Q76,"")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RESUMO'!R34</f>
        <v/>
      </c>
      <c r="N19" s="132">
        <f>MAX(0,M19-M18)</f>
        <v/>
      </c>
      <c r="O19" s="131">
        <f>IF(B19&lt;='VALOR POR PL'!$P$5,'CP RESUMO'!R76,"")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RESUMO'!S34</f>
        <v/>
      </c>
      <c r="N20" s="132">
        <f>MAX(0,M20-M19)</f>
        <v/>
      </c>
      <c r="O20" s="131">
        <f>IF(B20&lt;='VALOR POR PL'!$P$5,'CP RESUMO'!S76,"")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RESUMO'!T34</f>
        <v/>
      </c>
      <c r="N21" s="132">
        <f>MAX(0,M21-M20)</f>
        <v/>
      </c>
      <c r="O21" s="131">
        <f>IF(B21&lt;='VALOR POR PL'!$P$5,'CP RESUMO'!T76,"")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RESUMO'!U34</f>
        <v/>
      </c>
      <c r="N22" s="132">
        <f>MAX(0,M22-M21)</f>
        <v/>
      </c>
      <c r="O22" s="131">
        <f>IF(B22&lt;='VALOR POR PL'!$P$5,'CP RESUMO'!U76,"")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RESUMO'!V34</f>
        <v/>
      </c>
      <c r="N23" s="132">
        <f>MAX(0,M23-M22)</f>
        <v/>
      </c>
      <c r="O23" s="131">
        <f>IF(B23&lt;='VALOR POR PL'!$P$5,'CP RESUMO'!V76,"")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Cenário Prevision ajustado: premissa de 11 dos 28 pavimentos em 2027 (39,3% do valor, R$ 6,90 mi), com o formato mensal do Prevision em 2027; os 17 pavimentos restantes no mesmo ritmo (≈0,92 pav./mês, R$ 575 mil/mês) de jan/2028 a jul/2029.</t>
        </is>
      </c>
      <c r="L24" s="49">
        <f>C24/IF(B24&lt;='VALOR POR PL'!$P$5,IFERROR(INDEX('"INCC-FGV"'!$B$2:$B$800,MATCH(B24,'"INCC-FGV"'!$A$2:$A$800,0)),$K$2),$K$2)</f>
        <v/>
      </c>
      <c r="M24" s="131">
        <f>'CP RESUMO'!W34</f>
        <v/>
      </c>
      <c r="N24" s="132">
        <f>MAX(0,M24-M23)</f>
        <v/>
      </c>
      <c r="O24" s="131">
        <f>IF(B24&lt;='VALOR POR PL'!$P$5,'CP RESUMO'!W76,"")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RESUMO'!X34</f>
        <v/>
      </c>
      <c r="N25" s="132">
        <f>MAX(0,M25-M24)</f>
        <v/>
      </c>
      <c r="O25" s="131">
        <f>IF(B25&lt;='VALOR POR PL'!$P$5,'CP RESUMO'!X76,"")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RESUMO'!Y34</f>
        <v/>
      </c>
      <c r="N26" s="132">
        <f>MAX(0,M26-M25)</f>
        <v/>
      </c>
      <c r="O26" s="131">
        <f>IF(B26&lt;='VALOR POR PL'!$P$5,'CP RESUMO'!Y76,"")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RESUMO'!Z34</f>
        <v/>
      </c>
      <c r="N27" s="132">
        <f>MAX(0,M27-M26)</f>
        <v/>
      </c>
      <c r="O27" s="131">
        <f>IF(B27&lt;='VALOR POR PL'!$P$5,'CP RESUMO'!Z76,"")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RESUMO'!AA34</f>
        <v/>
      </c>
      <c r="N28" s="132">
        <f>MAX(0,M28-M27)</f>
        <v/>
      </c>
      <c r="O28" s="131">
        <f>IF(B28&lt;='VALOR POR PL'!$P$5,'CP RESUMO'!AA76,"")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RESUMO'!AB34</f>
        <v/>
      </c>
      <c r="N29" s="132">
        <f>MAX(0,M29-M28)</f>
        <v/>
      </c>
      <c r="O29" s="131">
        <f>IF(B29&lt;='VALOR POR PL'!$P$5,'CP RESUMO'!AB76,"")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14044.64</v>
      </c>
      <c r="L30" s="49">
        <f>C30/IF(B30&lt;='VALOR POR PL'!$P$5,IFERROR(INDEX('"INCC-FGV"'!$B$2:$B$800,MATCH(B30,'"INCC-FGV"'!$A$2:$A$800,0)),$K$2),$K$2)</f>
        <v/>
      </c>
      <c r="M30" s="131">
        <f>'CP RESUMO'!AC34</f>
        <v/>
      </c>
      <c r="N30" s="132">
        <f>MAX(0,M30-M29)</f>
        <v/>
      </c>
      <c r="O30" s="131">
        <f>IF(B30&lt;='VALOR POR PL'!$P$5,'CP RESUMO'!AC76,"")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269657.13</v>
      </c>
      <c r="L31" s="49">
        <f>C31/IF(B31&lt;='VALOR POR PL'!$P$5,IFERROR(INDEX('"INCC-FGV"'!$B$2:$B$800,MATCH(B31,'"INCC-FGV"'!$A$2:$A$800,0)),$K$2),$K$2)</f>
        <v/>
      </c>
      <c r="M31" s="131">
        <f>'CP RESUMO'!AD34</f>
        <v/>
      </c>
      <c r="N31" s="132">
        <f>MAX(0,M31-M30)</f>
        <v/>
      </c>
      <c r="O31" s="131">
        <f>IF(B31&lt;='VALOR POR PL'!$P$5,'CP RESUMO'!AD76,"")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476581.53</v>
      </c>
      <c r="L32" s="49">
        <f>C32/IF(B32&lt;='VALOR POR PL'!$P$5,IFERROR(INDEX('"INCC-FGV"'!$B$2:$B$800,MATCH(B32,'"INCC-FGV"'!$A$2:$A$800,0)),$K$2),$K$2)</f>
        <v/>
      </c>
      <c r="M32" s="131">
        <f>'CP RESUMO'!AE34</f>
        <v/>
      </c>
      <c r="N32" s="132">
        <f>MAX(0,M32-M31)</f>
        <v/>
      </c>
      <c r="O32" s="131">
        <f>IF(B32&lt;='VALOR POR PL'!$P$5,'CP RESUMO'!AE76,"")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708786.28</v>
      </c>
      <c r="L33" s="49">
        <f>C33/IF(B33&lt;='VALOR POR PL'!$P$5,IFERROR(INDEX('"INCC-FGV"'!$B$2:$B$800,MATCH(B33,'"INCC-FGV"'!$A$2:$A$800,0)),$K$2),$K$2)</f>
        <v/>
      </c>
      <c r="M33" s="131">
        <f>'CP RESUMO'!AF34</f>
        <v/>
      </c>
      <c r="N33" s="132">
        <f>MAX(0,M33-M32)</f>
        <v/>
      </c>
      <c r="O33" s="131">
        <f>IF(B33&lt;='VALOR POR PL'!$P$5,'CP RESUMO'!AF76,"")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205051.78</v>
      </c>
      <c r="L34" s="49">
        <f>C34/IF(B34&lt;='VALOR POR PL'!$P$5,IFERROR(INDEX('"INCC-FGV"'!$B$2:$B$800,MATCH(B34,'"INCC-FGV"'!$A$2:$A$800,0)),$K$2),$K$2)</f>
        <v/>
      </c>
      <c r="M34" s="131">
        <f>'CP RESUMO'!AG34</f>
        <v/>
      </c>
      <c r="N34" s="132">
        <f>MAX(0,M34-M33)</f>
        <v/>
      </c>
      <c r="O34" s="131">
        <f>IF(B34&lt;='VALOR POR PL'!$P$5,'CP RESUMO'!AG76,"")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546804.74</v>
      </c>
      <c r="L35" s="49">
        <f>C35/IF(B35&lt;='VALOR POR PL'!$P$5,IFERROR(INDEX('"INCC-FGV"'!$B$2:$B$800,MATCH(B35,'"INCC-FGV"'!$A$2:$A$800,0)),$K$2),$K$2)</f>
        <v/>
      </c>
      <c r="M35" s="131">
        <f>'CP RESUMO'!AH34</f>
        <v/>
      </c>
      <c r="N35" s="132">
        <f>MAX(0,M35-M34)</f>
        <v/>
      </c>
      <c r="O35" s="131">
        <f>IF(B35&lt;='VALOR POR PL'!$P$5,'CP RESUMO'!AH76,"")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1009341.63</v>
      </c>
      <c r="L36" s="49">
        <f>C36/IF(B36&lt;='VALOR POR PL'!$P$5,IFERROR(INDEX('"INCC-FGV"'!$B$2:$B$800,MATCH(B36,'"INCC-FGV"'!$A$2:$A$800,0)),$K$2),$K$2)</f>
        <v/>
      </c>
      <c r="M36" s="131">
        <f>'CP RESUMO'!AI34</f>
        <v/>
      </c>
      <c r="N36" s="132">
        <f>MAX(0,M36-M35)</f>
        <v/>
      </c>
      <c r="O36" s="131">
        <f>IF(B36&lt;='VALOR POR PL'!$P$5,'CP RESUMO'!AI76,"")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784627.35</v>
      </c>
      <c r="L37" s="49">
        <f>C37/IF(B37&lt;='VALOR POR PL'!$P$5,IFERROR(INDEX('"INCC-FGV"'!$B$2:$B$800,MATCH(B37,'"INCC-FGV"'!$A$2:$A$800,0)),$K$2),$K$2)</f>
        <v/>
      </c>
      <c r="M37" s="131">
        <f>'CP RESUMO'!AJ34</f>
        <v/>
      </c>
      <c r="N37" s="132">
        <f>MAX(0,M37-M36)</f>
        <v/>
      </c>
      <c r="O37" s="131">
        <f>IF(B37&lt;='VALOR POR PL'!$P$5,'CP RESUMO'!AJ76,"")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1065520.2</v>
      </c>
      <c r="L38" s="49">
        <f>C38/IF(B38&lt;='VALOR POR PL'!$P$5,IFERROR(INDEX('"INCC-FGV"'!$B$2:$B$800,MATCH(B38,'"INCC-FGV"'!$A$2:$A$800,0)),$K$2),$K$2)</f>
        <v/>
      </c>
      <c r="M38" s="131">
        <f>'CP RESUMO'!AK34</f>
        <v/>
      </c>
      <c r="N38" s="132">
        <f>MAX(0,M38-M37)</f>
        <v/>
      </c>
      <c r="O38" s="131">
        <f>IF(B38&lt;='VALOR POR PL'!$P$5,'CP RESUMO'!AK76,"")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552422.6</v>
      </c>
      <c r="L39" s="49">
        <f>C39/IF(B39&lt;='VALOR POR PL'!$P$5,IFERROR(INDEX('"INCC-FGV"'!$B$2:$B$800,MATCH(B39,'"INCC-FGV"'!$A$2:$A$800,0)),$K$2),$K$2)</f>
        <v/>
      </c>
      <c r="M39" s="131">
        <f>'CP RESUMO'!AL34</f>
        <v/>
      </c>
      <c r="N39" s="132">
        <f>MAX(0,M39-M38)</f>
        <v/>
      </c>
      <c r="O39" s="131">
        <f>IF(B39&lt;='VALOR POR PL'!$P$5,'CP RESUMO'!AL76,"")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738748.1899999999</v>
      </c>
      <c r="L40" s="49">
        <f>C40/IF(B40&lt;='VALOR POR PL'!$P$5,IFERROR(INDEX('"INCC-FGV"'!$B$2:$B$800,MATCH(B40,'"INCC-FGV"'!$A$2:$A$800,0)),$K$2),$K$2)</f>
        <v/>
      </c>
      <c r="M40" s="131">
        <f>'CP RESUMO'!AM34</f>
        <v/>
      </c>
      <c r="N40" s="132">
        <f>MAX(0,M40-M39)</f>
        <v/>
      </c>
      <c r="O40" s="131">
        <f>IF(B40&lt;='VALOR POR PL'!$P$5,'CP RESUMO'!AM76,"")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530887.48</v>
      </c>
      <c r="L41" s="49">
        <f>C41/IF(B41&lt;='VALOR POR PL'!$P$5,IFERROR(INDEX('"INCC-FGV"'!$B$2:$B$800,MATCH(B41,'"INCC-FGV"'!$A$2:$A$800,0)),$K$2),$K$2)</f>
        <v/>
      </c>
      <c r="M41" s="131">
        <f>'CP RESUMO'!AN34</f>
        <v/>
      </c>
      <c r="N41" s="132">
        <f>MAX(0,M41-M40)</f>
        <v/>
      </c>
      <c r="O41" s="131">
        <f>IF(B41&lt;='VALOR POR PL'!$P$5,'CP RESUMO'!AN76,"")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575206.13</v>
      </c>
      <c r="L42" s="49">
        <f>C42/IF(B42&lt;='VALOR POR PL'!$P$5,IFERROR(INDEX('"INCC-FGV"'!$B$2:$B$800,MATCH(B42,'"INCC-FGV"'!$A$2:$A$800,0)),$K$2),$K$2)</f>
        <v/>
      </c>
      <c r="M42" s="131">
        <f>'CP RESUMO'!AO34</f>
        <v/>
      </c>
      <c r="N42" s="132">
        <f>MAX(0,M42-M41)</f>
        <v/>
      </c>
      <c r="O42" s="131">
        <f>IF(B42&lt;='VALOR POR PL'!$P$5,'CP RESUMO'!AO76,"")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575206.13</v>
      </c>
      <c r="L43" s="49">
        <f>C43/IF(B43&lt;='VALOR POR PL'!$P$5,IFERROR(INDEX('"INCC-FGV"'!$B$2:$B$800,MATCH(B43,'"INCC-FGV"'!$A$2:$A$800,0)),$K$2),$K$2)</f>
        <v/>
      </c>
      <c r="M43" s="131">
        <f>'CP RESUMO'!AP34</f>
        <v/>
      </c>
      <c r="N43" s="132">
        <f>MAX(0,M43-M42)</f>
        <v/>
      </c>
      <c r="O43" s="131">
        <f>IF(B43&lt;='VALOR POR PL'!$P$5,'CP RESUMO'!AP76,"")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575206.13</v>
      </c>
      <c r="L44" s="49">
        <f>C44/IF(B44&lt;='VALOR POR PL'!$P$5,IFERROR(INDEX('"INCC-FGV"'!$B$2:$B$800,MATCH(B44,'"INCC-FGV"'!$A$2:$A$800,0)),$K$2),$K$2)</f>
        <v/>
      </c>
      <c r="M44" s="131">
        <f>'CP RESUMO'!AQ34</f>
        <v/>
      </c>
      <c r="N44" s="132">
        <f>MAX(0,M44-M43)</f>
        <v/>
      </c>
      <c r="O44" s="131">
        <f>IF(B44&lt;='VALOR POR PL'!$P$5,'CP RESUMO'!AQ76,"")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575206.13</v>
      </c>
      <c r="L45" s="49">
        <f>C45/IF(B45&lt;='VALOR POR PL'!$P$5,IFERROR(INDEX('"INCC-FGV"'!$B$2:$B$800,MATCH(B45,'"INCC-FGV"'!$A$2:$A$800,0)),$K$2),$K$2)</f>
        <v/>
      </c>
      <c r="M45" s="131">
        <f>'CP RESUMO'!AR34</f>
        <v/>
      </c>
      <c r="N45" s="132">
        <f>MAX(0,M45-M44)</f>
        <v/>
      </c>
      <c r="O45" s="131">
        <f>IF(B45&lt;='VALOR POR PL'!$P$5,'CP RESUMO'!AR76,"")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575206.13</v>
      </c>
      <c r="L46" s="49">
        <f>C46/IF(B46&lt;='VALOR POR PL'!$P$5,IFERROR(INDEX('"INCC-FGV"'!$B$2:$B$800,MATCH(B46,'"INCC-FGV"'!$A$2:$A$800,0)),$K$2),$K$2)</f>
        <v/>
      </c>
      <c r="M46" s="131">
        <f>'CP RESUMO'!AS34</f>
        <v/>
      </c>
      <c r="N46" s="132">
        <f>MAX(0,M46-M45)</f>
        <v/>
      </c>
      <c r="O46" s="131">
        <f>IF(B46&lt;='VALOR POR PL'!$P$5,'CP RESUMO'!AS76,"")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575206.13</v>
      </c>
      <c r="L47" s="49">
        <f>C47/IF(B47&lt;='VALOR POR PL'!$P$5,IFERROR(INDEX('"INCC-FGV"'!$B$2:$B$800,MATCH(B47,'"INCC-FGV"'!$A$2:$A$800,0)),$K$2),$K$2)</f>
        <v/>
      </c>
      <c r="M47" s="131">
        <f>'CP RESUMO'!AT34</f>
        <v/>
      </c>
      <c r="N47" s="132">
        <f>MAX(0,M47-M46)</f>
        <v/>
      </c>
      <c r="O47" s="131">
        <f>IF(B47&lt;='VALOR POR PL'!$P$5,'CP RESUMO'!AT76,"")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575206.13</v>
      </c>
      <c r="L48" s="49">
        <f>C48/IF(B48&lt;='VALOR POR PL'!$P$5,IFERROR(INDEX('"INCC-FGV"'!$B$2:$B$800,MATCH(B48,'"INCC-FGV"'!$A$2:$A$800,0)),$K$2),$K$2)</f>
        <v/>
      </c>
      <c r="M48" s="131">
        <f>'CP RESUMO'!AU34</f>
        <v/>
      </c>
      <c r="N48" s="132">
        <f>MAX(0,M48-M47)</f>
        <v/>
      </c>
      <c r="O48" s="131">
        <f>IF(B48&lt;='VALOR POR PL'!$P$5,'CP RESUMO'!AU76,"")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575206.13</v>
      </c>
      <c r="L49" s="49">
        <f>C49/IF(B49&lt;='VALOR POR PL'!$P$5,IFERROR(INDEX('"INCC-FGV"'!$B$2:$B$800,MATCH(B49,'"INCC-FGV"'!$A$2:$A$800,0)),$K$2),$K$2)</f>
        <v/>
      </c>
      <c r="M49" s="131">
        <f>'CP RESUMO'!AV34</f>
        <v/>
      </c>
      <c r="N49" s="132">
        <f>MAX(0,M49-M48)</f>
        <v/>
      </c>
      <c r="O49" s="131">
        <f>IF(B49&lt;='VALOR POR PL'!$P$5,'CP RESUMO'!AV76,"")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575206.13</v>
      </c>
      <c r="L50" s="49">
        <f>C50/IF(B50&lt;='VALOR POR PL'!$P$5,IFERROR(INDEX('"INCC-FGV"'!$B$2:$B$800,MATCH(B50,'"INCC-FGV"'!$A$2:$A$800,0)),$K$2),$K$2)</f>
        <v/>
      </c>
      <c r="M50" s="131">
        <f>'CP RESUMO'!AW34</f>
        <v/>
      </c>
      <c r="N50" s="132">
        <f>MAX(0,M50-M49)</f>
        <v/>
      </c>
      <c r="O50" s="131">
        <f>IF(B50&lt;='VALOR POR PL'!$P$5,'CP RESUMO'!AW76,"")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575206.13</v>
      </c>
      <c r="L51" s="49">
        <f>C51/IF(B51&lt;='VALOR POR PL'!$P$5,IFERROR(INDEX('"INCC-FGV"'!$B$2:$B$800,MATCH(B51,'"INCC-FGV"'!$A$2:$A$800,0)),$K$2),$K$2)</f>
        <v/>
      </c>
      <c r="M51" s="131">
        <f>'CP RESUMO'!AX34</f>
        <v/>
      </c>
      <c r="N51" s="132">
        <f>MAX(0,M51-M50)</f>
        <v/>
      </c>
      <c r="O51" s="131">
        <f>IF(B51&lt;='VALOR POR PL'!$P$5,'CP RESUMO'!AX76,"")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575206.13</v>
      </c>
      <c r="L52" s="49">
        <f>C52/IF(B52&lt;='VALOR POR PL'!$P$5,IFERROR(INDEX('"INCC-FGV"'!$B$2:$B$800,MATCH(B52,'"INCC-FGV"'!$A$2:$A$800,0)),$K$2),$K$2)</f>
        <v/>
      </c>
      <c r="M52" s="131">
        <f>'CP RESUMO'!AY34</f>
        <v/>
      </c>
      <c r="N52" s="132">
        <f>MAX(0,M52-M51)</f>
        <v/>
      </c>
      <c r="O52" s="131">
        <f>IF(B52&lt;='VALOR POR PL'!$P$5,'CP RESUMO'!AY76,"")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>
        <v>575206.13</v>
      </c>
      <c r="L53" s="49">
        <f>C53/IF(B53&lt;='VALOR POR PL'!$P$5,IFERROR(INDEX('"INCC-FGV"'!$B$2:$B$800,MATCH(B53,'"INCC-FGV"'!$A$2:$A$800,0)),$K$2),$K$2)</f>
        <v/>
      </c>
      <c r="M53" s="131">
        <f>'CP RESUMO'!AZ34</f>
        <v/>
      </c>
      <c r="N53" s="132">
        <f>MAX(0,M53-M52)</f>
        <v/>
      </c>
      <c r="O53" s="131">
        <f>IF(B53&lt;='VALOR POR PL'!$P$5,'CP RESUMO'!AZ76,"")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>
        <v>575206.13</v>
      </c>
      <c r="L54" s="49">
        <f>C54/IF(B54&lt;='VALOR POR PL'!$P$5,IFERROR(INDEX('"INCC-FGV"'!$B$2:$B$800,MATCH(B54,'"INCC-FGV"'!$A$2:$A$800,0)),$K$2),$K$2)</f>
        <v/>
      </c>
      <c r="M54" s="131">
        <f>'CP RESUMO'!BA34</f>
        <v/>
      </c>
      <c r="N54" s="132">
        <f>MAX(0,M54-M53)</f>
        <v/>
      </c>
      <c r="O54" s="131">
        <f>IF(B54&lt;='VALOR POR PL'!$P$5,'CP RESUMO'!BA76,"")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>
        <v>575206.13</v>
      </c>
      <c r="L55" s="49">
        <f>C55/IF(B55&lt;='VALOR POR PL'!$P$5,IFERROR(INDEX('"INCC-FGV"'!$B$2:$B$800,MATCH(B55,'"INCC-FGV"'!$A$2:$A$800,0)),$K$2),$K$2)</f>
        <v/>
      </c>
      <c r="M55" s="131">
        <f>'CP RESUMO'!BB34</f>
        <v/>
      </c>
      <c r="N55" s="132">
        <f>MAX(0,M55-M54)</f>
        <v/>
      </c>
      <c r="O55" s="131">
        <f>IF(B55&lt;='VALOR POR PL'!$P$5,'CP RESUMO'!BB76,"")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>
        <v>575206.13</v>
      </c>
      <c r="L56" s="49">
        <f>C56/IF(B56&lt;='VALOR POR PL'!$P$5,IFERROR(INDEX('"INCC-FGV"'!$B$2:$B$800,MATCH(B56,'"INCC-FGV"'!$A$2:$A$800,0)),$K$2),$K$2)</f>
        <v/>
      </c>
      <c r="M56" s="131">
        <f>'CP RESUMO'!BC34</f>
        <v/>
      </c>
      <c r="N56" s="132">
        <f>MAX(0,M56-M55)</f>
        <v/>
      </c>
      <c r="O56" s="131">
        <f>IF(B56&lt;='VALOR POR PL'!$P$5,'CP RESUMO'!BC76,"")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>
        <v>575206.13</v>
      </c>
      <c r="L57" s="49">
        <f>C57/IF(B57&lt;='VALOR POR PL'!$P$5,IFERROR(INDEX('"INCC-FGV"'!$B$2:$B$800,MATCH(B57,'"INCC-FGV"'!$A$2:$A$800,0)),$K$2),$K$2)</f>
        <v/>
      </c>
      <c r="M57" s="131">
        <f>'CP RESUMO'!BD34</f>
        <v/>
      </c>
      <c r="N57" s="132">
        <f>MAX(0,M57-M56)</f>
        <v/>
      </c>
      <c r="O57" s="131">
        <f>IF(B57&lt;='VALOR POR PL'!$P$5,'CP RESUMO'!BD76,"")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>
        <v>575206.13</v>
      </c>
      <c r="L58" s="49">
        <f>C58/IF(B58&lt;='VALOR POR PL'!$P$5,IFERROR(INDEX('"INCC-FGV"'!$B$2:$B$800,MATCH(B58,'"INCC-FGV"'!$A$2:$A$800,0)),$K$2),$K$2)</f>
        <v/>
      </c>
      <c r="M58" s="131">
        <f>'CP RESUMO'!BE34</f>
        <v/>
      </c>
      <c r="N58" s="132">
        <f>MAX(0,M58-M57)</f>
        <v/>
      </c>
      <c r="O58" s="131">
        <f>IF(B58&lt;='VALOR POR PL'!$P$5,'CP RESUMO'!BE76,"")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>
        <v>575206.13</v>
      </c>
      <c r="L59" s="49">
        <f>C59/IF(B59&lt;='VALOR POR PL'!$P$5,IFERROR(INDEX('"INCC-FGV"'!$B$2:$B$800,MATCH(B59,'"INCC-FGV"'!$A$2:$A$800,0)),$K$2),$K$2)</f>
        <v/>
      </c>
      <c r="M59" s="131">
        <f>'CP RESUMO'!BF34</f>
        <v/>
      </c>
      <c r="N59" s="132">
        <f>MAX(0,M59-M58)</f>
        <v/>
      </c>
      <c r="O59" s="131">
        <f>IF(B59&lt;='VALOR POR PL'!$P$5,'CP RESUMO'!BF76,"")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>
        <v>313748.8</v>
      </c>
      <c r="L60" s="49">
        <f>C60/IF(B60&lt;='VALOR POR PL'!$P$5,IFERROR(INDEX('"INCC-FGV"'!$B$2:$B$800,MATCH(B60,'"INCC-FGV"'!$A$2:$A$800,0)),$K$2),$K$2)</f>
        <v/>
      </c>
      <c r="M60" s="131">
        <f>'CP RESUMO'!BG34</f>
        <v/>
      </c>
      <c r="N60" s="132">
        <f>MAX(0,M60-M59)</f>
        <v/>
      </c>
      <c r="O60" s="131">
        <f>IF(B60&lt;='VALOR POR PL'!$P$5,'CP RESUMO'!BG76,"")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RESUMO'!BH34</f>
        <v/>
      </c>
      <c r="N61" s="132">
        <f>MAX(0,M61-M60)</f>
        <v/>
      </c>
      <c r="O61" s="131">
        <f>IF(B61&lt;='VALOR POR PL'!$P$5,'CP RESUMO'!BH76,"")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RESUMO'!BI34</f>
        <v/>
      </c>
      <c r="N62" s="132">
        <f>MAX(0,M62-M61)</f>
        <v/>
      </c>
      <c r="O62" s="131">
        <f>IF(B62&lt;='VALOR POR PL'!$P$5,'CP RESUMO'!BI76,"")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RESUMO'!BJ34</f>
        <v/>
      </c>
      <c r="N63" s="132">
        <f>MAX(0,M63-M62)</f>
        <v/>
      </c>
      <c r="O63" s="131">
        <f>IF(B63&lt;='VALOR POR PL'!$P$5,'CP RESUMO'!BJ76,"")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RESUMO'!BK34</f>
        <v/>
      </c>
      <c r="N64" s="132">
        <f>MAX(0,M64-M63)</f>
        <v/>
      </c>
      <c r="O64" s="131">
        <f>IF(B64&lt;='VALOR POR PL'!$P$5,'CP RESUMO'!BK76,"")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RESUMO'!BL34</f>
        <v/>
      </c>
      <c r="N65" s="132">
        <f>MAX(0,M65-M64)</f>
        <v/>
      </c>
      <c r="O65" s="131">
        <f>IF(B65&lt;='VALOR POR PL'!$P$5,'CP RESUMO'!BL76,"")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RESUMO'!BM34</f>
        <v/>
      </c>
      <c r="N66" s="132">
        <f>MAX(0,M66-M65)</f>
        <v/>
      </c>
      <c r="O66" s="131">
        <f>IF(B66&lt;='VALOR POR PL'!$P$5,'CP RESUMO'!BM76,"")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RESUMO'!BN34</f>
        <v/>
      </c>
      <c r="N67" s="132">
        <f>MAX(0,M67-M66)</f>
        <v/>
      </c>
      <c r="O67" s="131">
        <f>IF(B67&lt;='VALOR POR PL'!$P$5,'CP RESUMO'!BN76,"")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RESUMO'!BO34</f>
        <v/>
      </c>
      <c r="N68" s="132">
        <f>MAX(0,M68-M67)</f>
        <v/>
      </c>
      <c r="O68" s="131">
        <f>IF(B68&lt;='VALOR POR PL'!$P$5,'CP RESUMO'!BO76,"")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RESUMO'!BP34</f>
        <v/>
      </c>
      <c r="N69" s="132">
        <f>MAX(0,M69-M68)</f>
        <v/>
      </c>
      <c r="O69" s="131">
        <f>IF(B69&lt;='VALOR POR PL'!$P$5,'CP RESUMO'!BP76,"")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RESUMO'!BQ34</f>
        <v/>
      </c>
      <c r="N70" s="132">
        <f>MAX(0,M70-M69)</f>
        <v/>
      </c>
      <c r="O70" s="131">
        <f>IF(B70&lt;='VALOR POR PL'!$P$5,'CP RESUMO'!BQ76,"")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RESUMO'!BR34</f>
        <v/>
      </c>
      <c r="N71" s="132">
        <f>MAX(0,M71-M70)</f>
        <v/>
      </c>
      <c r="O71" s="131">
        <f>IF(B71&lt;='VALOR POR PL'!$P$5,'CP RESUMO'!BR76,"")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RESUMO'!BS34</f>
        <v/>
      </c>
      <c r="N72" s="132">
        <f>MAX(0,M72-M71)</f>
        <v/>
      </c>
      <c r="O72" s="131">
        <f>IF(B72&lt;='VALOR POR PL'!$P$5,'CP RESUMO'!BS76,"")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RESUMO'!BT34</f>
        <v/>
      </c>
      <c r="N73" s="132">
        <f>MAX(0,M73-M72)</f>
        <v/>
      </c>
      <c r="O73" s="131">
        <f>IF(B73&lt;='VALOR POR PL'!$P$5,'CP RESUMO'!BT76,"")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RESUMO'!BU34</f>
        <v/>
      </c>
      <c r="N74" s="132">
        <f>MAX(0,M74-M73)</f>
        <v/>
      </c>
      <c r="O74" s="131">
        <f>IF(B74&lt;='VALOR POR PL'!$P$5,'CP RESUMO'!BU76,"")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RESUMO'!BV34</f>
        <v/>
      </c>
      <c r="N75" s="132">
        <f>MAX(0,M75-M74)</f>
        <v/>
      </c>
      <c r="O75" s="131">
        <f>IF(B75&lt;='VALOR POR PL'!$P$5,'CP RESUMO'!BV76,"")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RESUMO'!BW34</f>
        <v/>
      </c>
      <c r="N76" s="132">
        <f>MAX(0,M76-M75)</f>
        <v/>
      </c>
      <c r="O76" s="131">
        <f>IF(B76&lt;='VALOR POR PL'!$P$5,'CP RESUMO'!BW76,"")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HISTORICOS'!D35)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PL'!F41</f>
        <v/>
      </c>
      <c r="K5" s="60">
        <f>'VALOR POR PL'!G41</f>
        <v/>
      </c>
      <c r="L5" s="60">
        <f>'DADOS HISTORICOS'!$BZ$35</f>
        <v/>
      </c>
      <c r="M5" s="131">
        <f>'CP RESUMO'!D35</f>
        <v/>
      </c>
      <c r="N5" s="132" t="n">
        <v>0</v>
      </c>
      <c r="O5" s="131">
        <f>IF(B5&lt;='VALOR POR PL'!$P$5,'CP RESUMO'!D77,"")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HISTORICOS'!E35)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PL'!H41</f>
        <v/>
      </c>
      <c r="L6" s="49">
        <f>C6/IF(B6&lt;='VALOR POR PL'!$P$5,IFERROR(INDEX('"INCC-FGV"'!$B$2:$B$800,MATCH(B6,'"INCC-FGV"'!$A$2:$A$800,0)),$K$2),$K$2)</f>
        <v/>
      </c>
      <c r="M6" s="131">
        <f>'CP RESUMO'!E35</f>
        <v/>
      </c>
      <c r="N6" s="132">
        <f>MAX(0,M6-M5)</f>
        <v/>
      </c>
      <c r="O6" s="131">
        <f>IF(B6&lt;='VALOR POR PL'!$P$5,'CP RESUMO'!E77,"")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HISTORICOS'!F35)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RESUMO'!F35</f>
        <v/>
      </c>
      <c r="N7" s="132">
        <f>MAX(0,M7-M6)</f>
        <v/>
      </c>
      <c r="O7" s="131">
        <f>IF(B7&lt;='VALOR POR PL'!$P$5,'CP RESUMO'!F77,"")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HISTORICOS'!G35)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RESUMO'!G35</f>
        <v/>
      </c>
      <c r="N8" s="132">
        <f>MAX(0,M8-M7)</f>
        <v/>
      </c>
      <c r="O8" s="131">
        <f>IF(B8&lt;='VALOR POR PL'!$P$5,'CP RESUMO'!G77,"")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HISTORICOS'!H35)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RESUMO'!H35</f>
        <v/>
      </c>
      <c r="N9" s="132">
        <f>MAX(0,M9-M8)</f>
        <v/>
      </c>
      <c r="O9" s="131">
        <f>IF(B9&lt;='VALOR POR PL'!$P$5,'CP RESUMO'!H77,"")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RESUMO'!I35</f>
        <v/>
      </c>
      <c r="N10" s="132">
        <f>MAX(0,M10-M9)</f>
        <v/>
      </c>
      <c r="O10" s="131">
        <f>IF(B10&lt;='VALOR POR PL'!$P$5,'CP RESUMO'!I77,"")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RESUMO'!J35</f>
        <v/>
      </c>
      <c r="N11" s="132">
        <f>MAX(0,M11-M10)</f>
        <v/>
      </c>
      <c r="O11" s="131">
        <f>IF(B11&lt;='VALOR POR PL'!$P$5,'CP RESUMO'!J77,"")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RESUMO'!K35</f>
        <v/>
      </c>
      <c r="N12" s="132">
        <f>MAX(0,M12-M11)</f>
        <v/>
      </c>
      <c r="O12" s="131">
        <f>IF(B12&lt;='VALOR POR PL'!$P$5,'CP RESUMO'!K77,"")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PL'!I41</f>
        <v/>
      </c>
      <c r="L13" s="49">
        <f>C13/IF(B13&lt;='VALOR POR PL'!$P$5,IFERROR(INDEX('"INCC-FGV"'!$B$2:$B$800,MATCH(B13,'"INCC-FGV"'!$A$2:$A$800,0)),$K$2),$K$2)</f>
        <v/>
      </c>
      <c r="M13" s="131">
        <f>'CP RESUMO'!L35</f>
        <v/>
      </c>
      <c r="N13" s="132">
        <f>MAX(0,M13-M12)</f>
        <v/>
      </c>
      <c r="O13" s="131">
        <f>IF(B13&lt;='VALOR POR PL'!$P$5,'CP RESUMO'!L77,"")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RESUMO'!$D$77:$BW$77,MATCH('VALOR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RESUMO'!M35</f>
        <v/>
      </c>
      <c r="N14" s="132">
        <f>MAX(0,M14-M13)</f>
        <v/>
      </c>
      <c r="O14" s="131">
        <f>IF(B14&lt;='VALOR POR PL'!$P$5,'CP RESUMO'!M77,"")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RESUMO'!N35</f>
        <v/>
      </c>
      <c r="N15" s="132">
        <f>MAX(0,M15-M14)</f>
        <v/>
      </c>
      <c r="O15" s="131">
        <f>IF(B15&lt;='VALOR POR PL'!$P$5,'CP RESUMO'!N77,"")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RESUMO'!O35</f>
        <v/>
      </c>
      <c r="N16" s="132">
        <f>MAX(0,M16-M15)</f>
        <v/>
      </c>
      <c r="O16" s="131">
        <f>IF(B16&lt;='VALOR POR PL'!$P$5,'CP RESUMO'!O77,"")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RESUMO'!P35</f>
        <v/>
      </c>
      <c r="N17" s="132">
        <f>MAX(0,M17-M16)</f>
        <v/>
      </c>
      <c r="O17" s="131">
        <f>IF(B17&lt;='VALOR POR PL'!$P$5,'CP RESUMO'!P77,"")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RESUMO'!Q35</f>
        <v/>
      </c>
      <c r="N18" s="132">
        <f>MAX(0,M18-M17)</f>
        <v/>
      </c>
      <c r="O18" s="131">
        <f>IF(B18&lt;='VALOR POR PL'!$P$5,'CP RESUMO'!Q77,"")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RESUMO'!R35</f>
        <v/>
      </c>
      <c r="N19" s="132">
        <f>MAX(0,M19-M18)</f>
        <v/>
      </c>
      <c r="O19" s="131">
        <f>IF(B19&lt;='VALOR POR PL'!$P$5,'CP RESUMO'!R77,"")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RESUMO'!S35</f>
        <v/>
      </c>
      <c r="N20" s="132">
        <f>MAX(0,M20-M19)</f>
        <v/>
      </c>
      <c r="O20" s="131">
        <f>IF(B20&lt;='VALOR POR PL'!$P$5,'CP RESUMO'!S77,"")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RESUMO'!T35</f>
        <v/>
      </c>
      <c r="N21" s="132">
        <f>MAX(0,M21-M20)</f>
        <v/>
      </c>
      <c r="O21" s="131">
        <f>IF(B21&lt;='VALOR POR PL'!$P$5,'CP RESUMO'!T77,"")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RESUMO'!U35</f>
        <v/>
      </c>
      <c r="N22" s="132">
        <f>MAX(0,M22-M21)</f>
        <v/>
      </c>
      <c r="O22" s="131">
        <f>IF(B22&lt;='VALOR POR PL'!$P$5,'CP RESUMO'!U77,"")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RESUMO'!V35</f>
        <v/>
      </c>
      <c r="N23" s="132">
        <f>MAX(0,M23-M22)</f>
        <v/>
      </c>
      <c r="O23" s="131">
        <f>IF(B23&lt;='VALOR POR PL'!$P$5,'CP RESUMO'!V77,"")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PL 31 do Ed Jardim (no Botânico é PAVIMENTAÇÃO). No Prevision é o item 18.</t>
        </is>
      </c>
      <c r="L24" s="49">
        <f>C24/IF(B24&lt;='VALOR POR PL'!$P$5,IFERROR(INDEX('"INCC-FGV"'!$B$2:$B$800,MATCH(B24,'"INCC-FGV"'!$A$2:$A$800,0)),$K$2),$K$2)</f>
        <v/>
      </c>
      <c r="M24" s="131">
        <f>'CP RESUMO'!W35</f>
        <v/>
      </c>
      <c r="N24" s="132">
        <f>MAX(0,M24-M23)</f>
        <v/>
      </c>
      <c r="O24" s="131">
        <f>IF(B24&lt;='VALOR POR PL'!$P$5,'CP RESUMO'!W77,"")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RESUMO'!X35</f>
        <v/>
      </c>
      <c r="N25" s="132">
        <f>MAX(0,M25-M24)</f>
        <v/>
      </c>
      <c r="O25" s="131">
        <f>IF(B25&lt;='VALOR POR PL'!$P$5,'CP RESUMO'!X77,"")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RESUMO'!Y35</f>
        <v/>
      </c>
      <c r="N26" s="132">
        <f>MAX(0,M26-M25)</f>
        <v/>
      </c>
      <c r="O26" s="131">
        <f>IF(B26&lt;='VALOR POR PL'!$P$5,'CP RESUMO'!Y77,"")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RESUMO'!Z35</f>
        <v/>
      </c>
      <c r="N27" s="132">
        <f>MAX(0,M27-M26)</f>
        <v/>
      </c>
      <c r="O27" s="131">
        <f>IF(B27&lt;='VALOR POR PL'!$P$5,'CP RESUMO'!Z77,"")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RESUMO'!AA35</f>
        <v/>
      </c>
      <c r="N28" s="132">
        <f>MAX(0,M28-M27)</f>
        <v/>
      </c>
      <c r="O28" s="131">
        <f>IF(B28&lt;='VALOR POR PL'!$P$5,'CP RESUMO'!AA77,"")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RESUMO'!AB35</f>
        <v/>
      </c>
      <c r="N29" s="132">
        <f>MAX(0,M29-M28)</f>
        <v/>
      </c>
      <c r="O29" s="131">
        <f>IF(B29&lt;='VALOR POR PL'!$P$5,'CP RESUMO'!AB77,"")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RESUMO'!AC35</f>
        <v/>
      </c>
      <c r="N30" s="132">
        <f>MAX(0,M30-M29)</f>
        <v/>
      </c>
      <c r="O30" s="131">
        <f>IF(B30&lt;='VALOR POR PL'!$P$5,'CP RESUMO'!AC77,"")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RESUMO'!AD35</f>
        <v/>
      </c>
      <c r="N31" s="132">
        <f>MAX(0,M31-M30)</f>
        <v/>
      </c>
      <c r="O31" s="131">
        <f>IF(B31&lt;='VALOR POR PL'!$P$5,'CP RESUMO'!AD77,"")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RESUMO'!AE35</f>
        <v/>
      </c>
      <c r="N32" s="132">
        <f>MAX(0,M32-M31)</f>
        <v/>
      </c>
      <c r="O32" s="131">
        <f>IF(B32&lt;='VALOR POR PL'!$P$5,'CP RESUMO'!AE77,"")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RESUMO'!AF35</f>
        <v/>
      </c>
      <c r="N33" s="132">
        <f>MAX(0,M33-M32)</f>
        <v/>
      </c>
      <c r="O33" s="131">
        <f>IF(B33&lt;='VALOR POR PL'!$P$5,'CP RESUMO'!AF77,"")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RESUMO'!AG35</f>
        <v/>
      </c>
      <c r="N34" s="132">
        <f>MAX(0,M34-M33)</f>
        <v/>
      </c>
      <c r="O34" s="131">
        <f>IF(B34&lt;='VALOR POR PL'!$P$5,'CP RESUMO'!AG77,"")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RESUMO'!AH35</f>
        <v/>
      </c>
      <c r="N35" s="132">
        <f>MAX(0,M35-M34)</f>
        <v/>
      </c>
      <c r="O35" s="131">
        <f>IF(B35&lt;='VALOR POR PL'!$P$5,'CP RESUMO'!AH77,"")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RESUMO'!AI35</f>
        <v/>
      </c>
      <c r="N36" s="132">
        <f>MAX(0,M36-M35)</f>
        <v/>
      </c>
      <c r="O36" s="131">
        <f>IF(B36&lt;='VALOR POR PL'!$P$5,'CP RESUMO'!AI77,"")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RESUMO'!AJ35</f>
        <v/>
      </c>
      <c r="N37" s="132">
        <f>MAX(0,M37-M36)</f>
        <v/>
      </c>
      <c r="O37" s="131">
        <f>IF(B37&lt;='VALOR POR PL'!$P$5,'CP RESUMO'!AJ77,"")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/>
      <c r="L38" s="49">
        <f>C38/IF(B38&lt;='VALOR POR PL'!$P$5,IFERROR(INDEX('"INCC-FGV"'!$B$2:$B$800,MATCH(B38,'"INCC-FGV"'!$A$2:$A$800,0)),$K$2),$K$2)</f>
        <v/>
      </c>
      <c r="M38" s="131">
        <f>'CP RESUMO'!AK35</f>
        <v/>
      </c>
      <c r="N38" s="132">
        <f>MAX(0,M38-M37)</f>
        <v/>
      </c>
      <c r="O38" s="131">
        <f>IF(B38&lt;='VALOR POR PL'!$P$5,'CP RESUMO'!AK77,"")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RESUMO'!AL35</f>
        <v/>
      </c>
      <c r="N39" s="132">
        <f>MAX(0,M39-M38)</f>
        <v/>
      </c>
      <c r="O39" s="131">
        <f>IF(B39&lt;='VALOR POR PL'!$P$5,'CP RESUMO'!AL77,"")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RESUMO'!AM35</f>
        <v/>
      </c>
      <c r="N40" s="132">
        <f>MAX(0,M40-M39)</f>
        <v/>
      </c>
      <c r="O40" s="131">
        <f>IF(B40&lt;='VALOR POR PL'!$P$5,'CP RESUMO'!AM77,"")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RESUMO'!AN35</f>
        <v/>
      </c>
      <c r="N41" s="132">
        <f>MAX(0,M41-M40)</f>
        <v/>
      </c>
      <c r="O41" s="131">
        <f>IF(B41&lt;='VALOR POR PL'!$P$5,'CP RESUMO'!AN77,"")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98000</v>
      </c>
      <c r="L42" s="49">
        <f>C42/IF(B42&lt;='VALOR POR PL'!$P$5,IFERROR(INDEX('"INCC-FGV"'!$B$2:$B$800,MATCH(B42,'"INCC-FGV"'!$A$2:$A$800,0)),$K$2),$K$2)</f>
        <v/>
      </c>
      <c r="M42" s="131">
        <f>'CP RESUMO'!AO35</f>
        <v/>
      </c>
      <c r="N42" s="132">
        <f>MAX(0,M42-M41)</f>
        <v/>
      </c>
      <c r="O42" s="131">
        <f>IF(B42&lt;='VALOR POR PL'!$P$5,'CP RESUMO'!AO77,"")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97186</v>
      </c>
      <c r="L43" s="49">
        <f>C43/IF(B43&lt;='VALOR POR PL'!$P$5,IFERROR(INDEX('"INCC-FGV"'!$B$2:$B$800,MATCH(B43,'"INCC-FGV"'!$A$2:$A$800,0)),$K$2),$K$2)</f>
        <v/>
      </c>
      <c r="M43" s="131">
        <f>'CP RESUMO'!AP35</f>
        <v/>
      </c>
      <c r="N43" s="132">
        <f>MAX(0,M43-M42)</f>
        <v/>
      </c>
      <c r="O43" s="131">
        <f>IF(B43&lt;='VALOR POR PL'!$P$5,'CP RESUMO'!AP77,"")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RESUMO'!AQ35</f>
        <v/>
      </c>
      <c r="N44" s="132">
        <f>MAX(0,M44-M43)</f>
        <v/>
      </c>
      <c r="O44" s="131">
        <f>IF(B44&lt;='VALOR POR PL'!$P$5,'CP RESUMO'!AQ77,"")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RESUMO'!AR35</f>
        <v/>
      </c>
      <c r="N45" s="132">
        <f>MAX(0,M45-M44)</f>
        <v/>
      </c>
      <c r="O45" s="131">
        <f>IF(B45&lt;='VALOR POR PL'!$P$5,'CP RESUMO'!AR77,"")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RESUMO'!AS35</f>
        <v/>
      </c>
      <c r="N46" s="132">
        <f>MAX(0,M46-M45)</f>
        <v/>
      </c>
      <c r="O46" s="131">
        <f>IF(B46&lt;='VALOR POR PL'!$P$5,'CP RESUMO'!AS77,"")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RESUMO'!AT35</f>
        <v/>
      </c>
      <c r="N47" s="132">
        <f>MAX(0,M47-M46)</f>
        <v/>
      </c>
      <c r="O47" s="131">
        <f>IF(B47&lt;='VALOR POR PL'!$P$5,'CP RESUMO'!AT77,"")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RESUMO'!AU35</f>
        <v/>
      </c>
      <c r="N48" s="132">
        <f>MAX(0,M48-M47)</f>
        <v/>
      </c>
      <c r="O48" s="131">
        <f>IF(B48&lt;='VALOR POR PL'!$P$5,'CP RESUMO'!AU77,"")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RESUMO'!AV35</f>
        <v/>
      </c>
      <c r="N49" s="132">
        <f>MAX(0,M49-M48)</f>
        <v/>
      </c>
      <c r="O49" s="131">
        <f>IF(B49&lt;='VALOR POR PL'!$P$5,'CP RESUMO'!AV77,"")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RESUMO'!AW35</f>
        <v/>
      </c>
      <c r="N50" s="132">
        <f>MAX(0,M50-M49)</f>
        <v/>
      </c>
      <c r="O50" s="131">
        <f>IF(B50&lt;='VALOR POR PL'!$P$5,'CP RESUMO'!AW77,"")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RESUMO'!AX35</f>
        <v/>
      </c>
      <c r="N51" s="132">
        <f>MAX(0,M51-M50)</f>
        <v/>
      </c>
      <c r="O51" s="131">
        <f>IF(B51&lt;='VALOR POR PL'!$P$5,'CP RESUMO'!AX77,"")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RESUMO'!AY35</f>
        <v/>
      </c>
      <c r="N52" s="132">
        <f>MAX(0,M52-M51)</f>
        <v/>
      </c>
      <c r="O52" s="131">
        <f>IF(B52&lt;='VALOR POR PL'!$P$5,'CP RESUMO'!AY77,"")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RESUMO'!AZ35</f>
        <v/>
      </c>
      <c r="N53" s="132">
        <f>MAX(0,M53-M52)</f>
        <v/>
      </c>
      <c r="O53" s="131">
        <f>IF(B53&lt;='VALOR POR PL'!$P$5,'CP RESUMO'!AZ77,"")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RESUMO'!BA35</f>
        <v/>
      </c>
      <c r="N54" s="132">
        <f>MAX(0,M54-M53)</f>
        <v/>
      </c>
      <c r="O54" s="131">
        <f>IF(B54&lt;='VALOR POR PL'!$P$5,'CP RESUMO'!BA77,"")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RESUMO'!BB35</f>
        <v/>
      </c>
      <c r="N55" s="132">
        <f>MAX(0,M55-M54)</f>
        <v/>
      </c>
      <c r="O55" s="131">
        <f>IF(B55&lt;='VALOR POR PL'!$P$5,'CP RESUMO'!BB77,"")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RESUMO'!BC35</f>
        <v/>
      </c>
      <c r="N56" s="132">
        <f>MAX(0,M56-M55)</f>
        <v/>
      </c>
      <c r="O56" s="131">
        <f>IF(B56&lt;='VALOR POR PL'!$P$5,'CP RESUMO'!BC77,"")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RESUMO'!BD35</f>
        <v/>
      </c>
      <c r="N57" s="132">
        <f>MAX(0,M57-M56)</f>
        <v/>
      </c>
      <c r="O57" s="131">
        <f>IF(B57&lt;='VALOR POR PL'!$P$5,'CP RESUMO'!BD77,"")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RESUMO'!BE35</f>
        <v/>
      </c>
      <c r="N58" s="132">
        <f>MAX(0,M58-M57)</f>
        <v/>
      </c>
      <c r="O58" s="131">
        <f>IF(B58&lt;='VALOR POR PL'!$P$5,'CP RESUMO'!BE77,"")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RESUMO'!BF35</f>
        <v/>
      </c>
      <c r="N59" s="132">
        <f>MAX(0,M59-M58)</f>
        <v/>
      </c>
      <c r="O59" s="131">
        <f>IF(B59&lt;='VALOR POR PL'!$P$5,'CP RESUMO'!BF77,"")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RESUMO'!BG35</f>
        <v/>
      </c>
      <c r="N60" s="132">
        <f>MAX(0,M60-M59)</f>
        <v/>
      </c>
      <c r="O60" s="131">
        <f>IF(B60&lt;='VALOR POR PL'!$P$5,'CP RESUMO'!BG77,"")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RESUMO'!BH35</f>
        <v/>
      </c>
      <c r="N61" s="132">
        <f>MAX(0,M61-M60)</f>
        <v/>
      </c>
      <c r="O61" s="131">
        <f>IF(B61&lt;='VALOR POR PL'!$P$5,'CP RESUMO'!BH77,"")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RESUMO'!BI35</f>
        <v/>
      </c>
      <c r="N62" s="132">
        <f>MAX(0,M62-M61)</f>
        <v/>
      </c>
      <c r="O62" s="131">
        <f>IF(B62&lt;='VALOR POR PL'!$P$5,'CP RESUMO'!BI77,"")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RESUMO'!BJ35</f>
        <v/>
      </c>
      <c r="N63" s="132">
        <f>MAX(0,M63-M62)</f>
        <v/>
      </c>
      <c r="O63" s="131">
        <f>IF(B63&lt;='VALOR POR PL'!$P$5,'CP RESUMO'!BJ77,"")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RESUMO'!BK35</f>
        <v/>
      </c>
      <c r="N64" s="132">
        <f>MAX(0,M64-M63)</f>
        <v/>
      </c>
      <c r="O64" s="131">
        <f>IF(B64&lt;='VALOR POR PL'!$P$5,'CP RESUMO'!BK77,"")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RESUMO'!BL35</f>
        <v/>
      </c>
      <c r="N65" s="132">
        <f>MAX(0,M65-M64)</f>
        <v/>
      </c>
      <c r="O65" s="131">
        <f>IF(B65&lt;='VALOR POR PL'!$P$5,'CP RESUMO'!BL77,"")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RESUMO'!BM35</f>
        <v/>
      </c>
      <c r="N66" s="132">
        <f>MAX(0,M66-M65)</f>
        <v/>
      </c>
      <c r="O66" s="131">
        <f>IF(B66&lt;='VALOR POR PL'!$P$5,'CP RESUMO'!BM77,"")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RESUMO'!BN35</f>
        <v/>
      </c>
      <c r="N67" s="132">
        <f>MAX(0,M67-M66)</f>
        <v/>
      </c>
      <c r="O67" s="131">
        <f>IF(B67&lt;='VALOR POR PL'!$P$5,'CP RESUMO'!BN77,"")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RESUMO'!BO35</f>
        <v/>
      </c>
      <c r="N68" s="132">
        <f>MAX(0,M68-M67)</f>
        <v/>
      </c>
      <c r="O68" s="131">
        <f>IF(B68&lt;='VALOR POR PL'!$P$5,'CP RESUMO'!BO77,"")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RESUMO'!BP35</f>
        <v/>
      </c>
      <c r="N69" s="132">
        <f>MAX(0,M69-M68)</f>
        <v/>
      </c>
      <c r="O69" s="131">
        <f>IF(B69&lt;='VALOR POR PL'!$P$5,'CP RESUMO'!BP77,"")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RESUMO'!BQ35</f>
        <v/>
      </c>
      <c r="N70" s="132">
        <f>MAX(0,M70-M69)</f>
        <v/>
      </c>
      <c r="O70" s="131">
        <f>IF(B70&lt;='VALOR POR PL'!$P$5,'CP RESUMO'!BQ77,"")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RESUMO'!BR35</f>
        <v/>
      </c>
      <c r="N71" s="132">
        <f>MAX(0,M71-M70)</f>
        <v/>
      </c>
      <c r="O71" s="131">
        <f>IF(B71&lt;='VALOR POR PL'!$P$5,'CP RESUMO'!BR77,"")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RESUMO'!BS35</f>
        <v/>
      </c>
      <c r="N72" s="132">
        <f>MAX(0,M72-M71)</f>
        <v/>
      </c>
      <c r="O72" s="131">
        <f>IF(B72&lt;='VALOR POR PL'!$P$5,'CP RESUMO'!BS77,"")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RESUMO'!BT35</f>
        <v/>
      </c>
      <c r="N73" s="132">
        <f>MAX(0,M73-M72)</f>
        <v/>
      </c>
      <c r="O73" s="131">
        <f>IF(B73&lt;='VALOR POR PL'!$P$5,'CP RESUMO'!BT77,"")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RESUMO'!BU35</f>
        <v/>
      </c>
      <c r="N74" s="132">
        <f>MAX(0,M74-M73)</f>
        <v/>
      </c>
      <c r="O74" s="131">
        <f>IF(B74&lt;='VALOR POR PL'!$P$5,'CP RESUMO'!BU77,"")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RESUMO'!BV35</f>
        <v/>
      </c>
      <c r="N75" s="132">
        <f>MAX(0,M75-M74)</f>
        <v/>
      </c>
      <c r="O75" s="131">
        <f>IF(B75&lt;='VALOR POR PL'!$P$5,'CP RESUMO'!BV77,"")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RESUMO'!BW35</f>
        <v/>
      </c>
      <c r="N76" s="132">
        <f>MAX(0,M76-M75)</f>
        <v/>
      </c>
      <c r="O76" s="131">
        <f>IF(B76&lt;='VALOR POR PL'!$P$5,'CP RESUMO'!BW77,"")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HISTORICOS'!D36)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PL'!F42</f>
        <v/>
      </c>
      <c r="K5" s="60">
        <f>'VALOR POR PL'!G42</f>
        <v/>
      </c>
      <c r="L5" s="60">
        <f>'DADOS HISTORICOS'!$BZ$36</f>
        <v/>
      </c>
      <c r="M5" s="131">
        <f>'CP RESUMO'!D36</f>
        <v/>
      </c>
      <c r="N5" s="132" t="n">
        <v>0</v>
      </c>
      <c r="O5" s="131">
        <f>IF(B5&lt;='VALOR POR PL'!$P$5,'CP RESUMO'!D78,"")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HISTORICOS'!E36)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PL'!H42</f>
        <v/>
      </c>
      <c r="L6" s="49">
        <f>C6/IF(B6&lt;='VALOR POR PL'!$P$5,IFERROR(INDEX('"INCC-FGV"'!$B$2:$B$800,MATCH(B6,'"INCC-FGV"'!$A$2:$A$800,0)),$K$2),$K$2)</f>
        <v/>
      </c>
      <c r="M6" s="131">
        <f>'CP RESUMO'!E36</f>
        <v/>
      </c>
      <c r="N6" s="132">
        <f>MAX(0,M6-M5)</f>
        <v/>
      </c>
      <c r="O6" s="131">
        <f>IF(B6&lt;='VALOR POR PL'!$P$5,'CP RESUMO'!E78,"")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HISTORICOS'!F36)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RESUMO'!F36</f>
        <v/>
      </c>
      <c r="N7" s="132">
        <f>MAX(0,M7-M6)</f>
        <v/>
      </c>
      <c r="O7" s="131">
        <f>IF(B7&lt;='VALOR POR PL'!$P$5,'CP RESUMO'!F78,"")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HISTORICOS'!G36)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RESUMO'!G36</f>
        <v/>
      </c>
      <c r="N8" s="132">
        <f>MAX(0,M8-M7)</f>
        <v/>
      </c>
      <c r="O8" s="131">
        <f>IF(B8&lt;='VALOR POR PL'!$P$5,'CP RESUMO'!G78,"")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HISTORICOS'!H36)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RESUMO'!H36</f>
        <v/>
      </c>
      <c r="N9" s="132">
        <f>MAX(0,M9-M8)</f>
        <v/>
      </c>
      <c r="O9" s="131">
        <f>IF(B9&lt;='VALOR POR PL'!$P$5,'CP RESUMO'!H78,"")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RESUMO'!I36</f>
        <v/>
      </c>
      <c r="N10" s="132">
        <f>MAX(0,M10-M9)</f>
        <v/>
      </c>
      <c r="O10" s="131">
        <f>IF(B10&lt;='VALOR POR PL'!$P$5,'CP RESUMO'!I78,"")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RESUMO'!J36</f>
        <v/>
      </c>
      <c r="N11" s="132">
        <f>MAX(0,M11-M10)</f>
        <v/>
      </c>
      <c r="O11" s="131">
        <f>IF(B11&lt;='VALOR POR PL'!$P$5,'CP RESUMO'!J78,"")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RESUMO'!K36</f>
        <v/>
      </c>
      <c r="N12" s="132">
        <f>MAX(0,M12-M11)</f>
        <v/>
      </c>
      <c r="O12" s="131">
        <f>IF(B12&lt;='VALOR POR PL'!$P$5,'CP RESUMO'!K78,"")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PL'!I42</f>
        <v/>
      </c>
      <c r="L13" s="49">
        <f>C13/IF(B13&lt;='VALOR POR PL'!$P$5,IFERROR(INDEX('"INCC-FGV"'!$B$2:$B$800,MATCH(B13,'"INCC-FGV"'!$A$2:$A$800,0)),$K$2),$K$2)</f>
        <v/>
      </c>
      <c r="M13" s="131">
        <f>'CP RESUMO'!L36</f>
        <v/>
      </c>
      <c r="N13" s="132">
        <f>MAX(0,M13-M12)</f>
        <v/>
      </c>
      <c r="O13" s="131">
        <f>IF(B13&lt;='VALOR POR PL'!$P$5,'CP RESUMO'!L78,"")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RESUMO'!$D$78:$BW$78,MATCH('VALOR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RESUMO'!M36</f>
        <v/>
      </c>
      <c r="N14" s="132">
        <f>MAX(0,M14-M13)</f>
        <v/>
      </c>
      <c r="O14" s="131">
        <f>IF(B14&lt;='VALOR POR PL'!$P$5,'CP RESUMO'!M78,"")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1">
        <f>'CP RESUMO'!N36</f>
        <v/>
      </c>
      <c r="N15" s="132">
        <f>MAX(0,M15-M14)</f>
        <v/>
      </c>
      <c r="O15" s="131">
        <f>IF(B15&lt;='VALOR POR PL'!$P$5,'CP RESUMO'!N78,"")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RESUMO'!O36</f>
        <v/>
      </c>
      <c r="N16" s="132">
        <f>MAX(0,M16-M15)</f>
        <v/>
      </c>
      <c r="O16" s="131">
        <f>IF(B16&lt;='VALOR POR PL'!$P$5,'CP RESUMO'!O78,"")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RESUMO'!P36</f>
        <v/>
      </c>
      <c r="N17" s="132">
        <f>MAX(0,M17-M16)</f>
        <v/>
      </c>
      <c r="O17" s="131">
        <f>IF(B17&lt;='VALOR POR PL'!$P$5,'CP RESUMO'!P78,"")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RESUMO'!Q36</f>
        <v/>
      </c>
      <c r="N18" s="132">
        <f>MAX(0,M18-M17)</f>
        <v/>
      </c>
      <c r="O18" s="131">
        <f>IF(B18&lt;='VALOR POR PL'!$P$5,'CP RESUMO'!Q78,"")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RESUMO'!R36</f>
        <v/>
      </c>
      <c r="N19" s="132">
        <f>MAX(0,M19-M18)</f>
        <v/>
      </c>
      <c r="O19" s="131">
        <f>IF(B19&lt;='VALOR POR PL'!$P$5,'CP RESUMO'!R78,"")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RESUMO'!S36</f>
        <v/>
      </c>
      <c r="N20" s="132">
        <f>MAX(0,M20-M19)</f>
        <v/>
      </c>
      <c r="O20" s="131">
        <f>IF(B20&lt;='VALOR POR PL'!$P$5,'CP RESUMO'!S78,"")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RESUMO'!T36</f>
        <v/>
      </c>
      <c r="N21" s="132">
        <f>MAX(0,M21-M20)</f>
        <v/>
      </c>
      <c r="O21" s="131">
        <f>IF(B21&lt;='VALOR POR PL'!$P$5,'CP RESUMO'!T78,"")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RESUMO'!U36</f>
        <v/>
      </c>
      <c r="N22" s="132">
        <f>MAX(0,M22-M21)</f>
        <v/>
      </c>
      <c r="O22" s="131">
        <f>IF(B22&lt;='VALOR POR PL'!$P$5,'CP RESUMO'!U78,"")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RESUMO'!V36</f>
        <v/>
      </c>
      <c r="N23" s="132">
        <f>MAX(0,M23-M22)</f>
        <v/>
      </c>
      <c r="O23" s="131">
        <f>IF(B23&lt;='VALOR POR PL'!$P$5,'CP RESUMO'!V78,"")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Cenário Prevision ajustado: curva pelo Estudo de fachada R12 (cenário 07): m² de cada frente de balancim distribuídos pelos dias úteis (seg-sáb), de out/2026 a abr/2028 (8,5% em 2026, 62,8% em 2027, 28,7% em 2028). O custo do estudo é só dos balancins; a curva dá o formato do saldo do PL.</t>
        </is>
      </c>
      <c r="L24" s="49">
        <f>C24/IF(B24&lt;='VALOR POR PL'!$P$5,IFERROR(INDEX('"INCC-FGV"'!$B$2:$B$800,MATCH(B24,'"INCC-FGV"'!$A$2:$A$800,0)),$K$2),$K$2)</f>
        <v/>
      </c>
      <c r="M24" s="131">
        <f>'CP RESUMO'!W36</f>
        <v/>
      </c>
      <c r="N24" s="132">
        <f>MAX(0,M24-M23)</f>
        <v/>
      </c>
      <c r="O24" s="131">
        <f>IF(B24&lt;='VALOR POR PL'!$P$5,'CP RESUMO'!W78,"")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RESUMO'!X36</f>
        <v/>
      </c>
      <c r="N25" s="132">
        <f>MAX(0,M25-M24)</f>
        <v/>
      </c>
      <c r="O25" s="131">
        <f>IF(B25&lt;='VALOR POR PL'!$P$5,'CP RESUMO'!X78,"")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RESUMO'!Y36</f>
        <v/>
      </c>
      <c r="N26" s="132">
        <f>MAX(0,M26-M25)</f>
        <v/>
      </c>
      <c r="O26" s="131">
        <f>IF(B26&lt;='VALOR POR PL'!$P$5,'CP RESUMO'!Y78,"")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160888.01</v>
      </c>
      <c r="L27" s="49">
        <f>C27/IF(B27&lt;='VALOR POR PL'!$P$5,IFERROR(INDEX('"INCC-FGV"'!$B$2:$B$800,MATCH(B27,'"INCC-FGV"'!$A$2:$A$800,0)),$K$2),$K$2)</f>
        <v/>
      </c>
      <c r="M27" s="131">
        <f>'CP RESUMO'!Z36</f>
        <v/>
      </c>
      <c r="N27" s="132">
        <f>MAX(0,M27-M26)</f>
        <v/>
      </c>
      <c r="O27" s="131">
        <f>IF(B27&lt;='VALOR POR PL'!$P$5,'CP RESUMO'!Z78,"")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226743.89</v>
      </c>
      <c r="L28" s="49">
        <f>C28/IF(B28&lt;='VALOR POR PL'!$P$5,IFERROR(INDEX('"INCC-FGV"'!$B$2:$B$800,MATCH(B28,'"INCC-FGV"'!$A$2:$A$800,0)),$K$2),$K$2)</f>
        <v/>
      </c>
      <c r="M28" s="131">
        <f>'CP RESUMO'!AA36</f>
        <v/>
      </c>
      <c r="N28" s="132">
        <f>MAX(0,M28-M27)</f>
        <v/>
      </c>
      <c r="O28" s="131">
        <f>IF(B28&lt;='VALOR POR PL'!$P$5,'CP RESUMO'!AA78,"")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236976.34</v>
      </c>
      <c r="L29" s="49">
        <f>C29/IF(B29&lt;='VALOR POR PL'!$P$5,IFERROR(INDEX('"INCC-FGV"'!$B$2:$B$800,MATCH(B29,'"INCC-FGV"'!$A$2:$A$800,0)),$K$2),$K$2)</f>
        <v/>
      </c>
      <c r="M29" s="131">
        <f>'CP RESUMO'!AB36</f>
        <v/>
      </c>
      <c r="N29" s="132">
        <f>MAX(0,M29-M28)</f>
        <v/>
      </c>
      <c r="O29" s="131">
        <f>IF(B29&lt;='VALOR POR PL'!$P$5,'CP RESUMO'!AB78,"")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289008.59</v>
      </c>
      <c r="L30" s="49">
        <f>C30/IF(B30&lt;='VALOR POR PL'!$P$5,IFERROR(INDEX('"INCC-FGV"'!$B$2:$B$800,MATCH(B30,'"INCC-FGV"'!$A$2:$A$800,0)),$K$2),$K$2)</f>
        <v/>
      </c>
      <c r="M30" s="131">
        <f>'CP RESUMO'!AC36</f>
        <v/>
      </c>
      <c r="N30" s="132">
        <f>MAX(0,M30-M29)</f>
        <v/>
      </c>
      <c r="O30" s="131">
        <f>IF(B30&lt;='VALOR POR PL'!$P$5,'CP RESUMO'!AC78,"")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332420.4</v>
      </c>
      <c r="L31" s="49">
        <f>C31/IF(B31&lt;='VALOR POR PL'!$P$5,IFERROR(INDEX('"INCC-FGV"'!$B$2:$B$800,MATCH(B31,'"INCC-FGV"'!$A$2:$A$800,0)),$K$2),$K$2)</f>
        <v/>
      </c>
      <c r="M31" s="131">
        <f>'CP RESUMO'!AD36</f>
        <v/>
      </c>
      <c r="N31" s="132">
        <f>MAX(0,M31-M30)</f>
        <v/>
      </c>
      <c r="O31" s="131">
        <f>IF(B31&lt;='VALOR POR PL'!$P$5,'CP RESUMO'!AD78,"")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343263.6</v>
      </c>
      <c r="L32" s="49">
        <f>C32/IF(B32&lt;='VALOR POR PL'!$P$5,IFERROR(INDEX('"INCC-FGV"'!$B$2:$B$800,MATCH(B32,'"INCC-FGV"'!$A$2:$A$800,0)),$K$2),$K$2)</f>
        <v/>
      </c>
      <c r="M32" s="131">
        <f>'CP RESUMO'!AE36</f>
        <v/>
      </c>
      <c r="N32" s="132">
        <f>MAX(0,M32-M31)</f>
        <v/>
      </c>
      <c r="O32" s="131">
        <f>IF(B32&lt;='VALOR POR PL'!$P$5,'CP RESUMO'!AE78,"")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342255.85</v>
      </c>
      <c r="L33" s="49">
        <f>C33/IF(B33&lt;='VALOR POR PL'!$P$5,IFERROR(INDEX('"INCC-FGV"'!$B$2:$B$800,MATCH(B33,'"INCC-FGV"'!$A$2:$A$800,0)),$K$2),$K$2)</f>
        <v/>
      </c>
      <c r="M33" s="131">
        <f>'CP RESUMO'!AF36</f>
        <v/>
      </c>
      <c r="N33" s="132">
        <f>MAX(0,M33-M32)</f>
        <v/>
      </c>
      <c r="O33" s="131">
        <f>IF(B33&lt;='VALOR POR PL'!$P$5,'CP RESUMO'!AF78,"")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505498.45</v>
      </c>
      <c r="L34" s="49">
        <f>C34/IF(B34&lt;='VALOR POR PL'!$P$5,IFERROR(INDEX('"INCC-FGV"'!$B$2:$B$800,MATCH(B34,'"INCC-FGV"'!$A$2:$A$800,0)),$K$2),$K$2)</f>
        <v/>
      </c>
      <c r="M34" s="131">
        <f>'CP RESUMO'!AG36</f>
        <v/>
      </c>
      <c r="N34" s="132">
        <f>MAX(0,M34-M33)</f>
        <v/>
      </c>
      <c r="O34" s="131">
        <f>IF(B34&lt;='VALOR POR PL'!$P$5,'CP RESUMO'!AG78,"")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529280.48</v>
      </c>
      <c r="L35" s="49">
        <f>C35/IF(B35&lt;='VALOR POR PL'!$P$5,IFERROR(INDEX('"INCC-FGV"'!$B$2:$B$800,MATCH(B35,'"INCC-FGV"'!$A$2:$A$800,0)),$K$2),$K$2)</f>
        <v/>
      </c>
      <c r="M35" s="131">
        <f>'CP RESUMO'!AH36</f>
        <v/>
      </c>
      <c r="N35" s="132">
        <f>MAX(0,M35-M34)</f>
        <v/>
      </c>
      <c r="O35" s="131">
        <f>IF(B35&lt;='VALOR POR PL'!$P$5,'CP RESUMO'!AH78,"")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515380.1</v>
      </c>
      <c r="L36" s="49">
        <f>C36/IF(B36&lt;='VALOR POR PL'!$P$5,IFERROR(INDEX('"INCC-FGV"'!$B$2:$B$800,MATCH(B36,'"INCC-FGV"'!$A$2:$A$800,0)),$K$2),$K$2)</f>
        <v/>
      </c>
      <c r="M36" s="131">
        <f>'CP RESUMO'!AI36</f>
        <v/>
      </c>
      <c r="N36" s="132">
        <f>MAX(0,M36-M35)</f>
        <v/>
      </c>
      <c r="O36" s="131">
        <f>IF(B36&lt;='VALOR POR PL'!$P$5,'CP RESUMO'!AI78,"")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382040.62</v>
      </c>
      <c r="L37" s="49">
        <f>C37/IF(B37&lt;='VALOR POR PL'!$P$5,IFERROR(INDEX('"INCC-FGV"'!$B$2:$B$800,MATCH(B37,'"INCC-FGV"'!$A$2:$A$800,0)),$K$2),$K$2)</f>
        <v/>
      </c>
      <c r="M37" s="131">
        <f>'CP RESUMO'!AJ36</f>
        <v/>
      </c>
      <c r="N37" s="132">
        <f>MAX(0,M37-M36)</f>
        <v/>
      </c>
      <c r="O37" s="131">
        <f>IF(B37&lt;='VALOR POR PL'!$P$5,'CP RESUMO'!AJ78,"")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379803.68</v>
      </c>
      <c r="L38" s="49">
        <f>C38/IF(B38&lt;='VALOR POR PL'!$P$5,IFERROR(INDEX('"INCC-FGV"'!$B$2:$B$800,MATCH(B38,'"INCC-FGV"'!$A$2:$A$800,0)),$K$2),$K$2)</f>
        <v/>
      </c>
      <c r="M38" s="131">
        <f>'CP RESUMO'!AK36</f>
        <v/>
      </c>
      <c r="N38" s="132">
        <f>MAX(0,M38-M37)</f>
        <v/>
      </c>
      <c r="O38" s="131">
        <f>IF(B38&lt;='VALOR POR PL'!$P$5,'CP RESUMO'!AK78,"")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295381.9</v>
      </c>
      <c r="L39" s="49">
        <f>C39/IF(B39&lt;='VALOR POR PL'!$P$5,IFERROR(INDEX('"INCC-FGV"'!$B$2:$B$800,MATCH(B39,'"INCC-FGV"'!$A$2:$A$800,0)),$K$2),$K$2)</f>
        <v/>
      </c>
      <c r="M39" s="131">
        <f>'CP RESUMO'!AL36</f>
        <v/>
      </c>
      <c r="N39" s="132">
        <f>MAX(0,M39-M38)</f>
        <v/>
      </c>
      <c r="O39" s="131">
        <f>IF(B39&lt;='VALOR POR PL'!$P$5,'CP RESUMO'!AL78,"")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351149.14</v>
      </c>
      <c r="L40" s="49">
        <f>C40/IF(B40&lt;='VALOR POR PL'!$P$5,IFERROR(INDEX('"INCC-FGV"'!$B$2:$B$800,MATCH(B40,'"INCC-FGV"'!$A$2:$A$800,0)),$K$2),$K$2)</f>
        <v/>
      </c>
      <c r="M40" s="131">
        <f>'CP RESUMO'!AM36</f>
        <v/>
      </c>
      <c r="N40" s="132">
        <f>MAX(0,M40-M39)</f>
        <v/>
      </c>
      <c r="O40" s="131">
        <f>IF(B40&lt;='VALOR POR PL'!$P$5,'CP RESUMO'!AM78,"")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364654.87</v>
      </c>
      <c r="L41" s="49">
        <f>C41/IF(B41&lt;='VALOR POR PL'!$P$5,IFERROR(INDEX('"INCC-FGV"'!$B$2:$B$800,MATCH(B41,'"INCC-FGV"'!$A$2:$A$800,0)),$K$2),$K$2)</f>
        <v/>
      </c>
      <c r="M41" s="131">
        <f>'CP RESUMO'!AN36</f>
        <v/>
      </c>
      <c r="N41" s="132">
        <f>MAX(0,M41-M40)</f>
        <v/>
      </c>
      <c r="O41" s="131">
        <f>IF(B41&lt;='VALOR POR PL'!$P$5,'CP RESUMO'!AN78,"")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466485.94</v>
      </c>
      <c r="L42" s="49">
        <f>C42/IF(B42&lt;='VALOR POR PL'!$P$5,IFERROR(INDEX('"INCC-FGV"'!$B$2:$B$800,MATCH(B42,'"INCC-FGV"'!$A$2:$A$800,0)),$K$2),$K$2)</f>
        <v/>
      </c>
      <c r="M42" s="131">
        <f>'CP RESUMO'!AO36</f>
        <v/>
      </c>
      <c r="N42" s="132">
        <f>MAX(0,M42-M41)</f>
        <v/>
      </c>
      <c r="O42" s="131">
        <f>IF(B42&lt;='VALOR POR PL'!$P$5,'CP RESUMO'!AO78,"")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573615.33</v>
      </c>
      <c r="L43" s="49">
        <f>C43/IF(B43&lt;='VALOR POR PL'!$P$5,IFERROR(INDEX('"INCC-FGV"'!$B$2:$B$800,MATCH(B43,'"INCC-FGV"'!$A$2:$A$800,0)),$K$2),$K$2)</f>
        <v/>
      </c>
      <c r="M43" s="131">
        <f>'CP RESUMO'!AP36</f>
        <v/>
      </c>
      <c r="N43" s="132">
        <f>MAX(0,M43-M42)</f>
        <v/>
      </c>
      <c r="O43" s="131">
        <f>IF(B43&lt;='VALOR POR PL'!$P$5,'CP RESUMO'!AP78,"")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642743.87</v>
      </c>
      <c r="L44" s="49">
        <f>C44/IF(B44&lt;='VALOR POR PL'!$P$5,IFERROR(INDEX('"INCC-FGV"'!$B$2:$B$800,MATCH(B44,'"INCC-FGV"'!$A$2:$A$800,0)),$K$2),$K$2)</f>
        <v/>
      </c>
      <c r="M44" s="131">
        <f>'CP RESUMO'!AQ36</f>
        <v/>
      </c>
      <c r="N44" s="132">
        <f>MAX(0,M44-M43)</f>
        <v/>
      </c>
      <c r="O44" s="131">
        <f>IF(B44&lt;='VALOR POR PL'!$P$5,'CP RESUMO'!AQ78,"")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429641.79</v>
      </c>
      <c r="L45" s="49">
        <f>C45/IF(B45&lt;='VALOR POR PL'!$P$5,IFERROR(INDEX('"INCC-FGV"'!$B$2:$B$800,MATCH(B45,'"INCC-FGV"'!$A$2:$A$800,0)),$K$2),$K$2)</f>
        <v/>
      </c>
      <c r="M45" s="131">
        <f>'CP RESUMO'!AR36</f>
        <v/>
      </c>
      <c r="N45" s="132">
        <f>MAX(0,M45-M44)</f>
        <v/>
      </c>
      <c r="O45" s="131">
        <f>IF(B45&lt;='VALOR POR PL'!$P$5,'CP RESUMO'!AR78,"")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RESUMO'!AS36</f>
        <v/>
      </c>
      <c r="N46" s="132">
        <f>MAX(0,M46-M45)</f>
        <v/>
      </c>
      <c r="O46" s="131">
        <f>IF(B46&lt;='VALOR POR PL'!$P$5,'CP RESUMO'!AS78,"")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RESUMO'!AT36</f>
        <v/>
      </c>
      <c r="N47" s="132">
        <f>MAX(0,M47-M46)</f>
        <v/>
      </c>
      <c r="O47" s="131">
        <f>IF(B47&lt;='VALOR POR PL'!$P$5,'CP RESUMO'!AT78,"")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RESUMO'!AU36</f>
        <v/>
      </c>
      <c r="N48" s="132">
        <f>MAX(0,M48-M47)</f>
        <v/>
      </c>
      <c r="O48" s="131">
        <f>IF(B48&lt;='VALOR POR PL'!$P$5,'CP RESUMO'!AU78,"")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RESUMO'!AV36</f>
        <v/>
      </c>
      <c r="N49" s="132">
        <f>MAX(0,M49-M48)</f>
        <v/>
      </c>
      <c r="O49" s="131">
        <f>IF(B49&lt;='VALOR POR PL'!$P$5,'CP RESUMO'!AV78,"")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RESUMO'!AW36</f>
        <v/>
      </c>
      <c r="N50" s="132">
        <f>MAX(0,M50-M49)</f>
        <v/>
      </c>
      <c r="O50" s="131">
        <f>IF(B50&lt;='VALOR POR PL'!$P$5,'CP RESUMO'!AW78,"")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RESUMO'!AX36</f>
        <v/>
      </c>
      <c r="N51" s="132">
        <f>MAX(0,M51-M50)</f>
        <v/>
      </c>
      <c r="O51" s="131">
        <f>IF(B51&lt;='VALOR POR PL'!$P$5,'CP RESUMO'!AX78,"")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RESUMO'!AY36</f>
        <v/>
      </c>
      <c r="N52" s="132">
        <f>MAX(0,M52-M51)</f>
        <v/>
      </c>
      <c r="O52" s="131">
        <f>IF(B52&lt;='VALOR POR PL'!$P$5,'CP RESUMO'!AY78,"")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RESUMO'!AZ36</f>
        <v/>
      </c>
      <c r="N53" s="132">
        <f>MAX(0,M53-M52)</f>
        <v/>
      </c>
      <c r="O53" s="131">
        <f>IF(B53&lt;='VALOR POR PL'!$P$5,'CP RESUMO'!AZ78,"")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RESUMO'!BA36</f>
        <v/>
      </c>
      <c r="N54" s="132">
        <f>MAX(0,M54-M53)</f>
        <v/>
      </c>
      <c r="O54" s="131">
        <f>IF(B54&lt;='VALOR POR PL'!$P$5,'CP RESUMO'!BA78,"")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RESUMO'!BB36</f>
        <v/>
      </c>
      <c r="N55" s="132">
        <f>MAX(0,M55-M54)</f>
        <v/>
      </c>
      <c r="O55" s="131">
        <f>IF(B55&lt;='VALOR POR PL'!$P$5,'CP RESUMO'!BB78,"")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RESUMO'!BC36</f>
        <v/>
      </c>
      <c r="N56" s="132">
        <f>MAX(0,M56-M55)</f>
        <v/>
      </c>
      <c r="O56" s="131">
        <f>IF(B56&lt;='VALOR POR PL'!$P$5,'CP RESUMO'!BC78,"")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RESUMO'!BD36</f>
        <v/>
      </c>
      <c r="N57" s="132">
        <f>MAX(0,M57-M56)</f>
        <v/>
      </c>
      <c r="O57" s="131">
        <f>IF(B57&lt;='VALOR POR PL'!$P$5,'CP RESUMO'!BD78,"")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RESUMO'!BE36</f>
        <v/>
      </c>
      <c r="N58" s="132">
        <f>MAX(0,M58-M57)</f>
        <v/>
      </c>
      <c r="O58" s="131">
        <f>IF(B58&lt;='VALOR POR PL'!$P$5,'CP RESUMO'!BE78,"")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RESUMO'!BF36</f>
        <v/>
      </c>
      <c r="N59" s="132">
        <f>MAX(0,M59-M58)</f>
        <v/>
      </c>
      <c r="O59" s="131">
        <f>IF(B59&lt;='VALOR POR PL'!$P$5,'CP RESUMO'!BF78,"")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RESUMO'!BG36</f>
        <v/>
      </c>
      <c r="N60" s="132">
        <f>MAX(0,M60-M59)</f>
        <v/>
      </c>
      <c r="O60" s="131">
        <f>IF(B60&lt;='VALOR POR PL'!$P$5,'CP RESUMO'!BG78,"")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RESUMO'!BH36</f>
        <v/>
      </c>
      <c r="N61" s="132">
        <f>MAX(0,M61-M60)</f>
        <v/>
      </c>
      <c r="O61" s="131">
        <f>IF(B61&lt;='VALOR POR PL'!$P$5,'CP RESUMO'!BH78,"")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RESUMO'!BI36</f>
        <v/>
      </c>
      <c r="N62" s="132">
        <f>MAX(0,M62-M61)</f>
        <v/>
      </c>
      <c r="O62" s="131">
        <f>IF(B62&lt;='VALOR POR PL'!$P$5,'CP RESUMO'!BI78,"")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RESUMO'!BJ36</f>
        <v/>
      </c>
      <c r="N63" s="132">
        <f>MAX(0,M63-M62)</f>
        <v/>
      </c>
      <c r="O63" s="131">
        <f>IF(B63&lt;='VALOR POR PL'!$P$5,'CP RESUMO'!BJ78,"")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RESUMO'!BK36</f>
        <v/>
      </c>
      <c r="N64" s="132">
        <f>MAX(0,M64-M63)</f>
        <v/>
      </c>
      <c r="O64" s="131">
        <f>IF(B64&lt;='VALOR POR PL'!$P$5,'CP RESUMO'!BK78,"")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RESUMO'!BL36</f>
        <v/>
      </c>
      <c r="N65" s="132">
        <f>MAX(0,M65-M64)</f>
        <v/>
      </c>
      <c r="O65" s="131">
        <f>IF(B65&lt;='VALOR POR PL'!$P$5,'CP RESUMO'!BL78,"")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RESUMO'!BM36</f>
        <v/>
      </c>
      <c r="N66" s="132">
        <f>MAX(0,M66-M65)</f>
        <v/>
      </c>
      <c r="O66" s="131">
        <f>IF(B66&lt;='VALOR POR PL'!$P$5,'CP RESUMO'!BM78,"")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RESUMO'!BN36</f>
        <v/>
      </c>
      <c r="N67" s="132">
        <f>MAX(0,M67-M66)</f>
        <v/>
      </c>
      <c r="O67" s="131">
        <f>IF(B67&lt;='VALOR POR PL'!$P$5,'CP RESUMO'!BN78,"")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RESUMO'!BO36</f>
        <v/>
      </c>
      <c r="N68" s="132">
        <f>MAX(0,M68-M67)</f>
        <v/>
      </c>
      <c r="O68" s="131">
        <f>IF(B68&lt;='VALOR POR PL'!$P$5,'CP RESUMO'!BO78,"")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RESUMO'!BP36</f>
        <v/>
      </c>
      <c r="N69" s="132">
        <f>MAX(0,M69-M68)</f>
        <v/>
      </c>
      <c r="O69" s="131">
        <f>IF(B69&lt;='VALOR POR PL'!$P$5,'CP RESUMO'!BP78,"")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RESUMO'!BQ36</f>
        <v/>
      </c>
      <c r="N70" s="132">
        <f>MAX(0,M70-M69)</f>
        <v/>
      </c>
      <c r="O70" s="131">
        <f>IF(B70&lt;='VALOR POR PL'!$P$5,'CP RESUMO'!BQ78,"")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RESUMO'!BR36</f>
        <v/>
      </c>
      <c r="N71" s="132">
        <f>MAX(0,M71-M70)</f>
        <v/>
      </c>
      <c r="O71" s="131">
        <f>IF(B71&lt;='VALOR POR PL'!$P$5,'CP RESUMO'!BR78,"")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RESUMO'!BS36</f>
        <v/>
      </c>
      <c r="N72" s="132">
        <f>MAX(0,M72-M71)</f>
        <v/>
      </c>
      <c r="O72" s="131">
        <f>IF(B72&lt;='VALOR POR PL'!$P$5,'CP RESUMO'!BS78,"")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RESUMO'!BT36</f>
        <v/>
      </c>
      <c r="N73" s="132">
        <f>MAX(0,M73-M72)</f>
        <v/>
      </c>
      <c r="O73" s="131">
        <f>IF(B73&lt;='VALOR POR PL'!$P$5,'CP RESUMO'!BT78,"")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RESUMO'!BU36</f>
        <v/>
      </c>
      <c r="N74" s="132">
        <f>MAX(0,M74-M73)</f>
        <v/>
      </c>
      <c r="O74" s="131">
        <f>IF(B74&lt;='VALOR POR PL'!$P$5,'CP RESUMO'!BU78,"")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RESUMO'!BV36</f>
        <v/>
      </c>
      <c r="N75" s="132">
        <f>MAX(0,M75-M74)</f>
        <v/>
      </c>
      <c r="O75" s="131">
        <f>IF(B75&lt;='VALOR POR PL'!$P$5,'CP RESUMO'!BV78,"")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RESUMO'!BW36</f>
        <v/>
      </c>
      <c r="N76" s="132">
        <f>MAX(0,M76-M75)</f>
        <v/>
      </c>
      <c r="O76" s="131">
        <f>IF(B76&lt;='VALOR POR PL'!$P$5,'CP RESUMO'!BW78,"")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HISTORICOS'!D37)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PL'!F43</f>
        <v/>
      </c>
      <c r="K5" s="60">
        <f>'VALOR POR PL'!G43</f>
        <v/>
      </c>
      <c r="L5" s="60">
        <f>'DADOS HISTORICOS'!$BZ$37</f>
        <v/>
      </c>
      <c r="M5" s="131">
        <f>'CP RESUMO'!D37</f>
        <v/>
      </c>
      <c r="N5" s="132" t="n">
        <v>0</v>
      </c>
      <c r="O5" s="131">
        <f>IF(B5&lt;='VALOR POR PL'!$P$5,'CP RESUMO'!D79,"")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HISTORICOS'!E37)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PL'!H43</f>
        <v/>
      </c>
      <c r="L6" s="49">
        <f>C6/IF(B6&lt;='VALOR POR PL'!$P$5,IFERROR(INDEX('"INCC-FGV"'!$B$2:$B$800,MATCH(B6,'"INCC-FGV"'!$A$2:$A$800,0)),$K$2),$K$2)</f>
        <v/>
      </c>
      <c r="M6" s="131">
        <f>'CP RESUMO'!E37</f>
        <v/>
      </c>
      <c r="N6" s="132">
        <f>MAX(0,M6-M5)</f>
        <v/>
      </c>
      <c r="O6" s="131">
        <f>IF(B6&lt;='VALOR POR PL'!$P$5,'CP RESUMO'!E79,"")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HISTORICOS'!F37)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RESUMO'!F37</f>
        <v/>
      </c>
      <c r="N7" s="132">
        <f>MAX(0,M7-M6)</f>
        <v/>
      </c>
      <c r="O7" s="131">
        <f>IF(B7&lt;='VALOR POR PL'!$P$5,'CP RESUMO'!F79,"")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HISTORICOS'!G37)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RESUMO'!G37</f>
        <v/>
      </c>
      <c r="N8" s="132">
        <f>MAX(0,M8-M7)</f>
        <v/>
      </c>
      <c r="O8" s="131">
        <f>IF(B8&lt;='VALOR POR PL'!$P$5,'CP RESUMO'!G79,"")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HISTORICOS'!H37)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RESUMO'!H37</f>
        <v/>
      </c>
      <c r="N9" s="132">
        <f>MAX(0,M9-M8)</f>
        <v/>
      </c>
      <c r="O9" s="131">
        <f>IF(B9&lt;='VALOR POR PL'!$P$5,'CP RESUMO'!H79,"")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RESUMO'!I37</f>
        <v/>
      </c>
      <c r="N10" s="132">
        <f>MAX(0,M10-M9)</f>
        <v/>
      </c>
      <c r="O10" s="131">
        <f>IF(B10&lt;='VALOR POR PL'!$P$5,'CP RESUMO'!I79,"")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RESUMO'!J37</f>
        <v/>
      </c>
      <c r="N11" s="132">
        <f>MAX(0,M11-M10)</f>
        <v/>
      </c>
      <c r="O11" s="131">
        <f>IF(B11&lt;='VALOR POR PL'!$P$5,'CP RESUMO'!J79,"")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RESUMO'!K37</f>
        <v/>
      </c>
      <c r="N12" s="132">
        <f>MAX(0,M12-M11)</f>
        <v/>
      </c>
      <c r="O12" s="131">
        <f>IF(B12&lt;='VALOR POR PL'!$P$5,'CP RESUMO'!K79,"")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PL'!I43</f>
        <v/>
      </c>
      <c r="L13" s="49">
        <f>C13/IF(B13&lt;='VALOR POR PL'!$P$5,IFERROR(INDEX('"INCC-FGV"'!$B$2:$B$800,MATCH(B13,'"INCC-FGV"'!$A$2:$A$800,0)),$K$2),$K$2)</f>
        <v/>
      </c>
      <c r="M13" s="131">
        <f>'CP RESUMO'!L37</f>
        <v/>
      </c>
      <c r="N13" s="132">
        <f>MAX(0,M13-M12)</f>
        <v/>
      </c>
      <c r="O13" s="131">
        <f>IF(B13&lt;='VALOR POR PL'!$P$5,'CP RESUMO'!L79,"")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RESUMO'!$D$79:$BW$79,MATCH('VALOR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RESUMO'!M37</f>
        <v/>
      </c>
      <c r="N14" s="132">
        <f>MAX(0,M14-M13)</f>
        <v/>
      </c>
      <c r="O14" s="131">
        <f>IF(B14&lt;='VALOR POR PL'!$P$5,'CP RESUMO'!M79,"")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RESUMO'!N37</f>
        <v/>
      </c>
      <c r="N15" s="132">
        <f>MAX(0,M15-M14)</f>
        <v/>
      </c>
      <c r="O15" s="131">
        <f>IF(B15&lt;='VALOR POR PL'!$P$5,'CP RESUMO'!N79,"")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RESUMO'!O37</f>
        <v/>
      </c>
      <c r="N16" s="132">
        <f>MAX(0,M16-M15)</f>
        <v/>
      </c>
      <c r="O16" s="131">
        <f>IF(B16&lt;='VALOR POR PL'!$P$5,'CP RESUMO'!O79,"")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RESUMO'!P37</f>
        <v/>
      </c>
      <c r="N17" s="132">
        <f>MAX(0,M17-M16)</f>
        <v/>
      </c>
      <c r="O17" s="131">
        <f>IF(B17&lt;='VALOR POR PL'!$P$5,'CP RESUMO'!P79,"")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RESUMO'!Q37</f>
        <v/>
      </c>
      <c r="N18" s="132">
        <f>MAX(0,M18-M17)</f>
        <v/>
      </c>
      <c r="O18" s="131">
        <f>IF(B18&lt;='VALOR POR PL'!$P$5,'CP RESUMO'!Q79,"")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RESUMO'!R37</f>
        <v/>
      </c>
      <c r="N19" s="132">
        <f>MAX(0,M19-M18)</f>
        <v/>
      </c>
      <c r="O19" s="131">
        <f>IF(B19&lt;='VALOR POR PL'!$P$5,'CP RESUMO'!R79,"")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RESUMO'!S37</f>
        <v/>
      </c>
      <c r="N20" s="132">
        <f>MAX(0,M20-M19)</f>
        <v/>
      </c>
      <c r="O20" s="131">
        <f>IF(B20&lt;='VALOR POR PL'!$P$5,'CP RESUMO'!S79,"")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RESUMO'!T37</f>
        <v/>
      </c>
      <c r="N21" s="132">
        <f>MAX(0,M21-M20)</f>
        <v/>
      </c>
      <c r="O21" s="131">
        <f>IF(B21&lt;='VALOR POR PL'!$P$5,'CP RESUMO'!T79,"")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RESUMO'!U37</f>
        <v/>
      </c>
      <c r="N22" s="132">
        <f>MAX(0,M22-M21)</f>
        <v/>
      </c>
      <c r="O22" s="131">
        <f>IF(B22&lt;='VALOR POR PL'!$P$5,'CP RESUMO'!U79,"")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RESUMO'!V37</f>
        <v/>
      </c>
      <c r="N23" s="132">
        <f>MAX(0,M23-M22)</f>
        <v/>
      </c>
      <c r="O23" s="131">
        <f>IF(B23&lt;='VALOR POR PL'!$P$5,'CP RESUMO'!V79,"")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RESUMO'!W37</f>
        <v/>
      </c>
      <c r="N24" s="132">
        <f>MAX(0,M24-M23)</f>
        <v/>
      </c>
      <c r="O24" s="131">
        <f>IF(B24&lt;='VALOR POR PL'!$P$5,'CP RESUMO'!W79,"")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RESUMO'!X37</f>
        <v/>
      </c>
      <c r="N25" s="132">
        <f>MAX(0,M25-M24)</f>
        <v/>
      </c>
      <c r="O25" s="131">
        <f>IF(B25&lt;='VALOR POR PL'!$P$5,'CP RESUMO'!X79,"")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RESUMO'!Y37</f>
        <v/>
      </c>
      <c r="N26" s="132">
        <f>MAX(0,M26-M25)</f>
        <v/>
      </c>
      <c r="O26" s="131">
        <f>IF(B26&lt;='VALOR POR PL'!$P$5,'CP RESUMO'!Y79,"")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RESUMO'!Z37</f>
        <v/>
      </c>
      <c r="N27" s="132">
        <f>MAX(0,M27-M26)</f>
        <v/>
      </c>
      <c r="O27" s="131">
        <f>IF(B27&lt;='VALOR POR PL'!$P$5,'CP RESUMO'!Z79,"")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RESUMO'!AA37</f>
        <v/>
      </c>
      <c r="N28" s="132">
        <f>MAX(0,M28-M27)</f>
        <v/>
      </c>
      <c r="O28" s="131">
        <f>IF(B28&lt;='VALOR POR PL'!$P$5,'CP RESUMO'!AA79,"")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RESUMO'!AB37</f>
        <v/>
      </c>
      <c r="N29" s="132">
        <f>MAX(0,M29-M28)</f>
        <v/>
      </c>
      <c r="O29" s="131">
        <f>IF(B29&lt;='VALOR POR PL'!$P$5,'CP RESUMO'!AB79,"")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RESUMO'!AC37</f>
        <v/>
      </c>
      <c r="N30" s="132">
        <f>MAX(0,M30-M29)</f>
        <v/>
      </c>
      <c r="O30" s="131">
        <f>IF(B30&lt;='VALOR POR PL'!$P$5,'CP RESUMO'!AC79,"")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RESUMO'!AD37</f>
        <v/>
      </c>
      <c r="N31" s="132">
        <f>MAX(0,M31-M30)</f>
        <v/>
      </c>
      <c r="O31" s="131">
        <f>IF(B31&lt;='VALOR POR PL'!$P$5,'CP RESUMO'!AD79,"")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RESUMO'!AE37</f>
        <v/>
      </c>
      <c r="N32" s="132">
        <f>MAX(0,M32-M31)</f>
        <v/>
      </c>
      <c r="O32" s="131">
        <f>IF(B32&lt;='VALOR POR PL'!$P$5,'CP RESUMO'!AE79,"")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RESUMO'!AF37</f>
        <v/>
      </c>
      <c r="N33" s="132">
        <f>MAX(0,M33-M32)</f>
        <v/>
      </c>
      <c r="O33" s="131">
        <f>IF(B33&lt;='VALOR POR PL'!$P$5,'CP RESUMO'!AF79,"")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RESUMO'!AG37</f>
        <v/>
      </c>
      <c r="N34" s="132">
        <f>MAX(0,M34-M33)</f>
        <v/>
      </c>
      <c r="O34" s="131">
        <f>IF(B34&lt;='VALOR POR PL'!$P$5,'CP RESUMO'!AG79,"")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RESUMO'!AH37</f>
        <v/>
      </c>
      <c r="N35" s="132">
        <f>MAX(0,M35-M34)</f>
        <v/>
      </c>
      <c r="O35" s="131">
        <f>IF(B35&lt;='VALOR POR PL'!$P$5,'CP RESUMO'!AH79,"")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RESUMO'!AI37</f>
        <v/>
      </c>
      <c r="N36" s="132">
        <f>MAX(0,M36-M35)</f>
        <v/>
      </c>
      <c r="O36" s="131">
        <f>IF(B36&lt;='VALOR POR PL'!$P$5,'CP RESUMO'!AI79,"")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RESUMO'!AJ37</f>
        <v/>
      </c>
      <c r="N37" s="132">
        <f>MAX(0,M37-M36)</f>
        <v/>
      </c>
      <c r="O37" s="131">
        <f>IF(B37&lt;='VALOR POR PL'!$P$5,'CP RESUMO'!AJ79,"")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202419.5</v>
      </c>
      <c r="L38" s="49">
        <f>C38/IF(B38&lt;='VALOR POR PL'!$P$5,IFERROR(INDEX('"INCC-FGV"'!$B$2:$B$800,MATCH(B38,'"INCC-FGV"'!$A$2:$A$800,0)),$K$2),$K$2)</f>
        <v/>
      </c>
      <c r="M38" s="131">
        <f>'CP RESUMO'!AK37</f>
        <v/>
      </c>
      <c r="N38" s="132">
        <f>MAX(0,M38-M37)</f>
        <v/>
      </c>
      <c r="O38" s="131">
        <f>IF(B38&lt;='VALOR POR PL'!$P$5,'CP RESUMO'!AK79,"")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202419.5</v>
      </c>
      <c r="L39" s="49">
        <f>C39/IF(B39&lt;='VALOR POR PL'!$P$5,IFERROR(INDEX('"INCC-FGV"'!$B$2:$B$800,MATCH(B39,'"INCC-FGV"'!$A$2:$A$800,0)),$K$2),$K$2)</f>
        <v/>
      </c>
      <c r="M39" s="131">
        <f>'CP RESUMO'!AL37</f>
        <v/>
      </c>
      <c r="N39" s="132">
        <f>MAX(0,M39-M38)</f>
        <v/>
      </c>
      <c r="O39" s="131">
        <f>IF(B39&lt;='VALOR POR PL'!$P$5,'CP RESUMO'!AL79,"")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202419.5</v>
      </c>
      <c r="L40" s="49">
        <f>C40/IF(B40&lt;='VALOR POR PL'!$P$5,IFERROR(INDEX('"INCC-FGV"'!$B$2:$B$800,MATCH(B40,'"INCC-FGV"'!$A$2:$A$800,0)),$K$2),$K$2)</f>
        <v/>
      </c>
      <c r="M40" s="131">
        <f>'CP RESUMO'!AM37</f>
        <v/>
      </c>
      <c r="N40" s="132">
        <f>MAX(0,M40-M39)</f>
        <v/>
      </c>
      <c r="O40" s="131">
        <f>IF(B40&lt;='VALOR POR PL'!$P$5,'CP RESUMO'!AM79,"")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202419.5</v>
      </c>
      <c r="L41" s="49">
        <f>C41/IF(B41&lt;='VALOR POR PL'!$P$5,IFERROR(INDEX('"INCC-FGV"'!$B$2:$B$800,MATCH(B41,'"INCC-FGV"'!$A$2:$A$800,0)),$K$2),$K$2)</f>
        <v/>
      </c>
      <c r="M41" s="131">
        <f>'CP RESUMO'!AN37</f>
        <v/>
      </c>
      <c r="N41" s="132">
        <f>MAX(0,M41-M40)</f>
        <v/>
      </c>
      <c r="O41" s="131">
        <f>IF(B41&lt;='VALOR POR PL'!$P$5,'CP RESUMO'!AN79,"")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202419.5</v>
      </c>
      <c r="L42" s="49">
        <f>C42/IF(B42&lt;='VALOR POR PL'!$P$5,IFERROR(INDEX('"INCC-FGV"'!$B$2:$B$800,MATCH(B42,'"INCC-FGV"'!$A$2:$A$800,0)),$K$2),$K$2)</f>
        <v/>
      </c>
      <c r="M42" s="131">
        <f>'CP RESUMO'!AO37</f>
        <v/>
      </c>
      <c r="N42" s="132">
        <f>MAX(0,M42-M41)</f>
        <v/>
      </c>
      <c r="O42" s="131">
        <f>IF(B42&lt;='VALOR POR PL'!$P$5,'CP RESUMO'!AO79,"")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202419.5</v>
      </c>
      <c r="L43" s="49">
        <f>C43/IF(B43&lt;='VALOR POR PL'!$P$5,IFERROR(INDEX('"INCC-FGV"'!$B$2:$B$800,MATCH(B43,'"INCC-FGV"'!$A$2:$A$800,0)),$K$2),$K$2)</f>
        <v/>
      </c>
      <c r="M43" s="131">
        <f>'CP RESUMO'!AP37</f>
        <v/>
      </c>
      <c r="N43" s="132">
        <f>MAX(0,M43-M42)</f>
        <v/>
      </c>
      <c r="O43" s="131">
        <f>IF(B43&lt;='VALOR POR PL'!$P$5,'CP RESUMO'!AP79,"")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202419.5</v>
      </c>
      <c r="L44" s="49">
        <f>C44/IF(B44&lt;='VALOR POR PL'!$P$5,IFERROR(INDEX('"INCC-FGV"'!$B$2:$B$800,MATCH(B44,'"INCC-FGV"'!$A$2:$A$800,0)),$K$2),$K$2)</f>
        <v/>
      </c>
      <c r="M44" s="131">
        <f>'CP RESUMO'!AQ37</f>
        <v/>
      </c>
      <c r="N44" s="132">
        <f>MAX(0,M44-M43)</f>
        <v/>
      </c>
      <c r="O44" s="131">
        <f>IF(B44&lt;='VALOR POR PL'!$P$5,'CP RESUMO'!AQ79,"")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202419.5</v>
      </c>
      <c r="L45" s="49">
        <f>C45/IF(B45&lt;='VALOR POR PL'!$P$5,IFERROR(INDEX('"INCC-FGV"'!$B$2:$B$800,MATCH(B45,'"INCC-FGV"'!$A$2:$A$800,0)),$K$2),$K$2)</f>
        <v/>
      </c>
      <c r="M45" s="131">
        <f>'CP RESUMO'!AR37</f>
        <v/>
      </c>
      <c r="N45" s="132">
        <f>MAX(0,M45-M44)</f>
        <v/>
      </c>
      <c r="O45" s="131">
        <f>IF(B45&lt;='VALOR POR PL'!$P$5,'CP RESUMO'!AR79,"")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202419.5</v>
      </c>
      <c r="L46" s="49">
        <f>C46/IF(B46&lt;='VALOR POR PL'!$P$5,IFERROR(INDEX('"INCC-FGV"'!$B$2:$B$800,MATCH(B46,'"INCC-FGV"'!$A$2:$A$800,0)),$K$2),$K$2)</f>
        <v/>
      </c>
      <c r="M46" s="131">
        <f>'CP RESUMO'!AS37</f>
        <v/>
      </c>
      <c r="N46" s="132">
        <f>MAX(0,M46-M45)</f>
        <v/>
      </c>
      <c r="O46" s="131">
        <f>IF(B46&lt;='VALOR POR PL'!$P$5,'CP RESUMO'!AS79,"")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202419.5</v>
      </c>
      <c r="L47" s="49">
        <f>C47/IF(B47&lt;='VALOR POR PL'!$P$5,IFERROR(INDEX('"INCC-FGV"'!$B$2:$B$800,MATCH(B47,'"INCC-FGV"'!$A$2:$A$800,0)),$K$2),$K$2)</f>
        <v/>
      </c>
      <c r="M47" s="131">
        <f>'CP RESUMO'!AT37</f>
        <v/>
      </c>
      <c r="N47" s="132">
        <f>MAX(0,M47-M46)</f>
        <v/>
      </c>
      <c r="O47" s="131">
        <f>IF(B47&lt;='VALOR POR PL'!$P$5,'CP RESUMO'!AT79,"")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RESUMO'!AU37</f>
        <v/>
      </c>
      <c r="N48" s="132">
        <f>MAX(0,M48-M47)</f>
        <v/>
      </c>
      <c r="O48" s="131">
        <f>IF(B48&lt;='VALOR POR PL'!$P$5,'CP RESUMO'!AU79,"")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RESUMO'!AV37</f>
        <v/>
      </c>
      <c r="N49" s="132">
        <f>MAX(0,M49-M48)</f>
        <v/>
      </c>
      <c r="O49" s="131">
        <f>IF(B49&lt;='VALOR POR PL'!$P$5,'CP RESUMO'!AV79,"")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RESUMO'!AW37</f>
        <v/>
      </c>
      <c r="N50" s="132">
        <f>MAX(0,M50-M49)</f>
        <v/>
      </c>
      <c r="O50" s="131">
        <f>IF(B50&lt;='VALOR POR PL'!$P$5,'CP RESUMO'!AW79,"")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RESUMO'!AX37</f>
        <v/>
      </c>
      <c r="N51" s="132">
        <f>MAX(0,M51-M50)</f>
        <v/>
      </c>
      <c r="O51" s="131">
        <f>IF(B51&lt;='VALOR POR PL'!$P$5,'CP RESUMO'!AX79,"")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RESUMO'!AY37</f>
        <v/>
      </c>
      <c r="N52" s="132">
        <f>MAX(0,M52-M51)</f>
        <v/>
      </c>
      <c r="O52" s="131">
        <f>IF(B52&lt;='VALOR POR PL'!$P$5,'CP RESUMO'!AY79,"")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RESUMO'!AZ37</f>
        <v/>
      </c>
      <c r="N53" s="132">
        <f>MAX(0,M53-M52)</f>
        <v/>
      </c>
      <c r="O53" s="131">
        <f>IF(B53&lt;='VALOR POR PL'!$P$5,'CP RESUMO'!AZ79,"")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RESUMO'!BA37</f>
        <v/>
      </c>
      <c r="N54" s="132">
        <f>MAX(0,M54-M53)</f>
        <v/>
      </c>
      <c r="O54" s="131">
        <f>IF(B54&lt;='VALOR POR PL'!$P$5,'CP RESUMO'!BA79,"")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RESUMO'!BB37</f>
        <v/>
      </c>
      <c r="N55" s="132">
        <f>MAX(0,M55-M54)</f>
        <v/>
      </c>
      <c r="O55" s="131">
        <f>IF(B55&lt;='VALOR POR PL'!$P$5,'CP RESUMO'!BB79,"")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RESUMO'!BC37</f>
        <v/>
      </c>
      <c r="N56" s="132">
        <f>MAX(0,M56-M55)</f>
        <v/>
      </c>
      <c r="O56" s="131">
        <f>IF(B56&lt;='VALOR POR PL'!$P$5,'CP RESUMO'!BC79,"")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RESUMO'!BD37</f>
        <v/>
      </c>
      <c r="N57" s="132">
        <f>MAX(0,M57-M56)</f>
        <v/>
      </c>
      <c r="O57" s="131">
        <f>IF(B57&lt;='VALOR POR PL'!$P$5,'CP RESUMO'!BD79,"")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RESUMO'!BE37</f>
        <v/>
      </c>
      <c r="N58" s="132">
        <f>MAX(0,M58-M57)</f>
        <v/>
      </c>
      <c r="O58" s="131">
        <f>IF(B58&lt;='VALOR POR PL'!$P$5,'CP RESUMO'!BE79,"")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RESUMO'!BF37</f>
        <v/>
      </c>
      <c r="N59" s="132">
        <f>MAX(0,M59-M58)</f>
        <v/>
      </c>
      <c r="O59" s="131">
        <f>IF(B59&lt;='VALOR POR PL'!$P$5,'CP RESUMO'!BF79,"")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RESUMO'!BG37</f>
        <v/>
      </c>
      <c r="N60" s="132">
        <f>MAX(0,M60-M59)</f>
        <v/>
      </c>
      <c r="O60" s="131">
        <f>IF(B60&lt;='VALOR POR PL'!$P$5,'CP RESUMO'!BG79,"")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RESUMO'!BH37</f>
        <v/>
      </c>
      <c r="N61" s="132">
        <f>MAX(0,M61-M60)</f>
        <v/>
      </c>
      <c r="O61" s="131">
        <f>IF(B61&lt;='VALOR POR PL'!$P$5,'CP RESUMO'!BH79,"")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RESUMO'!BI37</f>
        <v/>
      </c>
      <c r="N62" s="132">
        <f>MAX(0,M62-M61)</f>
        <v/>
      </c>
      <c r="O62" s="131">
        <f>IF(B62&lt;='VALOR POR PL'!$P$5,'CP RESUMO'!BI79,"")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RESUMO'!BJ37</f>
        <v/>
      </c>
      <c r="N63" s="132">
        <f>MAX(0,M63-M62)</f>
        <v/>
      </c>
      <c r="O63" s="131">
        <f>IF(B63&lt;='VALOR POR PL'!$P$5,'CP RESUMO'!BJ79,"")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RESUMO'!BK37</f>
        <v/>
      </c>
      <c r="N64" s="132">
        <f>MAX(0,M64-M63)</f>
        <v/>
      </c>
      <c r="O64" s="131">
        <f>IF(B64&lt;='VALOR POR PL'!$P$5,'CP RESUMO'!BK79,"")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RESUMO'!BL37</f>
        <v/>
      </c>
      <c r="N65" s="132">
        <f>MAX(0,M65-M64)</f>
        <v/>
      </c>
      <c r="O65" s="131">
        <f>IF(B65&lt;='VALOR POR PL'!$P$5,'CP RESUMO'!BL79,"")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RESUMO'!BM37</f>
        <v/>
      </c>
      <c r="N66" s="132">
        <f>MAX(0,M66-M65)</f>
        <v/>
      </c>
      <c r="O66" s="131">
        <f>IF(B66&lt;='VALOR POR PL'!$P$5,'CP RESUMO'!BM79,"")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RESUMO'!BN37</f>
        <v/>
      </c>
      <c r="N67" s="132">
        <f>MAX(0,M67-M66)</f>
        <v/>
      </c>
      <c r="O67" s="131">
        <f>IF(B67&lt;='VALOR POR PL'!$P$5,'CP RESUMO'!BN79,"")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RESUMO'!BO37</f>
        <v/>
      </c>
      <c r="N68" s="132">
        <f>MAX(0,M68-M67)</f>
        <v/>
      </c>
      <c r="O68" s="131">
        <f>IF(B68&lt;='VALOR POR PL'!$P$5,'CP RESUMO'!BO79,"")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RESUMO'!BP37</f>
        <v/>
      </c>
      <c r="N69" s="132">
        <f>MAX(0,M69-M68)</f>
        <v/>
      </c>
      <c r="O69" s="131">
        <f>IF(B69&lt;='VALOR POR PL'!$P$5,'CP RESUMO'!BP79,"")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RESUMO'!BQ37</f>
        <v/>
      </c>
      <c r="N70" s="132">
        <f>MAX(0,M70-M69)</f>
        <v/>
      </c>
      <c r="O70" s="131">
        <f>IF(B70&lt;='VALOR POR PL'!$P$5,'CP RESUMO'!BQ79,"")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RESUMO'!BR37</f>
        <v/>
      </c>
      <c r="N71" s="132">
        <f>MAX(0,M71-M70)</f>
        <v/>
      </c>
      <c r="O71" s="131">
        <f>IF(B71&lt;='VALOR POR PL'!$P$5,'CP RESUMO'!BR79,"")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RESUMO'!BS37</f>
        <v/>
      </c>
      <c r="N72" s="132">
        <f>MAX(0,M72-M71)</f>
        <v/>
      </c>
      <c r="O72" s="131">
        <f>IF(B72&lt;='VALOR POR PL'!$P$5,'CP RESUMO'!BS79,"")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RESUMO'!BT37</f>
        <v/>
      </c>
      <c r="N73" s="132">
        <f>MAX(0,M73-M72)</f>
        <v/>
      </c>
      <c r="O73" s="131">
        <f>IF(B73&lt;='VALOR POR PL'!$P$5,'CP RESUMO'!BT79,"")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RESUMO'!BU37</f>
        <v/>
      </c>
      <c r="N74" s="132">
        <f>MAX(0,M74-M73)</f>
        <v/>
      </c>
      <c r="O74" s="131">
        <f>IF(B74&lt;='VALOR POR PL'!$P$5,'CP RESUMO'!BU79,"")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RESUMO'!BV37</f>
        <v/>
      </c>
      <c r="N75" s="132">
        <f>MAX(0,M75-M74)</f>
        <v/>
      </c>
      <c r="O75" s="131">
        <f>IF(B75&lt;='VALOR POR PL'!$P$5,'CP RESUMO'!BV79,"")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RESUMO'!BW37</f>
        <v/>
      </c>
      <c r="N76" s="132">
        <f>MAX(0,M76-M75)</f>
        <v/>
      </c>
      <c r="O76" s="131">
        <f>IF(B76&lt;='VALOR POR PL'!$P$5,'CP RESUMO'!BW79,"")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1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PL'!F44</f>
        <v/>
      </c>
      <c r="K5" s="60">
        <f>'VALOR POR PL'!G44</f>
        <v/>
      </c>
      <c r="L5" s="60">
        <f>'DADOS HISTORICOS'!$BZ$38</f>
        <v/>
      </c>
      <c r="M5" s="131">
        <f>'CP RESUMO'!D38</f>
        <v/>
      </c>
      <c r="N5" s="132" t="n">
        <v>0</v>
      </c>
      <c r="O5" s="131">
        <f>IF(B5&lt;='VALOR POR PL'!$P$5,'CP RESUMO'!D80,"")</f>
        <v/>
      </c>
      <c r="P5" s="72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2">
        <f>(IF(AND(1+$K$33&gt;=1,1+$K$33&lt;=72),INDEX($N$5:$N$76,1+$K$33),0)+IF(AND(1+$K$34&gt;=1,1+$K$34&lt;=72),INDEX($N$5:$N$76,1+$K$34),0)+IF(AND(1+$K$35&gt;=1,1+$K$35&lt;=72),INDEX($N$5:$N$76,1+$K$35),0))/3</f>
        <v/>
      </c>
      <c r="T5" s="132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33">
        <f>DATE(YEAR(B5),MONTH(B5)+1,1)</f>
        <v/>
      </c>
      <c r="C6" s="60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PL'!H44</f>
        <v/>
      </c>
      <c r="L6" s="49">
        <f>C6/IF(B6&lt;='VALOR POR PL'!$P$5,IFERROR(INDEX('"INCC-FGV"'!$B$2:$B$800,MATCH(B6,'"INCC-FGV"'!$A$2:$A$800,0)),$K$2),$K$2)</f>
        <v/>
      </c>
      <c r="M6" s="131">
        <f>'CP RESUMO'!E38</f>
        <v/>
      </c>
      <c r="N6" s="132">
        <f>MAX(0,M6-M5)</f>
        <v/>
      </c>
      <c r="O6" s="131">
        <f>IF(B6&lt;='VALOR POR PL'!$P$5,'CP RESUMO'!E80,"")</f>
        <v/>
      </c>
      <c r="P6" s="72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2">
        <f>(IF(AND(2+$K$33&gt;=1,2+$K$33&lt;=72),INDEX($N$5:$N$76,2+$K$33),0)+IF(AND(2+$K$34&gt;=1,2+$K$34&lt;=72),INDEX($N$5:$N$76,2+$K$34),0)+IF(AND(2+$K$35&gt;=1,2+$K$35&lt;=72),INDEX($N$5:$N$76,2+$K$35),0))/3</f>
        <v/>
      </c>
      <c r="T6" s="132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33">
        <f>DATE(YEAR(B6),MONTH(B6)+1,1)</f>
        <v/>
      </c>
      <c r="C7" s="60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RESUMO'!F38</f>
        <v/>
      </c>
      <c r="N7" s="132">
        <f>MAX(0,M7-M6)</f>
        <v/>
      </c>
      <c r="O7" s="131">
        <f>IF(B7&lt;='VALOR POR PL'!$P$5,'CP RESUMO'!F80,"")</f>
        <v/>
      </c>
      <c r="P7" s="72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2">
        <f>(IF(AND(3+$K$33&gt;=1,3+$K$33&lt;=72),INDEX($N$5:$N$76,3+$K$33),0)+IF(AND(3+$K$34&gt;=1,3+$K$34&lt;=72),INDEX($N$5:$N$76,3+$K$34),0)+IF(AND(3+$K$35&gt;=1,3+$K$35&lt;=72),INDEX($N$5:$N$76,3+$K$35),0))/3</f>
        <v/>
      </c>
      <c r="T7" s="132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33">
        <f>DATE(YEAR(B7),MONTH(B7)+1,1)</f>
        <v/>
      </c>
      <c r="C8" s="60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RESUMO'!G38</f>
        <v/>
      </c>
      <c r="N8" s="132">
        <f>MAX(0,M8-M7)</f>
        <v/>
      </c>
      <c r="O8" s="131">
        <f>IF(B8&lt;='VALOR POR PL'!$P$5,'CP RESUMO'!G80,"")</f>
        <v/>
      </c>
      <c r="P8" s="72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2">
        <f>(IF(AND(4+$K$33&gt;=1,4+$K$33&lt;=72),INDEX($N$5:$N$76,4+$K$33),0)+IF(AND(4+$K$34&gt;=1,4+$K$34&lt;=72),INDEX($N$5:$N$76,4+$K$34),0)+IF(AND(4+$K$35&gt;=1,4+$K$35&lt;=72),INDEX($N$5:$N$76,4+$K$35),0))/3</f>
        <v/>
      </c>
      <c r="T8" s="132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33">
        <f>DATE(YEAR(B8),MONTH(B8)+1,1)</f>
        <v/>
      </c>
      <c r="C9" s="60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RESUMO'!H38</f>
        <v/>
      </c>
      <c r="N9" s="132">
        <f>MAX(0,M9-M8)</f>
        <v/>
      </c>
      <c r="O9" s="131">
        <f>IF(B9&lt;='VALOR POR PL'!$P$5,'CP RESUMO'!H80,"")</f>
        <v/>
      </c>
      <c r="P9" s="72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2">
        <f>(IF(AND(5+$K$33&gt;=1,5+$K$33&lt;=72),INDEX($N$5:$N$76,5+$K$33),0)+IF(AND(5+$K$34&gt;=1,5+$K$34&lt;=72),INDEX($N$5:$N$76,5+$K$34),0)+IF(AND(5+$K$35&gt;=1,5+$K$35&lt;=72),INDEX($N$5:$N$76,5+$K$35),0))/3</f>
        <v/>
      </c>
      <c r="T9" s="132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33">
        <f>DATE(YEAR(B9),MONTH(B9)+1,1)</f>
        <v/>
      </c>
      <c r="C10" s="60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RESUMO'!I38</f>
        <v/>
      </c>
      <c r="N10" s="132">
        <f>MAX(0,M10-M9)</f>
        <v/>
      </c>
      <c r="O10" s="131">
        <f>IF(B10&lt;='VALOR POR PL'!$P$5,'CP RESUMO'!I80,"")</f>
        <v/>
      </c>
      <c r="P10" s="72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2">
        <f>(IF(AND(6+$K$33&gt;=1,6+$K$33&lt;=72),INDEX($N$5:$N$76,6+$K$33),0)+IF(AND(6+$K$34&gt;=1,6+$K$34&lt;=72),INDEX($N$5:$N$76,6+$K$34),0)+IF(AND(6+$K$35&gt;=1,6+$K$35&lt;=72),INDEX($N$5:$N$76,6+$K$35),0))/3</f>
        <v/>
      </c>
      <c r="T10" s="132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33">
        <f>DATE(YEAR(B10),MONTH(B10)+1,1)</f>
        <v/>
      </c>
      <c r="C11" s="60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RESUMO'!J38</f>
        <v/>
      </c>
      <c r="N11" s="132">
        <f>MAX(0,M11-M10)</f>
        <v/>
      </c>
      <c r="O11" s="131">
        <f>IF(B11&lt;='VALOR POR PL'!$P$5,'CP RESUMO'!J80,"")</f>
        <v/>
      </c>
      <c r="P11" s="72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2">
        <f>(IF(AND(7+$K$33&gt;=1,7+$K$33&lt;=72),INDEX($N$5:$N$76,7+$K$33),0)+IF(AND(7+$K$34&gt;=1,7+$K$34&lt;=72),INDEX($N$5:$N$76,7+$K$34),0)+IF(AND(7+$K$35&gt;=1,7+$K$35&lt;=72),INDEX($N$5:$N$76,7+$K$35),0))/3</f>
        <v/>
      </c>
      <c r="T11" s="132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33">
        <f>DATE(YEAR(B11),MONTH(B11)+1,1)</f>
        <v/>
      </c>
      <c r="C12" s="60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RESUMO'!K38</f>
        <v/>
      </c>
      <c r="N12" s="132">
        <f>MAX(0,M12-M11)</f>
        <v/>
      </c>
      <c r="O12" s="131">
        <f>IF(B12&lt;='VALOR POR PL'!$P$5,'CP RESUMO'!K80,"")</f>
        <v/>
      </c>
      <c r="P12" s="72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2">
        <f>(IF(AND(8+$K$33&gt;=1,8+$K$33&lt;=72),INDEX($N$5:$N$76,8+$K$33),0)+IF(AND(8+$K$34&gt;=1,8+$K$34&lt;=72),INDEX($N$5:$N$76,8+$K$34),0)+IF(AND(8+$K$35&gt;=1,8+$K$35&lt;=72),INDEX($N$5:$N$76,8+$K$35),0))/3</f>
        <v/>
      </c>
      <c r="T12" s="132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33">
        <f>DATE(YEAR(B12),MONTH(B12)+1,1)</f>
        <v/>
      </c>
      <c r="C13" s="60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PL'!I44</f>
        <v/>
      </c>
      <c r="L13" s="49">
        <f>C13/IF(B13&lt;='VALOR POR PL'!$P$5,IFERROR(INDEX('"INCC-FGV"'!$B$2:$B$800,MATCH(B13,'"INCC-FGV"'!$A$2:$A$800,0)),$K$2),$K$2)</f>
        <v/>
      </c>
      <c r="M13" s="131">
        <f>'CP RESUMO'!L38</f>
        <v/>
      </c>
      <c r="N13" s="132">
        <f>MAX(0,M13-M12)</f>
        <v/>
      </c>
      <c r="O13" s="131">
        <f>IF(B13&lt;='VALOR POR PL'!$P$5,'CP RESUMO'!L80,"")</f>
        <v/>
      </c>
      <c r="P13" s="72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2">
        <f>(IF(AND(9+$K$33&gt;=1,9+$K$33&lt;=72),INDEX($N$5:$N$76,9+$K$33),0)+IF(AND(9+$K$34&gt;=1,9+$K$34&lt;=72),INDEX($N$5:$N$76,9+$K$34),0)+IF(AND(9+$K$35&gt;=1,9+$K$35&lt;=72),INDEX($N$5:$N$76,9+$K$35),0))/3</f>
        <v/>
      </c>
      <c r="T13" s="132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33">
        <f>DATE(YEAR(B13),MONTH(B13)+1,1)</f>
        <v/>
      </c>
      <c r="C14" s="60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RESUMO'!$D$80:$BW$80,MATCH('VALOR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RESUMO'!M38</f>
        <v/>
      </c>
      <c r="N14" s="132">
        <f>MAX(0,M14-M13)</f>
        <v/>
      </c>
      <c r="O14" s="131">
        <f>IF(B14&lt;='VALOR POR PL'!$P$5,'CP RESUMO'!M80,"")</f>
        <v/>
      </c>
      <c r="P14" s="72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2">
        <f>(IF(AND(10+$K$33&gt;=1,10+$K$33&lt;=72),INDEX($N$5:$N$76,10+$K$33),0)+IF(AND(10+$K$34&gt;=1,10+$K$34&lt;=72),INDEX($N$5:$N$76,10+$K$34),0)+IF(AND(10+$K$35&gt;=1,10+$K$35&lt;=72),INDEX($N$5:$N$76,10+$K$35),0))/3</f>
        <v/>
      </c>
      <c r="T14" s="132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33">
        <f>DATE(YEAR(B14),MONTH(B14)+1,1)</f>
        <v/>
      </c>
      <c r="C15" s="60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MDO PREVISION + MATERIAL PREMISSA</t>
        </is>
      </c>
      <c r="L15" s="49">
        <f>C15/IF(B15&lt;='VALOR POR PL'!$P$5,IFERROR(INDEX('"INCC-FGV"'!$B$2:$B$800,MATCH(B15,'"INCC-FGV"'!$A$2:$A$800,0)),$K$2),$K$2)</f>
        <v/>
      </c>
      <c r="M15" s="131">
        <f>'CP RESUMO'!N38</f>
        <v/>
      </c>
      <c r="N15" s="132">
        <f>MAX(0,M15-M14)</f>
        <v/>
      </c>
      <c r="O15" s="131">
        <f>IF(B15&lt;='VALOR POR PL'!$P$5,'CP RESUMO'!N80,"")</f>
        <v/>
      </c>
      <c r="P15" s="72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2">
        <f>(IF(AND(11+$K$33&gt;=1,11+$K$33&lt;=72),INDEX($N$5:$N$76,11+$K$33),0)+IF(AND(11+$K$34&gt;=1,11+$K$34&lt;=72),INDEX($N$5:$N$76,11+$K$34),0)+IF(AND(11+$K$35&gt;=1,11+$K$35&lt;=72),INDEX($N$5:$N$76,11+$K$35),0))/3</f>
        <v/>
      </c>
      <c r="T15" s="132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33">
        <f>DATE(YEAR(B15),MONTH(B15)+1,1)</f>
        <v/>
      </c>
      <c r="C16" s="60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L16" s="49">
        <f>C16/IF(B16&lt;='VALOR POR PL'!$P$5,IFERROR(INDEX('"INCC-FGV"'!$B$2:$B$800,MATCH(B16,'"INCC-FGV"'!$A$2:$A$800,0)),$K$2),$K$2)</f>
        <v/>
      </c>
      <c r="M16" s="131">
        <f>'CP RESUMO'!O38</f>
        <v/>
      </c>
      <c r="N16" s="132">
        <f>MAX(0,M16-M15)</f>
        <v/>
      </c>
      <c r="O16" s="131">
        <f>IF(B16&lt;='VALOR POR PL'!$P$5,'CP RESUMO'!O80,"")</f>
        <v/>
      </c>
      <c r="P16" s="72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2">
        <f>(IF(AND(12+$K$33&gt;=1,12+$K$33&lt;=72),INDEX($N$5:$N$76,12+$K$33),0)+IF(AND(12+$K$34&gt;=1,12+$K$34&lt;=72),INDEX($N$5:$N$76,12+$K$34),0)+IF(AND(12+$K$35&gt;=1,12+$K$35&lt;=72),INDEX($N$5:$N$76,12+$K$35),0))/3</f>
        <v/>
      </c>
      <c r="T16" s="132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33">
        <f>DATE(YEAR(B16),MONTH(B16)+1,1)</f>
        <v/>
      </c>
      <c r="C17" s="60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RESUMO'!P38</f>
        <v/>
      </c>
      <c r="N17" s="132">
        <f>MAX(0,M17-M16)</f>
        <v/>
      </c>
      <c r="O17" s="131">
        <f>IF(B17&lt;='VALOR POR PL'!$P$5,'CP RESUMO'!P80,"")</f>
        <v/>
      </c>
      <c r="P17" s="72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2">
        <f>(IF(AND(13+$K$33&gt;=1,13+$K$33&lt;=72),INDEX($N$5:$N$76,13+$K$33),0)+IF(AND(13+$K$34&gt;=1,13+$K$34&lt;=72),INDEX($N$5:$N$76,13+$K$34),0)+IF(AND(13+$K$35&gt;=1,13+$K$35&lt;=72),INDEX($N$5:$N$76,13+$K$35),0))/3</f>
        <v/>
      </c>
      <c r="T17" s="132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33">
        <f>DATE(YEAR(B17),MONTH(B17)+1,1)</f>
        <v/>
      </c>
      <c r="C18" s="60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RESUMO'!Q38</f>
        <v/>
      </c>
      <c r="N18" s="132">
        <f>MAX(0,M18-M17)</f>
        <v/>
      </c>
      <c r="O18" s="131">
        <f>IF(B18&lt;='VALOR POR PL'!$P$5,'CP RESUMO'!Q80,"")</f>
        <v/>
      </c>
      <c r="P18" s="72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2">
        <f>(IF(AND(14+$K$33&gt;=1,14+$K$33&lt;=72),INDEX($N$5:$N$76,14+$K$33),0)+IF(AND(14+$K$34&gt;=1,14+$K$34&lt;=72),INDEX($N$5:$N$76,14+$K$34),0)+IF(AND(14+$K$35&gt;=1,14+$K$35&lt;=72),INDEX($N$5:$N$76,14+$K$35),0))/3</f>
        <v/>
      </c>
      <c r="T18" s="132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33">
        <f>DATE(YEAR(B18),MONTH(B18)+1,1)</f>
        <v/>
      </c>
      <c r="C19" s="60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RESUMO'!R38</f>
        <v/>
      </c>
      <c r="N19" s="132">
        <f>MAX(0,M19-M18)</f>
        <v/>
      </c>
      <c r="O19" s="131">
        <f>IF(B19&lt;='VALOR POR PL'!$P$5,'CP RESUMO'!R80,"")</f>
        <v/>
      </c>
      <c r="P19" s="72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2">
        <f>(IF(AND(15+$K$33&gt;=1,15+$K$33&lt;=72),INDEX($N$5:$N$76,15+$K$33),0)+IF(AND(15+$K$34&gt;=1,15+$K$34&lt;=72),INDEX($N$5:$N$76,15+$K$34),0)+IF(AND(15+$K$35&gt;=1,15+$K$35&lt;=72),INDEX($N$5:$N$76,15+$K$35),0))/3</f>
        <v/>
      </c>
      <c r="T19" s="132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RESUMO'!S38</f>
        <v/>
      </c>
      <c r="N20" s="132">
        <f>MAX(0,M20-M19)</f>
        <v/>
      </c>
      <c r="O20" s="131">
        <f>IF(B20&lt;='VALOR POR PL'!$P$5,'CP RESUMO'!S80,"")</f>
        <v/>
      </c>
      <c r="P20" s="72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2">
        <f>(IF(AND(16+$K$33&gt;=1,16+$K$33&lt;=72),INDEX($N$5:$N$76,16+$K$33),0)+IF(AND(16+$K$34&gt;=1,16+$K$34&lt;=72),INDEX($N$5:$N$76,16+$K$34),0)+IF(AND(16+$K$35&gt;=1,16+$K$35&lt;=72),INDEX($N$5:$N$76,16+$K$35),0))/3</f>
        <v/>
      </c>
      <c r="T20" s="132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33">
        <f>DATE(YEAR(B20),MONTH(B20)+1,1)</f>
        <v/>
      </c>
      <c r="C21" s="60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RESUMO'!T38</f>
        <v/>
      </c>
      <c r="N21" s="132">
        <f>MAX(0,M21-M20)</f>
        <v/>
      </c>
      <c r="O21" s="131">
        <f>IF(B21&lt;='VALOR POR PL'!$P$5,'CP RESUMO'!T80,"")</f>
        <v/>
      </c>
      <c r="P21" s="72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2">
        <f>(IF(AND(17+$K$33&gt;=1,17+$K$33&lt;=72),INDEX($N$5:$N$76,17+$K$33),0)+IF(AND(17+$K$34&gt;=1,17+$K$34&lt;=72),INDEX($N$5:$N$76,17+$K$34),0)+IF(AND(17+$K$35&gt;=1,17+$K$35&lt;=72),INDEX($N$5:$N$76,17+$K$35),0))/3</f>
        <v/>
      </c>
      <c r="T21" s="132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33">
        <f>DATE(YEAR(B21),MONTH(B21)+1,1)</f>
        <v/>
      </c>
      <c r="C22" s="60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RESUMO'!U38</f>
        <v/>
      </c>
      <c r="N22" s="132">
        <f>MAX(0,M22-M21)</f>
        <v/>
      </c>
      <c r="O22" s="131">
        <f>IF(B22&lt;='VALOR POR PL'!$P$5,'CP RESUMO'!U80,"")</f>
        <v/>
      </c>
      <c r="P22" s="72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2">
        <f>(IF(AND(18+$K$33&gt;=1,18+$K$33&lt;=72),INDEX($N$5:$N$76,18+$K$33),0)+IF(AND(18+$K$34&gt;=1,18+$K$34&lt;=72),INDEX($N$5:$N$76,18+$K$34),0)+IF(AND(18+$K$35&gt;=1,18+$K$35&lt;=72),INDEX($N$5:$N$76,18+$K$35),0))/3</f>
        <v/>
      </c>
      <c r="T22" s="132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33">
        <f>DATE(YEAR(B22),MONTH(B22)+1,1)</f>
        <v/>
      </c>
      <c r="C23" s="60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RESUMO'!V38</f>
        <v/>
      </c>
      <c r="N23" s="132">
        <f>MAX(0,M23-M22)</f>
        <v/>
      </c>
      <c r="O23" s="131">
        <f>IF(B23&lt;='VALOR POR PL'!$P$5,'CP RESUMO'!V80,"")</f>
        <v/>
      </c>
      <c r="P23" s="72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2">
        <f>(IF(AND(19+$K$33&gt;=1,19+$K$33&lt;=72),INDEX($N$5:$N$76,19+$K$33),0)+IF(AND(19+$K$34&gt;=1,19+$K$34&lt;=72),INDEX($N$5:$N$76,19+$K$34),0)+IF(AND(19+$K$35&gt;=1,19+$K$35&lt;=72),INDEX($N$5:$N$76,19+$K$35),0))/3</f>
        <v/>
      </c>
      <c r="T23" s="132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Saldo dividido: MDO segue a curva do Prevision; material segue a premissa (pedido antecipado, pagamento 28/56/84 dias).</t>
        </is>
      </c>
      <c r="L24" s="49">
        <f>C24/IF(B24&lt;='VALOR POR PL'!$P$5,IFERROR(INDEX('"INCC-FGV"'!$B$2:$B$800,MATCH(B24,'"INCC-FGV"'!$A$2:$A$800,0)),$K$2),$K$2)</f>
        <v/>
      </c>
      <c r="M24" s="131">
        <f>'CP RESUMO'!W38</f>
        <v/>
      </c>
      <c r="N24" s="132">
        <f>MAX(0,M24-M23)</f>
        <v/>
      </c>
      <c r="O24" s="131">
        <f>IF(B24&lt;='VALOR POR PL'!$P$5,'CP RESUMO'!W80,"")</f>
        <v/>
      </c>
      <c r="P24" s="72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2">
        <f>(IF(AND(20+$K$33&gt;=1,20+$K$33&lt;=72),INDEX($N$5:$N$76,20+$K$33),0)+IF(AND(20+$K$34&gt;=1,20+$K$34&lt;=72),INDEX($N$5:$N$76,20+$K$34),0)+IF(AND(20+$K$35&gt;=1,20+$K$35&lt;=72),INDEX($N$5:$N$76,20+$K$35),0))/3</f>
        <v/>
      </c>
      <c r="T24" s="132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33">
        <f>DATE(YEAR(B24),MONTH(B24)+1,1)</f>
        <v/>
      </c>
      <c r="C25" s="60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I25" s="66" t="inlineStr">
        <is>
          <t>DIVISÃO MDO × MATERIAL</t>
        </is>
      </c>
      <c r="J25" s="67" t="n"/>
      <c r="K25" s="68" t="n"/>
      <c r="L25" s="49">
        <f>C25/IF(B25&lt;='VALOR POR PL'!$P$5,IFERROR(INDEX('"INCC-FGV"'!$B$2:$B$800,MATCH(B25,'"INCC-FGV"'!$A$2:$A$800,0)),$K$2),$K$2)</f>
        <v/>
      </c>
      <c r="M25" s="131">
        <f>'CP RESUMO'!X38</f>
        <v/>
      </c>
      <c r="N25" s="132">
        <f>MAX(0,M25-M24)</f>
        <v/>
      </c>
      <c r="O25" s="131">
        <f>IF(B25&lt;='VALOR POR PL'!$P$5,'CP RESUMO'!X80,"")</f>
        <v/>
      </c>
      <c r="P25" s="72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2">
        <f>(IF(AND(21+$K$33&gt;=1,21+$K$33&lt;=72),INDEX($N$5:$N$76,21+$K$33),0)+IF(AND(21+$K$34&gt;=1,21+$K$34&lt;=72),INDEX($N$5:$N$76,21+$K$34),0)+IF(AND(21+$K$35&gt;=1,21+$K$35&lt;=72),INDEX($N$5:$N$76,21+$K$35),0))/3</f>
        <v/>
      </c>
      <c r="T25" s="132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33">
        <f>DATE(YEAR(B25),MONTH(B25)+1,1)</f>
        <v/>
      </c>
      <c r="C26" s="60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I26" s="46" t="inlineStr">
        <is>
          <t>% MÃO DE OBRA (segue a curva do Prevision)</t>
        </is>
      </c>
      <c r="K26" s="55" t="n">
        <v>0.4</v>
      </c>
      <c r="L26" s="49">
        <f>C26/IF(B26&lt;='VALOR POR PL'!$P$5,IFERROR(INDEX('"INCC-FGV"'!$B$2:$B$800,MATCH(B26,'"INCC-FGV"'!$A$2:$A$800,0)),$K$2),$K$2)</f>
        <v/>
      </c>
      <c r="M26" s="131">
        <f>'CP RESUMO'!Y38</f>
        <v/>
      </c>
      <c r="N26" s="132">
        <f>MAX(0,M26-M25)</f>
        <v/>
      </c>
      <c r="O26" s="131">
        <f>IF(B26&lt;='VALOR POR PL'!$P$5,'CP RESUMO'!Y80,"")</f>
        <v/>
      </c>
      <c r="P26" s="72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2">
        <f>(IF(AND(22+$K$33&gt;=1,22+$K$33&lt;=72),INDEX($N$5:$N$76,22+$K$33),0)+IF(AND(22+$K$34&gt;=1,22+$K$34&lt;=72),INDEX($N$5:$N$76,22+$K$34),0)+IF(AND(22+$K$35&gt;=1,22+$K$35&lt;=72),INDEX($N$5:$N$76,22+$K$35),0))/3</f>
        <v/>
      </c>
      <c r="T26" s="132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33">
        <f>DATE(YEAR(B26),MONTH(B26)+1,1)</f>
        <v/>
      </c>
      <c r="C27" s="60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I27" s="46" t="inlineStr">
        <is>
          <t>% MATERIAL (segue a premissa)</t>
        </is>
      </c>
      <c r="K27" s="141">
        <f>1-K26</f>
        <v/>
      </c>
      <c r="L27" s="49">
        <f>C27/IF(B27&lt;='VALOR POR PL'!$P$5,IFERROR(INDEX('"INCC-FGV"'!$B$2:$B$800,MATCH(B27,'"INCC-FGV"'!$A$2:$A$800,0)),$K$2),$K$2)</f>
        <v/>
      </c>
      <c r="M27" s="131">
        <f>'CP RESUMO'!Z38</f>
        <v/>
      </c>
      <c r="N27" s="132">
        <f>MAX(0,M27-M26)</f>
        <v/>
      </c>
      <c r="O27" s="131">
        <f>IF(B27&lt;='VALOR POR PL'!$P$5,'CP RESUMO'!Z80,"")</f>
        <v/>
      </c>
      <c r="P27" s="72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2">
        <f>(IF(AND(23+$K$33&gt;=1,23+$K$33&lt;=72),INDEX($N$5:$N$76,23+$K$33),0)+IF(AND(23+$K$34&gt;=1,23+$K$34&lt;=72),INDEX($N$5:$N$76,23+$K$34),0)+IF(AND(23+$K$35&gt;=1,23+$K$35&lt;=72),INDEX($N$5:$N$76,23+$K$35),0))/3</f>
        <v/>
      </c>
      <c r="T27" s="132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33">
        <f>DATE(YEAR(B27),MONTH(B27)+1,1)</f>
        <v/>
      </c>
      <c r="C28" s="60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I28" s="46" t="inlineStr">
        <is>
          <t>ANTECEDÊNCIA DO PEDIDO (dias antes da instalação)</t>
        </is>
      </c>
      <c r="K28" s="142" t="n">
        <v>180</v>
      </c>
      <c r="L28" s="49">
        <f>C28/IF(B28&lt;='VALOR POR PL'!$P$5,IFERROR(INDEX('"INCC-FGV"'!$B$2:$B$800,MATCH(B28,'"INCC-FGV"'!$A$2:$A$800,0)),$K$2),$K$2)</f>
        <v/>
      </c>
      <c r="M28" s="131">
        <f>'CP RESUMO'!AA38</f>
        <v/>
      </c>
      <c r="N28" s="132">
        <f>MAX(0,M28-M27)</f>
        <v/>
      </c>
      <c r="O28" s="131">
        <f>IF(B28&lt;='VALOR POR PL'!$P$5,'CP RESUMO'!AA80,"")</f>
        <v/>
      </c>
      <c r="P28" s="72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2">
        <f>(IF(AND(24+$K$33&gt;=1,24+$K$33&lt;=72),INDEX($N$5:$N$76,24+$K$33),0)+IF(AND(24+$K$34&gt;=1,24+$K$34&lt;=72),INDEX($N$5:$N$76,24+$K$34),0)+IF(AND(24+$K$35&gt;=1,24+$K$35&lt;=72),INDEX($N$5:$N$76,24+$K$35),0))/3</f>
        <v/>
      </c>
      <c r="T28" s="132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33">
        <f>DATE(YEAR(B28),MONTH(B28)+1,1)</f>
        <v/>
      </c>
      <c r="C29" s="60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I29" s="46" t="inlineStr">
        <is>
          <t>1ª PARCELA (dias após o pedido)</t>
        </is>
      </c>
      <c r="K29" s="142" t="n">
        <v>28</v>
      </c>
      <c r="L29" s="49">
        <f>C29/IF(B29&lt;='VALOR POR PL'!$P$5,IFERROR(INDEX('"INCC-FGV"'!$B$2:$B$800,MATCH(B29,'"INCC-FGV"'!$A$2:$A$800,0)),$K$2),$K$2)</f>
        <v/>
      </c>
      <c r="M29" s="131">
        <f>'CP RESUMO'!AB38</f>
        <v/>
      </c>
      <c r="N29" s="132">
        <f>MAX(0,M29-M28)</f>
        <v/>
      </c>
      <c r="O29" s="131">
        <f>IF(B29&lt;='VALOR POR PL'!$P$5,'CP RESUMO'!AB80,"")</f>
        <v/>
      </c>
      <c r="P29" s="72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2">
        <f>(IF(AND(25+$K$33&gt;=1,25+$K$33&lt;=72),INDEX($N$5:$N$76,25+$K$33),0)+IF(AND(25+$K$34&gt;=1,25+$K$34&lt;=72),INDEX($N$5:$N$76,25+$K$34),0)+IF(AND(25+$K$35&gt;=1,25+$K$35&lt;=72),INDEX($N$5:$N$76,25+$K$35),0))/3</f>
        <v/>
      </c>
      <c r="T29" s="132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33">
        <f>DATE(YEAR(B29),MONTH(B29)+1,1)</f>
        <v/>
      </c>
      <c r="C30" s="60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I30" s="46" t="inlineStr">
        <is>
          <t>2ª PARCELA (dias após o pedido)</t>
        </is>
      </c>
      <c r="K30" s="142" t="n">
        <v>56</v>
      </c>
      <c r="L30" s="49">
        <f>C30/IF(B30&lt;='VALOR POR PL'!$P$5,IFERROR(INDEX('"INCC-FGV"'!$B$2:$B$800,MATCH(B30,'"INCC-FGV"'!$A$2:$A$800,0)),$K$2),$K$2)</f>
        <v/>
      </c>
      <c r="M30" s="131">
        <f>'CP RESUMO'!AC38</f>
        <v/>
      </c>
      <c r="N30" s="132">
        <f>MAX(0,M30-M29)</f>
        <v/>
      </c>
      <c r="O30" s="131">
        <f>IF(B30&lt;='VALOR POR PL'!$P$5,'CP RESUMO'!AC80,"")</f>
        <v/>
      </c>
      <c r="P30" s="72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2">
        <f>(IF(AND(26+$K$33&gt;=1,26+$K$33&lt;=72),INDEX($N$5:$N$76,26+$K$33),0)+IF(AND(26+$K$34&gt;=1,26+$K$34&lt;=72),INDEX($N$5:$N$76,26+$K$34),0)+IF(AND(26+$K$35&gt;=1,26+$K$35&lt;=72),INDEX($N$5:$N$76,26+$K$35),0))/3</f>
        <v/>
      </c>
      <c r="T30" s="132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33">
        <f>DATE(YEAR(B30),MONTH(B30)+1,1)</f>
        <v/>
      </c>
      <c r="C31" s="60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I31" s="46" t="inlineStr">
        <is>
          <t>3ª PARCELA (dias após o pedido)</t>
        </is>
      </c>
      <c r="K31" s="142" t="n">
        <v>84</v>
      </c>
      <c r="L31" s="49">
        <f>C31/IF(B31&lt;='VALOR POR PL'!$P$5,IFERROR(INDEX('"INCC-FGV"'!$B$2:$B$800,MATCH(B31,'"INCC-FGV"'!$A$2:$A$800,0)),$K$2),$K$2)</f>
        <v/>
      </c>
      <c r="M31" s="131">
        <f>'CP RESUMO'!AD38</f>
        <v/>
      </c>
      <c r="N31" s="132">
        <f>MAX(0,M31-M30)</f>
        <v/>
      </c>
      <c r="O31" s="131">
        <f>IF(B31&lt;='VALOR POR PL'!$P$5,'CP RESUMO'!AD80,"")</f>
        <v/>
      </c>
      <c r="P31" s="72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2">
        <f>(IF(AND(27+$K$33&gt;=1,27+$K$33&lt;=72),INDEX($N$5:$N$76,27+$K$33),0)+IF(AND(27+$K$34&gt;=1,27+$K$34&lt;=72),INDEX($N$5:$N$76,27+$K$34),0)+IF(AND(27+$K$35&gt;=1,27+$K$35&lt;=72),INDEX($N$5:$N$76,27+$K$35),0))/3</f>
        <v/>
      </c>
      <c r="T31" s="132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33">
        <f>DATE(YEAR(B31),MONTH(B31)+1,1)</f>
        <v/>
      </c>
      <c r="C32" s="60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I32" s="46" t="inlineStr">
        <is>
          <t>Σ PESOS DO MATERIAL (meses futuros)</t>
        </is>
      </c>
      <c r="K32" s="132">
        <f>SUM(T5:T76)</f>
        <v/>
      </c>
      <c r="L32" s="49">
        <f>C32/IF(B32&lt;='VALOR POR PL'!$P$5,IFERROR(INDEX('"INCC-FGV"'!$B$2:$B$800,MATCH(B32,'"INCC-FGV"'!$A$2:$A$800,0)),$K$2),$K$2)</f>
        <v/>
      </c>
      <c r="M32" s="131">
        <f>'CP RESUMO'!AE38</f>
        <v/>
      </c>
      <c r="N32" s="132">
        <f>MAX(0,M32-M31)</f>
        <v/>
      </c>
      <c r="O32" s="131">
        <f>IF(B32&lt;='VALOR POR PL'!$P$5,'CP RESUMO'!AE80,"")</f>
        <v/>
      </c>
      <c r="P32" s="72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2">
        <f>(IF(AND(28+$K$33&gt;=1,28+$K$33&lt;=72),INDEX($N$5:$N$76,28+$K$33),0)+IF(AND(28+$K$34&gt;=1,28+$K$34&lt;=72),INDEX($N$5:$N$76,28+$K$34),0)+IF(AND(28+$K$35&gt;=1,28+$K$35&lt;=72),INDEX($N$5:$N$76,28+$K$35),0))/3</f>
        <v/>
      </c>
      <c r="T32" s="132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33">
        <f>DATE(YEAR(B32),MONTH(B32)+1,1)</f>
        <v/>
      </c>
      <c r="C33" s="60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I33" s="46" t="inlineStr">
        <is>
          <t>Parcela 1 paga X meses antes da instalação</t>
        </is>
      </c>
      <c r="K33" s="69">
        <f>ROUND((K28-K29)/30,0)</f>
        <v/>
      </c>
      <c r="L33" s="49">
        <f>C33/IF(B33&lt;='VALOR POR PL'!$P$5,IFERROR(INDEX('"INCC-FGV"'!$B$2:$B$800,MATCH(B33,'"INCC-FGV"'!$A$2:$A$800,0)),$K$2),$K$2)</f>
        <v/>
      </c>
      <c r="M33" s="131">
        <f>'CP RESUMO'!AF38</f>
        <v/>
      </c>
      <c r="N33" s="132">
        <f>MAX(0,M33-M32)</f>
        <v/>
      </c>
      <c r="O33" s="131">
        <f>IF(B33&lt;='VALOR POR PL'!$P$5,'CP RESUMO'!AF80,"")</f>
        <v/>
      </c>
      <c r="P33" s="72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2">
        <f>(IF(AND(29+$K$33&gt;=1,29+$K$33&lt;=72),INDEX($N$5:$N$76,29+$K$33),0)+IF(AND(29+$K$34&gt;=1,29+$K$34&lt;=72),INDEX($N$5:$N$76,29+$K$34),0)+IF(AND(29+$K$35&gt;=1,29+$K$35&lt;=72),INDEX($N$5:$N$76,29+$K$35),0))/3</f>
        <v/>
      </c>
      <c r="T33" s="132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33">
        <f>DATE(YEAR(B33),MONTH(B33)+1,1)</f>
        <v/>
      </c>
      <c r="C34" s="60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I34" s="46" t="inlineStr">
        <is>
          <t>Parcela 2 paga X meses antes da instalação</t>
        </is>
      </c>
      <c r="K34" s="69">
        <f>ROUND((K28-K30)/30,0)</f>
        <v/>
      </c>
      <c r="L34" s="49">
        <f>C34/IF(B34&lt;='VALOR POR PL'!$P$5,IFERROR(INDEX('"INCC-FGV"'!$B$2:$B$800,MATCH(B34,'"INCC-FGV"'!$A$2:$A$800,0)),$K$2),$K$2)</f>
        <v/>
      </c>
      <c r="M34" s="131">
        <f>'CP RESUMO'!AG38</f>
        <v/>
      </c>
      <c r="N34" s="132">
        <f>MAX(0,M34-M33)</f>
        <v/>
      </c>
      <c r="O34" s="131">
        <f>IF(B34&lt;='VALOR POR PL'!$P$5,'CP RESUMO'!AG80,"")</f>
        <v/>
      </c>
      <c r="P34" s="72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2">
        <f>(IF(AND(30+$K$33&gt;=1,30+$K$33&lt;=72),INDEX($N$5:$N$76,30+$K$33),0)+IF(AND(30+$K$34&gt;=1,30+$K$34&lt;=72),INDEX($N$5:$N$76,30+$K$34),0)+IF(AND(30+$K$35&gt;=1,30+$K$35&lt;=72),INDEX($N$5:$N$76,30+$K$35),0))/3</f>
        <v/>
      </c>
      <c r="T34" s="132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33">
        <f>DATE(YEAR(B34),MONTH(B34)+1,1)</f>
        <v/>
      </c>
      <c r="C35" s="60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I35" s="46" t="inlineStr">
        <is>
          <t>Parcela 3 paga X meses antes da instalação</t>
        </is>
      </c>
      <c r="K35" s="69">
        <f>ROUND((K28-K31)/30,0)</f>
        <v/>
      </c>
      <c r="L35" s="49">
        <f>C35/IF(B35&lt;='VALOR POR PL'!$P$5,IFERROR(INDEX('"INCC-FGV"'!$B$2:$B$800,MATCH(B35,'"INCC-FGV"'!$A$2:$A$800,0)),$K$2),$K$2)</f>
        <v/>
      </c>
      <c r="M35" s="131">
        <f>'CP RESUMO'!AH38</f>
        <v/>
      </c>
      <c r="N35" s="132">
        <f>MAX(0,M35-M34)</f>
        <v/>
      </c>
      <c r="O35" s="131">
        <f>IF(B35&lt;='VALOR POR PL'!$P$5,'CP RESUMO'!AH80,"")</f>
        <v/>
      </c>
      <c r="P35" s="72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2">
        <f>(IF(AND(31+$K$33&gt;=1,31+$K$33&lt;=72),INDEX($N$5:$N$76,31+$K$33),0)+IF(AND(31+$K$34&gt;=1,31+$K$34&lt;=72),INDEX($N$5:$N$76,31+$K$34),0)+IF(AND(31+$K$35&gt;=1,31+$K$35&lt;=72),INDEX($N$5:$N$76,31+$K$35),0))/3</f>
        <v/>
      </c>
      <c r="T35" s="132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33">
        <f>DATE(YEAR(B35),MONTH(B35)+1,1)</f>
        <v/>
      </c>
      <c r="C36" s="60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I36" s="46" t="inlineStr">
        <is>
          <t>MDO no fluxo (R$)</t>
        </is>
      </c>
      <c r="K36" s="49">
        <f>SUM(R5:R76)</f>
        <v/>
      </c>
      <c r="L36" s="49">
        <f>C36/IF(B36&lt;='VALOR POR PL'!$P$5,IFERROR(INDEX('"INCC-FGV"'!$B$2:$B$800,MATCH(B36,'"INCC-FGV"'!$A$2:$A$800,0)),$K$2),$K$2)</f>
        <v/>
      </c>
      <c r="M36" s="131">
        <f>'CP RESUMO'!AI38</f>
        <v/>
      </c>
      <c r="N36" s="132">
        <f>MAX(0,M36-M35)</f>
        <v/>
      </c>
      <c r="O36" s="131">
        <f>IF(B36&lt;='VALOR POR PL'!$P$5,'CP RESUMO'!AI80,"")</f>
        <v/>
      </c>
      <c r="P36" s="72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2">
        <f>(IF(AND(32+$K$33&gt;=1,32+$K$33&lt;=72),INDEX($N$5:$N$76,32+$K$33),0)+IF(AND(32+$K$34&gt;=1,32+$K$34&lt;=72),INDEX($N$5:$N$76,32+$K$34),0)+IF(AND(32+$K$35&gt;=1,32+$K$35&lt;=72),INDEX($N$5:$N$76,32+$K$35),0))/3</f>
        <v/>
      </c>
      <c r="T36" s="132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33">
        <f>DATE(YEAR(B36),MONTH(B36)+1,1)</f>
        <v/>
      </c>
      <c r="C37" s="60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60846.8</v>
      </c>
      <c r="I37" s="46" t="inlineStr">
        <is>
          <t>MATERIAL no fluxo (R$)</t>
        </is>
      </c>
      <c r="K37" s="49">
        <f>SUM(U5:U76)</f>
        <v/>
      </c>
      <c r="L37" s="49">
        <f>C37/IF(B37&lt;='VALOR POR PL'!$P$5,IFERROR(INDEX('"INCC-FGV"'!$B$2:$B$800,MATCH(B37,'"INCC-FGV"'!$A$2:$A$800,0)),$K$2),$K$2)</f>
        <v/>
      </c>
      <c r="M37" s="131">
        <f>'CP RESUMO'!AJ38</f>
        <v/>
      </c>
      <c r="N37" s="132">
        <f>MAX(0,M37-M36)</f>
        <v/>
      </c>
      <c r="O37" s="131">
        <f>IF(B37&lt;='VALOR POR PL'!$P$5,'CP RESUMO'!AJ80,"")</f>
        <v/>
      </c>
      <c r="P37" s="72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2">
        <f>(IF(AND(33+$K$33&gt;=1,33+$K$33&lt;=72),INDEX($N$5:$N$76,33+$K$33),0)+IF(AND(33+$K$34&gt;=1,33+$K$34&lt;=72),INDEX($N$5:$N$76,33+$K$34),0)+IF(AND(33+$K$35&gt;=1,33+$K$35&lt;=72),INDEX($N$5:$N$76,33+$K$35),0))/3</f>
        <v/>
      </c>
      <c r="T37" s="132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33">
        <f>DATE(YEAR(B37),MONTH(B37)+1,1)</f>
        <v/>
      </c>
      <c r="C38" s="60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55034.2</v>
      </c>
      <c r="L38" s="49">
        <f>C38/IF(B38&lt;='VALOR POR PL'!$P$5,IFERROR(INDEX('"INCC-FGV"'!$B$2:$B$800,MATCH(B38,'"INCC-FGV"'!$A$2:$A$800,0)),$K$2),$K$2)</f>
        <v/>
      </c>
      <c r="M38" s="131">
        <f>'CP RESUMO'!AK38</f>
        <v/>
      </c>
      <c r="N38" s="132">
        <f>MAX(0,M38-M37)</f>
        <v/>
      </c>
      <c r="O38" s="131">
        <f>IF(B38&lt;='VALOR POR PL'!$P$5,'CP RESUMO'!AK80,"")</f>
        <v/>
      </c>
      <c r="P38" s="72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2">
        <f>(IF(AND(34+$K$33&gt;=1,34+$K$33&lt;=72),INDEX($N$5:$N$76,34+$K$33),0)+IF(AND(34+$K$34&gt;=1,34+$K$34&lt;=72),INDEX($N$5:$N$76,34+$K$34),0)+IF(AND(34+$K$35&gt;=1,34+$K$35&lt;=72),INDEX($N$5:$N$76,34+$K$35),0))/3</f>
        <v/>
      </c>
      <c r="T38" s="132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33">
        <f>DATE(YEAR(B38),MONTH(B38)+1,1)</f>
        <v/>
      </c>
      <c r="C39" s="60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74945.45</v>
      </c>
      <c r="L39" s="49">
        <f>C39/IF(B39&lt;='VALOR POR PL'!$P$5,IFERROR(INDEX('"INCC-FGV"'!$B$2:$B$800,MATCH(B39,'"INCC-FGV"'!$A$2:$A$800,0)),$K$2),$K$2)</f>
        <v/>
      </c>
      <c r="M39" s="131">
        <f>'CP RESUMO'!AL38</f>
        <v/>
      </c>
      <c r="N39" s="132">
        <f>MAX(0,M39-M38)</f>
        <v/>
      </c>
      <c r="O39" s="131">
        <f>IF(B39&lt;='VALOR POR PL'!$P$5,'CP RESUMO'!AL80,"")</f>
        <v/>
      </c>
      <c r="P39" s="72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2">
        <f>(IF(AND(35+$K$33&gt;=1,35+$K$33&lt;=72),INDEX($N$5:$N$76,35+$K$33),0)+IF(AND(35+$K$34&gt;=1,35+$K$34&lt;=72),INDEX($N$5:$N$76,35+$K$34),0)+IF(AND(35+$K$35&gt;=1,35+$K$35&lt;=72),INDEX($N$5:$N$76,35+$K$35),0))/3</f>
        <v/>
      </c>
      <c r="T39" s="132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33">
        <f>DATE(YEAR(B39),MONTH(B39)+1,1)</f>
        <v/>
      </c>
      <c r="C40" s="60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41677.58</v>
      </c>
      <c r="L40" s="49">
        <f>C40/IF(B40&lt;='VALOR POR PL'!$P$5,IFERROR(INDEX('"INCC-FGV"'!$B$2:$B$800,MATCH(B40,'"INCC-FGV"'!$A$2:$A$800,0)),$K$2),$K$2)</f>
        <v/>
      </c>
      <c r="M40" s="131">
        <f>'CP RESUMO'!AM38</f>
        <v/>
      </c>
      <c r="N40" s="132">
        <f>MAX(0,M40-M39)</f>
        <v/>
      </c>
      <c r="O40" s="131">
        <f>IF(B40&lt;='VALOR POR PL'!$P$5,'CP RESUMO'!AM80,"")</f>
        <v/>
      </c>
      <c r="P40" s="72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2">
        <f>(IF(AND(36+$K$33&gt;=1,36+$K$33&lt;=72),INDEX($N$5:$N$76,36+$K$33),0)+IF(AND(36+$K$34&gt;=1,36+$K$34&lt;=72),INDEX($N$5:$N$76,36+$K$34),0)+IF(AND(36+$K$35&gt;=1,36+$K$35&lt;=72),INDEX($N$5:$N$76,36+$K$35),0))/3</f>
        <v/>
      </c>
      <c r="T40" s="132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33">
        <f>DATE(YEAR(B40),MONTH(B40)+1,1)</f>
        <v/>
      </c>
      <c r="C41" s="60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69380.19</v>
      </c>
      <c r="L41" s="49">
        <f>C41/IF(B41&lt;='VALOR POR PL'!$P$5,IFERROR(INDEX('"INCC-FGV"'!$B$2:$B$800,MATCH(B41,'"INCC-FGV"'!$A$2:$A$800,0)),$K$2),$K$2)</f>
        <v/>
      </c>
      <c r="M41" s="131">
        <f>'CP RESUMO'!AN38</f>
        <v/>
      </c>
      <c r="N41" s="132">
        <f>MAX(0,M41-M40)</f>
        <v/>
      </c>
      <c r="O41" s="131">
        <f>IF(B41&lt;='VALOR POR PL'!$P$5,'CP RESUMO'!AN80,"")</f>
        <v/>
      </c>
      <c r="P41" s="72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2">
        <f>(IF(AND(37+$K$33&gt;=1,37+$K$33&lt;=72),INDEX($N$5:$N$76,37+$K$33),0)+IF(AND(37+$K$34&gt;=1,37+$K$34&lt;=72),INDEX($N$5:$N$76,37+$K$34),0)+IF(AND(37+$K$35&gt;=1,37+$K$35&lt;=72),INDEX($N$5:$N$76,37+$K$35),0))/3</f>
        <v/>
      </c>
      <c r="T41" s="132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33">
        <f>DATE(YEAR(B41),MONTH(B41)+1,1)</f>
        <v/>
      </c>
      <c r="C42" s="60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142099.54</v>
      </c>
      <c r="L42" s="49">
        <f>C42/IF(B42&lt;='VALOR POR PL'!$P$5,IFERROR(INDEX('"INCC-FGV"'!$B$2:$B$800,MATCH(B42,'"INCC-FGV"'!$A$2:$A$800,0)),$K$2),$K$2)</f>
        <v/>
      </c>
      <c r="M42" s="131">
        <f>'CP RESUMO'!AO38</f>
        <v/>
      </c>
      <c r="N42" s="132">
        <f>MAX(0,M42-M41)</f>
        <v/>
      </c>
      <c r="O42" s="131">
        <f>IF(B42&lt;='VALOR POR PL'!$P$5,'CP RESUMO'!AO80,"")</f>
        <v/>
      </c>
      <c r="P42" s="72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2">
        <f>(IF(AND(38+$K$33&gt;=1,38+$K$33&lt;=72),INDEX($N$5:$N$76,38+$K$33),0)+IF(AND(38+$K$34&gt;=1,38+$K$34&lt;=72),INDEX($N$5:$N$76,38+$K$34),0)+IF(AND(38+$K$35&gt;=1,38+$K$35&lt;=72),INDEX($N$5:$N$76,38+$K$35),0))/3</f>
        <v/>
      </c>
      <c r="T42" s="132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33">
        <f>DATE(YEAR(B42),MONTH(B42)+1,1)</f>
        <v/>
      </c>
      <c r="C43" s="60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174007</v>
      </c>
      <c r="L43" s="49">
        <f>C43/IF(B43&lt;='VALOR POR PL'!$P$5,IFERROR(INDEX('"INCC-FGV"'!$B$2:$B$800,MATCH(B43,'"INCC-FGV"'!$A$2:$A$800,0)),$K$2),$K$2)</f>
        <v/>
      </c>
      <c r="M43" s="131">
        <f>'CP RESUMO'!AP38</f>
        <v/>
      </c>
      <c r="N43" s="132">
        <f>MAX(0,M43-M42)</f>
        <v/>
      </c>
      <c r="O43" s="131">
        <f>IF(B43&lt;='VALOR POR PL'!$P$5,'CP RESUMO'!AP80,"")</f>
        <v/>
      </c>
      <c r="P43" s="72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2">
        <f>(IF(AND(39+$K$33&gt;=1,39+$K$33&lt;=72),INDEX($N$5:$N$76,39+$K$33),0)+IF(AND(39+$K$34&gt;=1,39+$K$34&lt;=72),INDEX($N$5:$N$76,39+$K$34),0)+IF(AND(39+$K$35&gt;=1,39+$K$35&lt;=72),INDEX($N$5:$N$76,39+$K$35),0))/3</f>
        <v/>
      </c>
      <c r="T43" s="132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33">
        <f>DATE(YEAR(B43),MONTH(B43)+1,1)</f>
        <v/>
      </c>
      <c r="C44" s="60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176480.45</v>
      </c>
      <c r="L44" s="49">
        <f>C44/IF(B44&lt;='VALOR POR PL'!$P$5,IFERROR(INDEX('"INCC-FGV"'!$B$2:$B$800,MATCH(B44,'"INCC-FGV"'!$A$2:$A$800,0)),$K$2),$K$2)</f>
        <v/>
      </c>
      <c r="M44" s="131">
        <f>'CP RESUMO'!AQ38</f>
        <v/>
      </c>
      <c r="N44" s="132">
        <f>MAX(0,M44-M43)</f>
        <v/>
      </c>
      <c r="O44" s="131">
        <f>IF(B44&lt;='VALOR POR PL'!$P$5,'CP RESUMO'!AQ80,"")</f>
        <v/>
      </c>
      <c r="P44" s="72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2">
        <f>(IF(AND(40+$K$33&gt;=1,40+$K$33&lt;=72),INDEX($N$5:$N$76,40+$K$33),0)+IF(AND(40+$K$34&gt;=1,40+$K$34&lt;=72),INDEX($N$5:$N$76,40+$K$34),0)+IF(AND(40+$K$35&gt;=1,40+$K$35&lt;=72),INDEX($N$5:$N$76,40+$K$35),0))/3</f>
        <v/>
      </c>
      <c r="T44" s="132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33">
        <f>DATE(YEAR(B44),MONTH(B44)+1,1)</f>
        <v/>
      </c>
      <c r="C45" s="60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105121.5</v>
      </c>
      <c r="L45" s="49">
        <f>C45/IF(B45&lt;='VALOR POR PL'!$P$5,IFERROR(INDEX('"INCC-FGV"'!$B$2:$B$800,MATCH(B45,'"INCC-FGV"'!$A$2:$A$800,0)),$K$2),$K$2)</f>
        <v/>
      </c>
      <c r="M45" s="131">
        <f>'CP RESUMO'!AR38</f>
        <v/>
      </c>
      <c r="N45" s="132">
        <f>MAX(0,M45-M44)</f>
        <v/>
      </c>
      <c r="O45" s="131">
        <f>IF(B45&lt;='VALOR POR PL'!$P$5,'CP RESUMO'!AR80,"")</f>
        <v/>
      </c>
      <c r="P45" s="72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2">
        <f>(IF(AND(41+$K$33&gt;=1,41+$K$33&lt;=72),INDEX($N$5:$N$76,41+$K$33),0)+IF(AND(41+$K$34&gt;=1,41+$K$34&lt;=72),INDEX($N$5:$N$76,41+$K$34),0)+IF(AND(41+$K$35&gt;=1,41+$K$35&lt;=72),INDEX($N$5:$N$76,41+$K$35),0))/3</f>
        <v/>
      </c>
      <c r="T45" s="132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33">
        <f>DATE(YEAR(B45),MONTH(B45)+1,1)</f>
        <v/>
      </c>
      <c r="C46" s="60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165720.96</v>
      </c>
      <c r="L46" s="49">
        <f>C46/IF(B46&lt;='VALOR POR PL'!$P$5,IFERROR(INDEX('"INCC-FGV"'!$B$2:$B$800,MATCH(B46,'"INCC-FGV"'!$A$2:$A$800,0)),$K$2),$K$2)</f>
        <v/>
      </c>
      <c r="M46" s="131">
        <f>'CP RESUMO'!AS38</f>
        <v/>
      </c>
      <c r="N46" s="132">
        <f>MAX(0,M46-M45)</f>
        <v/>
      </c>
      <c r="O46" s="131">
        <f>IF(B46&lt;='VALOR POR PL'!$P$5,'CP RESUMO'!AS80,"")</f>
        <v/>
      </c>
      <c r="P46" s="72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2">
        <f>(IF(AND(42+$K$33&gt;=1,42+$K$33&lt;=72),INDEX($N$5:$N$76,42+$K$33),0)+IF(AND(42+$K$34&gt;=1,42+$K$34&lt;=72),INDEX($N$5:$N$76,42+$K$34),0)+IF(AND(42+$K$35&gt;=1,42+$K$35&lt;=72),INDEX($N$5:$N$76,42+$K$35),0))/3</f>
        <v/>
      </c>
      <c r="T46" s="132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33">
        <f>DATE(YEAR(B46),MONTH(B46)+1,1)</f>
        <v/>
      </c>
      <c r="C47" s="60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105121.5</v>
      </c>
      <c r="L47" s="49">
        <f>C47/IF(B47&lt;='VALOR POR PL'!$P$5,IFERROR(INDEX('"INCC-FGV"'!$B$2:$B$800,MATCH(B47,'"INCC-FGV"'!$A$2:$A$800,0)),$K$2),$K$2)</f>
        <v/>
      </c>
      <c r="M47" s="131">
        <f>'CP RESUMO'!AT38</f>
        <v/>
      </c>
      <c r="N47" s="132">
        <f>MAX(0,M47-M46)</f>
        <v/>
      </c>
      <c r="O47" s="131">
        <f>IF(B47&lt;='VALOR POR PL'!$P$5,'CP RESUMO'!AT80,"")</f>
        <v/>
      </c>
      <c r="P47" s="72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2">
        <f>(IF(AND(43+$K$33&gt;=1,43+$K$33&lt;=72),INDEX($N$5:$N$76,43+$K$33),0)+IF(AND(43+$K$34&gt;=1,43+$K$34&lt;=72),INDEX($N$5:$N$76,43+$K$34),0)+IF(AND(43+$K$35&gt;=1,43+$K$35&lt;=72),INDEX($N$5:$N$76,43+$K$35),0))/3</f>
        <v/>
      </c>
      <c r="T47" s="132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33">
        <f>DATE(YEAR(B47),MONTH(B47)+1,1)</f>
        <v/>
      </c>
      <c r="C48" s="60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66288.38</v>
      </c>
      <c r="L48" s="49">
        <f>C48/IF(B48&lt;='VALOR POR PL'!$P$5,IFERROR(INDEX('"INCC-FGV"'!$B$2:$B$800,MATCH(B48,'"INCC-FGV"'!$A$2:$A$800,0)),$K$2),$K$2)</f>
        <v/>
      </c>
      <c r="M48" s="131">
        <f>'CP RESUMO'!AU38</f>
        <v/>
      </c>
      <c r="N48" s="132">
        <f>MAX(0,M48-M47)</f>
        <v/>
      </c>
      <c r="O48" s="131">
        <f>IF(B48&lt;='VALOR POR PL'!$P$5,'CP RESUMO'!AU80,"")</f>
        <v/>
      </c>
      <c r="P48" s="72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2">
        <f>(IF(AND(44+$K$33&gt;=1,44+$K$33&lt;=72),INDEX($N$5:$N$76,44+$K$33),0)+IF(AND(44+$K$34&gt;=1,44+$K$34&lt;=72),INDEX($N$5:$N$76,44+$K$34),0)+IF(AND(44+$K$35&gt;=1,44+$K$35&lt;=72),INDEX($N$5:$N$76,44+$K$35),0))/3</f>
        <v/>
      </c>
      <c r="T48" s="132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33">
        <f>DATE(YEAR(B48),MONTH(B48)+1,1)</f>
        <v/>
      </c>
      <c r="C49" s="60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RESUMO'!AV38</f>
        <v/>
      </c>
      <c r="N49" s="132">
        <f>MAX(0,M49-M48)</f>
        <v/>
      </c>
      <c r="O49" s="131">
        <f>IF(B49&lt;='VALOR POR PL'!$P$5,'CP RESUMO'!AV80,"")</f>
        <v/>
      </c>
      <c r="P49" s="72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2">
        <f>(IF(AND(45+$K$33&gt;=1,45+$K$33&lt;=72),INDEX($N$5:$N$76,45+$K$33),0)+IF(AND(45+$K$34&gt;=1,45+$K$34&lt;=72),INDEX($N$5:$N$76,45+$K$34),0)+IF(AND(45+$K$35&gt;=1,45+$K$35&lt;=72),INDEX($N$5:$N$76,45+$K$35),0))/3</f>
        <v/>
      </c>
      <c r="T49" s="132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33">
        <f>DATE(YEAR(B49),MONTH(B49)+1,1)</f>
        <v/>
      </c>
      <c r="C50" s="60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RESUMO'!AW38</f>
        <v/>
      </c>
      <c r="N50" s="132">
        <f>MAX(0,M50-M49)</f>
        <v/>
      </c>
      <c r="O50" s="131">
        <f>IF(B50&lt;='VALOR POR PL'!$P$5,'CP RESUMO'!AW80,"")</f>
        <v/>
      </c>
      <c r="P50" s="72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2">
        <f>(IF(AND(46+$K$33&gt;=1,46+$K$33&lt;=72),INDEX($N$5:$N$76,46+$K$33),0)+IF(AND(46+$K$34&gt;=1,46+$K$34&lt;=72),INDEX($N$5:$N$76,46+$K$34),0)+IF(AND(46+$K$35&gt;=1,46+$K$35&lt;=72),INDEX($N$5:$N$76,46+$K$35),0))/3</f>
        <v/>
      </c>
      <c r="T50" s="132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33">
        <f>DATE(YEAR(B50),MONTH(B50)+1,1)</f>
        <v/>
      </c>
      <c r="C51" s="60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RESUMO'!AX38</f>
        <v/>
      </c>
      <c r="N51" s="132">
        <f>MAX(0,M51-M50)</f>
        <v/>
      </c>
      <c r="O51" s="131">
        <f>IF(B51&lt;='VALOR POR PL'!$P$5,'CP RESUMO'!AX80,"")</f>
        <v/>
      </c>
      <c r="P51" s="72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2">
        <f>(IF(AND(47+$K$33&gt;=1,47+$K$33&lt;=72),INDEX($N$5:$N$76,47+$K$33),0)+IF(AND(47+$K$34&gt;=1,47+$K$34&lt;=72),INDEX($N$5:$N$76,47+$K$34),0)+IF(AND(47+$K$35&gt;=1,47+$K$35&lt;=72),INDEX($N$5:$N$76,47+$K$35),0))/3</f>
        <v/>
      </c>
      <c r="T51" s="132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33">
        <f>DATE(YEAR(B51),MONTH(B51)+1,1)</f>
        <v/>
      </c>
      <c r="C52" s="60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RESUMO'!AY38</f>
        <v/>
      </c>
      <c r="N52" s="132">
        <f>MAX(0,M52-M51)</f>
        <v/>
      </c>
      <c r="O52" s="131">
        <f>IF(B52&lt;='VALOR POR PL'!$P$5,'CP RESUMO'!AY80,"")</f>
        <v/>
      </c>
      <c r="P52" s="72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2">
        <f>(IF(AND(48+$K$33&gt;=1,48+$K$33&lt;=72),INDEX($N$5:$N$76,48+$K$33),0)+IF(AND(48+$K$34&gt;=1,48+$K$34&lt;=72),INDEX($N$5:$N$76,48+$K$34),0)+IF(AND(48+$K$35&gt;=1,48+$K$35&lt;=72),INDEX($N$5:$N$76,48+$K$35),0))/3</f>
        <v/>
      </c>
      <c r="T52" s="132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33">
        <f>DATE(YEAR(B52),MONTH(B52)+1,1)</f>
        <v/>
      </c>
      <c r="C53" s="60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RESUMO'!AZ38</f>
        <v/>
      </c>
      <c r="N53" s="132">
        <f>MAX(0,M53-M52)</f>
        <v/>
      </c>
      <c r="O53" s="131">
        <f>IF(B53&lt;='VALOR POR PL'!$P$5,'CP RESUMO'!AZ80,"")</f>
        <v/>
      </c>
      <c r="P53" s="72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2">
        <f>(IF(AND(49+$K$33&gt;=1,49+$K$33&lt;=72),INDEX($N$5:$N$76,49+$K$33),0)+IF(AND(49+$K$34&gt;=1,49+$K$34&lt;=72),INDEX($N$5:$N$76,49+$K$34),0)+IF(AND(49+$K$35&gt;=1,49+$K$35&lt;=72),INDEX($N$5:$N$76,49+$K$35),0))/3</f>
        <v/>
      </c>
      <c r="T53" s="132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33">
        <f>DATE(YEAR(B53),MONTH(B53)+1,1)</f>
        <v/>
      </c>
      <c r="C54" s="60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RESUMO'!BA38</f>
        <v/>
      </c>
      <c r="N54" s="132">
        <f>MAX(0,M54-M53)</f>
        <v/>
      </c>
      <c r="O54" s="131">
        <f>IF(B54&lt;='VALOR POR PL'!$P$5,'CP RESUMO'!BA80,"")</f>
        <v/>
      </c>
      <c r="P54" s="72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2">
        <f>(IF(AND(50+$K$33&gt;=1,50+$K$33&lt;=72),INDEX($N$5:$N$76,50+$K$33),0)+IF(AND(50+$K$34&gt;=1,50+$K$34&lt;=72),INDEX($N$5:$N$76,50+$K$34),0)+IF(AND(50+$K$35&gt;=1,50+$K$35&lt;=72),INDEX($N$5:$N$76,50+$K$35),0))/3</f>
        <v/>
      </c>
      <c r="T54" s="132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33">
        <f>DATE(YEAR(B54),MONTH(B54)+1,1)</f>
        <v/>
      </c>
      <c r="C55" s="60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RESUMO'!BB38</f>
        <v/>
      </c>
      <c r="N55" s="132">
        <f>MAX(0,M55-M54)</f>
        <v/>
      </c>
      <c r="O55" s="131">
        <f>IF(B55&lt;='VALOR POR PL'!$P$5,'CP RESUMO'!BB80,"")</f>
        <v/>
      </c>
      <c r="P55" s="72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2">
        <f>(IF(AND(51+$K$33&gt;=1,51+$K$33&lt;=72),INDEX($N$5:$N$76,51+$K$33),0)+IF(AND(51+$K$34&gt;=1,51+$K$34&lt;=72),INDEX($N$5:$N$76,51+$K$34),0)+IF(AND(51+$K$35&gt;=1,51+$K$35&lt;=72),INDEX($N$5:$N$76,51+$K$35),0))/3</f>
        <v/>
      </c>
      <c r="T55" s="132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33">
        <f>DATE(YEAR(B55),MONTH(B55)+1,1)</f>
        <v/>
      </c>
      <c r="C56" s="60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RESUMO'!BC38</f>
        <v/>
      </c>
      <c r="N56" s="132">
        <f>MAX(0,M56-M55)</f>
        <v/>
      </c>
      <c r="O56" s="131">
        <f>IF(B56&lt;='VALOR POR PL'!$P$5,'CP RESUMO'!BC80,"")</f>
        <v/>
      </c>
      <c r="P56" s="72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2">
        <f>(IF(AND(52+$K$33&gt;=1,52+$K$33&lt;=72),INDEX($N$5:$N$76,52+$K$33),0)+IF(AND(52+$K$34&gt;=1,52+$K$34&lt;=72),INDEX($N$5:$N$76,52+$K$34),0)+IF(AND(52+$K$35&gt;=1,52+$K$35&lt;=72),INDEX($N$5:$N$76,52+$K$35),0))/3</f>
        <v/>
      </c>
      <c r="T56" s="132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33">
        <f>DATE(YEAR(B56),MONTH(B56)+1,1)</f>
        <v/>
      </c>
      <c r="C57" s="60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RESUMO'!BD38</f>
        <v/>
      </c>
      <c r="N57" s="132">
        <f>MAX(0,M57-M56)</f>
        <v/>
      </c>
      <c r="O57" s="131">
        <f>IF(B57&lt;='VALOR POR PL'!$P$5,'CP RESUMO'!BD80,"")</f>
        <v/>
      </c>
      <c r="P57" s="72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2">
        <f>(IF(AND(53+$K$33&gt;=1,53+$K$33&lt;=72),INDEX($N$5:$N$76,53+$K$33),0)+IF(AND(53+$K$34&gt;=1,53+$K$34&lt;=72),INDEX($N$5:$N$76,53+$K$34),0)+IF(AND(53+$K$35&gt;=1,53+$K$35&lt;=72),INDEX($N$5:$N$76,53+$K$35),0))/3</f>
        <v/>
      </c>
      <c r="T57" s="132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33">
        <f>DATE(YEAR(B57),MONTH(B57)+1,1)</f>
        <v/>
      </c>
      <c r="C58" s="60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RESUMO'!BE38</f>
        <v/>
      </c>
      <c r="N58" s="132">
        <f>MAX(0,M58-M57)</f>
        <v/>
      </c>
      <c r="O58" s="131">
        <f>IF(B58&lt;='VALOR POR PL'!$P$5,'CP RESUMO'!BE80,"")</f>
        <v/>
      </c>
      <c r="P58" s="72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2">
        <f>(IF(AND(54+$K$33&gt;=1,54+$K$33&lt;=72),INDEX($N$5:$N$76,54+$K$33),0)+IF(AND(54+$K$34&gt;=1,54+$K$34&lt;=72),INDEX($N$5:$N$76,54+$K$34),0)+IF(AND(54+$K$35&gt;=1,54+$K$35&lt;=72),INDEX($N$5:$N$76,54+$K$35),0))/3</f>
        <v/>
      </c>
      <c r="T58" s="132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33">
        <f>DATE(YEAR(B58),MONTH(B58)+1,1)</f>
        <v/>
      </c>
      <c r="C59" s="60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RESUMO'!BF38</f>
        <v/>
      </c>
      <c r="N59" s="132">
        <f>MAX(0,M59-M58)</f>
        <v/>
      </c>
      <c r="O59" s="131">
        <f>IF(B59&lt;='VALOR POR PL'!$P$5,'CP RESUMO'!BF80,"")</f>
        <v/>
      </c>
      <c r="P59" s="72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2">
        <f>(IF(AND(55+$K$33&gt;=1,55+$K$33&lt;=72),INDEX($N$5:$N$76,55+$K$33),0)+IF(AND(55+$K$34&gt;=1,55+$K$34&lt;=72),INDEX($N$5:$N$76,55+$K$34),0)+IF(AND(55+$K$35&gt;=1,55+$K$35&lt;=72),INDEX($N$5:$N$76,55+$K$35),0))/3</f>
        <v/>
      </c>
      <c r="T59" s="132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33">
        <f>DATE(YEAR(B59),MONTH(B59)+1,1)</f>
        <v/>
      </c>
      <c r="C60" s="60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RESUMO'!BG38</f>
        <v/>
      </c>
      <c r="N60" s="132">
        <f>MAX(0,M60-M59)</f>
        <v/>
      </c>
      <c r="O60" s="131">
        <f>IF(B60&lt;='VALOR POR PL'!$P$5,'CP RESUMO'!BG80,"")</f>
        <v/>
      </c>
      <c r="P60" s="72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2">
        <f>(IF(AND(56+$K$33&gt;=1,56+$K$33&lt;=72),INDEX($N$5:$N$76,56+$K$33),0)+IF(AND(56+$K$34&gt;=1,56+$K$34&lt;=72),INDEX($N$5:$N$76,56+$K$34),0)+IF(AND(56+$K$35&gt;=1,56+$K$35&lt;=72),INDEX($N$5:$N$76,56+$K$35),0))/3</f>
        <v/>
      </c>
      <c r="T60" s="132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33">
        <f>DATE(YEAR(B60),MONTH(B60)+1,1)</f>
        <v/>
      </c>
      <c r="C61" s="60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RESUMO'!BH38</f>
        <v/>
      </c>
      <c r="N61" s="132">
        <f>MAX(0,M61-M60)</f>
        <v/>
      </c>
      <c r="O61" s="131">
        <f>IF(B61&lt;='VALOR POR PL'!$P$5,'CP RESUMO'!BH80,"")</f>
        <v/>
      </c>
      <c r="P61" s="72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2">
        <f>(IF(AND(57+$K$33&gt;=1,57+$K$33&lt;=72),INDEX($N$5:$N$76,57+$K$33),0)+IF(AND(57+$K$34&gt;=1,57+$K$34&lt;=72),INDEX($N$5:$N$76,57+$K$34),0)+IF(AND(57+$K$35&gt;=1,57+$K$35&lt;=72),INDEX($N$5:$N$76,57+$K$35),0))/3</f>
        <v/>
      </c>
      <c r="T61" s="132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33">
        <f>DATE(YEAR(B61),MONTH(B61)+1,1)</f>
        <v/>
      </c>
      <c r="C62" s="60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RESUMO'!BI38</f>
        <v/>
      </c>
      <c r="N62" s="132">
        <f>MAX(0,M62-M61)</f>
        <v/>
      </c>
      <c r="O62" s="131">
        <f>IF(B62&lt;='VALOR POR PL'!$P$5,'CP RESUMO'!BI80,"")</f>
        <v/>
      </c>
      <c r="P62" s="72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2">
        <f>(IF(AND(58+$K$33&gt;=1,58+$K$33&lt;=72),INDEX($N$5:$N$76,58+$K$33),0)+IF(AND(58+$K$34&gt;=1,58+$K$34&lt;=72),INDEX($N$5:$N$76,58+$K$34),0)+IF(AND(58+$K$35&gt;=1,58+$K$35&lt;=72),INDEX($N$5:$N$76,58+$K$35),0))/3</f>
        <v/>
      </c>
      <c r="T62" s="132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33">
        <f>DATE(YEAR(B62),MONTH(B62)+1,1)</f>
        <v/>
      </c>
      <c r="C63" s="60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RESUMO'!BJ38</f>
        <v/>
      </c>
      <c r="N63" s="132">
        <f>MAX(0,M63-M62)</f>
        <v/>
      </c>
      <c r="O63" s="131">
        <f>IF(B63&lt;='VALOR POR PL'!$P$5,'CP RESUMO'!BJ80,"")</f>
        <v/>
      </c>
      <c r="P63" s="72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2">
        <f>(IF(AND(59+$K$33&gt;=1,59+$K$33&lt;=72),INDEX($N$5:$N$76,59+$K$33),0)+IF(AND(59+$K$34&gt;=1,59+$K$34&lt;=72),INDEX($N$5:$N$76,59+$K$34),0)+IF(AND(59+$K$35&gt;=1,59+$K$35&lt;=72),INDEX($N$5:$N$76,59+$K$35),0))/3</f>
        <v/>
      </c>
      <c r="T63" s="132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33">
        <f>DATE(YEAR(B63),MONTH(B63)+1,1)</f>
        <v/>
      </c>
      <c r="C64" s="60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RESUMO'!BK38</f>
        <v/>
      </c>
      <c r="N64" s="132">
        <f>MAX(0,M64-M63)</f>
        <v/>
      </c>
      <c r="O64" s="131">
        <f>IF(B64&lt;='VALOR POR PL'!$P$5,'CP RESUMO'!BK80,"")</f>
        <v/>
      </c>
      <c r="P64" s="72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2">
        <f>(IF(AND(60+$K$33&gt;=1,60+$K$33&lt;=72),INDEX($N$5:$N$76,60+$K$33),0)+IF(AND(60+$K$34&gt;=1,60+$K$34&lt;=72),INDEX($N$5:$N$76,60+$K$34),0)+IF(AND(60+$K$35&gt;=1,60+$K$35&lt;=72),INDEX($N$5:$N$76,60+$K$35),0))/3</f>
        <v/>
      </c>
      <c r="T64" s="132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33">
        <f>DATE(YEAR(B64),MONTH(B64)+1,1)</f>
        <v/>
      </c>
      <c r="C65" s="60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RESUMO'!BL38</f>
        <v/>
      </c>
      <c r="N65" s="132">
        <f>MAX(0,M65-M64)</f>
        <v/>
      </c>
      <c r="O65" s="131">
        <f>IF(B65&lt;='VALOR POR PL'!$P$5,'CP RESUMO'!BL80,"")</f>
        <v/>
      </c>
      <c r="P65" s="72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2">
        <f>(IF(AND(61+$K$33&gt;=1,61+$K$33&lt;=72),INDEX($N$5:$N$76,61+$K$33),0)+IF(AND(61+$K$34&gt;=1,61+$K$34&lt;=72),INDEX($N$5:$N$76,61+$K$34),0)+IF(AND(61+$K$35&gt;=1,61+$K$35&lt;=72),INDEX($N$5:$N$76,61+$K$35),0))/3</f>
        <v/>
      </c>
      <c r="T65" s="132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33">
        <f>DATE(YEAR(B65),MONTH(B65)+1,1)</f>
        <v/>
      </c>
      <c r="C66" s="60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RESUMO'!BM38</f>
        <v/>
      </c>
      <c r="N66" s="132">
        <f>MAX(0,M66-M65)</f>
        <v/>
      </c>
      <c r="O66" s="131">
        <f>IF(B66&lt;='VALOR POR PL'!$P$5,'CP RESUMO'!BM80,"")</f>
        <v/>
      </c>
      <c r="P66" s="72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2">
        <f>(IF(AND(62+$K$33&gt;=1,62+$K$33&lt;=72),INDEX($N$5:$N$76,62+$K$33),0)+IF(AND(62+$K$34&gt;=1,62+$K$34&lt;=72),INDEX($N$5:$N$76,62+$K$34),0)+IF(AND(62+$K$35&gt;=1,62+$K$35&lt;=72),INDEX($N$5:$N$76,62+$K$35),0))/3</f>
        <v/>
      </c>
      <c r="T66" s="132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33">
        <f>DATE(YEAR(B66),MONTH(B66)+1,1)</f>
        <v/>
      </c>
      <c r="C67" s="60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RESUMO'!BN38</f>
        <v/>
      </c>
      <c r="N67" s="132">
        <f>MAX(0,M67-M66)</f>
        <v/>
      </c>
      <c r="O67" s="131">
        <f>IF(B67&lt;='VALOR POR PL'!$P$5,'CP RESUMO'!BN80,"")</f>
        <v/>
      </c>
      <c r="P67" s="72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2">
        <f>(IF(AND(63+$K$33&gt;=1,63+$K$33&lt;=72),INDEX($N$5:$N$76,63+$K$33),0)+IF(AND(63+$K$34&gt;=1,63+$K$34&lt;=72),INDEX($N$5:$N$76,63+$K$34),0)+IF(AND(63+$K$35&gt;=1,63+$K$35&lt;=72),INDEX($N$5:$N$76,63+$K$35),0))/3</f>
        <v/>
      </c>
      <c r="T67" s="132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33">
        <f>DATE(YEAR(B67),MONTH(B67)+1,1)</f>
        <v/>
      </c>
      <c r="C68" s="60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RESUMO'!BO38</f>
        <v/>
      </c>
      <c r="N68" s="132">
        <f>MAX(0,M68-M67)</f>
        <v/>
      </c>
      <c r="O68" s="131">
        <f>IF(B68&lt;='VALOR POR PL'!$P$5,'CP RESUMO'!BO80,"")</f>
        <v/>
      </c>
      <c r="P68" s="72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2">
        <f>(IF(AND(64+$K$33&gt;=1,64+$K$33&lt;=72),INDEX($N$5:$N$76,64+$K$33),0)+IF(AND(64+$K$34&gt;=1,64+$K$34&lt;=72),INDEX($N$5:$N$76,64+$K$34),0)+IF(AND(64+$K$35&gt;=1,64+$K$35&lt;=72),INDEX($N$5:$N$76,64+$K$35),0))/3</f>
        <v/>
      </c>
      <c r="T68" s="132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33">
        <f>DATE(YEAR(B68),MONTH(B68)+1,1)</f>
        <v/>
      </c>
      <c r="C69" s="60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RESUMO'!BP38</f>
        <v/>
      </c>
      <c r="N69" s="132">
        <f>MAX(0,M69-M68)</f>
        <v/>
      </c>
      <c r="O69" s="131">
        <f>IF(B69&lt;='VALOR POR PL'!$P$5,'CP RESUMO'!BP80,"")</f>
        <v/>
      </c>
      <c r="P69" s="72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2">
        <f>(IF(AND(65+$K$33&gt;=1,65+$K$33&lt;=72),INDEX($N$5:$N$76,65+$K$33),0)+IF(AND(65+$K$34&gt;=1,65+$K$34&lt;=72),INDEX($N$5:$N$76,65+$K$34),0)+IF(AND(65+$K$35&gt;=1,65+$K$35&lt;=72),INDEX($N$5:$N$76,65+$K$35),0))/3</f>
        <v/>
      </c>
      <c r="T69" s="132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33">
        <f>DATE(YEAR(B69),MONTH(B69)+1,1)</f>
        <v/>
      </c>
      <c r="C70" s="60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RESUMO'!BQ38</f>
        <v/>
      </c>
      <c r="N70" s="132">
        <f>MAX(0,M70-M69)</f>
        <v/>
      </c>
      <c r="O70" s="131">
        <f>IF(B70&lt;='VALOR POR PL'!$P$5,'CP RESUMO'!BQ80,"")</f>
        <v/>
      </c>
      <c r="P70" s="72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2">
        <f>(IF(AND(66+$K$33&gt;=1,66+$K$33&lt;=72),INDEX($N$5:$N$76,66+$K$33),0)+IF(AND(66+$K$34&gt;=1,66+$K$34&lt;=72),INDEX($N$5:$N$76,66+$K$34),0)+IF(AND(66+$K$35&gt;=1,66+$K$35&lt;=72),INDEX($N$5:$N$76,66+$K$35),0))/3</f>
        <v/>
      </c>
      <c r="T70" s="132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33">
        <f>DATE(YEAR(B70),MONTH(B70)+1,1)</f>
        <v/>
      </c>
      <c r="C71" s="60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RESUMO'!BR38</f>
        <v/>
      </c>
      <c r="N71" s="132">
        <f>MAX(0,M71-M70)</f>
        <v/>
      </c>
      <c r="O71" s="131">
        <f>IF(B71&lt;='VALOR POR PL'!$P$5,'CP RESUMO'!BR80,"")</f>
        <v/>
      </c>
      <c r="P71" s="72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2">
        <f>(IF(AND(67+$K$33&gt;=1,67+$K$33&lt;=72),INDEX($N$5:$N$76,67+$K$33),0)+IF(AND(67+$K$34&gt;=1,67+$K$34&lt;=72),INDEX($N$5:$N$76,67+$K$34),0)+IF(AND(67+$K$35&gt;=1,67+$K$35&lt;=72),INDEX($N$5:$N$76,67+$K$35),0))/3</f>
        <v/>
      </c>
      <c r="T71" s="132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33">
        <f>DATE(YEAR(B71),MONTH(B71)+1,1)</f>
        <v/>
      </c>
      <c r="C72" s="60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RESUMO'!BS38</f>
        <v/>
      </c>
      <c r="N72" s="132">
        <f>MAX(0,M72-M71)</f>
        <v/>
      </c>
      <c r="O72" s="131">
        <f>IF(B72&lt;='VALOR POR PL'!$P$5,'CP RESUMO'!BS80,"")</f>
        <v/>
      </c>
      <c r="P72" s="72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2">
        <f>(IF(AND(68+$K$33&gt;=1,68+$K$33&lt;=72),INDEX($N$5:$N$76,68+$K$33),0)+IF(AND(68+$K$34&gt;=1,68+$K$34&lt;=72),INDEX($N$5:$N$76,68+$K$34),0)+IF(AND(68+$K$35&gt;=1,68+$K$35&lt;=72),INDEX($N$5:$N$76,68+$K$35),0))/3</f>
        <v/>
      </c>
      <c r="T72" s="132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33">
        <f>DATE(YEAR(B72),MONTH(B72)+1,1)</f>
        <v/>
      </c>
      <c r="C73" s="60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RESUMO'!BT38</f>
        <v/>
      </c>
      <c r="N73" s="132">
        <f>MAX(0,M73-M72)</f>
        <v/>
      </c>
      <c r="O73" s="131">
        <f>IF(B73&lt;='VALOR POR PL'!$P$5,'CP RESUMO'!BT80,"")</f>
        <v/>
      </c>
      <c r="P73" s="72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2">
        <f>(IF(AND(69+$K$33&gt;=1,69+$K$33&lt;=72),INDEX($N$5:$N$76,69+$K$33),0)+IF(AND(69+$K$34&gt;=1,69+$K$34&lt;=72),INDEX($N$5:$N$76,69+$K$34),0)+IF(AND(69+$K$35&gt;=1,69+$K$35&lt;=72),INDEX($N$5:$N$76,69+$K$35),0))/3</f>
        <v/>
      </c>
      <c r="T73" s="132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33">
        <f>DATE(YEAR(B73),MONTH(B73)+1,1)</f>
        <v/>
      </c>
      <c r="C74" s="60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RESUMO'!BU38</f>
        <v/>
      </c>
      <c r="N74" s="132">
        <f>MAX(0,M74-M73)</f>
        <v/>
      </c>
      <c r="O74" s="131">
        <f>IF(B74&lt;='VALOR POR PL'!$P$5,'CP RESUMO'!BU80,"")</f>
        <v/>
      </c>
      <c r="P74" s="72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2">
        <f>(IF(AND(70+$K$33&gt;=1,70+$K$33&lt;=72),INDEX($N$5:$N$76,70+$K$33),0)+IF(AND(70+$K$34&gt;=1,70+$K$34&lt;=72),INDEX($N$5:$N$76,70+$K$34),0)+IF(AND(70+$K$35&gt;=1,70+$K$35&lt;=72),INDEX($N$5:$N$76,70+$K$35),0))/3</f>
        <v/>
      </c>
      <c r="T74" s="132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33">
        <f>DATE(YEAR(B74),MONTH(B74)+1,1)</f>
        <v/>
      </c>
      <c r="C75" s="60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RESUMO'!BV38</f>
        <v/>
      </c>
      <c r="N75" s="132">
        <f>MAX(0,M75-M74)</f>
        <v/>
      </c>
      <c r="O75" s="131">
        <f>IF(B75&lt;='VALOR POR PL'!$P$5,'CP RESUMO'!BV80,"")</f>
        <v/>
      </c>
      <c r="P75" s="72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2">
        <f>(IF(AND(71+$K$33&gt;=1,71+$K$33&lt;=72),INDEX($N$5:$N$76,71+$K$33),0)+IF(AND(71+$K$34&gt;=1,71+$K$34&lt;=72),INDEX($N$5:$N$76,71+$K$34),0)+IF(AND(71+$K$35&gt;=1,71+$K$35&lt;=72),INDEX($N$5:$N$76,71+$K$35),0))/3</f>
        <v/>
      </c>
      <c r="T75" s="132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33">
        <f>DATE(YEAR(B75),MONTH(B75)+1,1)</f>
        <v/>
      </c>
      <c r="C76" s="60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RESUMO'!BW38</f>
        <v/>
      </c>
      <c r="N76" s="132">
        <f>MAX(0,M76-M75)</f>
        <v/>
      </c>
      <c r="O76" s="131">
        <f>IF(B76&lt;='VALOR POR PL'!$P$5,'CP RESUMO'!BW80,"")</f>
        <v/>
      </c>
      <c r="P76" s="72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2">
        <f>(IF(AND(72+$K$33&gt;=1,72+$K$33&lt;=72),INDEX($N$5:$N$76,72+$K$33),0)+IF(AND(72+$K$34&gt;=1,72+$K$34&lt;=72),INDEX($N$5:$N$76,72+$K$34),0)+IF(AND(72+$K$35&gt;=1,72+$K$35&lt;=72),INDEX($N$5:$N$76,72+$K$35),0))/3</f>
        <v/>
      </c>
      <c r="T76" s="132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  <c r="R78" s="65">
        <f>SUM(R5:R76)</f>
        <v/>
      </c>
      <c r="U78" s="65">
        <f>SUM(U5:U76)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HISTORICOS'!D39)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PL'!F45</f>
        <v/>
      </c>
      <c r="K5" s="60">
        <f>'VALOR POR PL'!G45</f>
        <v/>
      </c>
      <c r="L5" s="60">
        <f>'DADOS HISTORICOS'!$BZ$39</f>
        <v/>
      </c>
      <c r="M5" s="131">
        <f>'CP RESUMO'!D39</f>
        <v/>
      </c>
      <c r="N5" s="132" t="n">
        <v>0</v>
      </c>
      <c r="O5" s="131">
        <f>IF(B5&lt;='VALOR POR PL'!$P$5,'CP RESUMO'!D81,"")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HISTORICOS'!E39)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PL'!H45</f>
        <v/>
      </c>
      <c r="L6" s="49">
        <f>C6/IF(B6&lt;='VALOR POR PL'!$P$5,IFERROR(INDEX('"INCC-FGV"'!$B$2:$B$800,MATCH(B6,'"INCC-FGV"'!$A$2:$A$800,0)),$K$2),$K$2)</f>
        <v/>
      </c>
      <c r="M6" s="131">
        <f>'CP RESUMO'!E39</f>
        <v/>
      </c>
      <c r="N6" s="132">
        <f>MAX(0,M6-M5)</f>
        <v/>
      </c>
      <c r="O6" s="131">
        <f>IF(B6&lt;='VALOR POR PL'!$P$5,'CP RESUMO'!E81,"")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HISTORICOS'!F39)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RESUMO'!F39</f>
        <v/>
      </c>
      <c r="N7" s="132">
        <f>MAX(0,M7-M6)</f>
        <v/>
      </c>
      <c r="O7" s="131">
        <f>IF(B7&lt;='VALOR POR PL'!$P$5,'CP RESUMO'!F81,"")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HISTORICOS'!G39)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RESUMO'!G39</f>
        <v/>
      </c>
      <c r="N8" s="132">
        <f>MAX(0,M8-M7)</f>
        <v/>
      </c>
      <c r="O8" s="131">
        <f>IF(B8&lt;='VALOR POR PL'!$P$5,'CP RESUMO'!G81,"")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HISTORICOS'!H39)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RESUMO'!H39</f>
        <v/>
      </c>
      <c r="N9" s="132">
        <f>MAX(0,M9-M8)</f>
        <v/>
      </c>
      <c r="O9" s="131">
        <f>IF(B9&lt;='VALOR POR PL'!$P$5,'CP RESUMO'!H81,"")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RESUMO'!I39</f>
        <v/>
      </c>
      <c r="N10" s="132">
        <f>MAX(0,M10-M9)</f>
        <v/>
      </c>
      <c r="O10" s="131">
        <f>IF(B10&lt;='VALOR POR PL'!$P$5,'CP RESUMO'!I81,"")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RESUMO'!J39</f>
        <v/>
      </c>
      <c r="N11" s="132">
        <f>MAX(0,M11-M10)</f>
        <v/>
      </c>
      <c r="O11" s="131">
        <f>IF(B11&lt;='VALOR POR PL'!$P$5,'CP RESUMO'!J81,"")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RESUMO'!K39</f>
        <v/>
      </c>
      <c r="N12" s="132">
        <f>MAX(0,M12-M11)</f>
        <v/>
      </c>
      <c r="O12" s="131">
        <f>IF(B12&lt;='VALOR POR PL'!$P$5,'CP RESUMO'!K81,"")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PL'!I45</f>
        <v/>
      </c>
      <c r="L13" s="49">
        <f>C13/IF(B13&lt;='VALOR POR PL'!$P$5,IFERROR(INDEX('"INCC-FGV"'!$B$2:$B$800,MATCH(B13,'"INCC-FGV"'!$A$2:$A$800,0)),$K$2),$K$2)</f>
        <v/>
      </c>
      <c r="M13" s="131">
        <f>'CP RESUMO'!L39</f>
        <v/>
      </c>
      <c r="N13" s="132">
        <f>MAX(0,M13-M12)</f>
        <v/>
      </c>
      <c r="O13" s="131">
        <f>IF(B13&lt;='VALOR POR PL'!$P$5,'CP RESUMO'!L81,"")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RESUMO'!$D$81:$BW$81,MATCH('VALOR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RESUMO'!M39</f>
        <v/>
      </c>
      <c r="N14" s="132">
        <f>MAX(0,M14-M13)</f>
        <v/>
      </c>
      <c r="O14" s="131">
        <f>IF(B14&lt;='VALOR POR PL'!$P$5,'CP RESUMO'!M81,"")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RESUMO'!N39</f>
        <v/>
      </c>
      <c r="N15" s="132">
        <f>MAX(0,M15-M14)</f>
        <v/>
      </c>
      <c r="O15" s="131">
        <f>IF(B15&lt;='VALOR POR PL'!$P$5,'CP RESUMO'!N81,"")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RESUMO'!O39</f>
        <v/>
      </c>
      <c r="N16" s="132">
        <f>MAX(0,M16-M15)</f>
        <v/>
      </c>
      <c r="O16" s="131">
        <f>IF(B16&lt;='VALOR POR PL'!$P$5,'CP RESUMO'!O81,"")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RESUMO'!P39</f>
        <v/>
      </c>
      <c r="N17" s="132">
        <f>MAX(0,M17-M16)</f>
        <v/>
      </c>
      <c r="O17" s="131">
        <f>IF(B17&lt;='VALOR POR PL'!$P$5,'CP RESUMO'!P81,"")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RESUMO'!Q39</f>
        <v/>
      </c>
      <c r="N18" s="132">
        <f>MAX(0,M18-M17)</f>
        <v/>
      </c>
      <c r="O18" s="131">
        <f>IF(B18&lt;='VALOR POR PL'!$P$5,'CP RESUMO'!Q81,"")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RESUMO'!R39</f>
        <v/>
      </c>
      <c r="N19" s="132">
        <f>MAX(0,M19-M18)</f>
        <v/>
      </c>
      <c r="O19" s="131">
        <f>IF(B19&lt;='VALOR POR PL'!$P$5,'CP RESUMO'!R81,"")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RESUMO'!S39</f>
        <v/>
      </c>
      <c r="N20" s="132">
        <f>MAX(0,M20-M19)</f>
        <v/>
      </c>
      <c r="O20" s="131">
        <f>IF(B20&lt;='VALOR POR PL'!$P$5,'CP RESUMO'!S81,"")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RESUMO'!T39</f>
        <v/>
      </c>
      <c r="N21" s="132">
        <f>MAX(0,M21-M20)</f>
        <v/>
      </c>
      <c r="O21" s="131">
        <f>IF(B21&lt;='VALOR POR PL'!$P$5,'CP RESUMO'!T81,"")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RESUMO'!U39</f>
        <v/>
      </c>
      <c r="N22" s="132">
        <f>MAX(0,M22-M21)</f>
        <v/>
      </c>
      <c r="O22" s="131">
        <f>IF(B22&lt;='VALOR POR PL'!$P$5,'CP RESUMO'!U81,"")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RESUMO'!V39</f>
        <v/>
      </c>
      <c r="N23" s="132">
        <f>MAX(0,M23-M22)</f>
        <v/>
      </c>
      <c r="O23" s="131">
        <f>IF(B23&lt;='VALOR POR PL'!$P$5,'CP RESUMO'!V81,"")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RESUMO'!W39</f>
        <v/>
      </c>
      <c r="N24" s="132">
        <f>MAX(0,M24-M23)</f>
        <v/>
      </c>
      <c r="O24" s="131">
        <f>IF(B24&lt;='VALOR POR PL'!$P$5,'CP RESUMO'!W81,"")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RESUMO'!X39</f>
        <v/>
      </c>
      <c r="N25" s="132">
        <f>MAX(0,M25-M24)</f>
        <v/>
      </c>
      <c r="O25" s="131">
        <f>IF(B25&lt;='VALOR POR PL'!$P$5,'CP RESUMO'!X81,"")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14633.75</v>
      </c>
      <c r="L26" s="49">
        <f>C26/IF(B26&lt;='VALOR POR PL'!$P$5,IFERROR(INDEX('"INCC-FGV"'!$B$2:$B$800,MATCH(B26,'"INCC-FGV"'!$A$2:$A$800,0)),$K$2),$K$2)</f>
        <v/>
      </c>
      <c r="M26" s="131">
        <f>'CP RESUMO'!Y39</f>
        <v/>
      </c>
      <c r="N26" s="132">
        <f>MAX(0,M26-M25)</f>
        <v/>
      </c>
      <c r="O26" s="131">
        <f>IF(B26&lt;='VALOR POR PL'!$P$5,'CP RESUMO'!Y81,"")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18041.66</v>
      </c>
      <c r="L27" s="49">
        <f>C27/IF(B27&lt;='VALOR POR PL'!$P$5,IFERROR(INDEX('"INCC-FGV"'!$B$2:$B$800,MATCH(B27,'"INCC-FGV"'!$A$2:$A$800,0)),$K$2),$K$2)</f>
        <v/>
      </c>
      <c r="M27" s="131">
        <f>'CP RESUMO'!Z39</f>
        <v/>
      </c>
      <c r="N27" s="132">
        <f>MAX(0,M27-M26)</f>
        <v/>
      </c>
      <c r="O27" s="131">
        <f>IF(B27&lt;='VALOR POR PL'!$P$5,'CP RESUMO'!Z81,"")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21347.66</v>
      </c>
      <c r="L28" s="49">
        <f>C28/IF(B28&lt;='VALOR POR PL'!$P$5,IFERROR(INDEX('"INCC-FGV"'!$B$2:$B$800,MATCH(B28,'"INCC-FGV"'!$A$2:$A$800,0)),$K$2),$K$2)</f>
        <v/>
      </c>
      <c r="M28" s="131">
        <f>'CP RESUMO'!AA39</f>
        <v/>
      </c>
      <c r="N28" s="132">
        <f>MAX(0,M28-M27)</f>
        <v/>
      </c>
      <c r="O28" s="131">
        <f>IF(B28&lt;='VALOR POR PL'!$P$5,'CP RESUMO'!AA81,"")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21347.66</v>
      </c>
      <c r="L29" s="49">
        <f>C29/IF(B29&lt;='VALOR POR PL'!$P$5,IFERROR(INDEX('"INCC-FGV"'!$B$2:$B$800,MATCH(B29,'"INCC-FGV"'!$A$2:$A$800,0)),$K$2),$K$2)</f>
        <v/>
      </c>
      <c r="M29" s="131">
        <f>'CP RESUMO'!AB39</f>
        <v/>
      </c>
      <c r="N29" s="132">
        <f>MAX(0,M29-M28)</f>
        <v/>
      </c>
      <c r="O29" s="131">
        <f>IF(B29&lt;='VALOR POR PL'!$P$5,'CP RESUMO'!AB81,"")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21347.66</v>
      </c>
      <c r="L30" s="49">
        <f>C30/IF(B30&lt;='VALOR POR PL'!$P$5,IFERROR(INDEX('"INCC-FGV"'!$B$2:$B$800,MATCH(B30,'"INCC-FGV"'!$A$2:$A$800,0)),$K$2),$K$2)</f>
        <v/>
      </c>
      <c r="M30" s="131">
        <f>'CP RESUMO'!AC39</f>
        <v/>
      </c>
      <c r="N30" s="132">
        <f>MAX(0,M30-M29)</f>
        <v/>
      </c>
      <c r="O30" s="131">
        <f>IF(B30&lt;='VALOR POR PL'!$P$5,'CP RESUMO'!AC81,"")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21347.66</v>
      </c>
      <c r="L31" s="49">
        <f>C31/IF(B31&lt;='VALOR POR PL'!$P$5,IFERROR(INDEX('"INCC-FGV"'!$B$2:$B$800,MATCH(B31,'"INCC-FGV"'!$A$2:$A$800,0)),$K$2),$K$2)</f>
        <v/>
      </c>
      <c r="M31" s="131">
        <f>'CP RESUMO'!AD39</f>
        <v/>
      </c>
      <c r="N31" s="132">
        <f>MAX(0,M31-M30)</f>
        <v/>
      </c>
      <c r="O31" s="131">
        <f>IF(B31&lt;='VALOR POR PL'!$P$5,'CP RESUMO'!AD81,"")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RESUMO'!AE39</f>
        <v/>
      </c>
      <c r="N32" s="132">
        <f>MAX(0,M32-M31)</f>
        <v/>
      </c>
      <c r="O32" s="131">
        <f>IF(B32&lt;='VALOR POR PL'!$P$5,'CP RESUMO'!AE81,"")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67312.5</v>
      </c>
      <c r="L33" s="49">
        <f>C33/IF(B33&lt;='VALOR POR PL'!$P$5,IFERROR(INDEX('"INCC-FGV"'!$B$2:$B$800,MATCH(B33,'"INCC-FGV"'!$A$2:$A$800,0)),$K$2),$K$2)</f>
        <v/>
      </c>
      <c r="M33" s="131">
        <f>'CP RESUMO'!AF39</f>
        <v/>
      </c>
      <c r="N33" s="132">
        <f>MAX(0,M33-M32)</f>
        <v/>
      </c>
      <c r="O33" s="131">
        <f>IF(B33&lt;='VALOR POR PL'!$P$5,'CP RESUMO'!AF81,"")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64677.49</v>
      </c>
      <c r="L34" s="49">
        <f>C34/IF(B34&lt;='VALOR POR PL'!$P$5,IFERROR(INDEX('"INCC-FGV"'!$B$2:$B$800,MATCH(B34,'"INCC-FGV"'!$A$2:$A$800,0)),$K$2),$K$2)</f>
        <v/>
      </c>
      <c r="M34" s="131">
        <f>'CP RESUMO'!AG39</f>
        <v/>
      </c>
      <c r="N34" s="132">
        <f>MAX(0,M34-M33)</f>
        <v/>
      </c>
      <c r="O34" s="131">
        <f>IF(B34&lt;='VALOR POR PL'!$P$5,'CP RESUMO'!AG81,"")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37608.76</v>
      </c>
      <c r="L35" s="49">
        <f>C35/IF(B35&lt;='VALOR POR PL'!$P$5,IFERROR(INDEX('"INCC-FGV"'!$B$2:$B$800,MATCH(B35,'"INCC-FGV"'!$A$2:$A$800,0)),$K$2),$K$2)</f>
        <v/>
      </c>
      <c r="M35" s="131">
        <f>'CP RESUMO'!AH39</f>
        <v/>
      </c>
      <c r="N35" s="132">
        <f>MAX(0,M35-M34)</f>
        <v/>
      </c>
      <c r="O35" s="131">
        <f>IF(B35&lt;='VALOR POR PL'!$P$5,'CP RESUMO'!AH81,"")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87194.84</v>
      </c>
      <c r="L36" s="49">
        <f>C36/IF(B36&lt;='VALOR POR PL'!$P$5,IFERROR(INDEX('"INCC-FGV"'!$B$2:$B$800,MATCH(B36,'"INCC-FGV"'!$A$2:$A$800,0)),$K$2),$K$2)</f>
        <v/>
      </c>
      <c r="M36" s="131">
        <f>'CP RESUMO'!AI39</f>
        <v/>
      </c>
      <c r="N36" s="132">
        <f>MAX(0,M36-M35)</f>
        <v/>
      </c>
      <c r="O36" s="131">
        <f>IF(B36&lt;='VALOR POR PL'!$P$5,'CP RESUMO'!AI81,"")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94860.32000000001</v>
      </c>
      <c r="L37" s="49">
        <f>C37/IF(B37&lt;='VALOR POR PL'!$P$5,IFERROR(INDEX('"INCC-FGV"'!$B$2:$B$800,MATCH(B37,'"INCC-FGV"'!$A$2:$A$800,0)),$K$2),$K$2)</f>
        <v/>
      </c>
      <c r="M37" s="131">
        <f>'CP RESUMO'!AJ39</f>
        <v/>
      </c>
      <c r="N37" s="132">
        <f>MAX(0,M37-M36)</f>
        <v/>
      </c>
      <c r="O37" s="131">
        <f>IF(B37&lt;='VALOR POR PL'!$P$5,'CP RESUMO'!AJ81,"")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100130.34</v>
      </c>
      <c r="L38" s="49">
        <f>C38/IF(B38&lt;='VALOR POR PL'!$P$5,IFERROR(INDEX('"INCC-FGV"'!$B$2:$B$800,MATCH(B38,'"INCC-FGV"'!$A$2:$A$800,0)),$K$2),$K$2)</f>
        <v/>
      </c>
      <c r="M38" s="131">
        <f>'CP RESUMO'!AK39</f>
        <v/>
      </c>
      <c r="N38" s="132">
        <f>MAX(0,M38-M37)</f>
        <v/>
      </c>
      <c r="O38" s="131">
        <f>IF(B38&lt;='VALOR POR PL'!$P$5,'CP RESUMO'!AK81,"")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284820.51</v>
      </c>
      <c r="L39" s="49">
        <f>C39/IF(B39&lt;='VALOR POR PL'!$P$5,IFERROR(INDEX('"INCC-FGV"'!$B$2:$B$800,MATCH(B39,'"INCC-FGV"'!$A$2:$A$800,0)),$K$2),$K$2)</f>
        <v/>
      </c>
      <c r="M39" s="131">
        <f>'CP RESUMO'!AL39</f>
        <v/>
      </c>
      <c r="N39" s="132">
        <f>MAX(0,M39-M38)</f>
        <v/>
      </c>
      <c r="O39" s="131">
        <f>IF(B39&lt;='VALOR POR PL'!$P$5,'CP RESUMO'!AL81,"")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321471.09</v>
      </c>
      <c r="L40" s="49">
        <f>C40/IF(B40&lt;='VALOR POR PL'!$P$5,IFERROR(INDEX('"INCC-FGV"'!$B$2:$B$800,MATCH(B40,'"INCC-FGV"'!$A$2:$A$800,0)),$K$2),$K$2)</f>
        <v/>
      </c>
      <c r="M40" s="131">
        <f>'CP RESUMO'!AM39</f>
        <v/>
      </c>
      <c r="N40" s="132">
        <f>MAX(0,M40-M39)</f>
        <v/>
      </c>
      <c r="O40" s="131">
        <f>IF(B40&lt;='VALOR POR PL'!$P$5,'CP RESUMO'!AM81,"")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150435.06</v>
      </c>
      <c r="L41" s="49">
        <f>C41/IF(B41&lt;='VALOR POR PL'!$P$5,IFERROR(INDEX('"INCC-FGV"'!$B$2:$B$800,MATCH(B41,'"INCC-FGV"'!$A$2:$A$800,0)),$K$2),$K$2)</f>
        <v/>
      </c>
      <c r="M41" s="131">
        <f>'CP RESUMO'!AN39</f>
        <v/>
      </c>
      <c r="N41" s="132">
        <f>MAX(0,M41-M40)</f>
        <v/>
      </c>
      <c r="O41" s="131">
        <f>IF(B41&lt;='VALOR POR PL'!$P$5,'CP RESUMO'!AN81,"")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274040.93</v>
      </c>
      <c r="L42" s="49">
        <f>C42/IF(B42&lt;='VALOR POR PL'!$P$5,IFERROR(INDEX('"INCC-FGV"'!$B$2:$B$800,MATCH(B42,'"INCC-FGV"'!$A$2:$A$800,0)),$K$2),$K$2)</f>
        <v/>
      </c>
      <c r="M42" s="131">
        <f>'CP RESUMO'!AO39</f>
        <v/>
      </c>
      <c r="N42" s="132">
        <f>MAX(0,M42-M41)</f>
        <v/>
      </c>
      <c r="O42" s="131">
        <f>IF(B42&lt;='VALOR POR PL'!$P$5,'CP RESUMO'!AO81,"")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431183.28</v>
      </c>
      <c r="L43" s="49">
        <f>C43/IF(B43&lt;='VALOR POR PL'!$P$5,IFERROR(INDEX('"INCC-FGV"'!$B$2:$B$800,MATCH(B43,'"INCC-FGV"'!$A$2:$A$800,0)),$K$2),$K$2)</f>
        <v/>
      </c>
      <c r="M43" s="131">
        <f>'CP RESUMO'!AP39</f>
        <v/>
      </c>
      <c r="N43" s="132">
        <f>MAX(0,M43-M42)</f>
        <v/>
      </c>
      <c r="O43" s="131">
        <f>IF(B43&lt;='VALOR POR PL'!$P$5,'CP RESUMO'!AP81,"")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182055.16</v>
      </c>
      <c r="L44" s="49">
        <f>C44/IF(B44&lt;='VALOR POR PL'!$P$5,IFERROR(INDEX('"INCC-FGV"'!$B$2:$B$800,MATCH(B44,'"INCC-FGV"'!$A$2:$A$800,0)),$K$2),$K$2)</f>
        <v/>
      </c>
      <c r="M44" s="131">
        <f>'CP RESUMO'!AQ39</f>
        <v/>
      </c>
      <c r="N44" s="132">
        <f>MAX(0,M44-M43)</f>
        <v/>
      </c>
      <c r="O44" s="131">
        <f>IF(B44&lt;='VALOR POR PL'!$P$5,'CP RESUMO'!AQ81,"")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66138.59</v>
      </c>
      <c r="L45" s="49">
        <f>C45/IF(B45&lt;='VALOR POR PL'!$P$5,IFERROR(INDEX('"INCC-FGV"'!$B$2:$B$800,MATCH(B45,'"INCC-FGV"'!$A$2:$A$800,0)),$K$2),$K$2)</f>
        <v/>
      </c>
      <c r="M45" s="131">
        <f>'CP RESUMO'!AR39</f>
        <v/>
      </c>
      <c r="N45" s="132">
        <f>MAX(0,M45-M44)</f>
        <v/>
      </c>
      <c r="O45" s="131">
        <f>IF(B45&lt;='VALOR POR PL'!$P$5,'CP RESUMO'!AR81,"")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RESUMO'!AS39</f>
        <v/>
      </c>
      <c r="N46" s="132">
        <f>MAX(0,M46-M45)</f>
        <v/>
      </c>
      <c r="O46" s="131">
        <f>IF(B46&lt;='VALOR POR PL'!$P$5,'CP RESUMO'!AS81,"")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RESUMO'!AT39</f>
        <v/>
      </c>
      <c r="N47" s="132">
        <f>MAX(0,M47-M46)</f>
        <v/>
      </c>
      <c r="O47" s="131">
        <f>IF(B47&lt;='VALOR POR PL'!$P$5,'CP RESUMO'!AT81,"")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RESUMO'!AU39</f>
        <v/>
      </c>
      <c r="N48" s="132">
        <f>MAX(0,M48-M47)</f>
        <v/>
      </c>
      <c r="O48" s="131">
        <f>IF(B48&lt;='VALOR POR PL'!$P$5,'CP RESUMO'!AU81,"")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RESUMO'!AV39</f>
        <v/>
      </c>
      <c r="N49" s="132">
        <f>MAX(0,M49-M48)</f>
        <v/>
      </c>
      <c r="O49" s="131">
        <f>IF(B49&lt;='VALOR POR PL'!$P$5,'CP RESUMO'!AV81,"")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RESUMO'!AW39</f>
        <v/>
      </c>
      <c r="N50" s="132">
        <f>MAX(0,M50-M49)</f>
        <v/>
      </c>
      <c r="O50" s="131">
        <f>IF(B50&lt;='VALOR POR PL'!$P$5,'CP RESUMO'!AW81,"")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RESUMO'!AX39</f>
        <v/>
      </c>
      <c r="N51" s="132">
        <f>MAX(0,M51-M50)</f>
        <v/>
      </c>
      <c r="O51" s="131">
        <f>IF(B51&lt;='VALOR POR PL'!$P$5,'CP RESUMO'!AX81,"")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RESUMO'!AY39</f>
        <v/>
      </c>
      <c r="N52" s="132">
        <f>MAX(0,M52-M51)</f>
        <v/>
      </c>
      <c r="O52" s="131">
        <f>IF(B52&lt;='VALOR POR PL'!$P$5,'CP RESUMO'!AY81,"")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RESUMO'!AZ39</f>
        <v/>
      </c>
      <c r="N53" s="132">
        <f>MAX(0,M53-M52)</f>
        <v/>
      </c>
      <c r="O53" s="131">
        <f>IF(B53&lt;='VALOR POR PL'!$P$5,'CP RESUMO'!AZ81,"")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RESUMO'!BA39</f>
        <v/>
      </c>
      <c r="N54" s="132">
        <f>MAX(0,M54-M53)</f>
        <v/>
      </c>
      <c r="O54" s="131">
        <f>IF(B54&lt;='VALOR POR PL'!$P$5,'CP RESUMO'!BA81,"")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RESUMO'!BB39</f>
        <v/>
      </c>
      <c r="N55" s="132">
        <f>MAX(0,M55-M54)</f>
        <v/>
      </c>
      <c r="O55" s="131">
        <f>IF(B55&lt;='VALOR POR PL'!$P$5,'CP RESUMO'!BB81,"")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RESUMO'!BC39</f>
        <v/>
      </c>
      <c r="N56" s="132">
        <f>MAX(0,M56-M55)</f>
        <v/>
      </c>
      <c r="O56" s="131">
        <f>IF(B56&lt;='VALOR POR PL'!$P$5,'CP RESUMO'!BC81,"")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RESUMO'!BD39</f>
        <v/>
      </c>
      <c r="N57" s="132">
        <f>MAX(0,M57-M56)</f>
        <v/>
      </c>
      <c r="O57" s="131">
        <f>IF(B57&lt;='VALOR POR PL'!$P$5,'CP RESUMO'!BD81,"")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RESUMO'!BE39</f>
        <v/>
      </c>
      <c r="N58" s="132">
        <f>MAX(0,M58-M57)</f>
        <v/>
      </c>
      <c r="O58" s="131">
        <f>IF(B58&lt;='VALOR POR PL'!$P$5,'CP RESUMO'!BE81,"")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RESUMO'!BF39</f>
        <v/>
      </c>
      <c r="N59" s="132">
        <f>MAX(0,M59-M58)</f>
        <v/>
      </c>
      <c r="O59" s="131">
        <f>IF(B59&lt;='VALOR POR PL'!$P$5,'CP RESUMO'!BF81,"")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RESUMO'!BG39</f>
        <v/>
      </c>
      <c r="N60" s="132">
        <f>MAX(0,M60-M59)</f>
        <v/>
      </c>
      <c r="O60" s="131">
        <f>IF(B60&lt;='VALOR POR PL'!$P$5,'CP RESUMO'!BG81,"")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RESUMO'!BH39</f>
        <v/>
      </c>
      <c r="N61" s="132">
        <f>MAX(0,M61-M60)</f>
        <v/>
      </c>
      <c r="O61" s="131">
        <f>IF(B61&lt;='VALOR POR PL'!$P$5,'CP RESUMO'!BH81,"")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RESUMO'!BI39</f>
        <v/>
      </c>
      <c r="N62" s="132">
        <f>MAX(0,M62-M61)</f>
        <v/>
      </c>
      <c r="O62" s="131">
        <f>IF(B62&lt;='VALOR POR PL'!$P$5,'CP RESUMO'!BI81,"")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RESUMO'!BJ39</f>
        <v/>
      </c>
      <c r="N63" s="132">
        <f>MAX(0,M63-M62)</f>
        <v/>
      </c>
      <c r="O63" s="131">
        <f>IF(B63&lt;='VALOR POR PL'!$P$5,'CP RESUMO'!BJ81,"")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RESUMO'!BK39</f>
        <v/>
      </c>
      <c r="N64" s="132">
        <f>MAX(0,M64-M63)</f>
        <v/>
      </c>
      <c r="O64" s="131">
        <f>IF(B64&lt;='VALOR POR PL'!$P$5,'CP RESUMO'!BK81,"")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RESUMO'!BL39</f>
        <v/>
      </c>
      <c r="N65" s="132">
        <f>MAX(0,M65-M64)</f>
        <v/>
      </c>
      <c r="O65" s="131">
        <f>IF(B65&lt;='VALOR POR PL'!$P$5,'CP RESUMO'!BL81,"")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RESUMO'!BM39</f>
        <v/>
      </c>
      <c r="N66" s="132">
        <f>MAX(0,M66-M65)</f>
        <v/>
      </c>
      <c r="O66" s="131">
        <f>IF(B66&lt;='VALOR POR PL'!$P$5,'CP RESUMO'!BM81,"")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RESUMO'!BN39</f>
        <v/>
      </c>
      <c r="N67" s="132">
        <f>MAX(0,M67-M66)</f>
        <v/>
      </c>
      <c r="O67" s="131">
        <f>IF(B67&lt;='VALOR POR PL'!$P$5,'CP RESUMO'!BN81,"")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RESUMO'!BO39</f>
        <v/>
      </c>
      <c r="N68" s="132">
        <f>MAX(0,M68-M67)</f>
        <v/>
      </c>
      <c r="O68" s="131">
        <f>IF(B68&lt;='VALOR POR PL'!$P$5,'CP RESUMO'!BO81,"")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RESUMO'!BP39</f>
        <v/>
      </c>
      <c r="N69" s="132">
        <f>MAX(0,M69-M68)</f>
        <v/>
      </c>
      <c r="O69" s="131">
        <f>IF(B69&lt;='VALOR POR PL'!$P$5,'CP RESUMO'!BP81,"")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RESUMO'!BQ39</f>
        <v/>
      </c>
      <c r="N70" s="132">
        <f>MAX(0,M70-M69)</f>
        <v/>
      </c>
      <c r="O70" s="131">
        <f>IF(B70&lt;='VALOR POR PL'!$P$5,'CP RESUMO'!BQ81,"")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RESUMO'!BR39</f>
        <v/>
      </c>
      <c r="N71" s="132">
        <f>MAX(0,M71-M70)</f>
        <v/>
      </c>
      <c r="O71" s="131">
        <f>IF(B71&lt;='VALOR POR PL'!$P$5,'CP RESUMO'!BR81,"")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RESUMO'!BS39</f>
        <v/>
      </c>
      <c r="N72" s="132">
        <f>MAX(0,M72-M71)</f>
        <v/>
      </c>
      <c r="O72" s="131">
        <f>IF(B72&lt;='VALOR POR PL'!$P$5,'CP RESUMO'!BS81,"")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RESUMO'!BT39</f>
        <v/>
      </c>
      <c r="N73" s="132">
        <f>MAX(0,M73-M72)</f>
        <v/>
      </c>
      <c r="O73" s="131">
        <f>IF(B73&lt;='VALOR POR PL'!$P$5,'CP RESUMO'!BT81,"")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RESUMO'!BU39</f>
        <v/>
      </c>
      <c r="N74" s="132">
        <f>MAX(0,M74-M73)</f>
        <v/>
      </c>
      <c r="O74" s="131">
        <f>IF(B74&lt;='VALOR POR PL'!$P$5,'CP RESUMO'!BU81,"")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RESUMO'!BV39</f>
        <v/>
      </c>
      <c r="N75" s="132">
        <f>MAX(0,M75-M74)</f>
        <v/>
      </c>
      <c r="O75" s="131">
        <f>IF(B75&lt;='VALOR POR PL'!$P$5,'CP RESUMO'!BV81,"")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RESUMO'!BW39</f>
        <v/>
      </c>
      <c r="N76" s="132">
        <f>MAX(0,M76-M75)</f>
        <v/>
      </c>
      <c r="O76" s="131">
        <f>IF(B76&lt;='VALOR POR PL'!$P$5,'CP RESUMO'!BW81,"")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HISTORICOS'!D40)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PL'!F46</f>
        <v/>
      </c>
      <c r="K5" s="60">
        <f>'VALOR POR PL'!G46</f>
        <v/>
      </c>
      <c r="L5" s="60">
        <f>'DADOS HISTORICOS'!$BZ$40</f>
        <v/>
      </c>
      <c r="M5" s="131">
        <f>'CP RESUMO'!D40</f>
        <v/>
      </c>
      <c r="N5" s="132" t="n">
        <v>0</v>
      </c>
      <c r="O5" s="131">
        <f>IF(B5&lt;='VALOR POR PL'!$P$5,'CP RESUMO'!D82,"")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HISTORICOS'!E40)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PL'!H46</f>
        <v/>
      </c>
      <c r="L6" s="49">
        <f>C6/IF(B6&lt;='VALOR POR PL'!$P$5,IFERROR(INDEX('"INCC-FGV"'!$B$2:$B$800,MATCH(B6,'"INCC-FGV"'!$A$2:$A$800,0)),$K$2),$K$2)</f>
        <v/>
      </c>
      <c r="M6" s="131">
        <f>'CP RESUMO'!E40</f>
        <v/>
      </c>
      <c r="N6" s="132">
        <f>MAX(0,M6-M5)</f>
        <v/>
      </c>
      <c r="O6" s="131">
        <f>IF(B6&lt;='VALOR POR PL'!$P$5,'CP RESUMO'!E82,"")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HISTORICOS'!F40)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RESUMO'!F40</f>
        <v/>
      </c>
      <c r="N7" s="132">
        <f>MAX(0,M7-M6)</f>
        <v/>
      </c>
      <c r="O7" s="131">
        <f>IF(B7&lt;='VALOR POR PL'!$P$5,'CP RESUMO'!F82,"")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HISTORICOS'!G40)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RESUMO'!G40</f>
        <v/>
      </c>
      <c r="N8" s="132">
        <f>MAX(0,M8-M7)</f>
        <v/>
      </c>
      <c r="O8" s="131">
        <f>IF(B8&lt;='VALOR POR PL'!$P$5,'CP RESUMO'!G82,"")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HISTORICOS'!H40)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RESUMO'!H40</f>
        <v/>
      </c>
      <c r="N9" s="132">
        <f>MAX(0,M9-M8)</f>
        <v/>
      </c>
      <c r="O9" s="131">
        <f>IF(B9&lt;='VALOR POR PL'!$P$5,'CP RESUMO'!H82,"")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RESUMO'!I40</f>
        <v/>
      </c>
      <c r="N10" s="132">
        <f>MAX(0,M10-M9)</f>
        <v/>
      </c>
      <c r="O10" s="131">
        <f>IF(B10&lt;='VALOR POR PL'!$P$5,'CP RESUMO'!I82,"")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RESUMO'!J40</f>
        <v/>
      </c>
      <c r="N11" s="132">
        <f>MAX(0,M11-M10)</f>
        <v/>
      </c>
      <c r="O11" s="131">
        <f>IF(B11&lt;='VALOR POR PL'!$P$5,'CP RESUMO'!J82,"")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RESUMO'!K40</f>
        <v/>
      </c>
      <c r="N12" s="132">
        <f>MAX(0,M12-M11)</f>
        <v/>
      </c>
      <c r="O12" s="131">
        <f>IF(B12&lt;='VALOR POR PL'!$P$5,'CP RESUMO'!K82,"")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PL'!I46</f>
        <v/>
      </c>
      <c r="L13" s="49">
        <f>C13/IF(B13&lt;='VALOR POR PL'!$P$5,IFERROR(INDEX('"INCC-FGV"'!$B$2:$B$800,MATCH(B13,'"INCC-FGV"'!$A$2:$A$800,0)),$K$2),$K$2)</f>
        <v/>
      </c>
      <c r="M13" s="131">
        <f>'CP RESUMO'!L40</f>
        <v/>
      </c>
      <c r="N13" s="132">
        <f>MAX(0,M13-M12)</f>
        <v/>
      </c>
      <c r="O13" s="131">
        <f>IF(B13&lt;='VALOR POR PL'!$P$5,'CP RESUMO'!L82,"")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RESUMO'!$D$82:$BW$82,MATCH('VALOR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RESUMO'!M40</f>
        <v/>
      </c>
      <c r="N14" s="132">
        <f>MAX(0,M14-M13)</f>
        <v/>
      </c>
      <c r="O14" s="131">
        <f>IF(B14&lt;='VALOR POR PL'!$P$5,'CP RESUMO'!M82,"")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RESUMO'!N40</f>
        <v/>
      </c>
      <c r="N15" s="132">
        <f>MAX(0,M15-M14)</f>
        <v/>
      </c>
      <c r="O15" s="131">
        <f>IF(B15&lt;='VALOR POR PL'!$P$5,'CP RESUMO'!N82,"")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RESUMO'!O40</f>
        <v/>
      </c>
      <c r="N16" s="132">
        <f>MAX(0,M16-M15)</f>
        <v/>
      </c>
      <c r="O16" s="131">
        <f>IF(B16&lt;='VALOR POR PL'!$P$5,'CP RESUMO'!O82,"")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RESUMO'!P40</f>
        <v/>
      </c>
      <c r="N17" s="132">
        <f>MAX(0,M17-M16)</f>
        <v/>
      </c>
      <c r="O17" s="131">
        <f>IF(B17&lt;='VALOR POR PL'!$P$5,'CP RESUMO'!P82,"")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RESUMO'!Q40</f>
        <v/>
      </c>
      <c r="N18" s="132">
        <f>MAX(0,M18-M17)</f>
        <v/>
      </c>
      <c r="O18" s="131">
        <f>IF(B18&lt;='VALOR POR PL'!$P$5,'CP RESUMO'!Q82,"")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RESUMO'!R40</f>
        <v/>
      </c>
      <c r="N19" s="132">
        <f>MAX(0,M19-M18)</f>
        <v/>
      </c>
      <c r="O19" s="131">
        <f>IF(B19&lt;='VALOR POR PL'!$P$5,'CP RESUMO'!R82,"")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RESUMO'!S40</f>
        <v/>
      </c>
      <c r="N20" s="132">
        <f>MAX(0,M20-M19)</f>
        <v/>
      </c>
      <c r="O20" s="131">
        <f>IF(B20&lt;='VALOR POR PL'!$P$5,'CP RESUMO'!S82,"")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RESUMO'!T40</f>
        <v/>
      </c>
      <c r="N21" s="132">
        <f>MAX(0,M21-M20)</f>
        <v/>
      </c>
      <c r="O21" s="131">
        <f>IF(B21&lt;='VALOR POR PL'!$P$5,'CP RESUMO'!T82,"")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RESUMO'!U40</f>
        <v/>
      </c>
      <c r="N22" s="132">
        <f>MAX(0,M22-M21)</f>
        <v/>
      </c>
      <c r="O22" s="131">
        <f>IF(B22&lt;='VALOR POR PL'!$P$5,'CP RESUMO'!U82,"")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RESUMO'!V40</f>
        <v/>
      </c>
      <c r="N23" s="132">
        <f>MAX(0,M23-M22)</f>
        <v/>
      </c>
      <c r="O23" s="131">
        <f>IF(B23&lt;='VALOR POR PL'!$P$5,'CP RESUMO'!V82,"")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RESUMO'!W40</f>
        <v/>
      </c>
      <c r="N24" s="132">
        <f>MAX(0,M24-M23)</f>
        <v/>
      </c>
      <c r="O24" s="131">
        <f>IF(B24&lt;='VALOR POR PL'!$P$5,'CP RESUMO'!W82,"")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RESUMO'!X40</f>
        <v/>
      </c>
      <c r="N25" s="132">
        <f>MAX(0,M25-M24)</f>
        <v/>
      </c>
      <c r="O25" s="131">
        <f>IF(B25&lt;='VALOR POR PL'!$P$5,'CP RESUMO'!X82,"")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69095.46000000001</v>
      </c>
      <c r="L26" s="49">
        <f>C26/IF(B26&lt;='VALOR POR PL'!$P$5,IFERROR(INDEX('"INCC-FGV"'!$B$2:$B$800,MATCH(B26,'"INCC-FGV"'!$A$2:$A$800,0)),$K$2),$K$2)</f>
        <v/>
      </c>
      <c r="M26" s="131">
        <f>'CP RESUMO'!Y40</f>
        <v/>
      </c>
      <c r="N26" s="132">
        <f>MAX(0,M26-M25)</f>
        <v/>
      </c>
      <c r="O26" s="131">
        <f>IF(B26&lt;='VALOR POR PL'!$P$5,'CP RESUMO'!Y82,"")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RESUMO'!Z40</f>
        <v/>
      </c>
      <c r="N27" s="132">
        <f>MAX(0,M27-M26)</f>
        <v/>
      </c>
      <c r="O27" s="131">
        <f>IF(B27&lt;='VALOR POR PL'!$P$5,'CP RESUMO'!Z82,"")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9230.309999999999</v>
      </c>
      <c r="L28" s="49">
        <f>C28/IF(B28&lt;='VALOR POR PL'!$P$5,IFERROR(INDEX('"INCC-FGV"'!$B$2:$B$800,MATCH(B28,'"INCC-FGV"'!$A$2:$A$800,0)),$K$2),$K$2)</f>
        <v/>
      </c>
      <c r="M28" s="131">
        <f>'CP RESUMO'!AA40</f>
        <v/>
      </c>
      <c r="N28" s="132">
        <f>MAX(0,M28-M27)</f>
        <v/>
      </c>
      <c r="O28" s="131">
        <f>IF(B28&lt;='VALOR POR PL'!$P$5,'CP RESUMO'!AA82,"")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196210.02</v>
      </c>
      <c r="L29" s="49">
        <f>C29/IF(B29&lt;='VALOR POR PL'!$P$5,IFERROR(INDEX('"INCC-FGV"'!$B$2:$B$800,MATCH(B29,'"INCC-FGV"'!$A$2:$A$800,0)),$K$2),$K$2)</f>
        <v/>
      </c>
      <c r="M29" s="131">
        <f>'CP RESUMO'!AB40</f>
        <v/>
      </c>
      <c r="N29" s="132">
        <f>MAX(0,M29-M28)</f>
        <v/>
      </c>
      <c r="O29" s="131">
        <f>IF(B29&lt;='VALOR POR PL'!$P$5,'CP RESUMO'!AB82,"")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195946.3</v>
      </c>
      <c r="L30" s="49">
        <f>C30/IF(B30&lt;='VALOR POR PL'!$P$5,IFERROR(INDEX('"INCC-FGV"'!$B$2:$B$800,MATCH(B30,'"INCC-FGV"'!$A$2:$A$800,0)),$K$2),$K$2)</f>
        <v/>
      </c>
      <c r="M30" s="131">
        <f>'CP RESUMO'!AC40</f>
        <v/>
      </c>
      <c r="N30" s="132">
        <f>MAX(0,M30-M29)</f>
        <v/>
      </c>
      <c r="O30" s="131">
        <f>IF(B30&lt;='VALOR POR PL'!$P$5,'CP RESUMO'!AC82,"")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207550.12</v>
      </c>
      <c r="L31" s="49">
        <f>C31/IF(B31&lt;='VALOR POR PL'!$P$5,IFERROR(INDEX('"INCC-FGV"'!$B$2:$B$800,MATCH(B31,'"INCC-FGV"'!$A$2:$A$800,0)),$K$2),$K$2)</f>
        <v/>
      </c>
      <c r="M31" s="131">
        <f>'CP RESUMO'!AD40</f>
        <v/>
      </c>
      <c r="N31" s="132">
        <f>MAX(0,M31-M30)</f>
        <v/>
      </c>
      <c r="O31" s="131">
        <f>IF(B31&lt;='VALOR POR PL'!$P$5,'CP RESUMO'!AD82,"")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170892.6</v>
      </c>
      <c r="L32" s="49">
        <f>C32/IF(B32&lt;='VALOR POR PL'!$P$5,IFERROR(INDEX('"INCC-FGV"'!$B$2:$B$800,MATCH(B32,'"INCC-FGV"'!$A$2:$A$800,0)),$K$2),$K$2)</f>
        <v/>
      </c>
      <c r="M32" s="131">
        <f>'CP RESUMO'!AE40</f>
        <v/>
      </c>
      <c r="N32" s="132">
        <f>MAX(0,M32-M31)</f>
        <v/>
      </c>
      <c r="O32" s="131">
        <f>IF(B32&lt;='VALOR POR PL'!$P$5,'CP RESUMO'!AE82,"")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19515.51</v>
      </c>
      <c r="L33" s="49">
        <f>C33/IF(B33&lt;='VALOR POR PL'!$P$5,IFERROR(INDEX('"INCC-FGV"'!$B$2:$B$800,MATCH(B33,'"INCC-FGV"'!$A$2:$A$800,0)),$K$2),$K$2)</f>
        <v/>
      </c>
      <c r="M33" s="131">
        <f>'CP RESUMO'!AF40</f>
        <v/>
      </c>
      <c r="N33" s="132">
        <f>MAX(0,M33-M32)</f>
        <v/>
      </c>
      <c r="O33" s="131">
        <f>IF(B33&lt;='VALOR POR PL'!$P$5,'CP RESUMO'!AF82,"")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27427.21</v>
      </c>
      <c r="L34" s="49">
        <f>C34/IF(B34&lt;='VALOR POR PL'!$P$5,IFERROR(INDEX('"INCC-FGV"'!$B$2:$B$800,MATCH(B34,'"INCC-FGV"'!$A$2:$A$800,0)),$K$2),$K$2)</f>
        <v/>
      </c>
      <c r="M34" s="131">
        <f>'CP RESUMO'!AG40</f>
        <v/>
      </c>
      <c r="N34" s="132">
        <f>MAX(0,M34-M33)</f>
        <v/>
      </c>
      <c r="O34" s="131">
        <f>IF(B34&lt;='VALOR POR PL'!$P$5,'CP RESUMO'!AG82,"")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113664.68</v>
      </c>
      <c r="L35" s="49">
        <f>C35/IF(B35&lt;='VALOR POR PL'!$P$5,IFERROR(INDEX('"INCC-FGV"'!$B$2:$B$800,MATCH(B35,'"INCC-FGV"'!$A$2:$A$800,0)),$K$2),$K$2)</f>
        <v/>
      </c>
      <c r="M35" s="131">
        <f>'CP RESUMO'!AH40</f>
        <v/>
      </c>
      <c r="N35" s="132">
        <f>MAX(0,M35-M34)</f>
        <v/>
      </c>
      <c r="O35" s="131">
        <f>IF(B35&lt;='VALOR POR PL'!$P$5,'CP RESUMO'!AH82,"")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27690.93</v>
      </c>
      <c r="L36" s="49">
        <f>C36/IF(B36&lt;='VALOR POR PL'!$P$5,IFERROR(INDEX('"INCC-FGV"'!$B$2:$B$800,MATCH(B36,'"INCC-FGV"'!$A$2:$A$800,0)),$K$2),$K$2)</f>
        <v/>
      </c>
      <c r="M36" s="131">
        <f>'CP RESUMO'!AI40</f>
        <v/>
      </c>
      <c r="N36" s="132">
        <f>MAX(0,M36-M35)</f>
        <v/>
      </c>
      <c r="O36" s="131">
        <f>IF(B36&lt;='VALOR POR PL'!$P$5,'CP RESUMO'!AI82,"")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99951.07000000001</v>
      </c>
      <c r="L37" s="49">
        <f>C37/IF(B37&lt;='VALOR POR PL'!$P$5,IFERROR(INDEX('"INCC-FGV"'!$B$2:$B$800,MATCH(B37,'"INCC-FGV"'!$A$2:$A$800,0)),$K$2),$K$2)</f>
        <v/>
      </c>
      <c r="M37" s="131">
        <f>'CP RESUMO'!AJ40</f>
        <v/>
      </c>
      <c r="N37" s="132">
        <f>MAX(0,M37-M36)</f>
        <v/>
      </c>
      <c r="O37" s="131">
        <f>IF(B37&lt;='VALOR POR PL'!$P$5,'CP RESUMO'!AJ82,"")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67513.13</v>
      </c>
      <c r="L38" s="49">
        <f>C38/IF(B38&lt;='VALOR POR PL'!$P$5,IFERROR(INDEX('"INCC-FGV"'!$B$2:$B$800,MATCH(B38,'"INCC-FGV"'!$A$2:$A$800,0)),$K$2),$K$2)</f>
        <v/>
      </c>
      <c r="M38" s="131">
        <f>'CP RESUMO'!AK40</f>
        <v/>
      </c>
      <c r="N38" s="132">
        <f>MAX(0,M38-M37)</f>
        <v/>
      </c>
      <c r="O38" s="131">
        <f>IF(B38&lt;='VALOR POR PL'!$P$5,'CP RESUMO'!AK82,"")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84918.85000000001</v>
      </c>
      <c r="L39" s="49">
        <f>C39/IF(B39&lt;='VALOR POR PL'!$P$5,IFERROR(INDEX('"INCC-FGV"'!$B$2:$B$800,MATCH(B39,'"INCC-FGV"'!$A$2:$A$800,0)),$K$2),$K$2)</f>
        <v/>
      </c>
      <c r="M39" s="131">
        <f>'CP RESUMO'!AL40</f>
        <v/>
      </c>
      <c r="N39" s="132">
        <f>MAX(0,M39-M38)</f>
        <v/>
      </c>
      <c r="O39" s="131">
        <f>IF(B39&lt;='VALOR POR PL'!$P$5,'CP RESUMO'!AL82,"")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84655.13</v>
      </c>
      <c r="L40" s="49">
        <f>C40/IF(B40&lt;='VALOR POR PL'!$P$5,IFERROR(INDEX('"INCC-FGV"'!$B$2:$B$800,MATCH(B40,'"INCC-FGV"'!$A$2:$A$800,0)),$K$2),$K$2)</f>
        <v/>
      </c>
      <c r="M40" s="131">
        <f>'CP RESUMO'!AM40</f>
        <v/>
      </c>
      <c r="N40" s="132">
        <f>MAX(0,M40-M39)</f>
        <v/>
      </c>
      <c r="O40" s="131">
        <f>IF(B40&lt;='VALOR POR PL'!$P$5,'CP RESUMO'!AM82,"")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152695.7</v>
      </c>
      <c r="L41" s="49">
        <f>C41/IF(B41&lt;='VALOR POR PL'!$P$5,IFERROR(INDEX('"INCC-FGV"'!$B$2:$B$800,MATCH(B41,'"INCC-FGV"'!$A$2:$A$800,0)),$K$2),$K$2)</f>
        <v/>
      </c>
      <c r="M41" s="131">
        <f>'CP RESUMO'!AN40</f>
        <v/>
      </c>
      <c r="N41" s="132">
        <f>MAX(0,M41-M40)</f>
        <v/>
      </c>
      <c r="O41" s="131">
        <f>IF(B41&lt;='VALOR POR PL'!$P$5,'CP RESUMO'!AN82,"")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163244.63</v>
      </c>
      <c r="L42" s="49">
        <f>C42/IF(B42&lt;='VALOR POR PL'!$P$5,IFERROR(INDEX('"INCC-FGV"'!$B$2:$B$800,MATCH(B42,'"INCC-FGV"'!$A$2:$A$800,0)),$K$2),$K$2)</f>
        <v/>
      </c>
      <c r="M42" s="131">
        <f>'CP RESUMO'!AO40</f>
        <v/>
      </c>
      <c r="N42" s="132">
        <f>MAX(0,M42-M41)</f>
        <v/>
      </c>
      <c r="O42" s="131">
        <f>IF(B42&lt;='VALOR POR PL'!$P$5,'CP RESUMO'!AO82,"")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70677.8</v>
      </c>
      <c r="L43" s="49">
        <f>C43/IF(B43&lt;='VALOR POR PL'!$P$5,IFERROR(INDEX('"INCC-FGV"'!$B$2:$B$800,MATCH(B43,'"INCC-FGV"'!$A$2:$A$800,0)),$K$2),$K$2)</f>
        <v/>
      </c>
      <c r="M43" s="131">
        <f>'CP RESUMO'!AP40</f>
        <v/>
      </c>
      <c r="N43" s="132">
        <f>MAX(0,M43-M42)</f>
        <v/>
      </c>
      <c r="O43" s="131">
        <f>IF(B43&lt;='VALOR POR PL'!$P$5,'CP RESUMO'!AP82,"")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113137.23</v>
      </c>
      <c r="L44" s="49">
        <f>C44/IF(B44&lt;='VALOR POR PL'!$P$5,IFERROR(INDEX('"INCC-FGV"'!$B$2:$B$800,MATCH(B44,'"INCC-FGV"'!$A$2:$A$800,0)),$K$2),$K$2)</f>
        <v/>
      </c>
      <c r="M44" s="131">
        <f>'CP RESUMO'!AQ40</f>
        <v/>
      </c>
      <c r="N44" s="132">
        <f>MAX(0,M44-M43)</f>
        <v/>
      </c>
      <c r="O44" s="131">
        <f>IF(B44&lt;='VALOR POR PL'!$P$5,'CP RESUMO'!AQ82,"")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98896.17999999999</v>
      </c>
      <c r="L45" s="49">
        <f>C45/IF(B45&lt;='VALOR POR PL'!$P$5,IFERROR(INDEX('"INCC-FGV"'!$B$2:$B$800,MATCH(B45,'"INCC-FGV"'!$A$2:$A$800,0)),$K$2),$K$2)</f>
        <v/>
      </c>
      <c r="M45" s="131">
        <f>'CP RESUMO'!AR40</f>
        <v/>
      </c>
      <c r="N45" s="132">
        <f>MAX(0,M45-M44)</f>
        <v/>
      </c>
      <c r="O45" s="131">
        <f>IF(B45&lt;='VALOR POR PL'!$P$5,'CP RESUMO'!AR82,"")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111027.45</v>
      </c>
      <c r="L46" s="49">
        <f>C46/IF(B46&lt;='VALOR POR PL'!$P$5,IFERROR(INDEX('"INCC-FGV"'!$B$2:$B$800,MATCH(B46,'"INCC-FGV"'!$A$2:$A$800,0)),$K$2),$K$2)</f>
        <v/>
      </c>
      <c r="M46" s="131">
        <f>'CP RESUMO'!AS40</f>
        <v/>
      </c>
      <c r="N46" s="132">
        <f>MAX(0,M46-M45)</f>
        <v/>
      </c>
      <c r="O46" s="131">
        <f>IF(B46&lt;='VALOR POR PL'!$P$5,'CP RESUMO'!AS82,"")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208948.58</v>
      </c>
      <c r="L47" s="49">
        <f>C47/IF(B47&lt;='VALOR POR PL'!$P$5,IFERROR(INDEX('"INCC-FGV"'!$B$2:$B$800,MATCH(B47,'"INCC-FGV"'!$A$2:$A$800,0)),$K$2),$K$2)</f>
        <v/>
      </c>
      <c r="M47" s="131">
        <f>'CP RESUMO'!AT40</f>
        <v/>
      </c>
      <c r="N47" s="132">
        <f>MAX(0,M47-M46)</f>
        <v/>
      </c>
      <c r="O47" s="131">
        <f>IF(B47&lt;='VALOR POR PL'!$P$5,'CP RESUMO'!AT82,"")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RESUMO'!AU40</f>
        <v/>
      </c>
      <c r="N48" s="132">
        <f>MAX(0,M48-M47)</f>
        <v/>
      </c>
      <c r="O48" s="131">
        <f>IF(B48&lt;='VALOR POR PL'!$P$5,'CP RESUMO'!AU82,"")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RESUMO'!AV40</f>
        <v/>
      </c>
      <c r="N49" s="132">
        <f>MAX(0,M49-M48)</f>
        <v/>
      </c>
      <c r="O49" s="131">
        <f>IF(B49&lt;='VALOR POR PL'!$P$5,'CP RESUMO'!AV82,"")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RESUMO'!AW40</f>
        <v/>
      </c>
      <c r="N50" s="132">
        <f>MAX(0,M50-M49)</f>
        <v/>
      </c>
      <c r="O50" s="131">
        <f>IF(B50&lt;='VALOR POR PL'!$P$5,'CP RESUMO'!AW82,"")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RESUMO'!AX40</f>
        <v/>
      </c>
      <c r="N51" s="132">
        <f>MAX(0,M51-M50)</f>
        <v/>
      </c>
      <c r="O51" s="131">
        <f>IF(B51&lt;='VALOR POR PL'!$P$5,'CP RESUMO'!AX82,"")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RESUMO'!AY40</f>
        <v/>
      </c>
      <c r="N52" s="132">
        <f>MAX(0,M52-M51)</f>
        <v/>
      </c>
      <c r="O52" s="131">
        <f>IF(B52&lt;='VALOR POR PL'!$P$5,'CP RESUMO'!AY82,"")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RESUMO'!AZ40</f>
        <v/>
      </c>
      <c r="N53" s="132">
        <f>MAX(0,M53-M52)</f>
        <v/>
      </c>
      <c r="O53" s="131">
        <f>IF(B53&lt;='VALOR POR PL'!$P$5,'CP RESUMO'!AZ82,"")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RESUMO'!BA40</f>
        <v/>
      </c>
      <c r="N54" s="132">
        <f>MAX(0,M54-M53)</f>
        <v/>
      </c>
      <c r="O54" s="131">
        <f>IF(B54&lt;='VALOR POR PL'!$P$5,'CP RESUMO'!BA82,"")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RESUMO'!BB40</f>
        <v/>
      </c>
      <c r="N55" s="132">
        <f>MAX(0,M55-M54)</f>
        <v/>
      </c>
      <c r="O55" s="131">
        <f>IF(B55&lt;='VALOR POR PL'!$P$5,'CP RESUMO'!BB82,"")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RESUMO'!BC40</f>
        <v/>
      </c>
      <c r="N56" s="132">
        <f>MAX(0,M56-M55)</f>
        <v/>
      </c>
      <c r="O56" s="131">
        <f>IF(B56&lt;='VALOR POR PL'!$P$5,'CP RESUMO'!BC82,"")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RESUMO'!BD40</f>
        <v/>
      </c>
      <c r="N57" s="132">
        <f>MAX(0,M57-M56)</f>
        <v/>
      </c>
      <c r="O57" s="131">
        <f>IF(B57&lt;='VALOR POR PL'!$P$5,'CP RESUMO'!BD82,"")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RESUMO'!BE40</f>
        <v/>
      </c>
      <c r="N58" s="132">
        <f>MAX(0,M58-M57)</f>
        <v/>
      </c>
      <c r="O58" s="131">
        <f>IF(B58&lt;='VALOR POR PL'!$P$5,'CP RESUMO'!BE82,"")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RESUMO'!BF40</f>
        <v/>
      </c>
      <c r="N59" s="132">
        <f>MAX(0,M59-M58)</f>
        <v/>
      </c>
      <c r="O59" s="131">
        <f>IF(B59&lt;='VALOR POR PL'!$P$5,'CP RESUMO'!BF82,"")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RESUMO'!BG40</f>
        <v/>
      </c>
      <c r="N60" s="132">
        <f>MAX(0,M60-M59)</f>
        <v/>
      </c>
      <c r="O60" s="131">
        <f>IF(B60&lt;='VALOR POR PL'!$P$5,'CP RESUMO'!BG82,"")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RESUMO'!BH40</f>
        <v/>
      </c>
      <c r="N61" s="132">
        <f>MAX(0,M61-M60)</f>
        <v/>
      </c>
      <c r="O61" s="131">
        <f>IF(B61&lt;='VALOR POR PL'!$P$5,'CP RESUMO'!BH82,"")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RESUMO'!BI40</f>
        <v/>
      </c>
      <c r="N62" s="132">
        <f>MAX(0,M62-M61)</f>
        <v/>
      </c>
      <c r="O62" s="131">
        <f>IF(B62&lt;='VALOR POR PL'!$P$5,'CP RESUMO'!BI82,"")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RESUMO'!BJ40</f>
        <v/>
      </c>
      <c r="N63" s="132">
        <f>MAX(0,M63-M62)</f>
        <v/>
      </c>
      <c r="O63" s="131">
        <f>IF(B63&lt;='VALOR POR PL'!$P$5,'CP RESUMO'!BJ82,"")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RESUMO'!BK40</f>
        <v/>
      </c>
      <c r="N64" s="132">
        <f>MAX(0,M64-M63)</f>
        <v/>
      </c>
      <c r="O64" s="131">
        <f>IF(B64&lt;='VALOR POR PL'!$P$5,'CP RESUMO'!BK82,"")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RESUMO'!BL40</f>
        <v/>
      </c>
      <c r="N65" s="132">
        <f>MAX(0,M65-M64)</f>
        <v/>
      </c>
      <c r="O65" s="131">
        <f>IF(B65&lt;='VALOR POR PL'!$P$5,'CP RESUMO'!BL82,"")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RESUMO'!BM40</f>
        <v/>
      </c>
      <c r="N66" s="132">
        <f>MAX(0,M66-M65)</f>
        <v/>
      </c>
      <c r="O66" s="131">
        <f>IF(B66&lt;='VALOR POR PL'!$P$5,'CP RESUMO'!BM82,"")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RESUMO'!BN40</f>
        <v/>
      </c>
      <c r="N67" s="132">
        <f>MAX(0,M67-M66)</f>
        <v/>
      </c>
      <c r="O67" s="131">
        <f>IF(B67&lt;='VALOR POR PL'!$P$5,'CP RESUMO'!BN82,"")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RESUMO'!BO40</f>
        <v/>
      </c>
      <c r="N68" s="132">
        <f>MAX(0,M68-M67)</f>
        <v/>
      </c>
      <c r="O68" s="131">
        <f>IF(B68&lt;='VALOR POR PL'!$P$5,'CP RESUMO'!BO82,"")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RESUMO'!BP40</f>
        <v/>
      </c>
      <c r="N69" s="132">
        <f>MAX(0,M69-M68)</f>
        <v/>
      </c>
      <c r="O69" s="131">
        <f>IF(B69&lt;='VALOR POR PL'!$P$5,'CP RESUMO'!BP82,"")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RESUMO'!BQ40</f>
        <v/>
      </c>
      <c r="N70" s="132">
        <f>MAX(0,M70-M69)</f>
        <v/>
      </c>
      <c r="O70" s="131">
        <f>IF(B70&lt;='VALOR POR PL'!$P$5,'CP RESUMO'!BQ82,"")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RESUMO'!BR40</f>
        <v/>
      </c>
      <c r="N71" s="132">
        <f>MAX(0,M71-M70)</f>
        <v/>
      </c>
      <c r="O71" s="131">
        <f>IF(B71&lt;='VALOR POR PL'!$P$5,'CP RESUMO'!BR82,"")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RESUMO'!BS40</f>
        <v/>
      </c>
      <c r="N72" s="132">
        <f>MAX(0,M72-M71)</f>
        <v/>
      </c>
      <c r="O72" s="131">
        <f>IF(B72&lt;='VALOR POR PL'!$P$5,'CP RESUMO'!BS82,"")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RESUMO'!BT40</f>
        <v/>
      </c>
      <c r="N73" s="132">
        <f>MAX(0,M73-M72)</f>
        <v/>
      </c>
      <c r="O73" s="131">
        <f>IF(B73&lt;='VALOR POR PL'!$P$5,'CP RESUMO'!BT82,"")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RESUMO'!BU40</f>
        <v/>
      </c>
      <c r="N74" s="132">
        <f>MAX(0,M74-M73)</f>
        <v/>
      </c>
      <c r="O74" s="131">
        <f>IF(B74&lt;='VALOR POR PL'!$P$5,'CP RESUMO'!BU82,"")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RESUMO'!BV40</f>
        <v/>
      </c>
      <c r="N75" s="132">
        <f>MAX(0,M75-M74)</f>
        <v/>
      </c>
      <c r="O75" s="131">
        <f>IF(B75&lt;='VALOR POR PL'!$P$5,'CP RESUMO'!BV82,"")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RESUMO'!BW40</f>
        <v/>
      </c>
      <c r="N76" s="132">
        <f>MAX(0,M76-M75)</f>
        <v/>
      </c>
      <c r="O76" s="131">
        <f>IF(B76&lt;='VALOR POR PL'!$P$5,'CP RESUMO'!BW82,"")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HISTORICOS'!D41)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PL'!F47</f>
        <v/>
      </c>
      <c r="K5" s="60">
        <f>'VALOR POR PL'!G47</f>
        <v/>
      </c>
      <c r="L5" s="60">
        <f>'DADOS HISTORICOS'!$BZ$41</f>
        <v/>
      </c>
      <c r="M5" s="131">
        <f>'CP RESUMO'!D41</f>
        <v/>
      </c>
      <c r="N5" s="132" t="n">
        <v>0</v>
      </c>
      <c r="O5" s="131">
        <f>IF(B5&lt;='VALOR POR PL'!$P$5,'CP RESUMO'!D83,"")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HISTORICOS'!E41)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PL'!H47</f>
        <v/>
      </c>
      <c r="L6" s="49">
        <f>C6/IF(B6&lt;='VALOR POR PL'!$P$5,IFERROR(INDEX('"INCC-FGV"'!$B$2:$B$800,MATCH(B6,'"INCC-FGV"'!$A$2:$A$800,0)),$K$2),$K$2)</f>
        <v/>
      </c>
      <c r="M6" s="131">
        <f>'CP RESUMO'!E41</f>
        <v/>
      </c>
      <c r="N6" s="132">
        <f>MAX(0,M6-M5)</f>
        <v/>
      </c>
      <c r="O6" s="131">
        <f>IF(B6&lt;='VALOR POR PL'!$P$5,'CP RESUMO'!E83,"")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HISTORICOS'!F41)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RESUMO'!F41</f>
        <v/>
      </c>
      <c r="N7" s="132">
        <f>MAX(0,M7-M6)</f>
        <v/>
      </c>
      <c r="O7" s="131">
        <f>IF(B7&lt;='VALOR POR PL'!$P$5,'CP RESUMO'!F83,"")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HISTORICOS'!G41)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RESUMO'!G41</f>
        <v/>
      </c>
      <c r="N8" s="132">
        <f>MAX(0,M8-M7)</f>
        <v/>
      </c>
      <c r="O8" s="131">
        <f>IF(B8&lt;='VALOR POR PL'!$P$5,'CP RESUMO'!G83,"")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HISTORICOS'!H41)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RESUMO'!H41</f>
        <v/>
      </c>
      <c r="N9" s="132">
        <f>MAX(0,M9-M8)</f>
        <v/>
      </c>
      <c r="O9" s="131">
        <f>IF(B9&lt;='VALOR POR PL'!$P$5,'CP RESUMO'!H83,"")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RESUMO'!I41</f>
        <v/>
      </c>
      <c r="N10" s="132">
        <f>MAX(0,M10-M9)</f>
        <v/>
      </c>
      <c r="O10" s="131">
        <f>IF(B10&lt;='VALOR POR PL'!$P$5,'CP RESUMO'!I83,"")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RESUMO'!J41</f>
        <v/>
      </c>
      <c r="N11" s="132">
        <f>MAX(0,M11-M10)</f>
        <v/>
      </c>
      <c r="O11" s="131">
        <f>IF(B11&lt;='VALOR POR PL'!$P$5,'CP RESUMO'!J83,"")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RESUMO'!K41</f>
        <v/>
      </c>
      <c r="N12" s="132">
        <f>MAX(0,M12-M11)</f>
        <v/>
      </c>
      <c r="O12" s="131">
        <f>IF(B12&lt;='VALOR POR PL'!$P$5,'CP RESUMO'!K83,"")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PL'!I47</f>
        <v/>
      </c>
      <c r="L13" s="49">
        <f>C13/IF(B13&lt;='VALOR POR PL'!$P$5,IFERROR(INDEX('"INCC-FGV"'!$B$2:$B$800,MATCH(B13,'"INCC-FGV"'!$A$2:$A$800,0)),$K$2),$K$2)</f>
        <v/>
      </c>
      <c r="M13" s="131">
        <f>'CP RESUMO'!L41</f>
        <v/>
      </c>
      <c r="N13" s="132">
        <f>MAX(0,M13-M12)</f>
        <v/>
      </c>
      <c r="O13" s="131">
        <f>IF(B13&lt;='VALOR POR PL'!$P$5,'CP RESUMO'!L83,"")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RESUMO'!$D$83:$BW$83,MATCH('VALOR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RESUMO'!M41</f>
        <v/>
      </c>
      <c r="N14" s="132">
        <f>MAX(0,M14-M13)</f>
        <v/>
      </c>
      <c r="O14" s="131">
        <f>IF(B14&lt;='VALOR POR PL'!$P$5,'CP RESUMO'!M83,"")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RESUMO'!N41</f>
        <v/>
      </c>
      <c r="N15" s="132">
        <f>MAX(0,M15-M14)</f>
        <v/>
      </c>
      <c r="O15" s="131">
        <f>IF(B15&lt;='VALOR POR PL'!$P$5,'CP RESUMO'!N83,"")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RESUMO'!O41</f>
        <v/>
      </c>
      <c r="N16" s="132">
        <f>MAX(0,M16-M15)</f>
        <v/>
      </c>
      <c r="O16" s="131">
        <f>IF(B16&lt;='VALOR POR PL'!$P$5,'CP RESUMO'!O83,"")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RESUMO'!P41</f>
        <v/>
      </c>
      <c r="N17" s="132">
        <f>MAX(0,M17-M16)</f>
        <v/>
      </c>
      <c r="O17" s="131">
        <f>IF(B17&lt;='VALOR POR PL'!$P$5,'CP RESUMO'!P83,"")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RESUMO'!Q41</f>
        <v/>
      </c>
      <c r="N18" s="132">
        <f>MAX(0,M18-M17)</f>
        <v/>
      </c>
      <c r="O18" s="131">
        <f>IF(B18&lt;='VALOR POR PL'!$P$5,'CP RESUMO'!Q83,"")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RESUMO'!R41</f>
        <v/>
      </c>
      <c r="N19" s="132">
        <f>MAX(0,M19-M18)</f>
        <v/>
      </c>
      <c r="O19" s="131">
        <f>IF(B19&lt;='VALOR POR PL'!$P$5,'CP RESUMO'!R83,"")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RESUMO'!S41</f>
        <v/>
      </c>
      <c r="N20" s="132">
        <f>MAX(0,M20-M19)</f>
        <v/>
      </c>
      <c r="O20" s="131">
        <f>IF(B20&lt;='VALOR POR PL'!$P$5,'CP RESUMO'!S83,"")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RESUMO'!T41</f>
        <v/>
      </c>
      <c r="N21" s="132">
        <f>MAX(0,M21-M20)</f>
        <v/>
      </c>
      <c r="O21" s="131">
        <f>IF(B21&lt;='VALOR POR PL'!$P$5,'CP RESUMO'!T83,"")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RESUMO'!U41</f>
        <v/>
      </c>
      <c r="N22" s="132">
        <f>MAX(0,M22-M21)</f>
        <v/>
      </c>
      <c r="O22" s="131">
        <f>IF(B22&lt;='VALOR POR PL'!$P$5,'CP RESUMO'!U83,"")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RESUMO'!V41</f>
        <v/>
      </c>
      <c r="N23" s="132">
        <f>MAX(0,M23-M22)</f>
        <v/>
      </c>
      <c r="O23" s="131">
        <f>IF(B23&lt;='VALOR POR PL'!$P$5,'CP RESUMO'!V83,"")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RESUMO'!W41</f>
        <v/>
      </c>
      <c r="N24" s="132">
        <f>MAX(0,M24-M23)</f>
        <v/>
      </c>
      <c r="O24" s="131">
        <f>IF(B24&lt;='VALOR POR PL'!$P$5,'CP RESUMO'!W83,"")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RESUMO'!X41</f>
        <v/>
      </c>
      <c r="N25" s="132">
        <f>MAX(0,M25-M24)</f>
        <v/>
      </c>
      <c r="O25" s="131">
        <f>IF(B25&lt;='VALOR POR PL'!$P$5,'CP RESUMO'!X83,"")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RESUMO'!Y41</f>
        <v/>
      </c>
      <c r="N26" s="132">
        <f>MAX(0,M26-M25)</f>
        <v/>
      </c>
      <c r="O26" s="131">
        <f>IF(B26&lt;='VALOR POR PL'!$P$5,'CP RESUMO'!Y83,"")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RESUMO'!Z41</f>
        <v/>
      </c>
      <c r="N27" s="132">
        <f>MAX(0,M27-M26)</f>
        <v/>
      </c>
      <c r="O27" s="131">
        <f>IF(B27&lt;='VALOR POR PL'!$P$5,'CP RESUMO'!Z83,"")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RESUMO'!AA41</f>
        <v/>
      </c>
      <c r="N28" s="132">
        <f>MAX(0,M28-M27)</f>
        <v/>
      </c>
      <c r="O28" s="131">
        <f>IF(B28&lt;='VALOR POR PL'!$P$5,'CP RESUMO'!AA83,"")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RESUMO'!AB41</f>
        <v/>
      </c>
      <c r="N29" s="132">
        <f>MAX(0,M29-M28)</f>
        <v/>
      </c>
      <c r="O29" s="131">
        <f>IF(B29&lt;='VALOR POR PL'!$P$5,'CP RESUMO'!AB83,"")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RESUMO'!AC41</f>
        <v/>
      </c>
      <c r="N30" s="132">
        <f>MAX(0,M30-M29)</f>
        <v/>
      </c>
      <c r="O30" s="131">
        <f>IF(B30&lt;='VALOR POR PL'!$P$5,'CP RESUMO'!AC83,"")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RESUMO'!AD41</f>
        <v/>
      </c>
      <c r="N31" s="132">
        <f>MAX(0,M31-M30)</f>
        <v/>
      </c>
      <c r="O31" s="131">
        <f>IF(B31&lt;='VALOR POR PL'!$P$5,'CP RESUMO'!AD83,"")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3111.68</v>
      </c>
      <c r="L32" s="49">
        <f>C32/IF(B32&lt;='VALOR POR PL'!$P$5,IFERROR(INDEX('"INCC-FGV"'!$B$2:$B$800,MATCH(B32,'"INCC-FGV"'!$A$2:$A$800,0)),$K$2),$K$2)</f>
        <v/>
      </c>
      <c r="M32" s="131">
        <f>'CP RESUMO'!AE41</f>
        <v/>
      </c>
      <c r="N32" s="132">
        <f>MAX(0,M32-M31)</f>
        <v/>
      </c>
      <c r="O32" s="131">
        <f>IF(B32&lt;='VALOR POR PL'!$P$5,'CP RESUMO'!AE83,"")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11648.85</v>
      </c>
      <c r="L33" s="49">
        <f>C33/IF(B33&lt;='VALOR POR PL'!$P$5,IFERROR(INDEX('"INCC-FGV"'!$B$2:$B$800,MATCH(B33,'"INCC-FGV"'!$A$2:$A$800,0)),$K$2),$K$2)</f>
        <v/>
      </c>
      <c r="M33" s="131">
        <f>'CP RESUMO'!AF41</f>
        <v/>
      </c>
      <c r="N33" s="132">
        <f>MAX(0,M33-M32)</f>
        <v/>
      </c>
      <c r="O33" s="131">
        <f>IF(B33&lt;='VALOR POR PL'!$P$5,'CP RESUMO'!AF83,"")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RESUMO'!AG41</f>
        <v/>
      </c>
      <c r="N34" s="132">
        <f>MAX(0,M34-M33)</f>
        <v/>
      </c>
      <c r="O34" s="131">
        <f>IF(B34&lt;='VALOR POR PL'!$P$5,'CP RESUMO'!AG83,"")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6861.65</v>
      </c>
      <c r="L35" s="49">
        <f>C35/IF(B35&lt;='VALOR POR PL'!$P$5,IFERROR(INDEX('"INCC-FGV"'!$B$2:$B$800,MATCH(B35,'"INCC-FGV"'!$A$2:$A$800,0)),$K$2),$K$2)</f>
        <v/>
      </c>
      <c r="M35" s="131">
        <f>'CP RESUMO'!AH41</f>
        <v/>
      </c>
      <c r="N35" s="132">
        <f>MAX(0,M35-M34)</f>
        <v/>
      </c>
      <c r="O35" s="131">
        <f>IF(B35&lt;='VALOR POR PL'!$P$5,'CP RESUMO'!AH83,"")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12925.43</v>
      </c>
      <c r="L36" s="49">
        <f>C36/IF(B36&lt;='VALOR POR PL'!$P$5,IFERROR(INDEX('"INCC-FGV"'!$B$2:$B$800,MATCH(B36,'"INCC-FGV"'!$A$2:$A$800,0)),$K$2),$K$2)</f>
        <v/>
      </c>
      <c r="M36" s="131">
        <f>'CP RESUMO'!AI41</f>
        <v/>
      </c>
      <c r="N36" s="132">
        <f>MAX(0,M36-M35)</f>
        <v/>
      </c>
      <c r="O36" s="131">
        <f>IF(B36&lt;='VALOR POR PL'!$P$5,'CP RESUMO'!AI83,"")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6223.36</v>
      </c>
      <c r="L37" s="49">
        <f>C37/IF(B37&lt;='VALOR POR PL'!$P$5,IFERROR(INDEX('"INCC-FGV"'!$B$2:$B$800,MATCH(B37,'"INCC-FGV"'!$A$2:$A$800,0)),$K$2),$K$2)</f>
        <v/>
      </c>
      <c r="M37" s="131">
        <f>'CP RESUMO'!AJ41</f>
        <v/>
      </c>
      <c r="N37" s="132">
        <f>MAX(0,M37-M36)</f>
        <v/>
      </c>
      <c r="O37" s="131">
        <f>IF(B37&lt;='VALOR POR PL'!$P$5,'CP RESUMO'!AJ83,"")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22818.97</v>
      </c>
      <c r="L38" s="49">
        <f>C38/IF(B38&lt;='VALOR POR PL'!$P$5,IFERROR(INDEX('"INCC-FGV"'!$B$2:$B$800,MATCH(B38,'"INCC-FGV"'!$A$2:$A$800,0)),$K$2),$K$2)</f>
        <v/>
      </c>
      <c r="M38" s="131">
        <f>'CP RESUMO'!AK41</f>
        <v/>
      </c>
      <c r="N38" s="132">
        <f>MAX(0,M38-M37)</f>
        <v/>
      </c>
      <c r="O38" s="131">
        <f>IF(B38&lt;='VALOR POR PL'!$P$5,'CP RESUMO'!AK83,"")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17393.48</v>
      </c>
      <c r="L39" s="49">
        <f>C39/IF(B39&lt;='VALOR POR PL'!$P$5,IFERROR(INDEX('"INCC-FGV"'!$B$2:$B$800,MATCH(B39,'"INCC-FGV"'!$A$2:$A$800,0)),$K$2),$K$2)</f>
        <v/>
      </c>
      <c r="M39" s="131">
        <f>'CP RESUMO'!AL41</f>
        <v/>
      </c>
      <c r="N39" s="132">
        <f>MAX(0,M39-M38)</f>
        <v/>
      </c>
      <c r="O39" s="131">
        <f>IF(B39&lt;='VALOR POR PL'!$P$5,'CP RESUMO'!AL83,"")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28882.76</v>
      </c>
      <c r="L40" s="49">
        <f>C40/IF(B40&lt;='VALOR POR PL'!$P$5,IFERROR(INDEX('"INCC-FGV"'!$B$2:$B$800,MATCH(B40,'"INCC-FGV"'!$A$2:$A$800,0)),$K$2),$K$2)</f>
        <v/>
      </c>
      <c r="M40" s="131">
        <f>'CP RESUMO'!AM41</f>
        <v/>
      </c>
      <c r="N40" s="132">
        <f>MAX(0,M40-M39)</f>
        <v/>
      </c>
      <c r="O40" s="131">
        <f>IF(B40&lt;='VALOR POR PL'!$P$5,'CP RESUMO'!AM83,"")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30478.49</v>
      </c>
      <c r="L41" s="49">
        <f>C41/IF(B41&lt;='VALOR POR PL'!$P$5,IFERROR(INDEX('"INCC-FGV"'!$B$2:$B$800,MATCH(B41,'"INCC-FGV"'!$A$2:$A$800,0)),$K$2),$K$2)</f>
        <v/>
      </c>
      <c r="M41" s="131">
        <f>'CP RESUMO'!AN41</f>
        <v/>
      </c>
      <c r="N41" s="132">
        <f>MAX(0,M41-M40)</f>
        <v/>
      </c>
      <c r="O41" s="131">
        <f>IF(B41&lt;='VALOR POR PL'!$P$5,'CP RESUMO'!AN83,"")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49707.07</v>
      </c>
      <c r="L42" s="49">
        <f>C42/IF(B42&lt;='VALOR POR PL'!$P$5,IFERROR(INDEX('"INCC-FGV"'!$B$2:$B$800,MATCH(B42,'"INCC-FGV"'!$A$2:$A$800,0)),$K$2),$K$2)</f>
        <v/>
      </c>
      <c r="M42" s="131">
        <f>'CP RESUMO'!AO41</f>
        <v/>
      </c>
      <c r="N42" s="132">
        <f>MAX(0,M42-M41)</f>
        <v/>
      </c>
      <c r="O42" s="131">
        <f>IF(B42&lt;='VALOR POR PL'!$P$5,'CP RESUMO'!AO83,"")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52579.39</v>
      </c>
      <c r="L43" s="49">
        <f>C43/IF(B43&lt;='VALOR POR PL'!$P$5,IFERROR(INDEX('"INCC-FGV"'!$B$2:$B$800,MATCH(B43,'"INCC-FGV"'!$A$2:$A$800,0)),$K$2),$K$2)</f>
        <v/>
      </c>
      <c r="M43" s="131">
        <f>'CP RESUMO'!AP41</f>
        <v/>
      </c>
      <c r="N43" s="132">
        <f>MAX(0,M43-M42)</f>
        <v/>
      </c>
      <c r="O43" s="131">
        <f>IF(B43&lt;='VALOR POR PL'!$P$5,'CP RESUMO'!AP83,"")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143216.99</v>
      </c>
      <c r="L44" s="49">
        <f>C44/IF(B44&lt;='VALOR POR PL'!$P$5,IFERROR(INDEX('"INCC-FGV"'!$B$2:$B$800,MATCH(B44,'"INCC-FGV"'!$A$2:$A$800,0)),$K$2),$K$2)</f>
        <v/>
      </c>
      <c r="M44" s="131">
        <f>'CP RESUMO'!AQ41</f>
        <v/>
      </c>
      <c r="N44" s="132">
        <f>MAX(0,M44-M43)</f>
        <v/>
      </c>
      <c r="O44" s="131">
        <f>IF(B44&lt;='VALOR POR PL'!$P$5,'CP RESUMO'!AQ83,"")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145371.23</v>
      </c>
      <c r="L45" s="49">
        <f>C45/IF(B45&lt;='VALOR POR PL'!$P$5,IFERROR(INDEX('"INCC-FGV"'!$B$2:$B$800,MATCH(B45,'"INCC-FGV"'!$A$2:$A$800,0)),$K$2),$K$2)</f>
        <v/>
      </c>
      <c r="M45" s="131">
        <f>'CP RESUMO'!AR41</f>
        <v/>
      </c>
      <c r="N45" s="132">
        <f>MAX(0,M45-M44)</f>
        <v/>
      </c>
      <c r="O45" s="131">
        <f>IF(B45&lt;='VALOR POR PL'!$P$5,'CP RESUMO'!AR83,"")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168988.07</v>
      </c>
      <c r="L46" s="49">
        <f>C46/IF(B46&lt;='VALOR POR PL'!$P$5,IFERROR(INDEX('"INCC-FGV"'!$B$2:$B$800,MATCH(B46,'"INCC-FGV"'!$A$2:$A$800,0)),$K$2),$K$2)</f>
        <v/>
      </c>
      <c r="M46" s="131">
        <f>'CP RESUMO'!AS41</f>
        <v/>
      </c>
      <c r="N46" s="132">
        <f>MAX(0,M46-M45)</f>
        <v/>
      </c>
      <c r="O46" s="131">
        <f>IF(B46&lt;='VALOR POR PL'!$P$5,'CP RESUMO'!AS83,"")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47792.19</v>
      </c>
      <c r="L47" s="49">
        <f>C47/IF(B47&lt;='VALOR POR PL'!$P$5,IFERROR(INDEX('"INCC-FGV"'!$B$2:$B$800,MATCH(B47,'"INCC-FGV"'!$A$2:$A$800,0)),$K$2),$K$2)</f>
        <v/>
      </c>
      <c r="M47" s="131">
        <f>'CP RESUMO'!AT41</f>
        <v/>
      </c>
      <c r="N47" s="132">
        <f>MAX(0,M47-M46)</f>
        <v/>
      </c>
      <c r="O47" s="131">
        <f>IF(B47&lt;='VALOR POR PL'!$P$5,'CP RESUMO'!AT83,"")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30079.56</v>
      </c>
      <c r="L48" s="49">
        <f>C48/IF(B48&lt;='VALOR POR PL'!$P$5,IFERROR(INDEX('"INCC-FGV"'!$B$2:$B$800,MATCH(B48,'"INCC-FGV"'!$A$2:$A$800,0)),$K$2),$K$2)</f>
        <v/>
      </c>
      <c r="M48" s="131">
        <f>'CP RESUMO'!AU41</f>
        <v/>
      </c>
      <c r="N48" s="132">
        <f>MAX(0,M48-M47)</f>
        <v/>
      </c>
      <c r="O48" s="131">
        <f>IF(B48&lt;='VALOR POR PL'!$P$5,'CP RESUMO'!AU83,"")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19787.08</v>
      </c>
      <c r="L49" s="49">
        <f>C49/IF(B49&lt;='VALOR POR PL'!$P$5,IFERROR(INDEX('"INCC-FGV"'!$B$2:$B$800,MATCH(B49,'"INCC-FGV"'!$A$2:$A$800,0)),$K$2),$K$2)</f>
        <v/>
      </c>
      <c r="M49" s="131">
        <f>'CP RESUMO'!AV41</f>
        <v/>
      </c>
      <c r="N49" s="132">
        <f>MAX(0,M49-M48)</f>
        <v/>
      </c>
      <c r="O49" s="131">
        <f>IF(B49&lt;='VALOR POR PL'!$P$5,'CP RESUMO'!AV83,"")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RESUMO'!AW41</f>
        <v/>
      </c>
      <c r="N50" s="132">
        <f>MAX(0,M50-M49)</f>
        <v/>
      </c>
      <c r="O50" s="131">
        <f>IF(B50&lt;='VALOR POR PL'!$P$5,'CP RESUMO'!AW83,"")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RESUMO'!AX41</f>
        <v/>
      </c>
      <c r="N51" s="132">
        <f>MAX(0,M51-M50)</f>
        <v/>
      </c>
      <c r="O51" s="131">
        <f>IF(B51&lt;='VALOR POR PL'!$P$5,'CP RESUMO'!AX83,"")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RESUMO'!AY41</f>
        <v/>
      </c>
      <c r="N52" s="132">
        <f>MAX(0,M52-M51)</f>
        <v/>
      </c>
      <c r="O52" s="131">
        <f>IF(B52&lt;='VALOR POR PL'!$P$5,'CP RESUMO'!AY83,"")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RESUMO'!AZ41</f>
        <v/>
      </c>
      <c r="N53" s="132">
        <f>MAX(0,M53-M52)</f>
        <v/>
      </c>
      <c r="O53" s="131">
        <f>IF(B53&lt;='VALOR POR PL'!$P$5,'CP RESUMO'!AZ83,"")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RESUMO'!BA41</f>
        <v/>
      </c>
      <c r="N54" s="132">
        <f>MAX(0,M54-M53)</f>
        <v/>
      </c>
      <c r="O54" s="131">
        <f>IF(B54&lt;='VALOR POR PL'!$P$5,'CP RESUMO'!BA83,"")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RESUMO'!BB41</f>
        <v/>
      </c>
      <c r="N55" s="132">
        <f>MAX(0,M55-M54)</f>
        <v/>
      </c>
      <c r="O55" s="131">
        <f>IF(B55&lt;='VALOR POR PL'!$P$5,'CP RESUMO'!BB83,"")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RESUMO'!BC41</f>
        <v/>
      </c>
      <c r="N56" s="132">
        <f>MAX(0,M56-M55)</f>
        <v/>
      </c>
      <c r="O56" s="131">
        <f>IF(B56&lt;='VALOR POR PL'!$P$5,'CP RESUMO'!BC83,"")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RESUMO'!BD41</f>
        <v/>
      </c>
      <c r="N57" s="132">
        <f>MAX(0,M57-M56)</f>
        <v/>
      </c>
      <c r="O57" s="131">
        <f>IF(B57&lt;='VALOR POR PL'!$P$5,'CP RESUMO'!BD83,"")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RESUMO'!BE41</f>
        <v/>
      </c>
      <c r="N58" s="132">
        <f>MAX(0,M58-M57)</f>
        <v/>
      </c>
      <c r="O58" s="131">
        <f>IF(B58&lt;='VALOR POR PL'!$P$5,'CP RESUMO'!BE83,"")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RESUMO'!BF41</f>
        <v/>
      </c>
      <c r="N59" s="132">
        <f>MAX(0,M59-M58)</f>
        <v/>
      </c>
      <c r="O59" s="131">
        <f>IF(B59&lt;='VALOR POR PL'!$P$5,'CP RESUMO'!BF83,"")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RESUMO'!BG41</f>
        <v/>
      </c>
      <c r="N60" s="132">
        <f>MAX(0,M60-M59)</f>
        <v/>
      </c>
      <c r="O60" s="131">
        <f>IF(B60&lt;='VALOR POR PL'!$P$5,'CP RESUMO'!BG83,"")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RESUMO'!BH41</f>
        <v/>
      </c>
      <c r="N61" s="132">
        <f>MAX(0,M61-M60)</f>
        <v/>
      </c>
      <c r="O61" s="131">
        <f>IF(B61&lt;='VALOR POR PL'!$P$5,'CP RESUMO'!BH83,"")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RESUMO'!BI41</f>
        <v/>
      </c>
      <c r="N62" s="132">
        <f>MAX(0,M62-M61)</f>
        <v/>
      </c>
      <c r="O62" s="131">
        <f>IF(B62&lt;='VALOR POR PL'!$P$5,'CP RESUMO'!BI83,"")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RESUMO'!BJ41</f>
        <v/>
      </c>
      <c r="N63" s="132">
        <f>MAX(0,M63-M62)</f>
        <v/>
      </c>
      <c r="O63" s="131">
        <f>IF(B63&lt;='VALOR POR PL'!$P$5,'CP RESUMO'!BJ83,"")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RESUMO'!BK41</f>
        <v/>
      </c>
      <c r="N64" s="132">
        <f>MAX(0,M64-M63)</f>
        <v/>
      </c>
      <c r="O64" s="131">
        <f>IF(B64&lt;='VALOR POR PL'!$P$5,'CP RESUMO'!BK83,"")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RESUMO'!BL41</f>
        <v/>
      </c>
      <c r="N65" s="132">
        <f>MAX(0,M65-M64)</f>
        <v/>
      </c>
      <c r="O65" s="131">
        <f>IF(B65&lt;='VALOR POR PL'!$P$5,'CP RESUMO'!BL83,"")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RESUMO'!BM41</f>
        <v/>
      </c>
      <c r="N66" s="132">
        <f>MAX(0,M66-M65)</f>
        <v/>
      </c>
      <c r="O66" s="131">
        <f>IF(B66&lt;='VALOR POR PL'!$P$5,'CP RESUMO'!BM83,"")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RESUMO'!BN41</f>
        <v/>
      </c>
      <c r="N67" s="132">
        <f>MAX(0,M67-M66)</f>
        <v/>
      </c>
      <c r="O67" s="131">
        <f>IF(B67&lt;='VALOR POR PL'!$P$5,'CP RESUMO'!BN83,"")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RESUMO'!BO41</f>
        <v/>
      </c>
      <c r="N68" s="132">
        <f>MAX(0,M68-M67)</f>
        <v/>
      </c>
      <c r="O68" s="131">
        <f>IF(B68&lt;='VALOR POR PL'!$P$5,'CP RESUMO'!BO83,"")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RESUMO'!BP41</f>
        <v/>
      </c>
      <c r="N69" s="132">
        <f>MAX(0,M69-M68)</f>
        <v/>
      </c>
      <c r="O69" s="131">
        <f>IF(B69&lt;='VALOR POR PL'!$P$5,'CP RESUMO'!BP83,"")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RESUMO'!BQ41</f>
        <v/>
      </c>
      <c r="N70" s="132">
        <f>MAX(0,M70-M69)</f>
        <v/>
      </c>
      <c r="O70" s="131">
        <f>IF(B70&lt;='VALOR POR PL'!$P$5,'CP RESUMO'!BQ83,"")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RESUMO'!BR41</f>
        <v/>
      </c>
      <c r="N71" s="132">
        <f>MAX(0,M71-M70)</f>
        <v/>
      </c>
      <c r="O71" s="131">
        <f>IF(B71&lt;='VALOR POR PL'!$P$5,'CP RESUMO'!BR83,"")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RESUMO'!BS41</f>
        <v/>
      </c>
      <c r="N72" s="132">
        <f>MAX(0,M72-M71)</f>
        <v/>
      </c>
      <c r="O72" s="131">
        <f>IF(B72&lt;='VALOR POR PL'!$P$5,'CP RESUMO'!BS83,"")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RESUMO'!BT41</f>
        <v/>
      </c>
      <c r="N73" s="132">
        <f>MAX(0,M73-M72)</f>
        <v/>
      </c>
      <c r="O73" s="131">
        <f>IF(B73&lt;='VALOR POR PL'!$P$5,'CP RESUMO'!BT83,"")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RESUMO'!BU41</f>
        <v/>
      </c>
      <c r="N74" s="132">
        <f>MAX(0,M74-M73)</f>
        <v/>
      </c>
      <c r="O74" s="131">
        <f>IF(B74&lt;='VALOR POR PL'!$P$5,'CP RESUMO'!BU83,"")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RESUMO'!BV41</f>
        <v/>
      </c>
      <c r="N75" s="132">
        <f>MAX(0,M75-M74)</f>
        <v/>
      </c>
      <c r="O75" s="131">
        <f>IF(B75&lt;='VALOR POR PL'!$P$5,'CP RESUMO'!BV83,"")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RESUMO'!BW41</f>
        <v/>
      </c>
      <c r="N76" s="132">
        <f>MAX(0,M76-M75)</f>
        <v/>
      </c>
      <c r="O76" s="131">
        <f>IF(B76&lt;='VALOR POR PL'!$P$5,'CP RESUMO'!BW83,"")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2026-09-29T16:17:16Z</dcterms:created>
  <dcterms:modified xsi:type="dcterms:W3CDTF">2026-09-29T16:17:21Z</dcterms:modified>
</cp:coreProperties>
</file>